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ing" sheetId="1" r:id="rId5"/>
    <sheet state="visible" name="RC IN" sheetId="2" r:id="rId6"/>
    <sheet state="visible" name="RC OUT" sheetId="3" r:id="rId7"/>
    <sheet state="visible" name="SUNDRY" sheetId="4" r:id="rId8"/>
    <sheet state="visible" name="3X50 QC" sheetId="5" r:id="rId9"/>
    <sheet state="visible" name="Production" sheetId="6" r:id="rId10"/>
    <sheet state="visible" name="ORDERS" sheetId="7" r:id="rId11"/>
    <sheet state="visible" name="PROD SCHED" sheetId="8" r:id="rId12"/>
  </sheets>
  <definedNames>
    <definedName hidden="1" localSheetId="1" name="_xlnm._FilterDatabase">'RC IN'!$A$7:$X$2502</definedName>
    <definedName hidden="1" localSheetId="2" name="_xlnm._FilterDatabase">'RC OUT'!$A$4:$G$2602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Renzo Sy:
ESTIMATED TIME OF COMPLETION</t>
      </text>
    </comment>
  </commentList>
</comments>
</file>

<file path=xl/sharedStrings.xml><?xml version="1.0" encoding="utf-8"?>
<sst xmlns="http://schemas.openxmlformats.org/spreadsheetml/2006/main" count="14836" uniqueCount="1523">
  <si>
    <t>TEMP</t>
  </si>
  <si>
    <t>INVENTORY TONS</t>
  </si>
  <si>
    <t>A</t>
  </si>
  <si>
    <t>STATE</t>
  </si>
  <si>
    <t>PCA</t>
  </si>
  <si>
    <t>TTLs</t>
  </si>
  <si>
    <t>BLOCK</t>
  </si>
  <si>
    <t>BALANCE</t>
  </si>
  <si>
    <t>BD</t>
  </si>
  <si>
    <t>ASH</t>
  </si>
  <si>
    <t>MC</t>
  </si>
  <si>
    <t>B</t>
  </si>
  <si>
    <t>C</t>
  </si>
  <si>
    <t>WALKWAY</t>
  </si>
  <si>
    <t>PCB</t>
  </si>
  <si>
    <t>D</t>
  </si>
  <si>
    <t>WHSE</t>
  </si>
  <si>
    <t>DATE</t>
  </si>
  <si>
    <t>SUPPLIER</t>
  </si>
  <si>
    <t>BLOCK LOC</t>
  </si>
  <si>
    <t>TRK</t>
  </si>
  <si>
    <t>WT</t>
  </si>
  <si>
    <t>SKS</t>
  </si>
  <si>
    <t>GRIT</t>
  </si>
  <si>
    <t>ASTM</t>
  </si>
  <si>
    <t>JIS</t>
  </si>
  <si>
    <t>VM</t>
  </si>
  <si>
    <t>FC</t>
  </si>
  <si>
    <t>REMARKS</t>
  </si>
  <si>
    <t>WTD MC</t>
  </si>
  <si>
    <t>WTD GRIT</t>
  </si>
  <si>
    <t>WTD ASTM</t>
  </si>
  <si>
    <t>WTD JIS</t>
  </si>
  <si>
    <t>WTD VM</t>
  </si>
  <si>
    <t>WTD ASH</t>
  </si>
  <si>
    <t>WTD FC</t>
  </si>
  <si>
    <t>2023 BACKLOG</t>
  </si>
  <si>
    <t>OCT-23-BLK1</t>
  </si>
  <si>
    <t>B-1A</t>
  </si>
  <si>
    <t>WT'D AVERAGE PRICE BASED ON '23 LIQUIDATION</t>
  </si>
  <si>
    <t>OCT-23-BLK2</t>
  </si>
  <si>
    <t>B-2A</t>
  </si>
  <si>
    <t>OCT-23-BLK3</t>
  </si>
  <si>
    <t>B-3A</t>
  </si>
  <si>
    <t>SEPT-23-BLK4</t>
  </si>
  <si>
    <t>B-4A</t>
  </si>
  <si>
    <t>SEPT-23-BLK2</t>
  </si>
  <si>
    <t>B-5A</t>
  </si>
  <si>
    <t>SEPT-23-BLK1</t>
  </si>
  <si>
    <t>B-1B</t>
  </si>
  <si>
    <t>AUG-23-BLK5</t>
  </si>
  <si>
    <t>B-2B</t>
  </si>
  <si>
    <t>AUG-23-BLK4</t>
  </si>
  <si>
    <t>B-3B</t>
  </si>
  <si>
    <t>AUG-23-BLK3</t>
  </si>
  <si>
    <t>B-4B</t>
  </si>
  <si>
    <t>AUG-23-BLK2</t>
  </si>
  <si>
    <t>B-5B</t>
  </si>
  <si>
    <t>JULY-23-BLK4</t>
  </si>
  <si>
    <t>B-7B</t>
  </si>
  <si>
    <t>Layupan</t>
  </si>
  <si>
    <t>JAN-24-BLK1</t>
  </si>
  <si>
    <t>B-11B</t>
  </si>
  <si>
    <t>NFD 5679</t>
  </si>
  <si>
    <t>Llanto</t>
  </si>
  <si>
    <t>ALA 9958</t>
  </si>
  <si>
    <t>ALA 9958 net kls of 24,670 - 0.09%(ash) = 24,648</t>
  </si>
  <si>
    <t>JAN-24-BLK2</t>
  </si>
  <si>
    <t>B-12B</t>
  </si>
  <si>
    <t>LFL 730</t>
  </si>
  <si>
    <t>Esito</t>
  </si>
  <si>
    <t>MAS 9331</t>
  </si>
  <si>
    <t>Paquibot</t>
  </si>
  <si>
    <t>AAV 6111</t>
  </si>
  <si>
    <t>CBQ 5232</t>
  </si>
  <si>
    <t>JAN-24-BLK4</t>
  </si>
  <si>
    <t>B-17B</t>
  </si>
  <si>
    <t>KCA 378</t>
  </si>
  <si>
    <t>PILE IN JANUARY BLOCK 4</t>
  </si>
  <si>
    <t>Sevilla</t>
  </si>
  <si>
    <t>FEB-24-BLK1</t>
  </si>
  <si>
    <t>B-8B</t>
  </si>
  <si>
    <t>NAO 3238</t>
  </si>
  <si>
    <t>PILE IN JANUARY BLOCK 2</t>
  </si>
  <si>
    <t>FEB-24-BLK2</t>
  </si>
  <si>
    <t>B-13B</t>
  </si>
  <si>
    <t>CBQ 5232 net kls of 21,345 - 1.87%(MC) = 20,946</t>
  </si>
  <si>
    <t>AAV5253</t>
  </si>
  <si>
    <t>Sula</t>
  </si>
  <si>
    <t>KAL 9356</t>
  </si>
  <si>
    <t>NFD 5679 net kls of 20,940 - 0.74%(MC) = 20,785</t>
  </si>
  <si>
    <t>FEB-24-BLK3</t>
  </si>
  <si>
    <t>B-18B</t>
  </si>
  <si>
    <t>FEB-24-BLK5</t>
  </si>
  <si>
    <t>B-9B</t>
  </si>
  <si>
    <t>CCN 3642</t>
  </si>
  <si>
    <t>RKJ 247</t>
  </si>
  <si>
    <t>RKJ 247 net kls of 24,700 - 0.87%(MC) = 24,485</t>
  </si>
  <si>
    <t>AAV 6111 net kls of 18,910 - 0.67%(MC) = 18,783</t>
  </si>
  <si>
    <t>MAR-24-BLK1</t>
  </si>
  <si>
    <t>B-14B</t>
  </si>
  <si>
    <t>KCA 378 net kls of 18,305 - .24%(mc) = 18,243 / PILE IN FEBRUARY BLOCK 3</t>
  </si>
  <si>
    <t>ALA 9958 net kls of 18,780 - .07%(mc) = 18,767</t>
  </si>
  <si>
    <t>PILE IN FEBRUARY BLOCK 3</t>
  </si>
  <si>
    <t>NFD 5679 net kls of 19,830 - 1.14%(MC) = 19,604</t>
  </si>
  <si>
    <t>RNC 755</t>
  </si>
  <si>
    <t>RNC 755 net kls of 15,610 - 2.67%(mc) = 16,166</t>
  </si>
  <si>
    <t>CCN 3648</t>
  </si>
  <si>
    <t>PILE IN FEBRUARY BLOCK 5</t>
  </si>
  <si>
    <t>MCV 126</t>
  </si>
  <si>
    <t>MAR-24-BLK2</t>
  </si>
  <si>
    <t>B-19B</t>
  </si>
  <si>
    <t>Linhap</t>
  </si>
  <si>
    <t>MAR-24-BLK3</t>
  </si>
  <si>
    <t>B-11A</t>
  </si>
  <si>
    <t>T071602</t>
  </si>
  <si>
    <t>T071602 net kls of 12,655 - 1.59% (ASH) = 12,454</t>
  </si>
  <si>
    <t>CBQ 5232 net kls of 19,480 - .40%(MC) = 19,402</t>
  </si>
  <si>
    <t>MAR-24-BLK4</t>
  </si>
  <si>
    <t>B-7A</t>
  </si>
  <si>
    <t>NDH 3788</t>
  </si>
  <si>
    <t>NAD3238</t>
  </si>
  <si>
    <t>MAR-24-BLK5</t>
  </si>
  <si>
    <t>B-15B</t>
  </si>
  <si>
    <t>CBQ 5232 net kls of 17,295 - 147KILOS(MC) = 17,148</t>
  </si>
  <si>
    <t>CBQ 5232 net kls of 20,755 - 0.07%(MC) = 20,740</t>
  </si>
  <si>
    <t>RKJ477</t>
  </si>
  <si>
    <t>PILE IN MARCH BLOCK 3</t>
  </si>
  <si>
    <t>PILE IN MARCH BLOCK 2</t>
  </si>
  <si>
    <t>MAG2162</t>
  </si>
  <si>
    <t>PILE IN MARCH BLOCK 5</t>
  </si>
  <si>
    <t>APR-24-BLK1</t>
  </si>
  <si>
    <t>B-20B</t>
  </si>
  <si>
    <t>CBQ 5232 net kls of 20,855 - 258KILOS(MC) = 20,597 / PILE IN MARCH BLOCK 5</t>
  </si>
  <si>
    <t>AAV 6111 net kls of 18,025 - 56KILOS(MC) = 17,969</t>
  </si>
  <si>
    <t>APR-24-BLK2</t>
  </si>
  <si>
    <t>B-12A</t>
  </si>
  <si>
    <t>APR-24-BLK3</t>
  </si>
  <si>
    <t>B-8A</t>
  </si>
  <si>
    <t>CBN 3200</t>
  </si>
  <si>
    <t>APR-24-BLK4</t>
  </si>
  <si>
    <t>B-9A</t>
  </si>
  <si>
    <t>NEO 03369</t>
  </si>
  <si>
    <t>NEO 3369 net kls of 19,495 -98(KILOS) = 19,397</t>
  </si>
  <si>
    <t>CCN3648 net kls of 50,150 -103(KILOS) = 20.047</t>
  </si>
  <si>
    <t>RKJ247</t>
  </si>
  <si>
    <t>NDH3788</t>
  </si>
  <si>
    <t>NDH3788 net kilos of 18,850 - 92(kilos sack) = 18,758</t>
  </si>
  <si>
    <t>APR-24-BLK5</t>
  </si>
  <si>
    <t>B-17A</t>
  </si>
  <si>
    <t>MAY-24-BLK2</t>
  </si>
  <si>
    <t>B-13A</t>
  </si>
  <si>
    <t>NFD 5679 net kilos of 19,290 - 232 (MC)= 19,058</t>
  </si>
  <si>
    <t>PILED IN APRIL BLOPCK 5</t>
  </si>
  <si>
    <t>CBQ 5232 net kilos of 19,700 - 2.87%(mc) = 19,135</t>
  </si>
  <si>
    <t>PILED IN APRIL BLOCK 5</t>
  </si>
  <si>
    <t>Tan</t>
  </si>
  <si>
    <t>MAY-24-BLK4</t>
  </si>
  <si>
    <t>B-14A</t>
  </si>
  <si>
    <t>CBN9665</t>
  </si>
  <si>
    <t>KAL 9356 net kilos of 3,995 - 1.27%(MC) = 3,944 / PILED IN APRIL BLOCK 2</t>
  </si>
  <si>
    <t>MAY-24-BLK5</t>
  </si>
  <si>
    <t>B-18A</t>
  </si>
  <si>
    <t>MAW 9624</t>
  </si>
  <si>
    <t>RLL819</t>
  </si>
  <si>
    <t>RHA314</t>
  </si>
  <si>
    <t>MAY-24-BLK8</t>
  </si>
  <si>
    <t>B-15A</t>
  </si>
  <si>
    <t>RLL 819</t>
  </si>
  <si>
    <t>PILED IN MAY BLOCK 8</t>
  </si>
  <si>
    <t>CBN 9665</t>
  </si>
  <si>
    <t>PILED IN MAY BLOCK 05</t>
  </si>
  <si>
    <t>AUG-24-BLK1</t>
  </si>
  <si>
    <t>B-19A</t>
  </si>
  <si>
    <t>AUG-24-BLK2</t>
  </si>
  <si>
    <t>B-20A</t>
  </si>
  <si>
    <t>AUG-24-BLK3</t>
  </si>
  <si>
    <t>A-15A</t>
  </si>
  <si>
    <t>AUG-24-BLK6</t>
  </si>
  <si>
    <t>A-14A</t>
  </si>
  <si>
    <t>PILED IN AUGUST BLOCK 06</t>
  </si>
  <si>
    <t>SEPT-24-BLK1</t>
  </si>
  <si>
    <t>A-14B</t>
  </si>
  <si>
    <t>SEPT-24-BLK4</t>
  </si>
  <si>
    <t>A-15B</t>
  </si>
  <si>
    <t>SEPT-24-BLK5</t>
  </si>
  <si>
    <t>A-14C</t>
  </si>
  <si>
    <t>paquibot</t>
  </si>
  <si>
    <t>PILED INSEPTEMBER BLOCK 04</t>
  </si>
  <si>
    <t>PILED INSEPTEMBER BLOCK 05</t>
  </si>
  <si>
    <t>OCT-24-BLK1</t>
  </si>
  <si>
    <t>A-15C</t>
  </si>
  <si>
    <t>OCT-24-BLK3</t>
  </si>
  <si>
    <t>A-13A</t>
  </si>
  <si>
    <t>PILED IN OCTOBER 2024 # 3</t>
  </si>
  <si>
    <t>NOV-24-BLK1</t>
  </si>
  <si>
    <t>A-13B</t>
  </si>
  <si>
    <t>AAV611 net kilos of 18,330 - .34%(MC) = 18,268</t>
  </si>
  <si>
    <t>kcA 378 net kilos of 18,415 - .20%(MC) = 18,378</t>
  </si>
  <si>
    <t>PILED IN OCTOBER 2024 # 1</t>
  </si>
  <si>
    <t>NOV-24-BLK3</t>
  </si>
  <si>
    <t>A-20A</t>
  </si>
  <si>
    <t>KAH 4746</t>
  </si>
  <si>
    <t>KAH 4746 net kilos of 29,175 - 95(sacks) = 29,080</t>
  </si>
  <si>
    <t>NFD 5679 net kilos of 18,760 - 2.54%(MC) = 18,283  / PILED IN OCTOBER 2024 # 4</t>
  </si>
  <si>
    <t>CAY 8079</t>
  </si>
  <si>
    <t>KCA 378 net kilos of 8,645 - 32KILOS(SACK) = 8,613</t>
  </si>
  <si>
    <t>NOV-24-BLK5</t>
  </si>
  <si>
    <t>A-20B</t>
  </si>
  <si>
    <t>MAJ 9574</t>
  </si>
  <si>
    <t>NOV-24-BLK6</t>
  </si>
  <si>
    <t>A-13C</t>
  </si>
  <si>
    <t>RGJ 915</t>
  </si>
  <si>
    <t>RGJ915 net kilos of 29,685 - 114 kilos (sacks) = 29,571</t>
  </si>
  <si>
    <t>NOV-24-BLK9</t>
  </si>
  <si>
    <t>A-12A</t>
  </si>
  <si>
    <t>NOV-24-BLK10</t>
  </si>
  <si>
    <t>A-20C</t>
  </si>
  <si>
    <t>NAK 1747</t>
  </si>
  <si>
    <t>NAK1747 net kilos of 27,345 - 103 kilos (sacks) = 27,242</t>
  </si>
  <si>
    <t>NAO3238</t>
  </si>
  <si>
    <t>NAO 3238 net kilos of 28,215 + 8,016(plant scale) = 36, 231 - 162 kilos (sacks) = 36,069</t>
  </si>
  <si>
    <t>DEC-24-BLK1</t>
  </si>
  <si>
    <t>A-12B</t>
  </si>
  <si>
    <t>DEC-24-BLK2</t>
  </si>
  <si>
    <t>A-12C</t>
  </si>
  <si>
    <t>FEEDING AREA # 1</t>
  </si>
  <si>
    <t>KCA 378  net kilos of 17,605  - 32 kilos(MC of mix 106 sacks umog) = 17,573</t>
  </si>
  <si>
    <t>FEEDING AREA # 2</t>
  </si>
  <si>
    <t>DONE FEEDING</t>
  </si>
  <si>
    <t>FEEDING AREA # 3</t>
  </si>
  <si>
    <t>FEEDING AREA # 4</t>
  </si>
  <si>
    <t>Ornales</t>
  </si>
  <si>
    <t>APRIL-25-BLK13</t>
  </si>
  <si>
    <t>C-3A</t>
  </si>
  <si>
    <t>LFF 835</t>
  </si>
  <si>
    <t>PILED IN APRIL BLOCK 13</t>
  </si>
  <si>
    <t>MAY-25-BLK3</t>
  </si>
  <si>
    <t>C-3B</t>
  </si>
  <si>
    <t>FWD 835</t>
  </si>
  <si>
    <t>MAY-25-BLK9</t>
  </si>
  <si>
    <t>C-4A</t>
  </si>
  <si>
    <t>PILED IN MAY BLOCK 9</t>
  </si>
  <si>
    <t>JUNE-25-BLK3</t>
  </si>
  <si>
    <t>C-4B</t>
  </si>
  <si>
    <t>JUNE-25-BLK8</t>
  </si>
  <si>
    <t>C-5A</t>
  </si>
  <si>
    <t>JULY-25-BLK2</t>
  </si>
  <si>
    <t>C-5B</t>
  </si>
  <si>
    <t>JULY-25-BLK5</t>
  </si>
  <si>
    <t>C-11A</t>
  </si>
  <si>
    <t>JULY-25-BLK9</t>
  </si>
  <si>
    <t>C-11B</t>
  </si>
  <si>
    <t>PILED IN JULY BOCK 9</t>
  </si>
  <si>
    <t>Mercado / Ornales</t>
  </si>
  <si>
    <t>T138003</t>
  </si>
  <si>
    <t>AUG-25-BLK1</t>
  </si>
  <si>
    <t>A-17A</t>
  </si>
  <si>
    <t>AUG-25-BLK2</t>
  </si>
  <si>
    <t>C-12A</t>
  </si>
  <si>
    <t>AUG-25-BLK4</t>
  </si>
  <si>
    <t>C-12B</t>
  </si>
  <si>
    <t>NEM 4608</t>
  </si>
  <si>
    <t>AUG-25-BLK5</t>
  </si>
  <si>
    <t>C-13A</t>
  </si>
  <si>
    <t>Mercado</t>
  </si>
  <si>
    <t>AUG-25-BLK10</t>
  </si>
  <si>
    <t>C-13B</t>
  </si>
  <si>
    <t>AUG-25-BLK12</t>
  </si>
  <si>
    <t>C-14A</t>
  </si>
  <si>
    <t>AUG-25-BLK15</t>
  </si>
  <si>
    <t>C-14B</t>
  </si>
  <si>
    <t>MAV9202</t>
  </si>
  <si>
    <t>Pile in August # 12</t>
  </si>
  <si>
    <t>Pile in August # 15</t>
  </si>
  <si>
    <t>SEPT-25-BLK1</t>
  </si>
  <si>
    <t>C-15A</t>
  </si>
  <si>
    <t>Arbelera</t>
  </si>
  <si>
    <t>CAO 7817</t>
  </si>
  <si>
    <t>Tanilon</t>
  </si>
  <si>
    <t>SEPT-25-BLK2</t>
  </si>
  <si>
    <t>D-12D</t>
  </si>
  <si>
    <t>Mar2499</t>
  </si>
  <si>
    <t>MAR2499 net kilos of 6,430 - 1%(MC (64) - 6,366</t>
  </si>
  <si>
    <t>SEPT-25-BLK3</t>
  </si>
  <si>
    <t>A-17B</t>
  </si>
  <si>
    <t>Tag-at</t>
  </si>
  <si>
    <t>SEPT-25-BLK4</t>
  </si>
  <si>
    <t>D-7D</t>
  </si>
  <si>
    <t>Namoc</t>
  </si>
  <si>
    <t>SEPT-25-TNK1</t>
  </si>
  <si>
    <t>D-1D</t>
  </si>
  <si>
    <t>RFM922</t>
  </si>
  <si>
    <t>Nazareno</t>
  </si>
  <si>
    <t>RKX173</t>
  </si>
  <si>
    <t>SEPT-25-BLK5</t>
  </si>
  <si>
    <t>D-16D</t>
  </si>
  <si>
    <t>MAR2499 net kilos of 5,685 - 1%(MC (57) - 5,628</t>
  </si>
  <si>
    <t>SEPT-25-BLK7</t>
  </si>
  <si>
    <t>C-15B</t>
  </si>
  <si>
    <t>SEPT-25-TNK2</t>
  </si>
  <si>
    <t>D-5D</t>
  </si>
  <si>
    <t>CBN7219</t>
  </si>
  <si>
    <t>RGY 775</t>
  </si>
  <si>
    <t>Maranio</t>
  </si>
  <si>
    <t>CTX 146</t>
  </si>
  <si>
    <t>SEPT-25-BLK9</t>
  </si>
  <si>
    <t>C-1A</t>
  </si>
  <si>
    <t>MDH272</t>
  </si>
  <si>
    <t>CNN7297</t>
  </si>
  <si>
    <t>CAA4762</t>
  </si>
  <si>
    <t>DEC-25-SUN5</t>
  </si>
  <si>
    <t>A-3A</t>
  </si>
  <si>
    <t>RKK449</t>
  </si>
  <si>
    <t>RKK449 net kilos of 5,310 - 7.54%(MC  OF 128 SACKS (366) - 4,944</t>
  </si>
  <si>
    <t>RKJ477 net kilos of 5,020 - 2.07%(MC  ) - 4,916</t>
  </si>
  <si>
    <t>ALA9958</t>
  </si>
  <si>
    <t>ALA9958 net kilos of 25,330 - 1.87%(MC) = 24,856</t>
  </si>
  <si>
    <t>Mar-99</t>
  </si>
  <si>
    <t>MAR2499 net kilos of 5,485 - .40%(MC ) - 5,463</t>
  </si>
  <si>
    <t>SEPT-25-TNK3</t>
  </si>
  <si>
    <t>D-5C</t>
  </si>
  <si>
    <t>CCN 6007</t>
  </si>
  <si>
    <t>OCT-25-BLK1</t>
  </si>
  <si>
    <t>D-9D</t>
  </si>
  <si>
    <t>PILE IN SEPTEMBER BLOCK 4</t>
  </si>
  <si>
    <t>OCT-25-BLK2</t>
  </si>
  <si>
    <t>C-7A</t>
  </si>
  <si>
    <t>MAV 9202</t>
  </si>
  <si>
    <t>MAV9202 net kilos of 22,970 - 5%(MC &amp; ash) = 21,821</t>
  </si>
  <si>
    <t>RFM 922</t>
  </si>
  <si>
    <t>PILE IN SEPTEMBER TANK 2</t>
  </si>
  <si>
    <t>OCT-25-BLK5</t>
  </si>
  <si>
    <t>C-1B</t>
  </si>
  <si>
    <t>MAK 8332</t>
  </si>
  <si>
    <t>OCT-25-BLK4</t>
  </si>
  <si>
    <t>D-9C</t>
  </si>
  <si>
    <t>MAN3625</t>
  </si>
  <si>
    <t>OCT-25-BLK6</t>
  </si>
  <si>
    <t>D-10D</t>
  </si>
  <si>
    <t>KCA 378 net kilos of 17,950 - 2.07%(MC) = 17,578</t>
  </si>
  <si>
    <t>KCA 378 net kilos of 18,025 - .34%(MC) = 17,964</t>
  </si>
  <si>
    <t>MAR2499 net kilos of 5,785 - 1.40%(MC) = 5,704 / PILED IN SEPTEMBER # 2</t>
  </si>
  <si>
    <t>OCT-25-BLK8</t>
  </si>
  <si>
    <t>D-13D</t>
  </si>
  <si>
    <t>ALA9958 net kilos of 20,940 - .14%(MC) = 20,911</t>
  </si>
  <si>
    <t>OCT-25-BLK9</t>
  </si>
  <si>
    <t>D-15D</t>
  </si>
  <si>
    <t>NFD5679</t>
  </si>
  <si>
    <t>AAV 6111 net kilos of 18,720 - .34%(MC) = 18,656</t>
  </si>
  <si>
    <t>OCT-25-BLK10</t>
  </si>
  <si>
    <t>D-7C</t>
  </si>
  <si>
    <t>OCT-25-BLK11</t>
  </si>
  <si>
    <t>C-2A</t>
  </si>
  <si>
    <t>CCN6007</t>
  </si>
  <si>
    <t>PILE IN SEPTEMBER TANK 3</t>
  </si>
  <si>
    <t>OCT-25-TNK1</t>
  </si>
  <si>
    <t>D-1C</t>
  </si>
  <si>
    <t>CAC2732</t>
  </si>
  <si>
    <t>OCT-25-TNK2</t>
  </si>
  <si>
    <t>D-1B</t>
  </si>
  <si>
    <t>Baguio / Tipalan</t>
  </si>
  <si>
    <t>JEM960</t>
  </si>
  <si>
    <t>PILED IN SEPTEMBER # 2</t>
  </si>
  <si>
    <t>MAR2499 net kilos of 6,045 - .74%(MC) = 6,000  / PILED IN SEPTEMBER # 2</t>
  </si>
  <si>
    <t>ANA9158</t>
  </si>
  <si>
    <t>MAV 9209</t>
  </si>
  <si>
    <t>RGY775</t>
  </si>
  <si>
    <t>MDC663</t>
  </si>
  <si>
    <t>OCT-25-BLK15</t>
  </si>
  <si>
    <t>D-10C</t>
  </si>
  <si>
    <t>OCT-25-TNK3</t>
  </si>
  <si>
    <t>D-5B</t>
  </si>
  <si>
    <t>OCT-25-BLK17</t>
  </si>
  <si>
    <t>D-15C</t>
  </si>
  <si>
    <t>NET6084</t>
  </si>
  <si>
    <t>NET 6084 net kilos of 17,920 - .74%(MC) = 17,787</t>
  </si>
  <si>
    <t>OCT-25-BLK18</t>
  </si>
  <si>
    <t>D-10B</t>
  </si>
  <si>
    <t>MAR2499 net kilos of 5,415 - .40%(MC) = 5,393 / PILED IN SEPTEMBER # 2</t>
  </si>
  <si>
    <t>RKJ 477</t>
  </si>
  <si>
    <t>OCT-25-BLK20</t>
  </si>
  <si>
    <t>D-13C</t>
  </si>
  <si>
    <t>OCT-25-BLK19</t>
  </si>
  <si>
    <t>C-20B</t>
  </si>
  <si>
    <t>OCT-25-BLK21</t>
  </si>
  <si>
    <t>C-2B</t>
  </si>
  <si>
    <t>KCA 378 net kilos of 18,840 - .34%(MC) = 18,776</t>
  </si>
  <si>
    <t>OCT-25-BLK22</t>
  </si>
  <si>
    <t>D-10A</t>
  </si>
  <si>
    <t>AAV 6111 net kilos of 19,485 - .80%(MC) = 19,329</t>
  </si>
  <si>
    <t>AAV 6111 net kilos of 18,720 - .1.20%(MC) = 19,567</t>
  </si>
  <si>
    <t>MAN3625 net kilos 21,605 - .27%(MC) = 20,988</t>
  </si>
  <si>
    <t>OCT-25-BLK25</t>
  </si>
  <si>
    <t>D-7B</t>
  </si>
  <si>
    <t>OCT-25-BLK26</t>
  </si>
  <si>
    <t>D-9B</t>
  </si>
  <si>
    <t>KCA 378 net kilos of 16,825 - 1.20%(MC) = 16,623</t>
  </si>
  <si>
    <t>OCT-25-BLK27</t>
  </si>
  <si>
    <t>C-20A</t>
  </si>
  <si>
    <t>T138003 net kilos of 20,875 - .14%(MC) = 20,846</t>
  </si>
  <si>
    <t>MDH 772</t>
  </si>
  <si>
    <t>MAT6591</t>
  </si>
  <si>
    <t>ALA 9958 net kilos of 20,630 - .14%(MC) = 20,601 / PILED IN OCTOBER # 20</t>
  </si>
  <si>
    <t>LFL 730 net kilos of 10,670 - .27%(MC) = 10,641 / PILED IN OCTOBER # 8</t>
  </si>
  <si>
    <t>PILED IN OCTOBER # 9</t>
  </si>
  <si>
    <t>NOV-25-BLK2</t>
  </si>
  <si>
    <t>D-9A</t>
  </si>
  <si>
    <t>PILED IN OCTOBER # 25</t>
  </si>
  <si>
    <t>PILED AT TOPMOST OF BLOCK</t>
  </si>
  <si>
    <t>MAN3625 net kilos of 20,965 - 1.60% (MC) = 20,630</t>
  </si>
  <si>
    <t>PILED IN OCTOBER # 27</t>
  </si>
  <si>
    <t>NOV-25-TNK1</t>
  </si>
  <si>
    <t>D-3D</t>
  </si>
  <si>
    <t>CBN 7219</t>
  </si>
  <si>
    <t>NOV-25-BLK3</t>
  </si>
  <si>
    <t>D-8D</t>
  </si>
  <si>
    <t>CAA 4762</t>
  </si>
  <si>
    <t>PILED IN OCTOBER # 19</t>
  </si>
  <si>
    <t>NOV-25-BLK4</t>
  </si>
  <si>
    <t>D-7A</t>
  </si>
  <si>
    <t>NOV-25-BLK6</t>
  </si>
  <si>
    <t>C-9B</t>
  </si>
  <si>
    <t>NOV-25-BLK5</t>
  </si>
  <si>
    <t>D-8C</t>
  </si>
  <si>
    <t>NOV-25-BLK7</t>
  </si>
  <si>
    <t>D-15A</t>
  </si>
  <si>
    <t>NET  6084</t>
  </si>
  <si>
    <t>NET6084 net kilos of 21,190 - 1.20%(MC) = 20,935</t>
  </si>
  <si>
    <t>NOV-25-BLK8</t>
  </si>
  <si>
    <t>D-18D</t>
  </si>
  <si>
    <t>JEM 960 net kilos of 6,040 - 1.80%(MC) = 5,931</t>
  </si>
  <si>
    <t>Lacoto</t>
  </si>
  <si>
    <t>NEV 8612</t>
  </si>
  <si>
    <t>NEV 8612 net kilos 18,205 - 1.87%(MC) = 17,864</t>
  </si>
  <si>
    <t>NOV-25-BLK9</t>
  </si>
  <si>
    <t>D-19D</t>
  </si>
  <si>
    <t>CCK 8714</t>
  </si>
  <si>
    <t>CCK8714 net kilos of 20,615 - 3.74%(MC) = 19,844</t>
  </si>
  <si>
    <t>NET6084 net kilos of 20,530 - 1.07%(MC) = 20,310</t>
  </si>
  <si>
    <t>NOV-25-BLK12</t>
  </si>
  <si>
    <t>D-8B</t>
  </si>
  <si>
    <t>NOV-25-BLK10</t>
  </si>
  <si>
    <t>C-7B</t>
  </si>
  <si>
    <t>MDC 663</t>
  </si>
  <si>
    <t>PILED IN OCTOBER # 2</t>
  </si>
  <si>
    <t>NOV-25-BLK11</t>
  </si>
  <si>
    <t>C-8A</t>
  </si>
  <si>
    <t>CBS 3651</t>
  </si>
  <si>
    <t>CBS 3651 WET KILOS 3,107 -11.14% (MC) = 2,761</t>
  </si>
  <si>
    <t>RKJ477 net kilos of 11,755 - .47%(MC) = 11,700 / PILED IN OCTOBER # 20</t>
  </si>
  <si>
    <t>ALA9958 net kilos  of  20,365 - .34% (MC) = 20,295 /PILED IN OCTOBER # 20</t>
  </si>
  <si>
    <t>NOV-25-BLK13</t>
  </si>
  <si>
    <t>D-8A</t>
  </si>
  <si>
    <t>NOV-25-BLK14</t>
  </si>
  <si>
    <t>C-8B</t>
  </si>
  <si>
    <t>GFE428</t>
  </si>
  <si>
    <t>MDH 272</t>
  </si>
  <si>
    <t>JAO4111</t>
  </si>
  <si>
    <t>JAO4111net kilos of 10,150 - .94%(MC) = 10,055 / PILED IN SEPTMBER # 5</t>
  </si>
  <si>
    <t>PILED IN SEPTMBER # 5</t>
  </si>
  <si>
    <t>MFH 903</t>
  </si>
  <si>
    <t>MAQ2591</t>
  </si>
  <si>
    <t>NET6084 net kilos of 19,150 - 1%(MC) = 18,958</t>
  </si>
  <si>
    <t>PILED IN OCROBER # 17</t>
  </si>
  <si>
    <t>NEV 8612 net kilos OF  Dry 15,802 - 1.80%(MC) = 15,517</t>
  </si>
  <si>
    <t>Tipalan</t>
  </si>
  <si>
    <t>JEM 960 net kilos of 6,050 - 1.74%(MC) = 5,945</t>
  </si>
  <si>
    <t>NOV-25-FEED3</t>
  </si>
  <si>
    <t>FEEDING</t>
  </si>
  <si>
    <t>NOV-25-BLK15</t>
  </si>
  <si>
    <t>C-19A</t>
  </si>
  <si>
    <t>T1230120016</t>
  </si>
  <si>
    <t>YAV462</t>
  </si>
  <si>
    <t>NOV-25-BLK16</t>
  </si>
  <si>
    <t>A-19A</t>
  </si>
  <si>
    <t>CCK6180</t>
  </si>
  <si>
    <t>CCK 6180 net kilos of 13,925-2.54%(MC) = 13,571</t>
  </si>
  <si>
    <t>NOV-25-BLK17</t>
  </si>
  <si>
    <t>D-15B</t>
  </si>
  <si>
    <t>PILED IN NOVEMBER # 14</t>
  </si>
  <si>
    <t>PILED IN NOVEMBER # 16</t>
  </si>
  <si>
    <t>DEC-25-BLK1</t>
  </si>
  <si>
    <t>D-13B</t>
  </si>
  <si>
    <t>ALA9958 net kilos  of  20,600 - .20% (MC) = 20,559</t>
  </si>
  <si>
    <t>RKJ 477 net kilos  of  16,470 - 1.40% (MC) = 16,239</t>
  </si>
  <si>
    <t>LFL 703</t>
  </si>
  <si>
    <t>LFL730 net kilos  of  10,860 - .34% (MC) = 10,823</t>
  </si>
  <si>
    <t>DEC-25-BLK2</t>
  </si>
  <si>
    <t>C-19B</t>
  </si>
  <si>
    <t>Bagiuo</t>
  </si>
  <si>
    <t>JEM 960</t>
  </si>
  <si>
    <t>JEM960 net kilos of 6,300 - 3%(MC) = 6,111 / PILED IN NOVEMBER BLOCK 8</t>
  </si>
  <si>
    <t>DEC-25-BLK3</t>
  </si>
  <si>
    <t>C-10A</t>
  </si>
  <si>
    <t>MV9202</t>
  </si>
  <si>
    <t>MAV9202 net kilos of 9,900 - 3.54%(ASH) = 9,550</t>
  </si>
  <si>
    <t>MAT 6591</t>
  </si>
  <si>
    <t>DEC-25-TNK1</t>
  </si>
  <si>
    <t>D-2D</t>
  </si>
  <si>
    <t>CAC 2732</t>
  </si>
  <si>
    <t>DEC-25-FEED1</t>
  </si>
  <si>
    <t>DEC-25-BLK4</t>
  </si>
  <si>
    <t>D-11D</t>
  </si>
  <si>
    <t>KAL 9366</t>
  </si>
  <si>
    <t>KAL 9366 net kilos of 4,154 - .34%(MC) = 4,140</t>
  </si>
  <si>
    <t>NFD 5679 net kilos 23,205-.60%(MC) = 23,066  / PILED IN OCTOBER # 17</t>
  </si>
  <si>
    <t>DEC-25-BLK5</t>
  </si>
  <si>
    <t>C-18B</t>
  </si>
  <si>
    <t>ANA 9156</t>
  </si>
  <si>
    <t>DEC-25-BLK6</t>
  </si>
  <si>
    <t>A-19B</t>
  </si>
  <si>
    <t>MAN 3625</t>
  </si>
  <si>
    <t>YAV 462</t>
  </si>
  <si>
    <t>NET 6084</t>
  </si>
  <si>
    <t>DEC-25-BLK7</t>
  </si>
  <si>
    <t>A-19C</t>
  </si>
  <si>
    <t>DEC-25-BLK9</t>
  </si>
  <si>
    <t>D-13A</t>
  </si>
  <si>
    <t>ALA9958 net kilos  of  23,510 - .20% (MC) = 23,463</t>
  </si>
  <si>
    <t>RKJ 477 net kilos  of  14,415 - .27% (MC) = 14,376</t>
  </si>
  <si>
    <t>JEM960 net kilos of 5,895 - 1%(MC) = 5,836  / PILED IN NOVEMBER # 8</t>
  </si>
  <si>
    <t>DEC-25-BLK8</t>
  </si>
  <si>
    <t>C-18A</t>
  </si>
  <si>
    <t>NEV 8612 net kilos of 19,385 - 2.07%(MC) = 18,984 / PILED IN NOVEMBER # 9</t>
  </si>
  <si>
    <t>DEC-25-BLK10</t>
  </si>
  <si>
    <t>D-20D</t>
  </si>
  <si>
    <t>DEC-25-BLK11</t>
  </si>
  <si>
    <t>A-18C</t>
  </si>
  <si>
    <t>ALA9958 net kilos  of  24,555 - 4% (MC) = 23,573</t>
  </si>
  <si>
    <t>DEC-25-BLK12</t>
  </si>
  <si>
    <t>C-17A</t>
  </si>
  <si>
    <t>CCN 7397</t>
  </si>
  <si>
    <t>DEC-25-FEED4</t>
  </si>
  <si>
    <t>DEC-25-BLK14</t>
  </si>
  <si>
    <t>D-16A</t>
  </si>
  <si>
    <t>NEV 8612 net kilos of 17,450 - 1.%(MC) = 17,276</t>
  </si>
  <si>
    <t>KDE 457</t>
  </si>
  <si>
    <t>KDE 457 net kilos of 9,910 - 2.20% (MC) = 9,692  / PILED IN NOVEMBER # 9</t>
  </si>
  <si>
    <t>NFD 5679 net kilos 15,580 - 2.07%(MC) = 15,257 / PILED IN NOVEMBER # 17</t>
  </si>
  <si>
    <t>DEC-25-BLK13</t>
  </si>
  <si>
    <t>C-17B</t>
  </si>
  <si>
    <t>DEC-25-FEED5</t>
  </si>
  <si>
    <t>DEC-25-BLK15</t>
  </si>
  <si>
    <t>D-20B</t>
  </si>
  <si>
    <t>MCV 7006</t>
  </si>
  <si>
    <t>MCV7006 net kilos of 28,135 - 8.14(MC) and 1.09%(ASH) total of 9.23% deduction = 25,538</t>
  </si>
  <si>
    <t>JAO 4111</t>
  </si>
  <si>
    <t>NFD 5679 net kilos 21,655 - 2.07%(MC) = 21,207</t>
  </si>
  <si>
    <t>DEC-25-BLK16</t>
  </si>
  <si>
    <t>A-18B</t>
  </si>
  <si>
    <t>DEC-25-FEED6</t>
  </si>
  <si>
    <t>DEC-25-FEED7</t>
  </si>
  <si>
    <t>PILED IN DECEMBER # 16</t>
  </si>
  <si>
    <t>JAN-26-BLK1</t>
  </si>
  <si>
    <t>A-9A</t>
  </si>
  <si>
    <t>JAN-26-BLK2</t>
  </si>
  <si>
    <t>A-18A</t>
  </si>
  <si>
    <t>CAL 7622</t>
  </si>
  <si>
    <t>JAN-26-FEED1</t>
  </si>
  <si>
    <t>MAN3625 net kilos of 22,340 - .67%(MC) = 22,190</t>
  </si>
  <si>
    <t>PILED IN DECEMBER # 4</t>
  </si>
  <si>
    <t>MAR2499 net kilos of 4,920 - 1.87%(MC) = 4,828 / PILE IN NOVEMBER # 8</t>
  </si>
  <si>
    <t>JAN-26-BLK4</t>
  </si>
  <si>
    <t>D-18C</t>
  </si>
  <si>
    <t>NEV 8612 net kilos of 19,295 -496 KILOS of (MC dedeuction) = 18,799</t>
  </si>
  <si>
    <t>JAN-26-SUNDRY2</t>
  </si>
  <si>
    <t>A-3C</t>
  </si>
  <si>
    <t>FINAL SUNDRY WT</t>
  </si>
  <si>
    <t>JAN-26-FEED2</t>
  </si>
  <si>
    <t>JAN-26-BLK3</t>
  </si>
  <si>
    <t>A-9B</t>
  </si>
  <si>
    <t>ANA9156</t>
  </si>
  <si>
    <t>NET 6084 net kilos of 23,565 - 2.07%(MC) = 23,077 / PILED IN NOVEMBER # 17</t>
  </si>
  <si>
    <t>JAN-26-BLK5</t>
  </si>
  <si>
    <t>AAV 6111 net kilos of 19,910 - .20%(MC) = 19,870</t>
  </si>
  <si>
    <t>JAN-26-BLK6</t>
  </si>
  <si>
    <t>Bagiuo/ Tipalan</t>
  </si>
  <si>
    <t>JAN-26-BLK7</t>
  </si>
  <si>
    <t>D-16C</t>
  </si>
  <si>
    <t>JEM 960 net kilos of 5,835 - 5.14%MC (DEDUCTION OF 15 WET SACKS) = 5,803</t>
  </si>
  <si>
    <t>JAN-26-SUNDRY1</t>
  </si>
  <si>
    <t>A-3B</t>
  </si>
  <si>
    <t>JAN-26-FEED3</t>
  </si>
  <si>
    <t>JAN-26-BLK8</t>
  </si>
  <si>
    <t>D-17D</t>
  </si>
  <si>
    <t>NHD 5979 net kilos of 15,610 - 1.80%(MC) = 15,329</t>
  </si>
  <si>
    <t>AAV 6111 net kilos of 19,375 - .80%(MC) = 19,220</t>
  </si>
  <si>
    <t>JAN-26-FEED4</t>
  </si>
  <si>
    <t>KCA 378 net kilos of 17,745- .67 %(MC) =17,626</t>
  </si>
  <si>
    <t>AAV 6111 net kilos of 20,235- .80 %(MC) =20,074</t>
  </si>
  <si>
    <t>ABK 1806</t>
  </si>
  <si>
    <t>Ecito</t>
  </si>
  <si>
    <t>JAN-26-BLK9</t>
  </si>
  <si>
    <t>D-20C</t>
  </si>
  <si>
    <t>ALA 8238</t>
  </si>
  <si>
    <t>ALA 8238 net kilos of 18,990 - 3.27%(MC) = 18,369</t>
  </si>
  <si>
    <t>KCA 378 net kilos of 17,495- .14 %(MC) =17,470</t>
  </si>
  <si>
    <t>JEM 960 net kilos of 6,095 - 4.41%MC (DEDUCTION OF 19 WET SACKS) = 6,050</t>
  </si>
  <si>
    <t>NET 6084 net kilos of 9,620 - 2.47%(MC) = 9,382</t>
  </si>
  <si>
    <t>JAN-26-FEED5</t>
  </si>
  <si>
    <t>JAN-26-BLK10</t>
  </si>
  <si>
    <t>A-9C</t>
  </si>
  <si>
    <t>JAN-26-BLK11</t>
  </si>
  <si>
    <t>ALA 9958 net kilos of 20,505 - .07%(MC) = 20,491</t>
  </si>
  <si>
    <t>JAN-26-BLK12</t>
  </si>
  <si>
    <t>A-17C</t>
  </si>
  <si>
    <t>JAN-26-BLK13</t>
  </si>
  <si>
    <t>D-16B</t>
  </si>
  <si>
    <t>JAO 4111 net kilos of 7,500 - .54%(MC) = 7,459</t>
  </si>
  <si>
    <t>RKX 173</t>
  </si>
  <si>
    <t>RKX 173 net kilos of 10,610 - 10.47%(MC) 176 kilos = 10,434</t>
  </si>
  <si>
    <t>MAT6591  net kilos of 2,885 - .14%(MC) = 2,881</t>
  </si>
  <si>
    <t>MAV 8612</t>
  </si>
  <si>
    <t>NEV 8612 net kilos of 17,120 -2.27% (MC ) = 16,731</t>
  </si>
  <si>
    <t>JAN-26-FEED6</t>
  </si>
  <si>
    <t>JAN-26-BLK14</t>
  </si>
  <si>
    <t>A-8A</t>
  </si>
  <si>
    <t>Layupan - DEC-25-BLK10</t>
  </si>
  <si>
    <t>JAN-26-SUNDRY3</t>
  </si>
  <si>
    <t>A-4A</t>
  </si>
  <si>
    <t>1,891,848 PHP / 35,875 kg = 52.73 php/kg</t>
  </si>
  <si>
    <t>JAN-26-BLK15</t>
  </si>
  <si>
    <t>A-11A</t>
  </si>
  <si>
    <t>AAV 6111 net kilos of 19,190 - .34%(MC) = 19,125</t>
  </si>
  <si>
    <t>KCA 378 net kilos of 18,435- .87 %(MC) =18,275</t>
  </si>
  <si>
    <t>ALA 9958 net kilos of 22,815 - .14%(MC) = 22,783</t>
  </si>
  <si>
    <t>JAN-26-BLK16</t>
  </si>
  <si>
    <t>D-5A</t>
  </si>
  <si>
    <t>LFF 835 net kilos of 12,155 - 5%(ASH) = 11,547</t>
  </si>
  <si>
    <t>JAN-26-BLK18</t>
  </si>
  <si>
    <t>A-8B</t>
  </si>
  <si>
    <t>MAV 9202 net kilos of 21,995 - 1.07%(MC) = 21,760</t>
  </si>
  <si>
    <t>JAN-26-BLK17</t>
  </si>
  <si>
    <t>A-11B</t>
  </si>
  <si>
    <t>AAV 6111 net kilos of 18,280 - .60%(MC) = 18,170</t>
  </si>
  <si>
    <t>JAN-26-FEED7</t>
  </si>
  <si>
    <t>NFD 5679 net kilos of 20,755 - 6%(MC) = 19,510</t>
  </si>
  <si>
    <t>KCA 378 net kilos of 17,795- .20 %(MC) =17,759</t>
  </si>
  <si>
    <t>KAH 7910</t>
  </si>
  <si>
    <t>KAH 7910 net kilos of 1,720 - .67%(MC) = 1,708</t>
  </si>
  <si>
    <t>KAL 9356 net kilos of 4,495 - .94%(MC) = 4,453</t>
  </si>
  <si>
    <t>JAN-26-FEED8</t>
  </si>
  <si>
    <t>lfF 835 net kilos of 12,235 - 3.87%(.87% MC and 3%ASH) = 11,761</t>
  </si>
  <si>
    <t>JAN-26-BLK19</t>
  </si>
  <si>
    <t>A-8C</t>
  </si>
  <si>
    <t>JAN-26-BLK20</t>
  </si>
  <si>
    <t>D-12C</t>
  </si>
  <si>
    <t>NET 6084 net kilos of 22,500 - 5.87%(MC) = 21,179</t>
  </si>
  <si>
    <t>JAN-26-FEED9</t>
  </si>
  <si>
    <t>JAN-26-BLK21</t>
  </si>
  <si>
    <t>A-11C</t>
  </si>
  <si>
    <t>JAN-26-BLK22</t>
  </si>
  <si>
    <t>A-7A</t>
  </si>
  <si>
    <t>LFF 835 net kilos of 11,620 - 1.60%(MC) = 11,434</t>
  </si>
  <si>
    <t>JAN-26-FEED10</t>
  </si>
  <si>
    <t>KCA 378 net kilos of 16,945- .34 %(MC) =16,887 / FEEDING</t>
  </si>
  <si>
    <t>CBN 2194</t>
  </si>
  <si>
    <t>JAN-26-BLK23</t>
  </si>
  <si>
    <t>Layupan - JAN-26-BLK9</t>
  </si>
  <si>
    <t>JAN-26-SUNDRY4</t>
  </si>
  <si>
    <t>A-4C</t>
  </si>
  <si>
    <t>PILED IN JANUARY # 21</t>
  </si>
  <si>
    <t>FEB-26-BLK2</t>
  </si>
  <si>
    <t>D-12B</t>
  </si>
  <si>
    <t>FEB-26-FEED1</t>
  </si>
  <si>
    <t>FEB-26-BLK1</t>
  </si>
  <si>
    <t>A-7B</t>
  </si>
  <si>
    <t>CBN 2192</t>
  </si>
  <si>
    <t>CBQ 5957</t>
  </si>
  <si>
    <t>FEB-26-TNK1</t>
  </si>
  <si>
    <t>FEB-26-BLK3</t>
  </si>
  <si>
    <t>A-1A</t>
  </si>
  <si>
    <t>FEB-26-FEED2</t>
  </si>
  <si>
    <t>FEB-26-BLK4</t>
  </si>
  <si>
    <t>A-7C</t>
  </si>
  <si>
    <t>FEB-26-BLK5</t>
  </si>
  <si>
    <t>C-10B</t>
  </si>
  <si>
    <t>CBQ 5957 net kilos of 21,640 - 1.42%(ASH) = 21,333</t>
  </si>
  <si>
    <t>SUW</t>
  </si>
  <si>
    <t>ALA 8328</t>
  </si>
  <si>
    <t>ALA 8328 net kilos of  18,010 - .80% (MC) = 17,866  / PILED IN JANUARY # 7</t>
  </si>
  <si>
    <t>FEB-26-BLK6</t>
  </si>
  <si>
    <t>A-6A</t>
  </si>
  <si>
    <t>FEB-26-FEED3</t>
  </si>
  <si>
    <t>FEB-26-BLK7</t>
  </si>
  <si>
    <t>NET 6084 net kilos of 18,780 - 5.07%(MC) = 17,828</t>
  </si>
  <si>
    <t>FEB-26-BLK8</t>
  </si>
  <si>
    <t>A-1B</t>
  </si>
  <si>
    <t>JAO 4111 net kilos of 9,595 - .14%(MC) = 9,582</t>
  </si>
  <si>
    <t>Esito - NOV-25-BLK9</t>
  </si>
  <si>
    <t>JAN-26-SUNDRY5</t>
  </si>
  <si>
    <t>FEB-26-BLK10</t>
  </si>
  <si>
    <t>FEB-26-BLK9</t>
  </si>
  <si>
    <t>A-6B</t>
  </si>
  <si>
    <t>FEB-26-TNK2</t>
  </si>
  <si>
    <t>FEB-26-FEED4</t>
  </si>
  <si>
    <t>FEB-26-BLK12</t>
  </si>
  <si>
    <t>A-6C</t>
  </si>
  <si>
    <t>FEB-26-FEED5</t>
  </si>
  <si>
    <t>FEB-26-BLK11</t>
  </si>
  <si>
    <t>A-2A</t>
  </si>
  <si>
    <t>FEB-26-FEED6</t>
  </si>
  <si>
    <t>FEB-26-BLK13</t>
  </si>
  <si>
    <t>T138003 net kilos of 19,710 - .87%(MC) = 19,538</t>
  </si>
  <si>
    <t>RECOOK(Lapayag,Bernie)</t>
  </si>
  <si>
    <t>FEB-26-RECOOKED1</t>
  </si>
  <si>
    <t>GGN 249</t>
  </si>
  <si>
    <t>Bagiu/Tipalan</t>
  </si>
  <si>
    <t>PILED IN JANUARY # 11</t>
  </si>
  <si>
    <t>Layupan - FEB-26-BLK7</t>
  </si>
  <si>
    <t>JAN-26-SUNDRY6</t>
  </si>
  <si>
    <t>PCA-16A</t>
  </si>
  <si>
    <t>FEB-26-BLK14</t>
  </si>
  <si>
    <t>MAN2499</t>
  </si>
  <si>
    <t>CBN2192 net kilos of 11,090 - .48%(ASH) = 11,037</t>
  </si>
  <si>
    <t>Nazarino</t>
  </si>
  <si>
    <t>FEB-26-BLK15</t>
  </si>
  <si>
    <t>RKX 173 net kilos of 12,160 - 2.20%(MC) = 11,892</t>
  </si>
  <si>
    <t>Lacoto - JAN-26-BLK4</t>
  </si>
  <si>
    <t>JAN-26-SUNDRY7</t>
  </si>
  <si>
    <t>PCA-16B</t>
  </si>
  <si>
    <t>LAJ7320</t>
  </si>
  <si>
    <t>LAJ 7320 net kilos of 2,825 - 1.94%(MC) = 2,770</t>
  </si>
  <si>
    <t>FEB-26-BLK16</t>
  </si>
  <si>
    <t>A-2B</t>
  </si>
  <si>
    <t>FEB-26-FEED7</t>
  </si>
  <si>
    <t>FEB-26-BLK17</t>
  </si>
  <si>
    <t>CBN2192 net kilos of 10,945 - 1.60%(MC) &amp; 2.88%(ASH) = 10,455</t>
  </si>
  <si>
    <t>FEB-26-BLK18</t>
  </si>
  <si>
    <t>MAQ 3456</t>
  </si>
  <si>
    <t>MAQ 3456 net kilos   22,795  - 395 (MC) and 7,044 (ash) = 21,696</t>
  </si>
  <si>
    <t>ALA 9425</t>
  </si>
  <si>
    <t xml:space="preserve">ALA 9425 net kilos of  29,665 - 1.87% (ASH) = 29,110
 </t>
  </si>
  <si>
    <t>FEB-26-FEED8</t>
  </si>
  <si>
    <t>FEB-26-BLK19</t>
  </si>
  <si>
    <t>NET 6084 net kilos of 15,435 - 3.07%(MC) = 14,961</t>
  </si>
  <si>
    <t>FEB-26-FEED9</t>
  </si>
  <si>
    <t>PILED IN JANUARY # 16</t>
  </si>
  <si>
    <t>FEB-26-BLK20</t>
  </si>
  <si>
    <t>D-4D</t>
  </si>
  <si>
    <t>CBQ 5957 net kilos of 21,020 - .06%(ASH) = 21,007</t>
  </si>
  <si>
    <t>CBS 8752</t>
  </si>
  <si>
    <t>CBS 8752 net kilos of 24,520 - 1.80%(MC of 503 sack and 5.60% of 72 sacks ) = 23,962</t>
  </si>
  <si>
    <t>FEB-26-FEED10</t>
  </si>
  <si>
    <t xml:space="preserve">KCA 378 net kilos of  19,595  - .34%(MC) =  19,528
 </t>
  </si>
  <si>
    <t xml:space="preserve">ALA 9425 net kilos of  31,790 - 2.09% (ASH) and  .54% (MC) = 30,954
 </t>
  </si>
  <si>
    <t>FEB-26-BLK21</t>
  </si>
  <si>
    <t>C-16A</t>
  </si>
  <si>
    <t>FEB-26-BLK23</t>
  </si>
  <si>
    <t>C-16B</t>
  </si>
  <si>
    <t>FEB-26-BLK24</t>
  </si>
  <si>
    <t>D-4C</t>
  </si>
  <si>
    <t>ALA 9425 net kilos of  34,020 - 2.86% (ASH) and  1.74% (MC) = 32,455</t>
  </si>
  <si>
    <t>FEB-26-BLK22</t>
  </si>
  <si>
    <t>A-1C</t>
  </si>
  <si>
    <t>ALA 8328 net kilos of  17,670 - 5% (MC) = 16,786</t>
  </si>
  <si>
    <t>FEB-26-FEED11</t>
  </si>
  <si>
    <t>MAT 1744</t>
  </si>
  <si>
    <t>MAT 1744 net kilos of 23,750 - .66%(ASH) = 23,593</t>
  </si>
  <si>
    <t>FEB-26-BLK25</t>
  </si>
  <si>
    <t>D-20A</t>
  </si>
  <si>
    <t>NET 6084 net kilos of 14,020 - 3.14%(MC) = 13,580</t>
  </si>
  <si>
    <t>FEB-26-BLK26</t>
  </si>
  <si>
    <t>C-9A</t>
  </si>
  <si>
    <t>LFF 835 net kilos of 13,115 - .80%(MC) = 13,010</t>
  </si>
  <si>
    <t>lfF 835 net kilos of 13,790 - .60%(MC) and 1.36% (ASH)  = 13,520</t>
  </si>
  <si>
    <t>FEB-26-BLK27</t>
  </si>
  <si>
    <t>FEB-26-BLK28</t>
  </si>
  <si>
    <t>D-11C</t>
  </si>
  <si>
    <t>LFF 835 net kilos of 13,920 - 2.81%(ASH) = 13,529</t>
  </si>
  <si>
    <t>MARCH-26-BLK1</t>
  </si>
  <si>
    <t>CBN 2192 net kilos of 11,535 - .13%(ASH) = 11,520</t>
  </si>
  <si>
    <t>MARCH-26-FEED1</t>
  </si>
  <si>
    <t>NAZARINO - FEB-26-BLK15</t>
  </si>
  <si>
    <t>MARCH-26-SUNDRY1</t>
  </si>
  <si>
    <t>PCA-17B</t>
  </si>
  <si>
    <t>IN A-17A PC SIDE</t>
  </si>
  <si>
    <t>LAYUPAN - FEB-26-BLK19</t>
  </si>
  <si>
    <t>MARCH-26-SUNDRY2</t>
  </si>
  <si>
    <t>PCA-17A</t>
  </si>
  <si>
    <t>PILED IN FEBRUARY # 28</t>
  </si>
  <si>
    <t>FEB-26-BLK29</t>
  </si>
  <si>
    <t>A-2C</t>
  </si>
  <si>
    <t>PILED IN FEBRUARY # 29</t>
  </si>
  <si>
    <t>MAK 2499</t>
  </si>
  <si>
    <t>MAK net kilos of 5,630 - .07%(ASH) = 5,626 / PILED IN FEBRUARY # 28</t>
  </si>
  <si>
    <t>MARCH-26-FEED2</t>
  </si>
  <si>
    <t>MARCH-26-BLK2</t>
  </si>
  <si>
    <t>NFD 5679 net kilos 13,065 - 3.07%(MC) = 12,664 FOR SUNDRIED</t>
  </si>
  <si>
    <t>MARCH-26-BLK3</t>
  </si>
  <si>
    <t>MARCH-26-BLK4</t>
  </si>
  <si>
    <t>ALA 9958 net kilos of 23,785 - .74%(MC) = 23,609 / PILED IN FEBRUARY # 28</t>
  </si>
  <si>
    <t>MARCH-26-BLK5</t>
  </si>
  <si>
    <t>D-11B</t>
  </si>
  <si>
    <t>MARCH-26-BLK6</t>
  </si>
  <si>
    <t>MAV 9202 net kilos of 21,615 - 3.51%(ASH) = 20,856</t>
  </si>
  <si>
    <t>MBF 2893</t>
  </si>
  <si>
    <t>MARCH-26-BLK7</t>
  </si>
  <si>
    <t>NET 6084 net kilos of 9,635 - 3.60%(MC) = 9,288</t>
  </si>
  <si>
    <t>MARCH-26-FEED3</t>
  </si>
  <si>
    <t>FEB-26-BLK30</t>
  </si>
  <si>
    <t>D-4B</t>
  </si>
  <si>
    <t>ALA 9428</t>
  </si>
  <si>
    <t>ALA 9425 net kilos of 30,050 - 2.78%(ASH) = 29,215 / PILED IN FEBRUARY # 30</t>
  </si>
  <si>
    <t>KBG 190</t>
  </si>
  <si>
    <t>KAJ 4082</t>
  </si>
  <si>
    <t>CBQ 5957 net kilos of 21,780 - .79%(ASH) = 21, 608 / PILED IN JANUARY # 23</t>
  </si>
  <si>
    <t>MARCH-26-FEED4</t>
  </si>
  <si>
    <t>MARCH-26-FEED5</t>
  </si>
  <si>
    <t>JAO 4111 net kilos of 9,430 - 1%(MC) = 9,336</t>
  </si>
  <si>
    <t>MARCH-26-BLK8</t>
  </si>
  <si>
    <t>C-6B</t>
  </si>
  <si>
    <t>MBE 9116</t>
  </si>
  <si>
    <t>MARCH-26-BLK9</t>
  </si>
  <si>
    <t>C-6A</t>
  </si>
  <si>
    <t>LFF 835 net kilos of 11,745 - 1.72%(ASH) = 11,543</t>
  </si>
  <si>
    <t>Layupan - FEB-26-BLK25</t>
  </si>
  <si>
    <t>MARCH-26-SUNDRY3</t>
  </si>
  <si>
    <t>PCA-17C</t>
  </si>
  <si>
    <t>A-17A NEAR PATHWAY</t>
  </si>
  <si>
    <t>Sevilla - NOV-24-BLK10</t>
  </si>
  <si>
    <t>MARCH-26-SUNDRY4</t>
  </si>
  <si>
    <t>PCA-16C</t>
  </si>
  <si>
    <t>A-16A NEAR PATHWAY</t>
  </si>
  <si>
    <t>Layupan - MARCH-26-BLK2</t>
  </si>
  <si>
    <t>MARCH-26-SUNDRY5</t>
  </si>
  <si>
    <t>PCA-15A</t>
  </si>
  <si>
    <t>A-15A NEAR PATHWAY</t>
  </si>
  <si>
    <t>Layupan - MARCH-26-BLK7</t>
  </si>
  <si>
    <t>MARCH-26-SUNDRY7</t>
  </si>
  <si>
    <t>PCA-15C</t>
  </si>
  <si>
    <t>A-15A MIDDLE</t>
  </si>
  <si>
    <t>LFF 835 net kilos of 13,490 - 1.84%(ASH) = 13,242 / PILED IN JANUARY # 23</t>
  </si>
  <si>
    <t>MARCH-26-BLK10</t>
  </si>
  <si>
    <t>MARCH-26-BLK11</t>
  </si>
  <si>
    <t>ALA 8328 net kilos of 22,135 - 4.07%(MC) = 21,234</t>
  </si>
  <si>
    <t>MARCH-26-BLK12</t>
  </si>
  <si>
    <t>NFD 5679 net kilos 16,650 - 4.74%(MC) = 15,861</t>
  </si>
  <si>
    <t>MBK 7367</t>
  </si>
  <si>
    <t>MBK 7367 net kilos 1,310 - .60%(ASH) = 1,302</t>
  </si>
  <si>
    <t>MARCH-26-BLK13</t>
  </si>
  <si>
    <t>MARCH-26-FEED6</t>
  </si>
  <si>
    <t>PILED IN SEPTEMBER # 7</t>
  </si>
  <si>
    <t>PILED IN FEBRUARY # 17</t>
  </si>
  <si>
    <t>MARCH-26-BLK14</t>
  </si>
  <si>
    <t>LFF 835 net kilos of 13,095 - 2.34%(ASH) and 8.97% (ASH) = 11,614</t>
  </si>
  <si>
    <t>CBN 2192 net kilos of 12,540 - .81%(ASH) = 12,438 / PILED IN AUGUST # 10</t>
  </si>
  <si>
    <t>CCK 3698</t>
  </si>
  <si>
    <t>LFF 835 net kilos of 13,620 - 1.60%(MC) and 3.38% (ASH) = 12,942</t>
  </si>
  <si>
    <t>RE-FEED</t>
  </si>
  <si>
    <t>MARCH-26-REFEED1</t>
  </si>
  <si>
    <t>FROM RC TANK HABWA DURING FEB EOM</t>
  </si>
  <si>
    <t>MARCH-26-BLK15</t>
  </si>
  <si>
    <t>KBF 3048</t>
  </si>
  <si>
    <t>KCA 378 NET KILOS OF 21,600 - .80%(mc) and 2.56%(ASH) = 20,874</t>
  </si>
  <si>
    <t>MAN 4531</t>
  </si>
  <si>
    <t>PILED IN AUGUST  # 4</t>
  </si>
  <si>
    <t>NFD 5679 net kilos 19,120 - 5.80%(MC) = 18,011 FOR SUNDRIED</t>
  </si>
  <si>
    <t>Layupan - MARCH-26-BLK12</t>
  </si>
  <si>
    <t>MARCH-26-SUNDRY6</t>
  </si>
  <si>
    <t>PCA-15B</t>
  </si>
  <si>
    <t>MARCH-26-FEED7</t>
  </si>
  <si>
    <t>Baguio</t>
  </si>
  <si>
    <t>MARCH-26-BLK16</t>
  </si>
  <si>
    <t>D-11A</t>
  </si>
  <si>
    <t>JBG 1471</t>
  </si>
  <si>
    <t>GEM 690</t>
  </si>
  <si>
    <t>LFF 835 net kilos of 11,260 - .30%(ASH) = 11,226</t>
  </si>
  <si>
    <t>KBA 6541</t>
  </si>
  <si>
    <t>MARCH-26-BLK17</t>
  </si>
  <si>
    <t>A-5A</t>
  </si>
  <si>
    <t>MARCH-26-BLK18</t>
  </si>
  <si>
    <t>NET 6084 net kilos of 11,560 - 3.60%(MC) = 11,144</t>
  </si>
  <si>
    <t>MAR 2499</t>
  </si>
  <si>
    <t>MARCH-26-FEED8</t>
  </si>
  <si>
    <t>MARCH-26-BLK19</t>
  </si>
  <si>
    <t>D-12A</t>
  </si>
  <si>
    <t>MARCH-26-BLK21</t>
  </si>
  <si>
    <t>D-3C</t>
  </si>
  <si>
    <t>MAO 3456</t>
  </si>
  <si>
    <t>MARCH-26-BLK20</t>
  </si>
  <si>
    <t>CAJ 1133</t>
  </si>
  <si>
    <t>MARCH-26-BLK22</t>
  </si>
  <si>
    <t>D-2C</t>
  </si>
  <si>
    <t>MARCH-26-BLK23</t>
  </si>
  <si>
    <t>RJH 739</t>
  </si>
  <si>
    <t>RJH 739 net kilos of 2,440 - 4.07%(MC) = 2,341</t>
  </si>
  <si>
    <t>Layupan - MARCH-26-BLK18</t>
  </si>
  <si>
    <t>MARCH-26-SUNDRY8</t>
  </si>
  <si>
    <t>PCB-15B</t>
  </si>
  <si>
    <t>MARCH-26-BLK24</t>
  </si>
  <si>
    <t>A-4B</t>
  </si>
  <si>
    <t>MARCH-26-FEED9</t>
  </si>
  <si>
    <t>Paquibot - MARCH-26-BLK11</t>
  </si>
  <si>
    <t>MARCH-26-SUNDRY9</t>
  </si>
  <si>
    <t>PCB-16B</t>
  </si>
  <si>
    <t>MARCH-26-BLK25</t>
  </si>
  <si>
    <t>D-3B</t>
  </si>
  <si>
    <t>MARCH-26-FEED10</t>
  </si>
  <si>
    <t>MARCH-26-BLK26</t>
  </si>
  <si>
    <t>A-5B</t>
  </si>
  <si>
    <t>MARCH-26-BLK27</t>
  </si>
  <si>
    <t>D-2B</t>
  </si>
  <si>
    <t>NDI 6147</t>
  </si>
  <si>
    <t>Sevilla - NOV-24-BLK5</t>
  </si>
  <si>
    <t>APRIL-26-SUNDRY1</t>
  </si>
  <si>
    <t>PCB-16A</t>
  </si>
  <si>
    <t>PILED IN MARCH #25</t>
  </si>
  <si>
    <t>APRIL-26-BLK1</t>
  </si>
  <si>
    <t>D-4A</t>
  </si>
  <si>
    <t>APRIL-26-FEED1</t>
  </si>
  <si>
    <t>PILED IN MARCH #24</t>
  </si>
  <si>
    <t>APRIL-26-FEED2</t>
  </si>
  <si>
    <t>APRIL-26-BLK2</t>
  </si>
  <si>
    <t>D-3A</t>
  </si>
  <si>
    <t>PILED IN MARCH #27</t>
  </si>
  <si>
    <t>APRIL-26-BLK3</t>
  </si>
  <si>
    <t>CBB 6607</t>
  </si>
  <si>
    <t>PILED IN MARCH #26</t>
  </si>
  <si>
    <t>APRIL-26-FEED3</t>
  </si>
  <si>
    <t>APRIL-26-BLK4</t>
  </si>
  <si>
    <t>D-2A</t>
  </si>
  <si>
    <t>APRIL-26-FEED4</t>
  </si>
  <si>
    <t>Sevilla - NOV-24-BLK3</t>
  </si>
  <si>
    <t>APRIL-26-SUNDRY2</t>
  </si>
  <si>
    <t>PILED IN MARCH #16</t>
  </si>
  <si>
    <t>APRIL-26-BLK5</t>
  </si>
  <si>
    <t>CBQ 5957 net kilos of 18,940 - .79%(ASH) = 18,790</t>
  </si>
  <si>
    <t>APRIL-26-BLK6</t>
  </si>
  <si>
    <t>APRIL-26-FEED5</t>
  </si>
  <si>
    <t>Layupan - JAN-26-BLK8</t>
  </si>
  <si>
    <t>APRIL-26-SUNDRY3</t>
  </si>
  <si>
    <t>APRIL-26-FEED6</t>
  </si>
  <si>
    <t>APRIL-26-BLK7</t>
  </si>
  <si>
    <t>APRIL-26-BLK8</t>
  </si>
  <si>
    <t>APRIL-26-FEED7</t>
  </si>
  <si>
    <t>APRIL-26-BLK9</t>
  </si>
  <si>
    <t>PILED IN APRIL # 9</t>
  </si>
  <si>
    <t>MAY-26-BLK1</t>
  </si>
  <si>
    <t>PILED IN APRIL # 7</t>
  </si>
  <si>
    <t>PILED IN APRIL # 8</t>
  </si>
  <si>
    <t>MAY-26-BLK2</t>
  </si>
  <si>
    <t>CCB 8802</t>
  </si>
  <si>
    <t>CBQ 3534</t>
  </si>
  <si>
    <t>MAY-26-FEED1</t>
  </si>
  <si>
    <t>AAV 611</t>
  </si>
  <si>
    <t>CBN 3200 net kilos of  23,380  -  2.94%(ASAH) =  22,693 / PILED IN APRIL # 3</t>
  </si>
  <si>
    <t>MAY-26-BLK3</t>
  </si>
  <si>
    <t>ALA 9425 net kilos of 33,950 - 1.88%(ASH) = 33,312</t>
  </si>
  <si>
    <t>MAY-26-BLK5</t>
  </si>
  <si>
    <t>D-17C</t>
  </si>
  <si>
    <t>MAY-26-BLK4</t>
  </si>
  <si>
    <t>MAY-26-BLK6</t>
  </si>
  <si>
    <t>CCK 9235</t>
  </si>
  <si>
    <t>MAY-26-FEED2</t>
  </si>
  <si>
    <t>MAY-26-FEED3</t>
  </si>
  <si>
    <t>MAY-26-FEED4</t>
  </si>
  <si>
    <t>NAM 5711</t>
  </si>
  <si>
    <t>MAY-26-FEED5</t>
  </si>
  <si>
    <t>MAY-26-BLK7</t>
  </si>
  <si>
    <t>D-17B</t>
  </si>
  <si>
    <t>MAY-26-BLK8</t>
  </si>
  <si>
    <t>MAY-26-BLK10</t>
  </si>
  <si>
    <t>MAY-26-BLK9</t>
  </si>
  <si>
    <t>D-17A</t>
  </si>
  <si>
    <t>MAY-26-BLK11</t>
  </si>
  <si>
    <t>MAA 8585</t>
  </si>
  <si>
    <t>MAA 8585 net kilos of 30,330 - 4.70%(ASH) = 28,905</t>
  </si>
  <si>
    <t>MAY-26-BLK12</t>
  </si>
  <si>
    <t>MAY-26-FEED6</t>
  </si>
  <si>
    <t>MAY-26-BLK13</t>
  </si>
  <si>
    <t>PILED IN APRIL #9</t>
  </si>
  <si>
    <t>JUNE-26-BLK3</t>
  </si>
  <si>
    <t>PILED IN MAY #1</t>
  </si>
  <si>
    <t>JUNE-26-BLK1</t>
  </si>
  <si>
    <t>JUNE-26-BLK2</t>
  </si>
  <si>
    <t>JUNE-26-FEED1</t>
  </si>
  <si>
    <t>JUNE-26-FEED2</t>
  </si>
  <si>
    <t>PILED IN MAY #13</t>
  </si>
  <si>
    <t>JUNE-26-BLK4</t>
  </si>
  <si>
    <t>JUNE-26-FEED3</t>
  </si>
  <si>
    <t>JUNE-26-BLK5</t>
  </si>
  <si>
    <t>D-18B</t>
  </si>
  <si>
    <t>RDT 603</t>
  </si>
  <si>
    <t>JUNE-26-FEED4</t>
  </si>
  <si>
    <t>JUNE-26-FEED5</t>
  </si>
  <si>
    <t>JUNE-26-BLK6</t>
  </si>
  <si>
    <t>CBG 6560</t>
  </si>
  <si>
    <t>CBJ net kilos of    19,855    -  5.86%  (ASH)  =  18,692 - 1,009 (18 sacks net wet)   = 17, 683</t>
  </si>
  <si>
    <t>CBJ net kilos of    1,009    -     4.87%  (MC)  =  960</t>
  </si>
  <si>
    <t>CAJ net kilos of    28,475    -  3.75%  (ASH)  =  27,408 - 1,702 (31 sacks net wet)   = 25, 706</t>
  </si>
  <si>
    <t>CAJ net kilos of    1,702    -     4.07%  (MC)  =  1,633</t>
  </si>
  <si>
    <t>JUNE-26-BLK7</t>
  </si>
  <si>
    <t>D-18A</t>
  </si>
  <si>
    <t>JUNE-26-FEED6</t>
  </si>
  <si>
    <t>KCA 378 NET KILOS OF 17,710 - 1.14%(mc) = 17,508</t>
  </si>
  <si>
    <t>JUNE-26-BLK8</t>
  </si>
  <si>
    <t>JUNE-26-BLK9</t>
  </si>
  <si>
    <t>AAV 6111 net kilos of 18,055 - .40%(MC) = 17,983</t>
  </si>
  <si>
    <t>JUNE-26-BLK10</t>
  </si>
  <si>
    <t>D-19C</t>
  </si>
  <si>
    <t>JUNE-26-FEED7</t>
  </si>
  <si>
    <t>PILED IN JUNE # 10</t>
  </si>
  <si>
    <t>JULY-26-BLK1</t>
  </si>
  <si>
    <t>D-19B</t>
  </si>
  <si>
    <t>MAN 3625 net kilos of 21,980 - .87% = 21,789 / PILED IN JUNE BLOCK 9</t>
  </si>
  <si>
    <t>JULY-26-BLK2</t>
  </si>
  <si>
    <t>ALA 3958</t>
  </si>
  <si>
    <t>PILED IN JUNE # 9</t>
  </si>
  <si>
    <t>BATCH</t>
  </si>
  <si>
    <t>PLANT/ETC</t>
  </si>
  <si>
    <t>MC WTD</t>
  </si>
  <si>
    <t>DAY</t>
  </si>
  <si>
    <t>WTD MC OF DAY</t>
  </si>
  <si>
    <t>TTL KG OUT OF DAY</t>
  </si>
  <si>
    <t>AUG-23-TNK2</t>
  </si>
  <si>
    <t>MAIN</t>
  </si>
  <si>
    <t>BACKLOG</t>
  </si>
  <si>
    <t>AUG-22-BLK11</t>
  </si>
  <si>
    <t>MAR-21-BLK5</t>
  </si>
  <si>
    <t>RECOOKED</t>
  </si>
  <si>
    <t>MAR-21-BLK1</t>
  </si>
  <si>
    <t>AUG-22-BLK10</t>
  </si>
  <si>
    <t>AUG-23-TNK1</t>
  </si>
  <si>
    <t>JAN-21-BLK4</t>
  </si>
  <si>
    <t>AUG-22-BLK9</t>
  </si>
  <si>
    <t>MAR-22-BLK15</t>
  </si>
  <si>
    <t>AUG-22-BLK8</t>
  </si>
  <si>
    <t>OCT-23-TNK2</t>
  </si>
  <si>
    <t>MAR-22-BLK4</t>
  </si>
  <si>
    <t>AUG-22-BLK7</t>
  </si>
  <si>
    <t>APR-22-BLK3</t>
  </si>
  <si>
    <t>OCT-23-TNK1</t>
  </si>
  <si>
    <t>AUG-22-BLK6</t>
  </si>
  <si>
    <t>MAR-22-BLK7</t>
  </si>
  <si>
    <t>AUG-22-BLK5</t>
  </si>
  <si>
    <t>SEPT-23-TNK1</t>
  </si>
  <si>
    <t>NOV-22-BLK3</t>
  </si>
  <si>
    <t>NOV-22-BLK1</t>
  </si>
  <si>
    <t>AUG-22-BLK4</t>
  </si>
  <si>
    <t>DEC-23-TNK1</t>
  </si>
  <si>
    <t>AUG-22-BLK3</t>
  </si>
  <si>
    <t>NOV-22-BLK2</t>
  </si>
  <si>
    <t>AUG-22-BLK2</t>
  </si>
  <si>
    <t>NOV-23-TNK1</t>
  </si>
  <si>
    <t>DEC-22-BLK1</t>
  </si>
  <si>
    <t>JULY-22-BLK4</t>
  </si>
  <si>
    <t>NOV-22-BLK7</t>
  </si>
  <si>
    <t>JUNE-22-BLK12</t>
  </si>
  <si>
    <t>FEB-24-TNK1</t>
  </si>
  <si>
    <t>JULY-22-BLK7</t>
  </si>
  <si>
    <t>DEC-20-BLK7</t>
  </si>
  <si>
    <t>JULY-22-BLK6</t>
  </si>
  <si>
    <t>JUNE-20-BLK9</t>
  </si>
  <si>
    <t>JULY-22-BLK1</t>
  </si>
  <si>
    <t>JUNE-20-BLK8</t>
  </si>
  <si>
    <t>FEED</t>
  </si>
  <si>
    <t>DEC-23-BLK3</t>
  </si>
  <si>
    <t>CLOSED</t>
  </si>
  <si>
    <t>JAN-24-TNK1</t>
  </si>
  <si>
    <t>DEC-23-TNK2</t>
  </si>
  <si>
    <t>MAY-22-BLK13</t>
  </si>
  <si>
    <t>FEED-PAQUIBOT</t>
  </si>
  <si>
    <t>MAY-22-BLK12</t>
  </si>
  <si>
    <t>MAY-22-BLK8</t>
  </si>
  <si>
    <t>MAY-22-BLK4</t>
  </si>
  <si>
    <t>APR-22-BLK1</t>
  </si>
  <si>
    <t>JULY-22-BLK3</t>
  </si>
  <si>
    <t>FEB-24-BLK4</t>
  </si>
  <si>
    <t>JAN-24-BLK3</t>
  </si>
  <si>
    <t>APR-24-TNK1</t>
  </si>
  <si>
    <t>MAR-24-TNK2</t>
  </si>
  <si>
    <t>MAR-24-TNK1</t>
  </si>
  <si>
    <t>MAY-24-TNK2</t>
  </si>
  <si>
    <t>MAY-24-TNK1</t>
  </si>
  <si>
    <t>OCT-22-BLK1</t>
  </si>
  <si>
    <t>JUL22-BLK3</t>
  </si>
  <si>
    <t>JULY-22-BLK13</t>
  </si>
  <si>
    <t>OCT-22-BLK2</t>
  </si>
  <si>
    <t>OCT-22-BLK8</t>
  </si>
  <si>
    <t>DEC-20-BLK3</t>
  </si>
  <si>
    <t>MAY-24-BLK1</t>
  </si>
  <si>
    <t>APR-24-TNK2</t>
  </si>
  <si>
    <t>APR-24-TNK3</t>
  </si>
  <si>
    <t>OCT-22-BLK5</t>
  </si>
  <si>
    <t>OCT-22-BLK6</t>
  </si>
  <si>
    <t>OCT-22-BLK9</t>
  </si>
  <si>
    <t>JUNE-24-BLK1</t>
  </si>
  <si>
    <t>NOV-20-BLK6</t>
  </si>
  <si>
    <t>APR-24-TNK4</t>
  </si>
  <si>
    <t>MAR-23-BLK4</t>
  </si>
  <si>
    <t>JULY-24-TNK1</t>
  </si>
  <si>
    <t>FEB-23-BLK6</t>
  </si>
  <si>
    <t>OPEN</t>
  </si>
  <si>
    <t>JAN-23-BLK8</t>
  </si>
  <si>
    <t>MAR-23-BLK1</t>
  </si>
  <si>
    <t>APR-23-BLK1</t>
  </si>
  <si>
    <t>FEB-23-BLK1</t>
  </si>
  <si>
    <t>FEB-23-BLK3</t>
  </si>
  <si>
    <t>MAR-23-BLK3</t>
  </si>
  <si>
    <t>APR-23-BLK2</t>
  </si>
  <si>
    <t>MAR-23-BLK2</t>
  </si>
  <si>
    <t>MAR-23-BLK5</t>
  </si>
  <si>
    <t>SEPT-20-BLK6</t>
  </si>
  <si>
    <t>AUG-24-TNK3</t>
  </si>
  <si>
    <t>AUG-24-TNK2</t>
  </si>
  <si>
    <t>AUG-24-TNK4</t>
  </si>
  <si>
    <t>AUG-24-TNK1</t>
  </si>
  <si>
    <t>JULY-24-TNK3</t>
  </si>
  <si>
    <t>JULY-24-TNK2</t>
  </si>
  <si>
    <t>JAN-23-BLK7</t>
  </si>
  <si>
    <t>APR-22-BLK4</t>
  </si>
  <si>
    <t>JULY-22-BLK10</t>
  </si>
  <si>
    <t>SEPT-20-BLK2</t>
  </si>
  <si>
    <t>AUG-20-BLK7</t>
  </si>
  <si>
    <t>SEPT-24-TNK1</t>
  </si>
  <si>
    <t>NOV-22-BLK5</t>
  </si>
  <si>
    <t>AUG-20-BLK4</t>
  </si>
  <si>
    <t>SEPT-24-TNK2</t>
  </si>
  <si>
    <t>AUG-20-BLK1</t>
  </si>
  <si>
    <t>JULY-20-BLK12</t>
  </si>
  <si>
    <t>SEPT-24-TNK3</t>
  </si>
  <si>
    <t>JULY-20-BLK10</t>
  </si>
  <si>
    <t>JULY-20-BLK7</t>
  </si>
  <si>
    <t>OCTOBER</t>
  </si>
  <si>
    <t>BLENDING</t>
  </si>
  <si>
    <t>8X50 / 6X50 &amp; 9X50 FEED TO RS5</t>
  </si>
  <si>
    <t>SEPT-24-TNK4</t>
  </si>
  <si>
    <t>JULY-20-BLK3</t>
  </si>
  <si>
    <t>SEPT-24-TNK5</t>
  </si>
  <si>
    <t>APR-23-BLK4</t>
  </si>
  <si>
    <t>MAY-22-BLK9</t>
  </si>
  <si>
    <t>APR-23-BLK3</t>
  </si>
  <si>
    <t>AUG-24-BLK5</t>
  </si>
  <si>
    <t>MAY-23-BLK1</t>
  </si>
  <si>
    <t>APR-23-BLK5</t>
  </si>
  <si>
    <t>OCT-24-TNK1</t>
  </si>
  <si>
    <t>JULY-24-BLK2</t>
  </si>
  <si>
    <t>FEB-23-BLK5</t>
  </si>
  <si>
    <t>MAY-23-BLK3</t>
  </si>
  <si>
    <t>DEC-23-BLK1</t>
  </si>
  <si>
    <t>NOVEMBER</t>
  </si>
  <si>
    <t>NOV-23-BLK3</t>
  </si>
  <si>
    <t>NOV-23-BLK4</t>
  </si>
  <si>
    <t>NOV-23-BLK2</t>
  </si>
  <si>
    <t>MAY-23-BLK2</t>
  </si>
  <si>
    <t>JANUARY</t>
  </si>
  <si>
    <t>MAY-23-BLK5</t>
  </si>
  <si>
    <t>NOV-24-TNK1</t>
  </si>
  <si>
    <t>OCT-24-BLK6</t>
  </si>
  <si>
    <t>OCT-24-BLK2</t>
  </si>
  <si>
    <t>SEPT-24-BLK2</t>
  </si>
  <si>
    <t>NOV-24-BLK4</t>
  </si>
  <si>
    <t>MAY-23-BLK4</t>
  </si>
  <si>
    <t>NOV-24-BLK2</t>
  </si>
  <si>
    <t>NOV-24-TNK2</t>
  </si>
  <si>
    <t>MAY-24-BLK3</t>
  </si>
  <si>
    <t>JULY-24-BLK3</t>
  </si>
  <si>
    <t>SEPT-24-BLK3</t>
  </si>
  <si>
    <t>DEC-24-TNK1</t>
  </si>
  <si>
    <t>OCT-24-BLK5</t>
  </si>
  <si>
    <t>FEBRUARY</t>
  </si>
  <si>
    <t>JUNE-23-BLK2</t>
  </si>
  <si>
    <t>FEB-25-FEED1</t>
  </si>
  <si>
    <t>JAN-25-TNK3</t>
  </si>
  <si>
    <t>JAN-25-TNK1</t>
  </si>
  <si>
    <t>FEB-25-FEED2</t>
  </si>
  <si>
    <t>MAY-23-BLK6</t>
  </si>
  <si>
    <t>DEC-24-BLK5</t>
  </si>
  <si>
    <t>JAN-25-TNK2</t>
  </si>
  <si>
    <t>FEB-25-FEED3</t>
  </si>
  <si>
    <t>FEB-25-BLK2</t>
  </si>
  <si>
    <t>NOV-24-BLK8</t>
  </si>
  <si>
    <t>NOV-24-BLK11</t>
  </si>
  <si>
    <t>DEC-24-BLK3</t>
  </si>
  <si>
    <t>FEB-25-FEED4</t>
  </si>
  <si>
    <t>DEC-24-BLK7</t>
  </si>
  <si>
    <t>MARCH</t>
  </si>
  <si>
    <t>JAN-25-TNK4</t>
  </si>
  <si>
    <t>OPENED</t>
  </si>
  <si>
    <t>MAY-24-BLK7</t>
  </si>
  <si>
    <t>MAN</t>
  </si>
  <si>
    <t>FEB-25-TNK1</t>
  </si>
  <si>
    <t>MARCH-25-FEED1</t>
  </si>
  <si>
    <t>JUNE-23-BLK4</t>
  </si>
  <si>
    <t>FEB-25-TNK2</t>
  </si>
  <si>
    <t>DEC-24-BLK9</t>
  </si>
  <si>
    <t>FEB-25-TNK3</t>
  </si>
  <si>
    <t>MIAN</t>
  </si>
  <si>
    <t>MARCH-25-FEED2</t>
  </si>
  <si>
    <t>MARCH-25-TNK1</t>
  </si>
  <si>
    <t>JAN-25-BLK1</t>
  </si>
  <si>
    <t>MARCH-25-TNK2</t>
  </si>
  <si>
    <t>MAY-24-BLK6</t>
  </si>
  <si>
    <t>JAN-25-BLK3</t>
  </si>
  <si>
    <t>MARCH-25-TNK3</t>
  </si>
  <si>
    <t>JUNE-24-BLK2</t>
  </si>
  <si>
    <t>APRIL</t>
  </si>
  <si>
    <t>JUNE-23-BLK3</t>
  </si>
  <si>
    <t>APRIL-25-FEED1</t>
  </si>
  <si>
    <t>OCT-24-BLK4</t>
  </si>
  <si>
    <t>AUG-24-BLK4</t>
  </si>
  <si>
    <t>JULY-23-BLK2</t>
  </si>
  <si>
    <t>DEC-24-BLK6</t>
  </si>
  <si>
    <t>APRIL-25-FEED2</t>
  </si>
  <si>
    <t>FEB-25-BLK4</t>
  </si>
  <si>
    <t>APRIL-25-FEED3</t>
  </si>
  <si>
    <t>JAN-25-BLK2</t>
  </si>
  <si>
    <t>JULY-23-BLK1</t>
  </si>
  <si>
    <t>APRIL-25-FEED4</t>
  </si>
  <si>
    <t>FEB-25-BLK8</t>
  </si>
  <si>
    <t>AUG-23-BLK1</t>
  </si>
  <si>
    <t>APRIL-25-FEED5</t>
  </si>
  <si>
    <t>APRIL-25-FEED6</t>
  </si>
  <si>
    <t>MAY</t>
  </si>
  <si>
    <t>MARCH-25-BLK10</t>
  </si>
  <si>
    <t>APRIL-25-BLK9</t>
  </si>
  <si>
    <t>MARCH-25-BLK5</t>
  </si>
  <si>
    <t>JAN-25-BLK4</t>
  </si>
  <si>
    <t>MAY-25-FEED1</t>
  </si>
  <si>
    <t>JAN-25-BLK6</t>
  </si>
  <si>
    <t>MARCH-25-BLK9</t>
  </si>
  <si>
    <t>FEB-25-BLK1</t>
  </si>
  <si>
    <t>MAY-25-FEED2</t>
  </si>
  <si>
    <t>APRIL-25-BLK2</t>
  </si>
  <si>
    <t>APRIL-25-BLK10</t>
  </si>
  <si>
    <t>APRIL-25-BLK7</t>
  </si>
  <si>
    <t>APRIL-25-BLK5</t>
  </si>
  <si>
    <t>MARCH-25-TNK4</t>
  </si>
  <si>
    <t>MARCH-25-BLK7</t>
  </si>
  <si>
    <t>MAY-25-FEED3</t>
  </si>
  <si>
    <t>APRIL-25-BLK11</t>
  </si>
  <si>
    <t>APRIL-25-BLK1</t>
  </si>
  <si>
    <t>MAY-25-FEED4</t>
  </si>
  <si>
    <t>MAY-25-BLK4</t>
  </si>
  <si>
    <t>MAY-25-BLK1</t>
  </si>
  <si>
    <t>JAN-25-BLK5</t>
  </si>
  <si>
    <t>JUNE</t>
  </si>
  <si>
    <t>APRIL-25-TNK1</t>
  </si>
  <si>
    <t>MAY-25-FEED5</t>
  </si>
  <si>
    <t>MARCH-25-BLK8</t>
  </si>
  <si>
    <t>MAY-25-TNK3</t>
  </si>
  <si>
    <t>MARCH-25-BLK4</t>
  </si>
  <si>
    <t>JUNE-25-FEED1</t>
  </si>
  <si>
    <t>JUNE-25-FEED2</t>
  </si>
  <si>
    <t>MAY-25-TNK2</t>
  </si>
  <si>
    <t>FEB-25-BLK6</t>
  </si>
  <si>
    <t>JULY-23-BLK3</t>
  </si>
  <si>
    <t>JUNE-25-FEED3</t>
  </si>
  <si>
    <t>MAY-25-TNK1</t>
  </si>
  <si>
    <t>APRIL-25-BLK12</t>
  </si>
  <si>
    <t>APRIL-25-TNK2</t>
  </si>
  <si>
    <t>AUG-24-BLK7</t>
  </si>
  <si>
    <t>JULY-24-BLK4</t>
  </si>
  <si>
    <t>JUNE-25-FEED4</t>
  </si>
  <si>
    <t>JUNE-24-BLK4</t>
  </si>
  <si>
    <t>JULY</t>
  </si>
  <si>
    <t>JUNE-24-BLK3</t>
  </si>
  <si>
    <t>MARCH-25-BLK1</t>
  </si>
  <si>
    <t>JUNE-25-TNK1</t>
  </si>
  <si>
    <t>JUNE-25-FEED5</t>
  </si>
  <si>
    <t>FEB-25-BLK7</t>
  </si>
  <si>
    <t>NOV-24-BLK7</t>
  </si>
  <si>
    <t>JUNE-25-TNK2</t>
  </si>
  <si>
    <t>FEB-25-BLK5</t>
  </si>
  <si>
    <t>JULY-25-FEED1</t>
  </si>
  <si>
    <t>MAY-25-BLK7</t>
  </si>
  <si>
    <t>JULY-25-FEED2</t>
  </si>
  <si>
    <t>FEB-25-BLK3</t>
  </si>
  <si>
    <t>JUNE-25-BLK7</t>
  </si>
  <si>
    <t>APRIL-25-BLK6</t>
  </si>
  <si>
    <t>JUNE-25-BLK4</t>
  </si>
  <si>
    <t>JULY-25-BLK4</t>
  </si>
  <si>
    <t>JULY-25-FEED3</t>
  </si>
  <si>
    <t>MARCH-25-BLK3</t>
  </si>
  <si>
    <t>APRIL-25-BLK4</t>
  </si>
  <si>
    <t>MARCH-25-BLK6</t>
  </si>
  <si>
    <t>JUNE-25-BLK2</t>
  </si>
  <si>
    <t>MARCH-25-BLK11</t>
  </si>
  <si>
    <t>JUNE-25-BLK1</t>
  </si>
  <si>
    <t>AUGUST</t>
  </si>
  <si>
    <t>MAY-25-BLK5</t>
  </si>
  <si>
    <t>JUNE-25-TNK3</t>
  </si>
  <si>
    <t>JULY-25-BLK10</t>
  </si>
  <si>
    <t>JULY-25-FEED4</t>
  </si>
  <si>
    <t>layupan open 13 mc 4 ash</t>
  </si>
  <si>
    <t>MAY-25-BLK8</t>
  </si>
  <si>
    <t>JULY-25-BLK13</t>
  </si>
  <si>
    <t>JUNE-25-BLK6</t>
  </si>
  <si>
    <t>MARCH-25-BLK12</t>
  </si>
  <si>
    <t>AUG-25-FEED1</t>
  </si>
  <si>
    <t>JULY-25-BLK11</t>
  </si>
  <si>
    <t>MAY-25-BLK2</t>
  </si>
  <si>
    <t>AUG-25-FEED2</t>
  </si>
  <si>
    <t>JUNE-25-BLK5</t>
  </si>
  <si>
    <t>JULY-25-BLK7</t>
  </si>
  <si>
    <t>MAY-25-BLK6</t>
  </si>
  <si>
    <t>JULY-25-BLK1</t>
  </si>
  <si>
    <t>AUG-25-FEED3</t>
  </si>
  <si>
    <t>JULY-25-BLK3</t>
  </si>
  <si>
    <t>JULY-25-BLK8</t>
  </si>
  <si>
    <t>SEPTEMBER</t>
  </si>
  <si>
    <t>JULY-25-BLK6</t>
  </si>
  <si>
    <t>MARCH-25-BLK2</t>
  </si>
  <si>
    <t>SEPT-25-FEED1</t>
  </si>
  <si>
    <t>AUG-25-BLK3</t>
  </si>
  <si>
    <t>APRIL-25-BLK8</t>
  </si>
  <si>
    <t>AUG-25-BLK13</t>
  </si>
  <si>
    <t>SEPT-25-FEED2</t>
  </si>
  <si>
    <t>SEPT-25-FEED3</t>
  </si>
  <si>
    <t>JULY-25-BLK12</t>
  </si>
  <si>
    <t>APRIL-25-BLK3</t>
  </si>
  <si>
    <t>AUG-25-BLK9</t>
  </si>
  <si>
    <t>SEPT-25-FEED4</t>
  </si>
  <si>
    <t>SEPT-25-FEED5</t>
  </si>
  <si>
    <t>JULY-24-BLK5</t>
  </si>
  <si>
    <t>JUNE-25-TNK4</t>
  </si>
  <si>
    <t>SEPT-25-FEED6</t>
  </si>
  <si>
    <t>AUG-25-TNK3</t>
  </si>
  <si>
    <t>SEPT-25-FEED7</t>
  </si>
  <si>
    <t>AUG-25-BLK14</t>
  </si>
  <si>
    <t>AUG-25-TNK5</t>
  </si>
  <si>
    <t>SEPT-25-FEED8</t>
  </si>
  <si>
    <t>AUG-25-BLK8</t>
  </si>
  <si>
    <t>AUG-25-TNK1</t>
  </si>
  <si>
    <t>AUG-25-BLK6</t>
  </si>
  <si>
    <t>SEPT-25-FEED9</t>
  </si>
  <si>
    <t>AUG-25-TNK6</t>
  </si>
  <si>
    <t>JUNE-25-BLK9</t>
  </si>
  <si>
    <t>JULY-25-TNK1</t>
  </si>
  <si>
    <t>JULY-25-TNK2</t>
  </si>
  <si>
    <t>AUG-25-BLK7</t>
  </si>
  <si>
    <t>OCT-25-FEED2</t>
  </si>
  <si>
    <t>OCT-25-FEED1</t>
  </si>
  <si>
    <t>OCT-25-FEED3</t>
  </si>
  <si>
    <t>AUG-25-TNK4</t>
  </si>
  <si>
    <t>OCT-25-BLK12</t>
  </si>
  <si>
    <t>OCT-25-FEED4</t>
  </si>
  <si>
    <t>AUG-25-TNK2</t>
  </si>
  <si>
    <t>NOV-23-BLK1</t>
  </si>
  <si>
    <t>OCT-25-FEED5</t>
  </si>
  <si>
    <t>DEC-23-BLK2</t>
  </si>
  <si>
    <t>OCT-25-BLK28</t>
  </si>
  <si>
    <t>NOV-25-BLK1</t>
  </si>
  <si>
    <t>NOV-25-SUNDRY3</t>
  </si>
  <si>
    <t>OCT-25-BLK14</t>
  </si>
  <si>
    <t>SEPT-25-BLK10</t>
  </si>
  <si>
    <t>NOV-25-FEED1</t>
  </si>
  <si>
    <t>NOV-25-FEED2</t>
  </si>
  <si>
    <t>OCT-25-BLK24</t>
  </si>
  <si>
    <t>AUG-25-BLK16</t>
  </si>
  <si>
    <t>DECEMBER</t>
  </si>
  <si>
    <t>NOV-25-SUNDRY6</t>
  </si>
  <si>
    <t>AUG-25-TNK7</t>
  </si>
  <si>
    <t>OCT-25-BLK23</t>
  </si>
  <si>
    <t>NOV-25-SUNDRY5</t>
  </si>
  <si>
    <t>NOV-25-SUNDRY8</t>
  </si>
  <si>
    <t>OCT-25-TNK4</t>
  </si>
  <si>
    <t>NOV-25-SUNDRY4</t>
  </si>
  <si>
    <t>NOV-25-SUNDRY7</t>
  </si>
  <si>
    <t>DEC-24-BLK8</t>
  </si>
  <si>
    <t>OCT-25-BLK7</t>
  </si>
  <si>
    <t>DEC-25-SUNDRY2</t>
  </si>
  <si>
    <t>DEC-24-BLK4</t>
  </si>
  <si>
    <t>DEC-25-SUNDRY1</t>
  </si>
  <si>
    <t>SEPT-25-BLK6</t>
  </si>
  <si>
    <t>DEC-25-SUNDRY3</t>
  </si>
  <si>
    <t>DEC-25-FEED2</t>
  </si>
  <si>
    <t>JULY-24-BLK1</t>
  </si>
  <si>
    <t>OCT-25-BLK16</t>
  </si>
  <si>
    <t>DEC-25-SUNDRY4</t>
  </si>
  <si>
    <t>SEPT-25-BLK8</t>
  </si>
  <si>
    <t>DEC-25-FEED3</t>
  </si>
  <si>
    <t>SUNDRY</t>
  </si>
  <si>
    <t>-</t>
  </si>
  <si>
    <t>Sundry Summaries</t>
  </si>
  <si>
    <t>Start Date</t>
  </si>
  <si>
    <t>End Date</t>
  </si>
  <si>
    <t>SUNDRIED BLOCK</t>
  </si>
  <si>
    <t>Suppliers</t>
  </si>
  <si>
    <t>LOC</t>
  </si>
  <si>
    <t>PREVIOUS BLOCK</t>
  </si>
  <si>
    <t>Prev Block</t>
  </si>
  <si>
    <t>Current WT</t>
  </si>
  <si>
    <t>Previous WT</t>
  </si>
  <si>
    <t>Current MC</t>
  </si>
  <si>
    <t>Previous MC</t>
  </si>
  <si>
    <t>MC CHANGE</t>
  </si>
  <si>
    <t>Sundry Loss</t>
  </si>
  <si>
    <t>YEAR</t>
  </si>
  <si>
    <t>MONTH</t>
  </si>
  <si>
    <t>GRADE TTL KG</t>
  </si>
  <si>
    <t>3X50</t>
  </si>
  <si>
    <t>2X6</t>
  </si>
  <si>
    <t>8X50</t>
  </si>
  <si>
    <t>6X50</t>
  </si>
  <si>
    <t>TTL KG</t>
  </si>
  <si>
    <t>SHIFT</t>
  </si>
  <si>
    <t>TIME</t>
  </si>
  <si>
    <t>SIZING</t>
  </si>
  <si>
    <t>TTL</t>
  </si>
  <si>
    <t>WTD</t>
  </si>
  <si>
    <t>~ 3.0</t>
  </si>
  <si>
    <t>~ 5.0</t>
  </si>
  <si>
    <t>~ 7.0</t>
  </si>
  <si>
    <t>~ 8.0</t>
  </si>
  <si>
    <t>~ 10.0</t>
  </si>
  <si>
    <t>~ 35.0</t>
  </si>
  <si>
    <t>~ 45.0</t>
  </si>
  <si>
    <t>45.0 ~</t>
  </si>
  <si>
    <t>BD ASTM</t>
  </si>
  <si>
    <t>BD JIS</t>
  </si>
  <si>
    <t>M</t>
  </si>
  <si>
    <t>1ST</t>
  </si>
  <si>
    <t>MONTHLY MASS</t>
  </si>
  <si>
    <t>2ND</t>
  </si>
  <si>
    <t>3RD</t>
  </si>
  <si>
    <t>4TH</t>
  </si>
  <si>
    <t>PAHUBAS</t>
  </si>
  <si>
    <t>SET-UP</t>
  </si>
  <si>
    <t>MASS</t>
  </si>
  <si>
    <t>E</t>
  </si>
  <si>
    <t>11..94</t>
  </si>
  <si>
    <t>REPAIRING TROMMEL</t>
  </si>
  <si>
    <t>GRADE</t>
  </si>
  <si>
    <t>KG</t>
  </si>
  <si>
    <t>KURARAY 3X50</t>
  </si>
  <si>
    <t>ORDERS</t>
  </si>
  <si>
    <t>COMPANY</t>
  </si>
  <si>
    <t>AMT</t>
  </si>
  <si>
    <t>ETD</t>
  </si>
  <si>
    <t>START DATE</t>
  </si>
  <si>
    <t>ETC (PROD)</t>
  </si>
  <si>
    <t>KC</t>
  </si>
  <si>
    <t>5 VANS (103.84 TONS)</t>
  </si>
  <si>
    <t>DONE</t>
  </si>
  <si>
    <t>1-SHIFT PRODUCTION</t>
  </si>
  <si>
    <t>AUG</t>
  </si>
  <si>
    <t>??</t>
  </si>
  <si>
    <t>BLEND TEST FIRST</t>
  </si>
  <si>
    <t>SEPT</t>
  </si>
  <si>
    <t>MH</t>
  </si>
  <si>
    <t>2 VANS (50.6 TONS)</t>
  </si>
  <si>
    <t>4X8</t>
  </si>
  <si>
    <t>MID AUG</t>
  </si>
  <si>
    <t>12 HR SHIFT + BLEND</t>
  </si>
  <si>
    <t>2 VANS (48.4 TONS)</t>
  </si>
  <si>
    <t>LATE AUG</t>
  </si>
  <si>
    <t>1 VAN (24.2TONS)</t>
  </si>
  <si>
    <t>EARLY AUG</t>
  </si>
  <si>
    <t>READY</t>
  </si>
  <si>
    <t>DONE PRODUCTION</t>
  </si>
  <si>
    <t>EARLY SEPT</t>
  </si>
  <si>
    <t>FG</t>
  </si>
  <si>
    <t>4 VANS (96.8 TONS)</t>
  </si>
  <si>
    <t>NOV</t>
  </si>
  <si>
    <t>not plotted yet</t>
  </si>
  <si>
    <t>AS OF</t>
  </si>
  <si>
    <t>SETUPS (tons)</t>
  </si>
  <si>
    <t>GRADES</t>
  </si>
  <si>
    <t>SOLID 3X50</t>
  </si>
  <si>
    <t>VANS</t>
  </si>
  <si>
    <t>KG/BAG</t>
  </si>
  <si>
    <t>TONS/VAN</t>
  </si>
  <si>
    <t>TTL TONS</t>
  </si>
  <si>
    <t>3X50 / 6X50</t>
  </si>
  <si>
    <t>4X8 - MH</t>
  </si>
  <si>
    <t>3X50 / 8X50</t>
  </si>
  <si>
    <t>3X50 / 4X8</t>
  </si>
  <si>
    <t>3X50 - KC</t>
  </si>
  <si>
    <t>3X50 / 2X6</t>
  </si>
  <si>
    <t>MORNING</t>
  </si>
  <si>
    <t>EVENING</t>
  </si>
  <si>
    <t>NIGHT</t>
  </si>
  <si>
    <t>NO. OF SHIFTS</t>
  </si>
  <si>
    <t>PROJECTED</t>
  </si>
  <si>
    <t>SETUPS</t>
  </si>
  <si>
    <t>Holiday - New Year</t>
  </si>
  <si>
    <t>START 6x50 reworks</t>
  </si>
  <si>
    <t xml:space="preserve">END 6x50 reworks - 1 SHIFT </t>
  </si>
  <si>
    <t>START 2X6 PRODUCTION  (FOR 2 VANS MARCH ETD - FG)</t>
  </si>
  <si>
    <t>troubles - BE 2 and BE 4</t>
  </si>
  <si>
    <t>END 2X6 PRODUCTION (60 TONS ENDING - 2.47 VANS)</t>
  </si>
  <si>
    <t>START 6X50 PRODUCTION (FOR 4 VANS APRIL ETD - FG)</t>
  </si>
  <si>
    <t>***Feed Sundry and decent MC quality RC</t>
  </si>
  <si>
    <t>Holiday?</t>
  </si>
  <si>
    <t>END 6X50 PRODUCTION (140 TONS ENDING - 5.7 VANS)</t>
  </si>
  <si>
    <t>Blending of old stock 2x6 (FAILED VM) with 3x50 production</t>
  </si>
  <si>
    <t>HOLIDAY SWAP FROM 3/20</t>
  </si>
  <si>
    <t>2-SHIFT TO REPLENISH CEBU 3X50 STOCK</t>
  </si>
  <si>
    <t>KURARAY 10 + 5 VANS (SINGLE SHIFT) (388.5TONS) - 84 tons~ inventory</t>
  </si>
  <si>
    <t>HOLY THURSDAY</t>
  </si>
  <si>
    <t>GOOD FRIDAY</t>
  </si>
  <si>
    <t>BLACK SATURDAY</t>
  </si>
  <si>
    <t>EASTER SUNDAY</t>
  </si>
  <si>
    <t>BATAAN DAY - swap to APRIL 11</t>
  </si>
  <si>
    <t>DONE 3X50 KC PRODUCTION 388 TONS EST. OUTPUT - blend with 84 tons inventory (RS5 FEEDING)</t>
  </si>
  <si>
    <t xml:space="preserve">PAHUBAS </t>
  </si>
  <si>
    <t>May 1 - LABOR DAY</t>
  </si>
  <si>
    <t>START 96.8T 4 VANS 6X50 FG (1 VAN REMAINING BAL) - for JULY SHIPMENT</t>
  </si>
  <si>
    <t>FORCED LEAVE - ROLLER REPAIR</t>
  </si>
  <si>
    <t>DONE 6X50 FG PRODUCTION 90 TONS EST. OUTPUT</t>
  </si>
  <si>
    <t>FORCED LEAVE</t>
  </si>
  <si>
    <t>1 shift + LOADING</t>
  </si>
  <si>
    <t>earthquake LEAVE</t>
  </si>
  <si>
    <t>2 shift + LOADING</t>
  </si>
  <si>
    <t>2 shift + LOADING (holiday swap)</t>
  </si>
  <si>
    <t>HOLIDAY - SWAP (NO WORK)</t>
  </si>
  <si>
    <t>1 shift + LOADING (4X8 2 VANS JULY START)</t>
  </si>
  <si>
    <t>12HR shift + LOADING</t>
  </si>
  <si>
    <t>12HR shift + LOADING (4X8 1ST VAN JULY DONE - EST 27~ TONS)</t>
  </si>
  <si>
    <t>12HR shift + LOADING PAHUBAS</t>
  </si>
  <si>
    <t>12HR shift + LOADING (4X8 2ND VAN JULY DONE - EST 27~ TONS)</t>
  </si>
  <si>
    <t>12HR shift + LOADING + BLENDING (4X8 2 VANS AUG START)</t>
  </si>
  <si>
    <t>12HR shift + LOADING - BLENDING</t>
  </si>
  <si>
    <t>12HR shift + LOADING (4X8 1ST VAN AUG DONE - EST 27~ TONS)</t>
  </si>
  <si>
    <t>12HR shift + LOADING (4X8 2ND VAN AUG DONE - EST 27~ TONS)</t>
  </si>
  <si>
    <t>12HR shift + LOADING (3X50 KC 5 VAN AUG START)</t>
  </si>
  <si>
    <t>12HR shift + LOADING (3X50 KC 5 VAN AUG END - EST 150~ TONS)</t>
  </si>
  <si>
    <t>12HR shift + LOADING (3X50 KC 5 VAN SEPT START)</t>
  </si>
  <si>
    <t>12HR shift + LOADING (3X50 KC 5 VAN SEPT END - EST 150~ TONS)</t>
  </si>
  <si>
    <t>1 shift + LOADING PAHUBAS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</si>
</sst>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(* #,##0_);_(* (#,##0);_(* &quot;-&quot;??_);_(@_)"/>
    <numFmt numFmtId="165" formatCode="0.000"/>
    <numFmt numFmtId="166" formatCode="_(* #,##0.000_);_(* (#,##0.000);_(* &quot;-&quot;??.0_);_(@_)"/>
    <numFmt numFmtId="167" formatCode="M/d/yyyy"/>
    <numFmt numFmtId="168" formatCode="#,##0_);(#,##0)"/>
    <numFmt numFmtId="169" formatCode="mm/dd/yy"/>
    <numFmt numFmtId="170" formatCode="m/d/yy"/>
    <numFmt numFmtId="171" formatCode="m/d/yyyy"/>
    <numFmt numFmtId="172" formatCode="_(#,##0_);_((#,##0);_(&quot;-&quot;??_);_(@_)"/>
    <numFmt numFmtId="173" formatCode="_(#,##0.00_);_((#,##0.00);_(&quot;-&quot;??_);_(@_)"/>
    <numFmt numFmtId="174" formatCode="mmmm&quot; &quot;d&quot;, &quot;yyyy"/>
    <numFmt numFmtId="175" formatCode="_(#,##0.000_);_((#,##0.000);_(&quot;-&quot;??.00_);_(@_)"/>
    <numFmt numFmtId="176" formatCode="_(#,##0.000_);_((#,##0.000);_(&quot;-&quot;??.0_);_(@_)"/>
    <numFmt numFmtId="177" formatCode="_(* #,##0_);_(* \(#,##0\);_(* &quot;-&quot;??_);_(@_)"/>
    <numFmt numFmtId="178" formatCode="_(* #,##0.0_);_(* \(#,##0.0\);_(* &quot;-&quot;??_);_(@_)"/>
    <numFmt numFmtId="179" formatCode="[$-F800]dddd\,\ mmmm\ dd\,\ yyyy"/>
  </numFmts>
  <fonts count="51">
    <font>
      <sz val="10.0"/>
      <color rgb="FF000000"/>
      <name val="Arial"/>
      <scheme val="minor"/>
    </font>
    <font>
      <b/>
      <sz val="7.0"/>
      <color theme="1"/>
      <name val="Arial"/>
      <scheme val="minor"/>
    </font>
    <font>
      <sz val="7.0"/>
      <color theme="1"/>
      <name val="Arial"/>
      <scheme val="minor"/>
    </font>
    <font>
      <b/>
      <sz val="7.0"/>
      <color rgb="FFFCE5CD"/>
      <name val="Arial"/>
      <scheme val="minor"/>
    </font>
    <font/>
    <font>
      <sz val="7.0"/>
      <color rgb="FFFCE5CD"/>
      <name val="Arial"/>
      <scheme val="minor"/>
    </font>
    <font>
      <b/>
      <sz val="7.0"/>
      <color rgb="FFFF0000"/>
      <name val="Arial"/>
      <scheme val="minor"/>
    </font>
    <font>
      <b/>
      <i/>
      <sz val="7.0"/>
      <color theme="1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i/>
      <sz val="8.0"/>
      <color theme="1"/>
      <name val="Arial"/>
      <scheme val="minor"/>
    </font>
    <font>
      <b/>
      <i/>
      <sz val="8.0"/>
      <color theme="1"/>
      <name val="Arial"/>
      <scheme val="minor"/>
    </font>
    <font>
      <b/>
      <sz val="8.0"/>
      <color rgb="FF000000"/>
      <name val="Arial"/>
      <scheme val="minor"/>
    </font>
    <font>
      <b/>
      <i/>
      <sz val="8.0"/>
      <color rgb="FF000000"/>
      <name val="Arial"/>
      <scheme val="minor"/>
    </font>
    <font>
      <b/>
      <sz val="8.0"/>
      <color theme="1"/>
      <name val="Roboto"/>
    </font>
    <font>
      <i/>
      <sz val="8.0"/>
      <color theme="1"/>
      <name val="Roboto"/>
    </font>
    <font>
      <sz val="8.0"/>
      <color theme="1"/>
      <name val="Roboto"/>
    </font>
    <font>
      <sz val="8.0"/>
      <color rgb="FF434343"/>
      <name val="Roboto"/>
    </font>
    <font>
      <b/>
      <sz val="8.0"/>
      <color rgb="FF434343"/>
      <name val="Roboto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rgb="FFFF0000"/>
      <name val="Arial"/>
      <scheme val="minor"/>
    </font>
    <font>
      <b/>
      <sz val="9.0"/>
      <color rgb="FF4A86E8"/>
      <name val="Arial"/>
      <scheme val="minor"/>
    </font>
    <font>
      <b/>
      <i/>
      <sz val="9.0"/>
      <color rgb="FF000000"/>
      <name val="Arial"/>
      <scheme val="minor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  <font>
      <b/>
      <i/>
      <sz val="9.0"/>
      <color rgb="FFFF0000"/>
      <name val="Arial"/>
      <scheme val="minor"/>
    </font>
    <font>
      <color theme="1"/>
      <name val="Arial"/>
      <scheme val="minor"/>
    </font>
    <font>
      <b/>
      <sz val="9.0"/>
      <color rgb="FF434343"/>
      <name val="Roboto"/>
    </font>
    <font>
      <b/>
      <i/>
      <sz val="9.0"/>
      <color theme="1"/>
      <name val="Arial"/>
      <scheme val="minor"/>
    </font>
    <font>
      <b/>
      <sz val="8.0"/>
      <color rgb="FFFFFFFF"/>
      <name val="Arial"/>
      <scheme val="minor"/>
    </font>
    <font>
      <b/>
      <sz val="8.0"/>
      <color rgb="FFFF0000"/>
      <name val="Arial"/>
      <scheme val="minor"/>
    </font>
    <font>
      <b/>
      <sz val="8.0"/>
      <color rgb="FF980000"/>
      <name val="Arial"/>
      <scheme val="minor"/>
    </font>
    <font>
      <b/>
      <sz val="8.0"/>
      <color rgb="FFF3F3F3"/>
      <name val="Arial"/>
      <scheme val="minor"/>
    </font>
    <font>
      <sz val="8.0"/>
      <color rgb="FFFFFFFF"/>
      <name val="Arial"/>
      <scheme val="minor"/>
    </font>
    <font>
      <b/>
      <color theme="1"/>
      <name val="Arial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b/>
      <sz val="12.0"/>
      <color rgb="FFFF0000"/>
      <name val="Arial"/>
    </font>
    <font>
      <b/>
      <i/>
      <sz val="12.0"/>
      <color theme="1"/>
      <name val="Arial"/>
    </font>
    <font>
      <b/>
      <i/>
      <sz val="12.0"/>
      <color theme="1"/>
      <name val="Aptos Narrow"/>
    </font>
    <font>
      <sz val="12.0"/>
      <color theme="1"/>
      <name val="Aptos Narrow"/>
    </font>
    <font>
      <b/>
      <sz val="9.0"/>
      <color rgb="FFFF0000"/>
      <name val="Arial"/>
      <scheme val="minor"/>
    </font>
    <font>
      <b/>
      <i/>
      <sz val="9.0"/>
      <color rgb="FF0E2841"/>
      <name val="Arial"/>
      <scheme val="minor"/>
    </font>
    <font>
      <b/>
      <i/>
      <sz val="9.0"/>
      <color rgb="FF0F4861"/>
      <name val="Arial"/>
      <scheme val="minor"/>
    </font>
    <font>
      <b/>
      <sz val="9.0"/>
      <color theme="1"/>
      <name val="Arial"/>
    </font>
    <font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i/>
      <sz val="9.0"/>
      <color rgb="FF0E2841"/>
      <name val="Arial"/>
    </font>
    <font>
      <b/>
      <i/>
      <sz val="9.0"/>
      <color rgb="FFFF000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C1F0C8"/>
        <bgColor rgb="FFC1F0C8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95DCF7"/>
        <bgColor rgb="FF95DCF7"/>
      </patternFill>
    </fill>
    <fill>
      <patternFill patternType="solid">
        <fgColor rgb="FF47D45A"/>
        <bgColor rgb="FF47D45A"/>
      </patternFill>
    </fill>
    <fill>
      <patternFill patternType="solid">
        <fgColor rgb="FF00B050"/>
        <bgColor rgb="FF00B050"/>
      </patternFill>
    </fill>
    <fill>
      <patternFill patternType="solid">
        <fgColor rgb="FF00FF00"/>
        <bgColor rgb="FF00FF00"/>
      </patternFill>
    </fill>
    <fill>
      <patternFill patternType="solid">
        <fgColor rgb="FFF6C6AC"/>
        <bgColor rgb="FFF6C6AC"/>
      </patternFill>
    </fill>
  </fills>
  <borders count="9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A535C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theme="1"/>
      </left>
      <top style="thin">
        <color theme="1"/>
      </top>
    </border>
    <border>
      <top style="thin">
        <color theme="1"/>
      </top>
    </border>
    <border>
      <right style="thin">
        <color theme="1"/>
      </right>
      <top style="thin">
        <color theme="1"/>
      </top>
    </border>
    <border>
      <left style="thin">
        <color theme="1"/>
      </left>
    </border>
    <border>
      <right style="thin">
        <color theme="1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textRotation="0"/>
    </xf>
    <xf borderId="0" fillId="0" fontId="1" numFmtId="0" xfId="0" applyFont="1"/>
    <xf borderId="0" fillId="2" fontId="1" numFmtId="0" xfId="0" applyFill="1" applyFont="1"/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shrinkToFit="0" textRotation="0" vertical="top" wrapText="1"/>
    </xf>
    <xf borderId="0" fillId="0" fontId="1" numFmtId="0" xfId="0" applyAlignment="1" applyFont="1">
      <alignment horizontal="center" readingOrder="0" textRotation="0" vertical="top"/>
    </xf>
    <xf borderId="0" fillId="2" fontId="1" numFmtId="0" xfId="0" applyAlignment="1" applyFont="1">
      <alignment horizontal="center" readingOrder="0" textRotation="0" vertical="top"/>
    </xf>
    <xf borderId="0" fillId="2" fontId="1" numFmtId="0" xfId="0" applyAlignment="1" applyFont="1">
      <alignment horizontal="center" readingOrder="0" textRotation="90" vertical="center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0" fillId="0" fontId="2" numFmtId="0" xfId="0" applyFont="1"/>
    <xf borderId="5" fillId="0" fontId="4" numFmtId="0" xfId="0" applyBorder="1" applyFont="1"/>
    <xf borderId="0" fillId="0" fontId="1" numFmtId="0" xfId="0" applyAlignment="1" applyFont="1">
      <alignment horizontal="center" readingOrder="0" textRotation="90" vertical="center"/>
    </xf>
    <xf borderId="0" fillId="2" fontId="1" numFmtId="0" xfId="0" applyAlignment="1" applyFont="1">
      <alignment horizontal="center" readingOrder="0" textRotation="0" vertical="center"/>
    </xf>
    <xf borderId="0" fillId="4" fontId="1" numFmtId="0" xfId="0" applyAlignment="1" applyFill="1" applyFont="1">
      <alignment horizontal="center" readingOrder="0"/>
    </xf>
    <xf borderId="6" fillId="4" fontId="1" numFmtId="0" xfId="0" applyAlignment="1" applyBorder="1" applyFont="1">
      <alignment readingOrder="0"/>
    </xf>
    <xf borderId="7" fillId="4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0" fillId="3" fontId="5" numFmtId="0" xfId="0" applyFont="1"/>
    <xf borderId="1" fillId="5" fontId="6" numFmtId="4" xfId="0" applyAlignment="1" applyBorder="1" applyFill="1" applyFont="1" applyNumberFormat="1">
      <alignment horizontal="center" readingOrder="0" textRotation="0" vertical="center"/>
    </xf>
    <xf borderId="0" fillId="0" fontId="7" numFmtId="164" xfId="0" applyAlignment="1" applyFont="1" applyNumberFormat="1">
      <alignment horizontal="center" readingOrder="0" textRotation="0" vertical="center"/>
    </xf>
    <xf borderId="0" fillId="0" fontId="1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0" fillId="3" fontId="5" numFmtId="164" xfId="0" applyFont="1" applyNumberFormat="1"/>
    <xf borderId="0" fillId="0" fontId="1" numFmtId="4" xfId="0" applyAlignment="1" applyFont="1" applyNumberFormat="1">
      <alignment horizontal="center" readingOrder="0" textRotation="0" vertical="center"/>
    </xf>
    <xf borderId="0" fillId="0" fontId="7" numFmtId="0" xfId="0" applyAlignment="1" applyFont="1">
      <alignment horizontal="center" readingOrder="0" textRotation="0" vertical="center"/>
    </xf>
    <xf borderId="0" fillId="0" fontId="1" numFmtId="165" xfId="0" applyAlignment="1" applyFont="1" applyNumberFormat="1">
      <alignment readingOrder="0"/>
    </xf>
    <xf borderId="6" fillId="0" fontId="1" numFmtId="165" xfId="0" applyAlignment="1" applyBorder="1" applyFont="1" applyNumberFormat="1">
      <alignment readingOrder="0"/>
    </xf>
    <xf borderId="7" fillId="0" fontId="1" numFmtId="166" xfId="0" applyAlignment="1" applyBorder="1" applyFont="1" applyNumberFormat="1">
      <alignment horizontal="center"/>
    </xf>
    <xf borderId="8" fillId="0" fontId="1" numFmtId="166" xfId="0" applyAlignment="1" applyBorder="1" applyFont="1" applyNumberFormat="1">
      <alignment horizontal="center"/>
    </xf>
    <xf borderId="0" fillId="0" fontId="2" numFmtId="165" xfId="0" applyFont="1" applyNumberFormat="1"/>
    <xf borderId="0" fillId="3" fontId="5" numFmtId="165" xfId="0" applyFont="1" applyNumberFormat="1"/>
    <xf borderId="0" fillId="2" fontId="7" numFmtId="4" xfId="0" applyAlignment="1" applyFont="1" applyNumberFormat="1">
      <alignment horizontal="center" readingOrder="0" textRotation="0" vertical="center"/>
    </xf>
    <xf borderId="7" fillId="0" fontId="1" numFmtId="43" xfId="0" applyAlignment="1" applyBorder="1" applyFont="1" applyNumberFormat="1">
      <alignment horizontal="center"/>
    </xf>
    <xf borderId="8" fillId="0" fontId="1" numFmtId="43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 textRotation="0" vertical="center"/>
    </xf>
    <xf borderId="0" fillId="5" fontId="7" numFmtId="2" xfId="0" applyAlignment="1" applyFont="1" applyNumberFormat="1">
      <alignment readingOrder="0"/>
    </xf>
    <xf borderId="9" fillId="5" fontId="7" numFmtId="2" xfId="0" applyAlignment="1" applyBorder="1" applyFont="1" applyNumberFormat="1">
      <alignment readingOrder="0"/>
    </xf>
    <xf borderId="10" fillId="5" fontId="7" numFmtId="2" xfId="0" applyAlignment="1" applyBorder="1" applyFont="1" applyNumberFormat="1">
      <alignment horizontal="center"/>
    </xf>
    <xf borderId="11" fillId="5" fontId="7" numFmtId="2" xfId="0" applyAlignment="1" applyBorder="1" applyFont="1" applyNumberFormat="1">
      <alignment horizontal="center"/>
    </xf>
    <xf borderId="0" fillId="0" fontId="2" numFmtId="2" xfId="0" applyFont="1" applyNumberFormat="1"/>
    <xf borderId="0" fillId="3" fontId="5" numFmtId="2" xfId="0" applyFont="1" applyNumberFormat="1"/>
    <xf borderId="0" fillId="0" fontId="7" numFmtId="0" xfId="0" applyAlignment="1" applyFont="1">
      <alignment horizontal="center" readingOrder="0" textRotation="0" vertical="top"/>
    </xf>
    <xf borderId="0" fillId="0" fontId="6" numFmtId="164" xfId="0" applyAlignment="1" applyFont="1" applyNumberFormat="1">
      <alignment horizontal="center" readingOrder="0" textRotation="0" vertical="top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 textRotation="0" vertical="center"/>
    </xf>
    <xf borderId="0" fillId="0" fontId="5" numFmtId="0" xfId="0" applyFont="1"/>
    <xf borderId="0" fillId="0" fontId="5" numFmtId="165" xfId="0" applyFont="1" applyNumberFormat="1"/>
    <xf borderId="0" fillId="0" fontId="5" numFmtId="2" xfId="0" applyFont="1" applyNumberFormat="1"/>
    <xf borderId="0" fillId="0" fontId="8" numFmtId="0" xfId="0" applyAlignment="1" applyFont="1">
      <alignment horizontal="center"/>
    </xf>
    <xf borderId="0" fillId="0" fontId="8" numFmtId="167" xfId="0" applyAlignment="1" applyFont="1" applyNumberFormat="1">
      <alignment horizontal="center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right"/>
    </xf>
    <xf borderId="0" fillId="0" fontId="8" numFmtId="2" xfId="0" applyAlignment="1" applyFont="1" applyNumberFormat="1">
      <alignment horizontal="right"/>
    </xf>
    <xf borderId="0" fillId="0" fontId="9" numFmtId="0" xfId="0" applyAlignment="1" applyFont="1">
      <alignment horizontal="right"/>
    </xf>
    <xf borderId="0" fillId="0" fontId="9" numFmtId="2" xfId="0" applyAlignment="1" applyFont="1" applyNumberFormat="1">
      <alignment horizontal="right"/>
    </xf>
    <xf borderId="0" fillId="0" fontId="9" numFmtId="0" xfId="0" applyFont="1"/>
    <xf borderId="0" fillId="0" fontId="11" numFmtId="0" xfId="0" applyAlignment="1" applyFont="1">
      <alignment horizontal="right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67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right" readingOrder="0" shrinkToFit="0" vertical="center" wrapText="1"/>
    </xf>
    <xf borderId="0" fillId="0" fontId="12" numFmtId="2" xfId="0" applyAlignment="1" applyFont="1" applyNumberFormat="1">
      <alignment horizontal="right" readingOrder="0" shrinkToFit="0" vertical="center" wrapText="1"/>
    </xf>
    <xf borderId="0" fillId="0" fontId="12" numFmtId="0" xfId="0" applyAlignment="1" applyFont="1">
      <alignment horizontal="righ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0"/>
    </xf>
    <xf borderId="12" fillId="0" fontId="8" numFmtId="167" xfId="0" applyAlignment="1" applyBorder="1" applyFont="1" applyNumberFormat="1">
      <alignment horizontal="center" readingOrder="0" shrinkToFit="0" vertical="center" wrapText="0"/>
    </xf>
    <xf borderId="12" fillId="0" fontId="9" numFmtId="0" xfId="0" applyAlignment="1" applyBorder="1" applyFont="1">
      <alignment horizontal="left" readingOrder="0" shrinkToFit="0" vertical="center" wrapText="0"/>
    </xf>
    <xf borderId="12" fillId="0" fontId="8" numFmtId="0" xfId="0" applyAlignment="1" applyBorder="1" applyFont="1">
      <alignment horizontal="center" readingOrder="0" shrinkToFit="0" vertical="center" wrapText="0"/>
    </xf>
    <xf borderId="12" fillId="0" fontId="10" numFmtId="49" xfId="0" applyAlignment="1" applyBorder="1" applyFont="1" applyNumberFormat="1">
      <alignment shrinkToFit="0" vertical="center" wrapText="0"/>
    </xf>
    <xf borderId="12" fillId="0" fontId="8" numFmtId="168" xfId="0" applyAlignment="1" applyBorder="1" applyFont="1" applyNumberFormat="1">
      <alignment horizontal="right" readingOrder="0" shrinkToFit="0" vertical="center" wrapText="0"/>
    </xf>
    <xf borderId="12" fillId="0" fontId="10" numFmtId="0" xfId="0" applyAlignment="1" applyBorder="1" applyFont="1">
      <alignment horizontal="right" shrinkToFit="0" vertical="center" wrapText="0"/>
    </xf>
    <xf borderId="12" fillId="0" fontId="8" numFmtId="2" xfId="0" applyAlignment="1" applyBorder="1" applyFont="1" applyNumberFormat="1">
      <alignment horizontal="right" readingOrder="0" shrinkToFit="0" vertical="center" wrapText="0"/>
    </xf>
    <xf borderId="12" fillId="0" fontId="9" numFmtId="0" xfId="0" applyAlignment="1" applyBorder="1" applyFont="1">
      <alignment horizontal="right" shrinkToFit="0" vertical="center" wrapText="0"/>
    </xf>
    <xf borderId="12" fillId="0" fontId="9" numFmtId="2" xfId="0" applyAlignment="1" applyBorder="1" applyFont="1" applyNumberFormat="1">
      <alignment horizontal="right" shrinkToFit="0" vertical="center" wrapText="0"/>
    </xf>
    <xf borderId="12" fillId="0" fontId="8" numFmtId="2" xfId="0" applyAlignment="1" applyBorder="1" applyFont="1" applyNumberFormat="1">
      <alignment horizontal="right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13" fillId="0" fontId="8" numFmtId="0" xfId="0" applyAlignment="1" applyBorder="1" applyFont="1">
      <alignment horizontal="center" readingOrder="0" shrinkToFit="0" vertical="center" wrapText="0"/>
    </xf>
    <xf borderId="13" fillId="0" fontId="8" numFmtId="167" xfId="0" applyAlignment="1" applyBorder="1" applyFont="1" applyNumberFormat="1">
      <alignment horizontal="center" readingOrder="0" shrinkToFit="0" vertical="center" wrapText="0"/>
    </xf>
    <xf borderId="13" fillId="0" fontId="9" numFmtId="0" xfId="0" applyAlignment="1" applyBorder="1" applyFont="1">
      <alignment horizontal="left" readingOrder="0" shrinkToFit="0" vertical="center" wrapText="0"/>
    </xf>
    <xf borderId="13" fillId="0" fontId="8" numFmtId="0" xfId="0" applyAlignment="1" applyBorder="1" applyFont="1">
      <alignment horizontal="center" readingOrder="0" shrinkToFit="0" vertical="center" wrapText="0"/>
    </xf>
    <xf borderId="13" fillId="0" fontId="10" numFmtId="49" xfId="0" applyAlignment="1" applyBorder="1" applyFont="1" applyNumberFormat="1">
      <alignment shrinkToFit="0" vertical="center" wrapText="0"/>
    </xf>
    <xf borderId="13" fillId="0" fontId="8" numFmtId="168" xfId="0" applyAlignment="1" applyBorder="1" applyFont="1" applyNumberFormat="1">
      <alignment horizontal="right" readingOrder="0" shrinkToFit="0" vertical="center" wrapText="0"/>
    </xf>
    <xf borderId="13" fillId="0" fontId="10" numFmtId="0" xfId="0" applyAlignment="1" applyBorder="1" applyFont="1">
      <alignment horizontal="right" shrinkToFit="0" vertical="center" wrapText="0"/>
    </xf>
    <xf borderId="13" fillId="0" fontId="8" numFmtId="2" xfId="0" applyAlignment="1" applyBorder="1" applyFont="1" applyNumberFormat="1">
      <alignment horizontal="right" readingOrder="0" shrinkToFit="0" vertical="center" wrapText="0"/>
    </xf>
    <xf borderId="13" fillId="0" fontId="9" numFmtId="0" xfId="0" applyAlignment="1" applyBorder="1" applyFont="1">
      <alignment horizontal="right" shrinkToFit="0" vertical="center" wrapText="0"/>
    </xf>
    <xf borderId="13" fillId="0" fontId="9" numFmtId="2" xfId="0" applyAlignment="1" applyBorder="1" applyFont="1" applyNumberFormat="1">
      <alignment horizontal="right" shrinkToFit="0" vertical="center" wrapText="0"/>
    </xf>
    <xf borderId="13" fillId="0" fontId="8" numFmtId="2" xfId="0" applyAlignment="1" applyBorder="1" applyFont="1" applyNumberFormat="1">
      <alignment horizontal="right" shrinkToFit="0" vertical="center" wrapText="0"/>
    </xf>
    <xf borderId="13" fillId="0" fontId="10" numFmtId="0" xfId="0" applyAlignment="1" applyBorder="1" applyFont="1">
      <alignment readingOrder="0" shrinkToFit="0" vertical="center" wrapText="0"/>
    </xf>
    <xf borderId="13" fillId="0" fontId="10" numFmtId="0" xfId="0" applyAlignment="1" applyBorder="1" applyFont="1">
      <alignment horizontal="right" readingOrder="0" shrinkToFit="0" vertical="center" wrapText="0"/>
    </xf>
    <xf borderId="13" fillId="0" fontId="9" numFmtId="0" xfId="0" applyAlignment="1" applyBorder="1" applyFont="1">
      <alignment horizontal="right" readingOrder="0" shrinkToFit="0" vertical="center" wrapText="0"/>
    </xf>
    <xf borderId="13" fillId="0" fontId="9" numFmtId="2" xfId="0" applyAlignment="1" applyBorder="1" applyFont="1" applyNumberFormat="1">
      <alignment horizontal="right" readingOrder="0" shrinkToFit="0" vertical="center" wrapText="0"/>
    </xf>
    <xf borderId="13" fillId="0" fontId="9" numFmtId="0" xfId="0" applyAlignment="1" applyBorder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13" fillId="0" fontId="8" numFmtId="0" xfId="0" applyAlignment="1" applyBorder="1" applyFont="1">
      <alignment horizontal="center" shrinkToFit="0" vertical="center" wrapText="0"/>
    </xf>
    <xf borderId="13" fillId="0" fontId="10" numFmtId="49" xfId="0" applyAlignment="1" applyBorder="1" applyFont="1" applyNumberFormat="1">
      <alignment readingOrder="0" shrinkToFit="0" vertical="center" wrapText="0"/>
    </xf>
    <xf borderId="13" fillId="0" fontId="8" numFmtId="167" xfId="0" applyAlignment="1" applyBorder="1" applyFont="1" applyNumberFormat="1">
      <alignment horizontal="center" shrinkToFit="0" vertical="center" wrapText="0"/>
    </xf>
    <xf borderId="13" fillId="0" fontId="8" numFmtId="168" xfId="0" applyAlignment="1" applyBorder="1" applyFont="1" applyNumberFormat="1">
      <alignment horizontal="right" shrinkToFit="0" vertical="center" wrapText="0"/>
    </xf>
    <xf borderId="13" fillId="0" fontId="8" numFmtId="167" xfId="0" applyAlignment="1" applyBorder="1" applyFont="1" applyNumberFormat="1">
      <alignment horizontal="center" shrinkToFit="0" vertical="center" wrapText="0"/>
    </xf>
    <xf borderId="13" fillId="0" fontId="9" numFmtId="0" xfId="0" applyAlignment="1" applyBorder="1" applyFont="1">
      <alignment horizontal="left" shrinkToFit="0" vertical="center" wrapText="0"/>
    </xf>
    <xf borderId="13" fillId="0" fontId="8" numFmtId="0" xfId="0" applyAlignment="1" applyBorder="1" applyFont="1">
      <alignment horizontal="center" shrinkToFit="0" vertical="center" wrapText="0"/>
    </xf>
    <xf borderId="13" fillId="0" fontId="10" numFmtId="49" xfId="0" applyAlignment="1" applyBorder="1" applyFont="1" applyNumberFormat="1">
      <alignment shrinkToFit="0" vertical="center" wrapText="0"/>
    </xf>
    <xf borderId="13" fillId="0" fontId="8" numFmtId="168" xfId="0" applyAlignment="1" applyBorder="1" applyFont="1" applyNumberFormat="1">
      <alignment horizontal="right" shrinkToFit="0" vertical="center" wrapText="0"/>
    </xf>
    <xf borderId="13" fillId="0" fontId="10" numFmtId="0" xfId="0" applyAlignment="1" applyBorder="1" applyFont="1">
      <alignment horizontal="right" shrinkToFit="0" vertical="center" wrapText="0"/>
    </xf>
    <xf borderId="13" fillId="0" fontId="8" numFmtId="2" xfId="0" applyAlignment="1" applyBorder="1" applyFont="1" applyNumberFormat="1">
      <alignment horizontal="right" shrinkToFit="0" vertical="center" wrapText="0"/>
    </xf>
    <xf borderId="13" fillId="0" fontId="9" numFmtId="0" xfId="0" applyAlignment="1" applyBorder="1" applyFont="1">
      <alignment horizontal="right" shrinkToFit="0" vertical="center" wrapText="0"/>
    </xf>
    <xf borderId="13" fillId="0" fontId="9" numFmtId="2" xfId="0" applyAlignment="1" applyBorder="1" applyFont="1" applyNumberFormat="1">
      <alignment horizontal="right" shrinkToFit="0" vertical="center" wrapText="0"/>
    </xf>
    <xf borderId="13" fillId="0" fontId="8" numFmtId="167" xfId="0" applyAlignment="1" applyBorder="1" applyFont="1" applyNumberFormat="1">
      <alignment horizontal="center" readingOrder="0" shrinkToFit="0" vertical="center" wrapText="0"/>
    </xf>
    <xf borderId="13" fillId="0" fontId="9" numFmtId="0" xfId="0" applyAlignment="1" applyBorder="1" applyFont="1">
      <alignment horizontal="left" readingOrder="0" shrinkToFit="0" vertical="center" wrapText="0"/>
    </xf>
    <xf borderId="13" fillId="0" fontId="10" numFmtId="0" xfId="0" applyAlignment="1" applyBorder="1" applyFont="1">
      <alignment readingOrder="0" shrinkToFit="0" vertical="center" wrapText="0"/>
    </xf>
    <xf borderId="13" fillId="0" fontId="8" numFmtId="168" xfId="0" applyAlignment="1" applyBorder="1" applyFont="1" applyNumberFormat="1">
      <alignment horizontal="right" readingOrder="0" shrinkToFit="0" vertical="center" wrapText="0"/>
    </xf>
    <xf borderId="13" fillId="0" fontId="10" numFmtId="0" xfId="0" applyAlignment="1" applyBorder="1" applyFont="1">
      <alignment horizontal="right" readingOrder="0" shrinkToFit="0" vertical="center" wrapText="0"/>
    </xf>
    <xf borderId="13" fillId="0" fontId="8" numFmtId="2" xfId="0" applyAlignment="1" applyBorder="1" applyFont="1" applyNumberFormat="1">
      <alignment horizontal="right" readingOrder="0" shrinkToFit="0" vertical="center" wrapText="0"/>
    </xf>
    <xf borderId="13" fillId="0" fontId="9" numFmtId="0" xfId="0" applyAlignment="1" applyBorder="1" applyFont="1">
      <alignment horizontal="right" readingOrder="0" shrinkToFit="0" vertical="center" wrapText="0"/>
    </xf>
    <xf borderId="13" fillId="0" fontId="9" numFmtId="2" xfId="0" applyAlignment="1" applyBorder="1" applyFont="1" applyNumberFormat="1">
      <alignment horizontal="right" readingOrder="0" shrinkToFit="0" vertical="center" wrapText="0"/>
    </xf>
    <xf borderId="13" fillId="0" fontId="10" numFmtId="49" xfId="0" applyAlignment="1" applyBorder="1" applyFont="1" applyNumberForma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4" fillId="0" fontId="10" numFmtId="0" xfId="0" applyAlignment="1" applyBorder="1" applyFont="1">
      <alignment readingOrder="0" shrinkToFit="0" vertical="center" wrapText="0"/>
    </xf>
    <xf borderId="13" fillId="0" fontId="14" numFmtId="168" xfId="0" applyAlignment="1" applyBorder="1" applyFont="1" applyNumberFormat="1">
      <alignment horizontal="right" readingOrder="0" shrinkToFit="0" vertical="bottom" wrapText="0"/>
    </xf>
    <xf borderId="13" fillId="0" fontId="15" numFmtId="0" xfId="0" applyAlignment="1" applyBorder="1" applyFont="1">
      <alignment horizontal="right" readingOrder="0" shrinkToFit="0" vertical="bottom" wrapText="0"/>
    </xf>
    <xf borderId="13" fillId="0" fontId="14" numFmtId="2" xfId="0" applyAlignment="1" applyBorder="1" applyFont="1" applyNumberFormat="1">
      <alignment horizontal="right" readingOrder="0" shrinkToFit="0" vertical="bottom" wrapText="0"/>
    </xf>
    <xf borderId="13" fillId="0" fontId="16" numFmtId="0" xfId="0" applyAlignment="1" applyBorder="1" applyFont="1">
      <alignment horizontal="right" readingOrder="0" shrinkToFit="0" vertical="bottom" wrapText="0"/>
    </xf>
    <xf borderId="13" fillId="0" fontId="16" numFmtId="2" xfId="0" applyAlignment="1" applyBorder="1" applyFont="1" applyNumberFormat="1">
      <alignment horizontal="right" readingOrder="0" shrinkToFit="0" vertical="bottom" wrapText="0"/>
    </xf>
    <xf borderId="13" fillId="0" fontId="16" numFmtId="2" xfId="0" applyAlignment="1" applyBorder="1" applyFont="1" applyNumberFormat="1">
      <alignment horizontal="right" readingOrder="0" shrinkToFit="0" vertical="center" wrapText="0"/>
    </xf>
    <xf borderId="15" fillId="0" fontId="9" numFmtId="0" xfId="0" applyAlignment="1" applyBorder="1" applyFont="1">
      <alignment horizontal="left" shrinkToFit="0" vertical="center" wrapText="0"/>
    </xf>
    <xf borderId="13" fillId="6" fontId="14" numFmtId="168" xfId="0" applyAlignment="1" applyBorder="1" applyFill="1" applyFont="1" applyNumberFormat="1">
      <alignment horizontal="right" readingOrder="0" shrinkToFit="0" vertical="bottom" wrapText="0"/>
    </xf>
    <xf borderId="15" fillId="0" fontId="9" numFmtId="0" xfId="0" applyAlignment="1" applyBorder="1" applyFont="1">
      <alignment horizontal="left" readingOrder="0" shrinkToFit="0" vertical="center" wrapText="0"/>
    </xf>
    <xf borderId="16" fillId="0" fontId="14" numFmtId="168" xfId="0" applyAlignment="1" applyBorder="1" applyFont="1" applyNumberFormat="1">
      <alignment horizontal="right" readingOrder="0" shrinkToFit="0" vertical="bottom" wrapText="0"/>
    </xf>
    <xf borderId="12" fillId="0" fontId="8" numFmtId="168" xfId="0" applyAlignment="1" applyBorder="1" applyFont="1" applyNumberFormat="1">
      <alignment horizontal="right" readingOrder="0" shrinkToFit="0" vertical="center" wrapText="0"/>
    </xf>
    <xf borderId="15" fillId="0" fontId="8" numFmtId="168" xfId="0" applyAlignment="1" applyBorder="1" applyFont="1" applyNumberFormat="1">
      <alignment horizontal="right" shrinkToFit="0" vertical="center" wrapText="0"/>
    </xf>
    <xf borderId="15" fillId="0" fontId="10" numFmtId="0" xfId="0" applyAlignment="1" applyBorder="1" applyFont="1">
      <alignment horizontal="right" shrinkToFit="0" vertical="center" wrapText="0"/>
    </xf>
    <xf borderId="15" fillId="0" fontId="8" numFmtId="2" xfId="0" applyAlignment="1" applyBorder="1" applyFont="1" applyNumberFormat="1">
      <alignment horizontal="right" shrinkToFit="0" vertical="center" wrapText="0"/>
    </xf>
    <xf borderId="15" fillId="0" fontId="9" numFmtId="0" xfId="0" applyAlignment="1" applyBorder="1" applyFont="1">
      <alignment horizontal="right" shrinkToFit="0" vertical="center" wrapText="0"/>
    </xf>
    <xf borderId="17" fillId="0" fontId="9" numFmtId="0" xfId="0" applyAlignment="1" applyBorder="1" applyFont="1">
      <alignment horizontal="right" shrinkToFit="0" vertical="center" wrapText="0"/>
    </xf>
    <xf borderId="15" fillId="0" fontId="9" numFmtId="2" xfId="0" applyAlignment="1" applyBorder="1" applyFont="1" applyNumberFormat="1">
      <alignment horizontal="right" shrinkToFit="0" vertical="center" wrapText="0"/>
    </xf>
    <xf borderId="15" fillId="6" fontId="14" numFmtId="168" xfId="0" applyAlignment="1" applyBorder="1" applyFont="1" applyNumberFormat="1">
      <alignment horizontal="right" readingOrder="0" shrinkToFit="0" vertical="bottom" wrapText="0"/>
    </xf>
    <xf borderId="15" fillId="0" fontId="16" numFmtId="0" xfId="0" applyAlignment="1" applyBorder="1" applyFont="1">
      <alignment horizontal="right" readingOrder="0" shrinkToFit="0" vertical="bottom" wrapText="0"/>
    </xf>
    <xf borderId="15" fillId="0" fontId="14" numFmtId="2" xfId="0" applyAlignment="1" applyBorder="1" applyFont="1" applyNumberFormat="1">
      <alignment horizontal="right" readingOrder="0" shrinkToFit="0" vertical="bottom" wrapText="0"/>
    </xf>
    <xf borderId="17" fillId="0" fontId="16" numFmtId="0" xfId="0" applyAlignment="1" applyBorder="1" applyFont="1">
      <alignment horizontal="right" readingOrder="0" shrinkToFit="0" vertical="bottom" wrapText="0"/>
    </xf>
    <xf borderId="15" fillId="0" fontId="16" numFmtId="2" xfId="0" applyAlignment="1" applyBorder="1" applyFont="1" applyNumberFormat="1">
      <alignment horizontal="right" readingOrder="0" shrinkToFit="0" vertical="center" wrapText="0"/>
    </xf>
    <xf borderId="15" fillId="7" fontId="16" numFmtId="0" xfId="0" applyAlignment="1" applyBorder="1" applyFill="1" applyFont="1">
      <alignment horizontal="left" readingOrder="0" shrinkToFit="0" vertical="bottom" wrapText="0"/>
    </xf>
    <xf borderId="15" fillId="8" fontId="14" numFmtId="168" xfId="0" applyAlignment="1" applyBorder="1" applyFill="1" applyFont="1" applyNumberFormat="1">
      <alignment horizontal="right" readingOrder="0" shrinkToFit="0" vertical="bottom" wrapText="0"/>
    </xf>
    <xf borderId="15" fillId="8" fontId="16" numFmtId="0" xfId="0" applyAlignment="1" applyBorder="1" applyFont="1">
      <alignment horizontal="right" readingOrder="0" shrinkToFit="0" vertical="bottom" wrapText="0"/>
    </xf>
    <xf borderId="15" fillId="8" fontId="14" numFmtId="2" xfId="0" applyAlignment="1" applyBorder="1" applyFont="1" applyNumberFormat="1">
      <alignment horizontal="right" readingOrder="0" shrinkToFit="0" vertical="bottom" wrapText="0"/>
    </xf>
    <xf borderId="17" fillId="8" fontId="16" numFmtId="0" xfId="0" applyAlignment="1" applyBorder="1" applyFont="1">
      <alignment horizontal="right" readingOrder="0" shrinkToFit="0" vertical="bottom" wrapText="0"/>
    </xf>
    <xf borderId="13" fillId="8" fontId="16" numFmtId="2" xfId="0" applyAlignment="1" applyBorder="1" applyFont="1" applyNumberFormat="1">
      <alignment horizontal="right" readingOrder="0" shrinkToFit="0" vertical="bottom" wrapText="0"/>
    </xf>
    <xf borderId="15" fillId="8" fontId="16" numFmtId="2" xfId="0" applyAlignment="1" applyBorder="1" applyFont="1" applyNumberFormat="1">
      <alignment horizontal="right" readingOrder="0" shrinkToFit="0" vertical="center" wrapText="0"/>
    </xf>
    <xf borderId="15" fillId="0" fontId="16" numFmtId="0" xfId="0" applyAlignment="1" applyBorder="1" applyFont="1">
      <alignment horizontal="left" readingOrder="0" shrinkToFit="0" vertical="bottom" wrapText="0"/>
    </xf>
    <xf borderId="15" fillId="0" fontId="14" numFmtId="168" xfId="0" applyAlignment="1" applyBorder="1" applyFont="1" applyNumberFormat="1">
      <alignment horizontal="right" readingOrder="0" shrinkToFit="0" vertical="bottom" wrapText="0"/>
    </xf>
    <xf borderId="13" fillId="0" fontId="15" numFmtId="0" xfId="0" applyAlignment="1" applyBorder="1" applyFont="1">
      <alignment horizontal="right" readingOrder="0" shrinkToFit="0" vertical="center" wrapText="0"/>
    </xf>
    <xf borderId="13" fillId="0" fontId="14" numFmtId="2" xfId="0" applyAlignment="1" applyBorder="1" applyFont="1" applyNumberFormat="1">
      <alignment horizontal="right" readingOrder="0" shrinkToFit="0" vertical="center" wrapText="0"/>
    </xf>
    <xf borderId="13" fillId="0" fontId="15" numFmtId="0" xfId="0" applyAlignment="1" applyBorder="1" applyFont="1">
      <alignment horizontal="right" shrinkToFit="0" vertical="center" wrapText="0"/>
    </xf>
    <xf borderId="13" fillId="0" fontId="14" numFmtId="2" xfId="0" applyAlignment="1" applyBorder="1" applyFont="1" applyNumberFormat="1">
      <alignment horizontal="right" shrinkToFit="0" vertical="center" wrapText="0"/>
    </xf>
    <xf borderId="13" fillId="0" fontId="16" numFmtId="0" xfId="0" applyAlignment="1" applyBorder="1" applyFont="1">
      <alignment horizontal="right" shrinkToFit="0" vertical="center" wrapText="0"/>
    </xf>
    <xf borderId="13" fillId="0" fontId="16" numFmtId="2" xfId="0" applyAlignment="1" applyBorder="1" applyFont="1" applyNumberFormat="1">
      <alignment horizontal="right" shrinkToFit="0" vertical="center" wrapText="0"/>
    </xf>
    <xf borderId="13" fillId="0" fontId="14" numFmtId="168" xfId="0" applyAlignment="1" applyBorder="1" applyFont="1" applyNumberFormat="1">
      <alignment horizontal="right" shrinkToFit="0" vertical="center" wrapText="0"/>
    </xf>
    <xf borderId="13" fillId="0" fontId="14" numFmtId="168" xfId="0" applyAlignment="1" applyBorder="1" applyFont="1" applyNumberFormat="1">
      <alignment horizontal="right" readingOrder="0" shrinkToFit="0" vertical="center" wrapText="0"/>
    </xf>
    <xf borderId="13" fillId="9" fontId="17" numFmtId="0" xfId="0" applyAlignment="1" applyBorder="1" applyFill="1" applyFont="1">
      <alignment horizontal="right" shrinkToFit="0" vertical="center" wrapText="0"/>
    </xf>
    <xf borderId="13" fillId="9" fontId="17" numFmtId="2" xfId="0" applyAlignment="1" applyBorder="1" applyFont="1" applyNumberFormat="1">
      <alignment horizontal="right" shrinkToFit="0" vertical="center" wrapText="0"/>
    </xf>
    <xf borderId="13" fillId="9" fontId="18" numFmtId="2" xfId="0" applyAlignment="1" applyBorder="1" applyFont="1" applyNumberFormat="1">
      <alignment horizontal="right" shrinkToFit="0" vertical="center" wrapText="0"/>
    </xf>
    <xf borderId="15" fillId="6" fontId="16" numFmtId="0" xfId="0" applyAlignment="1" applyBorder="1" applyFont="1">
      <alignment horizontal="right" readingOrder="0" shrinkToFit="0" vertical="bottom" wrapText="0"/>
    </xf>
    <xf borderId="15" fillId="6" fontId="14" numFmtId="2" xfId="0" applyAlignment="1" applyBorder="1" applyFont="1" applyNumberFormat="1">
      <alignment horizontal="right" readingOrder="0" shrinkToFit="0" vertical="bottom" wrapText="0"/>
    </xf>
    <xf borderId="17" fillId="6" fontId="16" numFmtId="0" xfId="0" applyAlignment="1" applyBorder="1" applyFont="1">
      <alignment horizontal="right" readingOrder="0" shrinkToFit="0" vertical="bottom" wrapText="0"/>
    </xf>
    <xf borderId="13" fillId="6" fontId="16" numFmtId="2" xfId="0" applyAlignment="1" applyBorder="1" applyFont="1" applyNumberFormat="1">
      <alignment horizontal="right" readingOrder="0" shrinkToFit="0" vertical="bottom" wrapText="0"/>
    </xf>
    <xf borderId="15" fillId="6" fontId="16" numFmtId="2" xfId="0" applyAlignment="1" applyBorder="1" applyFont="1" applyNumberFormat="1">
      <alignment horizontal="right" readingOrder="0" shrinkToFit="0" vertical="center" wrapText="0"/>
    </xf>
    <xf borderId="15" fillId="7" fontId="14" numFmtId="168" xfId="0" applyAlignment="1" applyBorder="1" applyFont="1" applyNumberFormat="1">
      <alignment horizontal="right" readingOrder="0" shrinkToFit="0" vertical="bottom" wrapText="0"/>
    </xf>
    <xf borderId="15" fillId="7" fontId="16" numFmtId="0" xfId="0" applyAlignment="1" applyBorder="1" applyFont="1">
      <alignment horizontal="right" readingOrder="0" shrinkToFit="0" vertical="bottom" wrapText="0"/>
    </xf>
    <xf borderId="15" fillId="7" fontId="14" numFmtId="2" xfId="0" applyAlignment="1" applyBorder="1" applyFont="1" applyNumberFormat="1">
      <alignment horizontal="right" readingOrder="0" shrinkToFit="0" vertical="bottom" wrapText="0"/>
    </xf>
    <xf borderId="17" fillId="7" fontId="16" numFmtId="0" xfId="0" applyAlignment="1" applyBorder="1" applyFont="1">
      <alignment horizontal="right" readingOrder="0" shrinkToFit="0" vertical="bottom" wrapText="0"/>
    </xf>
    <xf borderId="13" fillId="7" fontId="16" numFmtId="2" xfId="0" applyAlignment="1" applyBorder="1" applyFont="1" applyNumberFormat="1">
      <alignment horizontal="right" readingOrder="0" shrinkToFit="0" vertical="bottom" wrapText="0"/>
    </xf>
    <xf borderId="15" fillId="7" fontId="16" numFmtId="2" xfId="0" applyAlignment="1" applyBorder="1" applyFont="1" applyNumberFormat="1">
      <alignment horizontal="right" readingOrder="0" shrinkToFit="0" vertical="center" wrapText="0"/>
    </xf>
    <xf borderId="13" fillId="7" fontId="14" numFmtId="168" xfId="0" applyAlignment="1" applyBorder="1" applyFont="1" applyNumberFormat="1">
      <alignment horizontal="right" readingOrder="0" shrinkToFit="0" vertical="center" wrapText="0"/>
    </xf>
    <xf borderId="13" fillId="7" fontId="15" numFmtId="0" xfId="0" applyAlignment="1" applyBorder="1" applyFont="1">
      <alignment horizontal="right" readingOrder="0" shrinkToFit="0" vertical="center" wrapText="0"/>
    </xf>
    <xf borderId="13" fillId="7" fontId="14" numFmtId="2" xfId="0" applyAlignment="1" applyBorder="1" applyFont="1" applyNumberFormat="1">
      <alignment horizontal="right" readingOrder="0" shrinkToFit="0" vertical="center" wrapText="0"/>
    </xf>
    <xf borderId="13" fillId="7" fontId="17" numFmtId="0" xfId="0" applyAlignment="1" applyBorder="1" applyFont="1">
      <alignment horizontal="right" shrinkToFit="0" vertical="center" wrapText="0"/>
    </xf>
    <xf borderId="13" fillId="7" fontId="17" numFmtId="2" xfId="0" applyAlignment="1" applyBorder="1" applyFont="1" applyNumberFormat="1">
      <alignment horizontal="right" shrinkToFit="0" vertical="center" wrapText="0"/>
    </xf>
    <xf borderId="13" fillId="7" fontId="18" numFmtId="2" xfId="0" applyAlignment="1" applyBorder="1" applyFont="1" applyNumberFormat="1">
      <alignment horizontal="right" shrinkToFit="0" vertical="center" wrapText="0"/>
    </xf>
    <xf borderId="15" fillId="7" fontId="14" numFmtId="168" xfId="0" applyAlignment="1" applyBorder="1" applyFont="1" applyNumberFormat="1">
      <alignment horizontal="right" shrinkToFit="0" vertical="center" wrapText="0"/>
    </xf>
    <xf borderId="15" fillId="7" fontId="15" numFmtId="0" xfId="0" applyAlignment="1" applyBorder="1" applyFont="1">
      <alignment horizontal="right" shrinkToFit="0" vertical="center" wrapText="0"/>
    </xf>
    <xf borderId="15" fillId="7" fontId="14" numFmtId="2" xfId="0" applyAlignment="1" applyBorder="1" applyFont="1" applyNumberFormat="1">
      <alignment horizontal="right" shrinkToFit="0" vertical="center" wrapText="0"/>
    </xf>
    <xf borderId="15" fillId="7" fontId="16" numFmtId="0" xfId="0" applyAlignment="1" applyBorder="1" applyFont="1">
      <alignment horizontal="right" shrinkToFit="0" vertical="center" wrapText="0"/>
    </xf>
    <xf borderId="17" fillId="7" fontId="16" numFmtId="0" xfId="0" applyAlignment="1" applyBorder="1" applyFont="1">
      <alignment horizontal="right" shrinkToFit="0" vertical="center" wrapText="0"/>
    </xf>
    <xf borderId="13" fillId="7" fontId="16" numFmtId="2" xfId="0" applyAlignment="1" applyBorder="1" applyFont="1" applyNumberFormat="1">
      <alignment horizontal="right" shrinkToFit="0" vertical="center" wrapText="0"/>
    </xf>
    <xf borderId="15" fillId="7" fontId="16" numFmtId="2" xfId="0" applyAlignment="1" applyBorder="1" applyFont="1" applyNumberFormat="1">
      <alignment horizontal="right" shrinkToFit="0" vertical="center" wrapText="0"/>
    </xf>
    <xf borderId="16" fillId="0" fontId="9" numFmtId="0" xfId="0" applyAlignment="1" applyBorder="1" applyFont="1">
      <alignment horizontal="left" shrinkToFit="0" vertical="center" wrapText="0"/>
    </xf>
    <xf borderId="15" fillId="7" fontId="14" numFmtId="168" xfId="0" applyAlignment="1" applyBorder="1" applyFont="1" applyNumberFormat="1">
      <alignment horizontal="right" readingOrder="0" shrinkToFit="0" vertical="center" wrapText="0"/>
    </xf>
    <xf borderId="15" fillId="7" fontId="15" numFmtId="0" xfId="0" applyAlignment="1" applyBorder="1" applyFont="1">
      <alignment horizontal="right" readingOrder="0" shrinkToFit="0" vertical="center" wrapText="0"/>
    </xf>
    <xf borderId="15" fillId="7" fontId="14" numFmtId="2" xfId="0" applyAlignment="1" applyBorder="1" applyFont="1" applyNumberFormat="1">
      <alignment horizontal="right" readingOrder="0" shrinkToFit="0" vertical="center" wrapText="0"/>
    </xf>
    <xf borderId="0" fillId="0" fontId="9" numFmtId="0" xfId="0" applyAlignment="1" applyFont="1">
      <alignment shrinkToFit="0" vertical="center" wrapText="0"/>
    </xf>
    <xf borderId="13" fillId="7" fontId="15" numFmtId="49" xfId="0" applyAlignment="1" applyBorder="1" applyFont="1" applyNumberFormat="1">
      <alignment shrinkToFit="0" vertical="center" wrapText="0"/>
    </xf>
    <xf borderId="13" fillId="7" fontId="14" numFmtId="168" xfId="0" applyAlignment="1" applyBorder="1" applyFont="1" applyNumberFormat="1">
      <alignment horizontal="right" shrinkToFit="0" vertical="center" wrapText="0"/>
    </xf>
    <xf borderId="13" fillId="7" fontId="15" numFmtId="0" xfId="0" applyAlignment="1" applyBorder="1" applyFont="1">
      <alignment horizontal="right" shrinkToFit="0" vertical="center" wrapText="0"/>
    </xf>
    <xf borderId="13" fillId="7" fontId="14" numFmtId="2" xfId="0" applyAlignment="1" applyBorder="1" applyFont="1" applyNumberFormat="1">
      <alignment horizontal="right" shrinkToFit="0" vertical="center" wrapText="0"/>
    </xf>
    <xf borderId="13" fillId="7" fontId="16" numFmtId="0" xfId="0" applyAlignment="1" applyBorder="1" applyFont="1">
      <alignment horizontal="right" shrinkToFit="0" vertical="center" wrapText="0"/>
    </xf>
    <xf borderId="13" fillId="7" fontId="15" numFmtId="49" xfId="0" applyAlignment="1" applyBorder="1" applyFont="1" applyNumberFormat="1">
      <alignment readingOrder="0" shrinkToFit="0" vertical="center" wrapText="0"/>
    </xf>
    <xf borderId="16" fillId="0" fontId="8" numFmtId="0" xfId="0" applyAlignment="1" applyBorder="1" applyFont="1">
      <alignment horizontal="center" readingOrder="0" shrinkToFit="0" vertical="center" wrapText="0"/>
    </xf>
    <xf borderId="16" fillId="0" fontId="8" numFmtId="167" xfId="0" applyAlignment="1" applyBorder="1" applyFont="1" applyNumberFormat="1">
      <alignment horizontal="center" shrinkToFit="0" vertical="center" wrapText="0"/>
    </xf>
    <xf borderId="16" fillId="0" fontId="8" numFmtId="0" xfId="0" applyAlignment="1" applyBorder="1" applyFont="1">
      <alignment horizontal="center" shrinkToFit="0" vertical="center" wrapText="0"/>
    </xf>
    <xf borderId="15" fillId="7" fontId="16" numFmtId="0" xfId="0" applyAlignment="1" applyBorder="1" applyFont="1">
      <alignment readingOrder="0" shrinkToFit="0" vertical="bottom" wrapText="0"/>
    </xf>
    <xf borderId="17" fillId="0" fontId="8" numFmtId="2" xfId="0" applyAlignment="1" applyBorder="1" applyFont="1" applyNumberFormat="1">
      <alignment readingOrder="0" shrinkToFit="0" vertical="center" wrapText="0"/>
    </xf>
    <xf borderId="13" fillId="7" fontId="16" numFmtId="0" xfId="0" applyAlignment="1" applyBorder="1" applyFont="1">
      <alignment horizontal="right" readingOrder="0" shrinkToFit="0" vertical="center" wrapText="0"/>
    </xf>
    <xf borderId="13" fillId="7" fontId="16" numFmtId="2" xfId="0" applyAlignment="1" applyBorder="1" applyFont="1" applyNumberFormat="1">
      <alignment horizontal="right" readingOrder="0" shrinkToFit="0" vertical="center" wrapText="0"/>
    </xf>
    <xf borderId="16" fillId="0" fontId="9" numFmtId="0" xfId="0" applyAlignment="1" applyBorder="1" applyFont="1">
      <alignment horizontal="left" readingOrder="0" shrinkToFit="0" vertical="center" wrapText="0"/>
    </xf>
    <xf borderId="16" fillId="0" fontId="10" numFmtId="49" xfId="0" applyAlignment="1" applyBorder="1" applyFont="1" applyNumberFormat="1">
      <alignment readingOrder="0" shrinkToFit="0" vertical="center" wrapText="0"/>
    </xf>
    <xf borderId="16" fillId="0" fontId="8" numFmtId="168" xfId="0" applyAlignment="1" applyBorder="1" applyFont="1" applyNumberFormat="1">
      <alignment horizontal="right" readingOrder="0" shrinkToFit="0" vertical="center" wrapText="0"/>
    </xf>
    <xf borderId="16" fillId="0" fontId="10" numFmtId="0" xfId="0" applyAlignment="1" applyBorder="1" applyFont="1">
      <alignment horizontal="right" readingOrder="0" shrinkToFit="0" vertical="center" wrapText="0"/>
    </xf>
    <xf borderId="16" fillId="0" fontId="8" numFmtId="2" xfId="0" applyAlignment="1" applyBorder="1" applyFont="1" applyNumberFormat="1">
      <alignment horizontal="right" readingOrder="0" shrinkToFit="0" vertical="center" wrapText="0"/>
    </xf>
    <xf borderId="16" fillId="0" fontId="9" numFmtId="0" xfId="0" applyAlignment="1" applyBorder="1" applyFont="1">
      <alignment horizontal="right" readingOrder="0" shrinkToFit="0" vertical="center" wrapText="0"/>
    </xf>
    <xf borderId="16" fillId="0" fontId="9" numFmtId="2" xfId="0" applyAlignment="1" applyBorder="1" applyFont="1" applyNumberFormat="1">
      <alignment horizontal="righ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17" fillId="0" fontId="10" numFmtId="49" xfId="0" applyAlignment="1" applyBorder="1" applyFont="1" applyNumberFormat="1">
      <alignment readingOrder="0" shrinkToFit="0" vertical="center" wrapText="0"/>
    </xf>
    <xf borderId="17" fillId="0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167" xfId="0" applyAlignment="1" applyFont="1" applyNumberForma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10" numFmtId="49" xfId="0" applyAlignment="1" applyFont="1" applyNumberFormat="1">
      <alignment shrinkToFit="0" vertical="center" wrapText="0"/>
    </xf>
    <xf borderId="0" fillId="0" fontId="10" numFmtId="0" xfId="0" applyAlignment="1" applyFont="1">
      <alignment horizontal="right" shrinkToFit="0" vertical="center" wrapText="0"/>
    </xf>
    <xf borderId="0" fillId="0" fontId="8" numFmtId="2" xfId="0" applyAlignment="1" applyFont="1" applyNumberFormat="1">
      <alignment horizontal="right" shrinkToFit="0" vertical="center" wrapText="0"/>
    </xf>
    <xf borderId="0" fillId="0" fontId="9" numFmtId="0" xfId="0" applyAlignment="1" applyFont="1">
      <alignment horizontal="right" shrinkToFit="0" vertical="center" wrapText="0"/>
    </xf>
    <xf borderId="0" fillId="0" fontId="9" numFmtId="2" xfId="0" applyAlignment="1" applyFont="1" applyNumberFormat="1">
      <alignment horizontal="right" shrinkToFit="0" vertical="center" wrapText="0"/>
    </xf>
    <xf borderId="17" fillId="0" fontId="8" numFmtId="0" xfId="0" applyAlignment="1" applyBorder="1" applyFont="1">
      <alignment horizontal="center" shrinkToFit="0" vertical="center" wrapText="0"/>
    </xf>
    <xf borderId="17" fillId="0" fontId="8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167" xfId="0" applyAlignment="1" applyFont="1" applyNumberFormat="1">
      <alignment horizontal="center" readingOrder="0" shrinkToFit="0" vertical="center" wrapText="0"/>
    </xf>
    <xf borderId="0" fillId="0" fontId="10" numFmtId="49" xfId="0" applyAlignment="1" applyFont="1" applyNumberFormat="1">
      <alignment shrinkToFit="0" vertical="center" wrapText="0"/>
    </xf>
    <xf borderId="0" fillId="0" fontId="10" numFmtId="0" xfId="0" applyAlignment="1" applyFont="1">
      <alignment horizontal="right" shrinkToFit="0" vertical="center" wrapText="0"/>
    </xf>
    <xf borderId="0" fillId="0" fontId="8" numFmtId="2" xfId="0" applyAlignment="1" applyFont="1" applyNumberFormat="1">
      <alignment horizontal="right" shrinkToFit="0" vertical="center" wrapText="0"/>
    </xf>
    <xf borderId="0" fillId="0" fontId="9" numFmtId="0" xfId="0" applyAlignment="1" applyFont="1">
      <alignment horizontal="right" shrinkToFit="0" vertical="center" wrapText="0"/>
    </xf>
    <xf borderId="0" fillId="0" fontId="9" numFmtId="2" xfId="0" applyAlignment="1" applyFont="1" applyNumberFormat="1">
      <alignment horizontal="right" shrinkToFit="0" vertical="center" wrapText="0"/>
    </xf>
    <xf borderId="0" fillId="0" fontId="9" numFmtId="0" xfId="0" applyAlignment="1" applyFont="1">
      <alignment shrinkToFit="0" vertical="center" wrapText="0"/>
    </xf>
    <xf borderId="17" fillId="0" fontId="8" numFmtId="0" xfId="0" applyAlignment="1" applyBorder="1" applyFont="1">
      <alignment horizontal="center"/>
    </xf>
    <xf borderId="17" fillId="0" fontId="9" numFmtId="0" xfId="0" applyBorder="1" applyFont="1"/>
    <xf borderId="0" fillId="0" fontId="9" numFmtId="0" xfId="0" applyAlignment="1" applyFont="1">
      <alignment horizontal="center"/>
    </xf>
    <xf borderId="0" fillId="0" fontId="8" numFmtId="0" xfId="0" applyAlignment="1" applyFont="1">
      <alignment horizontal="right"/>
    </xf>
    <xf borderId="18" fillId="0" fontId="9" numFmtId="0" xfId="0" applyBorder="1" applyFont="1"/>
    <xf borderId="0" fillId="0" fontId="19" numFmtId="0" xfId="0" applyAlignment="1" applyFont="1">
      <alignment horizontal="center"/>
    </xf>
    <xf borderId="0" fillId="0" fontId="20" numFmtId="0" xfId="0" applyFont="1"/>
    <xf borderId="0" fillId="0" fontId="21" numFmtId="2" xfId="0" applyFont="1" applyNumberFormat="1"/>
    <xf borderId="0" fillId="0" fontId="22" numFmtId="2" xfId="0" applyAlignment="1" applyFont="1" applyNumberFormat="1">
      <alignment horizontal="center"/>
    </xf>
    <xf borderId="0" fillId="0" fontId="20" numFmtId="164" xfId="0" applyFont="1" applyNumberFormat="1"/>
    <xf borderId="19" fillId="0" fontId="19" numFmtId="0" xfId="0" applyAlignment="1" applyBorder="1" applyFont="1">
      <alignment horizontal="center" readingOrder="0" shrinkToFit="0" vertical="center" wrapText="1"/>
    </xf>
    <xf borderId="19" fillId="0" fontId="20" numFmtId="0" xfId="0" applyAlignment="1" applyBorder="1" applyFont="1">
      <alignment horizontal="center" readingOrder="0" shrinkToFit="0" vertical="center" wrapText="1"/>
    </xf>
    <xf borderId="0" fillId="0" fontId="23" numFmtId="2" xfId="0" applyAlignment="1" applyFont="1" applyNumberForma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2" numFmtId="2" xfId="0" applyAlignment="1" applyFont="1" applyNumberFormat="1">
      <alignment horizontal="center" readingOrder="0" shrinkToFit="0" vertical="center" wrapText="1"/>
    </xf>
    <xf borderId="0" fillId="0" fontId="24" numFmtId="164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shrinkToFit="0" wrapText="1"/>
    </xf>
    <xf borderId="12" fillId="0" fontId="24" numFmtId="169" xfId="0" applyAlignment="1" applyBorder="1" applyFont="1" applyNumberFormat="1">
      <alignment horizontal="center" readingOrder="0" shrinkToFit="0" vertical="bottom" wrapText="0"/>
    </xf>
    <xf borderId="12" fillId="0" fontId="24" numFmtId="0" xfId="0" applyAlignment="1" applyBorder="1" applyFont="1">
      <alignment horizontal="center" shrinkToFit="0" vertical="bottom" wrapText="0"/>
    </xf>
    <xf borderId="12" fillId="0" fontId="24" numFmtId="0" xfId="0" applyAlignment="1" applyBorder="1" applyFont="1">
      <alignment horizontal="center" readingOrder="0" shrinkToFit="0" vertical="bottom" wrapText="0"/>
    </xf>
    <xf borderId="12" fillId="0" fontId="25" numFmtId="3" xfId="0" applyAlignment="1" applyBorder="1" applyFont="1" applyNumberFormat="1">
      <alignment readingOrder="0" shrinkToFit="0" vertical="bottom" wrapText="0"/>
    </xf>
    <xf borderId="12" fillId="0" fontId="25" numFmtId="0" xfId="0" applyAlignment="1" applyBorder="1" applyFont="1">
      <alignment readingOrder="0" shrinkToFit="0" vertical="bottom" wrapText="0"/>
    </xf>
    <xf borderId="0" fillId="0" fontId="26" numFmtId="2" xfId="0" applyAlignment="1" applyFont="1" applyNumberFormat="1">
      <alignment horizontal="center" shrinkToFit="0" vertical="bottom" wrapText="0"/>
    </xf>
    <xf borderId="0" fillId="0" fontId="24" numFmtId="43" xfId="0" applyAlignment="1" applyFont="1" applyNumberFormat="1">
      <alignment shrinkToFit="0" vertical="bottom" wrapText="0"/>
    </xf>
    <xf borderId="0" fillId="0" fontId="24" numFmtId="0" xfId="0" applyAlignment="1" applyFont="1">
      <alignment horizontal="center" shrinkToFit="0" vertical="bottom" wrapText="0"/>
    </xf>
    <xf borderId="0" fillId="0" fontId="24" numFmtId="164" xfId="0" applyAlignment="1" applyFont="1" applyNumberFormat="1">
      <alignment readingOrder="0" shrinkToFit="0" vertical="bottom" wrapText="0"/>
    </xf>
    <xf borderId="13" fillId="0" fontId="19" numFmtId="169" xfId="0" applyAlignment="1" applyBorder="1" applyFont="1" applyNumberFormat="1">
      <alignment horizontal="center" readingOrder="0" shrinkToFit="0" vertical="center" wrapText="0"/>
    </xf>
    <xf borderId="13" fillId="0" fontId="19" numFmtId="0" xfId="0" applyAlignment="1" applyBorder="1" applyFont="1">
      <alignment horizontal="center" shrinkToFit="0" vertical="center" wrapText="0"/>
    </xf>
    <xf borderId="13" fillId="0" fontId="19" numFmtId="0" xfId="0" applyAlignment="1" applyBorder="1" applyFont="1">
      <alignment horizontal="center" readingOrder="0" shrinkToFit="0" vertical="center" wrapText="0"/>
    </xf>
    <xf borderId="13" fillId="0" fontId="20" numFmtId="3" xfId="0" applyAlignment="1" applyBorder="1" applyFont="1" applyNumberFormat="1">
      <alignment readingOrder="0" shrinkToFit="0" vertical="center" wrapText="0"/>
    </xf>
    <xf borderId="13" fillId="0" fontId="20" numFmtId="0" xfId="0" applyAlignment="1" applyBorder="1" applyFont="1">
      <alignment readingOrder="0" shrinkToFit="0" vertical="center" wrapText="0"/>
    </xf>
    <xf borderId="13" fillId="0" fontId="24" numFmtId="0" xfId="0" applyAlignment="1" applyBorder="1" applyFont="1">
      <alignment horizontal="center" shrinkToFit="0" vertical="bottom" wrapText="0"/>
    </xf>
    <xf borderId="13" fillId="0" fontId="19" numFmtId="169" xfId="0" applyAlignment="1" applyBorder="1" applyFont="1" applyNumberFormat="1">
      <alignment horizontal="center" readingOrder="0" shrinkToFit="0" vertical="center" wrapText="0"/>
    </xf>
    <xf borderId="13" fillId="0" fontId="19" numFmtId="0" xfId="0" applyAlignment="1" applyBorder="1" applyFont="1">
      <alignment horizontal="center" shrinkToFit="0" vertical="center" wrapText="0"/>
    </xf>
    <xf borderId="13" fillId="0" fontId="19" numFmtId="0" xfId="0" applyAlignment="1" applyBorder="1" applyFont="1">
      <alignment horizontal="center" readingOrder="0" shrinkToFit="0" vertical="center" wrapText="0"/>
    </xf>
    <xf borderId="13" fillId="0" fontId="20" numFmtId="3" xfId="0" applyAlignment="1" applyBorder="1" applyFont="1" applyNumberFormat="1">
      <alignment readingOrder="0" shrinkToFit="0" vertical="center" wrapText="0"/>
    </xf>
    <xf borderId="13" fillId="0" fontId="20" numFmtId="0" xfId="0" applyAlignment="1" applyBorder="1" applyFont="1">
      <alignment readingOrder="0" shrinkToFit="0" vertical="center" wrapText="0"/>
    </xf>
    <xf borderId="13" fillId="0" fontId="24" numFmtId="0" xfId="0" applyAlignment="1" applyBorder="1" applyFont="1">
      <alignment horizontal="center" shrinkToFit="0" vertical="bottom" wrapText="0"/>
    </xf>
    <xf borderId="13" fillId="0" fontId="20" numFmtId="0" xfId="0" applyAlignment="1" applyBorder="1" applyFont="1">
      <alignment shrinkToFit="0" vertical="center" wrapText="0"/>
    </xf>
    <xf borderId="0" fillId="0" fontId="19" numFmtId="169" xfId="0" applyAlignment="1" applyFont="1" applyNumberFormat="1">
      <alignment horizontal="center"/>
    </xf>
    <xf borderId="0" fillId="5" fontId="22" numFmtId="2" xfId="0" applyAlignment="1" applyFont="1" applyNumberFormat="1">
      <alignment horizontal="center"/>
    </xf>
    <xf borderId="13" fillId="0" fontId="19" numFmtId="170" xfId="0" applyAlignment="1" applyBorder="1" applyFont="1" applyNumberFormat="1">
      <alignment horizontal="center" readingOrder="0" shrinkToFit="0" vertical="center" wrapText="0"/>
    </xf>
    <xf borderId="13" fillId="0" fontId="20" numFmtId="3" xfId="0" applyAlignment="1" applyBorder="1" applyFont="1" applyNumberFormat="1">
      <alignment shrinkToFit="0" vertical="center" wrapText="0"/>
    </xf>
    <xf borderId="0" fillId="0" fontId="19" numFmtId="170" xfId="0" applyAlignment="1" applyFont="1" applyNumberFormat="1">
      <alignment horizontal="center"/>
    </xf>
    <xf borderId="16" fillId="0" fontId="19" numFmtId="170" xfId="0" applyAlignment="1" applyBorder="1" applyFont="1" applyNumberFormat="1">
      <alignment horizontal="center" readingOrder="0" shrinkToFit="0" vertical="center" wrapText="0"/>
    </xf>
    <xf borderId="16" fillId="0" fontId="19" numFmtId="0" xfId="0" applyAlignment="1" applyBorder="1" applyFont="1">
      <alignment horizontal="center" readingOrder="0" shrinkToFit="0" vertical="center" wrapText="0"/>
    </xf>
    <xf borderId="16" fillId="0" fontId="20" numFmtId="3" xfId="0" applyAlignment="1" applyBorder="1" applyFont="1" applyNumberFormat="1">
      <alignment readingOrder="0" shrinkToFit="0" vertical="center" wrapText="0"/>
    </xf>
    <xf borderId="16" fillId="0" fontId="20" numFmtId="0" xfId="0" applyAlignment="1" applyBorder="1" applyFont="1">
      <alignment shrinkToFit="0" vertical="center" wrapText="0"/>
    </xf>
    <xf borderId="16" fillId="0" fontId="24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horizontal="center" shrinkToFit="0" vertical="center" wrapText="0"/>
    </xf>
    <xf borderId="0" fillId="0" fontId="20" numFmtId="3" xfId="0" applyAlignment="1" applyFont="1" applyNumberFormat="1">
      <alignment shrinkToFit="0" vertical="center" wrapText="0"/>
    </xf>
    <xf borderId="0" fillId="0" fontId="20" numFmtId="0" xfId="0" applyAlignment="1" applyFont="1">
      <alignment shrinkToFit="0" vertical="center" wrapText="0"/>
    </xf>
    <xf borderId="0" fillId="0" fontId="24" numFmtId="0" xfId="0" applyAlignment="1" applyFont="1">
      <alignment horizontal="center" shrinkToFit="0" vertical="bottom" wrapText="0"/>
    </xf>
    <xf borderId="0" fillId="0" fontId="19" numFmtId="170" xfId="0" applyAlignment="1" applyFont="1" applyNumberForma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20" numFmtId="3" xfId="0" applyAlignment="1" applyFont="1" applyNumberForma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27" numFmtId="3" xfId="0" applyAlignment="1" applyFont="1" applyNumberFormat="1">
      <alignment readingOrder="0" shrinkToFit="0" vertical="center" wrapText="0"/>
    </xf>
    <xf borderId="0" fillId="0" fontId="19" numFmtId="171" xfId="0" applyAlignment="1" applyFont="1" applyNumberFormat="1">
      <alignment horizontal="center" readingOrder="0" shrinkToFit="0" vertical="center" wrapText="0"/>
    </xf>
    <xf borderId="20" fillId="7" fontId="28" numFmtId="170" xfId="0" applyAlignment="1" applyBorder="1" applyFont="1" applyNumberFormat="1">
      <alignment horizontal="center" shrinkToFit="0" vertical="center" wrapText="0"/>
    </xf>
    <xf borderId="21" fillId="7" fontId="28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readingOrder="0"/>
    </xf>
    <xf borderId="0" fillId="0" fontId="8" numFmtId="172" xfId="0" applyAlignment="1" applyFont="1" applyNumberFormat="1">
      <alignment horizontal="center"/>
    </xf>
    <xf borderId="0" fillId="0" fontId="10" numFmtId="172" xfId="0" applyAlignment="1" applyFont="1" applyNumberFormat="1">
      <alignment horizontal="center"/>
    </xf>
    <xf borderId="0" fillId="0" fontId="8" numFmtId="173" xfId="0" applyAlignment="1" applyFont="1" applyNumberFormat="1">
      <alignment horizontal="center"/>
    </xf>
    <xf borderId="0" fillId="0" fontId="10" numFmtId="173" xfId="0" applyAlignment="1" applyFont="1" applyNumberFormat="1">
      <alignment horizontal="center"/>
    </xf>
    <xf borderId="0" fillId="0" fontId="9" numFmtId="173" xfId="0" applyAlignment="1" applyFont="1" applyNumberFormat="1">
      <alignment horizontal="center"/>
    </xf>
    <xf borderId="0" fillId="0" fontId="29" numFmtId="17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172" xfId="0" applyAlignment="1" applyFont="1" applyNumberFormat="1">
      <alignment horizontal="center"/>
    </xf>
    <xf borderId="0" fillId="10" fontId="30" numFmtId="10" xfId="0" applyAlignment="1" applyFill="1" applyFont="1" applyNumberFormat="1">
      <alignment horizontal="center"/>
    </xf>
    <xf borderId="22" fillId="11" fontId="8" numFmtId="0" xfId="0" applyAlignment="1" applyBorder="1" applyFill="1" applyFont="1">
      <alignment horizontal="center" readingOrder="0" shrinkToFit="0" vertical="center" wrapText="1"/>
    </xf>
    <xf borderId="23" fillId="12" fontId="8" numFmtId="0" xfId="0" applyAlignment="1" applyBorder="1" applyFill="1" applyFont="1">
      <alignment horizontal="center" readingOrder="0" shrinkToFit="0" vertical="center" wrapText="1"/>
    </xf>
    <xf borderId="24" fillId="12" fontId="8" numFmtId="0" xfId="0" applyAlignment="1" applyBorder="1" applyFont="1">
      <alignment horizontal="center" readingOrder="0" shrinkToFit="0" vertical="center" wrapText="1"/>
    </xf>
    <xf borderId="25" fillId="12" fontId="8" numFmtId="0" xfId="0" applyAlignment="1" applyBorder="1" applyFont="1">
      <alignment horizontal="center" readingOrder="0" shrinkToFit="0" vertical="center" wrapText="1"/>
    </xf>
    <xf borderId="23" fillId="13" fontId="11" numFmtId="0" xfId="0" applyAlignment="1" applyBorder="1" applyFill="1" applyFont="1">
      <alignment horizontal="center" readingOrder="0" shrinkToFit="0" vertical="center" wrapText="1"/>
    </xf>
    <xf borderId="24" fillId="13" fontId="11" numFmtId="0" xfId="0" applyAlignment="1" applyBorder="1" applyFont="1">
      <alignment horizontal="center" readingOrder="0" shrinkToFit="0" vertical="center" wrapText="1"/>
    </xf>
    <xf borderId="25" fillId="13" fontId="11" numFmtId="0" xfId="0" applyAlignment="1" applyBorder="1" applyFont="1">
      <alignment horizontal="center" readingOrder="0" shrinkToFit="0" vertical="center" wrapText="1"/>
    </xf>
    <xf borderId="22" fillId="12" fontId="8" numFmtId="172" xfId="0" applyAlignment="1" applyBorder="1" applyFont="1" applyNumberFormat="1">
      <alignment horizontal="center" readingOrder="0" shrinkToFit="0" vertical="center" wrapText="1"/>
    </xf>
    <xf borderId="22" fillId="13" fontId="11" numFmtId="172" xfId="0" applyAlignment="1" applyBorder="1" applyFont="1" applyNumberFormat="1">
      <alignment horizontal="center" readingOrder="0" shrinkToFit="0" vertical="center" wrapText="1"/>
    </xf>
    <xf borderId="22" fillId="12" fontId="8" numFmtId="173" xfId="0" applyAlignment="1" applyBorder="1" applyFont="1" applyNumberFormat="1">
      <alignment horizontal="center" readingOrder="0" shrinkToFit="0" vertical="center" wrapText="1"/>
    </xf>
    <xf borderId="22" fillId="13" fontId="11" numFmtId="173" xfId="0" applyAlignment="1" applyBorder="1" applyFont="1" applyNumberFormat="1">
      <alignment horizontal="center" readingOrder="0" shrinkToFit="0" vertical="center" wrapText="1"/>
    </xf>
    <xf borderId="22" fillId="10" fontId="30" numFmtId="173" xfId="0" applyAlignment="1" applyBorder="1" applyFont="1" applyNumberFormat="1">
      <alignment horizontal="center" readingOrder="0" shrinkToFit="0" vertical="center" wrapText="1"/>
    </xf>
    <xf borderId="22" fillId="10" fontId="30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26" fillId="0" fontId="8" numFmtId="0" xfId="0" applyAlignment="1" applyBorder="1" applyFont="1">
      <alignment horizontal="center"/>
    </xf>
    <xf borderId="27" fillId="14" fontId="8" numFmtId="0" xfId="0" applyAlignment="1" applyBorder="1" applyFill="1" applyFont="1">
      <alignment horizontal="center"/>
    </xf>
    <xf borderId="28" fillId="14" fontId="8" numFmtId="0" xfId="0" applyAlignment="1" applyBorder="1" applyFont="1">
      <alignment horizontal="center"/>
    </xf>
    <xf borderId="29" fillId="14" fontId="8" numFmtId="0" xfId="0" applyAlignment="1" applyBorder="1" applyFont="1">
      <alignment horizontal="center"/>
    </xf>
    <xf borderId="27" fillId="5" fontId="11" numFmtId="0" xfId="0" applyAlignment="1" applyBorder="1" applyFont="1">
      <alignment horizontal="center"/>
    </xf>
    <xf borderId="28" fillId="5" fontId="11" numFmtId="0" xfId="0" applyAlignment="1" applyBorder="1" applyFont="1">
      <alignment horizontal="center"/>
    </xf>
    <xf borderId="29" fillId="5" fontId="11" numFmtId="0" xfId="0" applyAlignment="1" applyBorder="1" applyFont="1">
      <alignment horizontal="center"/>
    </xf>
    <xf borderId="26" fillId="14" fontId="8" numFmtId="172" xfId="0" applyAlignment="1" applyBorder="1" applyFont="1" applyNumberFormat="1">
      <alignment horizontal="center"/>
    </xf>
    <xf borderId="26" fillId="5" fontId="10" numFmtId="172" xfId="0" applyAlignment="1" applyBorder="1" applyFont="1" applyNumberFormat="1">
      <alignment horizontal="center"/>
    </xf>
    <xf borderId="26" fillId="14" fontId="8" numFmtId="173" xfId="0" applyAlignment="1" applyBorder="1" applyFont="1" applyNumberFormat="1">
      <alignment horizontal="center"/>
    </xf>
    <xf borderId="26" fillId="5" fontId="10" numFmtId="173" xfId="0" applyAlignment="1" applyBorder="1" applyFont="1" applyNumberFormat="1">
      <alignment horizontal="center"/>
    </xf>
    <xf borderId="26" fillId="0" fontId="31" numFmtId="173" xfId="0" applyAlignment="1" applyBorder="1" applyFont="1" applyNumberFormat="1">
      <alignment horizontal="center"/>
    </xf>
    <xf borderId="26" fillId="0" fontId="31" numFmtId="10" xfId="0" applyAlignment="1" applyBorder="1" applyFont="1" applyNumberFormat="1">
      <alignment horizontal="center"/>
    </xf>
    <xf borderId="30" fillId="0" fontId="8" numFmtId="0" xfId="0" applyAlignment="1" applyBorder="1" applyFont="1">
      <alignment horizontal="center"/>
    </xf>
    <xf borderId="31" fillId="14" fontId="8" numFmtId="0" xfId="0" applyAlignment="1" applyBorder="1" applyFont="1">
      <alignment horizontal="center"/>
    </xf>
    <xf borderId="32" fillId="14" fontId="8" numFmtId="0" xfId="0" applyAlignment="1" applyBorder="1" applyFont="1">
      <alignment horizontal="center"/>
    </xf>
    <xf borderId="31" fillId="5" fontId="11" numFmtId="0" xfId="0" applyAlignment="1" applyBorder="1" applyFont="1">
      <alignment horizontal="center"/>
    </xf>
    <xf borderId="32" fillId="5" fontId="11" numFmtId="0" xfId="0" applyAlignment="1" applyBorder="1" applyFont="1">
      <alignment horizontal="center"/>
    </xf>
    <xf borderId="30" fillId="14" fontId="8" numFmtId="172" xfId="0" applyAlignment="1" applyBorder="1" applyFont="1" applyNumberFormat="1">
      <alignment horizontal="center"/>
    </xf>
    <xf borderId="30" fillId="5" fontId="10" numFmtId="172" xfId="0" applyAlignment="1" applyBorder="1" applyFont="1" applyNumberFormat="1">
      <alignment horizontal="center"/>
    </xf>
    <xf borderId="30" fillId="14" fontId="8" numFmtId="173" xfId="0" applyAlignment="1" applyBorder="1" applyFont="1" applyNumberFormat="1">
      <alignment horizontal="center"/>
    </xf>
    <xf borderId="30" fillId="5" fontId="10" numFmtId="173" xfId="0" applyAlignment="1" applyBorder="1" applyFont="1" applyNumberFormat="1">
      <alignment horizontal="center"/>
    </xf>
    <xf borderId="31" fillId="14" fontId="8" numFmtId="0" xfId="0" applyAlignment="1" applyBorder="1" applyFont="1">
      <alignment horizontal="center" readingOrder="0"/>
    </xf>
    <xf borderId="33" fillId="0" fontId="8" numFmtId="0" xfId="0" applyAlignment="1" applyBorder="1" applyFont="1">
      <alignment horizontal="center"/>
    </xf>
    <xf borderId="34" fillId="14" fontId="8" numFmtId="0" xfId="0" applyAlignment="1" applyBorder="1" applyFont="1">
      <alignment horizontal="center"/>
    </xf>
    <xf borderId="35" fillId="14" fontId="8" numFmtId="0" xfId="0" applyAlignment="1" applyBorder="1" applyFont="1">
      <alignment horizontal="center"/>
    </xf>
    <xf borderId="34" fillId="5" fontId="11" numFmtId="0" xfId="0" applyAlignment="1" applyBorder="1" applyFont="1">
      <alignment horizontal="center"/>
    </xf>
    <xf borderId="35" fillId="5" fontId="11" numFmtId="0" xfId="0" applyAlignment="1" applyBorder="1" applyFont="1">
      <alignment horizontal="center"/>
    </xf>
    <xf borderId="33" fillId="14" fontId="8" numFmtId="172" xfId="0" applyAlignment="1" applyBorder="1" applyFont="1" applyNumberFormat="1">
      <alignment horizontal="center"/>
    </xf>
    <xf borderId="33" fillId="5" fontId="10" numFmtId="172" xfId="0" applyAlignment="1" applyBorder="1" applyFont="1" applyNumberFormat="1">
      <alignment horizontal="center"/>
    </xf>
    <xf borderId="33" fillId="14" fontId="8" numFmtId="173" xfId="0" applyAlignment="1" applyBorder="1" applyFont="1" applyNumberFormat="1">
      <alignment horizontal="center"/>
    </xf>
    <xf borderId="33" fillId="5" fontId="10" numFmtId="173" xfId="0" applyAlignment="1" applyBorder="1" applyFont="1" applyNumberFormat="1">
      <alignment horizontal="center"/>
    </xf>
    <xf borderId="5" fillId="0" fontId="31" numFmtId="173" xfId="0" applyAlignment="1" applyBorder="1" applyFont="1" applyNumberFormat="1">
      <alignment horizontal="center"/>
    </xf>
    <xf borderId="0" fillId="0" fontId="8" numFmtId="0" xfId="0" applyAlignment="1" applyFont="1">
      <alignment horizontal="center" readingOrder="0" vertical="center"/>
    </xf>
    <xf borderId="36" fillId="0" fontId="1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horizontal="center" readingOrder="0" vertical="center"/>
    </xf>
    <xf borderId="37" fillId="0" fontId="1" numFmtId="173" xfId="0" applyAlignment="1" applyBorder="1" applyFont="1" applyNumberFormat="1">
      <alignment horizontal="center" readingOrder="0" vertical="center"/>
    </xf>
    <xf borderId="38" fillId="0" fontId="1" numFmtId="175" xfId="0" applyAlignment="1" applyBorder="1" applyFont="1" applyNumberFormat="1">
      <alignment horizontal="center" readingOrder="0" vertical="center"/>
    </xf>
    <xf borderId="39" fillId="0" fontId="4" numFmtId="0" xfId="0" applyBorder="1" applyFont="1"/>
    <xf borderId="40" fillId="0" fontId="1" numFmtId="173" xfId="0" applyAlignment="1" applyBorder="1" applyFont="1" applyNumberFormat="1">
      <alignment horizontal="center" readingOrder="0" vertical="center"/>
    </xf>
    <xf borderId="41" fillId="0" fontId="1" numFmtId="0" xfId="0" applyAlignment="1" applyBorder="1" applyFont="1">
      <alignment horizontal="left" readingOrder="0" vertical="center"/>
    </xf>
    <xf borderId="42" fillId="0" fontId="1" numFmtId="0" xfId="0" applyAlignment="1" applyBorder="1" applyFont="1">
      <alignment horizontal="center" readingOrder="0" vertical="center"/>
    </xf>
    <xf borderId="43" fillId="0" fontId="1" numFmtId="0" xfId="0" applyAlignment="1" applyBorder="1" applyFont="1">
      <alignment horizontal="center" readingOrder="0" vertical="center"/>
    </xf>
    <xf borderId="0" fillId="0" fontId="8" numFmtId="173" xfId="0" applyAlignment="1" applyFont="1" applyNumberFormat="1">
      <alignment horizontal="center" readingOrder="0" vertical="center"/>
    </xf>
    <xf borderId="0" fillId="15" fontId="8" numFmtId="0" xfId="0" applyAlignment="1" applyFill="1" applyFont="1">
      <alignment horizontal="center" vertical="center"/>
    </xf>
    <xf borderId="0" fillId="0" fontId="8" numFmtId="172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44" fillId="0" fontId="4" numFmtId="0" xfId="0" applyBorder="1" applyFont="1"/>
    <xf borderId="45" fillId="0" fontId="4" numFmtId="0" xfId="0" applyBorder="1" applyFont="1"/>
    <xf borderId="46" fillId="0" fontId="1" numFmtId="175" xfId="0" applyAlignment="1" applyBorder="1" applyFont="1" applyNumberFormat="1">
      <alignment horizontal="center" readingOrder="0" vertical="center"/>
    </xf>
    <xf borderId="47" fillId="0" fontId="4" numFmtId="0" xfId="0" applyBorder="1" applyFont="1"/>
    <xf borderId="48" fillId="0" fontId="1" numFmtId="0" xfId="0" applyAlignment="1" applyBorder="1" applyFont="1">
      <alignment horizontal="center" readingOrder="0" vertical="center"/>
    </xf>
    <xf borderId="49" fillId="0" fontId="1" numFmtId="0" xfId="0" applyAlignment="1" applyBorder="1" applyFont="1">
      <alignment horizontal="center" readingOrder="0" vertical="center"/>
    </xf>
    <xf borderId="49" fillId="0" fontId="1" numFmtId="173" xfId="0" applyAlignment="1" applyBorder="1" applyFont="1" applyNumberFormat="1">
      <alignment horizontal="center" readingOrder="0" vertical="center"/>
    </xf>
    <xf borderId="49" fillId="0" fontId="1" numFmtId="176" xfId="0" applyAlignment="1" applyBorder="1" applyFont="1" applyNumberFormat="1">
      <alignment horizontal="center" readingOrder="0" vertical="center"/>
    </xf>
    <xf borderId="50" fillId="0" fontId="1" numFmtId="173" xfId="0" applyAlignment="1" applyBorder="1" applyFont="1" applyNumberFormat="1">
      <alignment horizontal="center" readingOrder="0" vertical="center"/>
    </xf>
    <xf borderId="0" fillId="0" fontId="8" numFmtId="167" xfId="0" applyAlignment="1" applyFont="1" applyNumberFormat="1">
      <alignment horizontal="center" readingOrder="0" vertical="center"/>
    </xf>
    <xf borderId="27" fillId="2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12" fillId="0" fontId="8" numFmtId="173" xfId="0" applyAlignment="1" applyBorder="1" applyFont="1" applyNumberFormat="1">
      <alignment horizontal="center" readingOrder="0" vertical="center"/>
    </xf>
    <xf borderId="12" fillId="0" fontId="8" numFmtId="175" xfId="0" applyAlignment="1" applyBorder="1" applyFont="1" applyNumberFormat="1">
      <alignment horizontal="center" readingOrder="0" vertical="center"/>
    </xf>
    <xf borderId="29" fillId="0" fontId="8" numFmtId="173" xfId="0" applyAlignment="1" applyBorder="1" applyFont="1" applyNumberFormat="1">
      <alignment horizontal="center" readingOrder="0" vertical="center"/>
    </xf>
    <xf borderId="27" fillId="0" fontId="8" numFmtId="0" xfId="0" applyAlignment="1" applyBorder="1" applyFont="1">
      <alignment horizontal="center" readingOrder="0" vertical="center"/>
    </xf>
    <xf borderId="12" fillId="0" fontId="8" numFmtId="176" xfId="0" applyAlignment="1" applyBorder="1" applyFont="1" applyNumberFormat="1">
      <alignment horizontal="center" readingOrder="0" vertical="center"/>
    </xf>
    <xf borderId="31" fillId="0" fontId="8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center"/>
    </xf>
    <xf borderId="13" fillId="0" fontId="8" numFmtId="173" xfId="0" applyAlignment="1" applyBorder="1" applyFont="1" applyNumberFormat="1">
      <alignment horizontal="center" readingOrder="0" vertical="center"/>
    </xf>
    <xf borderId="13" fillId="0" fontId="8" numFmtId="175" xfId="0" applyAlignment="1" applyBorder="1" applyFont="1" applyNumberFormat="1">
      <alignment horizontal="center" readingOrder="0" vertical="center"/>
    </xf>
    <xf borderId="32" fillId="0" fontId="8" numFmtId="173" xfId="0" applyAlignment="1" applyBorder="1" applyFont="1" applyNumberFormat="1">
      <alignment horizontal="center" readingOrder="0" vertical="center"/>
    </xf>
    <xf borderId="13" fillId="0" fontId="8" numFmtId="176" xfId="0" applyAlignment="1" applyBorder="1" applyFont="1" applyNumberFormat="1">
      <alignment horizontal="center" readingOrder="0" vertical="center"/>
    </xf>
    <xf borderId="34" fillId="0" fontId="8" numFmtId="0" xfId="0" applyAlignment="1" applyBorder="1" applyFont="1">
      <alignment horizontal="center" readingOrder="0" vertical="center"/>
    </xf>
    <xf borderId="51" fillId="0" fontId="8" numFmtId="0" xfId="0" applyAlignment="1" applyBorder="1" applyFont="1">
      <alignment horizontal="center" readingOrder="0" vertical="center"/>
    </xf>
    <xf borderId="51" fillId="0" fontId="8" numFmtId="173" xfId="0" applyAlignment="1" applyBorder="1" applyFont="1" applyNumberFormat="1">
      <alignment horizontal="center" readingOrder="0" vertical="center"/>
    </xf>
    <xf borderId="51" fillId="0" fontId="8" numFmtId="175" xfId="0" applyAlignment="1" applyBorder="1" applyFont="1" applyNumberFormat="1">
      <alignment horizontal="center" readingOrder="0" vertical="center"/>
    </xf>
    <xf borderId="35" fillId="0" fontId="8" numFmtId="173" xfId="0" applyAlignment="1" applyBorder="1" applyFont="1" applyNumberFormat="1">
      <alignment horizontal="center" readingOrder="0" vertical="center"/>
    </xf>
    <xf borderId="51" fillId="0" fontId="8" numFmtId="176" xfId="0" applyAlignment="1" applyBorder="1" applyFont="1" applyNumberFormat="1">
      <alignment horizontal="center" readingOrder="0" vertical="center"/>
    </xf>
    <xf borderId="0" fillId="0" fontId="8" numFmtId="175" xfId="0" applyAlignment="1" applyFont="1" applyNumberFormat="1">
      <alignment horizontal="center" readingOrder="0" vertical="center"/>
    </xf>
    <xf borderId="0" fillId="0" fontId="8" numFmtId="176" xfId="0" applyAlignment="1" applyFont="1" applyNumberFormat="1">
      <alignment horizontal="center" readingOrder="0" vertical="center"/>
    </xf>
    <xf borderId="2" fillId="0" fontId="8" numFmtId="167" xfId="0" applyAlignment="1" applyBorder="1" applyFont="1" applyNumberForma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52" fillId="0" fontId="8" numFmtId="0" xfId="0" applyAlignment="1" applyBorder="1" applyFont="1">
      <alignment horizontal="center" readingOrder="0" vertical="center"/>
    </xf>
    <xf borderId="2" fillId="0" fontId="8" numFmtId="173" xfId="0" applyAlignment="1" applyBorder="1" applyFont="1" applyNumberFormat="1">
      <alignment horizontal="center" readingOrder="0" vertical="center"/>
    </xf>
    <xf borderId="3" fillId="0" fontId="8" numFmtId="173" xfId="0" applyAlignment="1" applyBorder="1" applyFont="1" applyNumberFormat="1">
      <alignment horizontal="center" readingOrder="0" vertical="center"/>
    </xf>
    <xf borderId="53" fillId="0" fontId="8" numFmtId="175" xfId="0" applyAlignment="1" applyBorder="1" applyFont="1" applyNumberFormat="1">
      <alignment horizontal="center" readingOrder="0" vertical="center"/>
    </xf>
    <xf borderId="54" fillId="0" fontId="4" numFmtId="0" xfId="0" applyBorder="1" applyFont="1"/>
    <xf borderId="4" fillId="0" fontId="8" numFmtId="0" xfId="0" applyAlignment="1" applyBorder="1" applyFont="1">
      <alignment horizontal="center" readingOrder="0" vertical="center"/>
    </xf>
    <xf borderId="55" fillId="0" fontId="8" numFmtId="0" xfId="0" applyAlignment="1" applyBorder="1" applyFont="1">
      <alignment horizontal="center" readingOrder="0" vertical="center"/>
    </xf>
    <xf borderId="41" fillId="0" fontId="8" numFmtId="173" xfId="0" applyAlignment="1" applyBorder="1" applyFont="1" applyNumberFormat="1">
      <alignment horizontal="center" readingOrder="0" vertical="center"/>
    </xf>
    <xf borderId="42" fillId="0" fontId="4" numFmtId="0" xfId="0" applyBorder="1" applyFont="1"/>
    <xf borderId="56" fillId="0" fontId="8" numFmtId="0" xfId="0" applyAlignment="1" applyBorder="1" applyFont="1">
      <alignment horizontal="center" readingOrder="0" vertical="center"/>
    </xf>
    <xf borderId="41" fillId="0" fontId="8" numFmtId="172" xfId="0" applyAlignment="1" applyBorder="1" applyFont="1" applyNumberFormat="1">
      <alignment horizontal="center" readingOrder="0" vertical="center"/>
    </xf>
    <xf borderId="43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57" fillId="0" fontId="4" numFmtId="0" xfId="0" applyBorder="1" applyFont="1"/>
    <xf borderId="58" fillId="0" fontId="8" numFmtId="175" xfId="0" applyAlignment="1" applyBorder="1" applyFont="1" applyNumberFormat="1">
      <alignment horizontal="center" readingOrder="0" vertical="center"/>
    </xf>
    <xf borderId="11" fillId="0" fontId="4" numFmtId="0" xfId="0" applyBorder="1" applyFont="1"/>
    <xf borderId="59" fillId="0" fontId="4" numFmtId="0" xfId="0" applyBorder="1" applyFont="1"/>
    <xf borderId="48" fillId="0" fontId="8" numFmtId="173" xfId="0" applyAlignment="1" applyBorder="1" applyFont="1" applyNumberFormat="1">
      <alignment horizontal="center" readingOrder="0" vertical="center"/>
    </xf>
    <xf borderId="49" fillId="0" fontId="8" numFmtId="173" xfId="0" applyAlignment="1" applyBorder="1" applyFont="1" applyNumberFormat="1">
      <alignment horizontal="center" readingOrder="0" vertical="center"/>
    </xf>
    <xf borderId="50" fillId="0" fontId="8" numFmtId="0" xfId="0" applyAlignment="1" applyBorder="1" applyFont="1">
      <alignment horizontal="center" readingOrder="0" vertical="center"/>
    </xf>
    <xf borderId="60" fillId="0" fontId="8" numFmtId="172" xfId="0" applyAlignment="1" applyBorder="1" applyFont="1" applyNumberFormat="1">
      <alignment horizontal="center" readingOrder="0" vertical="center"/>
    </xf>
    <xf borderId="58" fillId="0" fontId="8" numFmtId="172" xfId="0" applyAlignment="1" applyBorder="1" applyFont="1" applyNumberFormat="1">
      <alignment horizontal="center" readingOrder="0" vertical="center"/>
    </xf>
    <xf borderId="61" fillId="0" fontId="8" numFmtId="172" xfId="0" applyAlignment="1" applyBorder="1" applyFont="1" applyNumberFormat="1">
      <alignment horizontal="center" readingOrder="0" vertical="center"/>
    </xf>
    <xf borderId="0" fillId="2" fontId="8" numFmtId="49" xfId="0" applyAlignment="1" applyFont="1" applyNumberFormat="1">
      <alignment horizontal="center" readingOrder="0" vertical="center"/>
    </xf>
    <xf borderId="23" fillId="2" fontId="8" numFmtId="167" xfId="0" applyAlignment="1" applyBorder="1" applyFont="1" applyNumberFormat="1">
      <alignment horizontal="center" readingOrder="0" vertical="center"/>
    </xf>
    <xf borderId="62" fillId="2" fontId="8" numFmtId="0" xfId="0" applyAlignment="1" applyBorder="1" applyFont="1">
      <alignment horizontal="center" readingOrder="0" vertical="center"/>
    </xf>
    <xf borderId="63" fillId="5" fontId="11" numFmtId="173" xfId="0" applyAlignment="1" applyBorder="1" applyFont="1" applyNumberFormat="1">
      <alignment horizontal="center" readingOrder="0" vertical="center"/>
    </xf>
    <xf borderId="63" fillId="5" fontId="11" numFmtId="175" xfId="0" applyAlignment="1" applyBorder="1" applyFont="1" applyNumberFormat="1">
      <alignment horizontal="center" readingOrder="0" vertical="center"/>
    </xf>
    <xf borderId="62" fillId="5" fontId="11" numFmtId="173" xfId="0" applyAlignment="1" applyBorder="1" applyFont="1" applyNumberFormat="1">
      <alignment horizontal="center" readingOrder="0" vertical="center"/>
    </xf>
    <xf borderId="64" fillId="5" fontId="32" numFmtId="172" xfId="0" applyAlignment="1" applyBorder="1" applyFont="1" applyNumberFormat="1">
      <alignment vertical="center"/>
    </xf>
    <xf borderId="43" fillId="0" fontId="11" numFmtId="0" xfId="0" applyAlignment="1" applyBorder="1" applyFont="1">
      <alignment horizontal="center" readingOrder="0" vertical="center"/>
    </xf>
    <xf borderId="65" fillId="0" fontId="9" numFmtId="173" xfId="0" applyAlignment="1" applyBorder="1" applyFont="1" applyNumberFormat="1">
      <alignment horizontal="center" readingOrder="0" vertical="center"/>
    </xf>
    <xf borderId="66" fillId="0" fontId="9" numFmtId="173" xfId="0" applyAlignment="1" applyBorder="1" applyFont="1" applyNumberFormat="1">
      <alignment horizontal="center" vertical="center"/>
    </xf>
    <xf borderId="66" fillId="0" fontId="9" numFmtId="176" xfId="0" applyAlignment="1" applyBorder="1" applyFont="1" applyNumberFormat="1">
      <alignment horizontal="center" vertical="center"/>
    </xf>
    <xf borderId="67" fillId="0" fontId="9" numFmtId="173" xfId="0" applyAlignment="1" applyBorder="1" applyFont="1" applyNumberFormat="1">
      <alignment horizontal="center" vertical="center"/>
    </xf>
    <xf borderId="65" fillId="0" fontId="9" numFmtId="173" xfId="0" applyAlignment="1" applyBorder="1" applyFont="1" applyNumberFormat="1">
      <alignment horizontal="center" vertical="center"/>
    </xf>
    <xf borderId="67" fillId="0" fontId="9" numFmtId="173" xfId="0" applyAlignment="1" applyBorder="1" applyFont="1" applyNumberFormat="1">
      <alignment vertical="center"/>
    </xf>
    <xf borderId="68" fillId="15" fontId="9" numFmtId="0" xfId="0" applyAlignment="1" applyBorder="1" applyFont="1">
      <alignment vertical="center"/>
    </xf>
    <xf borderId="69" fillId="5" fontId="8" numFmtId="172" xfId="0" applyAlignment="1" applyBorder="1" applyFont="1" applyNumberFormat="1">
      <alignment horizontal="center" readingOrder="0" vertical="center"/>
    </xf>
    <xf borderId="68" fillId="5" fontId="8" numFmtId="172" xfId="0" applyAlignment="1" applyBorder="1" applyFont="1" applyNumberFormat="1">
      <alignment horizontal="center" readingOrder="0" vertical="center"/>
    </xf>
    <xf borderId="55" fillId="5" fontId="8" numFmtId="172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vertical="center"/>
    </xf>
    <xf borderId="0" fillId="16" fontId="33" numFmtId="167" xfId="0" applyAlignment="1" applyFill="1" applyFont="1" applyNumberFormat="1">
      <alignment horizontal="center" readingOrder="0" vertical="center"/>
    </xf>
    <xf borderId="6" fillId="16" fontId="33" numFmtId="167" xfId="0" applyAlignment="1" applyBorder="1" applyFont="1" applyNumberFormat="1">
      <alignment horizontal="center" readingOrder="0" vertical="center"/>
    </xf>
    <xf borderId="7" fillId="16" fontId="33" numFmtId="0" xfId="0" applyAlignment="1" applyBorder="1" applyFont="1">
      <alignment horizontal="center" readingOrder="0" vertical="center"/>
    </xf>
    <xf borderId="70" fillId="0" fontId="11" numFmtId="173" xfId="0" applyAlignment="1" applyBorder="1" applyFont="1" applyNumberFormat="1">
      <alignment horizontal="center" readingOrder="0" vertical="center"/>
    </xf>
    <xf borderId="70" fillId="0" fontId="11" numFmtId="175" xfId="0" applyAlignment="1" applyBorder="1" applyFont="1" applyNumberFormat="1">
      <alignment horizontal="center" readingOrder="0" vertical="center"/>
    </xf>
    <xf borderId="7" fillId="0" fontId="11" numFmtId="173" xfId="0" applyAlignment="1" applyBorder="1" applyFont="1" applyNumberFormat="1">
      <alignment horizontal="center" readingOrder="0" vertical="center"/>
    </xf>
    <xf borderId="71" fillId="0" fontId="34" numFmtId="172" xfId="0" applyAlignment="1" applyBorder="1" applyFont="1" applyNumberFormat="1">
      <alignment vertical="center"/>
    </xf>
    <xf borderId="72" fillId="0" fontId="11" numFmtId="0" xfId="0" applyAlignment="1" applyBorder="1" applyFont="1">
      <alignment horizontal="center" readingOrder="0" vertical="center"/>
    </xf>
    <xf borderId="31" fillId="0" fontId="9" numFmtId="173" xfId="0" applyAlignment="1" applyBorder="1" applyFont="1" applyNumberFormat="1">
      <alignment horizontal="center" readingOrder="0" vertical="center"/>
    </xf>
    <xf borderId="13" fillId="0" fontId="9" numFmtId="173" xfId="0" applyAlignment="1" applyBorder="1" applyFont="1" applyNumberFormat="1">
      <alignment horizontal="center" readingOrder="0" vertical="center"/>
    </xf>
    <xf borderId="13" fillId="0" fontId="9" numFmtId="176" xfId="0" applyAlignment="1" applyBorder="1" applyFont="1" applyNumberFormat="1">
      <alignment horizontal="center" readingOrder="0" vertical="center"/>
    </xf>
    <xf borderId="32" fillId="0" fontId="9" numFmtId="173" xfId="0" applyAlignment="1" applyBorder="1" applyFont="1" applyNumberFormat="1">
      <alignment horizontal="center" readingOrder="0" vertical="center"/>
    </xf>
    <xf borderId="29" fillId="0" fontId="9" numFmtId="173" xfId="0" applyAlignment="1" applyBorder="1" applyFont="1" applyNumberFormat="1">
      <alignment vertical="center"/>
    </xf>
    <xf borderId="0" fillId="15" fontId="9" numFmtId="0" xfId="0" applyAlignment="1" applyFont="1">
      <alignment vertical="center"/>
    </xf>
    <xf borderId="73" fillId="3" fontId="8" numFmtId="172" xfId="0" applyAlignment="1" applyBorder="1" applyFont="1" applyNumberFormat="1">
      <alignment horizontal="center" readingOrder="0" vertical="center"/>
    </xf>
    <xf borderId="0" fillId="3" fontId="8" numFmtId="172" xfId="0" applyAlignment="1" applyFont="1" applyNumberFormat="1">
      <alignment horizontal="center" readingOrder="0" vertical="center"/>
    </xf>
    <xf borderId="71" fillId="3" fontId="8" numFmtId="172" xfId="0" applyAlignment="1" applyBorder="1" applyFont="1" applyNumberFormat="1">
      <alignment horizontal="center" readingOrder="0" vertical="center"/>
    </xf>
    <xf borderId="74" fillId="0" fontId="11" numFmtId="0" xfId="0" applyAlignment="1" applyBorder="1" applyFont="1">
      <alignment horizontal="center" readingOrder="0" vertical="center"/>
    </xf>
    <xf borderId="75" fillId="0" fontId="9" numFmtId="173" xfId="0" applyAlignment="1" applyBorder="1" applyFont="1" applyNumberFormat="1">
      <alignment horizontal="center" readingOrder="0" vertical="center"/>
    </xf>
    <xf borderId="16" fillId="0" fontId="9" numFmtId="173" xfId="0" applyAlignment="1" applyBorder="1" applyFont="1" applyNumberFormat="1">
      <alignment horizontal="center" readingOrder="0" vertical="center"/>
    </xf>
    <xf borderId="16" fillId="0" fontId="9" numFmtId="176" xfId="0" applyAlignment="1" applyBorder="1" applyFont="1" applyNumberFormat="1">
      <alignment horizontal="center" readingOrder="0" vertical="center"/>
    </xf>
    <xf borderId="76" fillId="0" fontId="9" numFmtId="173" xfId="0" applyAlignment="1" applyBorder="1" applyFont="1" applyNumberFormat="1">
      <alignment horizontal="center" readingOrder="0" vertical="center"/>
    </xf>
    <xf borderId="9" fillId="16" fontId="33" numFmtId="167" xfId="0" applyAlignment="1" applyBorder="1" applyFont="1" applyNumberFormat="1">
      <alignment horizontal="center" readingOrder="0" vertical="center"/>
    </xf>
    <xf borderId="10" fillId="16" fontId="33" numFmtId="0" xfId="0" applyAlignment="1" applyBorder="1" applyFont="1">
      <alignment horizontal="center" readingOrder="0" vertical="center"/>
    </xf>
    <xf borderId="57" fillId="0" fontId="8" numFmtId="173" xfId="0" applyAlignment="1" applyBorder="1" applyFont="1" applyNumberFormat="1">
      <alignment horizontal="center" readingOrder="0" vertical="center"/>
    </xf>
    <xf borderId="57" fillId="0" fontId="8" numFmtId="175" xfId="0" applyAlignment="1" applyBorder="1" applyFont="1" applyNumberFormat="1">
      <alignment horizontal="center" readingOrder="0" vertical="center"/>
    </xf>
    <xf borderId="10" fillId="0" fontId="8" numFmtId="173" xfId="0" applyAlignment="1" applyBorder="1" applyFont="1" applyNumberFormat="1">
      <alignment horizontal="center" readingOrder="0" vertical="center"/>
    </xf>
    <xf borderId="59" fillId="0" fontId="34" numFmtId="172" xfId="0" applyAlignment="1" applyBorder="1" applyFont="1" applyNumberFormat="1">
      <alignment vertical="center"/>
    </xf>
    <xf borderId="77" fillId="0" fontId="8" numFmtId="0" xfId="0" applyAlignment="1" applyBorder="1" applyFont="1">
      <alignment horizontal="center" readingOrder="0" vertical="center"/>
    </xf>
    <xf borderId="9" fillId="0" fontId="9" numFmtId="173" xfId="0" applyAlignment="1" applyBorder="1" applyFont="1" applyNumberFormat="1">
      <alignment horizontal="center" readingOrder="0" vertical="center"/>
    </xf>
    <xf borderId="10" fillId="0" fontId="9" numFmtId="173" xfId="0" applyAlignment="1" applyBorder="1" applyFont="1" applyNumberFormat="1">
      <alignment horizontal="center" readingOrder="0" vertical="center"/>
    </xf>
    <xf borderId="10" fillId="0" fontId="9" numFmtId="176" xfId="0" applyAlignment="1" applyBorder="1" applyFont="1" applyNumberFormat="1">
      <alignment horizontal="center" readingOrder="0" vertical="center"/>
    </xf>
    <xf borderId="11" fillId="0" fontId="9" numFmtId="173" xfId="0" applyAlignment="1" applyBorder="1" applyFont="1" applyNumberFormat="1">
      <alignment horizontal="center" readingOrder="0" vertical="center"/>
    </xf>
    <xf borderId="11" fillId="0" fontId="9" numFmtId="173" xfId="0" applyAlignment="1" applyBorder="1" applyFont="1" applyNumberFormat="1">
      <alignment vertical="center"/>
    </xf>
    <xf borderId="78" fillId="15" fontId="9" numFmtId="0" xfId="0" applyAlignment="1" applyBorder="1" applyFont="1">
      <alignment vertical="center"/>
    </xf>
    <xf borderId="79" fillId="3" fontId="8" numFmtId="172" xfId="0" applyAlignment="1" applyBorder="1" applyFont="1" applyNumberFormat="1">
      <alignment horizontal="center" readingOrder="0" vertical="center"/>
    </xf>
    <xf borderId="80" fillId="3" fontId="8" numFmtId="172" xfId="0" applyAlignment="1" applyBorder="1" applyFont="1" applyNumberFormat="1">
      <alignment horizontal="center" readingOrder="0" vertical="center"/>
    </xf>
    <xf borderId="81" fillId="3" fontId="8" numFmtId="172" xfId="0" applyAlignment="1" applyBorder="1" applyFont="1" applyNumberFormat="1">
      <alignment horizontal="center" readingOrder="0" vertical="center"/>
    </xf>
    <xf borderId="66" fillId="0" fontId="9" numFmtId="173" xfId="0" applyAlignment="1" applyBorder="1" applyFont="1" applyNumberFormat="1">
      <alignment horizontal="center" readingOrder="0" vertical="center"/>
    </xf>
    <xf borderId="66" fillId="0" fontId="9" numFmtId="176" xfId="0" applyAlignment="1" applyBorder="1" applyFont="1" applyNumberFormat="1">
      <alignment horizontal="center" readingOrder="0" vertical="center"/>
    </xf>
    <xf borderId="67" fillId="0" fontId="9" numFmtId="173" xfId="0" applyAlignment="1" applyBorder="1" applyFont="1" applyNumberFormat="1">
      <alignment horizontal="center" readingOrder="0" vertical="center"/>
    </xf>
    <xf borderId="0" fillId="0" fontId="9" numFmtId="167" xfId="0" applyAlignment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9" numFmtId="173" xfId="0" applyAlignment="1" applyFont="1" applyNumberFormat="1">
      <alignment horizontal="center" vertical="center"/>
    </xf>
    <xf borderId="0" fillId="0" fontId="9" numFmtId="175" xfId="0" applyAlignment="1" applyFont="1" applyNumberFormat="1">
      <alignment horizontal="center" vertical="center"/>
    </xf>
    <xf borderId="0" fillId="0" fontId="9" numFmtId="176" xfId="0" applyAlignment="1" applyFont="1" applyNumberFormat="1">
      <alignment horizontal="center" vertical="center"/>
    </xf>
    <xf borderId="0" fillId="0" fontId="9" numFmtId="172" xfId="0" applyAlignment="1" applyFont="1" applyNumberFormat="1">
      <alignment vertical="center"/>
    </xf>
    <xf borderId="0" fillId="0" fontId="35" numFmtId="167" xfId="0" applyAlignment="1" applyFont="1" applyNumberFormat="1">
      <alignment horizontal="center"/>
    </xf>
    <xf borderId="0" fillId="0" fontId="35" numFmtId="0" xfId="0" applyAlignment="1" applyFont="1">
      <alignment horizontal="center"/>
    </xf>
    <xf borderId="0" fillId="0" fontId="35" numFmtId="167" xfId="0" applyAlignment="1" applyFont="1" applyNumberFormat="1">
      <alignment horizontal="center" readingOrder="0" shrinkToFit="0" vertical="center" wrapText="0"/>
    </xf>
    <xf borderId="0" fillId="0" fontId="35" numFmtId="0" xfId="0" applyAlignment="1" applyFont="1">
      <alignment horizontal="center" readingOrder="0" shrinkToFit="0" vertical="center" wrapText="0"/>
    </xf>
    <xf borderId="0" fillId="0" fontId="19" numFmtId="167" xfId="0" applyAlignment="1" applyFont="1" applyNumberFormat="1">
      <alignment horizontal="center" readingOrder="0" shrinkToFit="0" vertical="center" wrapText="0"/>
    </xf>
    <xf borderId="0" fillId="0" fontId="19" numFmtId="3" xfId="0" applyAlignment="1" applyFont="1" applyNumberFormat="1">
      <alignment horizontal="center" readingOrder="0" shrinkToFit="0" vertical="center" wrapText="0"/>
    </xf>
    <xf borderId="0" fillId="0" fontId="35" numFmtId="3" xfId="0" applyAlignment="1" applyFont="1" applyNumberFormat="1">
      <alignment horizontal="center" readingOrder="0" shrinkToFit="0" vertical="center" wrapText="0"/>
    </xf>
    <xf borderId="0" fillId="0" fontId="35" numFmtId="167" xfId="0" applyAlignment="1" applyFont="1" applyNumberFormat="1">
      <alignment horizontal="center" shrinkToFit="0" vertical="center" wrapText="0"/>
    </xf>
    <xf borderId="0" fillId="0" fontId="35" numFmtId="0" xfId="0" applyAlignment="1" applyFont="1">
      <alignment horizontal="center" shrinkToFit="0" vertical="center" wrapText="0"/>
    </xf>
    <xf borderId="0" fillId="0" fontId="27" numFmtId="0" xfId="0" applyAlignment="1" applyFont="1">
      <alignment readingOrder="0" shrinkToFit="0" vertical="center" wrapText="0"/>
    </xf>
    <xf borderId="82" fillId="0" fontId="36" numFmtId="0" xfId="0" applyAlignment="1" applyBorder="1" applyFont="1">
      <alignment horizontal="center"/>
    </xf>
    <xf borderId="83" fillId="0" fontId="4" numFmtId="0" xfId="0" applyBorder="1" applyFont="1"/>
    <xf borderId="84" fillId="0" fontId="4" numFmtId="0" xfId="0" applyBorder="1" applyFont="1"/>
    <xf borderId="19" fillId="0" fontId="36" numFmtId="0" xfId="0" applyAlignment="1" applyBorder="1" applyFont="1">
      <alignment horizontal="center"/>
    </xf>
    <xf borderId="19" fillId="0" fontId="36" numFmtId="0" xfId="0" applyAlignment="1" applyBorder="1" applyFont="1">
      <alignment horizontal="center" vertical="center"/>
    </xf>
    <xf borderId="70" fillId="17" fontId="36" numFmtId="0" xfId="0" applyAlignment="1" applyBorder="1" applyFill="1" applyFont="1">
      <alignment horizontal="center"/>
    </xf>
    <xf borderId="7" fillId="17" fontId="36" numFmtId="0" xfId="0" applyAlignment="1" applyBorder="1" applyFont="1">
      <alignment horizontal="center" vertical="center"/>
    </xf>
    <xf borderId="7" fillId="17" fontId="37" numFmtId="0" xfId="0" applyAlignment="1" applyBorder="1" applyFont="1">
      <alignment horizontal="center" readingOrder="0" vertical="center"/>
    </xf>
    <xf borderId="70" fillId="2" fontId="36" numFmtId="0" xfId="0" applyAlignment="1" applyBorder="1" applyFont="1">
      <alignment horizontal="center"/>
    </xf>
    <xf borderId="7" fillId="2" fontId="36" numFmtId="0" xfId="0" applyAlignment="1" applyBorder="1" applyFont="1">
      <alignment horizontal="center" vertical="center"/>
    </xf>
    <xf borderId="7" fillId="2" fontId="37" numFmtId="0" xfId="0" applyAlignment="1" applyBorder="1" applyFont="1">
      <alignment horizontal="center" readingOrder="0" vertical="center"/>
    </xf>
    <xf borderId="7" fillId="2" fontId="37" numFmtId="16" xfId="0" applyAlignment="1" applyBorder="1" applyFont="1" applyNumberFormat="1">
      <alignment horizontal="center" readingOrder="0" vertical="center"/>
    </xf>
    <xf borderId="7" fillId="2" fontId="38" numFmtId="0" xfId="0" applyAlignment="1" applyBorder="1" applyFont="1">
      <alignment horizontal="center" readingOrder="0" vertical="center"/>
    </xf>
    <xf borderId="70" fillId="2" fontId="37" numFmtId="0" xfId="0" applyAlignment="1" applyBorder="1" applyFont="1">
      <alignment horizontal="center" readingOrder="0"/>
    </xf>
    <xf borderId="7" fillId="2" fontId="37" numFmtId="0" xfId="0" applyAlignment="1" applyBorder="1" applyFont="1">
      <alignment horizontal="center" readingOrder="0"/>
    </xf>
    <xf borderId="85" fillId="2" fontId="37" numFmtId="0" xfId="0" applyAlignment="1" applyBorder="1" applyFont="1">
      <alignment horizontal="center" readingOrder="0"/>
    </xf>
    <xf borderId="7" fillId="2" fontId="36" numFmtId="0" xfId="0" applyAlignment="1" applyBorder="1" applyFont="1">
      <alignment horizontal="center"/>
    </xf>
    <xf borderId="70" fillId="17" fontId="37" numFmtId="0" xfId="0" applyAlignment="1" applyBorder="1" applyFont="1">
      <alignment horizontal="center" readingOrder="0"/>
    </xf>
    <xf borderId="7" fillId="17" fontId="37" numFmtId="0" xfId="0" applyAlignment="1" applyBorder="1" applyFont="1">
      <alignment horizontal="center" readingOrder="0"/>
    </xf>
    <xf borderId="85" fillId="17" fontId="37" numFmtId="0" xfId="0" applyAlignment="1" applyBorder="1" applyFont="1">
      <alignment horizontal="center" readingOrder="0"/>
    </xf>
    <xf borderId="7" fillId="17" fontId="36" numFmtId="0" xfId="0" applyAlignment="1" applyBorder="1" applyFont="1">
      <alignment horizontal="center"/>
    </xf>
    <xf borderId="7" fillId="17" fontId="36" numFmtId="14" xfId="0" applyAlignment="1" applyBorder="1" applyFont="1" applyNumberFormat="1">
      <alignment horizontal="center"/>
    </xf>
    <xf borderId="70" fillId="18" fontId="36" numFmtId="0" xfId="0" applyAlignment="1" applyBorder="1" applyFill="1" applyFont="1">
      <alignment horizontal="center"/>
    </xf>
    <xf borderId="7" fillId="18" fontId="36" numFmtId="0" xfId="0" applyAlignment="1" applyBorder="1" applyFont="1">
      <alignment horizontal="center"/>
    </xf>
    <xf borderId="7" fillId="18" fontId="36" numFmtId="14" xfId="0" applyAlignment="1" applyBorder="1" applyFont="1" applyNumberFormat="1">
      <alignment horizontal="center"/>
    </xf>
    <xf borderId="7" fillId="18" fontId="37" numFmtId="0" xfId="0" applyAlignment="1" applyBorder="1" applyFont="1">
      <alignment horizontal="center" readingOrder="0"/>
    </xf>
    <xf borderId="85" fillId="18" fontId="39" numFmtId="0" xfId="0" applyAlignment="1" applyBorder="1" applyFont="1">
      <alignment horizontal="center" readingOrder="0"/>
    </xf>
    <xf borderId="70" fillId="0" fontId="36" numFmtId="0" xfId="0" applyAlignment="1" applyBorder="1" applyFont="1">
      <alignment horizontal="center"/>
    </xf>
    <xf borderId="7" fillId="0" fontId="36" numFmtId="0" xfId="0" applyAlignment="1" applyBorder="1" applyFont="1">
      <alignment horizontal="center"/>
    </xf>
    <xf borderId="7" fillId="0" fontId="36" numFmtId="14" xfId="0" applyAlignment="1" applyBorder="1" applyFont="1" applyNumberFormat="1">
      <alignment horizontal="center"/>
    </xf>
    <xf borderId="7" fillId="0" fontId="40" numFmtId="0" xfId="0" applyAlignment="1" applyBorder="1" applyFont="1">
      <alignment horizontal="center"/>
    </xf>
    <xf borderId="86" fillId="0" fontId="41" numFmtId="0" xfId="0" applyAlignment="1" applyBorder="1" applyFont="1">
      <alignment horizontal="center"/>
    </xf>
    <xf borderId="87" fillId="0" fontId="36" numFmtId="0" xfId="0" applyAlignment="1" applyBorder="1" applyFont="1">
      <alignment horizontal="center"/>
    </xf>
    <xf borderId="87" fillId="0" fontId="36" numFmtId="14" xfId="0" applyAlignment="1" applyBorder="1" applyFont="1" applyNumberFormat="1">
      <alignment horizontal="center"/>
    </xf>
    <xf borderId="0" fillId="0" fontId="36" numFmtId="0" xfId="0" applyAlignment="1" applyFont="1">
      <alignment horizontal="center" shrinkToFit="0" vertical="center" wrapText="1"/>
    </xf>
    <xf borderId="0" fillId="0" fontId="41" numFmtId="0" xfId="0" applyAlignment="1" applyFont="1">
      <alignment horizontal="center"/>
    </xf>
    <xf borderId="0" fillId="0" fontId="36" numFmtId="0" xfId="0" applyAlignment="1" applyFont="1">
      <alignment horizontal="center"/>
    </xf>
    <xf borderId="88" fillId="19" fontId="42" numFmtId="0" xfId="0" applyAlignment="1" applyBorder="1" applyFill="1" applyFont="1">
      <alignment horizontal="center" vertical="center"/>
    </xf>
    <xf borderId="89" fillId="0" fontId="4" numFmtId="0" xfId="0" applyBorder="1" applyFont="1"/>
    <xf borderId="90" fillId="0" fontId="4" numFmtId="0" xfId="0" applyBorder="1" applyFont="1"/>
    <xf borderId="0" fillId="0" fontId="29" numFmtId="0" xfId="0" applyAlignment="1" applyFont="1">
      <alignment horizontal="center" vertical="center"/>
    </xf>
    <xf borderId="58" fillId="0" fontId="19" numFmtId="177" xfId="0" applyAlignment="1" applyBorder="1" applyFont="1" applyNumberFormat="1">
      <alignment horizontal="left" vertical="center"/>
    </xf>
    <xf borderId="82" fillId="0" fontId="19" numFmtId="178" xfId="0" applyAlignment="1" applyBorder="1" applyFont="1" applyNumberFormat="1">
      <alignment horizontal="center" vertical="center"/>
    </xf>
    <xf borderId="0" fillId="0" fontId="20" numFmtId="178" xfId="0" applyAlignment="1" applyFont="1" applyNumberFormat="1">
      <alignment vertical="center"/>
    </xf>
    <xf borderId="0" fillId="0" fontId="20" numFmtId="0" xfId="0" applyAlignment="1" applyFont="1">
      <alignment vertical="center"/>
    </xf>
    <xf borderId="88" fillId="19" fontId="42" numFmtId="179" xfId="0" applyAlignment="1" applyBorder="1" applyFont="1" applyNumberFormat="1">
      <alignment horizontal="center" readingOrder="0" vertical="center"/>
    </xf>
    <xf borderId="87" fillId="0" fontId="4" numFmtId="0" xfId="0" applyBorder="1" applyFont="1"/>
    <xf borderId="19" fillId="0" fontId="19" numFmtId="178" xfId="0" applyAlignment="1" applyBorder="1" applyFont="1" applyNumberFormat="1">
      <alignment horizontal="center" vertical="center"/>
    </xf>
    <xf borderId="19" fillId="0" fontId="19" numFmtId="178" xfId="0" applyAlignment="1" applyBorder="1" applyFont="1" applyNumberFormat="1">
      <alignment horizontal="center" readingOrder="0" vertical="center"/>
    </xf>
    <xf borderId="91" fillId="0" fontId="42" numFmtId="179" xfId="0" applyAlignment="1" applyBorder="1" applyFont="1" applyNumberFormat="1">
      <alignment horizontal="center" readingOrder="0" vertical="center"/>
    </xf>
    <xf borderId="0" fillId="0" fontId="42" numFmtId="179" xfId="0" applyAlignment="1" applyFont="1" applyNumberFormat="1">
      <alignment horizontal="center" readingOrder="0" vertical="center"/>
    </xf>
    <xf borderId="92" fillId="0" fontId="42" numFmtId="179" xfId="0" applyAlignment="1" applyBorder="1" applyFont="1" applyNumberFormat="1">
      <alignment horizontal="center" readingOrder="0" vertical="center"/>
    </xf>
    <xf borderId="19" fillId="0" fontId="19" numFmtId="177" xfId="0" applyAlignment="1" applyBorder="1" applyFont="1" applyNumberFormat="1">
      <alignment horizontal="left" vertical="center"/>
    </xf>
    <xf borderId="19" fillId="0" fontId="20" numFmtId="178" xfId="0" applyAlignment="1" applyBorder="1" applyFont="1" applyNumberFormat="1">
      <alignment vertical="center"/>
    </xf>
    <xf borderId="19" fillId="11" fontId="42" numFmtId="0" xfId="0" applyAlignment="1" applyBorder="1" applyFont="1">
      <alignment horizontal="center" readingOrder="0" vertical="center"/>
    </xf>
    <xf borderId="19" fillId="11" fontId="26" numFmtId="0" xfId="0" applyAlignment="1" applyBorder="1" applyFont="1">
      <alignment horizontal="center" readingOrder="0" vertical="center"/>
    </xf>
    <xf borderId="19" fillId="3" fontId="19" numFmtId="0" xfId="0" applyAlignment="1" applyBorder="1" applyFont="1">
      <alignment horizontal="center" readingOrder="0" vertical="center"/>
    </xf>
    <xf borderId="19" fillId="0" fontId="19" numFmtId="0" xfId="0" applyAlignment="1" applyBorder="1" applyFont="1">
      <alignment horizontal="center" readingOrder="0" vertical="center"/>
    </xf>
    <xf borderId="19" fillId="0" fontId="19" numFmtId="2" xfId="0" applyAlignment="1" applyBorder="1" applyFont="1" applyNumberFormat="1">
      <alignment horizontal="center" vertical="center"/>
    </xf>
    <xf borderId="19" fillId="0" fontId="29" numFmtId="2" xfId="0" applyAlignment="1" applyBorder="1" applyFont="1" applyNumberFormat="1">
      <alignment horizontal="center" vertical="center"/>
    </xf>
    <xf borderId="19" fillId="0" fontId="29" numFmtId="0" xfId="0" applyAlignment="1" applyBorder="1" applyFont="1">
      <alignment horizontal="center" readingOrder="0" vertical="center"/>
    </xf>
    <xf borderId="19" fillId="20" fontId="19" numFmtId="0" xfId="0" applyAlignment="1" applyBorder="1" applyFill="1" applyFont="1">
      <alignment horizontal="center" readingOrder="0" vertical="center"/>
    </xf>
    <xf borderId="19" fillId="0" fontId="19" numFmtId="177" xfId="0" applyAlignment="1" applyBorder="1" applyFont="1" applyNumberFormat="1">
      <alignment horizontal="left" readingOrder="0" vertical="center"/>
    </xf>
    <xf borderId="19" fillId="0" fontId="20" numFmtId="178" xfId="0" applyAlignment="1" applyBorder="1" applyFont="1" applyNumberFormat="1">
      <alignment readingOrder="0" vertical="center"/>
    </xf>
    <xf borderId="19" fillId="5" fontId="19" numFmtId="0" xfId="0" applyAlignment="1" applyBorder="1" applyFont="1">
      <alignment horizontal="center" readingOrder="0" vertical="center"/>
    </xf>
    <xf borderId="19" fillId="21" fontId="19" numFmtId="0" xfId="0" applyAlignment="1" applyBorder="1" applyFill="1" applyFont="1">
      <alignment horizontal="center" readingOrder="0" vertical="center"/>
    </xf>
    <xf borderId="0" fillId="0" fontId="19" numFmtId="177" xfId="0" applyAlignment="1" applyFont="1" applyNumberFormat="1">
      <alignment horizontal="left" vertical="center"/>
    </xf>
    <xf borderId="0" fillId="0" fontId="20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29" numFmtId="0" xfId="0" applyAlignment="1" applyFont="1">
      <alignment vertical="center"/>
    </xf>
    <xf borderId="58" fillId="0" fontId="19" numFmtId="0" xfId="0" applyAlignment="1" applyBorder="1" applyFont="1">
      <alignment horizontal="center" vertical="center"/>
    </xf>
    <xf borderId="58" fillId="0" fontId="19" numFmtId="0" xfId="0" applyAlignment="1" applyBorder="1" applyFont="1">
      <alignment horizontal="center" shrinkToFit="0" vertical="center" wrapText="1"/>
    </xf>
    <xf borderId="58" fillId="0" fontId="29" numFmtId="0" xfId="0" applyAlignment="1" applyBorder="1" applyFont="1">
      <alignment horizontal="center" shrinkToFit="0" vertical="center" wrapText="1"/>
    </xf>
    <xf borderId="58" fillId="0" fontId="19" numFmtId="177" xfId="0" applyAlignment="1" applyBorder="1" applyFont="1" applyNumberFormat="1">
      <alignment horizontal="left" shrinkToFit="0" vertical="center" wrapText="1"/>
    </xf>
    <xf borderId="7" fillId="0" fontId="4" numFmtId="0" xfId="0" applyBorder="1" applyFont="1"/>
    <xf borderId="82" fillId="0" fontId="29" numFmtId="0" xfId="0" applyAlignment="1" applyBorder="1" applyFont="1">
      <alignment horizontal="center" shrinkToFit="0" vertical="center" wrapText="1"/>
    </xf>
    <xf borderId="19" fillId="0" fontId="19" numFmtId="178" xfId="0" applyAlignment="1" applyBorder="1" applyFont="1" applyNumberFormat="1">
      <alignment horizontal="center" shrinkToFit="0" vertical="center" wrapText="1"/>
    </xf>
    <xf borderId="19" fillId="18" fontId="19" numFmtId="178" xfId="0" applyAlignment="1" applyBorder="1" applyFont="1" applyNumberFormat="1">
      <alignment horizontal="center" shrinkToFit="0" vertical="center" wrapText="1"/>
    </xf>
    <xf borderId="19" fillId="22" fontId="19" numFmtId="178" xfId="0" applyAlignment="1" applyBorder="1" applyFill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93" fillId="23" fontId="19" numFmtId="0" xfId="0" applyAlignment="1" applyBorder="1" applyFill="1" applyFont="1">
      <alignment horizontal="center" vertical="center"/>
    </xf>
    <xf borderId="93" fillId="23" fontId="19" numFmtId="14" xfId="0" applyAlignment="1" applyBorder="1" applyFont="1" applyNumberFormat="1">
      <alignment horizontal="center" vertical="center"/>
    </xf>
    <xf borderId="93" fillId="23" fontId="29" numFmtId="0" xfId="0" applyAlignment="1" applyBorder="1" applyFont="1">
      <alignment vertical="center"/>
    </xf>
    <xf borderId="93" fillId="23" fontId="29" numFmtId="0" xfId="0" applyAlignment="1" applyBorder="1" applyFont="1">
      <alignment horizontal="center" vertical="center"/>
    </xf>
    <xf borderId="93" fillId="23" fontId="19" numFmtId="177" xfId="0" applyAlignment="1" applyBorder="1" applyFont="1" applyNumberFormat="1">
      <alignment horizontal="left" vertical="center"/>
    </xf>
    <xf borderId="93" fillId="23" fontId="20" numFmtId="178" xfId="0" applyAlignment="1" applyBorder="1" applyFont="1" applyNumberFormat="1">
      <alignment vertical="center"/>
    </xf>
    <xf borderId="7" fillId="0" fontId="19" numFmtId="0" xfId="0" applyAlignment="1" applyBorder="1" applyFont="1">
      <alignment horizontal="center" vertical="center"/>
    </xf>
    <xf borderId="7" fillId="0" fontId="19" numFmtId="14" xfId="0" applyAlignment="1" applyBorder="1" applyFont="1" applyNumberFormat="1">
      <alignment horizontal="center" vertical="center"/>
    </xf>
    <xf borderId="7" fillId="0" fontId="29" numFmtId="0" xfId="0" applyAlignment="1" applyBorder="1" applyFont="1">
      <alignment vertical="center"/>
    </xf>
    <xf borderId="7" fillId="0" fontId="29" numFmtId="0" xfId="0" applyAlignment="1" applyBorder="1" applyFont="1">
      <alignment horizontal="center" vertical="center"/>
    </xf>
    <xf borderId="7" fillId="0" fontId="19" numFmtId="177" xfId="0" applyAlignment="1" applyBorder="1" applyFont="1" applyNumberFormat="1">
      <alignment horizontal="left" vertical="center"/>
    </xf>
    <xf borderId="7" fillId="0" fontId="20" numFmtId="178" xfId="0" applyAlignment="1" applyBorder="1" applyFont="1" applyNumberFormat="1">
      <alignment vertical="center"/>
    </xf>
    <xf borderId="85" fillId="24" fontId="29" numFmtId="0" xfId="0" applyAlignment="1" applyBorder="1" applyFill="1" applyFont="1">
      <alignment vertical="center"/>
    </xf>
    <xf borderId="94" fillId="22" fontId="19" numFmtId="0" xfId="0" applyAlignment="1" applyBorder="1" applyFont="1">
      <alignment horizontal="center" vertical="center"/>
    </xf>
    <xf borderId="94" fillId="22" fontId="19" numFmtId="14" xfId="0" applyAlignment="1" applyBorder="1" applyFont="1" applyNumberFormat="1">
      <alignment horizontal="center" vertical="center"/>
    </xf>
    <xf borderId="94" fillId="22" fontId="29" numFmtId="0" xfId="0" applyAlignment="1" applyBorder="1" applyFont="1">
      <alignment vertical="center"/>
    </xf>
    <xf borderId="94" fillId="22" fontId="29" numFmtId="0" xfId="0" applyAlignment="1" applyBorder="1" applyFont="1">
      <alignment horizontal="center" vertical="center"/>
    </xf>
    <xf borderId="94" fillId="22" fontId="19" numFmtId="177" xfId="0" applyAlignment="1" applyBorder="1" applyFont="1" applyNumberFormat="1">
      <alignment horizontal="left" vertical="center"/>
    </xf>
    <xf borderId="94" fillId="22" fontId="29" numFmtId="178" xfId="0" applyAlignment="1" applyBorder="1" applyFont="1" applyNumberFormat="1">
      <alignment vertical="center"/>
    </xf>
    <xf borderId="58" fillId="0" fontId="19" numFmtId="14" xfId="0" applyAlignment="1" applyBorder="1" applyFont="1" applyNumberFormat="1">
      <alignment horizontal="center" vertical="center"/>
    </xf>
    <xf borderId="58" fillId="0" fontId="29" numFmtId="0" xfId="0" applyAlignment="1" applyBorder="1" applyFont="1">
      <alignment vertical="center"/>
    </xf>
    <xf borderId="58" fillId="0" fontId="29" numFmtId="0" xfId="0" applyAlignment="1" applyBorder="1" applyFont="1">
      <alignment horizontal="center" vertical="center"/>
    </xf>
    <xf borderId="58" fillId="0" fontId="20" numFmtId="178" xfId="0" applyAlignment="1" applyBorder="1" applyFont="1" applyNumberFormat="1">
      <alignment vertical="center"/>
    </xf>
    <xf borderId="85" fillId="19" fontId="29" numFmtId="0" xfId="0" applyAlignment="1" applyBorder="1" applyFont="1">
      <alignment vertical="center"/>
    </xf>
    <xf borderId="85" fillId="17" fontId="29" numFmtId="0" xfId="0" applyAlignment="1" applyBorder="1" applyFont="1">
      <alignment vertical="center"/>
    </xf>
    <xf borderId="93" fillId="25" fontId="19" numFmtId="14" xfId="0" applyAlignment="1" applyBorder="1" applyFill="1" applyFont="1" applyNumberFormat="1">
      <alignment horizontal="center" vertical="center"/>
    </xf>
    <xf borderId="85" fillId="25" fontId="19" numFmtId="14" xfId="0" applyAlignment="1" applyBorder="1" applyFont="1" applyNumberFormat="1">
      <alignment horizontal="center" vertical="center"/>
    </xf>
    <xf borderId="7" fillId="0" fontId="26" numFmtId="0" xfId="0" applyAlignment="1" applyBorder="1" applyFont="1">
      <alignment vertical="center"/>
    </xf>
    <xf borderId="85" fillId="24" fontId="19" numFmtId="14" xfId="0" applyAlignment="1" applyBorder="1" applyFont="1" applyNumberFormat="1">
      <alignment horizontal="center" vertical="center"/>
    </xf>
    <xf borderId="85" fillId="24" fontId="19" numFmtId="0" xfId="0" applyAlignment="1" applyBorder="1" applyFont="1">
      <alignment horizontal="center" vertical="center"/>
    </xf>
    <xf borderId="85" fillId="24" fontId="29" numFmtId="0" xfId="0" applyAlignment="1" applyBorder="1" applyFont="1">
      <alignment horizontal="center" vertical="center"/>
    </xf>
    <xf borderId="93" fillId="2" fontId="19" numFmtId="14" xfId="0" applyAlignment="1" applyBorder="1" applyFont="1" applyNumberFormat="1">
      <alignment horizontal="center" vertical="center"/>
    </xf>
    <xf borderId="93" fillId="2" fontId="19" numFmtId="0" xfId="0" applyAlignment="1" applyBorder="1" applyFont="1">
      <alignment horizontal="center" vertical="center"/>
    </xf>
    <xf borderId="93" fillId="2" fontId="29" numFmtId="0" xfId="0" applyAlignment="1" applyBorder="1" applyFont="1">
      <alignment vertical="center"/>
    </xf>
    <xf borderId="85" fillId="26" fontId="19" numFmtId="14" xfId="0" applyAlignment="1" applyBorder="1" applyFill="1" applyFont="1" applyNumberFormat="1">
      <alignment horizontal="center" vertical="center"/>
    </xf>
    <xf borderId="85" fillId="2" fontId="19" numFmtId="14" xfId="0" applyAlignment="1" applyBorder="1" applyFont="1" applyNumberFormat="1">
      <alignment horizontal="center" vertical="center"/>
    </xf>
    <xf borderId="85" fillId="2" fontId="19" numFmtId="0" xfId="0" applyAlignment="1" applyBorder="1" applyFont="1">
      <alignment horizontal="center" vertical="center"/>
    </xf>
    <xf borderId="85" fillId="2" fontId="29" numFmtId="0" xfId="0" applyAlignment="1" applyBorder="1" applyFont="1">
      <alignment vertical="center"/>
    </xf>
    <xf borderId="7" fillId="0" fontId="43" numFmtId="0" xfId="0" applyAlignment="1" applyBorder="1" applyFont="1">
      <alignment vertical="center"/>
    </xf>
    <xf borderId="93" fillId="27" fontId="19" numFmtId="14" xfId="0" applyAlignment="1" applyBorder="1" applyFill="1" applyFont="1" applyNumberFormat="1">
      <alignment horizontal="center" vertical="center"/>
    </xf>
    <xf borderId="58" fillId="0" fontId="26" numFmtId="0" xfId="0" applyAlignment="1" applyBorder="1" applyFont="1">
      <alignment vertical="center"/>
    </xf>
    <xf borderId="85" fillId="27" fontId="19" numFmtId="14" xfId="0" applyAlignment="1" applyBorder="1" applyFont="1" applyNumberFormat="1">
      <alignment horizontal="center" vertical="center"/>
    </xf>
    <xf borderId="7" fillId="27" fontId="19" numFmtId="14" xfId="0" applyAlignment="1" applyBorder="1" applyFont="1" applyNumberFormat="1">
      <alignment horizontal="center" vertical="center"/>
    </xf>
    <xf borderId="7" fillId="25" fontId="19" numFmtId="14" xfId="0" applyAlignment="1" applyBorder="1" applyFont="1" applyNumberFormat="1">
      <alignment horizontal="center" vertical="center"/>
    </xf>
    <xf borderId="85" fillId="28" fontId="43" numFmtId="0" xfId="0" applyAlignment="1" applyBorder="1" applyFill="1" applyFont="1">
      <alignment vertical="center"/>
    </xf>
    <xf borderId="58" fillId="27" fontId="19" numFmtId="14" xfId="0" applyAlignment="1" applyBorder="1" applyFont="1" applyNumberFormat="1">
      <alignment horizontal="center" vertical="center"/>
    </xf>
    <xf borderId="58" fillId="0" fontId="44" numFmtId="0" xfId="0" applyAlignment="1" applyBorder="1" applyFont="1">
      <alignment readingOrder="0" vertical="center"/>
    </xf>
    <xf borderId="7" fillId="0" fontId="29" numFmtId="0" xfId="0" applyAlignment="1" applyBorder="1" applyFont="1">
      <alignment readingOrder="0" vertical="center"/>
    </xf>
    <xf borderId="7" fillId="0" fontId="42" numFmtId="0" xfId="0" applyAlignment="1" applyBorder="1" applyFont="1">
      <alignment horizontal="center" vertical="center"/>
    </xf>
    <xf borderId="7" fillId="0" fontId="26" numFmtId="0" xfId="0" applyAlignment="1" applyBorder="1" applyFont="1">
      <alignment readingOrder="0" vertical="center"/>
    </xf>
    <xf borderId="85" fillId="28" fontId="43" numFmtId="0" xfId="0" applyAlignment="1" applyBorder="1" applyFont="1">
      <alignment readingOrder="0" vertical="center"/>
    </xf>
    <xf borderId="7" fillId="3" fontId="26" numFmtId="0" xfId="0" applyAlignment="1" applyBorder="1" applyFont="1">
      <alignment readingOrder="0" vertical="center"/>
    </xf>
    <xf borderId="7" fillId="0" fontId="29" numFmtId="0" xfId="0" applyAlignment="1" applyBorder="1" applyFont="1">
      <alignment horizontal="center" readingOrder="0" vertical="center"/>
    </xf>
    <xf borderId="7" fillId="3" fontId="29" numFmtId="0" xfId="0" applyAlignment="1" applyBorder="1" applyFont="1">
      <alignment readingOrder="0" vertical="center"/>
    </xf>
    <xf borderId="7" fillId="0" fontId="20" numFmtId="178" xfId="0" applyAlignment="1" applyBorder="1" applyFont="1" applyNumberFormat="1">
      <alignment readingOrder="0" vertical="center"/>
    </xf>
    <xf borderId="7" fillId="9" fontId="29" numFmtId="0" xfId="0" applyAlignment="1" applyBorder="1" applyFont="1">
      <alignment readingOrder="0" vertical="center"/>
    </xf>
    <xf borderId="58" fillId="0" fontId="19" numFmtId="14" xfId="0" applyAlignment="1" applyBorder="1" applyFont="1" applyNumberFormat="1">
      <alignment horizontal="center" readingOrder="0" vertical="center"/>
    </xf>
    <xf borderId="58" fillId="0" fontId="20" numFmtId="178" xfId="0" applyAlignment="1" applyBorder="1" applyFont="1" applyNumberFormat="1">
      <alignment readingOrder="0" vertical="center"/>
    </xf>
    <xf borderId="7" fillId="0" fontId="19" numFmtId="14" xfId="0" applyAlignment="1" applyBorder="1" applyFont="1" applyNumberFormat="1">
      <alignment horizontal="center" readingOrder="0" vertical="center"/>
    </xf>
    <xf borderId="7" fillId="20" fontId="26" numFmtId="0" xfId="0" applyAlignment="1" applyBorder="1" applyFont="1">
      <alignment readingOrder="0" vertical="center"/>
    </xf>
    <xf borderId="7" fillId="20" fontId="29" numFmtId="0" xfId="0" applyAlignment="1" applyBorder="1" applyFont="1">
      <alignment readingOrder="0" vertical="center"/>
    </xf>
    <xf borderId="7" fillId="0" fontId="29" numFmtId="177" xfId="0" applyAlignment="1" applyBorder="1" applyFont="1" applyNumberFormat="1">
      <alignment horizontal="center" vertical="center"/>
    </xf>
    <xf borderId="7" fillId="5" fontId="26" numFmtId="0" xfId="0" applyAlignment="1" applyBorder="1" applyFont="1">
      <alignment readingOrder="0" vertical="center"/>
    </xf>
    <xf borderId="7" fillId="5" fontId="29" numFmtId="0" xfId="0" applyAlignment="1" applyBorder="1" applyFont="1">
      <alignment readingOrder="0" vertical="center"/>
    </xf>
    <xf borderId="7" fillId="4" fontId="26" numFmtId="0" xfId="0" applyAlignment="1" applyBorder="1" applyFont="1">
      <alignment readingOrder="0" vertical="center"/>
    </xf>
    <xf borderId="7" fillId="4" fontId="29" numFmtId="0" xfId="0" applyAlignment="1" applyBorder="1" applyFont="1">
      <alignment readingOrder="0" vertical="center"/>
    </xf>
    <xf borderId="58" fillId="0" fontId="45" numFmtId="0" xfId="0" applyAlignment="1" applyBorder="1" applyFont="1">
      <alignment horizontal="center"/>
    </xf>
    <xf borderId="58" fillId="0" fontId="45" numFmtId="14" xfId="0" applyAlignment="1" applyBorder="1" applyFont="1" applyNumberFormat="1">
      <alignment horizontal="center" readingOrder="0"/>
    </xf>
    <xf borderId="58" fillId="0" fontId="45" numFmtId="14" xfId="0" applyAlignment="1" applyBorder="1" applyFont="1" applyNumberFormat="1">
      <alignment horizontal="center"/>
    </xf>
    <xf borderId="7" fillId="0" fontId="46" numFmtId="0" xfId="0" applyBorder="1" applyFont="1"/>
    <xf borderId="58" fillId="0" fontId="46" numFmtId="0" xfId="0" applyBorder="1" applyFont="1"/>
    <xf borderId="58" fillId="0" fontId="45" numFmtId="177" xfId="0" applyBorder="1" applyFont="1" applyNumberFormat="1"/>
    <xf borderId="58" fillId="0" fontId="47" numFmtId="178" xfId="0" applyAlignment="1" applyBorder="1" applyFont="1" applyNumberFormat="1">
      <alignment horizontal="right"/>
    </xf>
    <xf borderId="58" fillId="0" fontId="46" numFmtId="178" xfId="0" applyBorder="1" applyFont="1" applyNumberFormat="1"/>
    <xf borderId="0" fillId="0" fontId="46" numFmtId="0" xfId="0" applyFont="1"/>
    <xf borderId="7" fillId="0" fontId="45" numFmtId="0" xfId="0" applyAlignment="1" applyBorder="1" applyFont="1">
      <alignment horizontal="center"/>
    </xf>
    <xf borderId="7" fillId="0" fontId="45" numFmtId="14" xfId="0" applyAlignment="1" applyBorder="1" applyFont="1" applyNumberFormat="1">
      <alignment horizontal="center" readingOrder="0"/>
    </xf>
    <xf borderId="7" fillId="0" fontId="45" numFmtId="14" xfId="0" applyAlignment="1" applyBorder="1" applyFont="1" applyNumberFormat="1">
      <alignment horizontal="center"/>
    </xf>
    <xf borderId="7" fillId="0" fontId="48" numFmtId="0" xfId="0" applyBorder="1" applyFont="1"/>
    <xf borderId="7" fillId="0" fontId="48" numFmtId="0" xfId="0" applyAlignment="1" applyBorder="1" applyFont="1">
      <alignment horizontal="center"/>
    </xf>
    <xf borderId="7" fillId="0" fontId="45" numFmtId="177" xfId="0" applyBorder="1" applyFont="1" applyNumberFormat="1"/>
    <xf borderId="7" fillId="0" fontId="47" numFmtId="178" xfId="0" applyAlignment="1" applyBorder="1" applyFont="1" applyNumberFormat="1">
      <alignment horizontal="right"/>
    </xf>
    <xf borderId="7" fillId="0" fontId="46" numFmtId="178" xfId="0" applyBorder="1" applyFont="1" applyNumberFormat="1"/>
    <xf borderId="7" fillId="0" fontId="48" numFmtId="0" xfId="0" applyAlignment="1" applyBorder="1" applyFont="1">
      <alignment horizontal="center" readingOrder="0"/>
    </xf>
    <xf borderId="7" fillId="0" fontId="45" numFmtId="177" xfId="0" applyAlignment="1" applyBorder="1" applyFont="1" applyNumberFormat="1">
      <alignment horizontal="center"/>
    </xf>
    <xf borderId="7" fillId="0" fontId="45" numFmtId="178" xfId="0" applyAlignment="1" applyBorder="1" applyFont="1" applyNumberFormat="1">
      <alignment horizontal="center"/>
    </xf>
    <xf borderId="0" fillId="0" fontId="45" numFmtId="0" xfId="0" applyAlignment="1" applyFont="1">
      <alignment horizontal="center"/>
    </xf>
    <xf borderId="94" fillId="22" fontId="45" numFmtId="0" xfId="0" applyAlignment="1" applyBorder="1" applyFont="1">
      <alignment horizontal="center"/>
    </xf>
    <xf borderId="94" fillId="22" fontId="45" numFmtId="14" xfId="0" applyAlignment="1" applyBorder="1" applyFont="1" applyNumberFormat="1">
      <alignment horizontal="center"/>
    </xf>
    <xf borderId="94" fillId="22" fontId="46" numFmtId="0" xfId="0" applyBorder="1" applyFont="1"/>
    <xf borderId="94" fillId="22" fontId="45" numFmtId="177" xfId="0" applyBorder="1" applyFont="1" applyNumberFormat="1"/>
    <xf borderId="94" fillId="22" fontId="48" numFmtId="178" xfId="0" applyAlignment="1" applyBorder="1" applyFont="1" applyNumberFormat="1">
      <alignment horizontal="right"/>
    </xf>
    <xf borderId="85" fillId="0" fontId="49" numFmtId="0" xfId="0" applyBorder="1" applyFont="1"/>
    <xf borderId="7" fillId="0" fontId="50" numFmtId="0" xfId="0" applyBorder="1" applyFont="1"/>
    <xf borderId="7" fillId="0" fontId="46" numFmtId="14" xfId="0" applyBorder="1" applyFont="1" applyNumberFormat="1"/>
  </cellXfs>
  <cellStyles count="1">
    <cellStyle xfId="0" name="Normal" builtinId="0"/>
  </cellStyles>
  <dxfs count="15">
    <dxf>
      <font/>
      <fill>
        <patternFill patternType="none"/>
      </fill>
      <border/>
    </dxf>
    <dxf>
      <font>
        <b/>
      </font>
      <fill>
        <patternFill patternType="solid">
          <fgColor rgb="FFEA4335"/>
          <bgColor rgb="FFEA4335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4E8F7"/>
          <bgColor rgb="FFB4E8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4E8F7"/>
        </left>
        <right style="thin">
          <color rgb="FFB4E8F7"/>
        </right>
        <top style="thin">
          <color rgb="FFB4E8F7"/>
        </top>
        <bottom style="thin">
          <color rgb="FFB4E8F7"/>
        </bottom>
      </border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>
        <b/>
        <i/>
        <color rgb="FFFF0000"/>
      </font>
      <fill>
        <patternFill patternType="none"/>
      </fill>
      <border/>
    </dxf>
  </dxfs>
  <tableStyles count="3">
    <tableStyle count="4" pivot="0" name="RC IN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RC OUT-style">
      <tableStyleElement dxfId="12" type="headerRow"/>
      <tableStyleElement dxfId="6" type="firstRowStripe"/>
      <tableStyleElement dxfId="7" type="secondRowStripe"/>
      <tableStyleElement dxfId="8" size="0" type="wholeTable"/>
    </tableStyle>
    <tableStyle count="4" pivot="0" name="Production-style">
      <tableStyleElement dxfId="13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X2502" displayName="RC_IN" name="RC_IN" id="1">
  <autoFilter ref="$A$7:$X$2502"/>
  <tableColumns count="24">
    <tableColumn name="STATE" id="1"/>
    <tableColumn name="WHSE" id="2"/>
    <tableColumn name="DATE" id="3"/>
    <tableColumn name="SUPPLIER" id="4"/>
    <tableColumn name="BLOCK" id="5"/>
    <tableColumn name="BLOCK LOC" id="6"/>
    <tableColumn name="TRK" id="7"/>
    <tableColumn name="WT" id="8"/>
    <tableColumn name="SKS" id="9"/>
    <tableColumn name="MC" id="10"/>
    <tableColumn name="GRIT" id="11"/>
    <tableColumn name="ASTM" id="12"/>
    <tableColumn name="JIS" id="13"/>
    <tableColumn name="VM" id="14"/>
    <tableColumn name="ASH" id="15"/>
    <tableColumn name="FC" id="16"/>
    <tableColumn name="REMARKS" id="17"/>
    <tableColumn name="WTD MC" id="18"/>
    <tableColumn name="WTD GRIT" id="19"/>
    <tableColumn name="WTD ASTM" id="20"/>
    <tableColumn name="WTD JIS" id="21"/>
    <tableColumn name="WTD VM" id="22"/>
    <tableColumn name="WTD ASH" id="23"/>
    <tableColumn name="WTD FC" id="24"/>
  </tableColumns>
  <tableStyleInfo name="RC IN-style" showColumnStripes="0" showFirstColumn="1" showLastColumn="1" showRowStripes="1"/>
</table>
</file>

<file path=xl/tables/table2.xml><?xml version="1.0" encoding="utf-8"?>
<table xmlns="http://schemas.openxmlformats.org/spreadsheetml/2006/main" ref="A4:G2602" displayName="RC_OUT" name="RC_OUT" id="2">
  <autoFilter ref="$A$4:$G$2602"/>
  <tableColumns count="7">
    <tableColumn name="DATE" id="1"/>
    <tableColumn name="BATCH" id="2"/>
    <tableColumn name="BLOCK" id="3"/>
    <tableColumn name="WT" id="4"/>
    <tableColumn name="PLANT/ETC" id="5"/>
    <tableColumn name="REMARKS" id="6"/>
    <tableColumn name="BLOCK LOC" id="7"/>
  </tableColumns>
  <tableStyleInfo name="RC OUT-style" showColumnStripes="0" showFirstColumn="1" showLastColumn="1" showRowStripes="1"/>
</table>
</file>

<file path=xl/tables/table3.xml><?xml version="1.0" encoding="utf-8"?>
<table xmlns="http://schemas.openxmlformats.org/spreadsheetml/2006/main" ref="A2:F2000" displayName="PRODUCTION" name="PRODUCTION" id="3">
  <tableColumns count="6">
    <tableColumn name="DATE" id="1"/>
    <tableColumn name="BATCH" id="2"/>
    <tableColumn name="GRADE" id="3"/>
    <tableColumn name="SHIFT" id="4"/>
    <tableColumn name="KG" id="5"/>
    <tableColumn name="REMARKS" id="6"/>
  </tableColumns>
  <tableStyleInfo name="Produ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7.88"/>
    <col customWidth="1" min="2" max="2" width="1.25"/>
    <col customWidth="1" min="3" max="3" width="8.25"/>
    <col customWidth="1" hidden="1" min="4" max="4" width="4.75"/>
    <col customWidth="1" min="5" max="5" width="3.13"/>
    <col customWidth="1" min="6" max="6" width="8.25"/>
    <col customWidth="1" min="7" max="7" width="8.75"/>
    <col customWidth="1" min="8" max="11" width="11.0"/>
    <col customWidth="1" min="12" max="12" width="12.88"/>
    <col customWidth="1" min="13" max="16" width="11.0"/>
    <col customWidth="1" min="17" max="17" width="13.63"/>
    <col customWidth="1" min="18" max="22" width="11.0"/>
    <col customWidth="1" min="23" max="23" width="13.0"/>
    <col customWidth="1" min="24" max="27" width="11.0"/>
    <col customWidth="1" min="28" max="28" width="3.75"/>
    <col customWidth="1" min="29" max="29" width="3.13"/>
    <col customWidth="1" min="30" max="30" width="7.13"/>
  </cols>
  <sheetData>
    <row r="1" ht="11.25" customHeight="1">
      <c r="A1" s="1"/>
      <c r="B1" s="2"/>
      <c r="C1" s="1"/>
      <c r="D1" s="3"/>
      <c r="E1" s="3"/>
      <c r="F1" s="3"/>
      <c r="G1" s="3"/>
      <c r="H1" s="4">
        <v>1.0</v>
      </c>
      <c r="I1" s="4">
        <v>2.0</v>
      </c>
      <c r="J1" s="4">
        <v>3.0</v>
      </c>
      <c r="K1" s="4">
        <v>4.0</v>
      </c>
      <c r="L1" s="4">
        <v>5.0</v>
      </c>
      <c r="M1" s="4">
        <v>6.0</v>
      </c>
      <c r="N1" s="4">
        <v>7.0</v>
      </c>
      <c r="O1" s="4">
        <v>8.0</v>
      </c>
      <c r="P1" s="4">
        <v>9.0</v>
      </c>
      <c r="Q1" s="4">
        <v>10.0</v>
      </c>
      <c r="R1" s="4">
        <v>11.0</v>
      </c>
      <c r="S1" s="4">
        <v>12.0</v>
      </c>
      <c r="T1" s="4">
        <v>13.0</v>
      </c>
      <c r="U1" s="4">
        <v>14.0</v>
      </c>
      <c r="V1" s="4">
        <v>15.0</v>
      </c>
      <c r="W1" s="4">
        <v>16.0</v>
      </c>
      <c r="X1" s="4">
        <v>17.0</v>
      </c>
      <c r="Y1" s="4">
        <v>18.0</v>
      </c>
      <c r="Z1" s="4">
        <v>19.0</v>
      </c>
      <c r="AA1" s="4">
        <v>20.0</v>
      </c>
      <c r="AB1" s="5"/>
      <c r="AC1" s="6"/>
      <c r="AD1" s="7" t="s">
        <v>0</v>
      </c>
      <c r="AE1" s="7">
        <v>15.0</v>
      </c>
      <c r="AF1" s="7">
        <v>16.0</v>
      </c>
      <c r="AG1" s="7">
        <v>17.0</v>
      </c>
    </row>
    <row r="2" ht="11.25" customHeight="1">
      <c r="A2" s="8" t="s">
        <v>1</v>
      </c>
      <c r="B2" s="9"/>
      <c r="C2" s="10" t="str">
        <f>E2</f>
        <v>WHSE A</v>
      </c>
      <c r="D2" s="10" t="s">
        <v>2</v>
      </c>
      <c r="E2" s="11" t="str">
        <f>CONCATENATE("WHSE ",D2)</f>
        <v>WHSE A</v>
      </c>
      <c r="F2" s="4" t="s">
        <v>3</v>
      </c>
      <c r="G2" s="12" t="s">
        <v>2</v>
      </c>
      <c r="H2" s="13" t="str">
        <f t="shared" ref="H2:AA2" si="1">CONCATENATE($D2,"-",H$1,$G2)</f>
        <v>A-1A</v>
      </c>
      <c r="I2" s="13" t="str">
        <f t="shared" si="1"/>
        <v>A-2A</v>
      </c>
      <c r="J2" s="13" t="str">
        <f t="shared" si="1"/>
        <v>A-3A</v>
      </c>
      <c r="K2" s="13" t="str">
        <f t="shared" si="1"/>
        <v>A-4A</v>
      </c>
      <c r="L2" s="13" t="str">
        <f t="shared" si="1"/>
        <v>A-5A</v>
      </c>
      <c r="M2" s="13" t="str">
        <f t="shared" si="1"/>
        <v>A-6A</v>
      </c>
      <c r="N2" s="13" t="str">
        <f t="shared" si="1"/>
        <v>A-7A</v>
      </c>
      <c r="O2" s="13" t="str">
        <f t="shared" si="1"/>
        <v>A-8A</v>
      </c>
      <c r="P2" s="13" t="str">
        <f t="shared" si="1"/>
        <v>A-9A</v>
      </c>
      <c r="Q2" s="13" t="str">
        <f t="shared" si="1"/>
        <v>A-10A</v>
      </c>
      <c r="R2" s="13" t="str">
        <f t="shared" si="1"/>
        <v>A-11A</v>
      </c>
      <c r="S2" s="13" t="str">
        <f t="shared" si="1"/>
        <v>A-12A</v>
      </c>
      <c r="T2" s="13" t="str">
        <f t="shared" si="1"/>
        <v>A-13A</v>
      </c>
      <c r="U2" s="13" t="str">
        <f t="shared" si="1"/>
        <v>A-14A</v>
      </c>
      <c r="V2" s="13" t="str">
        <f t="shared" si="1"/>
        <v>A-15A</v>
      </c>
      <c r="W2" s="13" t="str">
        <f t="shared" si="1"/>
        <v>A-16A</v>
      </c>
      <c r="X2" s="13" t="str">
        <f t="shared" si="1"/>
        <v>A-17A</v>
      </c>
      <c r="Y2" s="13" t="str">
        <f t="shared" si="1"/>
        <v>A-18A</v>
      </c>
      <c r="Z2" s="13" t="str">
        <f t="shared" si="1"/>
        <v>A-19A</v>
      </c>
      <c r="AA2" s="14" t="str">
        <f t="shared" si="1"/>
        <v>A-20A</v>
      </c>
      <c r="AB2" s="15"/>
      <c r="AC2" s="6" t="s">
        <v>4</v>
      </c>
      <c r="AD2" s="12" t="s">
        <v>2</v>
      </c>
      <c r="AE2" s="13" t="str">
        <f t="shared" ref="AE2:AG2" si="2">CONCATENATE($AC2,"-",AE$1,$AD2)</f>
        <v>PCA-15A</v>
      </c>
      <c r="AF2" s="13" t="str">
        <f t="shared" si="2"/>
        <v>PCA-16A</v>
      </c>
      <c r="AG2" s="14" t="str">
        <f t="shared" si="2"/>
        <v>PCA-17A</v>
      </c>
    </row>
    <row r="3" ht="11.25" customHeight="1">
      <c r="A3" s="16"/>
      <c r="B3" s="17"/>
      <c r="C3" s="18" t="s">
        <v>5</v>
      </c>
      <c r="D3" s="11"/>
      <c r="F3" s="19" t="str">
        <f>IF(COUNTIF(G3:Z3,"ERROR")=0,"CLEAR",COUNTIF(G3:Z3,"ERROR")&amp;" ERRORS")
</f>
        <v>CLEAR</v>
      </c>
      <c r="G3" s="20" t="s">
        <v>6</v>
      </c>
      <c r="H3" s="21" t="str">
        <f>IFERROR(__xludf.DUMMYFUNCTION("IFERROR(IF(COUNTA(UNIQUE(FILTER(RC_IN[BLOCK],RC_IN[BLOCK LOC]=H2,RC_IN[STATE]&lt;&gt;""CLOSED"")))&gt;1,""ERROR"",INDEX(UNIQUE(FILTER(RC_IN[BLOCK],RC_IN[BLOCK LOC]=H2,RC_IN[STATE]&lt;&gt;""CLOSED"")),1)),"""")
"),"FEB-26-BLK3")</f>
        <v>FEB-26-BLK3</v>
      </c>
      <c r="I3" s="21" t="str">
        <f>IFERROR(__xludf.DUMMYFUNCTION("IFERROR(IF(COUNTA(UNIQUE(FILTER(RC_IN[BLOCK],RC_IN[BLOCK LOC]=I2,RC_IN[STATE]&lt;&gt;""CLOSED"")))&gt;1,""ERROR"",INDEX(UNIQUE(FILTER(RC_IN[BLOCK],RC_IN[BLOCK LOC]=I2,RC_IN[STATE]&lt;&gt;""CLOSED"")),1)),"""")
"),"FEB-26-BLK11")</f>
        <v>FEB-26-BLK11</v>
      </c>
      <c r="J3" s="21" t="str">
        <f>IFERROR(__xludf.DUMMYFUNCTION("IFERROR(IF(COUNTA(UNIQUE(FILTER(RC_IN[BLOCK],RC_IN[BLOCK LOC]=J2,RC_IN[STATE]&lt;&gt;""CLOSED"")))&gt;1,""ERROR"",INDEX(UNIQUE(FILTER(RC_IN[BLOCK],RC_IN[BLOCK LOC]=J2,RC_IN[STATE]&lt;&gt;""CLOSED"")),1)),"""")
"),"MARCH-26-BLK4")</f>
        <v>MARCH-26-BLK4</v>
      </c>
      <c r="K3" s="21" t="str">
        <f>IFERROR(__xludf.DUMMYFUNCTION("IFERROR(IF(COUNTA(UNIQUE(FILTER(RC_IN[BLOCK],RC_IN[BLOCK LOC]=K2,RC_IN[STATE]&lt;&gt;""CLOSED"")))&gt;1,""ERROR"",INDEX(UNIQUE(FILTER(RC_IN[BLOCK],RC_IN[BLOCK LOC]=K2,RC_IN[STATE]&lt;&gt;""CLOSED"")),1)),"""")
"),"MARCH-26-BLK13")</f>
        <v>MARCH-26-BLK13</v>
      </c>
      <c r="L3" s="21" t="str">
        <f>IFERROR(__xludf.DUMMYFUNCTION("IFERROR(IF(COUNTA(UNIQUE(FILTER(RC_IN[BLOCK],RC_IN[BLOCK LOC]=L2,RC_IN[STATE]&lt;&gt;""CLOSED"")))&gt;1,""ERROR"",INDEX(UNIQUE(FILTER(RC_IN[BLOCK],RC_IN[BLOCK LOC]=L2,RC_IN[STATE]&lt;&gt;""CLOSED"")),1)),"""")
"),"MARCH-26-BLK17")</f>
        <v>MARCH-26-BLK17</v>
      </c>
      <c r="M3" s="21" t="str">
        <f>IFERROR(__xludf.DUMMYFUNCTION("IFERROR(IF(COUNTA(UNIQUE(FILTER(RC_IN[BLOCK],RC_IN[BLOCK LOC]=M2,RC_IN[STATE]&lt;&gt;""CLOSED"")))&gt;1,""ERROR"",INDEX(UNIQUE(FILTER(RC_IN[BLOCK],RC_IN[BLOCK LOC]=M2,RC_IN[STATE]&lt;&gt;""CLOSED"")),1)),"""")
"),"FEB-26-BLK6")</f>
        <v>FEB-26-BLK6</v>
      </c>
      <c r="N3" s="21" t="str">
        <f>IFERROR(__xludf.DUMMYFUNCTION("IFERROR(IF(COUNTA(UNIQUE(FILTER(RC_IN[BLOCK],RC_IN[BLOCK LOC]=N2,RC_IN[STATE]&lt;&gt;""CLOSED"")))&gt;1,""ERROR"",INDEX(UNIQUE(FILTER(RC_IN[BLOCK],RC_IN[BLOCK LOC]=N2,RC_IN[STATE]&lt;&gt;""CLOSED"")),1)),"""")
"),"JAN-26-BLK22")</f>
        <v>JAN-26-BLK22</v>
      </c>
      <c r="O3" s="21" t="str">
        <f>IFERROR(__xludf.DUMMYFUNCTION("IFERROR(IF(COUNTA(UNIQUE(FILTER(RC_IN[BLOCK],RC_IN[BLOCK LOC]=O2,RC_IN[STATE]&lt;&gt;""CLOSED"")))&gt;1,""ERROR"",INDEX(UNIQUE(FILTER(RC_IN[BLOCK],RC_IN[BLOCK LOC]=O2,RC_IN[STATE]&lt;&gt;""CLOSED"")),1)),"""")
"),"JAN-26-BLK14")</f>
        <v>JAN-26-BLK14</v>
      </c>
      <c r="P3" s="21" t="str">
        <f>IFERROR(__xludf.DUMMYFUNCTION("IFERROR(IF(COUNTA(UNIQUE(FILTER(RC_IN[BLOCK],RC_IN[BLOCK LOC]=P2,RC_IN[STATE]&lt;&gt;""CLOSED"")))&gt;1,""ERROR"",INDEX(UNIQUE(FILTER(RC_IN[BLOCK],RC_IN[BLOCK LOC]=P2,RC_IN[STATE]&lt;&gt;""CLOSED"")),1)),"""")
"),"JAN-26-BLK1")</f>
        <v>JAN-26-BLK1</v>
      </c>
      <c r="Q3" s="21" t="str">
        <f>IFERROR(__xludf.DUMMYFUNCTION("IFERROR(IF(COUNTA(UNIQUE(FILTER(RC_IN[BLOCK],RC_IN[BLOCK LOC]=Q2,RC_IN[STATE]&lt;&gt;""CLOSED"")))&gt;1,""ERROR"",INDEX(UNIQUE(FILTER(RC_IN[BLOCK],RC_IN[BLOCK LOC]=Q2,RC_IN[STATE]&lt;&gt;""CLOSED"")),1)),"""")
"),"")</f>
        <v/>
      </c>
      <c r="R3" s="21" t="str">
        <f>IFERROR(__xludf.DUMMYFUNCTION("IFERROR(IF(COUNTA(UNIQUE(FILTER(RC_IN[BLOCK],RC_IN[BLOCK LOC]=R2,RC_IN[STATE]&lt;&gt;""CLOSED"")))&gt;1,""ERROR"",INDEX(UNIQUE(FILTER(RC_IN[BLOCK],RC_IN[BLOCK LOC]=R2,RC_IN[STATE]&lt;&gt;""CLOSED"")),1)),"""")
"),"JAN-26-BLK15")</f>
        <v>JAN-26-BLK15</v>
      </c>
      <c r="S3" s="21" t="str">
        <f>IFERROR(__xludf.DUMMYFUNCTION("IFERROR(IF(COUNTA(UNIQUE(FILTER(RC_IN[BLOCK],RC_IN[BLOCK LOC]=S2,RC_IN[STATE]&lt;&gt;""CLOSED"")))&gt;1,""ERROR"",INDEX(UNIQUE(FILTER(RC_IN[BLOCK],RC_IN[BLOCK LOC]=S2,RC_IN[STATE]&lt;&gt;""CLOSED"")),1)),"""")
"),"NOV-24-BLK9")</f>
        <v>NOV-24-BLK9</v>
      </c>
      <c r="T3" s="21" t="str">
        <f>IFERROR(__xludf.DUMMYFUNCTION("IFERROR(IF(COUNTA(UNIQUE(FILTER(RC_IN[BLOCK],RC_IN[BLOCK LOC]=T2,RC_IN[STATE]&lt;&gt;""CLOSED"")))&gt;1,""ERROR"",INDEX(UNIQUE(FILTER(RC_IN[BLOCK],RC_IN[BLOCK LOC]=T2,RC_IN[STATE]&lt;&gt;""CLOSED"")),1)),"""")
"),"OCT-24-BLK3")</f>
        <v>OCT-24-BLK3</v>
      </c>
      <c r="U3" s="21" t="str">
        <f>IFERROR(__xludf.DUMMYFUNCTION("IFERROR(IF(COUNTA(UNIQUE(FILTER(RC_IN[BLOCK],RC_IN[BLOCK LOC]=U2,RC_IN[STATE]&lt;&gt;""CLOSED"")))&gt;1,""ERROR"",INDEX(UNIQUE(FILTER(RC_IN[BLOCK],RC_IN[BLOCK LOC]=U2,RC_IN[STATE]&lt;&gt;""CLOSED"")),1)),"""")
"),"AUG-24-BLK6")</f>
        <v>AUG-24-BLK6</v>
      </c>
      <c r="V3" s="21" t="str">
        <f>IFERROR(__xludf.DUMMYFUNCTION("IFERROR(IF(COUNTA(UNIQUE(FILTER(RC_IN[BLOCK],RC_IN[BLOCK LOC]=V2,RC_IN[STATE]&lt;&gt;""CLOSED"")))&gt;1,""ERROR"",INDEX(UNIQUE(FILTER(RC_IN[BLOCK],RC_IN[BLOCK LOC]=V2,RC_IN[STATE]&lt;&gt;""CLOSED"")),1)),"""")
"),"AUG-24-BLK3")</f>
        <v>AUG-24-BLK3</v>
      </c>
      <c r="W3" s="21" t="str">
        <f>IFERROR(__xludf.DUMMYFUNCTION("IFERROR(IF(COUNTA(UNIQUE(FILTER(RC_IN[BLOCK],RC_IN[BLOCK LOC]=W2,RC_IN[STATE]&lt;&gt;""CLOSED"")))&gt;1,""ERROR"",INDEX(UNIQUE(FILTER(RC_IN[BLOCK],RC_IN[BLOCK LOC]=W2,RC_IN[STATE]&lt;&gt;""CLOSED"")),1)),"""")
"),"")</f>
        <v/>
      </c>
      <c r="X3" s="21" t="str">
        <f>IFERROR(__xludf.DUMMYFUNCTION("IFERROR(IF(COUNTA(UNIQUE(FILTER(RC_IN[BLOCK],RC_IN[BLOCK LOC]=X2,RC_IN[STATE]&lt;&gt;""CLOSED"")))&gt;1,""ERROR"",INDEX(UNIQUE(FILTER(RC_IN[BLOCK],RC_IN[BLOCK LOC]=X2,RC_IN[STATE]&lt;&gt;""CLOSED"")),1)),"""")
"),"JUNE-26-BLK1")</f>
        <v>JUNE-26-BLK1</v>
      </c>
      <c r="Y3" s="21" t="str">
        <f>IFERROR(__xludf.DUMMYFUNCTION("IFERROR(IF(COUNTA(UNIQUE(FILTER(RC_IN[BLOCK],RC_IN[BLOCK LOC]=Y2,RC_IN[STATE]&lt;&gt;""CLOSED"")))&gt;1,""ERROR"",INDEX(UNIQUE(FILTER(RC_IN[BLOCK],RC_IN[BLOCK LOC]=Y2,RC_IN[STATE]&lt;&gt;""CLOSED"")),1)),"""")
"),"MAY-26-BLK8")</f>
        <v>MAY-26-BLK8</v>
      </c>
      <c r="Z3" s="21" t="str">
        <f>IFERROR(__xludf.DUMMYFUNCTION("IFERROR(IF(COUNTA(UNIQUE(FILTER(RC_IN[BLOCK],RC_IN[BLOCK LOC]=Z2,RC_IN[STATE]&lt;&gt;""CLOSED"")))&gt;1,""ERROR"",INDEX(UNIQUE(FILTER(RC_IN[BLOCK],RC_IN[BLOCK LOC]=Z2,RC_IN[STATE]&lt;&gt;""CLOSED"")),1)),"""")
"),"MAY-26-BLK4")</f>
        <v>MAY-26-BLK4</v>
      </c>
      <c r="AA3" s="22" t="str">
        <f>IFERROR(__xludf.DUMMYFUNCTION("IFERROR(IF(COUNTA(UNIQUE(FILTER(RC_IN[BLOCK],RC_IN[BLOCK LOC]=AA2,RC_IN[STATE]&lt;&gt;""CLOSED"")))&gt;1,""ERROR"",INDEX(UNIQUE(FILTER(RC_IN[BLOCK],RC_IN[BLOCK LOC]=AA2,RC_IN[STATE]&lt;&gt;""CLOSED"")),1)),"""")
"),"APRIL-26-BLK7")</f>
        <v>APRIL-26-BLK7</v>
      </c>
      <c r="AB3" s="15"/>
      <c r="AC3" s="23"/>
      <c r="AD3" s="20" t="s">
        <v>6</v>
      </c>
      <c r="AE3" s="21" t="str">
        <f>IFERROR(__xludf.DUMMYFUNCTION("IFERROR(IF(COUNTA(UNIQUE(FILTER(RC_IN[BLOCK],RC_IN[BLOCK LOC]=AE2,RC_IN[STATE]&lt;&gt;""CLOSED"")))&gt;1,""ERROR"",INDEX(UNIQUE(FILTER(RC_IN[BLOCK],RC_IN[BLOCK LOC]=AE2,RC_IN[STATE]&lt;&gt;""CLOSED"")),1)),"""")
"),"")</f>
        <v/>
      </c>
      <c r="AF3" s="21" t="str">
        <f>IFERROR(__xludf.DUMMYFUNCTION("IFERROR(IF(COUNTA(UNIQUE(FILTER(RC_IN[BLOCK],RC_IN[BLOCK LOC]=AF2,RC_IN[STATE]&lt;&gt;""CLOSED"")))&gt;1,""ERROR"",INDEX(UNIQUE(FILTER(RC_IN[BLOCK],RC_IN[BLOCK LOC]=AF2,RC_IN[STATE]&lt;&gt;""CLOSED"")),1)),"""")
"),"")</f>
        <v/>
      </c>
      <c r="AG3" s="22" t="str">
        <f>IFERROR(__xludf.DUMMYFUNCTION("IFERROR(IF(COUNTA(UNIQUE(FILTER(RC_IN[BLOCK],RC_IN[BLOCK LOC]=AG2,RC_IN[STATE]&lt;&gt;""CLOSED"")))&gt;1,""ERROR"",INDEX(UNIQUE(FILTER(RC_IN[BLOCK],RC_IN[BLOCK LOC]=AG2,RC_IN[STATE]&lt;&gt;""CLOSED"")),1)),"""")
"),"")</f>
        <v/>
      </c>
    </row>
    <row r="4" ht="11.25" customHeight="1">
      <c r="A4" s="24">
        <f>SUM(C19,C32,C44,C69)/1000</f>
        <v>10293.922</v>
      </c>
      <c r="B4" s="17"/>
      <c r="C4" s="25">
        <f>sum(H4:AA4)</f>
        <v>1219668</v>
      </c>
      <c r="D4" s="11"/>
      <c r="F4" s="26"/>
      <c r="G4" s="27" t="s">
        <v>7</v>
      </c>
      <c r="H4" s="28">
        <f>SUMIFS(RC_IN[WT],RC_IN[BLOCK],H3,RC_IN[BLOCK LOC],H2)-SUMIFS(RC_OUT[WT],RC_OUT[BLOCK],H3,RC_OUT[BLOCK LOC],H2)</f>
        <v>73575</v>
      </c>
      <c r="I4" s="28">
        <f>SUMIFS(RC_IN[WT],RC_IN[BLOCK],I3,RC_IN[BLOCK LOC],I2)-SUMIFS(RC_OUT[WT],RC_OUT[BLOCK],I3,RC_OUT[BLOCK LOC],I2)</f>
        <v>63115</v>
      </c>
      <c r="J4" s="28">
        <f>SUMIFS(RC_IN[WT],RC_IN[BLOCK],J3,RC_IN[BLOCK LOC],J2)-SUMIFS(RC_OUT[WT],RC_OUT[BLOCK],J3,RC_OUT[BLOCK LOC],J2)</f>
        <v>73580</v>
      </c>
      <c r="K4" s="28">
        <f>SUMIFS(RC_IN[WT],RC_IN[BLOCK],K3,RC_IN[BLOCK LOC],K2)-SUMIFS(RC_OUT[WT],RC_OUT[BLOCK],K3,RC_OUT[BLOCK LOC],K2)</f>
        <v>75370</v>
      </c>
      <c r="L4" s="28">
        <f>SUMIFS(RC_IN[WT],RC_IN[BLOCK],L3,RC_IN[BLOCK LOC],L2)-SUMIFS(RC_OUT[WT],RC_OUT[BLOCK],L3,RC_OUT[BLOCK LOC],L2)</f>
        <v>74995</v>
      </c>
      <c r="M4" s="28">
        <f>SUMIFS(RC_IN[WT],RC_IN[BLOCK],M3,RC_IN[BLOCK LOC],M2)-SUMIFS(RC_OUT[WT],RC_OUT[BLOCK],M3,RC_OUT[BLOCK LOC],M2)</f>
        <v>59850</v>
      </c>
      <c r="N4" s="28">
        <f>SUMIFS(RC_IN[WT],RC_IN[BLOCK],N3,RC_IN[BLOCK LOC],N2)-SUMIFS(RC_OUT[WT],RC_OUT[BLOCK],N3,RC_OUT[BLOCK LOC],N2)</f>
        <v>56234</v>
      </c>
      <c r="O4" s="28">
        <f>SUMIFS(RC_IN[WT],RC_IN[BLOCK],O3,RC_IN[BLOCK LOC],O2)-SUMIFS(RC_OUT[WT],RC_OUT[BLOCK],O3,RC_OUT[BLOCK LOC],O2)</f>
        <v>59235</v>
      </c>
      <c r="P4" s="28">
        <f>SUMIFS(RC_IN[WT],RC_IN[BLOCK],P3,RC_IN[BLOCK LOC],P2)-SUMIFS(RC_OUT[WT],RC_OUT[BLOCK],P3,RC_OUT[BLOCK LOC],P2)</f>
        <v>69010</v>
      </c>
      <c r="Q4" s="28">
        <f>SUMIFS(RC_IN[WT],RC_IN[BLOCK],Q3,RC_IN[BLOCK LOC],Q2)-SUMIFS(RC_OUT[WT],RC_OUT[BLOCK],Q3,RC_OUT[BLOCK LOC],Q2)</f>
        <v>0</v>
      </c>
      <c r="R4" s="28">
        <f>SUMIFS(RC_IN[WT],RC_IN[BLOCK],R3,RC_IN[BLOCK LOC],R2)-SUMIFS(RC_OUT[WT],RC_OUT[BLOCK],R3,RC_OUT[BLOCK LOC],R2)</f>
        <v>73379</v>
      </c>
      <c r="S4" s="28">
        <f>SUMIFS(RC_IN[WT],RC_IN[BLOCK],S3,RC_IN[BLOCK LOC],S2)-SUMIFS(RC_OUT[WT],RC_OUT[BLOCK],S3,RC_OUT[BLOCK LOC],S2)</f>
        <v>73415</v>
      </c>
      <c r="T4" s="28">
        <f>SUMIFS(RC_IN[WT],RC_IN[BLOCK],T3,RC_IN[BLOCK LOC],T2)-SUMIFS(RC_OUT[WT],RC_OUT[BLOCK],T3,RC_OUT[BLOCK LOC],T2)</f>
        <v>55215</v>
      </c>
      <c r="U4" s="28">
        <f>SUMIFS(RC_IN[WT],RC_IN[BLOCK],U3,RC_IN[BLOCK LOC],U2)-SUMIFS(RC_OUT[WT],RC_OUT[BLOCK],U3,RC_OUT[BLOCK LOC],U2)</f>
        <v>70610</v>
      </c>
      <c r="V4" s="28">
        <f>SUMIFS(RC_IN[WT],RC_IN[BLOCK],V3,RC_IN[BLOCK LOC],V2)-SUMIFS(RC_OUT[WT],RC_OUT[BLOCK],V3,RC_OUT[BLOCK LOC],V2)</f>
        <v>71110</v>
      </c>
      <c r="W4" s="28">
        <f>SUMIFS(RC_IN[WT],RC_IN[BLOCK],W3,RC_IN[BLOCK LOC],W2)-SUMIFS(RC_OUT[WT],RC_OUT[BLOCK],W3,RC_OUT[BLOCK LOC],W2)</f>
        <v>0</v>
      </c>
      <c r="X4" s="28">
        <f>SUMIFS(RC_IN[WT],RC_IN[BLOCK],X3,RC_IN[BLOCK LOC],X2)-SUMIFS(RC_OUT[WT],RC_OUT[BLOCK],X3,RC_OUT[BLOCK LOC],X2)</f>
        <v>71780</v>
      </c>
      <c r="Y4" s="28">
        <f>SUMIFS(RC_IN[WT],RC_IN[BLOCK],Y3,RC_IN[BLOCK LOC],Y2)-SUMIFS(RC_OUT[WT],RC_OUT[BLOCK],Y3,RC_OUT[BLOCK LOC],Y2)</f>
        <v>66340</v>
      </c>
      <c r="Z4" s="28">
        <f>SUMIFS(RC_IN[WT],RC_IN[BLOCK],Z3,RC_IN[BLOCK LOC],Z2)-SUMIFS(RC_OUT[WT],RC_OUT[BLOCK],Z3,RC_OUT[BLOCK LOC],Z2)</f>
        <v>72565</v>
      </c>
      <c r="AA4" s="29">
        <f>SUMIFS(RC_IN[WT],RC_IN[BLOCK],AA3,RC_IN[BLOCK LOC],AA2)-SUMIFS(RC_OUT[WT],RC_OUT[BLOCK],AA3,RC_OUT[BLOCK LOC],AA2)</f>
        <v>60290</v>
      </c>
      <c r="AB4" s="15"/>
      <c r="AC4" s="30">
        <f>sum(AE4:AG4)</f>
        <v>0</v>
      </c>
      <c r="AD4" s="27" t="s">
        <v>7</v>
      </c>
      <c r="AE4" s="28">
        <f>SUMIFS(RC_IN[WT],RC_IN[BLOCK],AE3,RC_IN[BLOCK LOC],AE2)-SUMIFS(RC_OUT[WT],RC_OUT[BLOCK],AE3,RC_OUT[BLOCK LOC],AE2)</f>
        <v>0</v>
      </c>
      <c r="AF4" s="28">
        <f>SUMIFS(RC_IN[WT],RC_IN[BLOCK],AF3,RC_IN[BLOCK LOC],AF2)-SUMIFS(RC_OUT[WT],RC_OUT[BLOCK],AF3,RC_OUT[BLOCK LOC],AF2)</f>
        <v>0</v>
      </c>
      <c r="AG4" s="29">
        <f>SUMIFS(RC_IN[WT],RC_IN[BLOCK],AG3,RC_IN[BLOCK LOC],AG2)-SUMIFS(RC_OUT[WT],RC_OUT[BLOCK],AG3,RC_OUT[BLOCK LOC],AG2)</f>
        <v>0</v>
      </c>
    </row>
    <row r="5" ht="11.25" customHeight="1">
      <c r="A5" s="31">
        <f>sum(AC4,AC10,AC16,AC23,AC29,AC35)/1000</f>
        <v>0</v>
      </c>
      <c r="B5" s="17"/>
      <c r="C5" s="32"/>
      <c r="D5" s="11"/>
      <c r="F5" s="33"/>
      <c r="G5" s="34" t="s">
        <v>8</v>
      </c>
      <c r="H5" s="35">
        <f>IFERROR(__xludf.DUMMYFUNCTION("IFERROR(SUMPRODUCT(FILTER(RC_IN[ASTM],RC_IN[BLOCK]=H3,RC_IN[BLOCK LOC]=H2),FILTER(RC_IN[WT],RC_IN[BLOCK]=H3,RC_IN[BLOCK LOC]=H2))/SUM(FILTER(RC_IN[WT],RC_IN[BLOCK]=H3,RC_IN[BLOCK LOC]=H2)),"""")
"),0.5762532110091743)</f>
        <v>0.576253211</v>
      </c>
      <c r="I5" s="35">
        <f>IFERROR(__xludf.DUMMYFUNCTION("IFERROR(SUMPRODUCT(FILTER(RC_IN[ASTM],RC_IN[BLOCK]=I3,RC_IN[BLOCK LOC]=I2),FILTER(RC_IN[WT],RC_IN[BLOCK]=I3,RC_IN[BLOCK LOC]=I2))/SUM(FILTER(RC_IN[WT],RC_IN[BLOCK]=I3,RC_IN[BLOCK LOC]=I2)),"""")
"),0.5749999999999998)</f>
        <v>0.575</v>
      </c>
      <c r="J5" s="35">
        <f>IFERROR(__xludf.DUMMYFUNCTION("IFERROR(SUMPRODUCT(FILTER(RC_IN[ASTM],RC_IN[BLOCK]=J3,RC_IN[BLOCK LOC]=J2),FILTER(RC_IN[WT],RC_IN[BLOCK]=J3,RC_IN[BLOCK LOC]=J2))/SUM(FILTER(RC_IN[WT],RC_IN[BLOCK]=J3,RC_IN[BLOCK LOC]=J2)),"""")
"),0.5758032073933134)</f>
        <v>0.5758032074</v>
      </c>
      <c r="K5" s="35">
        <f>IFERROR(__xludf.DUMMYFUNCTION("IFERROR(SUMPRODUCT(FILTER(RC_IN[ASTM],RC_IN[BLOCK]=K3,RC_IN[BLOCK LOC]=K2),FILTER(RC_IN[WT],RC_IN[BLOCK]=K3,RC_IN[BLOCK LOC]=K2))/SUM(FILTER(RC_IN[WT],RC_IN[BLOCK]=K3,RC_IN[BLOCK LOC]=K2)),"""")
"),0.5755880323736234)</f>
        <v>0.5755880324</v>
      </c>
      <c r="L5" s="35">
        <f>IFERROR(__xludf.DUMMYFUNCTION("IFERROR(SUMPRODUCT(FILTER(RC_IN[ASTM],RC_IN[BLOCK]=L3,RC_IN[BLOCK LOC]=L2),FILTER(RC_IN[WT],RC_IN[BLOCK]=L3,RC_IN[BLOCK LOC]=L2))/SUM(FILTER(RC_IN[WT],RC_IN[BLOCK]=L3,RC_IN[BLOCK LOC]=L2)),"""")
"),0.5757370491366092)</f>
        <v>0.5757370491</v>
      </c>
      <c r="M5" s="35">
        <f>IFERROR(__xludf.DUMMYFUNCTION("IFERROR(SUMPRODUCT(FILTER(RC_IN[ASTM],RC_IN[BLOCK]=M3,RC_IN[BLOCK LOC]=M2),FILTER(RC_IN[WT],RC_IN[BLOCK]=M3,RC_IN[BLOCK LOC]=M2))/SUM(FILTER(RC_IN[WT],RC_IN[BLOCK]=M3,RC_IN[BLOCK LOC]=M2)),"""")
"),0.5622988304093567)</f>
        <v>0.5622988304</v>
      </c>
      <c r="N5" s="35">
        <f>IFERROR(__xludf.DUMMYFUNCTION("IFERROR(SUMPRODUCT(FILTER(RC_IN[ASTM],RC_IN[BLOCK]=N3,RC_IN[BLOCK LOC]=N2),FILTER(RC_IN[WT],RC_IN[BLOCK]=N3,RC_IN[BLOCK LOC]=N2))/SUM(FILTER(RC_IN[WT],RC_IN[BLOCK]=N3,RC_IN[BLOCK LOC]=N2)),"""")
"),0.5707482661734893)</f>
        <v>0.5707482662</v>
      </c>
      <c r="O5" s="35">
        <f>IFERROR(__xludf.DUMMYFUNCTION("IFERROR(SUMPRODUCT(FILTER(RC_IN[ASTM],RC_IN[BLOCK]=O3,RC_IN[BLOCK LOC]=O2),FILTER(RC_IN[WT],RC_IN[BLOCK]=O3,RC_IN[BLOCK LOC]=O2))/SUM(FILTER(RC_IN[WT],RC_IN[BLOCK]=O3,RC_IN[BLOCK LOC]=O2)),"""")
"),0.5715036718156494)</f>
        <v>0.5715036718</v>
      </c>
      <c r="P5" s="35">
        <f>IFERROR(__xludf.DUMMYFUNCTION("IFERROR(SUMPRODUCT(FILTER(RC_IN[ASTM],RC_IN[BLOCK]=P3,RC_IN[BLOCK LOC]=P2),FILTER(RC_IN[WT],RC_IN[BLOCK]=P3,RC_IN[BLOCK LOC]=P2))/SUM(FILTER(RC_IN[WT],RC_IN[BLOCK]=P3,RC_IN[BLOCK LOC]=P2)),"""")
"),0.5736095493406752)</f>
        <v>0.5736095493</v>
      </c>
      <c r="Q5" s="35" t="str">
        <f>IFERROR(__xludf.DUMMYFUNCTION("IFERROR(SUMPRODUCT(FILTER(RC_IN[ASTM],RC_IN[BLOCK]=Q3,RC_IN[BLOCK LOC]=Q2),FILTER(RC_IN[WT],RC_IN[BLOCK]=Q3,RC_IN[BLOCK LOC]=Q2))/SUM(FILTER(RC_IN[WT],RC_IN[BLOCK]=Q3,RC_IN[BLOCK LOC]=Q2)),"""")
"),"  ")</f>
        <v/>
      </c>
      <c r="R5" s="35">
        <f>IFERROR(__xludf.DUMMYFUNCTION("IFERROR(SUMPRODUCT(FILTER(RC_IN[ASTM],RC_IN[BLOCK]=R3,RC_IN[BLOCK LOC]=R2),FILTER(RC_IN[WT],RC_IN[BLOCK]=R3,RC_IN[BLOCK LOC]=R2))/SUM(FILTER(RC_IN[WT],RC_IN[BLOCK]=R3,RC_IN[BLOCK LOC]=R2)),"""")
"),0.5754747543575137)</f>
        <v>0.5754747544</v>
      </c>
      <c r="S5" s="35">
        <f>IFERROR(__xludf.DUMMYFUNCTION("IFERROR(SUMPRODUCT(FILTER(RC_IN[ASTM],RC_IN[BLOCK]=S3,RC_IN[BLOCK LOC]=S2),FILTER(RC_IN[WT],RC_IN[BLOCK]=S3,RC_IN[BLOCK LOC]=S2))/SUM(FILTER(RC_IN[WT],RC_IN[BLOCK]=S3,RC_IN[BLOCK LOC]=S2)),"""")
"),0.5740059252196417)</f>
        <v>0.5740059252</v>
      </c>
      <c r="T5" s="35">
        <f>IFERROR(__xludf.DUMMYFUNCTION("IFERROR(SUMPRODUCT(FILTER(RC_IN[ASTM],RC_IN[BLOCK]=T3,RC_IN[BLOCK LOC]=T2),FILTER(RC_IN[WT],RC_IN[BLOCK]=T3,RC_IN[BLOCK LOC]=T2))/SUM(FILTER(RC_IN[WT],RC_IN[BLOCK]=T3,RC_IN[BLOCK LOC]=T2)),"""")
"),0.5736047269763651)</f>
        <v>0.573604727</v>
      </c>
      <c r="U5" s="35">
        <f>IFERROR(__xludf.DUMMYFUNCTION("IFERROR(SUMPRODUCT(FILTER(RC_IN[ASTM],RC_IN[BLOCK]=U3,RC_IN[BLOCK LOC]=U2),FILTER(RC_IN[WT],RC_IN[BLOCK]=U3,RC_IN[BLOCK LOC]=U2))/SUM(FILTER(RC_IN[WT],RC_IN[BLOCK]=U3,RC_IN[BLOCK LOC]=U2)),"""")
"),0.5757271632913186)</f>
        <v>0.5757271633</v>
      </c>
      <c r="V5" s="35">
        <f>IFERROR(__xludf.DUMMYFUNCTION("IFERROR(SUMPRODUCT(FILTER(RC_IN[ASTM],RC_IN[BLOCK]=V3,RC_IN[BLOCK LOC]=V2),FILTER(RC_IN[WT],RC_IN[BLOCK]=V3,RC_IN[BLOCK LOC]=V2))/SUM(FILTER(RC_IN[WT],RC_IN[BLOCK]=V3,RC_IN[BLOCK LOC]=V2)),"""")
"),0.5765278441850653)</f>
        <v>0.5765278442</v>
      </c>
      <c r="W5" s="35" t="str">
        <f>IFERROR(__xludf.DUMMYFUNCTION("IFERROR(SUMPRODUCT(FILTER(RC_IN[ASTM],RC_IN[BLOCK]=W3,RC_IN[BLOCK LOC]=W2),FILTER(RC_IN[WT],RC_IN[BLOCK]=W3,RC_IN[BLOCK LOC]=W2))/SUM(FILTER(RC_IN[WT],RC_IN[BLOCK]=W3,RC_IN[BLOCK LOC]=W2)),"""")
"),"  ")</f>
        <v/>
      </c>
      <c r="X5" s="35">
        <f>IFERROR(__xludf.DUMMYFUNCTION("IFERROR(SUMPRODUCT(FILTER(RC_IN[ASTM],RC_IN[BLOCK]=X3,RC_IN[BLOCK LOC]=X2),FILTER(RC_IN[WT],RC_IN[BLOCK]=X3,RC_IN[BLOCK LOC]=X2))/SUM(FILTER(RC_IN[WT],RC_IN[BLOCK]=X3,RC_IN[BLOCK LOC]=X2)),"""")
"),0.5748650041794371)</f>
        <v>0.5748650042</v>
      </c>
      <c r="Y5" s="35">
        <f>IFERROR(__xludf.DUMMYFUNCTION("IFERROR(SUMPRODUCT(FILTER(RC_IN[ASTM],RC_IN[BLOCK]=Y3,RC_IN[BLOCK LOC]=Y2),FILTER(RC_IN[WT],RC_IN[BLOCK]=Y3,RC_IN[BLOCK LOC]=Y2))/SUM(FILTER(RC_IN[WT],RC_IN[BLOCK]=Y3,RC_IN[BLOCK LOC]=Y2)),"""")
"),0.5745620289418149)</f>
        <v>0.5745620289</v>
      </c>
      <c r="Z5" s="35">
        <f>IFERROR(__xludf.DUMMYFUNCTION("IFERROR(SUMPRODUCT(FILTER(RC_IN[ASTM],RC_IN[BLOCK]=Z3,RC_IN[BLOCK LOC]=Z2),FILTER(RC_IN[WT],RC_IN[BLOCK]=Z3,RC_IN[BLOCK LOC]=Z2))/SUM(FILTER(RC_IN[WT],RC_IN[BLOCK]=Z3,RC_IN[BLOCK LOC]=Z2)),"""")
"),0.575)</f>
        <v>0.575</v>
      </c>
      <c r="AA5" s="36">
        <f>IFERROR(__xludf.DUMMYFUNCTION("IFERROR(SUMPRODUCT(FILTER(RC_IN[ASTM],RC_IN[BLOCK]=AA3,RC_IN[BLOCK LOC]=AA2),FILTER(RC_IN[WT],RC_IN[BLOCK]=AA3,RC_IN[BLOCK LOC]=AA2))/SUM(FILTER(RC_IN[WT],RC_IN[BLOCK]=AA3,RC_IN[BLOCK LOC]=AA2)),"""")
"),0.5746329407862)</f>
        <v>0.5746329408</v>
      </c>
      <c r="AB5" s="37"/>
      <c r="AC5" s="38"/>
      <c r="AD5" s="34" t="s">
        <v>8</v>
      </c>
      <c r="AE5" s="35" t="str">
        <f>IFERROR(__xludf.DUMMYFUNCTION("IFERROR(SUMPRODUCT(FILTER(RC_IN[ASTM],RC_IN[BLOCK]=AE3,RC_IN[BLOCK LOC]=AE2),FILTER(RC_IN[WT],RC_IN[BLOCK]=AE3,RC_IN[BLOCK LOC]=AE2))/SUM(FILTER(RC_IN[WT],RC_IN[BLOCK]=AE3,RC_IN[BLOCK LOC]=AE2)),"""")
"),"  ")</f>
        <v/>
      </c>
      <c r="AF5" s="35" t="str">
        <f>IFERROR(__xludf.DUMMYFUNCTION("IFERROR(SUMPRODUCT(FILTER(RC_IN[ASTM],RC_IN[BLOCK]=AF3,RC_IN[BLOCK LOC]=AF2),FILTER(RC_IN[WT],RC_IN[BLOCK]=AF3,RC_IN[BLOCK LOC]=AF2))/SUM(FILTER(RC_IN[WT],RC_IN[BLOCK]=AF3,RC_IN[BLOCK LOC]=AF2)),"""")
"),"  ")</f>
        <v/>
      </c>
      <c r="AG5" s="36" t="str">
        <f>IFERROR(__xludf.DUMMYFUNCTION("IFERROR(SUMPRODUCT(FILTER(RC_IN[ASTM],RC_IN[BLOCK]=AG3,RC_IN[BLOCK LOC]=AG2),FILTER(RC_IN[WT],RC_IN[BLOCK]=AG3,RC_IN[BLOCK LOC]=AG2))/SUM(FILTER(RC_IN[WT],RC_IN[BLOCK]=AG3,RC_IN[BLOCK LOC]=AG2)),"""")
"),"  ")</f>
        <v/>
      </c>
    </row>
    <row r="6" ht="11.25" customHeight="1">
      <c r="A6" s="39">
        <f>sum(A4:A5)</f>
        <v>10293.922</v>
      </c>
      <c r="B6" s="17"/>
      <c r="C6" s="32"/>
      <c r="D6" s="11"/>
      <c r="F6" s="26"/>
      <c r="G6" s="27" t="s">
        <v>9</v>
      </c>
      <c r="H6" s="40">
        <f>IFERROR(__xludf.DUMMYFUNCTION("IFERROR(SUMPRODUCT(FILTER(RC_IN[ASH],RC_IN[BLOCK]=H3,RC_IN[BLOCK LOC]=H2),FILTER(RC_IN[WT],RC_IN[BLOCK]=H3,RC_IN[BLOCK LOC]=H2))/SUM(FILTER(RC_IN[WT],RC_IN[BLOCK]=H3,RC_IN[BLOCK LOC]=H2)),"""")
"),3.0958246687054025)</f>
        <v>3.095824669</v>
      </c>
      <c r="I6" s="40">
        <f>IFERROR(__xludf.DUMMYFUNCTION("IFERROR(SUMPRODUCT(FILTER(RC_IN[ASH],RC_IN[BLOCK]=I3,RC_IN[BLOCK LOC]=I2),FILTER(RC_IN[WT],RC_IN[BLOCK]=I3,RC_IN[BLOCK LOC]=I2))/SUM(FILTER(RC_IN[WT],RC_IN[BLOCK]=I3,RC_IN[BLOCK LOC]=I2)),"""")
"),3.4638445694367426)</f>
        <v>3.463844569</v>
      </c>
      <c r="J6" s="40">
        <f>IFERROR(__xludf.DUMMYFUNCTION("IFERROR(SUMPRODUCT(FILTER(RC_IN[ASH],RC_IN[BLOCK]=J3,RC_IN[BLOCK LOC]=J2),FILTER(RC_IN[WT],RC_IN[BLOCK]=J3,RC_IN[BLOCK LOC]=J2))/SUM(FILTER(RC_IN[WT],RC_IN[BLOCK]=J3,RC_IN[BLOCK LOC]=J2)),"""")
"),3.725118238651808)</f>
        <v>3.725118239</v>
      </c>
      <c r="K6" s="40">
        <f>IFERROR(__xludf.DUMMYFUNCTION("IFERROR(SUMPRODUCT(FILTER(RC_IN[ASH],RC_IN[BLOCK]=K3,RC_IN[BLOCK LOC]=K2),FILTER(RC_IN[WT],RC_IN[BLOCK]=K3,RC_IN[BLOCK LOC]=K2))/SUM(FILTER(RC_IN[WT],RC_IN[BLOCK]=K3,RC_IN[BLOCK LOC]=K2)),"""")
"),3.1888496749369777)</f>
        <v>3.188849675</v>
      </c>
      <c r="L6" s="40">
        <f>IFERROR(__xludf.DUMMYFUNCTION("IFERROR(SUMPRODUCT(FILTER(RC_IN[ASH],RC_IN[BLOCK]=L3,RC_IN[BLOCK LOC]=L2),FILTER(RC_IN[WT],RC_IN[BLOCK]=L3,RC_IN[BLOCK LOC]=L2))/SUM(FILTER(RC_IN[WT],RC_IN[BLOCK]=L3,RC_IN[BLOCK LOC]=L2)),"""")
"),3.1420141342756183)</f>
        <v>3.142014134</v>
      </c>
      <c r="M6" s="40">
        <f>IFERROR(__xludf.DUMMYFUNCTION("IFERROR(SUMPRODUCT(FILTER(RC_IN[ASH],RC_IN[BLOCK]=M3,RC_IN[BLOCK LOC]=M2),FILTER(RC_IN[WT],RC_IN[BLOCK]=M3,RC_IN[BLOCK LOC]=M2))/SUM(FILTER(RC_IN[WT],RC_IN[BLOCK]=M3,RC_IN[BLOCK LOC]=M2)),"""")
"),3.2542046783625733)</f>
        <v>3.254204678</v>
      </c>
      <c r="N6" s="40">
        <f>IFERROR(__xludf.DUMMYFUNCTION("IFERROR(SUMPRODUCT(FILTER(RC_IN[ASH],RC_IN[BLOCK]=N3,RC_IN[BLOCK LOC]=N2),FILTER(RC_IN[WT],RC_IN[BLOCK]=N3,RC_IN[BLOCK LOC]=N2))/SUM(FILTER(RC_IN[WT],RC_IN[BLOCK]=N3,RC_IN[BLOCK LOC]=N2)),"""")
"),3.469668527936836)</f>
        <v>3.469668528</v>
      </c>
      <c r="O6" s="40">
        <f>IFERROR(__xludf.DUMMYFUNCTION("IFERROR(SUMPRODUCT(FILTER(RC_IN[ASH],RC_IN[BLOCK]=O3,RC_IN[BLOCK LOC]=O2),FILTER(RC_IN[WT],RC_IN[BLOCK]=O3,RC_IN[BLOCK LOC]=O2))/SUM(FILTER(RC_IN[WT],RC_IN[BLOCK]=O3,RC_IN[BLOCK LOC]=O2)),"""")
"),3.0674322613319824)</f>
        <v>3.067432261</v>
      </c>
      <c r="P6" s="40">
        <f>IFERROR(__xludf.DUMMYFUNCTION("IFERROR(SUMPRODUCT(FILTER(RC_IN[ASH],RC_IN[BLOCK]=P3,RC_IN[BLOCK LOC]=P2),FILTER(RC_IN[WT],RC_IN[BLOCK]=P3,RC_IN[BLOCK LOC]=P2))/SUM(FILTER(RC_IN[WT],RC_IN[BLOCK]=P3,RC_IN[BLOCK LOC]=P2)),"""")
"),3.5674221127372845)</f>
        <v>3.567422113</v>
      </c>
      <c r="Q6" s="40" t="str">
        <f>IFERROR(__xludf.DUMMYFUNCTION("IFERROR(SUMPRODUCT(FILTER(RC_IN[ASH],RC_IN[BLOCK]=Q3,RC_IN[BLOCK LOC]=Q2),FILTER(RC_IN[WT],RC_IN[BLOCK]=Q3,RC_IN[BLOCK LOC]=Q2))/SUM(FILTER(RC_IN[WT],RC_IN[BLOCK]=Q3,RC_IN[BLOCK LOC]=Q2)),"""")
"),"  ")</f>
        <v/>
      </c>
      <c r="R6" s="40">
        <f>IFERROR(__xludf.DUMMYFUNCTION("IFERROR(SUMPRODUCT(FILTER(RC_IN[ASH],RC_IN[BLOCK]=R3,RC_IN[BLOCK LOC]=R2),FILTER(RC_IN[WT],RC_IN[BLOCK]=R3,RC_IN[BLOCK LOC]=R2))/SUM(FILTER(RC_IN[WT],RC_IN[BLOCK]=R3,RC_IN[BLOCK LOC]=R2)),"""")
"),3.4031038853077855)</f>
        <v>3.403103885</v>
      </c>
      <c r="S6" s="40">
        <f>IFERROR(__xludf.DUMMYFUNCTION("IFERROR(SUMPRODUCT(FILTER(RC_IN[ASH],RC_IN[BLOCK]=S3,RC_IN[BLOCK LOC]=S2),FILTER(RC_IN[WT],RC_IN[BLOCK]=S3,RC_IN[BLOCK LOC]=S2))/SUM(FILTER(RC_IN[WT],RC_IN[BLOCK]=S3,RC_IN[BLOCK LOC]=S2)),"""")
"),2.0514070693999864)</f>
        <v>2.051407069</v>
      </c>
      <c r="T6" s="40">
        <f>IFERROR(__xludf.DUMMYFUNCTION("IFERROR(SUMPRODUCT(FILTER(RC_IN[ASH],RC_IN[BLOCK]=T3,RC_IN[BLOCK LOC]=T2),FILTER(RC_IN[WT],RC_IN[BLOCK]=T3,RC_IN[BLOCK LOC]=T2))/SUM(FILTER(RC_IN[WT],RC_IN[BLOCK]=T3,RC_IN[BLOCK LOC]=T2)),"""")
"),2.5430489903106044)</f>
        <v>2.54304899</v>
      </c>
      <c r="U6" s="40">
        <f>IFERROR(__xludf.DUMMYFUNCTION("IFERROR(SUMPRODUCT(FILTER(RC_IN[ASH],RC_IN[BLOCK]=U3,RC_IN[BLOCK LOC]=U2),FILTER(RC_IN[WT],RC_IN[BLOCK]=U3,RC_IN[BLOCK LOC]=U2))/SUM(FILTER(RC_IN[WT],RC_IN[BLOCK]=U3,RC_IN[BLOCK LOC]=U2)),"""")
"),2.6870365387338904)</f>
        <v>2.687036539</v>
      </c>
      <c r="V6" s="40">
        <f>IFERROR(__xludf.DUMMYFUNCTION("IFERROR(SUMPRODUCT(FILTER(RC_IN[ASH],RC_IN[BLOCK]=V3,RC_IN[BLOCK LOC]=V2),FILTER(RC_IN[WT],RC_IN[BLOCK]=V3,RC_IN[BLOCK LOC]=V2))/SUM(FILTER(RC_IN[WT],RC_IN[BLOCK]=V3,RC_IN[BLOCK LOC]=V2)),"""")
"),2.6077330895795248)</f>
        <v>2.60773309</v>
      </c>
      <c r="W6" s="40" t="str">
        <f>IFERROR(__xludf.DUMMYFUNCTION("IFERROR(SUMPRODUCT(FILTER(RC_IN[ASH],RC_IN[BLOCK]=W3,RC_IN[BLOCK LOC]=W2),FILTER(RC_IN[WT],RC_IN[BLOCK]=W3,RC_IN[BLOCK LOC]=W2))/SUM(FILTER(RC_IN[WT],RC_IN[BLOCK]=W3,RC_IN[BLOCK LOC]=W2)),"""")
"),"  ")</f>
        <v/>
      </c>
      <c r="X6" s="40">
        <f>IFERROR(__xludf.DUMMYFUNCTION("IFERROR(SUMPRODUCT(FILTER(RC_IN[ASH],RC_IN[BLOCK]=X3,RC_IN[BLOCK LOC]=X2),FILTER(RC_IN[WT],RC_IN[BLOCK]=X3,RC_IN[BLOCK LOC]=X2))/SUM(FILTER(RC_IN[WT],RC_IN[BLOCK]=X3,RC_IN[BLOCK LOC]=X2)),"""")
"),3.4152772359988854)</f>
        <v>3.415277236</v>
      </c>
      <c r="Y6" s="40">
        <f>IFERROR(__xludf.DUMMYFUNCTION("IFERROR(SUMPRODUCT(FILTER(RC_IN[ASH],RC_IN[BLOCK]=Y3,RC_IN[BLOCK LOC]=Y2),FILTER(RC_IN[WT],RC_IN[BLOCK]=Y3,RC_IN[BLOCK LOC]=Y2))/SUM(FILTER(RC_IN[WT],RC_IN[BLOCK]=Y3,RC_IN[BLOCK LOC]=Y2)),"""")
"),3.2884684956285803)</f>
        <v>3.288468496</v>
      </c>
      <c r="Z6" s="40">
        <f>IFERROR(__xludf.DUMMYFUNCTION("IFERROR(SUMPRODUCT(FILTER(RC_IN[ASH],RC_IN[BLOCK]=Z3,RC_IN[BLOCK LOC]=Z2),FILTER(RC_IN[WT],RC_IN[BLOCK]=Z3,RC_IN[BLOCK LOC]=Z2))/SUM(FILTER(RC_IN[WT],RC_IN[BLOCK]=Z3,RC_IN[BLOCK LOC]=Z2)),"""")
"),3.3988768690139874)</f>
        <v>3.398876869</v>
      </c>
      <c r="AA6" s="41">
        <f>IFERROR(__xludf.DUMMYFUNCTION("IFERROR(SUMPRODUCT(FILTER(RC_IN[ASH],RC_IN[BLOCK]=AA3,RC_IN[BLOCK LOC]=AA2),FILTER(RC_IN[WT],RC_IN[BLOCK]=AA3,RC_IN[BLOCK LOC]=AA2))/SUM(FILTER(RC_IN[WT],RC_IN[BLOCK]=AA3,RC_IN[BLOCK LOC]=AA2)),"""")
"),3.228454138331398)</f>
        <v>3.228454138</v>
      </c>
      <c r="AB6" s="15"/>
      <c r="AC6" s="23"/>
      <c r="AD6" s="27" t="s">
        <v>9</v>
      </c>
      <c r="AE6" s="40" t="str">
        <f>IFERROR(__xludf.DUMMYFUNCTION("IFERROR(SUMPRODUCT(FILTER(RC_IN[ASH],RC_IN[BLOCK]=AE3,RC_IN[BLOCK LOC]=AE2),FILTER(RC_IN[WT],RC_IN[BLOCK]=AE3,RC_IN[BLOCK LOC]=AE2))/SUM(FILTER(RC_IN[WT],RC_IN[BLOCK]=AE3,RC_IN[BLOCK LOC]=AE2)),"""")
"),"  ")</f>
        <v/>
      </c>
      <c r="AF6" s="40" t="str">
        <f>IFERROR(__xludf.DUMMYFUNCTION("IFERROR(SUMPRODUCT(FILTER(RC_IN[ASH],RC_IN[BLOCK]=AF3,RC_IN[BLOCK LOC]=AF2),FILTER(RC_IN[WT],RC_IN[BLOCK]=AF3,RC_IN[BLOCK LOC]=AF2))/SUM(FILTER(RC_IN[WT],RC_IN[BLOCK]=AF3,RC_IN[BLOCK LOC]=AF2)),"""")
"),"  ")</f>
        <v/>
      </c>
      <c r="AG6" s="41" t="str">
        <f>IFERROR(__xludf.DUMMYFUNCTION("IFERROR(SUMPRODUCT(FILTER(RC_IN[ASH],RC_IN[BLOCK]=AG3,RC_IN[BLOCK LOC]=AG2),FILTER(RC_IN[WT],RC_IN[BLOCK]=AG3,RC_IN[BLOCK LOC]=AG2))/SUM(FILTER(RC_IN[WT],RC_IN[BLOCK]=AG3,RC_IN[BLOCK LOC]=AG2)),"""")
"),"  ")</f>
        <v/>
      </c>
    </row>
    <row r="7" ht="11.25" customHeight="1">
      <c r="A7" s="42"/>
      <c r="B7" s="17"/>
      <c r="C7" s="32"/>
      <c r="D7" s="11"/>
      <c r="F7" s="43"/>
      <c r="G7" s="44" t="s">
        <v>10</v>
      </c>
      <c r="H7" s="45">
        <f>IFERROR(__xludf.DUMMYFUNCTION("IFERROR(SUMPRODUCT(FILTER(RC_IN[MC],RC_IN[BLOCK]=H3,RC_IN[BLOCK LOC]=H2),FILTER(RC_IN[WT],RC_IN[BLOCK]=H3,RC_IN[BLOCK LOC]=H2)) / SUM(FILTER(RC_IN[WT],RC_IN[BLOCK]=H3,RC_IN[BLOCK LOC]=H2)),"""")
"),11.482941216445804)</f>
        <v>11.48294122</v>
      </c>
      <c r="I7" s="45">
        <f>IFERROR(__xludf.DUMMYFUNCTION("IFERROR(SUMPRODUCT(FILTER(RC_IN[MC],RC_IN[BLOCK]=I3,RC_IN[BLOCK LOC]=I2),FILTER(RC_IN[WT],RC_IN[BLOCK]=I3,RC_IN[BLOCK LOC]=I2)) / SUM(FILTER(RC_IN[WT],RC_IN[BLOCK]=I3,RC_IN[BLOCK LOC]=I2)),"""")
"),11.467759645092292)</f>
        <v>11.46775965</v>
      </c>
      <c r="J7" s="45">
        <f>IFERROR(__xludf.DUMMYFUNCTION("IFERROR(SUMPRODUCT(FILTER(RC_IN[MC],RC_IN[BLOCK]=J3,RC_IN[BLOCK LOC]=J2),FILTER(RC_IN[WT],RC_IN[BLOCK]=J3,RC_IN[BLOCK LOC]=J2)) / SUM(FILTER(RC_IN[WT],RC_IN[BLOCK]=J3,RC_IN[BLOCK LOC]=J2)),"""")
"),11.53014406088611)</f>
        <v>11.53014406</v>
      </c>
      <c r="K7" s="45">
        <f>IFERROR(__xludf.DUMMYFUNCTION("IFERROR(SUMPRODUCT(FILTER(RC_IN[MC],RC_IN[BLOCK]=K3,RC_IN[BLOCK LOC]=K2),FILTER(RC_IN[WT],RC_IN[BLOCK]=K3,RC_IN[BLOCK LOC]=K2)) / SUM(FILTER(RC_IN[WT],RC_IN[BLOCK]=K3,RC_IN[BLOCK LOC]=K2)),"""")
"),11.65735969218522)</f>
        <v>11.65735969</v>
      </c>
      <c r="L7" s="45">
        <f>IFERROR(__xludf.DUMMYFUNCTION("IFERROR(SUMPRODUCT(FILTER(RC_IN[MC],RC_IN[BLOCK]=L3,RC_IN[BLOCK LOC]=L2),FILTER(RC_IN[WT],RC_IN[BLOCK]=L3,RC_IN[BLOCK LOC]=L2)) / SUM(FILTER(RC_IN[WT],RC_IN[BLOCK]=L3,RC_IN[BLOCK LOC]=L2)),"""")
"),11.683928261884125)</f>
        <v>11.68392826</v>
      </c>
      <c r="M7" s="45">
        <f>IFERROR(__xludf.DUMMYFUNCTION("IFERROR(SUMPRODUCT(FILTER(RC_IN[MC],RC_IN[BLOCK]=M3,RC_IN[BLOCK LOC]=M2),FILTER(RC_IN[WT],RC_IN[BLOCK]=M3,RC_IN[BLOCK LOC]=M2)) / SUM(FILTER(RC_IN[WT],RC_IN[BLOCK]=M3,RC_IN[BLOCK LOC]=M2)),"""")
"),9.941983291562238)</f>
        <v>9.941983292</v>
      </c>
      <c r="N7" s="45">
        <f>IFERROR(__xludf.DUMMYFUNCTION("IFERROR(SUMPRODUCT(FILTER(RC_IN[MC],RC_IN[BLOCK]=N3,RC_IN[BLOCK LOC]=N2),FILTER(RC_IN[WT],RC_IN[BLOCK]=N3,RC_IN[BLOCK LOC]=N2)) / SUM(FILTER(RC_IN[WT],RC_IN[BLOCK]=N3,RC_IN[BLOCK LOC]=N2)),"""")
"),11.452809688089058)</f>
        <v>11.45280969</v>
      </c>
      <c r="O7" s="45">
        <f>IFERROR(__xludf.DUMMYFUNCTION("IFERROR(SUMPRODUCT(FILTER(RC_IN[MC],RC_IN[BLOCK]=O3,RC_IN[BLOCK LOC]=O2),FILTER(RC_IN[WT],RC_IN[BLOCK]=O3,RC_IN[BLOCK LOC]=O2)) / SUM(FILTER(RC_IN[WT],RC_IN[BLOCK]=O3,RC_IN[BLOCK LOC]=O2)),"""")
"),10.231458597113193)</f>
        <v>10.2314586</v>
      </c>
      <c r="P7" s="45">
        <f>IFERROR(__xludf.DUMMYFUNCTION("IFERROR(SUMPRODUCT(FILTER(RC_IN[MC],RC_IN[BLOCK]=P3,RC_IN[BLOCK LOC]=P2),FILTER(RC_IN[WT],RC_IN[BLOCK]=P3,RC_IN[BLOCK LOC]=P2)) / SUM(FILTER(RC_IN[WT],RC_IN[BLOCK]=P3,RC_IN[BLOCK LOC]=P2)),"""")
"),9.493826257064192)</f>
        <v>9.493826257</v>
      </c>
      <c r="Q7" s="45" t="str">
        <f>IFERROR(__xludf.DUMMYFUNCTION("IFERROR(SUMPRODUCT(FILTER(RC_IN[MC],RC_IN[BLOCK]=Q3,RC_IN[BLOCK LOC]=Q2),FILTER(RC_IN[WT],RC_IN[BLOCK]=Q3,RC_IN[BLOCK LOC]=Q2)) / SUM(FILTER(RC_IN[WT],RC_IN[BLOCK]=Q3,RC_IN[BLOCK LOC]=Q2)),"""")
"),"")</f>
        <v/>
      </c>
      <c r="R7" s="45">
        <f>IFERROR(__xludf.DUMMYFUNCTION("IFERROR(SUMPRODUCT(FILTER(RC_IN[MC],RC_IN[BLOCK]=R3,RC_IN[BLOCK LOC]=R2),FILTER(RC_IN[WT],RC_IN[BLOCK]=R3,RC_IN[BLOCK LOC]=R2)) / SUM(FILTER(RC_IN[WT],RC_IN[BLOCK]=R3,RC_IN[BLOCK LOC]=R2)),"""")
"),12.239473827661866)</f>
        <v>12.23947383</v>
      </c>
      <c r="S7" s="45">
        <f>IFERROR(__xludf.DUMMYFUNCTION("IFERROR(SUMPRODUCT(FILTER(RC_IN[MC],RC_IN[BLOCK]=S3,RC_IN[BLOCK LOC]=S2),FILTER(RC_IN[WT],RC_IN[BLOCK]=S3,RC_IN[BLOCK LOC]=S2)) / SUM(FILTER(RC_IN[WT],RC_IN[BLOCK]=S3,RC_IN[BLOCK LOC]=S2)),"""")
"),11.57316216032146)</f>
        <v>11.57316216</v>
      </c>
      <c r="T7" s="45">
        <f>IFERROR(__xludf.DUMMYFUNCTION("IFERROR(SUMPRODUCT(FILTER(RC_IN[MC],RC_IN[BLOCK]=T3,RC_IN[BLOCK LOC]=T2),FILTER(RC_IN[WT],RC_IN[BLOCK]=T3,RC_IN[BLOCK LOC]=T2)) / SUM(FILTER(RC_IN[WT],RC_IN[BLOCK]=T3,RC_IN[BLOCK LOC]=T2)),"""")
"),11.724493344199944)</f>
        <v>11.72449334</v>
      </c>
      <c r="U7" s="45">
        <f>IFERROR(__xludf.DUMMYFUNCTION("IFERROR(SUMPRODUCT(FILTER(RC_IN[MC],RC_IN[BLOCK]=U3,RC_IN[BLOCK LOC]=U2),FILTER(RC_IN[WT],RC_IN[BLOCK]=U3,RC_IN[BLOCK LOC]=U2)) / SUM(FILTER(RC_IN[WT],RC_IN[BLOCK]=U3,RC_IN[BLOCK LOC]=U2)),"""")
"),11.216190341311428)</f>
        <v>11.21619034</v>
      </c>
      <c r="V7" s="45">
        <f>IFERROR(__xludf.DUMMYFUNCTION("IFERROR(SUMPRODUCT(FILTER(RC_IN[MC],RC_IN[BLOCK]=V3,RC_IN[BLOCK LOC]=V2),FILTER(RC_IN[WT],RC_IN[BLOCK]=V3,RC_IN[BLOCK LOC]=V2)) / SUM(FILTER(RC_IN[WT],RC_IN[BLOCK]=V3,RC_IN[BLOCK LOC]=V2)),"""")
"),11.02812403318802)</f>
        <v>11.02812403</v>
      </c>
      <c r="W7" s="45" t="str">
        <f>IFERROR(__xludf.DUMMYFUNCTION("IFERROR(SUMPRODUCT(FILTER(RC_IN[MC],RC_IN[BLOCK]=W3,RC_IN[BLOCK LOC]=W2),FILTER(RC_IN[WT],RC_IN[BLOCK]=W3,RC_IN[BLOCK LOC]=W2)) / SUM(FILTER(RC_IN[WT],RC_IN[BLOCK]=W3,RC_IN[BLOCK LOC]=W2)),"""")
"),"")</f>
        <v/>
      </c>
      <c r="X7" s="45">
        <f>IFERROR(__xludf.DUMMYFUNCTION("IFERROR(SUMPRODUCT(FILTER(RC_IN[MC],RC_IN[BLOCK]=X3,RC_IN[BLOCK LOC]=X2),FILTER(RC_IN[WT],RC_IN[BLOCK]=X3,RC_IN[BLOCK LOC]=X2)) / SUM(FILTER(RC_IN[WT],RC_IN[BLOCK]=X3,RC_IN[BLOCK LOC]=X2)),"""")
"),11.517327946503203)</f>
        <v>11.51732795</v>
      </c>
      <c r="Y7" s="45">
        <f>IFERROR(__xludf.DUMMYFUNCTION("IFERROR(SUMPRODUCT(FILTER(RC_IN[MC],RC_IN[BLOCK]=Y3,RC_IN[BLOCK LOC]=Y2),FILTER(RC_IN[WT],RC_IN[BLOCK]=Y3,RC_IN[BLOCK LOC]=Y2)) / SUM(FILTER(RC_IN[WT],RC_IN[BLOCK]=Y3,RC_IN[BLOCK LOC]=Y2)),"""")
"),11.164036780223093)</f>
        <v>11.16403678</v>
      </c>
      <c r="Z7" s="45">
        <f>IFERROR(__xludf.DUMMYFUNCTION("IFERROR(SUMPRODUCT(FILTER(RC_IN[MC],RC_IN[BLOCK]=Z3,RC_IN[BLOCK LOC]=Z2),FILTER(RC_IN[WT],RC_IN[BLOCK]=Z3,RC_IN[BLOCK LOC]=Z2)) / SUM(FILTER(RC_IN[WT],RC_IN[BLOCK]=Z3,RC_IN[BLOCK LOC]=Z2)),"""")
"),11.353144077723421)</f>
        <v>11.35314408</v>
      </c>
      <c r="AA7" s="46">
        <f>IFERROR(__xludf.DUMMYFUNCTION("IFERROR(SUMPRODUCT(FILTER(RC_IN[MC],RC_IN[BLOCK]=AA3,RC_IN[BLOCK LOC]=AA2),FILTER(RC_IN[WT],RC_IN[BLOCK]=AA3,RC_IN[BLOCK LOC]=AA2)) / SUM(FILTER(RC_IN[WT],RC_IN[BLOCK]=AA3,RC_IN[BLOCK LOC]=AA2)),"""")
"),11.39740918892022)</f>
        <v>11.39740919</v>
      </c>
      <c r="AB7" s="47"/>
      <c r="AC7" s="48"/>
      <c r="AD7" s="44" t="s">
        <v>10</v>
      </c>
      <c r="AE7" s="45" t="str">
        <f>IFERROR(__xludf.DUMMYFUNCTION("IFERROR(SUMPRODUCT(FILTER(RC_IN[MC],RC_IN[BLOCK]=AE3,RC_IN[BLOCK LOC]=AE2),FILTER(RC_IN[WT],RC_IN[BLOCK]=AE3,RC_IN[BLOCK LOC]=AE2)) / SUM(FILTER(RC_IN[WT],RC_IN[BLOCK]=AE3,RC_IN[BLOCK LOC]=AE2)),"""")
"),"")</f>
        <v/>
      </c>
      <c r="AF7" s="45" t="str">
        <f>IFERROR(__xludf.DUMMYFUNCTION("IFERROR(SUMPRODUCT(FILTER(RC_IN[MC],RC_IN[BLOCK]=AF3,RC_IN[BLOCK LOC]=AF2),FILTER(RC_IN[WT],RC_IN[BLOCK]=AF3,RC_IN[BLOCK LOC]=AF2)) / SUM(FILTER(RC_IN[WT],RC_IN[BLOCK]=AF3,RC_IN[BLOCK LOC]=AF2)),"""")
"),"")</f>
        <v/>
      </c>
      <c r="AG7" s="46" t="str">
        <f>IFERROR(__xludf.DUMMYFUNCTION("IFERROR(SUMPRODUCT(FILTER(RC_IN[MC],RC_IN[BLOCK]=AG3,RC_IN[BLOCK LOC]=AG2),FILTER(RC_IN[WT],RC_IN[BLOCK]=AG3,RC_IN[BLOCK LOC]=AG2)) / SUM(FILTER(RC_IN[WT],RC_IN[BLOCK]=AG3,RC_IN[BLOCK LOC]=AG2)),"""")
"),"")</f>
        <v/>
      </c>
    </row>
    <row r="8" ht="11.25" customHeight="1">
      <c r="A8" s="9"/>
      <c r="B8" s="9"/>
      <c r="C8" s="49"/>
      <c r="D8" s="10" t="str">
        <f>D2</f>
        <v>A</v>
      </c>
      <c r="F8" s="4"/>
      <c r="G8" s="12" t="s">
        <v>11</v>
      </c>
      <c r="H8" s="13" t="str">
        <f t="shared" ref="H8:AA8" si="3">CONCATENATE($D8,"-",H$1,$G8)</f>
        <v>A-1B</v>
      </c>
      <c r="I8" s="13" t="str">
        <f t="shared" si="3"/>
        <v>A-2B</v>
      </c>
      <c r="J8" s="13" t="str">
        <f t="shared" si="3"/>
        <v>A-3B</v>
      </c>
      <c r="K8" s="13" t="str">
        <f t="shared" si="3"/>
        <v>A-4B</v>
      </c>
      <c r="L8" s="13" t="str">
        <f t="shared" si="3"/>
        <v>A-5B</v>
      </c>
      <c r="M8" s="13" t="str">
        <f t="shared" si="3"/>
        <v>A-6B</v>
      </c>
      <c r="N8" s="13" t="str">
        <f t="shared" si="3"/>
        <v>A-7B</v>
      </c>
      <c r="O8" s="13" t="str">
        <f t="shared" si="3"/>
        <v>A-8B</v>
      </c>
      <c r="P8" s="13" t="str">
        <f t="shared" si="3"/>
        <v>A-9B</v>
      </c>
      <c r="Q8" s="13" t="str">
        <f t="shared" si="3"/>
        <v>A-10B</v>
      </c>
      <c r="R8" s="13" t="str">
        <f t="shared" si="3"/>
        <v>A-11B</v>
      </c>
      <c r="S8" s="13" t="str">
        <f t="shared" si="3"/>
        <v>A-12B</v>
      </c>
      <c r="T8" s="13" t="str">
        <f t="shared" si="3"/>
        <v>A-13B</v>
      </c>
      <c r="U8" s="13" t="str">
        <f t="shared" si="3"/>
        <v>A-14B</v>
      </c>
      <c r="V8" s="13" t="str">
        <f t="shared" si="3"/>
        <v>A-15B</v>
      </c>
      <c r="W8" s="13" t="str">
        <f t="shared" si="3"/>
        <v>A-16B</v>
      </c>
      <c r="X8" s="13" t="str">
        <f t="shared" si="3"/>
        <v>A-17B</v>
      </c>
      <c r="Y8" s="13" t="str">
        <f t="shared" si="3"/>
        <v>A-18B</v>
      </c>
      <c r="Z8" s="13" t="str">
        <f t="shared" si="3"/>
        <v>A-19B</v>
      </c>
      <c r="AA8" s="14" t="str">
        <f t="shared" si="3"/>
        <v>A-20B</v>
      </c>
      <c r="AB8" s="15"/>
      <c r="AC8" s="6" t="s">
        <v>4</v>
      </c>
      <c r="AD8" s="12" t="s">
        <v>11</v>
      </c>
      <c r="AE8" s="13" t="str">
        <f t="shared" ref="AE8:AG8" si="4">CONCATENATE($AC8,"-",AE$1,$AD8)</f>
        <v>PCA-15B</v>
      </c>
      <c r="AF8" s="13" t="str">
        <f t="shared" si="4"/>
        <v>PCA-16B</v>
      </c>
      <c r="AG8" s="14" t="str">
        <f t="shared" si="4"/>
        <v>PCA-17B</v>
      </c>
    </row>
    <row r="9" ht="11.25" customHeight="1">
      <c r="A9" s="42"/>
      <c r="B9" s="17"/>
      <c r="C9" s="32"/>
      <c r="D9" s="11"/>
      <c r="F9" s="19" t="str">
        <f>IF(COUNTIF(G9:Z9,"ERROR")=0,"CLEAR",COUNTIF(G9:Z9,"ERROR")&amp;" ERRORS")
</f>
        <v>CLEAR</v>
      </c>
      <c r="G9" s="20" t="s">
        <v>6</v>
      </c>
      <c r="H9" s="21" t="str">
        <f>IFERROR(__xludf.DUMMYFUNCTION("IFERROR(IF(COUNTA(UNIQUE(FILTER(RC_IN[BLOCK],RC_IN[BLOCK LOC]=H8,RC_IN[STATE]&lt;&gt;""CLOSED"")))&gt;1,""ERROR"",INDEX(UNIQUE(FILTER(RC_IN[BLOCK],RC_IN[BLOCK LOC]=H8,RC_IN[STATE]&lt;&gt;""CLOSED"")),1)),"""")
"),"FEB-26-BLK8")</f>
        <v>FEB-26-BLK8</v>
      </c>
      <c r="I9" s="21" t="str">
        <f>IFERROR(__xludf.DUMMYFUNCTION("IFERROR(IF(COUNTA(UNIQUE(FILTER(RC_IN[BLOCK],RC_IN[BLOCK LOC]=I8,RC_IN[STATE]&lt;&gt;""CLOSED"")))&gt;1,""ERROR"",INDEX(UNIQUE(FILTER(RC_IN[BLOCK],RC_IN[BLOCK LOC]=I8,RC_IN[STATE]&lt;&gt;""CLOSED"")),1)),"""")
"),"FEB-26-BLK16")</f>
        <v>FEB-26-BLK16</v>
      </c>
      <c r="J9" s="21" t="str">
        <f>IFERROR(__xludf.DUMMYFUNCTION("IFERROR(IF(COUNTA(UNIQUE(FILTER(RC_IN[BLOCK],RC_IN[BLOCK LOC]=J8,RC_IN[STATE]&lt;&gt;""CLOSED"")))&gt;1,""ERROR"",INDEX(UNIQUE(FILTER(RC_IN[BLOCK],RC_IN[BLOCK LOC]=J8,RC_IN[STATE]&lt;&gt;""CLOSED"")),1)),"""")
"),"MARCH-26-BLK10")</f>
        <v>MARCH-26-BLK10</v>
      </c>
      <c r="K9" s="21" t="str">
        <f>IFERROR(__xludf.DUMMYFUNCTION("IFERROR(IF(COUNTA(UNIQUE(FILTER(RC_IN[BLOCK],RC_IN[BLOCK LOC]=K8,RC_IN[STATE]&lt;&gt;""CLOSED"")))&gt;1,""ERROR"",INDEX(UNIQUE(FILTER(RC_IN[BLOCK],RC_IN[BLOCK LOC]=K8,RC_IN[STATE]&lt;&gt;""CLOSED"")),1)),"""")
"),"MARCH-26-BLK24")</f>
        <v>MARCH-26-BLK24</v>
      </c>
      <c r="L9" s="21" t="str">
        <f>IFERROR(__xludf.DUMMYFUNCTION("IFERROR(IF(COUNTA(UNIQUE(FILTER(RC_IN[BLOCK],RC_IN[BLOCK LOC]=L8,RC_IN[STATE]&lt;&gt;""CLOSED"")))&gt;1,""ERROR"",INDEX(UNIQUE(FILTER(RC_IN[BLOCK],RC_IN[BLOCK LOC]=L8,RC_IN[STATE]&lt;&gt;""CLOSED"")),1)),"""")
"),"MARCH-26-BLK26")</f>
        <v>MARCH-26-BLK26</v>
      </c>
      <c r="M9" s="21" t="str">
        <f>IFERROR(__xludf.DUMMYFUNCTION("IFERROR(IF(COUNTA(UNIQUE(FILTER(RC_IN[BLOCK],RC_IN[BLOCK LOC]=M8,RC_IN[STATE]&lt;&gt;""CLOSED"")))&gt;1,""ERROR"",INDEX(UNIQUE(FILTER(RC_IN[BLOCK],RC_IN[BLOCK LOC]=M8,RC_IN[STATE]&lt;&gt;""CLOSED"")),1)),"""")
"),"FEB-26-BLK9")</f>
        <v>FEB-26-BLK9</v>
      </c>
      <c r="N9" s="21" t="str">
        <f>IFERROR(__xludf.DUMMYFUNCTION("IFERROR(IF(COUNTA(UNIQUE(FILTER(RC_IN[BLOCK],RC_IN[BLOCK LOC]=N8,RC_IN[STATE]&lt;&gt;""CLOSED"")))&gt;1,""ERROR"",INDEX(UNIQUE(FILTER(RC_IN[BLOCK],RC_IN[BLOCK LOC]=N8,RC_IN[STATE]&lt;&gt;""CLOSED"")),1)),"""")
"),"FEB-26-BLK1")</f>
        <v>FEB-26-BLK1</v>
      </c>
      <c r="O9" s="21" t="str">
        <f>IFERROR(__xludf.DUMMYFUNCTION("IFERROR(IF(COUNTA(UNIQUE(FILTER(RC_IN[BLOCK],RC_IN[BLOCK LOC]=O8,RC_IN[STATE]&lt;&gt;""CLOSED"")))&gt;1,""ERROR"",INDEX(UNIQUE(FILTER(RC_IN[BLOCK],RC_IN[BLOCK LOC]=O8,RC_IN[STATE]&lt;&gt;""CLOSED"")),1)),"""")
"),"JAN-26-BLK18")</f>
        <v>JAN-26-BLK18</v>
      </c>
      <c r="P9" s="21" t="str">
        <f>IFERROR(__xludf.DUMMYFUNCTION("IFERROR(IF(COUNTA(UNIQUE(FILTER(RC_IN[BLOCK],RC_IN[BLOCK LOC]=P8,RC_IN[STATE]&lt;&gt;""CLOSED"")))&gt;1,""ERROR"",INDEX(UNIQUE(FILTER(RC_IN[BLOCK],RC_IN[BLOCK LOC]=P8,RC_IN[STATE]&lt;&gt;""CLOSED"")),1)),"""")
"),"JAN-26-BLK3")</f>
        <v>JAN-26-BLK3</v>
      </c>
      <c r="Q9" s="21" t="str">
        <f>IFERROR(__xludf.DUMMYFUNCTION("IFERROR(IF(COUNTA(UNIQUE(FILTER(RC_IN[BLOCK],RC_IN[BLOCK LOC]=Q8,RC_IN[STATE]&lt;&gt;""CLOSED"")))&gt;1,""ERROR"",INDEX(UNIQUE(FILTER(RC_IN[BLOCK],RC_IN[BLOCK LOC]=Q8,RC_IN[STATE]&lt;&gt;""CLOSED"")),1)),"""")
"),"")</f>
        <v/>
      </c>
      <c r="R9" s="21" t="str">
        <f>IFERROR(__xludf.DUMMYFUNCTION("IFERROR(IF(COUNTA(UNIQUE(FILTER(RC_IN[BLOCK],RC_IN[BLOCK LOC]=R8,RC_IN[STATE]&lt;&gt;""CLOSED"")))&gt;1,""ERROR"",INDEX(UNIQUE(FILTER(RC_IN[BLOCK],RC_IN[BLOCK LOC]=R8,RC_IN[STATE]&lt;&gt;""CLOSED"")),1)),"""")
"),"")</f>
        <v/>
      </c>
      <c r="S9" s="21" t="str">
        <f>IFERROR(__xludf.DUMMYFUNCTION("IFERROR(IF(COUNTA(UNIQUE(FILTER(RC_IN[BLOCK],RC_IN[BLOCK LOC]=S8,RC_IN[STATE]&lt;&gt;""CLOSED"")))&gt;1,""ERROR"",INDEX(UNIQUE(FILTER(RC_IN[BLOCK],RC_IN[BLOCK LOC]=S8,RC_IN[STATE]&lt;&gt;""CLOSED"")),1)),"""")
"),"DEC-24-BLK1")</f>
        <v>DEC-24-BLK1</v>
      </c>
      <c r="T9" s="21" t="str">
        <f>IFERROR(__xludf.DUMMYFUNCTION("IFERROR(IF(COUNTA(UNIQUE(FILTER(RC_IN[BLOCK],RC_IN[BLOCK LOC]=T8,RC_IN[STATE]&lt;&gt;""CLOSED"")))&gt;1,""ERROR"",INDEX(UNIQUE(FILTER(RC_IN[BLOCK],RC_IN[BLOCK LOC]=T8,RC_IN[STATE]&lt;&gt;""CLOSED"")),1)),"""")
"),"NOV-24-BLK1")</f>
        <v>NOV-24-BLK1</v>
      </c>
      <c r="U9" s="21" t="str">
        <f>IFERROR(__xludf.DUMMYFUNCTION("IFERROR(IF(COUNTA(UNIQUE(FILTER(RC_IN[BLOCK],RC_IN[BLOCK LOC]=U8,RC_IN[STATE]&lt;&gt;""CLOSED"")))&gt;1,""ERROR"",INDEX(UNIQUE(FILTER(RC_IN[BLOCK],RC_IN[BLOCK LOC]=U8,RC_IN[STATE]&lt;&gt;""CLOSED"")),1)),"""")
"),"SEPT-24-BLK1")</f>
        <v>SEPT-24-BLK1</v>
      </c>
      <c r="V9" s="21" t="str">
        <f>IFERROR(__xludf.DUMMYFUNCTION("IFERROR(IF(COUNTA(UNIQUE(FILTER(RC_IN[BLOCK],RC_IN[BLOCK LOC]=V8,RC_IN[STATE]&lt;&gt;""CLOSED"")))&gt;1,""ERROR"",INDEX(UNIQUE(FILTER(RC_IN[BLOCK],RC_IN[BLOCK LOC]=V8,RC_IN[STATE]&lt;&gt;""CLOSED"")),1)),"""")
"),"SEPT-24-BLK4")</f>
        <v>SEPT-24-BLK4</v>
      </c>
      <c r="W9" s="21" t="str">
        <f>IFERROR(__xludf.DUMMYFUNCTION("IFERROR(IF(COUNTA(UNIQUE(FILTER(RC_IN[BLOCK],RC_IN[BLOCK LOC]=W8,RC_IN[STATE]&lt;&gt;""CLOSED"")))&gt;1,""ERROR"",INDEX(UNIQUE(FILTER(RC_IN[BLOCK],RC_IN[BLOCK LOC]=W8,RC_IN[STATE]&lt;&gt;""CLOSED"")),1)),"""")
"),"")</f>
        <v/>
      </c>
      <c r="X9" s="21" t="str">
        <f>IFERROR(__xludf.DUMMYFUNCTION("IFERROR(IF(COUNTA(UNIQUE(FILTER(RC_IN[BLOCK],RC_IN[BLOCK LOC]=X8,RC_IN[STATE]&lt;&gt;""CLOSED"")))&gt;1,""ERROR"",INDEX(UNIQUE(FILTER(RC_IN[BLOCK],RC_IN[BLOCK LOC]=X8,RC_IN[STATE]&lt;&gt;""CLOSED"")),1)),"""")
"),"JUNE-26-BLK2")</f>
        <v>JUNE-26-BLK2</v>
      </c>
      <c r="Y9" s="21" t="str">
        <f>IFERROR(__xludf.DUMMYFUNCTION("IFERROR(IF(COUNTA(UNIQUE(FILTER(RC_IN[BLOCK],RC_IN[BLOCK LOC]=Y8,RC_IN[STATE]&lt;&gt;""CLOSED"")))&gt;1,""ERROR"",INDEX(UNIQUE(FILTER(RC_IN[BLOCK],RC_IN[BLOCK LOC]=Y8,RC_IN[STATE]&lt;&gt;""CLOSED"")),1)),"""")
"),"MAY-26-BLK12")</f>
        <v>MAY-26-BLK12</v>
      </c>
      <c r="Z9" s="21" t="str">
        <f>IFERROR(__xludf.DUMMYFUNCTION("IFERROR(IF(COUNTA(UNIQUE(FILTER(RC_IN[BLOCK],RC_IN[BLOCK LOC]=Z8,RC_IN[STATE]&lt;&gt;""CLOSED"")))&gt;1,""ERROR"",INDEX(UNIQUE(FILTER(RC_IN[BLOCK],RC_IN[BLOCK LOC]=Z8,RC_IN[STATE]&lt;&gt;""CLOSED"")),1)),"""")
"),"MAY-26-BLK6")</f>
        <v>MAY-26-BLK6</v>
      </c>
      <c r="AA9" s="22" t="str">
        <f>IFERROR(__xludf.DUMMYFUNCTION("IFERROR(IF(COUNTA(UNIQUE(FILTER(RC_IN[BLOCK],RC_IN[BLOCK LOC]=AA8,RC_IN[STATE]&lt;&gt;""CLOSED"")))&gt;1,""ERROR"",INDEX(UNIQUE(FILTER(RC_IN[BLOCK],RC_IN[BLOCK LOC]=AA8,RC_IN[STATE]&lt;&gt;""CLOSED"")),1)),"""")
"),"MAY-26-BLK2")</f>
        <v>MAY-26-BLK2</v>
      </c>
      <c r="AB9" s="15"/>
      <c r="AC9" s="23"/>
      <c r="AD9" s="20" t="s">
        <v>6</v>
      </c>
      <c r="AE9" s="21" t="str">
        <f>IFERROR(__xludf.DUMMYFUNCTION("IFERROR(IF(COUNTA(UNIQUE(FILTER(RC_IN[BLOCK],RC_IN[BLOCK LOC]=AE8,RC_IN[STATE]&lt;&gt;""CLOSED"")))&gt;1,""ERROR"",INDEX(UNIQUE(FILTER(RC_IN[BLOCK],RC_IN[BLOCK LOC]=AE8,RC_IN[STATE]&lt;&gt;""CLOSED"")),1)),"""")
"),"")</f>
        <v/>
      </c>
      <c r="AF9" s="21" t="str">
        <f>IFERROR(__xludf.DUMMYFUNCTION("IFERROR(IF(COUNTA(UNIQUE(FILTER(RC_IN[BLOCK],RC_IN[BLOCK LOC]=AF8,RC_IN[STATE]&lt;&gt;""CLOSED"")))&gt;1,""ERROR"",INDEX(UNIQUE(FILTER(RC_IN[BLOCK],RC_IN[BLOCK LOC]=AF8,RC_IN[STATE]&lt;&gt;""CLOSED"")),1)),"""")
"),"")</f>
        <v/>
      </c>
      <c r="AG9" s="22" t="str">
        <f>IFERROR(__xludf.DUMMYFUNCTION("IFERROR(IF(COUNTA(UNIQUE(FILTER(RC_IN[BLOCK],RC_IN[BLOCK LOC]=AG8,RC_IN[STATE]&lt;&gt;""CLOSED"")))&gt;1,""ERROR"",INDEX(UNIQUE(FILTER(RC_IN[BLOCK],RC_IN[BLOCK LOC]=AG8,RC_IN[STATE]&lt;&gt;""CLOSED"")),1)),"""")
"),"")</f>
        <v/>
      </c>
    </row>
    <row r="10" ht="11.25" customHeight="1">
      <c r="A10" s="42"/>
      <c r="B10" s="17"/>
      <c r="C10" s="25">
        <f>sum(H10:AA10)</f>
        <v>1111494</v>
      </c>
      <c r="D10" s="11"/>
      <c r="F10" s="26"/>
      <c r="G10" s="27" t="s">
        <v>7</v>
      </c>
      <c r="H10" s="28">
        <f>SUMIFS(RC_IN[WT],RC_IN[BLOCK],H9,RC_IN[BLOCK LOC],H8)-SUMIFS(RC_OUT[WT],RC_OUT[BLOCK],H9,RC_OUT[BLOCK LOC],H8)</f>
        <v>71835</v>
      </c>
      <c r="I10" s="28">
        <f>SUMIFS(RC_IN[WT],RC_IN[BLOCK],I9,RC_IN[BLOCK LOC],I8)-SUMIFS(RC_OUT[WT],RC_OUT[BLOCK],I9,RC_OUT[BLOCK LOC],I8)</f>
        <v>70843</v>
      </c>
      <c r="J10" s="28">
        <f>SUMIFS(RC_IN[WT],RC_IN[BLOCK],J9,RC_IN[BLOCK LOC],J8)-SUMIFS(RC_OUT[WT],RC_OUT[BLOCK],J9,RC_OUT[BLOCK LOC],J8)</f>
        <v>74510</v>
      </c>
      <c r="K10" s="28">
        <f>SUMIFS(RC_IN[WT],RC_IN[BLOCK],K9,RC_IN[BLOCK LOC],K8)-SUMIFS(RC_OUT[WT],RC_OUT[BLOCK],K9,RC_OUT[BLOCK LOC],K8)</f>
        <v>71325</v>
      </c>
      <c r="L10" s="28">
        <f>SUMIFS(RC_IN[WT],RC_IN[BLOCK],L9,RC_IN[BLOCK LOC],L8)-SUMIFS(RC_OUT[WT],RC_OUT[BLOCK],L9,RC_OUT[BLOCK LOC],L8)</f>
        <v>27238</v>
      </c>
      <c r="M10" s="28">
        <f>SUMIFS(RC_IN[WT],RC_IN[BLOCK],M9,RC_IN[BLOCK LOC],M8)-SUMIFS(RC_OUT[WT],RC_OUT[BLOCK],M9,RC_OUT[BLOCK LOC],M8)</f>
        <v>52860</v>
      </c>
      <c r="N10" s="28">
        <f>SUMIFS(RC_IN[WT],RC_IN[BLOCK],N9,RC_IN[BLOCK LOC],N8)-SUMIFS(RC_OUT[WT],RC_OUT[BLOCK],N9,RC_OUT[BLOCK LOC],N8)</f>
        <v>56185</v>
      </c>
      <c r="O10" s="28">
        <f>SUMIFS(RC_IN[WT],RC_IN[BLOCK],O9,RC_IN[BLOCK LOC],O8)-SUMIFS(RC_OUT[WT],RC_OUT[BLOCK],O9,RC_OUT[BLOCK LOC],O8)</f>
        <v>59220</v>
      </c>
      <c r="P10" s="28">
        <f>SUMIFS(RC_IN[WT],RC_IN[BLOCK],P9,RC_IN[BLOCK LOC],P8)-SUMIFS(RC_OUT[WT],RC_OUT[BLOCK],P9,RC_OUT[BLOCK LOC],P8)</f>
        <v>64655</v>
      </c>
      <c r="Q10" s="28">
        <f>SUMIFS(RC_IN[WT],RC_IN[BLOCK],Q9,RC_IN[BLOCK LOC],Q8)-SUMIFS(RC_OUT[WT],RC_OUT[BLOCK],Q9,RC_OUT[BLOCK LOC],Q8)</f>
        <v>0</v>
      </c>
      <c r="R10" s="28">
        <f>SUMIFS(RC_IN[WT],RC_IN[BLOCK],R9,RC_IN[BLOCK LOC],R8)-SUMIFS(RC_OUT[WT],RC_OUT[BLOCK],R9,RC_OUT[BLOCK LOC],R8)</f>
        <v>0</v>
      </c>
      <c r="S10" s="28">
        <f>SUMIFS(RC_IN[WT],RC_IN[BLOCK],S9,RC_IN[BLOCK LOC],S8)-SUMIFS(RC_OUT[WT],RC_OUT[BLOCK],S9,RC_OUT[BLOCK LOC],S8)</f>
        <v>53915</v>
      </c>
      <c r="T10" s="28">
        <f>SUMIFS(RC_IN[WT],RC_IN[BLOCK],T9,RC_IN[BLOCK LOC],T8)-SUMIFS(RC_OUT[WT],RC_OUT[BLOCK],T9,RC_OUT[BLOCK LOC],T8)</f>
        <v>72661</v>
      </c>
      <c r="U10" s="28">
        <f>SUMIFS(RC_IN[WT],RC_IN[BLOCK],U9,RC_IN[BLOCK LOC],U8)-SUMIFS(RC_OUT[WT],RC_OUT[BLOCK],U9,RC_OUT[BLOCK LOC],U8)</f>
        <v>70055</v>
      </c>
      <c r="V10" s="28">
        <f>SUMIFS(RC_IN[WT],RC_IN[BLOCK],V9,RC_IN[BLOCK LOC],V8)-SUMIFS(RC_OUT[WT],RC_OUT[BLOCK],V9,RC_OUT[BLOCK LOC],V8)</f>
        <v>70620</v>
      </c>
      <c r="W10" s="28">
        <f>SUMIFS(RC_IN[WT],RC_IN[BLOCK],W9,RC_IN[BLOCK LOC],W8)-SUMIFS(RC_OUT[WT],RC_OUT[BLOCK],W9,RC_OUT[BLOCK LOC],W8)</f>
        <v>0</v>
      </c>
      <c r="X10" s="28">
        <f>SUMIFS(RC_IN[WT],RC_IN[BLOCK],X9,RC_IN[BLOCK LOC],X8)-SUMIFS(RC_OUT[WT],RC_OUT[BLOCK],X9,RC_OUT[BLOCK LOC],X8)</f>
        <v>75577</v>
      </c>
      <c r="Y10" s="28">
        <f>SUMIFS(RC_IN[WT],RC_IN[BLOCK],Y9,RC_IN[BLOCK LOC],Y8)-SUMIFS(RC_OUT[WT],RC_OUT[BLOCK],Y9,RC_OUT[BLOCK LOC],Y8)</f>
        <v>74345</v>
      </c>
      <c r="Z10" s="28">
        <f>SUMIFS(RC_IN[WT],RC_IN[BLOCK],Z9,RC_IN[BLOCK LOC],Z8)-SUMIFS(RC_OUT[WT],RC_OUT[BLOCK],Z9,RC_OUT[BLOCK LOC],Z8)</f>
        <v>75450</v>
      </c>
      <c r="AA10" s="29">
        <f>SUMIFS(RC_IN[WT],RC_IN[BLOCK],AA9,RC_IN[BLOCK LOC],AA8)-SUMIFS(RC_OUT[WT],RC_OUT[BLOCK],AA9,RC_OUT[BLOCK LOC],AA8)</f>
        <v>70200</v>
      </c>
      <c r="AB10" s="15"/>
      <c r="AC10" s="30">
        <f>sum(AE10:AG10)</f>
        <v>0</v>
      </c>
      <c r="AD10" s="27" t="s">
        <v>7</v>
      </c>
      <c r="AE10" s="28">
        <f>SUMIFS(RC_IN[WT],RC_IN[BLOCK],AE9,RC_IN[BLOCK LOC],AE8)-SUMIFS(RC_OUT[WT],RC_OUT[BLOCK],AE9,RC_OUT[BLOCK LOC],AE8)</f>
        <v>0</v>
      </c>
      <c r="AF10" s="28">
        <f>SUMIFS(RC_IN[WT],RC_IN[BLOCK],AF9,RC_IN[BLOCK LOC],AF8)-SUMIFS(RC_OUT[WT],RC_OUT[BLOCK],AF9,RC_OUT[BLOCK LOC],AF8)</f>
        <v>0</v>
      </c>
      <c r="AG10" s="29">
        <f>SUMIFS(RC_IN[WT],RC_IN[BLOCK],AG9,RC_IN[BLOCK LOC],AG8)-SUMIFS(RC_OUT[WT],RC_OUT[BLOCK],AG9,RC_OUT[BLOCK LOC],AG8)</f>
        <v>0</v>
      </c>
    </row>
    <row r="11" ht="11.25" customHeight="1">
      <c r="A11" s="42"/>
      <c r="B11" s="17"/>
      <c r="C11" s="32"/>
      <c r="D11" s="11"/>
      <c r="F11" s="33"/>
      <c r="G11" s="34" t="s">
        <v>8</v>
      </c>
      <c r="H11" s="35">
        <f>IFERROR(__xludf.DUMMYFUNCTION("IFERROR(SUMPRODUCT(FILTER(RC_IN[ASTM],RC_IN[BLOCK]=H9,RC_IN[BLOCK LOC]=H8),FILTER(RC_IN[WT],RC_IN[BLOCK]=H9,RC_IN[BLOCK LOC]=H8))/SUM(FILTER(RC_IN[WT],RC_IN[BLOCK]=H9,RC_IN[BLOCK LOC]=H8)),"""")
"),0.5764917519315097)</f>
        <v>0.5764917519</v>
      </c>
      <c r="I11" s="35">
        <f>IFERROR(__xludf.DUMMYFUNCTION("IFERROR(SUMPRODUCT(FILTER(RC_IN[ASTM],RC_IN[BLOCK]=I9,RC_IN[BLOCK LOC]=I8),FILTER(RC_IN[WT],RC_IN[BLOCK]=I9,RC_IN[BLOCK LOC]=I8))/SUM(FILTER(RC_IN[WT],RC_IN[BLOCK]=I9,RC_IN[BLOCK LOC]=I8)),"""")
"),0.5764266758889375)</f>
        <v>0.5764266759</v>
      </c>
      <c r="J11" s="35">
        <f>IFERROR(__xludf.DUMMYFUNCTION("IFERROR(SUMPRODUCT(FILTER(RC_IN[ASTM],RC_IN[BLOCK]=J9,RC_IN[BLOCK LOC]=J8),FILTER(RC_IN[WT],RC_IN[BLOCK]=J9,RC_IN[BLOCK LOC]=J8))/SUM(FILTER(RC_IN[WT],RC_IN[BLOCK]=J9,RC_IN[BLOCK LOC]=J8)),"""")
"),0.5757031942021205)</f>
        <v>0.5757031942</v>
      </c>
      <c r="K11" s="35">
        <f>IFERROR(__xludf.DUMMYFUNCTION("IFERROR(SUMPRODUCT(FILTER(RC_IN[ASTM],RC_IN[BLOCK]=K9,RC_IN[BLOCK LOC]=K8),FILTER(RC_IN[WT],RC_IN[BLOCK]=K9,RC_IN[BLOCK LOC]=K8))/SUM(FILTER(RC_IN[WT],RC_IN[BLOCK]=K9,RC_IN[BLOCK LOC]=K8)),"""")
"),0.5772870662460567)</f>
        <v>0.5772870662</v>
      </c>
      <c r="L11" s="35">
        <f>IFERROR(__xludf.DUMMYFUNCTION("IFERROR(SUMPRODUCT(FILTER(RC_IN[ASTM],RC_IN[BLOCK]=L9,RC_IN[BLOCK LOC]=L8),FILTER(RC_IN[WT],RC_IN[BLOCK]=L9,RC_IN[BLOCK LOC]=L8))/SUM(FILTER(RC_IN[WT],RC_IN[BLOCK]=L9,RC_IN[BLOCK LOC]=L8)),"""")
"),0.5743908005863055)</f>
        <v>0.5743908006</v>
      </c>
      <c r="M11" s="35">
        <f>IFERROR(__xludf.DUMMYFUNCTION("IFERROR(SUMPRODUCT(FILTER(RC_IN[ASTM],RC_IN[BLOCK]=M9,RC_IN[BLOCK LOC]=M8),FILTER(RC_IN[WT],RC_IN[BLOCK]=M9,RC_IN[BLOCK LOC]=M8))/SUM(FILTER(RC_IN[WT],RC_IN[BLOCK]=M9,RC_IN[BLOCK LOC]=M8)),"""")
"),0.5666802875520243)</f>
        <v>0.5666802876</v>
      </c>
      <c r="N11" s="35">
        <f>IFERROR(__xludf.DUMMYFUNCTION("IFERROR(SUMPRODUCT(FILTER(RC_IN[ASTM],RC_IN[BLOCK]=N9,RC_IN[BLOCK LOC]=N8),FILTER(RC_IN[WT],RC_IN[BLOCK]=N9,RC_IN[BLOCK LOC]=N8))/SUM(FILTER(RC_IN[WT],RC_IN[BLOCK]=N9,RC_IN[BLOCK LOC]=N8)),"""")
"),0.5603077333807956)</f>
        <v>0.5603077334</v>
      </c>
      <c r="O11" s="35">
        <f>IFERROR(__xludf.DUMMYFUNCTION("IFERROR(SUMPRODUCT(FILTER(RC_IN[ASTM],RC_IN[BLOCK]=O9,RC_IN[BLOCK LOC]=O8),FILTER(RC_IN[WT],RC_IN[BLOCK]=O9,RC_IN[BLOCK LOC]=O8))/SUM(FILTER(RC_IN[WT],RC_IN[BLOCK]=O9,RC_IN[BLOCK LOC]=O8)),"""")
"),0.5671612630867949)</f>
        <v>0.5671612631</v>
      </c>
      <c r="P11" s="35">
        <f>IFERROR(__xludf.DUMMYFUNCTION("IFERROR(SUMPRODUCT(FILTER(RC_IN[ASTM],RC_IN[BLOCK]=P9,RC_IN[BLOCK LOC]=P8),FILTER(RC_IN[WT],RC_IN[BLOCK]=P9,RC_IN[BLOCK LOC]=P8))/SUM(FILTER(RC_IN[WT],RC_IN[BLOCK]=P9,RC_IN[BLOCK LOC]=P8)),"""")
"),0.5708741009976026)</f>
        <v>0.570874101</v>
      </c>
      <c r="Q11" s="35" t="str">
        <f>IFERROR(__xludf.DUMMYFUNCTION("IFERROR(SUMPRODUCT(FILTER(RC_IN[ASTM],RC_IN[BLOCK]=Q9,RC_IN[BLOCK LOC]=Q8),FILTER(RC_IN[WT],RC_IN[BLOCK]=Q9,RC_IN[BLOCK LOC]=Q8))/SUM(FILTER(RC_IN[WT],RC_IN[BLOCK]=Q9,RC_IN[BLOCK LOC]=Q8)),"""")
"),"  ")</f>
        <v/>
      </c>
      <c r="R11" s="35" t="str">
        <f>IFERROR(__xludf.DUMMYFUNCTION("IFERROR(SUMPRODUCT(FILTER(RC_IN[ASTM],RC_IN[BLOCK]=R9,RC_IN[BLOCK LOC]=R8),FILTER(RC_IN[WT],RC_IN[BLOCK]=R9,RC_IN[BLOCK LOC]=R8))/SUM(FILTER(RC_IN[WT],RC_IN[BLOCK]=R9,RC_IN[BLOCK LOC]=R8)),"""")
"),"  ")</f>
        <v/>
      </c>
      <c r="S11" s="35">
        <f>IFERROR(__xludf.DUMMYFUNCTION("IFERROR(SUMPRODUCT(FILTER(RC_IN[ASTM],RC_IN[BLOCK]=S9,RC_IN[BLOCK LOC]=S8),FILTER(RC_IN[WT],RC_IN[BLOCK]=S9,RC_IN[BLOCK LOC]=S8))/SUM(FILTER(RC_IN[WT],RC_IN[BLOCK]=S9,RC_IN[BLOCK LOC]=S8)),"""")
"),0.5735974218677548)</f>
        <v>0.5735974219</v>
      </c>
      <c r="T11" s="35">
        <f>IFERROR(__xludf.DUMMYFUNCTION("IFERROR(SUMPRODUCT(FILTER(RC_IN[ASTM],RC_IN[BLOCK]=T9,RC_IN[BLOCK LOC]=T8),FILTER(RC_IN[WT],RC_IN[BLOCK]=T9,RC_IN[BLOCK LOC]=T8))/SUM(FILTER(RC_IN[WT],RC_IN[BLOCK]=T9,RC_IN[BLOCK LOC]=T8)),"""")
"),0.5729976603680104)</f>
        <v>0.5729976604</v>
      </c>
      <c r="U11" s="35">
        <f>IFERROR(__xludf.DUMMYFUNCTION("IFERROR(SUMPRODUCT(FILTER(RC_IN[ASTM],RC_IN[BLOCK]=U9,RC_IN[BLOCK LOC]=U8),FILTER(RC_IN[WT],RC_IN[BLOCK]=U9,RC_IN[BLOCK LOC]=U8))/SUM(FILTER(RC_IN[WT],RC_IN[BLOCK]=U9,RC_IN[BLOCK LOC]=U8)),"""")
"),0.5773150381842836)</f>
        <v>0.5773150382</v>
      </c>
      <c r="V11" s="35">
        <f>IFERROR(__xludf.DUMMYFUNCTION("IFERROR(SUMPRODUCT(FILTER(RC_IN[ASTM],RC_IN[BLOCK]=V9,RC_IN[BLOCK LOC]=V8),FILTER(RC_IN[WT],RC_IN[BLOCK]=V9,RC_IN[BLOCK LOC]=V8))/SUM(FILTER(RC_IN[WT],RC_IN[BLOCK]=V9,RC_IN[BLOCK LOC]=V8)),"""")
"),0.5765271877655055)</f>
        <v>0.5765271878</v>
      </c>
      <c r="W11" s="35" t="str">
        <f>IFERROR(__xludf.DUMMYFUNCTION("IFERROR(SUMPRODUCT(FILTER(RC_IN[ASTM],RC_IN[BLOCK]=W9,RC_IN[BLOCK LOC]=W8),FILTER(RC_IN[WT],RC_IN[BLOCK]=W9,RC_IN[BLOCK LOC]=W8))/SUM(FILTER(RC_IN[WT],RC_IN[BLOCK]=W9,RC_IN[BLOCK LOC]=W8)),"""")
"),"  ")</f>
        <v/>
      </c>
      <c r="X11" s="35">
        <f>IFERROR(__xludf.DUMMYFUNCTION("IFERROR(SUMPRODUCT(FILTER(RC_IN[ASTM],RC_IN[BLOCK]=X9,RC_IN[BLOCK LOC]=X8),FILTER(RC_IN[WT],RC_IN[BLOCK]=X9,RC_IN[BLOCK LOC]=X8))/SUM(FILTER(RC_IN[WT],RC_IN[BLOCK]=X9,RC_IN[BLOCK LOC]=X8)),"""")
"),0.5744618865527871)</f>
        <v>0.5744618866</v>
      </c>
      <c r="Y11" s="35">
        <f>IFERROR(__xludf.DUMMYFUNCTION("IFERROR(SUMPRODUCT(FILTER(RC_IN[ASTM],RC_IN[BLOCK]=Y9,RC_IN[BLOCK LOC]=Y8),FILTER(RC_IN[WT],RC_IN[BLOCK]=Y9,RC_IN[BLOCK LOC]=Y8))/SUM(FILTER(RC_IN[WT],RC_IN[BLOCK]=Y9,RC_IN[BLOCK LOC]=Y8)),"""")
"),0.5772454099132422)</f>
        <v>0.5772454099</v>
      </c>
      <c r="Z11" s="35">
        <f>IFERROR(__xludf.DUMMYFUNCTION("IFERROR(SUMPRODUCT(FILTER(RC_IN[ASTM],RC_IN[BLOCK]=Z9,RC_IN[BLOCK LOC]=Z8),FILTER(RC_IN[WT],RC_IN[BLOCK]=Z9,RC_IN[BLOCK LOC]=Z8))/SUM(FILTER(RC_IN[WT],RC_IN[BLOCK]=Z9,RC_IN[BLOCK LOC]=Z8)),"""")
"),0.5781333996023857)</f>
        <v>0.5781333996</v>
      </c>
      <c r="AA11" s="36">
        <f>IFERROR(__xludf.DUMMYFUNCTION("IFERROR(SUMPRODUCT(FILTER(RC_IN[ASTM],RC_IN[BLOCK]=AA9,RC_IN[BLOCK LOC]=AA8),FILTER(RC_IN[WT],RC_IN[BLOCK]=AA9,RC_IN[BLOCK LOC]=AA8))/SUM(FILTER(RC_IN[WT],RC_IN[BLOCK]=AA9,RC_IN[BLOCK LOC]=AA8)),"""")
"),0.5747487891737891)</f>
        <v>0.5747487892</v>
      </c>
      <c r="AB11" s="37"/>
      <c r="AC11" s="38"/>
      <c r="AD11" s="34" t="s">
        <v>8</v>
      </c>
      <c r="AE11" s="35" t="str">
        <f>IFERROR(__xludf.DUMMYFUNCTION("IFERROR(SUMPRODUCT(FILTER(RC_IN[ASTM],RC_IN[BLOCK]=AE9,RC_IN[BLOCK LOC]=AE8),FILTER(RC_IN[WT],RC_IN[BLOCK]=AE9,RC_IN[BLOCK LOC]=AE8))/SUM(FILTER(RC_IN[WT],RC_IN[BLOCK]=AE9,RC_IN[BLOCK LOC]=AE8)),"""")
"),"  ")</f>
        <v/>
      </c>
      <c r="AF11" s="35" t="str">
        <f>IFERROR(__xludf.DUMMYFUNCTION("IFERROR(SUMPRODUCT(FILTER(RC_IN[ASTM],RC_IN[BLOCK]=AF9,RC_IN[BLOCK LOC]=AF8),FILTER(RC_IN[WT],RC_IN[BLOCK]=AF9,RC_IN[BLOCK LOC]=AF8))/SUM(FILTER(RC_IN[WT],RC_IN[BLOCK]=AF9,RC_IN[BLOCK LOC]=AF8)),"""")
"),"  ")</f>
        <v/>
      </c>
      <c r="AG11" s="36" t="str">
        <f>IFERROR(__xludf.DUMMYFUNCTION("IFERROR(SUMPRODUCT(FILTER(RC_IN[ASTM],RC_IN[BLOCK]=AG9,RC_IN[BLOCK LOC]=AG8),FILTER(RC_IN[WT],RC_IN[BLOCK]=AG9,RC_IN[BLOCK LOC]=AG8))/SUM(FILTER(RC_IN[WT],RC_IN[BLOCK]=AG9,RC_IN[BLOCK LOC]=AG8)),"""")
"),"  ")</f>
        <v/>
      </c>
    </row>
    <row r="12" ht="11.25" customHeight="1">
      <c r="A12" s="42"/>
      <c r="B12" s="17"/>
      <c r="C12" s="32"/>
      <c r="D12" s="11"/>
      <c r="F12" s="26"/>
      <c r="G12" s="27" t="s">
        <v>9</v>
      </c>
      <c r="H12" s="40">
        <f>IFERROR(__xludf.DUMMYFUNCTION("IFERROR(SUMPRODUCT(FILTER(RC_IN[ASH],RC_IN[BLOCK]=H9,RC_IN[BLOCK LOC]=H8),FILTER(RC_IN[WT],RC_IN[BLOCK]=H9,RC_IN[BLOCK LOC]=H8))/SUM(FILTER(RC_IN[WT],RC_IN[BLOCK]=H9,RC_IN[BLOCK LOC]=H8)),"""")
"),3.144030068907914)</f>
        <v>3.144030069</v>
      </c>
      <c r="I12" s="40">
        <f>IFERROR(__xludf.DUMMYFUNCTION("IFERROR(SUMPRODUCT(FILTER(RC_IN[ASH],RC_IN[BLOCK]=I9,RC_IN[BLOCK LOC]=I8),FILTER(RC_IN[WT],RC_IN[BLOCK]=I9,RC_IN[BLOCK LOC]=I8))/SUM(FILTER(RC_IN[WT],RC_IN[BLOCK]=I9,RC_IN[BLOCK LOC]=I8)),"""")
"),3.4160173905678755)</f>
        <v>3.416017391</v>
      </c>
      <c r="J12" s="40">
        <f>IFERROR(__xludf.DUMMYFUNCTION("IFERROR(SUMPRODUCT(FILTER(RC_IN[ASH],RC_IN[BLOCK]=J9,RC_IN[BLOCK LOC]=J8),FILTER(RC_IN[WT],RC_IN[BLOCK]=J9,RC_IN[BLOCK LOC]=J8))/SUM(FILTER(RC_IN[WT],RC_IN[BLOCK]=J9,RC_IN[BLOCK LOC]=J8)),"""")
"),3.543737753321702)</f>
        <v>3.543737753</v>
      </c>
      <c r="K12" s="40">
        <f>IFERROR(__xludf.DUMMYFUNCTION("IFERROR(SUMPRODUCT(FILTER(RC_IN[ASH],RC_IN[BLOCK]=K9,RC_IN[BLOCK LOC]=K8),FILTER(RC_IN[WT],RC_IN[BLOCK]=K9,RC_IN[BLOCK LOC]=K8))/SUM(FILTER(RC_IN[WT],RC_IN[BLOCK]=K9,RC_IN[BLOCK LOC]=K8)),"""")
"),3.644516649141255)</f>
        <v>3.644516649</v>
      </c>
      <c r="L12" s="40">
        <f>IFERROR(__xludf.DUMMYFUNCTION("IFERROR(SUMPRODUCT(FILTER(RC_IN[ASH],RC_IN[BLOCK]=L9,RC_IN[BLOCK LOC]=L8),FILTER(RC_IN[WT],RC_IN[BLOCK]=L9,RC_IN[BLOCK LOC]=L8))/SUM(FILTER(RC_IN[WT],RC_IN[BLOCK]=L9,RC_IN[BLOCK LOC]=L8)),"""")
"),3.5624911007189226)</f>
        <v>3.562491101</v>
      </c>
      <c r="M12" s="40">
        <f>IFERROR(__xludf.DUMMYFUNCTION("IFERROR(SUMPRODUCT(FILTER(RC_IN[ASH],RC_IN[BLOCK]=M9,RC_IN[BLOCK LOC]=M8),FILTER(RC_IN[WT],RC_IN[BLOCK]=M9,RC_IN[BLOCK LOC]=M8))/SUM(FILTER(RC_IN[WT],RC_IN[BLOCK]=M9,RC_IN[BLOCK LOC]=M8)),"""")
"),3.3543870601589107)</f>
        <v>3.35438706</v>
      </c>
      <c r="N12" s="40">
        <f>IFERROR(__xludf.DUMMYFUNCTION("IFERROR(SUMPRODUCT(FILTER(RC_IN[ASH],RC_IN[BLOCK]=N9,RC_IN[BLOCK LOC]=N8),FILTER(RC_IN[WT],RC_IN[BLOCK]=N9,RC_IN[BLOCK LOC]=N8))/SUM(FILTER(RC_IN[WT],RC_IN[BLOCK]=N9,RC_IN[BLOCK LOC]=N8)),"""")
"),3.2564002847735156)</f>
        <v>3.256400285</v>
      </c>
      <c r="O12" s="40">
        <f>IFERROR(__xludf.DUMMYFUNCTION("IFERROR(SUMPRODUCT(FILTER(RC_IN[ASH],RC_IN[BLOCK]=O9,RC_IN[BLOCK LOC]=O8),FILTER(RC_IN[WT],RC_IN[BLOCK]=O9,RC_IN[BLOCK LOC]=O8))/SUM(FILTER(RC_IN[WT],RC_IN[BLOCK]=O9,RC_IN[BLOCK LOC]=O8)),"""")
"),3.554622593718338)</f>
        <v>3.554622594</v>
      </c>
      <c r="P12" s="40">
        <f>IFERROR(__xludf.DUMMYFUNCTION("IFERROR(SUMPRODUCT(FILTER(RC_IN[ASH],RC_IN[BLOCK]=P9,RC_IN[BLOCK LOC]=P8),FILTER(RC_IN[WT],RC_IN[BLOCK]=P9,RC_IN[BLOCK LOC]=P8))/SUM(FILTER(RC_IN[WT],RC_IN[BLOCK]=P9,RC_IN[BLOCK LOC]=P8)),"""")
"),2.9181494083984227)</f>
        <v>2.918149408</v>
      </c>
      <c r="Q12" s="40" t="str">
        <f>IFERROR(__xludf.DUMMYFUNCTION("IFERROR(SUMPRODUCT(FILTER(RC_IN[ASH],RC_IN[BLOCK]=Q9,RC_IN[BLOCK LOC]=Q8),FILTER(RC_IN[WT],RC_IN[BLOCK]=Q9,RC_IN[BLOCK LOC]=Q8))/SUM(FILTER(RC_IN[WT],RC_IN[BLOCK]=Q9,RC_IN[BLOCK LOC]=Q8)),"""")
"),"  ")</f>
        <v/>
      </c>
      <c r="R12" s="40" t="str">
        <f>IFERROR(__xludf.DUMMYFUNCTION("IFERROR(SUMPRODUCT(FILTER(RC_IN[ASH],RC_IN[BLOCK]=R9,RC_IN[BLOCK LOC]=R8),FILTER(RC_IN[WT],RC_IN[BLOCK]=R9,RC_IN[BLOCK LOC]=R8))/SUM(FILTER(RC_IN[WT],RC_IN[BLOCK]=R9,RC_IN[BLOCK LOC]=R8)),"""")
"),"  ")</f>
        <v/>
      </c>
      <c r="S12" s="40">
        <f>IFERROR(__xludf.DUMMYFUNCTION("IFERROR(SUMPRODUCT(FILTER(RC_IN[ASH],RC_IN[BLOCK]=S9,RC_IN[BLOCK LOC]=S8),FILTER(RC_IN[WT],RC_IN[BLOCK]=S9,RC_IN[BLOCK LOC]=S8))/SUM(FILTER(RC_IN[WT],RC_IN[BLOCK]=S9,RC_IN[BLOCK LOC]=S8)),"""")
"),1.9207085226745804)</f>
        <v>1.920708523</v>
      </c>
      <c r="T12" s="40">
        <f>IFERROR(__xludf.DUMMYFUNCTION("IFERROR(SUMPRODUCT(FILTER(RC_IN[ASH],RC_IN[BLOCK]=T9,RC_IN[BLOCK LOC]=T8),FILTER(RC_IN[WT],RC_IN[BLOCK]=T9,RC_IN[BLOCK LOC]=T8))/SUM(FILTER(RC_IN[WT],RC_IN[BLOCK]=T9,RC_IN[BLOCK LOC]=T8)),"""")
"),2.85944275471023)</f>
        <v>2.859442755</v>
      </c>
      <c r="U12" s="40">
        <f>IFERROR(__xludf.DUMMYFUNCTION("IFERROR(SUMPRODUCT(FILTER(RC_IN[ASH],RC_IN[BLOCK]=U9,RC_IN[BLOCK LOC]=U8),FILTER(RC_IN[WT],RC_IN[BLOCK]=U9,RC_IN[BLOCK LOC]=U8))/SUM(FILTER(RC_IN[WT],RC_IN[BLOCK]=U9,RC_IN[BLOCK LOC]=U8)),"""")
"),2.81611733637856)</f>
        <v>2.816117336</v>
      </c>
      <c r="V12" s="40">
        <f>IFERROR(__xludf.DUMMYFUNCTION("IFERROR(SUMPRODUCT(FILTER(RC_IN[ASH],RC_IN[BLOCK]=V9,RC_IN[BLOCK LOC]=V8),FILTER(RC_IN[WT],RC_IN[BLOCK]=V9,RC_IN[BLOCK LOC]=V8))/SUM(FILTER(RC_IN[WT],RC_IN[BLOCK]=V9,RC_IN[BLOCK LOC]=V8)),"""")
"),2.845922543188898)</f>
        <v>2.845922543</v>
      </c>
      <c r="W12" s="40" t="str">
        <f>IFERROR(__xludf.DUMMYFUNCTION("IFERROR(SUMPRODUCT(FILTER(RC_IN[ASH],RC_IN[BLOCK]=W9,RC_IN[BLOCK LOC]=W8),FILTER(RC_IN[WT],RC_IN[BLOCK]=W9,RC_IN[BLOCK LOC]=W8))/SUM(FILTER(RC_IN[WT],RC_IN[BLOCK]=W9,RC_IN[BLOCK LOC]=W8)),"""")
"),"  ")</f>
        <v/>
      </c>
      <c r="X12" s="40">
        <f>IFERROR(__xludf.DUMMYFUNCTION("IFERROR(SUMPRODUCT(FILTER(RC_IN[ASH],RC_IN[BLOCK]=X9,RC_IN[BLOCK LOC]=X8),FILTER(RC_IN[WT],RC_IN[BLOCK]=X9,RC_IN[BLOCK LOC]=X8))/SUM(FILTER(RC_IN[WT],RC_IN[BLOCK]=X9,RC_IN[BLOCK LOC]=X8)),"""")
"),3.4622018603543405)</f>
        <v>3.46220186</v>
      </c>
      <c r="Y12" s="40">
        <f>IFERROR(__xludf.DUMMYFUNCTION("IFERROR(SUMPRODUCT(FILTER(RC_IN[ASH],RC_IN[BLOCK]=Y9,RC_IN[BLOCK LOC]=Y8),FILTER(RC_IN[WT],RC_IN[BLOCK]=Y9,RC_IN[BLOCK LOC]=Y8))/SUM(FILTER(RC_IN[WT],RC_IN[BLOCK]=Y9,RC_IN[BLOCK LOC]=Y8)),"""")
"),3.0401311453359336)</f>
        <v>3.040131145</v>
      </c>
      <c r="Z12" s="40">
        <f>IFERROR(__xludf.DUMMYFUNCTION("IFERROR(SUMPRODUCT(FILTER(RC_IN[ASH],RC_IN[BLOCK]=Z9,RC_IN[BLOCK LOC]=Z8),FILTER(RC_IN[WT],RC_IN[BLOCK]=Z9,RC_IN[BLOCK LOC]=Z8))/SUM(FILTER(RC_IN[WT],RC_IN[BLOCK]=Z9,RC_IN[BLOCK LOC]=Z8)),"""")
"),3.8285043074884033)</f>
        <v>3.828504307</v>
      </c>
      <c r="AA12" s="41">
        <f>IFERROR(__xludf.DUMMYFUNCTION("IFERROR(SUMPRODUCT(FILTER(RC_IN[ASH],RC_IN[BLOCK]=AA9,RC_IN[BLOCK LOC]=AA8),FILTER(RC_IN[WT],RC_IN[BLOCK]=AA9,RC_IN[BLOCK LOC]=AA8))/SUM(FILTER(RC_IN[WT],RC_IN[BLOCK]=AA9,RC_IN[BLOCK LOC]=AA8)),"""")
"),3.35072792022792)</f>
        <v>3.35072792</v>
      </c>
      <c r="AB12" s="15"/>
      <c r="AC12" s="23"/>
      <c r="AD12" s="27" t="s">
        <v>9</v>
      </c>
      <c r="AE12" s="40" t="str">
        <f>IFERROR(__xludf.DUMMYFUNCTION("IFERROR(SUMPRODUCT(FILTER(RC_IN[ASH],RC_IN[BLOCK]=AE9,RC_IN[BLOCK LOC]=AE8),FILTER(RC_IN[WT],RC_IN[BLOCK]=AE9,RC_IN[BLOCK LOC]=AE8))/SUM(FILTER(RC_IN[WT],RC_IN[BLOCK]=AE9,RC_IN[BLOCK LOC]=AE8)),"""")
"),"  ")</f>
        <v/>
      </c>
      <c r="AF12" s="40" t="str">
        <f>IFERROR(__xludf.DUMMYFUNCTION("IFERROR(SUMPRODUCT(FILTER(RC_IN[ASH],RC_IN[BLOCK]=AF9,RC_IN[BLOCK LOC]=AF8),FILTER(RC_IN[WT],RC_IN[BLOCK]=AF9,RC_IN[BLOCK LOC]=AF8))/SUM(FILTER(RC_IN[WT],RC_IN[BLOCK]=AF9,RC_IN[BLOCK LOC]=AF8)),"""")
"),"  ")</f>
        <v/>
      </c>
      <c r="AG12" s="41" t="str">
        <f>IFERROR(__xludf.DUMMYFUNCTION("IFERROR(SUMPRODUCT(FILTER(RC_IN[ASH],RC_IN[BLOCK]=AG9,RC_IN[BLOCK LOC]=AG8),FILTER(RC_IN[WT],RC_IN[BLOCK]=AG9,RC_IN[BLOCK LOC]=AG8))/SUM(FILTER(RC_IN[WT],RC_IN[BLOCK]=AG9,RC_IN[BLOCK LOC]=AG8)),"""")
"),"  ")</f>
        <v/>
      </c>
    </row>
    <row r="13" ht="11.25" customHeight="1">
      <c r="A13" s="42"/>
      <c r="B13" s="17"/>
      <c r="C13" s="32"/>
      <c r="D13" s="11"/>
      <c r="F13" s="43"/>
      <c r="G13" s="44" t="s">
        <v>10</v>
      </c>
      <c r="H13" s="45">
        <f>IFERROR(__xludf.DUMMYFUNCTION("IFERROR(SUMPRODUCT(FILTER(RC_IN[MC],RC_IN[BLOCK]=H9,RC_IN[BLOCK LOC]=H8),FILTER(RC_IN[WT],RC_IN[BLOCK]=H9,RC_IN[BLOCK LOC]=H8)) / SUM(FILTER(RC_IN[WT],RC_IN[BLOCK]=H9,RC_IN[BLOCK LOC]=H8)),"""")
"),11.48674323101552)</f>
        <v>11.48674323</v>
      </c>
      <c r="I13" s="45">
        <f>IFERROR(__xludf.DUMMYFUNCTION("IFERROR(SUMPRODUCT(FILTER(RC_IN[MC],RC_IN[BLOCK]=I9,RC_IN[BLOCK LOC]=I8),FILTER(RC_IN[WT],RC_IN[BLOCK]=I9,RC_IN[BLOCK LOC]=I8)) / SUM(FILTER(RC_IN[WT],RC_IN[BLOCK]=I9,RC_IN[BLOCK LOC]=I8)),"""")
"),11.401010967914967)</f>
        <v>11.40101097</v>
      </c>
      <c r="J13" s="45">
        <f>IFERROR(__xludf.DUMMYFUNCTION("IFERROR(SUMPRODUCT(FILTER(RC_IN[MC],RC_IN[BLOCK]=J9,RC_IN[BLOCK LOC]=J8),FILTER(RC_IN[WT],RC_IN[BLOCK]=J9,RC_IN[BLOCK LOC]=J8)) / SUM(FILTER(RC_IN[WT],RC_IN[BLOCK]=J9,RC_IN[BLOCK LOC]=J8)),"""")
"),11.667843242517783)</f>
        <v>11.66784324</v>
      </c>
      <c r="K13" s="45">
        <f>IFERROR(__xludf.DUMMYFUNCTION("IFERROR(SUMPRODUCT(FILTER(RC_IN[MC],RC_IN[BLOCK]=K9,RC_IN[BLOCK LOC]=K8),FILTER(RC_IN[WT],RC_IN[BLOCK]=K9,RC_IN[BLOCK LOC]=K8)) / SUM(FILTER(RC_IN[WT],RC_IN[BLOCK]=K9,RC_IN[BLOCK LOC]=K8)),"""")
"),11.64021310900806)</f>
        <v>11.64021311</v>
      </c>
      <c r="L13" s="45">
        <f>IFERROR(__xludf.DUMMYFUNCTION("IFERROR(SUMPRODUCT(FILTER(RC_IN[MC],RC_IN[BLOCK]=L9,RC_IN[BLOCK LOC]=L8),FILTER(RC_IN[WT],RC_IN[BLOCK]=L9,RC_IN[BLOCK LOC]=L8)) / SUM(FILTER(RC_IN[WT],RC_IN[BLOCK]=L9,RC_IN[BLOCK LOC]=L8)),"""")
"),11.726696447267397)</f>
        <v>11.72669645</v>
      </c>
      <c r="M13" s="45">
        <f>IFERROR(__xludf.DUMMYFUNCTION("IFERROR(SUMPRODUCT(FILTER(RC_IN[MC],RC_IN[BLOCK]=M9,RC_IN[BLOCK LOC]=M8),FILTER(RC_IN[WT],RC_IN[BLOCK]=M9,RC_IN[BLOCK LOC]=M8)) / SUM(FILTER(RC_IN[WT],RC_IN[BLOCK]=M9,RC_IN[BLOCK LOC]=M8)),"""")
"),10.330143776012108)</f>
        <v>10.33014378</v>
      </c>
      <c r="N13" s="45">
        <f>IFERROR(__xludf.DUMMYFUNCTION("IFERROR(SUMPRODUCT(FILTER(RC_IN[MC],RC_IN[BLOCK]=N9,RC_IN[BLOCK LOC]=N8),FILTER(RC_IN[WT],RC_IN[BLOCK]=N9,RC_IN[BLOCK LOC]=N8)) / SUM(FILTER(RC_IN[WT],RC_IN[BLOCK]=N9,RC_IN[BLOCK LOC]=N8)),"""")
"),10.433435080537508)</f>
        <v>10.43343508</v>
      </c>
      <c r="O13" s="45">
        <f>IFERROR(__xludf.DUMMYFUNCTION("IFERROR(SUMPRODUCT(FILTER(RC_IN[MC],RC_IN[BLOCK]=O9,RC_IN[BLOCK LOC]=O8),FILTER(RC_IN[WT],RC_IN[BLOCK]=O9,RC_IN[BLOCK LOC]=O8)) / SUM(FILTER(RC_IN[WT],RC_IN[BLOCK]=O9,RC_IN[BLOCK LOC]=O8)),"""")
"),11.14708037825059)</f>
        <v>11.14708038</v>
      </c>
      <c r="P13" s="45">
        <f>IFERROR(__xludf.DUMMYFUNCTION("IFERROR(SUMPRODUCT(FILTER(RC_IN[MC],RC_IN[BLOCK]=P9,RC_IN[BLOCK LOC]=P8),FILTER(RC_IN[WT],RC_IN[BLOCK]=P9,RC_IN[BLOCK LOC]=P8)) / SUM(FILTER(RC_IN[WT],RC_IN[BLOCK]=P9,RC_IN[BLOCK LOC]=P8)),"""")
"),10.183730569948187)</f>
        <v>10.18373057</v>
      </c>
      <c r="Q13" s="45" t="str">
        <f>IFERROR(__xludf.DUMMYFUNCTION("IFERROR(SUMPRODUCT(FILTER(RC_IN[MC],RC_IN[BLOCK]=Q9,RC_IN[BLOCK LOC]=Q8),FILTER(RC_IN[WT],RC_IN[BLOCK]=Q9,RC_IN[BLOCK LOC]=Q8)) / SUM(FILTER(RC_IN[WT],RC_IN[BLOCK]=Q9,RC_IN[BLOCK LOC]=Q8)),"""")
"),"")</f>
        <v/>
      </c>
      <c r="R13" s="45" t="str">
        <f>IFERROR(__xludf.DUMMYFUNCTION("IFERROR(SUMPRODUCT(FILTER(RC_IN[MC],RC_IN[BLOCK]=R9,RC_IN[BLOCK LOC]=R8),FILTER(RC_IN[WT],RC_IN[BLOCK]=R9,RC_IN[BLOCK LOC]=R8)) / SUM(FILTER(RC_IN[WT],RC_IN[BLOCK]=R9,RC_IN[BLOCK LOC]=R8)),"""")
"),"")</f>
        <v/>
      </c>
      <c r="S13" s="45">
        <f>IFERROR(__xludf.DUMMYFUNCTION("IFERROR(SUMPRODUCT(FILTER(RC_IN[MC],RC_IN[BLOCK]=S9,RC_IN[BLOCK LOC]=S8),FILTER(RC_IN[WT],RC_IN[BLOCK]=S9,RC_IN[BLOCK LOC]=S8)) / SUM(FILTER(RC_IN[WT],RC_IN[BLOCK]=S9,RC_IN[BLOCK LOC]=S8)),"""")
"),11.689831215802652)</f>
        <v>11.68983122</v>
      </c>
      <c r="T13" s="45">
        <f>IFERROR(__xludf.DUMMYFUNCTION("IFERROR(SUMPRODUCT(FILTER(RC_IN[MC],RC_IN[BLOCK]=T9,RC_IN[BLOCK LOC]=T8),FILTER(RC_IN[WT],RC_IN[BLOCK]=T9,RC_IN[BLOCK LOC]=T8)) / SUM(FILTER(RC_IN[WT],RC_IN[BLOCK]=T9,RC_IN[BLOCK LOC]=T8)),"""")
"),12.13606639049834)</f>
        <v>12.13606639</v>
      </c>
      <c r="U13" s="45">
        <f>IFERROR(__xludf.DUMMYFUNCTION("IFERROR(SUMPRODUCT(FILTER(RC_IN[MC],RC_IN[BLOCK]=U9,RC_IN[BLOCK LOC]=U8),FILTER(RC_IN[WT],RC_IN[BLOCK]=U9,RC_IN[BLOCK LOC]=U8)) / SUM(FILTER(RC_IN[WT],RC_IN[BLOCK]=U9,RC_IN[BLOCK LOC]=U8)),"""")
"),11.035553493683535)</f>
        <v>11.03555349</v>
      </c>
      <c r="V13" s="45">
        <f>IFERROR(__xludf.DUMMYFUNCTION("IFERROR(SUMPRODUCT(FILTER(RC_IN[MC],RC_IN[BLOCK]=V9,RC_IN[BLOCK LOC]=V8),FILTER(RC_IN[WT],RC_IN[BLOCK]=V9,RC_IN[BLOCK LOC]=V8)) / SUM(FILTER(RC_IN[WT],RC_IN[BLOCK]=V9,RC_IN[BLOCK LOC]=V8)),"""")
"),11.328904701217786)</f>
        <v>11.3289047</v>
      </c>
      <c r="W13" s="45" t="str">
        <f>IFERROR(__xludf.DUMMYFUNCTION("IFERROR(SUMPRODUCT(FILTER(RC_IN[MC],RC_IN[BLOCK]=W9,RC_IN[BLOCK LOC]=W8),FILTER(RC_IN[WT],RC_IN[BLOCK]=W9,RC_IN[BLOCK LOC]=W8)) / SUM(FILTER(RC_IN[WT],RC_IN[BLOCK]=W9,RC_IN[BLOCK LOC]=W8)),"""")
"),"")</f>
        <v/>
      </c>
      <c r="X13" s="45">
        <f>IFERROR(__xludf.DUMMYFUNCTION("IFERROR(SUMPRODUCT(FILTER(RC_IN[MC],RC_IN[BLOCK]=X9,RC_IN[BLOCK LOC]=X8),FILTER(RC_IN[WT],RC_IN[BLOCK]=X9,RC_IN[BLOCK LOC]=X8)) / SUM(FILTER(RC_IN[WT],RC_IN[BLOCK]=X9,RC_IN[BLOCK LOC]=X8)),"""")
"),10.677741905606204)</f>
        <v>10.67774191</v>
      </c>
      <c r="Y13" s="45">
        <f>IFERROR(__xludf.DUMMYFUNCTION("IFERROR(SUMPRODUCT(FILTER(RC_IN[MC],RC_IN[BLOCK]=Y9,RC_IN[BLOCK LOC]=Y8),FILTER(RC_IN[WT],RC_IN[BLOCK]=Y9,RC_IN[BLOCK LOC]=Y8)) / SUM(FILTER(RC_IN[WT],RC_IN[BLOCK]=Y9,RC_IN[BLOCK LOC]=Y8)),"""")
"),11.596264039276347)</f>
        <v>11.59626404</v>
      </c>
      <c r="Z13" s="45">
        <f>IFERROR(__xludf.DUMMYFUNCTION("IFERROR(SUMPRODUCT(FILTER(RC_IN[MC],RC_IN[BLOCK]=Z9,RC_IN[BLOCK LOC]=Z8),FILTER(RC_IN[WT],RC_IN[BLOCK]=Z9,RC_IN[BLOCK LOC]=Z8)) / SUM(FILTER(RC_IN[WT],RC_IN[BLOCK]=Z9,RC_IN[BLOCK LOC]=Z8)),"""")
"),11.428742213386348)</f>
        <v>11.42874221</v>
      </c>
      <c r="AA13" s="46">
        <f>IFERROR(__xludf.DUMMYFUNCTION("IFERROR(SUMPRODUCT(FILTER(RC_IN[MC],RC_IN[BLOCK]=AA9,RC_IN[BLOCK LOC]=AA8),FILTER(RC_IN[WT],RC_IN[BLOCK]=AA9,RC_IN[BLOCK LOC]=AA8)) / SUM(FILTER(RC_IN[WT],RC_IN[BLOCK]=AA9,RC_IN[BLOCK LOC]=AA8)),"""")
"),10.782778490028491)</f>
        <v>10.78277849</v>
      </c>
      <c r="AB13" s="47"/>
      <c r="AC13" s="48"/>
      <c r="AD13" s="44" t="s">
        <v>10</v>
      </c>
      <c r="AE13" s="45" t="str">
        <f>IFERROR(__xludf.DUMMYFUNCTION("IFERROR(SUMPRODUCT(FILTER(RC_IN[MC],RC_IN[BLOCK]=AE9,RC_IN[BLOCK LOC]=AE8),FILTER(RC_IN[WT],RC_IN[BLOCK]=AE9,RC_IN[BLOCK LOC]=AE8)) / SUM(FILTER(RC_IN[WT],RC_IN[BLOCK]=AE9,RC_IN[BLOCK LOC]=AE8)),"""")
"),"")</f>
        <v/>
      </c>
      <c r="AF13" s="45" t="str">
        <f>IFERROR(__xludf.DUMMYFUNCTION("IFERROR(SUMPRODUCT(FILTER(RC_IN[MC],RC_IN[BLOCK]=AF9,RC_IN[BLOCK LOC]=AF8),FILTER(RC_IN[WT],RC_IN[BLOCK]=AF9,RC_IN[BLOCK LOC]=AF8)) / SUM(FILTER(RC_IN[WT],RC_IN[BLOCK]=AF9,RC_IN[BLOCK LOC]=AF8)),"""")
"),"")</f>
        <v/>
      </c>
      <c r="AG13" s="46" t="str">
        <f>IFERROR(__xludf.DUMMYFUNCTION("IFERROR(SUMPRODUCT(FILTER(RC_IN[MC],RC_IN[BLOCK]=AG9,RC_IN[BLOCK LOC]=AG8),FILTER(RC_IN[WT],RC_IN[BLOCK]=AG9,RC_IN[BLOCK LOC]=AG8)) / SUM(FILTER(RC_IN[WT],RC_IN[BLOCK]=AG9,RC_IN[BLOCK LOC]=AG8)),"""")
"),"")</f>
        <v/>
      </c>
    </row>
    <row r="14" ht="11.25" customHeight="1">
      <c r="A14" s="9"/>
      <c r="B14" s="9"/>
      <c r="C14" s="49"/>
      <c r="D14" s="10" t="str">
        <f>D2</f>
        <v>A</v>
      </c>
      <c r="F14" s="4"/>
      <c r="G14" s="12" t="s">
        <v>12</v>
      </c>
      <c r="H14" s="13" t="str">
        <f t="shared" ref="H14:AA14" si="5">CONCATENATE($D14,"-",H$1,$G14)</f>
        <v>A-1C</v>
      </c>
      <c r="I14" s="13" t="str">
        <f t="shared" si="5"/>
        <v>A-2C</v>
      </c>
      <c r="J14" s="13" t="str">
        <f t="shared" si="5"/>
        <v>A-3C</v>
      </c>
      <c r="K14" s="13" t="str">
        <f t="shared" si="5"/>
        <v>A-4C</v>
      </c>
      <c r="L14" s="13" t="str">
        <f t="shared" si="5"/>
        <v>A-5C</v>
      </c>
      <c r="M14" s="13" t="str">
        <f t="shared" si="5"/>
        <v>A-6C</v>
      </c>
      <c r="N14" s="13" t="str">
        <f t="shared" si="5"/>
        <v>A-7C</v>
      </c>
      <c r="O14" s="13" t="str">
        <f t="shared" si="5"/>
        <v>A-8C</v>
      </c>
      <c r="P14" s="13" t="str">
        <f t="shared" si="5"/>
        <v>A-9C</v>
      </c>
      <c r="Q14" s="13" t="str">
        <f t="shared" si="5"/>
        <v>A-10C</v>
      </c>
      <c r="R14" s="13" t="str">
        <f t="shared" si="5"/>
        <v>A-11C</v>
      </c>
      <c r="S14" s="13" t="str">
        <f t="shared" si="5"/>
        <v>A-12C</v>
      </c>
      <c r="T14" s="13" t="str">
        <f t="shared" si="5"/>
        <v>A-13C</v>
      </c>
      <c r="U14" s="13" t="str">
        <f t="shared" si="5"/>
        <v>A-14C</v>
      </c>
      <c r="V14" s="13" t="str">
        <f t="shared" si="5"/>
        <v>A-15C</v>
      </c>
      <c r="W14" s="13" t="str">
        <f t="shared" si="5"/>
        <v>A-16C</v>
      </c>
      <c r="X14" s="13" t="str">
        <f t="shared" si="5"/>
        <v>A-17C</v>
      </c>
      <c r="Y14" s="13" t="str">
        <f t="shared" si="5"/>
        <v>A-18C</v>
      </c>
      <c r="Z14" s="13" t="str">
        <f t="shared" si="5"/>
        <v>A-19C</v>
      </c>
      <c r="AA14" s="14" t="str">
        <f t="shared" si="5"/>
        <v>A-20C</v>
      </c>
      <c r="AB14" s="15"/>
      <c r="AC14" s="6" t="s">
        <v>4</v>
      </c>
      <c r="AD14" s="12" t="s">
        <v>12</v>
      </c>
      <c r="AE14" s="13" t="str">
        <f t="shared" ref="AE14:AG14" si="6">CONCATENATE($AC14,"-",AE$1,$AD14)</f>
        <v>PCA-15C</v>
      </c>
      <c r="AF14" s="13" t="str">
        <f t="shared" si="6"/>
        <v>PCA-16C</v>
      </c>
      <c r="AG14" s="14" t="str">
        <f t="shared" si="6"/>
        <v>PCA-17C</v>
      </c>
    </row>
    <row r="15" ht="11.25" customHeight="1">
      <c r="A15" s="42"/>
      <c r="B15" s="17"/>
      <c r="C15" s="32"/>
      <c r="D15" s="11"/>
      <c r="F15" s="19" t="str">
        <f>IF(COUNTIF(G15:Z15,"ERROR")=0,"CLEAR",COUNTIF(G15:Z15,"ERROR")&amp;" ERRORS")
</f>
        <v>CLEAR</v>
      </c>
      <c r="G15" s="20" t="s">
        <v>6</v>
      </c>
      <c r="H15" s="21" t="str">
        <f>IFERROR(__xludf.DUMMYFUNCTION("IFERROR(IF(COUNTA(UNIQUE(FILTER(RC_IN[BLOCK],RC_IN[BLOCK LOC]=H14,RC_IN[STATE]&lt;&gt;""CLOSED"")))&gt;1,""ERROR"",INDEX(UNIQUE(FILTER(RC_IN[BLOCK],RC_IN[BLOCK LOC]=H14,RC_IN[STATE]&lt;&gt;""CLOSED"")),1)),"""")
"),"FEB-26-BLK22")</f>
        <v>FEB-26-BLK22</v>
      </c>
      <c r="I15" s="21" t="str">
        <f>IFERROR(__xludf.DUMMYFUNCTION("IFERROR(IF(COUNTA(UNIQUE(FILTER(RC_IN[BLOCK],RC_IN[BLOCK LOC]=I14,RC_IN[STATE]&lt;&gt;""CLOSED"")))&gt;1,""ERROR"",INDEX(UNIQUE(FILTER(RC_IN[BLOCK],RC_IN[BLOCK LOC]=I14,RC_IN[STATE]&lt;&gt;""CLOSED"")),1)),"""")
"),"FEB-26-BLK29")</f>
        <v>FEB-26-BLK29</v>
      </c>
      <c r="J15" s="21" t="str">
        <f>IFERROR(__xludf.DUMMYFUNCTION("IFERROR(IF(COUNTA(UNIQUE(FILTER(RC_IN[BLOCK],RC_IN[BLOCK LOC]=J14,RC_IN[STATE]&lt;&gt;""CLOSED"")))&gt;1,""ERROR"",INDEX(UNIQUE(FILTER(RC_IN[BLOCK],RC_IN[BLOCK LOC]=J14,RC_IN[STATE]&lt;&gt;""CLOSED"")),1)),"""")
"),"APRIL-26-BLK6")</f>
        <v>APRIL-26-BLK6</v>
      </c>
      <c r="K15" s="21" t="str">
        <f>IFERROR(__xludf.DUMMYFUNCTION("IFERROR(IF(COUNTA(UNIQUE(FILTER(RC_IN[BLOCK],RC_IN[BLOCK LOC]=K14,RC_IN[STATE]&lt;&gt;""CLOSED"")))&gt;1,""ERROR"",INDEX(UNIQUE(FILTER(RC_IN[BLOCK],RC_IN[BLOCK LOC]=K14,RC_IN[STATE]&lt;&gt;""CLOSED"")),1)),"""")
"),"")</f>
        <v/>
      </c>
      <c r="L15" s="21" t="str">
        <f>IFERROR(__xludf.DUMMYFUNCTION("IFERROR(IF(COUNTA(UNIQUE(FILTER(RC_IN[BLOCK],RC_IN[BLOCK LOC]=L14,RC_IN[STATE]&lt;&gt;""CLOSED"")))&gt;1,""ERROR"",INDEX(UNIQUE(FILTER(RC_IN[BLOCK],RC_IN[BLOCK LOC]=L14,RC_IN[STATE]&lt;&gt;""CLOSED"")),1)),"""")
"),"")</f>
        <v/>
      </c>
      <c r="M15" s="21" t="str">
        <f>IFERROR(__xludf.DUMMYFUNCTION("IFERROR(IF(COUNTA(UNIQUE(FILTER(RC_IN[BLOCK],RC_IN[BLOCK LOC]=M14,RC_IN[STATE]&lt;&gt;""CLOSED"")))&gt;1,""ERROR"",INDEX(UNIQUE(FILTER(RC_IN[BLOCK],RC_IN[BLOCK LOC]=M14,RC_IN[STATE]&lt;&gt;""CLOSED"")),1)),"""")
"),"FEB-26-BLK12")</f>
        <v>FEB-26-BLK12</v>
      </c>
      <c r="N15" s="21" t="str">
        <f>IFERROR(__xludf.DUMMYFUNCTION("IFERROR(IF(COUNTA(UNIQUE(FILTER(RC_IN[BLOCK],RC_IN[BLOCK LOC]=N14,RC_IN[STATE]&lt;&gt;""CLOSED"")))&gt;1,""ERROR"",INDEX(UNIQUE(FILTER(RC_IN[BLOCK],RC_IN[BLOCK LOC]=N14,RC_IN[STATE]&lt;&gt;""CLOSED"")),1)),"""")
"),"FEB-26-BLK4")</f>
        <v>FEB-26-BLK4</v>
      </c>
      <c r="O15" s="21" t="str">
        <f>IFERROR(__xludf.DUMMYFUNCTION("IFERROR(IF(COUNTA(UNIQUE(FILTER(RC_IN[BLOCK],RC_IN[BLOCK LOC]=O14,RC_IN[STATE]&lt;&gt;""CLOSED"")))&gt;1,""ERROR"",INDEX(UNIQUE(FILTER(RC_IN[BLOCK],RC_IN[BLOCK LOC]=O14,RC_IN[STATE]&lt;&gt;""CLOSED"")),1)),"""")
"),"JAN-26-BLK19")</f>
        <v>JAN-26-BLK19</v>
      </c>
      <c r="P15" s="21" t="str">
        <f>IFERROR(__xludf.DUMMYFUNCTION("IFERROR(IF(COUNTA(UNIQUE(FILTER(RC_IN[BLOCK],RC_IN[BLOCK LOC]=P14,RC_IN[STATE]&lt;&gt;""CLOSED"")))&gt;1,""ERROR"",INDEX(UNIQUE(FILTER(RC_IN[BLOCK],RC_IN[BLOCK LOC]=P14,RC_IN[STATE]&lt;&gt;""CLOSED"")),1)),"""")
"),"")</f>
        <v/>
      </c>
      <c r="Q15" s="21" t="str">
        <f>IFERROR(__xludf.DUMMYFUNCTION("IFERROR(IF(COUNTA(UNIQUE(FILTER(RC_IN[BLOCK],RC_IN[BLOCK LOC]=Q14,RC_IN[STATE]&lt;&gt;""CLOSED"")))&gt;1,""ERROR"",INDEX(UNIQUE(FILTER(RC_IN[BLOCK],RC_IN[BLOCK LOC]=Q14,RC_IN[STATE]&lt;&gt;""CLOSED"")),1)),"""")
"),"")</f>
        <v/>
      </c>
      <c r="R15" s="21" t="str">
        <f>IFERROR(__xludf.DUMMYFUNCTION("IFERROR(IF(COUNTA(UNIQUE(FILTER(RC_IN[BLOCK],RC_IN[BLOCK LOC]=R14,RC_IN[STATE]&lt;&gt;""CLOSED"")))&gt;1,""ERROR"",INDEX(UNIQUE(FILTER(RC_IN[BLOCK],RC_IN[BLOCK LOC]=R14,RC_IN[STATE]&lt;&gt;""CLOSED"")),1)),"""")
"),"")</f>
        <v/>
      </c>
      <c r="S15" s="21" t="str">
        <f>IFERROR(__xludf.DUMMYFUNCTION("IFERROR(IF(COUNTA(UNIQUE(FILTER(RC_IN[BLOCK],RC_IN[BLOCK LOC]=S14,RC_IN[STATE]&lt;&gt;""CLOSED"")))&gt;1,""ERROR"",INDEX(UNIQUE(FILTER(RC_IN[BLOCK],RC_IN[BLOCK LOC]=S14,RC_IN[STATE]&lt;&gt;""CLOSED"")),1)),"""")
"),"DEC-24-BLK2")</f>
        <v>DEC-24-BLK2</v>
      </c>
      <c r="T15" s="21" t="str">
        <f>IFERROR(__xludf.DUMMYFUNCTION("IFERROR(IF(COUNTA(UNIQUE(FILTER(RC_IN[BLOCK],RC_IN[BLOCK LOC]=T14,RC_IN[STATE]&lt;&gt;""CLOSED"")))&gt;1,""ERROR"",INDEX(UNIQUE(FILTER(RC_IN[BLOCK],RC_IN[BLOCK LOC]=T14,RC_IN[STATE]&lt;&gt;""CLOSED"")),1)),"""")
"),"NOV-24-BLK6")</f>
        <v>NOV-24-BLK6</v>
      </c>
      <c r="U15" s="21" t="str">
        <f>IFERROR(__xludf.DUMMYFUNCTION("IFERROR(IF(COUNTA(UNIQUE(FILTER(RC_IN[BLOCK],RC_IN[BLOCK LOC]=U14,RC_IN[STATE]&lt;&gt;""CLOSED"")))&gt;1,""ERROR"",INDEX(UNIQUE(FILTER(RC_IN[BLOCK],RC_IN[BLOCK LOC]=U14,RC_IN[STATE]&lt;&gt;""CLOSED"")),1)),"""")
"),"SEPT-24-BLK5")</f>
        <v>SEPT-24-BLK5</v>
      </c>
      <c r="V15" s="21" t="str">
        <f>IFERROR(__xludf.DUMMYFUNCTION("IFERROR(IF(COUNTA(UNIQUE(FILTER(RC_IN[BLOCK],RC_IN[BLOCK LOC]=V14,RC_IN[STATE]&lt;&gt;""CLOSED"")))&gt;1,""ERROR"",INDEX(UNIQUE(FILTER(RC_IN[BLOCK],RC_IN[BLOCK LOC]=V14,RC_IN[STATE]&lt;&gt;""CLOSED"")),1)),"""")
"),"OCT-24-BLK1")</f>
        <v>OCT-24-BLK1</v>
      </c>
      <c r="W15" s="21" t="str">
        <f>IFERROR(__xludf.DUMMYFUNCTION("IFERROR(IF(COUNTA(UNIQUE(FILTER(RC_IN[BLOCK],RC_IN[BLOCK LOC]=W14,RC_IN[STATE]&lt;&gt;""CLOSED"")))&gt;1,""ERROR"",INDEX(UNIQUE(FILTER(RC_IN[BLOCK],RC_IN[BLOCK LOC]=W14,RC_IN[STATE]&lt;&gt;""CLOSED"")),1)),"""")
"),"")</f>
        <v/>
      </c>
      <c r="X15" s="21" t="str">
        <f>IFERROR(__xludf.DUMMYFUNCTION("IFERROR(IF(COUNTA(UNIQUE(FILTER(RC_IN[BLOCK],RC_IN[BLOCK LOC]=X14,RC_IN[STATE]&lt;&gt;""CLOSED"")))&gt;1,""ERROR"",INDEX(UNIQUE(FILTER(RC_IN[BLOCK],RC_IN[BLOCK LOC]=X14,RC_IN[STATE]&lt;&gt;""CLOSED"")),1)),"""")
"),"")</f>
        <v/>
      </c>
      <c r="Y15" s="21" t="str">
        <f>IFERROR(__xludf.DUMMYFUNCTION("IFERROR(IF(COUNTA(UNIQUE(FILTER(RC_IN[BLOCK],RC_IN[BLOCK LOC]=Y14,RC_IN[STATE]&lt;&gt;""CLOSED"")))&gt;1,""ERROR"",INDEX(UNIQUE(FILTER(RC_IN[BLOCK],RC_IN[BLOCK LOC]=Y14,RC_IN[STATE]&lt;&gt;""CLOSED"")),1)),"""")
"),"")</f>
        <v/>
      </c>
      <c r="Z15" s="21" t="str">
        <f>IFERROR(__xludf.DUMMYFUNCTION("IFERROR(IF(COUNTA(UNIQUE(FILTER(RC_IN[BLOCK],RC_IN[BLOCK LOC]=Z14,RC_IN[STATE]&lt;&gt;""CLOSED"")))&gt;1,""ERROR"",INDEX(UNIQUE(FILTER(RC_IN[BLOCK],RC_IN[BLOCK LOC]=Z14,RC_IN[STATE]&lt;&gt;""CLOSED"")),1)),"""")
"),"JUNE-26-BLK9")</f>
        <v>JUNE-26-BLK9</v>
      </c>
      <c r="AA15" s="22" t="str">
        <f>IFERROR(__xludf.DUMMYFUNCTION("IFERROR(IF(COUNTA(UNIQUE(FILTER(RC_IN[BLOCK],RC_IN[BLOCK LOC]=AA14,RC_IN[STATE]&lt;&gt;""CLOSED"")))&gt;1,""ERROR"",INDEX(UNIQUE(FILTER(RC_IN[BLOCK],RC_IN[BLOCK LOC]=AA14,RC_IN[STATE]&lt;&gt;""CLOSED"")),1)),"""")
"),"JUNE-26-BLK4")</f>
        <v>JUNE-26-BLK4</v>
      </c>
      <c r="AB15" s="15"/>
      <c r="AC15" s="23"/>
      <c r="AD15" s="20" t="s">
        <v>6</v>
      </c>
      <c r="AE15" s="21" t="str">
        <f>IFERROR(__xludf.DUMMYFUNCTION("IFERROR(IF(COUNTA(UNIQUE(FILTER(RC_IN[BLOCK],RC_IN[BLOCK LOC]=AE14,RC_IN[STATE]&lt;&gt;""CLOSED"")))&gt;1,""ERROR"",INDEX(UNIQUE(FILTER(RC_IN[BLOCK],RC_IN[BLOCK LOC]=AE14,RC_IN[STATE]&lt;&gt;""CLOSED"")),1)),"""")
"),"")</f>
        <v/>
      </c>
      <c r="AF15" s="21" t="str">
        <f>IFERROR(__xludf.DUMMYFUNCTION("IFERROR(IF(COUNTA(UNIQUE(FILTER(RC_IN[BLOCK],RC_IN[BLOCK LOC]=AF14,RC_IN[STATE]&lt;&gt;""CLOSED"")))&gt;1,""ERROR"",INDEX(UNIQUE(FILTER(RC_IN[BLOCK],RC_IN[BLOCK LOC]=AF14,RC_IN[STATE]&lt;&gt;""CLOSED"")),1)),"""")
"),"")</f>
        <v/>
      </c>
      <c r="AG15" s="22" t="str">
        <f>IFERROR(__xludf.DUMMYFUNCTION("IFERROR(IF(COUNTA(UNIQUE(FILTER(RC_IN[BLOCK],RC_IN[BLOCK LOC]=AG14,RC_IN[STATE]&lt;&gt;""CLOSED"")))&gt;1,""ERROR"",INDEX(UNIQUE(FILTER(RC_IN[BLOCK],RC_IN[BLOCK LOC]=AG14,RC_IN[STATE]&lt;&gt;""CLOSED"")),1)),"""")
"),"")</f>
        <v/>
      </c>
    </row>
    <row r="16" ht="11.25" customHeight="1">
      <c r="A16" s="42"/>
      <c r="B16" s="17"/>
      <c r="C16" s="25">
        <f>sum(H16:AA16)</f>
        <v>703718</v>
      </c>
      <c r="D16" s="11"/>
      <c r="F16" s="26"/>
      <c r="G16" s="27" t="s">
        <v>7</v>
      </c>
      <c r="H16" s="28">
        <f>SUMIFS(RC_IN[WT],RC_IN[BLOCK],H15,RC_IN[BLOCK LOC],H14)-SUMIFS(RC_OUT[WT],RC_OUT[BLOCK],H15,RC_OUT[BLOCK LOC],H14)</f>
        <v>74185</v>
      </c>
      <c r="I16" s="28">
        <f>SUMIFS(RC_IN[WT],RC_IN[BLOCK],I15,RC_IN[BLOCK LOC],I14)-SUMIFS(RC_OUT[WT],RC_OUT[BLOCK],I15,RC_OUT[BLOCK LOC],I14)</f>
        <v>35905</v>
      </c>
      <c r="J16" s="28">
        <f>SUMIFS(RC_IN[WT],RC_IN[BLOCK],J15,RC_IN[BLOCK LOC],J14)-SUMIFS(RC_OUT[WT],RC_OUT[BLOCK],J15,RC_OUT[BLOCK LOC],J14)</f>
        <v>69445</v>
      </c>
      <c r="K16" s="28">
        <f>SUMIFS(RC_IN[WT],RC_IN[BLOCK],K15,RC_IN[BLOCK LOC],K14)-SUMIFS(RC_OUT[WT],RC_OUT[BLOCK],K15,RC_OUT[BLOCK LOC],K14)</f>
        <v>0</v>
      </c>
      <c r="L16" s="28">
        <f>SUMIFS(RC_IN[WT],RC_IN[BLOCK],L15,RC_IN[BLOCK LOC],L14)-SUMIFS(RC_OUT[WT],RC_OUT[BLOCK],L15,RC_OUT[BLOCK LOC],L14)</f>
        <v>0</v>
      </c>
      <c r="M16" s="28">
        <f>SUMIFS(RC_IN[WT],RC_IN[BLOCK],M15,RC_IN[BLOCK LOC],M14)-SUMIFS(RC_OUT[WT],RC_OUT[BLOCK],M15,RC_OUT[BLOCK LOC],M14)</f>
        <v>53705</v>
      </c>
      <c r="N16" s="28">
        <f>SUMIFS(RC_IN[WT],RC_IN[BLOCK],N15,RC_IN[BLOCK LOC],N14)-SUMIFS(RC_OUT[WT],RC_OUT[BLOCK],N15,RC_OUT[BLOCK LOC],N14)</f>
        <v>45083</v>
      </c>
      <c r="O16" s="28">
        <f>SUMIFS(RC_IN[WT],RC_IN[BLOCK],O15,RC_IN[BLOCK LOC],O14)-SUMIFS(RC_OUT[WT],RC_OUT[BLOCK],O15,RC_OUT[BLOCK LOC],O14)</f>
        <v>61550</v>
      </c>
      <c r="P16" s="28">
        <f>SUMIFS(RC_IN[WT],RC_IN[BLOCK],P15,RC_IN[BLOCK LOC],P14)-SUMIFS(RC_OUT[WT],RC_OUT[BLOCK],P15,RC_OUT[BLOCK LOC],P14)</f>
        <v>0</v>
      </c>
      <c r="Q16" s="28">
        <f>SUMIFS(RC_IN[WT],RC_IN[BLOCK],Q15,RC_IN[BLOCK LOC],Q14)-SUMIFS(RC_OUT[WT],RC_OUT[BLOCK],Q15,RC_OUT[BLOCK LOC],Q14)</f>
        <v>0</v>
      </c>
      <c r="R16" s="28">
        <f>SUMIFS(RC_IN[WT],RC_IN[BLOCK],R15,RC_IN[BLOCK LOC],R14)-SUMIFS(RC_OUT[WT],RC_OUT[BLOCK],R15,RC_OUT[BLOCK LOC],R14)</f>
        <v>0</v>
      </c>
      <c r="S16" s="28">
        <f>SUMIFS(RC_IN[WT],RC_IN[BLOCK],S15,RC_IN[BLOCK LOC],S14)-SUMIFS(RC_OUT[WT],RC_OUT[BLOCK],S15,RC_OUT[BLOCK LOC],S14)</f>
        <v>54070</v>
      </c>
      <c r="T16" s="28">
        <f>SUMIFS(RC_IN[WT],RC_IN[BLOCK],T15,RC_IN[BLOCK LOC],T14)-SUMIFS(RC_OUT[WT],RC_OUT[BLOCK],T15,RC_OUT[BLOCK LOC],T14)</f>
        <v>53555</v>
      </c>
      <c r="U16" s="28">
        <f>SUMIFS(RC_IN[WT],RC_IN[BLOCK],U15,RC_IN[BLOCK LOC],U14)-SUMIFS(RC_OUT[WT],RC_OUT[BLOCK],U15,RC_OUT[BLOCK LOC],U14)</f>
        <v>53170</v>
      </c>
      <c r="V16" s="28">
        <f>SUMIFS(RC_IN[WT],RC_IN[BLOCK],V15,RC_IN[BLOCK LOC],V14)-SUMIFS(RC_OUT[WT],RC_OUT[BLOCK],V15,RC_OUT[BLOCK LOC],V14)</f>
        <v>54135</v>
      </c>
      <c r="W16" s="28">
        <f>SUMIFS(RC_IN[WT],RC_IN[BLOCK],W15,RC_IN[BLOCK LOC],W14)-SUMIFS(RC_OUT[WT],RC_OUT[BLOCK],W15,RC_OUT[BLOCK LOC],W14)</f>
        <v>0</v>
      </c>
      <c r="X16" s="28">
        <f>SUMIFS(RC_IN[WT],RC_IN[BLOCK],X15,RC_IN[BLOCK LOC],X14)-SUMIFS(RC_OUT[WT],RC_OUT[BLOCK],X15,RC_OUT[BLOCK LOC],X14)</f>
        <v>0</v>
      </c>
      <c r="Y16" s="28">
        <f>SUMIFS(RC_IN[WT],RC_IN[BLOCK],Y15,RC_IN[BLOCK LOC],Y14)-SUMIFS(RC_OUT[WT],RC_OUT[BLOCK],Y15,RC_OUT[BLOCK LOC],Y14)</f>
        <v>0</v>
      </c>
      <c r="Z16" s="28">
        <f>SUMIFS(RC_IN[WT],RC_IN[BLOCK],Z15,RC_IN[BLOCK LOC],Z14)-SUMIFS(RC_OUT[WT],RC_OUT[BLOCK],Z15,RC_OUT[BLOCK LOC],Z14)</f>
        <v>73857</v>
      </c>
      <c r="AA16" s="29">
        <f>SUMIFS(RC_IN[WT],RC_IN[BLOCK],AA15,RC_IN[BLOCK LOC],AA14)-SUMIFS(RC_OUT[WT],RC_OUT[BLOCK],AA15,RC_OUT[BLOCK LOC],AA14)</f>
        <v>75058</v>
      </c>
      <c r="AB16" s="15"/>
      <c r="AC16" s="30">
        <f>sum(AE16:AG16)</f>
        <v>0</v>
      </c>
      <c r="AD16" s="27" t="s">
        <v>7</v>
      </c>
      <c r="AE16" s="28">
        <f>SUMIFS(RC_IN[WT],RC_IN[BLOCK],AE15,RC_IN[BLOCK LOC],AE14)-SUMIFS(RC_OUT[WT],RC_OUT[BLOCK],AE15,RC_OUT[BLOCK LOC],AE14)</f>
        <v>0</v>
      </c>
      <c r="AF16" s="28">
        <f>SUMIFS(RC_IN[WT],RC_IN[BLOCK],AF15,RC_IN[BLOCK LOC],AF14)-SUMIFS(RC_OUT[WT],RC_OUT[BLOCK],AF15,RC_OUT[BLOCK LOC],AF14)</f>
        <v>0</v>
      </c>
      <c r="AG16" s="29">
        <f>SUMIFS(RC_IN[WT],RC_IN[BLOCK],AG15,RC_IN[BLOCK LOC],AG14)-SUMIFS(RC_OUT[WT],RC_OUT[BLOCK],AG15,RC_OUT[BLOCK LOC],AG14)</f>
        <v>0</v>
      </c>
    </row>
    <row r="17" ht="11.25" customHeight="1">
      <c r="A17" s="42"/>
      <c r="B17" s="17"/>
      <c r="C17" s="32"/>
      <c r="D17" s="11"/>
      <c r="F17" s="33"/>
      <c r="G17" s="34" t="s">
        <v>8</v>
      </c>
      <c r="H17" s="35">
        <f>IFERROR(__xludf.DUMMYFUNCTION("IFERROR(SUMPRODUCT(FILTER(RC_IN[ASTM],RC_IN[BLOCK]=H15,RC_IN[BLOCK LOC]=H14),FILTER(RC_IN[WT],RC_IN[BLOCK]=H15,RC_IN[BLOCK LOC]=H14))/SUM(FILTER(RC_IN[WT],RC_IN[BLOCK]=H15,RC_IN[BLOCK LOC]=H14)),"""")
"),0.5768891285300264)</f>
        <v>0.5768891285</v>
      </c>
      <c r="I17" s="35">
        <f>IFERROR(__xludf.DUMMYFUNCTION("IFERROR(SUMPRODUCT(FILTER(RC_IN[ASTM],RC_IN[BLOCK]=I15,RC_IN[BLOCK LOC]=I14),FILTER(RC_IN[WT],RC_IN[BLOCK]=I15,RC_IN[BLOCK LOC]=I14))/SUM(FILTER(RC_IN[WT],RC_IN[BLOCK]=I15,RC_IN[BLOCK LOC]=I14)),"""")
"),0.5766038156245648)</f>
        <v>0.5766038156</v>
      </c>
      <c r="J17" s="35">
        <f>IFERROR(__xludf.DUMMYFUNCTION("IFERROR(SUMPRODUCT(FILTER(RC_IN[ASTM],RC_IN[BLOCK]=J15,RC_IN[BLOCK LOC]=J14),FILTER(RC_IN[WT],RC_IN[BLOCK]=J15,RC_IN[BLOCK LOC]=J14))/SUM(FILTER(RC_IN[WT],RC_IN[BLOCK]=J15,RC_IN[BLOCK LOC]=J14)),"""")
"),0.5772517819857441)</f>
        <v>0.577251782</v>
      </c>
      <c r="K17" s="35" t="str">
        <f>IFERROR(__xludf.DUMMYFUNCTION("IFERROR(SUMPRODUCT(FILTER(RC_IN[ASTM],RC_IN[BLOCK]=K15,RC_IN[BLOCK LOC]=K14),FILTER(RC_IN[WT],RC_IN[BLOCK]=K15,RC_IN[BLOCK LOC]=K14))/SUM(FILTER(RC_IN[WT],RC_IN[BLOCK]=K15,RC_IN[BLOCK LOC]=K14)),"""")
"),"  ")</f>
        <v/>
      </c>
      <c r="L17" s="35" t="str">
        <f>IFERROR(__xludf.DUMMYFUNCTION("IFERROR(SUMPRODUCT(FILTER(RC_IN[ASTM],RC_IN[BLOCK]=L15,RC_IN[BLOCK LOC]=L14),FILTER(RC_IN[WT],RC_IN[BLOCK]=L15,RC_IN[BLOCK LOC]=L14))/SUM(FILTER(RC_IN[WT],RC_IN[BLOCK]=L15,RC_IN[BLOCK LOC]=L14)),"""")
"),"  ")</f>
        <v/>
      </c>
      <c r="M17" s="35">
        <f>IFERROR(__xludf.DUMMYFUNCTION("IFERROR(SUMPRODUCT(FILTER(RC_IN[ASTM],RC_IN[BLOCK]=M15,RC_IN[BLOCK LOC]=M14),FILTER(RC_IN[WT],RC_IN[BLOCK]=M15,RC_IN[BLOCK LOC]=M14))/SUM(FILTER(RC_IN[WT],RC_IN[BLOCK]=M15,RC_IN[BLOCK LOC]=M14)),"""")
"),0.5572098501070664)</f>
        <v>0.5572098501</v>
      </c>
      <c r="N17" s="35">
        <f>IFERROR(__xludf.DUMMYFUNCTION("IFERROR(SUMPRODUCT(FILTER(RC_IN[ASTM],RC_IN[BLOCK]=N15,RC_IN[BLOCK LOC]=N14),FILTER(RC_IN[WT],RC_IN[BLOCK]=N15,RC_IN[BLOCK LOC]=N14))/SUM(FILTER(RC_IN[WT],RC_IN[BLOCK]=N15,RC_IN[BLOCK LOC]=N14)),"""")
"),0.5650205864478881)</f>
        <v>0.5650205864</v>
      </c>
      <c r="O17" s="35">
        <f>IFERROR(__xludf.DUMMYFUNCTION("IFERROR(SUMPRODUCT(FILTER(RC_IN[ASTM],RC_IN[BLOCK]=O15,RC_IN[BLOCK LOC]=O14),FILTER(RC_IN[WT],RC_IN[BLOCK]=O15,RC_IN[BLOCK LOC]=O14))/SUM(FILTER(RC_IN[WT],RC_IN[BLOCK]=O15,RC_IN[BLOCK LOC]=O14)),"""")
"),0.5657561332250203)</f>
        <v>0.5657561332</v>
      </c>
      <c r="P17" s="35" t="str">
        <f>IFERROR(__xludf.DUMMYFUNCTION("IFERROR(SUMPRODUCT(FILTER(RC_IN[ASTM],RC_IN[BLOCK]=P15,RC_IN[BLOCK LOC]=P14),FILTER(RC_IN[WT],RC_IN[BLOCK]=P15,RC_IN[BLOCK LOC]=P14))/SUM(FILTER(RC_IN[WT],RC_IN[BLOCK]=P15,RC_IN[BLOCK LOC]=P14)),"""")
"),"  ")</f>
        <v/>
      </c>
      <c r="Q17" s="35" t="str">
        <f>IFERROR(__xludf.DUMMYFUNCTION("IFERROR(SUMPRODUCT(FILTER(RC_IN[ASTM],RC_IN[BLOCK]=Q15,RC_IN[BLOCK LOC]=Q14),FILTER(RC_IN[WT],RC_IN[BLOCK]=Q15,RC_IN[BLOCK LOC]=Q14))/SUM(FILTER(RC_IN[WT],RC_IN[BLOCK]=Q15,RC_IN[BLOCK LOC]=Q14)),"""")
"),"  ")</f>
        <v/>
      </c>
      <c r="R17" s="35" t="str">
        <f>IFERROR(__xludf.DUMMYFUNCTION("IFERROR(SUMPRODUCT(FILTER(RC_IN[ASTM],RC_IN[BLOCK]=R15,RC_IN[BLOCK LOC]=R14),FILTER(RC_IN[WT],RC_IN[BLOCK]=R15,RC_IN[BLOCK LOC]=R14))/SUM(FILTER(RC_IN[WT],RC_IN[BLOCK]=R15,RC_IN[BLOCK LOC]=R14)),"""")
"),"  ")</f>
        <v/>
      </c>
      <c r="S17" s="35">
        <f>IFERROR(__xludf.DUMMYFUNCTION("IFERROR(SUMPRODUCT(FILTER(RC_IN[ASTM],RC_IN[BLOCK]=S15,RC_IN[BLOCK LOC]=S14),FILTER(RC_IN[WT],RC_IN[BLOCK]=S15,RC_IN[BLOCK LOC]=S14))/SUM(FILTER(RC_IN[WT],RC_IN[BLOCK]=S15,RC_IN[BLOCK LOC]=S14)),"""")
"),0.5746302015905308)</f>
        <v>0.5746302016</v>
      </c>
      <c r="T17" s="35">
        <f>IFERROR(__xludf.DUMMYFUNCTION("IFERROR(SUMPRODUCT(FILTER(RC_IN[ASTM],RC_IN[BLOCK]=T15,RC_IN[BLOCK LOC]=T14),FILTER(RC_IN[WT],RC_IN[BLOCK]=T15,RC_IN[BLOCK LOC]=T14))/SUM(FILTER(RC_IN[WT],RC_IN[BLOCK]=T15,RC_IN[BLOCK LOC]=T14)),"""")
"),0.5747128185977033)</f>
        <v>0.5747128186</v>
      </c>
      <c r="U17" s="35">
        <f>IFERROR(__xludf.DUMMYFUNCTION("IFERROR(SUMPRODUCT(FILTER(RC_IN[ASTM],RC_IN[BLOCK]=U15,RC_IN[BLOCK LOC]=U14),FILTER(RC_IN[WT],RC_IN[BLOCK]=U15,RC_IN[BLOCK LOC]=U14))/SUM(FILTER(RC_IN[WT],RC_IN[BLOCK]=U15,RC_IN[BLOCK LOC]=U14)),"""")
"),0.5760257664096295)</f>
        <v>0.5760257664</v>
      </c>
      <c r="V17" s="35">
        <f>IFERROR(__xludf.DUMMYFUNCTION("IFERROR(SUMPRODUCT(FILTER(RC_IN[ASTM],RC_IN[BLOCK]=V15,RC_IN[BLOCK LOC]=V14),FILTER(RC_IN[WT],RC_IN[BLOCK]=V15,RC_IN[BLOCK LOC]=V14))/SUM(FILTER(RC_IN[WT],RC_IN[BLOCK]=V15,RC_IN[BLOCK LOC]=V14)),"""")
"),0.5769811582155722)</f>
        <v>0.5769811582</v>
      </c>
      <c r="W17" s="35" t="str">
        <f>IFERROR(__xludf.DUMMYFUNCTION("IFERROR(SUMPRODUCT(FILTER(RC_IN[ASTM],RC_IN[BLOCK]=W15,RC_IN[BLOCK LOC]=W14),FILTER(RC_IN[WT],RC_IN[BLOCK]=W15,RC_IN[BLOCK LOC]=W14))/SUM(FILTER(RC_IN[WT],RC_IN[BLOCK]=W15,RC_IN[BLOCK LOC]=W14)),"""")
"),"  ")</f>
        <v/>
      </c>
      <c r="X17" s="35" t="str">
        <f>IFERROR(__xludf.DUMMYFUNCTION("IFERROR(SUMPRODUCT(FILTER(RC_IN[ASTM],RC_IN[BLOCK]=X15,RC_IN[BLOCK LOC]=X14),FILTER(RC_IN[WT],RC_IN[BLOCK]=X15,RC_IN[BLOCK LOC]=X14))/SUM(FILTER(RC_IN[WT],RC_IN[BLOCK]=X15,RC_IN[BLOCK LOC]=X14)),"""")
"),"  ")</f>
        <v/>
      </c>
      <c r="Y17" s="35" t="str">
        <f>IFERROR(__xludf.DUMMYFUNCTION("IFERROR(SUMPRODUCT(FILTER(RC_IN[ASTM],RC_IN[BLOCK]=Y15,RC_IN[BLOCK LOC]=Y14),FILTER(RC_IN[WT],RC_IN[BLOCK]=Y15,RC_IN[BLOCK LOC]=Y14))/SUM(FILTER(RC_IN[WT],RC_IN[BLOCK]=Y15,RC_IN[BLOCK LOC]=Y14)),"""")
"),"  ")</f>
        <v/>
      </c>
      <c r="Z17" s="35">
        <f>IFERROR(__xludf.DUMMYFUNCTION("IFERROR(SUMPRODUCT(FILTER(RC_IN[ASTM],RC_IN[BLOCK]=Z15,RC_IN[BLOCK LOC]=Z14),FILTER(RC_IN[WT],RC_IN[BLOCK]=Z15,RC_IN[BLOCK LOC]=Z14))/SUM(FILTER(RC_IN[WT],RC_IN[BLOCK]=Z15,RC_IN[BLOCK LOC]=Z14)),"""")
"),0.5756497014500994)</f>
        <v>0.5756497015</v>
      </c>
      <c r="AA17" s="36">
        <f>IFERROR(__xludf.DUMMYFUNCTION("IFERROR(SUMPRODUCT(FILTER(RC_IN[ASTM],RC_IN[BLOCK]=AA15,RC_IN[BLOCK LOC]=AA14),FILTER(RC_IN[WT],RC_IN[BLOCK]=AA15,RC_IN[BLOCK LOC]=AA14))/SUM(FILTER(RC_IN[WT],RC_IN[BLOCK]=AA15,RC_IN[BLOCK LOC]=AA14)),"""")
"),0.5723871406112607)</f>
        <v>0.5723871406</v>
      </c>
      <c r="AB17" s="37"/>
      <c r="AC17" s="38"/>
      <c r="AD17" s="34" t="s">
        <v>8</v>
      </c>
      <c r="AE17" s="35" t="str">
        <f>IFERROR(__xludf.DUMMYFUNCTION("IFERROR(SUMPRODUCT(FILTER(RC_IN[ASTM],RC_IN[BLOCK]=AE15,RC_IN[BLOCK LOC]=AE14),FILTER(RC_IN[WT],RC_IN[BLOCK]=AE15,RC_IN[BLOCK LOC]=AE14))/SUM(FILTER(RC_IN[WT],RC_IN[BLOCK]=AE15,RC_IN[BLOCK LOC]=AE14)),"""")
"),"  ")</f>
        <v/>
      </c>
      <c r="AF17" s="35" t="str">
        <f>IFERROR(__xludf.DUMMYFUNCTION("IFERROR(SUMPRODUCT(FILTER(RC_IN[ASTM],RC_IN[BLOCK]=AF15,RC_IN[BLOCK LOC]=AF14),FILTER(RC_IN[WT],RC_IN[BLOCK]=AF15,RC_IN[BLOCK LOC]=AF14))/SUM(FILTER(RC_IN[WT],RC_IN[BLOCK]=AF15,RC_IN[BLOCK LOC]=AF14)),"""")
"),"  ")</f>
        <v/>
      </c>
      <c r="AG17" s="36" t="str">
        <f>IFERROR(__xludf.DUMMYFUNCTION("IFERROR(SUMPRODUCT(FILTER(RC_IN[ASTM],RC_IN[BLOCK]=AG15,RC_IN[BLOCK LOC]=AG14),FILTER(RC_IN[WT],RC_IN[BLOCK]=AG15,RC_IN[BLOCK LOC]=AG14))/SUM(FILTER(RC_IN[WT],RC_IN[BLOCK]=AG15,RC_IN[BLOCK LOC]=AG14)),"""")
"),"  ")</f>
        <v/>
      </c>
    </row>
    <row r="18" ht="11.25" customHeight="1">
      <c r="A18" s="42"/>
      <c r="B18" s="17"/>
      <c r="C18" s="32"/>
      <c r="D18" s="11"/>
      <c r="F18" s="26"/>
      <c r="G18" s="27" t="s">
        <v>9</v>
      </c>
      <c r="H18" s="40">
        <f>IFERROR(__xludf.DUMMYFUNCTION("IFERROR(SUMPRODUCT(FILTER(RC_IN[ASH],RC_IN[BLOCK]=H15,RC_IN[BLOCK LOC]=H14),FILTER(RC_IN[WT],RC_IN[BLOCK]=H15,RC_IN[BLOCK LOC]=H14))/SUM(FILTER(RC_IN[WT],RC_IN[BLOCK]=H15,RC_IN[BLOCK LOC]=H14)),"""")
"),3.2867918042731015)</f>
        <v>3.286791804</v>
      </c>
      <c r="I18" s="40">
        <f>IFERROR(__xludf.DUMMYFUNCTION("IFERROR(SUMPRODUCT(FILTER(RC_IN[ASH],RC_IN[BLOCK]=I15,RC_IN[BLOCK LOC]=I14),FILTER(RC_IN[WT],RC_IN[BLOCK]=I15,RC_IN[BLOCK LOC]=I14))/SUM(FILTER(RC_IN[WT],RC_IN[BLOCK]=I15,RC_IN[BLOCK LOC]=I14)),"""")
"),3.2378749477788613)</f>
        <v>3.237874948</v>
      </c>
      <c r="J18" s="40">
        <f>IFERROR(__xludf.DUMMYFUNCTION("IFERROR(SUMPRODUCT(FILTER(RC_IN[ASH],RC_IN[BLOCK]=J15,RC_IN[BLOCK LOC]=J14),FILTER(RC_IN[WT],RC_IN[BLOCK]=J15,RC_IN[BLOCK LOC]=J14))/SUM(FILTER(RC_IN[WT],RC_IN[BLOCK]=J15,RC_IN[BLOCK LOC]=J14)),"""")
"),3.3633033335733318)</f>
        <v>3.363303334</v>
      </c>
      <c r="K18" s="40" t="str">
        <f>IFERROR(__xludf.DUMMYFUNCTION("IFERROR(SUMPRODUCT(FILTER(RC_IN[ASH],RC_IN[BLOCK]=K15,RC_IN[BLOCK LOC]=K14),FILTER(RC_IN[WT],RC_IN[BLOCK]=K15,RC_IN[BLOCK LOC]=K14))/SUM(FILTER(RC_IN[WT],RC_IN[BLOCK]=K15,RC_IN[BLOCK LOC]=K14)),"""")
"),"  ")</f>
        <v/>
      </c>
      <c r="L18" s="40" t="str">
        <f>IFERROR(__xludf.DUMMYFUNCTION("IFERROR(SUMPRODUCT(FILTER(RC_IN[ASH],RC_IN[BLOCK]=L15,RC_IN[BLOCK LOC]=L14),FILTER(RC_IN[WT],RC_IN[BLOCK]=L15,RC_IN[BLOCK LOC]=L14))/SUM(FILTER(RC_IN[WT],RC_IN[BLOCK]=L15,RC_IN[BLOCK LOC]=L14)),"""")
"),"  ")</f>
        <v/>
      </c>
      <c r="M18" s="40">
        <f>IFERROR(__xludf.DUMMYFUNCTION("IFERROR(SUMPRODUCT(FILTER(RC_IN[ASH],RC_IN[BLOCK]=M15,RC_IN[BLOCK LOC]=M14),FILTER(RC_IN[WT],RC_IN[BLOCK]=M15,RC_IN[BLOCK LOC]=M14))/SUM(FILTER(RC_IN[WT],RC_IN[BLOCK]=M15,RC_IN[BLOCK LOC]=M14)),"""")
"),3.870619122986687)</f>
        <v>3.870619123</v>
      </c>
      <c r="N18" s="40">
        <f>IFERROR(__xludf.DUMMYFUNCTION("IFERROR(SUMPRODUCT(FILTER(RC_IN[ASH],RC_IN[BLOCK]=N15,RC_IN[BLOCK LOC]=N14),FILTER(RC_IN[WT],RC_IN[BLOCK]=N15,RC_IN[BLOCK LOC]=N14))/SUM(FILTER(RC_IN[WT],RC_IN[BLOCK]=N15,RC_IN[BLOCK LOC]=N14)),"""")
"),3.233464752354907)</f>
        <v>3.233464752</v>
      </c>
      <c r="O18" s="40">
        <f>IFERROR(__xludf.DUMMYFUNCTION("IFERROR(SUMPRODUCT(FILTER(RC_IN[ASH],RC_IN[BLOCK]=O15,RC_IN[BLOCK LOC]=O14),FILTER(RC_IN[WT],RC_IN[BLOCK]=O15,RC_IN[BLOCK LOC]=O14))/SUM(FILTER(RC_IN[WT],RC_IN[BLOCK]=O15,RC_IN[BLOCK LOC]=O14)),"""")
"),3.605153533712429)</f>
        <v>3.605153534</v>
      </c>
      <c r="P18" s="40" t="str">
        <f>IFERROR(__xludf.DUMMYFUNCTION("IFERROR(SUMPRODUCT(FILTER(RC_IN[ASH],RC_IN[BLOCK]=P15,RC_IN[BLOCK LOC]=P14),FILTER(RC_IN[WT],RC_IN[BLOCK]=P15,RC_IN[BLOCK LOC]=P14))/SUM(FILTER(RC_IN[WT],RC_IN[BLOCK]=P15,RC_IN[BLOCK LOC]=P14)),"""")
"),"  ")</f>
        <v/>
      </c>
      <c r="Q18" s="40" t="str">
        <f>IFERROR(__xludf.DUMMYFUNCTION("IFERROR(SUMPRODUCT(FILTER(RC_IN[ASH],RC_IN[BLOCK]=Q15,RC_IN[BLOCK LOC]=Q14),FILTER(RC_IN[WT],RC_IN[BLOCK]=Q15,RC_IN[BLOCK LOC]=Q14))/SUM(FILTER(RC_IN[WT],RC_IN[BLOCK]=Q15,RC_IN[BLOCK LOC]=Q14)),"""")
"),"  ")</f>
        <v/>
      </c>
      <c r="R18" s="40" t="str">
        <f>IFERROR(__xludf.DUMMYFUNCTION("IFERROR(SUMPRODUCT(FILTER(RC_IN[ASH],RC_IN[BLOCK]=R15,RC_IN[BLOCK LOC]=R14),FILTER(RC_IN[WT],RC_IN[BLOCK]=R15,RC_IN[BLOCK LOC]=R14))/SUM(FILTER(RC_IN[WT],RC_IN[BLOCK]=R15,RC_IN[BLOCK LOC]=R14)),"""")
"),"  ")</f>
        <v/>
      </c>
      <c r="S18" s="40">
        <f>IFERROR(__xludf.DUMMYFUNCTION("IFERROR(SUMPRODUCT(FILTER(RC_IN[ASH],RC_IN[BLOCK]=S15,RC_IN[BLOCK LOC]=S14),FILTER(RC_IN[WT],RC_IN[BLOCK]=S15,RC_IN[BLOCK LOC]=S14))/SUM(FILTER(RC_IN[WT],RC_IN[BLOCK]=S15,RC_IN[BLOCK LOC]=S14)),"""")
"),1.7719086369520993)</f>
        <v>1.771908637</v>
      </c>
      <c r="T18" s="40">
        <f>IFERROR(__xludf.DUMMYFUNCTION("IFERROR(SUMPRODUCT(FILTER(RC_IN[ASH],RC_IN[BLOCK]=T15,RC_IN[BLOCK LOC]=T14),FILTER(RC_IN[WT],RC_IN[BLOCK]=T15,RC_IN[BLOCK LOC]=T14))/SUM(FILTER(RC_IN[WT],RC_IN[BLOCK]=T15,RC_IN[BLOCK LOC]=T14)),"""")
"),2.7912015684810005)</f>
        <v>2.791201568</v>
      </c>
      <c r="U18" s="40">
        <f>IFERROR(__xludf.DUMMYFUNCTION("IFERROR(SUMPRODUCT(FILTER(RC_IN[ASH],RC_IN[BLOCK]=U15,RC_IN[BLOCK LOC]=U14),FILTER(RC_IN[WT],RC_IN[BLOCK]=U15,RC_IN[BLOCK LOC]=U14))/SUM(FILTER(RC_IN[WT],RC_IN[BLOCK]=U15,RC_IN[BLOCK LOC]=U14)),"""")
"),3.01948467180741)</f>
        <v>3.019484672</v>
      </c>
      <c r="V18" s="40">
        <f>IFERROR(__xludf.DUMMYFUNCTION("IFERROR(SUMPRODUCT(FILTER(RC_IN[ASH],RC_IN[BLOCK]=V15,RC_IN[BLOCK LOC]=V14),FILTER(RC_IN[WT],RC_IN[BLOCK]=V15,RC_IN[BLOCK LOC]=V14))/SUM(FILTER(RC_IN[WT],RC_IN[BLOCK]=V15,RC_IN[BLOCK LOC]=V14)),"""")
"),3.0169308210954093)</f>
        <v>3.016930821</v>
      </c>
      <c r="W18" s="40" t="str">
        <f>IFERROR(__xludf.DUMMYFUNCTION("IFERROR(SUMPRODUCT(FILTER(RC_IN[ASH],RC_IN[BLOCK]=W15,RC_IN[BLOCK LOC]=W14),FILTER(RC_IN[WT],RC_IN[BLOCK]=W15,RC_IN[BLOCK LOC]=W14))/SUM(FILTER(RC_IN[WT],RC_IN[BLOCK]=W15,RC_IN[BLOCK LOC]=W14)),"""")
"),"  ")</f>
        <v/>
      </c>
      <c r="X18" s="40" t="str">
        <f>IFERROR(__xludf.DUMMYFUNCTION("IFERROR(SUMPRODUCT(FILTER(RC_IN[ASH],RC_IN[BLOCK]=X15,RC_IN[BLOCK LOC]=X14),FILTER(RC_IN[WT],RC_IN[BLOCK]=X15,RC_IN[BLOCK LOC]=X14))/SUM(FILTER(RC_IN[WT],RC_IN[BLOCK]=X15,RC_IN[BLOCK LOC]=X14)),"""")
"),"  ")</f>
        <v/>
      </c>
      <c r="Y18" s="40" t="str">
        <f>IFERROR(__xludf.DUMMYFUNCTION("IFERROR(SUMPRODUCT(FILTER(RC_IN[ASH],RC_IN[BLOCK]=Y15,RC_IN[BLOCK LOC]=Y14),FILTER(RC_IN[WT],RC_IN[BLOCK]=Y15,RC_IN[BLOCK LOC]=Y14))/SUM(FILTER(RC_IN[WT],RC_IN[BLOCK]=Y15,RC_IN[BLOCK LOC]=Y14)),"""")
"),"  ")</f>
        <v/>
      </c>
      <c r="Z18" s="40">
        <f>IFERROR(__xludf.DUMMYFUNCTION("IFERROR(SUMPRODUCT(FILTER(RC_IN[ASH],RC_IN[BLOCK]=Z15,RC_IN[BLOCK LOC]=Z14),FILTER(RC_IN[WT],RC_IN[BLOCK]=Z15,RC_IN[BLOCK LOC]=Z14))/SUM(FILTER(RC_IN[WT],RC_IN[BLOCK]=Z15,RC_IN[BLOCK LOC]=Z14)),"""")
"),3.0056121965419664)</f>
        <v>3.005612197</v>
      </c>
      <c r="AA18" s="41">
        <f>IFERROR(__xludf.DUMMYFUNCTION("IFERROR(SUMPRODUCT(FILTER(RC_IN[ASH],RC_IN[BLOCK]=AA15,RC_IN[BLOCK LOC]=AA14),FILTER(RC_IN[WT],RC_IN[BLOCK]=AA15,RC_IN[BLOCK LOC]=AA14))/SUM(FILTER(RC_IN[WT],RC_IN[BLOCK]=AA15,RC_IN[BLOCK LOC]=AA14)),"""")
"),3.2004681712808765)</f>
        <v>3.200468171</v>
      </c>
      <c r="AB18" s="15"/>
      <c r="AC18" s="23"/>
      <c r="AD18" s="27" t="s">
        <v>9</v>
      </c>
      <c r="AE18" s="40" t="str">
        <f>IFERROR(__xludf.DUMMYFUNCTION("IFERROR(SUMPRODUCT(FILTER(RC_IN[ASH],RC_IN[BLOCK]=AE15,RC_IN[BLOCK LOC]=AE14),FILTER(RC_IN[WT],RC_IN[BLOCK]=AE15,RC_IN[BLOCK LOC]=AE14))/SUM(FILTER(RC_IN[WT],RC_IN[BLOCK]=AE15,RC_IN[BLOCK LOC]=AE14)),"""")
"),"  ")</f>
        <v/>
      </c>
      <c r="AF18" s="40" t="str">
        <f>IFERROR(__xludf.DUMMYFUNCTION("IFERROR(SUMPRODUCT(FILTER(RC_IN[ASH],RC_IN[BLOCK]=AF15,RC_IN[BLOCK LOC]=AF14),FILTER(RC_IN[WT],RC_IN[BLOCK]=AF15,RC_IN[BLOCK LOC]=AF14))/SUM(FILTER(RC_IN[WT],RC_IN[BLOCK]=AF15,RC_IN[BLOCK LOC]=AF14)),"""")
"),"  ")</f>
        <v/>
      </c>
      <c r="AG18" s="41" t="str">
        <f>IFERROR(__xludf.DUMMYFUNCTION("IFERROR(SUMPRODUCT(FILTER(RC_IN[ASH],RC_IN[BLOCK]=AG15,RC_IN[BLOCK LOC]=AG14),FILTER(RC_IN[WT],RC_IN[BLOCK]=AG15,RC_IN[BLOCK LOC]=AG14))/SUM(FILTER(RC_IN[WT],RC_IN[BLOCK]=AG15,RC_IN[BLOCK LOC]=AG14)),"""")
"),"  ")</f>
        <v/>
      </c>
    </row>
    <row r="19" ht="11.25" customHeight="1">
      <c r="A19" s="9"/>
      <c r="B19" s="9"/>
      <c r="C19" s="50">
        <f>sum(C4:C17)</f>
        <v>3034880</v>
      </c>
      <c r="D19" s="10"/>
      <c r="F19" s="43"/>
      <c r="G19" s="44" t="s">
        <v>10</v>
      </c>
      <c r="H19" s="45">
        <f>IFERROR(__xludf.DUMMYFUNCTION("IFERROR(SUMPRODUCT(FILTER(RC_IN[MC],RC_IN[BLOCK]=H15,RC_IN[BLOCK LOC]=H14),FILTER(RC_IN[WT],RC_IN[BLOCK]=H15,RC_IN[BLOCK LOC]=H14)) / SUM(FILTER(RC_IN[WT],RC_IN[BLOCK]=H15,RC_IN[BLOCK LOC]=H14)),"""")
"),11.053391521197009)</f>
        <v>11.05339152</v>
      </c>
      <c r="I19" s="45">
        <f>IFERROR(__xludf.DUMMYFUNCTION("IFERROR(SUMPRODUCT(FILTER(RC_IN[MC],RC_IN[BLOCK]=I15,RC_IN[BLOCK LOC]=I14),FILTER(RC_IN[WT],RC_IN[BLOCK]=I15,RC_IN[BLOCK LOC]=I14)) / SUM(FILTER(RC_IN[WT],RC_IN[BLOCK]=I15,RC_IN[BLOCK LOC]=I14)),"""")
"),11.6)</f>
        <v>11.6</v>
      </c>
      <c r="J19" s="45">
        <f>IFERROR(__xludf.DUMMYFUNCTION("IFERROR(SUMPRODUCT(FILTER(RC_IN[MC],RC_IN[BLOCK]=J15,RC_IN[BLOCK LOC]=J14),FILTER(RC_IN[WT],RC_IN[BLOCK]=J15,RC_IN[BLOCK LOC]=J14)) / SUM(FILTER(RC_IN[WT],RC_IN[BLOCK]=J15,RC_IN[BLOCK LOC]=J14)),"""")
"),11.770354957160343)</f>
        <v>11.77035496</v>
      </c>
      <c r="K19" s="45" t="str">
        <f>IFERROR(__xludf.DUMMYFUNCTION("IFERROR(SUMPRODUCT(FILTER(RC_IN[MC],RC_IN[BLOCK]=K15,RC_IN[BLOCK LOC]=K14),FILTER(RC_IN[WT],RC_IN[BLOCK]=K15,RC_IN[BLOCK LOC]=K14)) / SUM(FILTER(RC_IN[WT],RC_IN[BLOCK]=K15,RC_IN[BLOCK LOC]=K14)),"""")
"),"")</f>
        <v/>
      </c>
      <c r="L19" s="45" t="str">
        <f>IFERROR(__xludf.DUMMYFUNCTION("IFERROR(SUMPRODUCT(FILTER(RC_IN[MC],RC_IN[BLOCK]=L15,RC_IN[BLOCK LOC]=L14),FILTER(RC_IN[WT],RC_IN[BLOCK]=L15,RC_IN[BLOCK LOC]=L14)) / SUM(FILTER(RC_IN[WT],RC_IN[BLOCK]=L15,RC_IN[BLOCK LOC]=L14)),"""")
"),"")</f>
        <v/>
      </c>
      <c r="M19" s="45">
        <f>IFERROR(__xludf.DUMMYFUNCTION("IFERROR(SUMPRODUCT(FILTER(RC_IN[MC],RC_IN[BLOCK]=M15,RC_IN[BLOCK LOC]=M14),FILTER(RC_IN[WT],RC_IN[BLOCK]=M15,RC_IN[BLOCK LOC]=M14)) / SUM(FILTER(RC_IN[WT],RC_IN[BLOCK]=M15,RC_IN[BLOCK LOC]=M14)),"""")
"),10.122450423610463)</f>
        <v>10.12245042</v>
      </c>
      <c r="N19" s="45">
        <f>IFERROR(__xludf.DUMMYFUNCTION("IFERROR(SUMPRODUCT(FILTER(RC_IN[MC],RC_IN[BLOCK]=N15,RC_IN[BLOCK LOC]=N14),FILTER(RC_IN[WT],RC_IN[BLOCK]=N15,RC_IN[BLOCK LOC]=N14)) / SUM(FILTER(RC_IN[WT],RC_IN[BLOCK]=N15,RC_IN[BLOCK LOC]=N14)),"""")
"),10.09546870252203)</f>
        <v>10.0954687</v>
      </c>
      <c r="O19" s="45">
        <f>IFERROR(__xludf.DUMMYFUNCTION("IFERROR(SUMPRODUCT(FILTER(RC_IN[MC],RC_IN[BLOCK]=O15,RC_IN[BLOCK LOC]=O14),FILTER(RC_IN[WT],RC_IN[BLOCK]=O15,RC_IN[BLOCK LOC]=O14)) / SUM(FILTER(RC_IN[WT],RC_IN[BLOCK]=O15,RC_IN[BLOCK LOC]=O14)),"""")
"),10.93612997562957)</f>
        <v>10.93612998</v>
      </c>
      <c r="P19" s="45" t="str">
        <f>IFERROR(__xludf.DUMMYFUNCTION("IFERROR(SUMPRODUCT(FILTER(RC_IN[MC],RC_IN[BLOCK]=P15,RC_IN[BLOCK LOC]=P14),FILTER(RC_IN[WT],RC_IN[BLOCK]=P15,RC_IN[BLOCK LOC]=P14)) / SUM(FILTER(RC_IN[WT],RC_IN[BLOCK]=P15,RC_IN[BLOCK LOC]=P14)),"""")
"),"")</f>
        <v/>
      </c>
      <c r="Q19" s="45" t="str">
        <f>IFERROR(__xludf.DUMMYFUNCTION("IFERROR(SUMPRODUCT(FILTER(RC_IN[MC],RC_IN[BLOCK]=Q15,RC_IN[BLOCK LOC]=Q14),FILTER(RC_IN[WT],RC_IN[BLOCK]=Q15,RC_IN[BLOCK LOC]=Q14)) / SUM(FILTER(RC_IN[WT],RC_IN[BLOCK]=Q15,RC_IN[BLOCK LOC]=Q14)),"""")
"),"")</f>
        <v/>
      </c>
      <c r="R19" s="45" t="str">
        <f>IFERROR(__xludf.DUMMYFUNCTION("IFERROR(SUMPRODUCT(FILTER(RC_IN[MC],RC_IN[BLOCK]=R15,RC_IN[BLOCK LOC]=R14),FILTER(RC_IN[WT],RC_IN[BLOCK]=R15,RC_IN[BLOCK LOC]=R14)) / SUM(FILTER(RC_IN[WT],RC_IN[BLOCK]=R15,RC_IN[BLOCK LOC]=R14)),"""")
"),"")</f>
        <v/>
      </c>
      <c r="S19" s="45">
        <f>IFERROR(__xludf.DUMMYFUNCTION("IFERROR(SUMPRODUCT(FILTER(RC_IN[MC],RC_IN[BLOCK]=S15,RC_IN[BLOCK LOC]=S14),FILTER(RC_IN[WT],RC_IN[BLOCK]=S15,RC_IN[BLOCK LOC]=S14)) / SUM(FILTER(RC_IN[WT],RC_IN[BLOCK]=S15,RC_IN[BLOCK LOC]=S14)),"""")
"),11.491823562049197)</f>
        <v>11.49182356</v>
      </c>
      <c r="T19" s="45">
        <f>IFERROR(__xludf.DUMMYFUNCTION("IFERROR(SUMPRODUCT(FILTER(RC_IN[MC],RC_IN[BLOCK]=T15,RC_IN[BLOCK LOC]=T14),FILTER(RC_IN[WT],RC_IN[BLOCK]=T15,RC_IN[BLOCK LOC]=T14)) / SUM(FILTER(RC_IN[WT],RC_IN[BLOCK]=T15,RC_IN[BLOCK LOC]=T14)),"""")
"),11.586056390626458)</f>
        <v>11.58605639</v>
      </c>
      <c r="U19" s="45">
        <f>IFERROR(__xludf.DUMMYFUNCTION("IFERROR(SUMPRODUCT(FILTER(RC_IN[MC],RC_IN[BLOCK]=U15,RC_IN[BLOCK LOC]=U14),FILTER(RC_IN[WT],RC_IN[BLOCK]=U15,RC_IN[BLOCK LOC]=U14)) / SUM(FILTER(RC_IN[WT],RC_IN[BLOCK]=U15,RC_IN[BLOCK LOC]=U14)),"""")
"),11.802552191085198)</f>
        <v>11.80255219</v>
      </c>
      <c r="V19" s="45">
        <f>IFERROR(__xludf.DUMMYFUNCTION("IFERROR(SUMPRODUCT(FILTER(RC_IN[MC],RC_IN[BLOCK]=V15,RC_IN[BLOCK LOC]=V14),FILTER(RC_IN[WT],RC_IN[BLOCK]=V15,RC_IN[BLOCK LOC]=V14)) / SUM(FILTER(RC_IN[WT],RC_IN[BLOCK]=V15,RC_IN[BLOCK LOC]=V14)),"""")
"),11.831037221760415)</f>
        <v>11.83103722</v>
      </c>
      <c r="W19" s="45" t="str">
        <f>IFERROR(__xludf.DUMMYFUNCTION("IFERROR(SUMPRODUCT(FILTER(RC_IN[MC],RC_IN[BLOCK]=W15,RC_IN[BLOCK LOC]=W14),FILTER(RC_IN[WT],RC_IN[BLOCK]=W15,RC_IN[BLOCK LOC]=W14)) / SUM(FILTER(RC_IN[WT],RC_IN[BLOCK]=W15,RC_IN[BLOCK LOC]=W14)),"""")
"),"")</f>
        <v/>
      </c>
      <c r="X19" s="45" t="str">
        <f>IFERROR(__xludf.DUMMYFUNCTION("IFERROR(SUMPRODUCT(FILTER(RC_IN[MC],RC_IN[BLOCK]=X15,RC_IN[BLOCK LOC]=X14),FILTER(RC_IN[WT],RC_IN[BLOCK]=X15,RC_IN[BLOCK LOC]=X14)) / SUM(FILTER(RC_IN[WT],RC_IN[BLOCK]=X15,RC_IN[BLOCK LOC]=X14)),"""")
"),"")</f>
        <v/>
      </c>
      <c r="Y19" s="45" t="str">
        <f>IFERROR(__xludf.DUMMYFUNCTION("IFERROR(SUMPRODUCT(FILTER(RC_IN[MC],RC_IN[BLOCK]=Y15,RC_IN[BLOCK LOC]=Y14),FILTER(RC_IN[WT],RC_IN[BLOCK]=Y15,RC_IN[BLOCK LOC]=Y14)) / SUM(FILTER(RC_IN[WT],RC_IN[BLOCK]=Y15,RC_IN[BLOCK LOC]=Y14)),"""")
"),"")</f>
        <v/>
      </c>
      <c r="Z19" s="45">
        <f>IFERROR(__xludf.DUMMYFUNCTION("IFERROR(SUMPRODUCT(FILTER(RC_IN[MC],RC_IN[BLOCK]=Z15,RC_IN[BLOCK LOC]=Z14),FILTER(RC_IN[WT],RC_IN[BLOCK]=Z15,RC_IN[BLOCK LOC]=Z14)) / SUM(FILTER(RC_IN[WT],RC_IN[BLOCK]=Z15,RC_IN[BLOCK LOC]=Z14)),"""")
"),12.113150141489635)</f>
        <v>12.11315014</v>
      </c>
      <c r="AA19" s="46">
        <f>IFERROR(__xludf.DUMMYFUNCTION("IFERROR(SUMPRODUCT(FILTER(RC_IN[MC],RC_IN[BLOCK]=AA15,RC_IN[BLOCK LOC]=AA14),FILTER(RC_IN[WT],RC_IN[BLOCK]=AA15,RC_IN[BLOCK LOC]=AA14)) / SUM(FILTER(RC_IN[WT],RC_IN[BLOCK]=AA15,RC_IN[BLOCK LOC]=AA14)),"""")
"),12.032532441578512)</f>
        <v>12.03253244</v>
      </c>
      <c r="AB19" s="47"/>
      <c r="AC19" s="48"/>
      <c r="AD19" s="44" t="s">
        <v>10</v>
      </c>
      <c r="AE19" s="45" t="str">
        <f>IFERROR(__xludf.DUMMYFUNCTION("IFERROR(SUMPRODUCT(FILTER(RC_IN[MC],RC_IN[BLOCK]=AE15,RC_IN[BLOCK LOC]=AE14),FILTER(RC_IN[WT],RC_IN[BLOCK]=AE15,RC_IN[BLOCK LOC]=AE14)) / SUM(FILTER(RC_IN[WT],RC_IN[BLOCK]=AE15,RC_IN[BLOCK LOC]=AE14)),"""")
"),"")</f>
        <v/>
      </c>
      <c r="AF19" s="45" t="str">
        <f>IFERROR(__xludf.DUMMYFUNCTION("IFERROR(SUMPRODUCT(FILTER(RC_IN[MC],RC_IN[BLOCK]=AF15,RC_IN[BLOCK LOC]=AF14),FILTER(RC_IN[WT],RC_IN[BLOCK]=AF15,RC_IN[BLOCK LOC]=AF14)) / SUM(FILTER(RC_IN[WT],RC_IN[BLOCK]=AF15,RC_IN[BLOCK LOC]=AF14)),"""")
"),"")</f>
        <v/>
      </c>
      <c r="AG19" s="46" t="str">
        <f>IFERROR(__xludf.DUMMYFUNCTION("IFERROR(SUMPRODUCT(FILTER(RC_IN[MC],RC_IN[BLOCK]=AG15,RC_IN[BLOCK LOC]=AG14),FILTER(RC_IN[WT],RC_IN[BLOCK]=AG15,RC_IN[BLOCK LOC]=AG14)) / SUM(FILTER(RC_IN[WT],RC_IN[BLOCK]=AG15,RC_IN[BLOCK LOC]=AG14)),"""")
"),"")</f>
        <v/>
      </c>
    </row>
    <row r="20" ht="11.25" customHeight="1">
      <c r="A20" s="1"/>
      <c r="B20" s="2"/>
      <c r="C20" s="1"/>
      <c r="D20" s="2"/>
      <c r="E20" s="2"/>
      <c r="F20" s="2"/>
      <c r="G20" s="2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15"/>
      <c r="AC20" s="23"/>
      <c r="AD20" s="52" t="s">
        <v>13</v>
      </c>
    </row>
    <row r="21" ht="11.25" customHeight="1">
      <c r="A21" s="9"/>
      <c r="B21" s="9"/>
      <c r="C21" s="10" t="str">
        <f>E21</f>
        <v>WHSE B</v>
      </c>
      <c r="D21" s="10" t="s">
        <v>11</v>
      </c>
      <c r="E21" s="11" t="str">
        <f>CONCATENATE("WHSE ",D21)</f>
        <v>WHSE B</v>
      </c>
      <c r="F21" s="4"/>
      <c r="G21" s="12" t="s">
        <v>2</v>
      </c>
      <c r="H21" s="13" t="str">
        <f t="shared" ref="H21:AA21" si="7">CONCATENATE($D21,"-",H$1,$G21)</f>
        <v>B-1A</v>
      </c>
      <c r="I21" s="13" t="str">
        <f t="shared" si="7"/>
        <v>B-2A</v>
      </c>
      <c r="J21" s="13" t="str">
        <f t="shared" si="7"/>
        <v>B-3A</v>
      </c>
      <c r="K21" s="13" t="str">
        <f t="shared" si="7"/>
        <v>B-4A</v>
      </c>
      <c r="L21" s="13" t="str">
        <f t="shared" si="7"/>
        <v>B-5A</v>
      </c>
      <c r="M21" s="13" t="str">
        <f t="shared" si="7"/>
        <v>B-6A</v>
      </c>
      <c r="N21" s="13" t="str">
        <f t="shared" si="7"/>
        <v>B-7A</v>
      </c>
      <c r="O21" s="13" t="str">
        <f t="shared" si="7"/>
        <v>B-8A</v>
      </c>
      <c r="P21" s="13" t="str">
        <f t="shared" si="7"/>
        <v>B-9A</v>
      </c>
      <c r="Q21" s="13" t="str">
        <f t="shared" si="7"/>
        <v>B-10A</v>
      </c>
      <c r="R21" s="13" t="str">
        <f t="shared" si="7"/>
        <v>B-11A</v>
      </c>
      <c r="S21" s="13" t="str">
        <f t="shared" si="7"/>
        <v>B-12A</v>
      </c>
      <c r="T21" s="13" t="str">
        <f t="shared" si="7"/>
        <v>B-13A</v>
      </c>
      <c r="U21" s="13" t="str">
        <f t="shared" si="7"/>
        <v>B-14A</v>
      </c>
      <c r="V21" s="13" t="str">
        <f t="shared" si="7"/>
        <v>B-15A</v>
      </c>
      <c r="W21" s="13" t="str">
        <f t="shared" si="7"/>
        <v>B-16A</v>
      </c>
      <c r="X21" s="13" t="str">
        <f t="shared" si="7"/>
        <v>B-17A</v>
      </c>
      <c r="Y21" s="13" t="str">
        <f t="shared" si="7"/>
        <v>B-18A</v>
      </c>
      <c r="Z21" s="13" t="str">
        <f t="shared" si="7"/>
        <v>B-19A</v>
      </c>
      <c r="AA21" s="14" t="str">
        <f t="shared" si="7"/>
        <v>B-20A</v>
      </c>
      <c r="AB21" s="15"/>
      <c r="AC21" s="6" t="s">
        <v>14</v>
      </c>
      <c r="AD21" s="12" t="s">
        <v>2</v>
      </c>
      <c r="AE21" s="13" t="str">
        <f t="shared" ref="AE21:AG21" si="8">CONCATENATE($AC21,"-",AE$1,$AD21)</f>
        <v>PCB-15A</v>
      </c>
      <c r="AF21" s="13" t="str">
        <f t="shared" si="8"/>
        <v>PCB-16A</v>
      </c>
      <c r="AG21" s="14" t="str">
        <f t="shared" si="8"/>
        <v>PCB-17A</v>
      </c>
    </row>
    <row r="22" ht="11.25" customHeight="1">
      <c r="A22" s="42"/>
      <c r="B22" s="17"/>
      <c r="C22" s="18" t="s">
        <v>5</v>
      </c>
      <c r="D22" s="11"/>
      <c r="F22" s="19" t="str">
        <f>IF(COUNTIF(G22:Z22,"ERROR")=0,"CLEAR",COUNTIF(G22:Z22,"ERROR")&amp;" ERRORS")
</f>
        <v>CLEAR</v>
      </c>
      <c r="G22" s="20" t="s">
        <v>6</v>
      </c>
      <c r="H22" s="21" t="str">
        <f>IFERROR(__xludf.DUMMYFUNCTION("IFERROR(IF(COUNTA(UNIQUE(FILTER(RC_IN[BLOCK],RC_IN[BLOCK LOC]=H21,RC_IN[STATE]&lt;&gt;""CLOSED"")))&gt;1,""ERROR"",INDEX(UNIQUE(FILTER(RC_IN[BLOCK],RC_IN[BLOCK LOC]=H21,RC_IN[STATE]&lt;&gt;""CLOSED"")),1)),"""")
"),"OCT-23-BLK1")</f>
        <v>OCT-23-BLK1</v>
      </c>
      <c r="I22" s="21" t="str">
        <f>IFERROR(__xludf.DUMMYFUNCTION("IFERROR(IF(COUNTA(UNIQUE(FILTER(RC_IN[BLOCK],RC_IN[BLOCK LOC]=I21,RC_IN[STATE]&lt;&gt;""CLOSED"")))&gt;1,""ERROR"",INDEX(UNIQUE(FILTER(RC_IN[BLOCK],RC_IN[BLOCK LOC]=I21,RC_IN[STATE]&lt;&gt;""CLOSED"")),1)),"""")
"),"OCT-23-BLK2")</f>
        <v>OCT-23-BLK2</v>
      </c>
      <c r="J22" s="21" t="str">
        <f>IFERROR(__xludf.DUMMYFUNCTION("IFERROR(IF(COUNTA(UNIQUE(FILTER(RC_IN[BLOCK],RC_IN[BLOCK LOC]=J21,RC_IN[STATE]&lt;&gt;""CLOSED"")))&gt;1,""ERROR"",INDEX(UNIQUE(FILTER(RC_IN[BLOCK],RC_IN[BLOCK LOC]=J21,RC_IN[STATE]&lt;&gt;""CLOSED"")),1)),"""")
"),"OCT-23-BLK3")</f>
        <v>OCT-23-BLK3</v>
      </c>
      <c r="K22" s="21" t="str">
        <f>IFERROR(__xludf.DUMMYFUNCTION("IFERROR(IF(COUNTA(UNIQUE(FILTER(RC_IN[BLOCK],RC_IN[BLOCK LOC]=K21,RC_IN[STATE]&lt;&gt;""CLOSED"")))&gt;1,""ERROR"",INDEX(UNIQUE(FILTER(RC_IN[BLOCK],RC_IN[BLOCK LOC]=K21,RC_IN[STATE]&lt;&gt;""CLOSED"")),1)),"""")
"),"SEPT-23-BLK4")</f>
        <v>SEPT-23-BLK4</v>
      </c>
      <c r="L22" s="21" t="str">
        <f>IFERROR(__xludf.DUMMYFUNCTION("IFERROR(IF(COUNTA(UNIQUE(FILTER(RC_IN[BLOCK],RC_IN[BLOCK LOC]=L21,RC_IN[STATE]&lt;&gt;""CLOSED"")))&gt;1,""ERROR"",INDEX(UNIQUE(FILTER(RC_IN[BLOCK],RC_IN[BLOCK LOC]=L21,RC_IN[STATE]&lt;&gt;""CLOSED"")),1)),"""")
"),"SEPT-23-BLK2")</f>
        <v>SEPT-23-BLK2</v>
      </c>
      <c r="M22" s="21" t="str">
        <f>IFERROR(__xludf.DUMMYFUNCTION("IFERROR(IF(COUNTA(UNIQUE(FILTER(RC_IN[BLOCK],RC_IN[BLOCK LOC]=M21,RC_IN[STATE]&lt;&gt;""CLOSED"")))&gt;1,""ERROR"",INDEX(UNIQUE(FILTER(RC_IN[BLOCK],RC_IN[BLOCK LOC]=M21,RC_IN[STATE]&lt;&gt;""CLOSED"")),1)),"""")
"),"")</f>
        <v/>
      </c>
      <c r="N22" s="21" t="str">
        <f>IFERROR(__xludf.DUMMYFUNCTION("IFERROR(IF(COUNTA(UNIQUE(FILTER(RC_IN[BLOCK],RC_IN[BLOCK LOC]=N21,RC_IN[STATE]&lt;&gt;""CLOSED"")))&gt;1,""ERROR"",INDEX(UNIQUE(FILTER(RC_IN[BLOCK],RC_IN[BLOCK LOC]=N21,RC_IN[STATE]&lt;&gt;""CLOSED"")),1)),"""")
"),"MAR-24-BLK4")</f>
        <v>MAR-24-BLK4</v>
      </c>
      <c r="O22" s="21" t="str">
        <f>IFERROR(__xludf.DUMMYFUNCTION("IFERROR(IF(COUNTA(UNIQUE(FILTER(RC_IN[BLOCK],RC_IN[BLOCK LOC]=O21,RC_IN[STATE]&lt;&gt;""CLOSED"")))&gt;1,""ERROR"",INDEX(UNIQUE(FILTER(RC_IN[BLOCK],RC_IN[BLOCK LOC]=O21,RC_IN[STATE]&lt;&gt;""CLOSED"")),1)),"""")
"),"APR-24-BLK3")</f>
        <v>APR-24-BLK3</v>
      </c>
      <c r="P22" s="21" t="str">
        <f>IFERROR(__xludf.DUMMYFUNCTION("IFERROR(IF(COUNTA(UNIQUE(FILTER(RC_IN[BLOCK],RC_IN[BLOCK LOC]=P21,RC_IN[STATE]&lt;&gt;""CLOSED"")))&gt;1,""ERROR"",INDEX(UNIQUE(FILTER(RC_IN[BLOCK],RC_IN[BLOCK LOC]=P21,RC_IN[STATE]&lt;&gt;""CLOSED"")),1)),"""")
"),"APR-24-BLK4")</f>
        <v>APR-24-BLK4</v>
      </c>
      <c r="Q22" s="21" t="str">
        <f>IFERROR(__xludf.DUMMYFUNCTION("IFERROR(IF(COUNTA(UNIQUE(FILTER(RC_IN[BLOCK],RC_IN[BLOCK LOC]=Q21,RC_IN[STATE]&lt;&gt;""CLOSED"")))&gt;1,""ERROR"",INDEX(UNIQUE(FILTER(RC_IN[BLOCK],RC_IN[BLOCK LOC]=Q21,RC_IN[STATE]&lt;&gt;""CLOSED"")),1)),"""")
"),"")</f>
        <v/>
      </c>
      <c r="R22" s="21" t="str">
        <f>IFERROR(__xludf.DUMMYFUNCTION("IFERROR(IF(COUNTA(UNIQUE(FILTER(RC_IN[BLOCK],RC_IN[BLOCK LOC]=R21,RC_IN[STATE]&lt;&gt;""CLOSED"")))&gt;1,""ERROR"",INDEX(UNIQUE(FILTER(RC_IN[BLOCK],RC_IN[BLOCK LOC]=R21,RC_IN[STATE]&lt;&gt;""CLOSED"")),1)),"""")
"),"MAR-24-BLK3")</f>
        <v>MAR-24-BLK3</v>
      </c>
      <c r="S22" s="21" t="str">
        <f>IFERROR(__xludf.DUMMYFUNCTION("IFERROR(IF(COUNTA(UNIQUE(FILTER(RC_IN[BLOCK],RC_IN[BLOCK LOC]=S21,RC_IN[STATE]&lt;&gt;""CLOSED"")))&gt;1,""ERROR"",INDEX(UNIQUE(FILTER(RC_IN[BLOCK],RC_IN[BLOCK LOC]=S21,RC_IN[STATE]&lt;&gt;""CLOSED"")),1)),"""")
"),"APR-24-BLK2")</f>
        <v>APR-24-BLK2</v>
      </c>
      <c r="T22" s="21" t="str">
        <f>IFERROR(__xludf.DUMMYFUNCTION("IFERROR(IF(COUNTA(UNIQUE(FILTER(RC_IN[BLOCK],RC_IN[BLOCK LOC]=T21,RC_IN[STATE]&lt;&gt;""CLOSED"")))&gt;1,""ERROR"",INDEX(UNIQUE(FILTER(RC_IN[BLOCK],RC_IN[BLOCK LOC]=T21,RC_IN[STATE]&lt;&gt;""CLOSED"")),1)),"""")
"),"MAY-24-BLK2")</f>
        <v>MAY-24-BLK2</v>
      </c>
      <c r="U22" s="21" t="str">
        <f>IFERROR(__xludf.DUMMYFUNCTION("IFERROR(IF(COUNTA(UNIQUE(FILTER(RC_IN[BLOCK],RC_IN[BLOCK LOC]=U21,RC_IN[STATE]&lt;&gt;""CLOSED"")))&gt;1,""ERROR"",INDEX(UNIQUE(FILTER(RC_IN[BLOCK],RC_IN[BLOCK LOC]=U21,RC_IN[STATE]&lt;&gt;""CLOSED"")),1)),"""")
"),"MAY-24-BLK4")</f>
        <v>MAY-24-BLK4</v>
      </c>
      <c r="V22" s="21" t="str">
        <f>IFERROR(__xludf.DUMMYFUNCTION("IFERROR(IF(COUNTA(UNIQUE(FILTER(RC_IN[BLOCK],RC_IN[BLOCK LOC]=V21,RC_IN[STATE]&lt;&gt;""CLOSED"")))&gt;1,""ERROR"",INDEX(UNIQUE(FILTER(RC_IN[BLOCK],RC_IN[BLOCK LOC]=V21,RC_IN[STATE]&lt;&gt;""CLOSED"")),1)),"""")
"),"MAY-24-BLK8")</f>
        <v>MAY-24-BLK8</v>
      </c>
      <c r="W22" s="21" t="str">
        <f>IFERROR(__xludf.DUMMYFUNCTION("IFERROR(IF(COUNTA(UNIQUE(FILTER(RC_IN[BLOCK],RC_IN[BLOCK LOC]=W21,RC_IN[STATE]&lt;&gt;""CLOSED"")))&gt;1,""ERROR"",INDEX(UNIQUE(FILTER(RC_IN[BLOCK],RC_IN[BLOCK LOC]=W21,RC_IN[STATE]&lt;&gt;""CLOSED"")),1)),"""")
"),"")</f>
        <v/>
      </c>
      <c r="X22" s="21" t="str">
        <f>IFERROR(__xludf.DUMMYFUNCTION("IFERROR(IF(COUNTA(UNIQUE(FILTER(RC_IN[BLOCK],RC_IN[BLOCK LOC]=X21,RC_IN[STATE]&lt;&gt;""CLOSED"")))&gt;1,""ERROR"",INDEX(UNIQUE(FILTER(RC_IN[BLOCK],RC_IN[BLOCK LOC]=X21,RC_IN[STATE]&lt;&gt;""CLOSED"")),1)),"""")
"),"APR-24-BLK5")</f>
        <v>APR-24-BLK5</v>
      </c>
      <c r="Y22" s="21" t="str">
        <f>IFERROR(__xludf.DUMMYFUNCTION("IFERROR(IF(COUNTA(UNIQUE(FILTER(RC_IN[BLOCK],RC_IN[BLOCK LOC]=Y21,RC_IN[STATE]&lt;&gt;""CLOSED"")))&gt;1,""ERROR"",INDEX(UNIQUE(FILTER(RC_IN[BLOCK],RC_IN[BLOCK LOC]=Y21,RC_IN[STATE]&lt;&gt;""CLOSED"")),1)),"""")
"),"MAY-24-BLK5")</f>
        <v>MAY-24-BLK5</v>
      </c>
      <c r="Z22" s="21" t="str">
        <f>IFERROR(__xludf.DUMMYFUNCTION("IFERROR(IF(COUNTA(UNIQUE(FILTER(RC_IN[BLOCK],RC_IN[BLOCK LOC]=Z21,RC_IN[STATE]&lt;&gt;""CLOSED"")))&gt;1,""ERROR"",INDEX(UNIQUE(FILTER(RC_IN[BLOCK],RC_IN[BLOCK LOC]=Z21,RC_IN[STATE]&lt;&gt;""CLOSED"")),1)),"""")
"),"AUG-24-BLK1")</f>
        <v>AUG-24-BLK1</v>
      </c>
      <c r="AA22" s="22" t="str">
        <f>IFERROR(__xludf.DUMMYFUNCTION("IFERROR(IF(COUNTA(UNIQUE(FILTER(RC_IN[BLOCK],RC_IN[BLOCK LOC]=AA21,RC_IN[STATE]&lt;&gt;""CLOSED"")))&gt;1,""ERROR"",INDEX(UNIQUE(FILTER(RC_IN[BLOCK],RC_IN[BLOCK LOC]=AA21,RC_IN[STATE]&lt;&gt;""CLOSED"")),1)),"""")
"),"AUG-24-BLK2")</f>
        <v>AUG-24-BLK2</v>
      </c>
      <c r="AB22" s="15"/>
      <c r="AC22" s="23"/>
      <c r="AD22" s="20" t="s">
        <v>6</v>
      </c>
      <c r="AE22" s="21" t="str">
        <f>IFERROR(__xludf.DUMMYFUNCTION("IFERROR(IF(COUNTA(UNIQUE(FILTER(RC_IN[BLOCK],RC_IN[BLOCK LOC]=AE21,RC_IN[STATE]&lt;&gt;""CLOSED"")))&gt;1,""ERROR"",INDEX(UNIQUE(FILTER(RC_IN[BLOCK],RC_IN[BLOCK LOC]=AE21,RC_IN[STATE]&lt;&gt;""CLOSED"")),1)),"""")
"),"")</f>
        <v/>
      </c>
      <c r="AF22" s="21" t="str">
        <f>IFERROR(__xludf.DUMMYFUNCTION("IFERROR(IF(COUNTA(UNIQUE(FILTER(RC_IN[BLOCK],RC_IN[BLOCK LOC]=AF21,RC_IN[STATE]&lt;&gt;""CLOSED"")))&gt;1,""ERROR"",INDEX(UNIQUE(FILTER(RC_IN[BLOCK],RC_IN[BLOCK LOC]=AF21,RC_IN[STATE]&lt;&gt;""CLOSED"")),1)),"""")
"),"")</f>
        <v/>
      </c>
      <c r="AG22" s="22" t="str">
        <f>IFERROR(__xludf.DUMMYFUNCTION("IFERROR(IF(COUNTA(UNIQUE(FILTER(RC_IN[BLOCK],RC_IN[BLOCK LOC]=AG21,RC_IN[STATE]&lt;&gt;""CLOSED"")))&gt;1,""ERROR"",INDEX(UNIQUE(FILTER(RC_IN[BLOCK],RC_IN[BLOCK LOC]=AG21,RC_IN[STATE]&lt;&gt;""CLOSED"")),1)),"""")
"),"")</f>
        <v/>
      </c>
    </row>
    <row r="23" ht="11.25" customHeight="1">
      <c r="A23" s="42"/>
      <c r="B23" s="17"/>
      <c r="C23" s="25">
        <f>sum(H23:AA23)</f>
        <v>1089401</v>
      </c>
      <c r="D23" s="11"/>
      <c r="F23" s="26"/>
      <c r="G23" s="27" t="s">
        <v>7</v>
      </c>
      <c r="H23" s="28">
        <f>SUMIFS(RC_IN[WT],RC_IN[BLOCK],H22,RC_IN[BLOCK LOC],H21)-SUMIFS(RC_OUT[WT],RC_OUT[BLOCK],H22,RC_OUT[BLOCK LOC],H21)</f>
        <v>70120</v>
      </c>
      <c r="I23" s="28">
        <f>SUMIFS(RC_IN[WT],RC_IN[BLOCK],I22,RC_IN[BLOCK LOC],I21)-SUMIFS(RC_OUT[WT],RC_OUT[BLOCK],I22,RC_OUT[BLOCK LOC],I21)</f>
        <v>69760</v>
      </c>
      <c r="J23" s="28">
        <f>SUMIFS(RC_IN[WT],RC_IN[BLOCK],J22,RC_IN[BLOCK LOC],J21)-SUMIFS(RC_OUT[WT],RC_OUT[BLOCK],J22,RC_OUT[BLOCK LOC],J21)</f>
        <v>59860</v>
      </c>
      <c r="K23" s="28">
        <f>SUMIFS(RC_IN[WT],RC_IN[BLOCK],K22,RC_IN[BLOCK LOC],K21)-SUMIFS(RC_OUT[WT],RC_OUT[BLOCK],K22,RC_OUT[BLOCK LOC],K21)</f>
        <v>64037</v>
      </c>
      <c r="L23" s="28">
        <f>SUMIFS(RC_IN[WT],RC_IN[BLOCK],L22,RC_IN[BLOCK LOC],L21)-SUMIFS(RC_OUT[WT],RC_OUT[BLOCK],L22,RC_OUT[BLOCK LOC],L21)</f>
        <v>70612</v>
      </c>
      <c r="M23" s="28">
        <f>SUMIFS(RC_IN[WT],RC_IN[BLOCK],M22,RC_IN[BLOCK LOC],M21)-SUMIFS(RC_OUT[WT],RC_OUT[BLOCK],M22,RC_OUT[BLOCK LOC],M21)</f>
        <v>0</v>
      </c>
      <c r="N23" s="28">
        <f>SUMIFS(RC_IN[WT],RC_IN[BLOCK],N22,RC_IN[BLOCK LOC],N21)-SUMIFS(RC_OUT[WT],RC_OUT[BLOCK],N22,RC_OUT[BLOCK LOC],N21)</f>
        <v>64175</v>
      </c>
      <c r="O23" s="28">
        <f>SUMIFS(RC_IN[WT],RC_IN[BLOCK],O22,RC_IN[BLOCK LOC],O21)-SUMIFS(RC_OUT[WT],RC_OUT[BLOCK],O22,RC_OUT[BLOCK LOC],O21)</f>
        <v>60489</v>
      </c>
      <c r="P23" s="28">
        <f>SUMIFS(RC_IN[WT],RC_IN[BLOCK],P22,RC_IN[BLOCK LOC],P21)-SUMIFS(RC_OUT[WT],RC_OUT[BLOCK],P22,RC_OUT[BLOCK LOC],P21)</f>
        <v>58202</v>
      </c>
      <c r="Q23" s="28">
        <f>SUMIFS(RC_IN[WT],RC_IN[BLOCK],Q22,RC_IN[BLOCK LOC],Q21)-SUMIFS(RC_OUT[WT],RC_OUT[BLOCK],Q22,RC_OUT[BLOCK LOC],Q21)</f>
        <v>0</v>
      </c>
      <c r="R23" s="28">
        <f>SUMIFS(RC_IN[WT],RC_IN[BLOCK],R22,RC_IN[BLOCK LOC],R21)-SUMIFS(RC_OUT[WT],RC_OUT[BLOCK],R22,RC_OUT[BLOCK LOC],R21)</f>
        <v>68101</v>
      </c>
      <c r="S23" s="28">
        <f>SUMIFS(RC_IN[WT],RC_IN[BLOCK],S22,RC_IN[BLOCK LOC],S21)-SUMIFS(RC_OUT[WT],RC_OUT[BLOCK],S22,RC_OUT[BLOCK LOC],S21)</f>
        <v>53924</v>
      </c>
      <c r="T23" s="28">
        <f>SUMIFS(RC_IN[WT],RC_IN[BLOCK],T22,RC_IN[BLOCK LOC],T21)-SUMIFS(RC_OUT[WT],RC_OUT[BLOCK],T22,RC_OUT[BLOCK LOC],T21)</f>
        <v>58131</v>
      </c>
      <c r="U23" s="28">
        <f>SUMIFS(RC_IN[WT],RC_IN[BLOCK],U22,RC_IN[BLOCK LOC],U21)-SUMIFS(RC_OUT[WT],RC_OUT[BLOCK],U22,RC_OUT[BLOCK LOC],U21)</f>
        <v>62505</v>
      </c>
      <c r="V23" s="28">
        <f>SUMIFS(RC_IN[WT],RC_IN[BLOCK],V22,RC_IN[BLOCK LOC],V21)-SUMIFS(RC_OUT[WT],RC_OUT[BLOCK],V22,RC_OUT[BLOCK LOC],V21)</f>
        <v>62355</v>
      </c>
      <c r="W23" s="28">
        <f>SUMIFS(RC_IN[WT],RC_IN[BLOCK],W22,RC_IN[BLOCK LOC],W21)-SUMIFS(RC_OUT[WT],RC_OUT[BLOCK],W22,RC_OUT[BLOCK LOC],W21)</f>
        <v>0</v>
      </c>
      <c r="X23" s="28">
        <f>SUMIFS(RC_IN[WT],RC_IN[BLOCK],X22,RC_IN[BLOCK LOC],X21)-SUMIFS(RC_OUT[WT],RC_OUT[BLOCK],X22,RC_OUT[BLOCK LOC],X21)</f>
        <v>69150</v>
      </c>
      <c r="Y23" s="28">
        <f>SUMIFS(RC_IN[WT],RC_IN[BLOCK],Y22,RC_IN[BLOCK LOC],Y21)-SUMIFS(RC_OUT[WT],RC_OUT[BLOCK],Y22,RC_OUT[BLOCK LOC],Y21)</f>
        <v>71365</v>
      </c>
      <c r="Z23" s="28">
        <f>SUMIFS(RC_IN[WT],RC_IN[BLOCK],Z22,RC_IN[BLOCK LOC],Z21)-SUMIFS(RC_OUT[WT],RC_OUT[BLOCK],Z22,RC_OUT[BLOCK LOC],Z21)</f>
        <v>54770</v>
      </c>
      <c r="AA23" s="29">
        <f>SUMIFS(RC_IN[WT],RC_IN[BLOCK],AA22,RC_IN[BLOCK LOC],AA21)-SUMIFS(RC_OUT[WT],RC_OUT[BLOCK],AA22,RC_OUT[BLOCK LOC],AA21)</f>
        <v>71845</v>
      </c>
      <c r="AB23" s="15"/>
      <c r="AC23" s="30">
        <f>sum(AE23:AG23)</f>
        <v>0</v>
      </c>
      <c r="AD23" s="27" t="s">
        <v>7</v>
      </c>
      <c r="AE23" s="28">
        <f>SUMIFS(RC_IN[WT],RC_IN[BLOCK],AE22,RC_IN[BLOCK LOC],AE21)-SUMIFS(RC_OUT[WT],RC_OUT[BLOCK],AE22,RC_OUT[BLOCK LOC],AE21)</f>
        <v>0</v>
      </c>
      <c r="AF23" s="28">
        <f>SUMIFS(RC_IN[WT],RC_IN[BLOCK],AF22,RC_IN[BLOCK LOC],AF21)-SUMIFS(RC_OUT[WT],RC_OUT[BLOCK],AF22,RC_OUT[BLOCK LOC],AF21)</f>
        <v>0</v>
      </c>
      <c r="AG23" s="29">
        <f>SUMIFS(RC_IN[WT],RC_IN[BLOCK],AG22,RC_IN[BLOCK LOC],AG21)-SUMIFS(RC_OUT[WT],RC_OUT[BLOCK],AG22,RC_OUT[BLOCK LOC],AG21)</f>
        <v>0</v>
      </c>
    </row>
    <row r="24" ht="11.25" customHeight="1">
      <c r="A24" s="42"/>
      <c r="B24" s="17"/>
      <c r="C24" s="32"/>
      <c r="D24" s="11"/>
      <c r="F24" s="33"/>
      <c r="G24" s="34" t="s">
        <v>8</v>
      </c>
      <c r="H24" s="35">
        <f>IFERROR(__xludf.DUMMYFUNCTION("IFERROR(SUMPRODUCT(FILTER(RC_IN[ASTM],RC_IN[BLOCK]=H22,RC_IN[BLOCK LOC]=H21),FILTER(RC_IN[WT],RC_IN[BLOCK]=H22,RC_IN[BLOCK LOC]=H21))/SUM(FILTER(RC_IN[WT],RC_IN[BLOCK]=H22,RC_IN[BLOCK LOC]=H21)),"""")
"),0.0)</f>
        <v>0</v>
      </c>
      <c r="I24" s="35">
        <f>IFERROR(__xludf.DUMMYFUNCTION("IFERROR(SUMPRODUCT(FILTER(RC_IN[ASTM],RC_IN[BLOCK]=I22,RC_IN[BLOCK LOC]=I21),FILTER(RC_IN[WT],RC_IN[BLOCK]=I22,RC_IN[BLOCK LOC]=I21))/SUM(FILTER(RC_IN[WT],RC_IN[BLOCK]=I22,RC_IN[BLOCK LOC]=I21)),"""")
"),0.0)</f>
        <v>0</v>
      </c>
      <c r="J24" s="35">
        <f>IFERROR(__xludf.DUMMYFUNCTION("IFERROR(SUMPRODUCT(FILTER(RC_IN[ASTM],RC_IN[BLOCK]=J22,RC_IN[BLOCK LOC]=J21),FILTER(RC_IN[WT],RC_IN[BLOCK]=J22,RC_IN[BLOCK LOC]=J21))/SUM(FILTER(RC_IN[WT],RC_IN[BLOCK]=J22,RC_IN[BLOCK LOC]=J21)),"""")
"),0.0)</f>
        <v>0</v>
      </c>
      <c r="K24" s="35">
        <f>IFERROR(__xludf.DUMMYFUNCTION("IFERROR(SUMPRODUCT(FILTER(RC_IN[ASTM],RC_IN[BLOCK]=K22,RC_IN[BLOCK LOC]=K21),FILTER(RC_IN[WT],RC_IN[BLOCK]=K22,RC_IN[BLOCK LOC]=K21))/SUM(FILTER(RC_IN[WT],RC_IN[BLOCK]=K22,RC_IN[BLOCK LOC]=K21)),"""")
"),0.0)</f>
        <v>0</v>
      </c>
      <c r="L24" s="35">
        <f>IFERROR(__xludf.DUMMYFUNCTION("IFERROR(SUMPRODUCT(FILTER(RC_IN[ASTM],RC_IN[BLOCK]=L22,RC_IN[BLOCK LOC]=L21),FILTER(RC_IN[WT],RC_IN[BLOCK]=L22,RC_IN[BLOCK LOC]=L21))/SUM(FILTER(RC_IN[WT],RC_IN[BLOCK]=L22,RC_IN[BLOCK LOC]=L21)),"""")
"),0.0)</f>
        <v>0</v>
      </c>
      <c r="M24" s="35" t="str">
        <f>IFERROR(__xludf.DUMMYFUNCTION("IFERROR(SUMPRODUCT(FILTER(RC_IN[ASTM],RC_IN[BLOCK]=M22,RC_IN[BLOCK LOC]=M21),FILTER(RC_IN[WT],RC_IN[BLOCK]=M22,RC_IN[BLOCK LOC]=M21))/SUM(FILTER(RC_IN[WT],RC_IN[BLOCK]=M22,RC_IN[BLOCK LOC]=M21)),"""")
"),"  ")</f>
        <v/>
      </c>
      <c r="N24" s="35">
        <f>IFERROR(__xludf.DUMMYFUNCTION("IFERROR(SUMPRODUCT(FILTER(RC_IN[ASTM],RC_IN[BLOCK]=N22,RC_IN[BLOCK LOC]=N21),FILTER(RC_IN[WT],RC_IN[BLOCK]=N22,RC_IN[BLOCK LOC]=N21))/SUM(FILTER(RC_IN[WT],RC_IN[BLOCK]=N22,RC_IN[BLOCK LOC]=N21)),"""")
"),1.410846513439813)</f>
        <v>1.410846513</v>
      </c>
      <c r="O24" s="35">
        <f>IFERROR(__xludf.DUMMYFUNCTION("IFERROR(SUMPRODUCT(FILTER(RC_IN[ASTM],RC_IN[BLOCK]=O22,RC_IN[BLOCK LOC]=O21),FILTER(RC_IN[WT],RC_IN[BLOCK]=O22,RC_IN[BLOCK LOC]=O21))/SUM(FILTER(RC_IN[WT],RC_IN[BLOCK]=O22,RC_IN[BLOCK LOC]=O21)),"""")
"),0.5770234588106928)</f>
        <v>0.5770234588</v>
      </c>
      <c r="P24" s="35">
        <f>IFERROR(__xludf.DUMMYFUNCTION("IFERROR(SUMPRODUCT(FILTER(RC_IN[ASTM],RC_IN[BLOCK]=P22,RC_IN[BLOCK LOC]=P21),FILTER(RC_IN[WT],RC_IN[BLOCK]=P22,RC_IN[BLOCK LOC]=P21))/SUM(FILTER(RC_IN[WT],RC_IN[BLOCK]=P22,RC_IN[BLOCK LOC]=P21)),"""")
"),0.5717008006597711)</f>
        <v>0.5717008007</v>
      </c>
      <c r="Q24" s="35" t="str">
        <f>IFERROR(__xludf.DUMMYFUNCTION("IFERROR(SUMPRODUCT(FILTER(RC_IN[ASTM],RC_IN[BLOCK]=Q22,RC_IN[BLOCK LOC]=Q21),FILTER(RC_IN[WT],RC_IN[BLOCK]=Q22,RC_IN[BLOCK LOC]=Q21))/SUM(FILTER(RC_IN[WT],RC_IN[BLOCK]=Q22,RC_IN[BLOCK LOC]=Q21)),"""")
"),"  ")</f>
        <v/>
      </c>
      <c r="R24" s="35">
        <f>IFERROR(__xludf.DUMMYFUNCTION("IFERROR(SUMPRODUCT(FILTER(RC_IN[ASTM],RC_IN[BLOCK]=R22,RC_IN[BLOCK LOC]=R21),FILTER(RC_IN[WT],RC_IN[BLOCK]=R22,RC_IN[BLOCK LOC]=R21))/SUM(FILTER(RC_IN[WT],RC_IN[BLOCK]=R22,RC_IN[BLOCK LOC]=R21)),"""")
"),0.569234357792103)</f>
        <v>0.5692343578</v>
      </c>
      <c r="S24" s="35">
        <f>IFERROR(__xludf.DUMMYFUNCTION("IFERROR(SUMPRODUCT(FILTER(RC_IN[ASTM],RC_IN[BLOCK]=S22,RC_IN[BLOCK LOC]=S21),FILTER(RC_IN[WT],RC_IN[BLOCK]=S22,RC_IN[BLOCK LOC]=S21))/SUM(FILTER(RC_IN[WT],RC_IN[BLOCK]=S22,RC_IN[BLOCK LOC]=S21)),"""")
"),0.575971589644685)</f>
        <v>0.5759715896</v>
      </c>
      <c r="T24" s="35">
        <f>IFERROR(__xludf.DUMMYFUNCTION("IFERROR(SUMPRODUCT(FILTER(RC_IN[ASTM],RC_IN[BLOCK]=T22,RC_IN[BLOCK LOC]=T21),FILTER(RC_IN[WT],RC_IN[BLOCK]=T22,RC_IN[BLOCK LOC]=T21))/SUM(FILTER(RC_IN[WT],RC_IN[BLOCK]=T22,RC_IN[BLOCK LOC]=T21)),"""")
"),0.5719050936677504)</f>
        <v>0.5719050937</v>
      </c>
      <c r="U24" s="35">
        <f>IFERROR(__xludf.DUMMYFUNCTION("IFERROR(SUMPRODUCT(FILTER(RC_IN[ASTM],RC_IN[BLOCK]=U22,RC_IN[BLOCK LOC]=U21),FILTER(RC_IN[WT],RC_IN[BLOCK]=U22,RC_IN[BLOCK LOC]=U21))/SUM(FILTER(RC_IN[WT],RC_IN[BLOCK]=U22,RC_IN[BLOCK LOC]=U21)),"""")
"),0.5702171826253899)</f>
        <v>0.5702171826</v>
      </c>
      <c r="V24" s="35">
        <f>IFERROR(__xludf.DUMMYFUNCTION("IFERROR(SUMPRODUCT(FILTER(RC_IN[ASTM],RC_IN[BLOCK]=V22,RC_IN[BLOCK LOC]=V21),FILTER(RC_IN[WT],RC_IN[BLOCK]=V22,RC_IN[BLOCK LOC]=V21))/SUM(FILTER(RC_IN[WT],RC_IN[BLOCK]=V22,RC_IN[BLOCK LOC]=V21)),"""")
"),0.569055809477989)</f>
        <v>0.5690558095</v>
      </c>
      <c r="W24" s="35" t="str">
        <f>IFERROR(__xludf.DUMMYFUNCTION("IFERROR(SUMPRODUCT(FILTER(RC_IN[ASTM],RC_IN[BLOCK]=W22,RC_IN[BLOCK LOC]=W21),FILTER(RC_IN[WT],RC_IN[BLOCK]=W22,RC_IN[BLOCK LOC]=W21))/SUM(FILTER(RC_IN[WT],RC_IN[BLOCK]=W22,RC_IN[BLOCK LOC]=W21)),"""")
"),"  ")</f>
        <v/>
      </c>
      <c r="X24" s="35">
        <f>IFERROR(__xludf.DUMMYFUNCTION("IFERROR(SUMPRODUCT(FILTER(RC_IN[ASTM],RC_IN[BLOCK]=X22,RC_IN[BLOCK LOC]=X21),FILTER(RC_IN[WT],RC_IN[BLOCK]=X22,RC_IN[BLOCK LOC]=X21))/SUM(FILTER(RC_IN[WT],RC_IN[BLOCK]=X22,RC_IN[BLOCK LOC]=X21)),"""")
"),0.5782083875632683)</f>
        <v>0.5782083876</v>
      </c>
      <c r="Y24" s="35">
        <f>IFERROR(__xludf.DUMMYFUNCTION("IFERROR(SUMPRODUCT(FILTER(RC_IN[ASTM],RC_IN[BLOCK]=Y22,RC_IN[BLOCK LOC]=Y21),FILTER(RC_IN[WT],RC_IN[BLOCK]=Y22,RC_IN[BLOCK LOC]=Y21))/SUM(FILTER(RC_IN[WT],RC_IN[BLOCK]=Y22,RC_IN[BLOCK LOC]=Y21)),"""")
"),0.5764725705878231)</f>
        <v>0.5764725706</v>
      </c>
      <c r="Z24" s="35">
        <f>IFERROR(__xludf.DUMMYFUNCTION("IFERROR(SUMPRODUCT(FILTER(RC_IN[ASTM],RC_IN[BLOCK]=Z22,RC_IN[BLOCK LOC]=Z21),FILTER(RC_IN[WT],RC_IN[BLOCK]=Z22,RC_IN[BLOCK LOC]=Z21))/SUM(FILTER(RC_IN[WT],RC_IN[BLOCK]=Z22,RC_IN[BLOCK LOC]=Z21)),"""")
"),0.578)</f>
        <v>0.578</v>
      </c>
      <c r="AA24" s="36">
        <f>IFERROR(__xludf.DUMMYFUNCTION("IFERROR(SUMPRODUCT(FILTER(RC_IN[ASTM],RC_IN[BLOCK]=AA22,RC_IN[BLOCK LOC]=AA21),FILTER(RC_IN[WT],RC_IN[BLOCK]=AA22,RC_IN[BLOCK LOC]=AA21))/SUM(FILTER(RC_IN[WT],RC_IN[BLOCK]=AA22,RC_IN[BLOCK LOC]=AA21)),"""")
"),0.5757566288537824)</f>
        <v>0.5757566289</v>
      </c>
      <c r="AB24" s="37"/>
      <c r="AC24" s="38"/>
      <c r="AD24" s="34" t="s">
        <v>8</v>
      </c>
      <c r="AE24" s="35" t="str">
        <f>IFERROR(__xludf.DUMMYFUNCTION("IFERROR(SUMPRODUCT(FILTER(RC_IN[ASTM],RC_IN[BLOCK]=AE22,RC_IN[BLOCK LOC]=AE21),FILTER(RC_IN[WT],RC_IN[BLOCK]=AE22,RC_IN[BLOCK LOC]=AE21))/SUM(FILTER(RC_IN[WT],RC_IN[BLOCK]=AE22,RC_IN[BLOCK LOC]=AE21)),"""")
"),"  ")</f>
        <v/>
      </c>
      <c r="AF24" s="35" t="str">
        <f>IFERROR(__xludf.DUMMYFUNCTION("IFERROR(SUMPRODUCT(FILTER(RC_IN[ASTM],RC_IN[BLOCK]=AF22,RC_IN[BLOCK LOC]=AF21),FILTER(RC_IN[WT],RC_IN[BLOCK]=AF22,RC_IN[BLOCK LOC]=AF21))/SUM(FILTER(RC_IN[WT],RC_IN[BLOCK]=AF22,RC_IN[BLOCK LOC]=AF21)),"""")
"),"  ")</f>
        <v/>
      </c>
      <c r="AG24" s="36" t="str">
        <f>IFERROR(__xludf.DUMMYFUNCTION("IFERROR(SUMPRODUCT(FILTER(RC_IN[ASTM],RC_IN[BLOCK]=AG22,RC_IN[BLOCK LOC]=AG21),FILTER(RC_IN[WT],RC_IN[BLOCK]=AG22,RC_IN[BLOCK LOC]=AG21))/SUM(FILTER(RC_IN[WT],RC_IN[BLOCK]=AG22,RC_IN[BLOCK LOC]=AG21)),"""")
"),"  ")</f>
        <v/>
      </c>
    </row>
    <row r="25" ht="11.25" customHeight="1">
      <c r="A25" s="42"/>
      <c r="B25" s="17"/>
      <c r="C25" s="32"/>
      <c r="D25" s="11"/>
      <c r="F25" s="26"/>
      <c r="G25" s="27" t="s">
        <v>9</v>
      </c>
      <c r="H25" s="40">
        <f>IFERROR(__xludf.DUMMYFUNCTION("IFERROR(SUMPRODUCT(FILTER(RC_IN[ASH],RC_IN[BLOCK]=H22,RC_IN[BLOCK LOC]=H21),FILTER(RC_IN[WT],RC_IN[BLOCK]=H22,RC_IN[BLOCK LOC]=H21))/SUM(FILTER(RC_IN[WT],RC_IN[BLOCK]=H22,RC_IN[BLOCK LOC]=H21)),"""")
"),0.0)</f>
        <v>0</v>
      </c>
      <c r="I25" s="40">
        <f>IFERROR(__xludf.DUMMYFUNCTION("IFERROR(SUMPRODUCT(FILTER(RC_IN[ASH],RC_IN[BLOCK]=I22,RC_IN[BLOCK LOC]=I21),FILTER(RC_IN[WT],RC_IN[BLOCK]=I22,RC_IN[BLOCK LOC]=I21))/SUM(FILTER(RC_IN[WT],RC_IN[BLOCK]=I22,RC_IN[BLOCK LOC]=I21)),"""")
"),0.0)</f>
        <v>0</v>
      </c>
      <c r="J25" s="40">
        <f>IFERROR(__xludf.DUMMYFUNCTION("IFERROR(SUMPRODUCT(FILTER(RC_IN[ASH],RC_IN[BLOCK]=J22,RC_IN[BLOCK LOC]=J21),FILTER(RC_IN[WT],RC_IN[BLOCK]=J22,RC_IN[BLOCK LOC]=J21))/SUM(FILTER(RC_IN[WT],RC_IN[BLOCK]=J22,RC_IN[BLOCK LOC]=J21)),"""")
"),0.0)</f>
        <v>0</v>
      </c>
      <c r="K25" s="40">
        <f>IFERROR(__xludf.DUMMYFUNCTION("IFERROR(SUMPRODUCT(FILTER(RC_IN[ASH],RC_IN[BLOCK]=K22,RC_IN[BLOCK LOC]=K21),FILTER(RC_IN[WT],RC_IN[BLOCK]=K22,RC_IN[BLOCK LOC]=K21))/SUM(FILTER(RC_IN[WT],RC_IN[BLOCK]=K22,RC_IN[BLOCK LOC]=K21)),"""")
"),0.0)</f>
        <v>0</v>
      </c>
      <c r="L25" s="40">
        <f>IFERROR(__xludf.DUMMYFUNCTION("IFERROR(SUMPRODUCT(FILTER(RC_IN[ASH],RC_IN[BLOCK]=L22,RC_IN[BLOCK LOC]=L21),FILTER(RC_IN[WT],RC_IN[BLOCK]=L22,RC_IN[BLOCK LOC]=L21))/SUM(FILTER(RC_IN[WT],RC_IN[BLOCK]=L22,RC_IN[BLOCK LOC]=L21)),"""")
"),0.0)</f>
        <v>0</v>
      </c>
      <c r="M25" s="40" t="str">
        <f>IFERROR(__xludf.DUMMYFUNCTION("IFERROR(SUMPRODUCT(FILTER(RC_IN[ASH],RC_IN[BLOCK]=M22,RC_IN[BLOCK LOC]=M21),FILTER(RC_IN[WT],RC_IN[BLOCK]=M22,RC_IN[BLOCK LOC]=M21))/SUM(FILTER(RC_IN[WT],RC_IN[BLOCK]=M22,RC_IN[BLOCK LOC]=M21)),"""")
"),"  ")</f>
        <v/>
      </c>
      <c r="N25" s="40">
        <f>IFERROR(__xludf.DUMMYFUNCTION("IFERROR(SUMPRODUCT(FILTER(RC_IN[ASH],RC_IN[BLOCK]=N22,RC_IN[BLOCK LOC]=N21),FILTER(RC_IN[WT],RC_IN[BLOCK]=N22,RC_IN[BLOCK LOC]=N21))/SUM(FILTER(RC_IN[WT],RC_IN[BLOCK]=N22,RC_IN[BLOCK LOC]=N21)),"""")
"),4.429709388391117)</f>
        <v>4.429709388</v>
      </c>
      <c r="O25" s="40">
        <f>IFERROR(__xludf.DUMMYFUNCTION("IFERROR(SUMPRODUCT(FILTER(RC_IN[ASH],RC_IN[BLOCK]=O22,RC_IN[BLOCK LOC]=O21),FILTER(RC_IN[WT],RC_IN[BLOCK]=O22,RC_IN[BLOCK LOC]=O21))/SUM(FILTER(RC_IN[WT],RC_IN[BLOCK]=O22,RC_IN[BLOCK LOC]=O21)),"""")
"),4.7257463340442065)</f>
        <v>4.725746334</v>
      </c>
      <c r="P25" s="40">
        <f>IFERROR(__xludf.DUMMYFUNCTION("IFERROR(SUMPRODUCT(FILTER(RC_IN[ASH],RC_IN[BLOCK]=P22,RC_IN[BLOCK LOC]=P21),FILTER(RC_IN[WT],RC_IN[BLOCK]=P22,RC_IN[BLOCK LOC]=P21))/SUM(FILTER(RC_IN[WT],RC_IN[BLOCK]=P22,RC_IN[BLOCK LOC]=P21)),"""")
"),4.0433519466684995)</f>
        <v>4.043351947</v>
      </c>
      <c r="Q25" s="40" t="str">
        <f>IFERROR(__xludf.DUMMYFUNCTION("IFERROR(SUMPRODUCT(FILTER(RC_IN[ASH],RC_IN[BLOCK]=Q22,RC_IN[BLOCK LOC]=Q21),FILTER(RC_IN[WT],RC_IN[BLOCK]=Q22,RC_IN[BLOCK LOC]=Q21))/SUM(FILTER(RC_IN[WT],RC_IN[BLOCK]=Q22,RC_IN[BLOCK LOC]=Q21)),"""")
"),"  ")</f>
        <v/>
      </c>
      <c r="R25" s="40">
        <f>IFERROR(__xludf.DUMMYFUNCTION("IFERROR(SUMPRODUCT(FILTER(RC_IN[ASH],RC_IN[BLOCK]=R22,RC_IN[BLOCK LOC]=R21),FILTER(RC_IN[WT],RC_IN[BLOCK]=R22,RC_IN[BLOCK LOC]=R21))/SUM(FILTER(RC_IN[WT],RC_IN[BLOCK]=R22,RC_IN[BLOCK LOC]=R21)),"""")
"),4.69828563457218)</f>
        <v>4.698285635</v>
      </c>
      <c r="S25" s="40">
        <f>IFERROR(__xludf.DUMMYFUNCTION("IFERROR(SUMPRODUCT(FILTER(RC_IN[ASH],RC_IN[BLOCK]=S22,RC_IN[BLOCK LOC]=S21),FILTER(RC_IN[WT],RC_IN[BLOCK]=S22,RC_IN[BLOCK LOC]=S21))/SUM(FILTER(RC_IN[WT],RC_IN[BLOCK]=S22,RC_IN[BLOCK LOC]=S21)),"""")
"),3.388331726133076)</f>
        <v>3.388331726</v>
      </c>
      <c r="T25" s="40">
        <f>IFERROR(__xludf.DUMMYFUNCTION("IFERROR(SUMPRODUCT(FILTER(RC_IN[ASH],RC_IN[BLOCK]=T22,RC_IN[BLOCK LOC]=T21),FILTER(RC_IN[WT],RC_IN[BLOCK]=T22,RC_IN[BLOCK LOC]=T21))/SUM(FILTER(RC_IN[WT],RC_IN[BLOCK]=T22,RC_IN[BLOCK LOC]=T21)),"""")
"),3.7565882231511583)</f>
        <v>3.756588223</v>
      </c>
      <c r="U25" s="40">
        <f>IFERROR(__xludf.DUMMYFUNCTION("IFERROR(SUMPRODUCT(FILTER(RC_IN[ASH],RC_IN[BLOCK]=U22,RC_IN[BLOCK LOC]=U21),FILTER(RC_IN[WT],RC_IN[BLOCK]=U22,RC_IN[BLOCK LOC]=U21))/SUM(FILTER(RC_IN[WT],RC_IN[BLOCK]=U22,RC_IN[BLOCK LOC]=U21)),"""")
"),3.0123366130709543)</f>
        <v>3.012336613</v>
      </c>
      <c r="V25" s="40">
        <f>IFERROR(__xludf.DUMMYFUNCTION("IFERROR(SUMPRODUCT(FILTER(RC_IN[ASH],RC_IN[BLOCK]=V22,RC_IN[BLOCK LOC]=V21),FILTER(RC_IN[WT],RC_IN[BLOCK]=V22,RC_IN[BLOCK LOC]=V21))/SUM(FILTER(RC_IN[WT],RC_IN[BLOCK]=V22,RC_IN[BLOCK LOC]=V21)),"""")
"),3.278232699863684)</f>
        <v>3.2782327</v>
      </c>
      <c r="W25" s="40" t="str">
        <f>IFERROR(__xludf.DUMMYFUNCTION("IFERROR(SUMPRODUCT(FILTER(RC_IN[ASH],RC_IN[BLOCK]=W22,RC_IN[BLOCK LOC]=W21),FILTER(RC_IN[WT],RC_IN[BLOCK]=W22,RC_IN[BLOCK LOC]=W21))/SUM(FILTER(RC_IN[WT],RC_IN[BLOCK]=W22,RC_IN[BLOCK LOC]=W21)),"""")
"),"  ")</f>
        <v/>
      </c>
      <c r="X25" s="40">
        <f>IFERROR(__xludf.DUMMYFUNCTION("IFERROR(SUMPRODUCT(FILTER(RC_IN[ASH],RC_IN[BLOCK]=X22,RC_IN[BLOCK LOC]=X21),FILTER(RC_IN[WT],RC_IN[BLOCK]=X22,RC_IN[BLOCK LOC]=X21))/SUM(FILTER(RC_IN[WT],RC_IN[BLOCK]=X22,RC_IN[BLOCK LOC]=X21)),"""")
"),2.9046131597975418)</f>
        <v>2.90461316</v>
      </c>
      <c r="Y25" s="40">
        <f>IFERROR(__xludf.DUMMYFUNCTION("IFERROR(SUMPRODUCT(FILTER(RC_IN[ASH],RC_IN[BLOCK]=Y22,RC_IN[BLOCK LOC]=Y21),FILTER(RC_IN[WT],RC_IN[BLOCK]=Y22,RC_IN[BLOCK LOC]=Y21))/SUM(FILTER(RC_IN[WT],RC_IN[BLOCK]=Y22,RC_IN[BLOCK LOC]=Y21)),"""")
"),2.9135731801303164)</f>
        <v>2.91357318</v>
      </c>
      <c r="Z25" s="40">
        <f>IFERROR(__xludf.DUMMYFUNCTION("IFERROR(SUMPRODUCT(FILTER(RC_IN[ASH],RC_IN[BLOCK]=Z22,RC_IN[BLOCK LOC]=Z21),FILTER(RC_IN[WT],RC_IN[BLOCK]=Z22,RC_IN[BLOCK LOC]=Z21))/SUM(FILTER(RC_IN[WT],RC_IN[BLOCK]=Z22,RC_IN[BLOCK LOC]=Z21)),"""")
"),2.1348219828373196)</f>
        <v>2.134821983</v>
      </c>
      <c r="AA25" s="41">
        <f>IFERROR(__xludf.DUMMYFUNCTION("IFERROR(SUMPRODUCT(FILTER(RC_IN[ASH],RC_IN[BLOCK]=AA22,RC_IN[BLOCK LOC]=AA21),FILTER(RC_IN[WT],RC_IN[BLOCK]=AA22,RC_IN[BLOCK LOC]=AA21))/SUM(FILTER(RC_IN[WT],RC_IN[BLOCK]=AA22,RC_IN[BLOCK LOC]=AA21)),"""")
"),2.7095392859628364)</f>
        <v>2.709539286</v>
      </c>
      <c r="AB25" s="15"/>
      <c r="AC25" s="23"/>
      <c r="AD25" s="27" t="s">
        <v>9</v>
      </c>
      <c r="AE25" s="40" t="str">
        <f>IFERROR(__xludf.DUMMYFUNCTION("IFERROR(SUMPRODUCT(FILTER(RC_IN[ASH],RC_IN[BLOCK]=AE22,RC_IN[BLOCK LOC]=AE21),FILTER(RC_IN[WT],RC_IN[BLOCK]=AE22,RC_IN[BLOCK LOC]=AE21))/SUM(FILTER(RC_IN[WT],RC_IN[BLOCK]=AE22,RC_IN[BLOCK LOC]=AE21)),"""")
"),"  ")</f>
        <v/>
      </c>
      <c r="AF25" s="40" t="str">
        <f>IFERROR(__xludf.DUMMYFUNCTION("IFERROR(SUMPRODUCT(FILTER(RC_IN[ASH],RC_IN[BLOCK]=AF22,RC_IN[BLOCK LOC]=AF21),FILTER(RC_IN[WT],RC_IN[BLOCK]=AF22,RC_IN[BLOCK LOC]=AF21))/SUM(FILTER(RC_IN[WT],RC_IN[BLOCK]=AF22,RC_IN[BLOCK LOC]=AF21)),"""")
"),"  ")</f>
        <v/>
      </c>
      <c r="AG25" s="41" t="str">
        <f>IFERROR(__xludf.DUMMYFUNCTION("IFERROR(SUMPRODUCT(FILTER(RC_IN[ASH],RC_IN[BLOCK]=AG22,RC_IN[BLOCK LOC]=AG21),FILTER(RC_IN[WT],RC_IN[BLOCK]=AG22,RC_IN[BLOCK LOC]=AG21))/SUM(FILTER(RC_IN[WT],RC_IN[BLOCK]=AG22,RC_IN[BLOCK LOC]=AG21)),"""")
"),"  ")</f>
        <v/>
      </c>
    </row>
    <row r="26" ht="11.25" customHeight="1">
      <c r="A26" s="42"/>
      <c r="B26" s="17"/>
      <c r="C26" s="32"/>
      <c r="D26" s="11"/>
      <c r="F26" s="43"/>
      <c r="G26" s="44" t="s">
        <v>10</v>
      </c>
      <c r="H26" s="45">
        <f>IFERROR(__xludf.DUMMYFUNCTION("IFERROR(SUMPRODUCT(FILTER(RC_IN[MC],RC_IN[BLOCK]=H22,RC_IN[BLOCK LOC]=H21),FILTER(RC_IN[WT],RC_IN[BLOCK]=H22,RC_IN[BLOCK LOC]=H21)) / SUM(FILTER(RC_IN[WT],RC_IN[BLOCK]=H22,RC_IN[BLOCK LOC]=H21)),"""")
"),11.5)</f>
        <v>11.5</v>
      </c>
      <c r="I26" s="45">
        <f>IFERROR(__xludf.DUMMYFUNCTION("IFERROR(SUMPRODUCT(FILTER(RC_IN[MC],RC_IN[BLOCK]=I22,RC_IN[BLOCK LOC]=I21),FILTER(RC_IN[WT],RC_IN[BLOCK]=I22,RC_IN[BLOCK LOC]=I21)) / SUM(FILTER(RC_IN[WT],RC_IN[BLOCK]=I22,RC_IN[BLOCK LOC]=I21)),"""")
"),14.4)</f>
        <v>14.4</v>
      </c>
      <c r="J26" s="45">
        <f>IFERROR(__xludf.DUMMYFUNCTION("IFERROR(SUMPRODUCT(FILTER(RC_IN[MC],RC_IN[BLOCK]=J22,RC_IN[BLOCK LOC]=J21),FILTER(RC_IN[WT],RC_IN[BLOCK]=J22,RC_IN[BLOCK LOC]=J21)) / SUM(FILTER(RC_IN[WT],RC_IN[BLOCK]=J22,RC_IN[BLOCK LOC]=J21)),"""")
"),11.6)</f>
        <v>11.6</v>
      </c>
      <c r="K26" s="45">
        <f>IFERROR(__xludf.DUMMYFUNCTION("IFERROR(SUMPRODUCT(FILTER(RC_IN[MC],RC_IN[BLOCK]=K22,RC_IN[BLOCK LOC]=K21),FILTER(RC_IN[WT],RC_IN[BLOCK]=K22,RC_IN[BLOCK LOC]=K21)) / SUM(FILTER(RC_IN[WT],RC_IN[BLOCK]=K22,RC_IN[BLOCK LOC]=K21)),"""")
"),12.0)</f>
        <v>12</v>
      </c>
      <c r="L26" s="45">
        <f>IFERROR(__xludf.DUMMYFUNCTION("IFERROR(SUMPRODUCT(FILTER(RC_IN[MC],RC_IN[BLOCK]=L22,RC_IN[BLOCK LOC]=L21),FILTER(RC_IN[WT],RC_IN[BLOCK]=L22,RC_IN[BLOCK LOC]=L21)) / SUM(FILTER(RC_IN[WT],RC_IN[BLOCK]=L22,RC_IN[BLOCK LOC]=L21)),"""")
"),12.0)</f>
        <v>12</v>
      </c>
      <c r="M26" s="45" t="str">
        <f>IFERROR(__xludf.DUMMYFUNCTION("IFERROR(SUMPRODUCT(FILTER(RC_IN[MC],RC_IN[BLOCK]=M22,RC_IN[BLOCK LOC]=M21),FILTER(RC_IN[WT],RC_IN[BLOCK]=M22,RC_IN[BLOCK LOC]=M21)) / SUM(FILTER(RC_IN[WT],RC_IN[BLOCK]=M22,RC_IN[BLOCK LOC]=M21)),"""")
"),"")</f>
        <v/>
      </c>
      <c r="N26" s="45">
        <f>IFERROR(__xludf.DUMMYFUNCTION("IFERROR(SUMPRODUCT(FILTER(RC_IN[MC],RC_IN[BLOCK]=N22,RC_IN[BLOCK LOC]=N21),FILTER(RC_IN[WT],RC_IN[BLOCK]=N22,RC_IN[BLOCK LOC]=N21)) / SUM(FILTER(RC_IN[WT],RC_IN[BLOCK]=N22,RC_IN[BLOCK LOC]=N21)),"""")
"),10.422619400077911)</f>
        <v>10.4226194</v>
      </c>
      <c r="O26" s="45">
        <f>IFERROR(__xludf.DUMMYFUNCTION("IFERROR(SUMPRODUCT(FILTER(RC_IN[MC],RC_IN[BLOCK]=O22,RC_IN[BLOCK LOC]=O21),FILTER(RC_IN[WT],RC_IN[BLOCK]=O22,RC_IN[BLOCK LOC]=O21)) / SUM(FILTER(RC_IN[WT],RC_IN[BLOCK]=O22,RC_IN[BLOCK LOC]=O21)),"""")
"),10.258761593016912)</f>
        <v>10.25876159</v>
      </c>
      <c r="P26" s="45">
        <f>IFERROR(__xludf.DUMMYFUNCTION("IFERROR(SUMPRODUCT(FILTER(RC_IN[MC],RC_IN[BLOCK]=P22,RC_IN[BLOCK LOC]=P21),FILTER(RC_IN[WT],RC_IN[BLOCK]=P22,RC_IN[BLOCK LOC]=P21)) / SUM(FILTER(RC_IN[WT],RC_IN[BLOCK]=P22,RC_IN[BLOCK LOC]=P21)),"""")
"),11.28150579017903)</f>
        <v>11.28150579</v>
      </c>
      <c r="Q26" s="45" t="str">
        <f>IFERROR(__xludf.DUMMYFUNCTION("IFERROR(SUMPRODUCT(FILTER(RC_IN[MC],RC_IN[BLOCK]=Q22,RC_IN[BLOCK LOC]=Q21),FILTER(RC_IN[WT],RC_IN[BLOCK]=Q22,RC_IN[BLOCK LOC]=Q21)) / SUM(FILTER(RC_IN[WT],RC_IN[BLOCK]=Q22,RC_IN[BLOCK LOC]=Q21)),"""")
"),"")</f>
        <v/>
      </c>
      <c r="R26" s="45">
        <f>IFERROR(__xludf.DUMMYFUNCTION("IFERROR(SUMPRODUCT(FILTER(RC_IN[MC],RC_IN[BLOCK]=R22,RC_IN[BLOCK LOC]=R21),FILTER(RC_IN[WT],RC_IN[BLOCK]=R22,RC_IN[BLOCK LOC]=R21)) / SUM(FILTER(RC_IN[WT],RC_IN[BLOCK]=R22,RC_IN[BLOCK LOC]=R21)),"""")
"),11.753734600079294)</f>
        <v>11.7537346</v>
      </c>
      <c r="S26" s="45">
        <f>IFERROR(__xludf.DUMMYFUNCTION("IFERROR(SUMPRODUCT(FILTER(RC_IN[MC],RC_IN[BLOCK]=S22,RC_IN[BLOCK LOC]=S21),FILTER(RC_IN[WT],RC_IN[BLOCK]=S22,RC_IN[BLOCK LOC]=S21)) / SUM(FILTER(RC_IN[WT],RC_IN[BLOCK]=S22,RC_IN[BLOCK LOC]=S21)),"""")
"),11.898473407017281)</f>
        <v>11.89847341</v>
      </c>
      <c r="T26" s="45">
        <f>IFERROR(__xludf.DUMMYFUNCTION("IFERROR(SUMPRODUCT(FILTER(RC_IN[MC],RC_IN[BLOCK]=T22,RC_IN[BLOCK LOC]=T21),FILTER(RC_IN[WT],RC_IN[BLOCK]=T22,RC_IN[BLOCK LOC]=T21)) / SUM(FILTER(RC_IN[WT],RC_IN[BLOCK]=T22,RC_IN[BLOCK LOC]=T21)),"""")
"),14.024101598114605)</f>
        <v>14.0241016</v>
      </c>
      <c r="U26" s="45">
        <f>IFERROR(__xludf.DUMMYFUNCTION("IFERROR(SUMPRODUCT(FILTER(RC_IN[MC],RC_IN[BLOCK]=U22,RC_IN[BLOCK LOC]=U21),FILTER(RC_IN[WT],RC_IN[BLOCK]=U22,RC_IN[BLOCK LOC]=U21)) / SUM(FILTER(RC_IN[WT],RC_IN[BLOCK]=U22,RC_IN[BLOCK LOC]=U21)),"""")
"),10.032730981521478)</f>
        <v>10.03273098</v>
      </c>
      <c r="V26" s="45">
        <f>IFERROR(__xludf.DUMMYFUNCTION("IFERROR(SUMPRODUCT(FILTER(RC_IN[MC],RC_IN[BLOCK]=V22,RC_IN[BLOCK LOC]=V21),FILTER(RC_IN[WT],RC_IN[BLOCK]=V22,RC_IN[BLOCK LOC]=V21)) / SUM(FILTER(RC_IN[WT],RC_IN[BLOCK]=V22,RC_IN[BLOCK LOC]=V21)),"""")
"),9.416841472215541)</f>
        <v>9.416841472</v>
      </c>
      <c r="W26" s="45" t="str">
        <f>IFERROR(__xludf.DUMMYFUNCTION("IFERROR(SUMPRODUCT(FILTER(RC_IN[MC],RC_IN[BLOCK]=W22,RC_IN[BLOCK LOC]=W21),FILTER(RC_IN[WT],RC_IN[BLOCK]=W22,RC_IN[BLOCK LOC]=W21)) / SUM(FILTER(RC_IN[WT],RC_IN[BLOCK]=W22,RC_IN[BLOCK LOC]=W21)),"""")
"),"")</f>
        <v/>
      </c>
      <c r="X26" s="45">
        <f>IFERROR(__xludf.DUMMYFUNCTION("IFERROR(SUMPRODUCT(FILTER(RC_IN[MC],RC_IN[BLOCK]=X22,RC_IN[BLOCK LOC]=X21),FILTER(RC_IN[WT],RC_IN[BLOCK]=X22,RC_IN[BLOCK LOC]=X21)) / SUM(FILTER(RC_IN[WT],RC_IN[BLOCK]=X22,RC_IN[BLOCK LOC]=X21)),"""")
"),9.81245697758496)</f>
        <v>9.812456978</v>
      </c>
      <c r="Y26" s="45">
        <f>IFERROR(__xludf.DUMMYFUNCTION("IFERROR(SUMPRODUCT(FILTER(RC_IN[MC],RC_IN[BLOCK]=Y22,RC_IN[BLOCK LOC]=Y21),FILTER(RC_IN[WT],RC_IN[BLOCK]=Y22,RC_IN[BLOCK LOC]=Y21)) / SUM(FILTER(RC_IN[WT],RC_IN[BLOCK]=Y22,RC_IN[BLOCK LOC]=Y21)),"""")
"),11.488948364043999)</f>
        <v>11.48894836</v>
      </c>
      <c r="Z26" s="45">
        <f>IFERROR(__xludf.DUMMYFUNCTION("IFERROR(SUMPRODUCT(FILTER(RC_IN[MC],RC_IN[BLOCK]=Z22,RC_IN[BLOCK LOC]=Z21),FILTER(RC_IN[WT],RC_IN[BLOCK]=Z22,RC_IN[BLOCK LOC]=Z21)) / SUM(FILTER(RC_IN[WT],RC_IN[BLOCK]=Z22,RC_IN[BLOCK LOC]=Z21)),"""")
"),10.179979003103888)</f>
        <v>10.179979</v>
      </c>
      <c r="AA26" s="46">
        <f>IFERROR(__xludf.DUMMYFUNCTION("IFERROR(SUMPRODUCT(FILTER(RC_IN[MC],RC_IN[BLOCK]=AA22,RC_IN[BLOCK LOC]=AA21),FILTER(RC_IN[WT],RC_IN[BLOCK]=AA22,RC_IN[BLOCK LOC]=AA21)) / SUM(FILTER(RC_IN[WT],RC_IN[BLOCK]=AA22,RC_IN[BLOCK LOC]=AA21)),"""")
"),10.858365926647645)</f>
        <v>10.85836593</v>
      </c>
      <c r="AB26" s="47"/>
      <c r="AC26" s="48"/>
      <c r="AD26" s="44" t="s">
        <v>10</v>
      </c>
      <c r="AE26" s="45" t="str">
        <f>IFERROR(__xludf.DUMMYFUNCTION("IFERROR(SUMPRODUCT(FILTER(RC_IN[MC],RC_IN[BLOCK]=AE22,RC_IN[BLOCK LOC]=AE21),FILTER(RC_IN[WT],RC_IN[BLOCK]=AE22,RC_IN[BLOCK LOC]=AE21)) / SUM(FILTER(RC_IN[WT],RC_IN[BLOCK]=AE22,RC_IN[BLOCK LOC]=AE21)),"""")
"),"")</f>
        <v/>
      </c>
      <c r="AF26" s="45" t="str">
        <f>IFERROR(__xludf.DUMMYFUNCTION("IFERROR(SUMPRODUCT(FILTER(RC_IN[MC],RC_IN[BLOCK]=AF22,RC_IN[BLOCK LOC]=AF21),FILTER(RC_IN[WT],RC_IN[BLOCK]=AF22,RC_IN[BLOCK LOC]=AF21)) / SUM(FILTER(RC_IN[WT],RC_IN[BLOCK]=AF22,RC_IN[BLOCK LOC]=AF21)),"""")
"),"")</f>
        <v/>
      </c>
      <c r="AG26" s="46" t="str">
        <f>IFERROR(__xludf.DUMMYFUNCTION("IFERROR(SUMPRODUCT(FILTER(RC_IN[MC],RC_IN[BLOCK]=AG22,RC_IN[BLOCK LOC]=AG21),FILTER(RC_IN[WT],RC_IN[BLOCK]=AG22,RC_IN[BLOCK LOC]=AG21)) / SUM(FILTER(RC_IN[WT],RC_IN[BLOCK]=AG22,RC_IN[BLOCK LOC]=AG21)),"""")
"),"")</f>
        <v/>
      </c>
    </row>
    <row r="27" ht="11.25" customHeight="1">
      <c r="A27" s="9"/>
      <c r="B27" s="9"/>
      <c r="C27" s="49"/>
      <c r="D27" s="10" t="str">
        <f>D21</f>
        <v>B</v>
      </c>
      <c r="F27" s="4"/>
      <c r="G27" s="12" t="s">
        <v>11</v>
      </c>
      <c r="H27" s="13" t="str">
        <f t="shared" ref="H27:AA27" si="9">CONCATENATE($D27,"-",H$1,$G27)</f>
        <v>B-1B</v>
      </c>
      <c r="I27" s="13" t="str">
        <f t="shared" si="9"/>
        <v>B-2B</v>
      </c>
      <c r="J27" s="13" t="str">
        <f t="shared" si="9"/>
        <v>B-3B</v>
      </c>
      <c r="K27" s="13" t="str">
        <f t="shared" si="9"/>
        <v>B-4B</v>
      </c>
      <c r="L27" s="13" t="str">
        <f t="shared" si="9"/>
        <v>B-5B</v>
      </c>
      <c r="M27" s="13" t="str">
        <f t="shared" si="9"/>
        <v>B-6B</v>
      </c>
      <c r="N27" s="13" t="str">
        <f t="shared" si="9"/>
        <v>B-7B</v>
      </c>
      <c r="O27" s="13" t="str">
        <f t="shared" si="9"/>
        <v>B-8B</v>
      </c>
      <c r="P27" s="13" t="str">
        <f t="shared" si="9"/>
        <v>B-9B</v>
      </c>
      <c r="Q27" s="13" t="str">
        <f t="shared" si="9"/>
        <v>B-10B</v>
      </c>
      <c r="R27" s="13" t="str">
        <f t="shared" si="9"/>
        <v>B-11B</v>
      </c>
      <c r="S27" s="13" t="str">
        <f t="shared" si="9"/>
        <v>B-12B</v>
      </c>
      <c r="T27" s="13" t="str">
        <f t="shared" si="9"/>
        <v>B-13B</v>
      </c>
      <c r="U27" s="13" t="str">
        <f t="shared" si="9"/>
        <v>B-14B</v>
      </c>
      <c r="V27" s="13" t="str">
        <f t="shared" si="9"/>
        <v>B-15B</v>
      </c>
      <c r="W27" s="13" t="str">
        <f t="shared" si="9"/>
        <v>B-16B</v>
      </c>
      <c r="X27" s="13" t="str">
        <f t="shared" si="9"/>
        <v>B-17B</v>
      </c>
      <c r="Y27" s="13" t="str">
        <f t="shared" si="9"/>
        <v>B-18B</v>
      </c>
      <c r="Z27" s="13" t="str">
        <f t="shared" si="9"/>
        <v>B-19B</v>
      </c>
      <c r="AA27" s="14" t="str">
        <f t="shared" si="9"/>
        <v>B-20B</v>
      </c>
      <c r="AB27" s="15"/>
      <c r="AC27" s="6" t="s">
        <v>14</v>
      </c>
      <c r="AD27" s="12" t="s">
        <v>11</v>
      </c>
      <c r="AE27" s="13" t="str">
        <f t="shared" ref="AE27:AG27" si="10">CONCATENATE($AC27,"-",AE$1,$AD27)</f>
        <v>PCB-15B</v>
      </c>
      <c r="AF27" s="13" t="str">
        <f t="shared" si="10"/>
        <v>PCB-16B</v>
      </c>
      <c r="AG27" s="14" t="str">
        <f t="shared" si="10"/>
        <v>PCB-17B</v>
      </c>
    </row>
    <row r="28" ht="11.25" customHeight="1">
      <c r="A28" s="42"/>
      <c r="B28" s="17"/>
      <c r="C28" s="32"/>
      <c r="D28" s="11"/>
      <c r="F28" s="19" t="str">
        <f>IF(COUNTIF(G28:Z28,"ERROR")=0,"CLEAR",COUNTIF(G28:Z28,"ERROR")&amp;" ERRORS")
</f>
        <v>CLEAR</v>
      </c>
      <c r="G28" s="20" t="s">
        <v>6</v>
      </c>
      <c r="H28" s="21" t="str">
        <f>IFERROR(__xludf.DUMMYFUNCTION("IFERROR(IF(COUNTA(UNIQUE(FILTER(RC_IN[BLOCK],RC_IN[BLOCK LOC]=H27,RC_IN[STATE]&lt;&gt;""CLOSED"")))&gt;1,""ERROR"",INDEX(UNIQUE(FILTER(RC_IN[BLOCK],RC_IN[BLOCK LOC]=H27,RC_IN[STATE]&lt;&gt;""CLOSED"")),1)),"""")
"),"SEPT-23-BLK1")</f>
        <v>SEPT-23-BLK1</v>
      </c>
      <c r="I28" s="21" t="str">
        <f>IFERROR(__xludf.DUMMYFUNCTION("IFERROR(IF(COUNTA(UNIQUE(FILTER(RC_IN[BLOCK],RC_IN[BLOCK LOC]=I27,RC_IN[STATE]&lt;&gt;""CLOSED"")))&gt;1,""ERROR"",INDEX(UNIQUE(FILTER(RC_IN[BLOCK],RC_IN[BLOCK LOC]=I27,RC_IN[STATE]&lt;&gt;""CLOSED"")),1)),"""")
"),"AUG-23-BLK5")</f>
        <v>AUG-23-BLK5</v>
      </c>
      <c r="J28" s="21" t="str">
        <f>IFERROR(__xludf.DUMMYFUNCTION("IFERROR(IF(COUNTA(UNIQUE(FILTER(RC_IN[BLOCK],RC_IN[BLOCK LOC]=J27,RC_IN[STATE]&lt;&gt;""CLOSED"")))&gt;1,""ERROR"",INDEX(UNIQUE(FILTER(RC_IN[BLOCK],RC_IN[BLOCK LOC]=J27,RC_IN[STATE]&lt;&gt;""CLOSED"")),1)),"""")
"),"AUG-23-BLK4")</f>
        <v>AUG-23-BLK4</v>
      </c>
      <c r="K28" s="21" t="str">
        <f>IFERROR(__xludf.DUMMYFUNCTION("IFERROR(IF(COUNTA(UNIQUE(FILTER(RC_IN[BLOCK],RC_IN[BLOCK LOC]=K27,RC_IN[STATE]&lt;&gt;""CLOSED"")))&gt;1,""ERROR"",INDEX(UNIQUE(FILTER(RC_IN[BLOCK],RC_IN[BLOCK LOC]=K27,RC_IN[STATE]&lt;&gt;""CLOSED"")),1)),"""")
"),"AUG-23-BLK3")</f>
        <v>AUG-23-BLK3</v>
      </c>
      <c r="L28" s="21" t="str">
        <f>IFERROR(__xludf.DUMMYFUNCTION("IFERROR(IF(COUNTA(UNIQUE(FILTER(RC_IN[BLOCK],RC_IN[BLOCK LOC]=L27,RC_IN[STATE]&lt;&gt;""CLOSED"")))&gt;1,""ERROR"",INDEX(UNIQUE(FILTER(RC_IN[BLOCK],RC_IN[BLOCK LOC]=L27,RC_IN[STATE]&lt;&gt;""CLOSED"")),1)),"""")
"),"AUG-23-BLK2")</f>
        <v>AUG-23-BLK2</v>
      </c>
      <c r="M28" s="21" t="str">
        <f>IFERROR(__xludf.DUMMYFUNCTION("IFERROR(IF(COUNTA(UNIQUE(FILTER(RC_IN[BLOCK],RC_IN[BLOCK LOC]=M27,RC_IN[STATE]&lt;&gt;""CLOSED"")))&gt;1,""ERROR"",INDEX(UNIQUE(FILTER(RC_IN[BLOCK],RC_IN[BLOCK LOC]=M27,RC_IN[STATE]&lt;&gt;""CLOSED"")),1)),"""")
"),"")</f>
        <v/>
      </c>
      <c r="N28" s="21" t="str">
        <f>IFERROR(__xludf.DUMMYFUNCTION("IFERROR(IF(COUNTA(UNIQUE(FILTER(RC_IN[BLOCK],RC_IN[BLOCK LOC]=N27,RC_IN[STATE]&lt;&gt;""CLOSED"")))&gt;1,""ERROR"",INDEX(UNIQUE(FILTER(RC_IN[BLOCK],RC_IN[BLOCK LOC]=N27,RC_IN[STATE]&lt;&gt;""CLOSED"")),1)),"""")
"),"JULY-23-BLK4")</f>
        <v>JULY-23-BLK4</v>
      </c>
      <c r="O28" s="21" t="str">
        <f>IFERROR(__xludf.DUMMYFUNCTION("IFERROR(IF(COUNTA(UNIQUE(FILTER(RC_IN[BLOCK],RC_IN[BLOCK LOC]=O27,RC_IN[STATE]&lt;&gt;""CLOSED"")))&gt;1,""ERROR"",INDEX(UNIQUE(FILTER(RC_IN[BLOCK],RC_IN[BLOCK LOC]=O27,RC_IN[STATE]&lt;&gt;""CLOSED"")),1)),"""")
"),"FEB-24-BLK1")</f>
        <v>FEB-24-BLK1</v>
      </c>
      <c r="P28" s="21" t="str">
        <f>IFERROR(__xludf.DUMMYFUNCTION("IFERROR(IF(COUNTA(UNIQUE(FILTER(RC_IN[BLOCK],RC_IN[BLOCK LOC]=P27,RC_IN[STATE]&lt;&gt;""CLOSED"")))&gt;1,""ERROR"",INDEX(UNIQUE(FILTER(RC_IN[BLOCK],RC_IN[BLOCK LOC]=P27,RC_IN[STATE]&lt;&gt;""CLOSED"")),1)),"""")
"),"FEB-24-BLK5")</f>
        <v>FEB-24-BLK5</v>
      </c>
      <c r="Q28" s="21" t="str">
        <f>IFERROR(__xludf.DUMMYFUNCTION("IFERROR(IF(COUNTA(UNIQUE(FILTER(RC_IN[BLOCK],RC_IN[BLOCK LOC]=Q27,RC_IN[STATE]&lt;&gt;""CLOSED"")))&gt;1,""ERROR"",INDEX(UNIQUE(FILTER(RC_IN[BLOCK],RC_IN[BLOCK LOC]=Q27,RC_IN[STATE]&lt;&gt;""CLOSED"")),1)),"""")
"),"")</f>
        <v/>
      </c>
      <c r="R28" s="21" t="str">
        <f>IFERROR(__xludf.DUMMYFUNCTION("IFERROR(IF(COUNTA(UNIQUE(FILTER(RC_IN[BLOCK],RC_IN[BLOCK LOC]=R27,RC_IN[STATE]&lt;&gt;""CLOSED"")))&gt;1,""ERROR"",INDEX(UNIQUE(FILTER(RC_IN[BLOCK],RC_IN[BLOCK LOC]=R27,RC_IN[STATE]&lt;&gt;""CLOSED"")),1)),"""")
"),"JAN-24-BLK1")</f>
        <v>JAN-24-BLK1</v>
      </c>
      <c r="S28" s="21" t="str">
        <f>IFERROR(__xludf.DUMMYFUNCTION("IFERROR(IF(COUNTA(UNIQUE(FILTER(RC_IN[BLOCK],RC_IN[BLOCK LOC]=S27,RC_IN[STATE]&lt;&gt;""CLOSED"")))&gt;1,""ERROR"",INDEX(UNIQUE(FILTER(RC_IN[BLOCK],RC_IN[BLOCK LOC]=S27,RC_IN[STATE]&lt;&gt;""CLOSED"")),1)),"""")
"),"JAN-24-BLK2")</f>
        <v>JAN-24-BLK2</v>
      </c>
      <c r="T28" s="21" t="str">
        <f>IFERROR(__xludf.DUMMYFUNCTION("IFERROR(IF(COUNTA(UNIQUE(FILTER(RC_IN[BLOCK],RC_IN[BLOCK LOC]=T27,RC_IN[STATE]&lt;&gt;""CLOSED"")))&gt;1,""ERROR"",INDEX(UNIQUE(FILTER(RC_IN[BLOCK],RC_IN[BLOCK LOC]=T27,RC_IN[STATE]&lt;&gt;""CLOSED"")),1)),"""")
"),"FEB-24-BLK2")</f>
        <v>FEB-24-BLK2</v>
      </c>
      <c r="U28" s="21" t="str">
        <f>IFERROR(__xludf.DUMMYFUNCTION("IFERROR(IF(COUNTA(UNIQUE(FILTER(RC_IN[BLOCK],RC_IN[BLOCK LOC]=U27,RC_IN[STATE]&lt;&gt;""CLOSED"")))&gt;1,""ERROR"",INDEX(UNIQUE(FILTER(RC_IN[BLOCK],RC_IN[BLOCK LOC]=U27,RC_IN[STATE]&lt;&gt;""CLOSED"")),1)),"""")
"),"MAR-24-BLK1")</f>
        <v>MAR-24-BLK1</v>
      </c>
      <c r="V28" s="21" t="str">
        <f>IFERROR(__xludf.DUMMYFUNCTION("IFERROR(IF(COUNTA(UNIQUE(FILTER(RC_IN[BLOCK],RC_IN[BLOCK LOC]=V27,RC_IN[STATE]&lt;&gt;""CLOSED"")))&gt;1,""ERROR"",INDEX(UNIQUE(FILTER(RC_IN[BLOCK],RC_IN[BLOCK LOC]=V27,RC_IN[STATE]&lt;&gt;""CLOSED"")),1)),"""")
"),"MAR-24-BLK5")</f>
        <v>MAR-24-BLK5</v>
      </c>
      <c r="W28" s="21" t="str">
        <f>IFERROR(__xludf.DUMMYFUNCTION("IFERROR(IF(COUNTA(UNIQUE(FILTER(RC_IN[BLOCK],RC_IN[BLOCK LOC]=W27,RC_IN[STATE]&lt;&gt;""CLOSED"")))&gt;1,""ERROR"",INDEX(UNIQUE(FILTER(RC_IN[BLOCK],RC_IN[BLOCK LOC]=W27,RC_IN[STATE]&lt;&gt;""CLOSED"")),1)),"""")
"),"")</f>
        <v/>
      </c>
      <c r="X28" s="21" t="str">
        <f>IFERROR(__xludf.DUMMYFUNCTION("IFERROR(IF(COUNTA(UNIQUE(FILTER(RC_IN[BLOCK],RC_IN[BLOCK LOC]=X27,RC_IN[STATE]&lt;&gt;""CLOSED"")))&gt;1,""ERROR"",INDEX(UNIQUE(FILTER(RC_IN[BLOCK],RC_IN[BLOCK LOC]=X27,RC_IN[STATE]&lt;&gt;""CLOSED"")),1)),"""")
"),"JAN-24-BLK4")</f>
        <v>JAN-24-BLK4</v>
      </c>
      <c r="Y28" s="21" t="str">
        <f>IFERROR(__xludf.DUMMYFUNCTION("IFERROR(IF(COUNTA(UNIQUE(FILTER(RC_IN[BLOCK],RC_IN[BLOCK LOC]=Y27,RC_IN[STATE]&lt;&gt;""CLOSED"")))&gt;1,""ERROR"",INDEX(UNIQUE(FILTER(RC_IN[BLOCK],RC_IN[BLOCK LOC]=Y27,RC_IN[STATE]&lt;&gt;""CLOSED"")),1)),"""")
"),"FEB-24-BLK3")</f>
        <v>FEB-24-BLK3</v>
      </c>
      <c r="Z28" s="21" t="str">
        <f>IFERROR(__xludf.DUMMYFUNCTION("IFERROR(IF(COUNTA(UNIQUE(FILTER(RC_IN[BLOCK],RC_IN[BLOCK LOC]=Z27,RC_IN[STATE]&lt;&gt;""CLOSED"")))&gt;1,""ERROR"",INDEX(UNIQUE(FILTER(RC_IN[BLOCK],RC_IN[BLOCK LOC]=Z27,RC_IN[STATE]&lt;&gt;""CLOSED"")),1)),"""")
"),"MAR-24-BLK2")</f>
        <v>MAR-24-BLK2</v>
      </c>
      <c r="AA28" s="22" t="str">
        <f>IFERROR(__xludf.DUMMYFUNCTION("IFERROR(IF(COUNTA(UNIQUE(FILTER(RC_IN[BLOCK],RC_IN[BLOCK LOC]=AA27,RC_IN[STATE]&lt;&gt;""CLOSED"")))&gt;1,""ERROR"",INDEX(UNIQUE(FILTER(RC_IN[BLOCK],RC_IN[BLOCK LOC]=AA27,RC_IN[STATE]&lt;&gt;""CLOSED"")),1)),"""")
"),"APR-24-BLK1")</f>
        <v>APR-24-BLK1</v>
      </c>
      <c r="AB28" s="15"/>
      <c r="AC28" s="23"/>
      <c r="AD28" s="20" t="s">
        <v>6</v>
      </c>
      <c r="AE28" s="21" t="str">
        <f>IFERROR(__xludf.DUMMYFUNCTION("IFERROR(IF(COUNTA(UNIQUE(FILTER(RC_IN[BLOCK],RC_IN[BLOCK LOC]=AE27,RC_IN[STATE]&lt;&gt;""CLOSED"")))&gt;1,""ERROR"",INDEX(UNIQUE(FILTER(RC_IN[BLOCK],RC_IN[BLOCK LOC]=AE27,RC_IN[STATE]&lt;&gt;""CLOSED"")),1)),"""")
"),"")</f>
        <v/>
      </c>
      <c r="AF28" s="21" t="str">
        <f>IFERROR(__xludf.DUMMYFUNCTION("IFERROR(IF(COUNTA(UNIQUE(FILTER(RC_IN[BLOCK],RC_IN[BLOCK LOC]=AF27,RC_IN[STATE]&lt;&gt;""CLOSED"")))&gt;1,""ERROR"",INDEX(UNIQUE(FILTER(RC_IN[BLOCK],RC_IN[BLOCK LOC]=AF27,RC_IN[STATE]&lt;&gt;""CLOSED"")),1)),"""")
"),"")</f>
        <v/>
      </c>
      <c r="AG28" s="22" t="str">
        <f>IFERROR(__xludf.DUMMYFUNCTION("IFERROR(IF(COUNTA(UNIQUE(FILTER(RC_IN[BLOCK],RC_IN[BLOCK LOC]=AG27,RC_IN[STATE]&lt;&gt;""CLOSED"")))&gt;1,""ERROR"",INDEX(UNIQUE(FILTER(RC_IN[BLOCK],RC_IN[BLOCK LOC]=AG27,RC_IN[STATE]&lt;&gt;""CLOSED"")),1)),"""")
"),"")</f>
        <v/>
      </c>
    </row>
    <row r="29" ht="11.25" customHeight="1">
      <c r="A29" s="42"/>
      <c r="B29" s="17"/>
      <c r="C29" s="25">
        <f>sum(H29:AA29)</f>
        <v>1235946</v>
      </c>
      <c r="D29" s="11"/>
      <c r="F29" s="26"/>
      <c r="G29" s="27" t="s">
        <v>7</v>
      </c>
      <c r="H29" s="28">
        <f>SUMIFS(RC_IN[WT],RC_IN[BLOCK],H28,RC_IN[BLOCK LOC],H27)-SUMIFS(RC_OUT[WT],RC_OUT[BLOCK],H28,RC_OUT[BLOCK LOC],H27)</f>
        <v>78467</v>
      </c>
      <c r="I29" s="28">
        <f>SUMIFS(RC_IN[WT],RC_IN[BLOCK],I28,RC_IN[BLOCK LOC],I27)-SUMIFS(RC_OUT[WT],RC_OUT[BLOCK],I28,RC_OUT[BLOCK LOC],I27)</f>
        <v>77540</v>
      </c>
      <c r="J29" s="28">
        <f>SUMIFS(RC_IN[WT],RC_IN[BLOCK],J28,RC_IN[BLOCK LOC],J27)-SUMIFS(RC_OUT[WT],RC_OUT[BLOCK],J28,RC_OUT[BLOCK LOC],J27)</f>
        <v>70805</v>
      </c>
      <c r="K29" s="28">
        <f>SUMIFS(RC_IN[WT],RC_IN[BLOCK],K28,RC_IN[BLOCK LOC],K27)-SUMIFS(RC_OUT[WT],RC_OUT[BLOCK],K28,RC_OUT[BLOCK LOC],K27)</f>
        <v>75471</v>
      </c>
      <c r="L29" s="28">
        <f>SUMIFS(RC_IN[WT],RC_IN[BLOCK],L28,RC_IN[BLOCK LOC],L27)-SUMIFS(RC_OUT[WT],RC_OUT[BLOCK],L28,RC_OUT[BLOCK LOC],L27)</f>
        <v>74833</v>
      </c>
      <c r="M29" s="28">
        <f>SUMIFS(RC_IN[WT],RC_IN[BLOCK],M28,RC_IN[BLOCK LOC],M27)-SUMIFS(RC_OUT[WT],RC_OUT[BLOCK],M28,RC_OUT[BLOCK LOC],M27)</f>
        <v>0</v>
      </c>
      <c r="N29" s="28">
        <f>SUMIFS(RC_IN[WT],RC_IN[BLOCK],N28,RC_IN[BLOCK LOC],N27)-SUMIFS(RC_OUT[WT],RC_OUT[BLOCK],N28,RC_OUT[BLOCK LOC],N27)</f>
        <v>58226</v>
      </c>
      <c r="O29" s="28">
        <f>SUMIFS(RC_IN[WT],RC_IN[BLOCK],O28,RC_IN[BLOCK LOC],O27)-SUMIFS(RC_OUT[WT],RC_OUT[BLOCK],O28,RC_OUT[BLOCK LOC],O27)</f>
        <v>64970</v>
      </c>
      <c r="P29" s="28">
        <f>SUMIFS(RC_IN[WT],RC_IN[BLOCK],P28,RC_IN[BLOCK LOC],P27)-SUMIFS(RC_OUT[WT],RC_OUT[BLOCK],P28,RC_OUT[BLOCK LOC],P27)</f>
        <v>58410</v>
      </c>
      <c r="Q29" s="28">
        <f>SUMIFS(RC_IN[WT],RC_IN[BLOCK],Q28,RC_IN[BLOCK LOC],Q27)-SUMIFS(RC_OUT[WT],RC_OUT[BLOCK],Q28,RC_OUT[BLOCK LOC],Q27)</f>
        <v>0</v>
      </c>
      <c r="R29" s="28">
        <f>SUMIFS(RC_IN[WT],RC_IN[BLOCK],R28,RC_IN[BLOCK LOC],R27)-SUMIFS(RC_OUT[WT],RC_OUT[BLOCK],R28,RC_OUT[BLOCK LOC],R27)</f>
        <v>83158</v>
      </c>
      <c r="S29" s="28">
        <f>SUMIFS(RC_IN[WT],RC_IN[BLOCK],S28,RC_IN[BLOCK LOC],S27)-SUMIFS(RC_OUT[WT],RC_OUT[BLOCK],S28,RC_OUT[BLOCK LOC],S27)</f>
        <v>73260</v>
      </c>
      <c r="T29" s="28">
        <f>SUMIFS(RC_IN[WT],RC_IN[BLOCK],T28,RC_IN[BLOCK LOC],T27)-SUMIFS(RC_OUT[WT],RC_OUT[BLOCK],T28,RC_OUT[BLOCK LOC],T27)</f>
        <v>70206</v>
      </c>
      <c r="U29" s="28">
        <f>SUMIFS(RC_IN[WT],RC_IN[BLOCK],U28,RC_IN[BLOCK LOC],U27)-SUMIFS(RC_OUT[WT],RC_OUT[BLOCK],U28,RC_OUT[BLOCK LOC],U27)</f>
        <v>75112</v>
      </c>
      <c r="V29" s="28">
        <f>SUMIFS(RC_IN[WT],RC_IN[BLOCK],V28,RC_IN[BLOCK LOC],V27)-SUMIFS(RC_OUT[WT],RC_OUT[BLOCK],V28,RC_OUT[BLOCK LOC],V27)</f>
        <v>76439</v>
      </c>
      <c r="W29" s="28">
        <f>SUMIFS(RC_IN[WT],RC_IN[BLOCK],W28,RC_IN[BLOCK LOC],W27)-SUMIFS(RC_OUT[WT],RC_OUT[BLOCK],W28,RC_OUT[BLOCK LOC],W27)</f>
        <v>0</v>
      </c>
      <c r="X29" s="28">
        <f>SUMIFS(RC_IN[WT],RC_IN[BLOCK],X28,RC_IN[BLOCK LOC],X27)-SUMIFS(RC_OUT[WT],RC_OUT[BLOCK],X28,RC_OUT[BLOCK LOC],X27)</f>
        <v>89085</v>
      </c>
      <c r="Y29" s="28">
        <f>SUMIFS(RC_IN[WT],RC_IN[BLOCK],Y28,RC_IN[BLOCK LOC],Y27)-SUMIFS(RC_OUT[WT],RC_OUT[BLOCK],Y28,RC_OUT[BLOCK LOC],Y27)</f>
        <v>71151</v>
      </c>
      <c r="Z29" s="28">
        <f>SUMIFS(RC_IN[WT],RC_IN[BLOCK],Z28,RC_IN[BLOCK LOC],Z27)-SUMIFS(RC_OUT[WT],RC_OUT[BLOCK],Z28,RC_OUT[BLOCK LOC],Z27)</f>
        <v>70009</v>
      </c>
      <c r="AA29" s="29">
        <f>SUMIFS(RC_IN[WT],RC_IN[BLOCK],AA28,RC_IN[BLOCK LOC],AA27)-SUMIFS(RC_OUT[WT],RC_OUT[BLOCK],AA28,RC_OUT[BLOCK LOC],AA27)</f>
        <v>68804</v>
      </c>
      <c r="AB29" s="15"/>
      <c r="AC29" s="30">
        <f>sum(AE29:AG29)</f>
        <v>0</v>
      </c>
      <c r="AD29" s="27" t="s">
        <v>7</v>
      </c>
      <c r="AE29" s="28">
        <f>SUMIFS(RC_IN[WT],RC_IN[BLOCK],AE28,RC_IN[BLOCK LOC],AE27)-SUMIFS(RC_OUT[WT],RC_OUT[BLOCK],AE28,RC_OUT[BLOCK LOC],AE27)</f>
        <v>0</v>
      </c>
      <c r="AF29" s="28">
        <f>SUMIFS(RC_IN[WT],RC_IN[BLOCK],AF28,RC_IN[BLOCK LOC],AF27)-SUMIFS(RC_OUT[WT],RC_OUT[BLOCK],AF28,RC_OUT[BLOCK LOC],AF27)</f>
        <v>0</v>
      </c>
      <c r="AG29" s="29">
        <f>SUMIFS(RC_IN[WT],RC_IN[BLOCK],AG28,RC_IN[BLOCK LOC],AG27)-SUMIFS(RC_OUT[WT],RC_OUT[BLOCK],AG28,RC_OUT[BLOCK LOC],AG27)</f>
        <v>0</v>
      </c>
    </row>
    <row r="30" ht="11.25" customHeight="1">
      <c r="A30" s="42"/>
      <c r="B30" s="17"/>
      <c r="C30" s="32"/>
      <c r="D30" s="11"/>
      <c r="F30" s="33"/>
      <c r="G30" s="34" t="s">
        <v>8</v>
      </c>
      <c r="H30" s="35">
        <f>IFERROR(__xludf.DUMMYFUNCTION("IFERROR(SUMPRODUCT(FILTER(RC_IN[ASTM],RC_IN[BLOCK]=H28,RC_IN[BLOCK LOC]=H27),FILTER(RC_IN[WT],RC_IN[BLOCK]=H28,RC_IN[BLOCK LOC]=H27))/SUM(FILTER(RC_IN[WT],RC_IN[BLOCK]=H28,RC_IN[BLOCK LOC]=H27)),"""")
"),0.0)</f>
        <v>0</v>
      </c>
      <c r="I30" s="35">
        <f>IFERROR(__xludf.DUMMYFUNCTION("IFERROR(SUMPRODUCT(FILTER(RC_IN[ASTM],RC_IN[BLOCK]=I28,RC_IN[BLOCK LOC]=I27),FILTER(RC_IN[WT],RC_IN[BLOCK]=I28,RC_IN[BLOCK LOC]=I27))/SUM(FILTER(RC_IN[WT],RC_IN[BLOCK]=I28,RC_IN[BLOCK LOC]=I27)),"""")
"),0.0)</f>
        <v>0</v>
      </c>
      <c r="J30" s="35">
        <f>IFERROR(__xludf.DUMMYFUNCTION("IFERROR(SUMPRODUCT(FILTER(RC_IN[ASTM],RC_IN[BLOCK]=J28,RC_IN[BLOCK LOC]=J27),FILTER(RC_IN[WT],RC_IN[BLOCK]=J28,RC_IN[BLOCK LOC]=J27))/SUM(FILTER(RC_IN[WT],RC_IN[BLOCK]=J28,RC_IN[BLOCK LOC]=J27)),"""")
"),0.0)</f>
        <v>0</v>
      </c>
      <c r="K30" s="35">
        <f>IFERROR(__xludf.DUMMYFUNCTION("IFERROR(SUMPRODUCT(FILTER(RC_IN[ASTM],RC_IN[BLOCK]=K28,RC_IN[BLOCK LOC]=K27),FILTER(RC_IN[WT],RC_IN[BLOCK]=K28,RC_IN[BLOCK LOC]=K27))/SUM(FILTER(RC_IN[WT],RC_IN[BLOCK]=K28,RC_IN[BLOCK LOC]=K27)),"""")
"),0.0)</f>
        <v>0</v>
      </c>
      <c r="L30" s="35">
        <f>IFERROR(__xludf.DUMMYFUNCTION("IFERROR(SUMPRODUCT(FILTER(RC_IN[ASTM],RC_IN[BLOCK]=L28,RC_IN[BLOCK LOC]=L27),FILTER(RC_IN[WT],RC_IN[BLOCK]=L28,RC_IN[BLOCK LOC]=L27))/SUM(FILTER(RC_IN[WT],RC_IN[BLOCK]=L28,RC_IN[BLOCK LOC]=L27)),"""")
"),0.0)</f>
        <v>0</v>
      </c>
      <c r="M30" s="35" t="str">
        <f>IFERROR(__xludf.DUMMYFUNCTION("IFERROR(SUMPRODUCT(FILTER(RC_IN[ASTM],RC_IN[BLOCK]=M28,RC_IN[BLOCK LOC]=M27),FILTER(RC_IN[WT],RC_IN[BLOCK]=M28,RC_IN[BLOCK LOC]=M27))/SUM(FILTER(RC_IN[WT],RC_IN[BLOCK]=M28,RC_IN[BLOCK LOC]=M27)),"""")
"),"  ")</f>
        <v/>
      </c>
      <c r="N30" s="35">
        <f>IFERROR(__xludf.DUMMYFUNCTION("IFERROR(SUMPRODUCT(FILTER(RC_IN[ASTM],RC_IN[BLOCK]=N28,RC_IN[BLOCK LOC]=N27),FILTER(RC_IN[WT],RC_IN[BLOCK]=N28,RC_IN[BLOCK LOC]=N27))/SUM(FILTER(RC_IN[WT],RC_IN[BLOCK]=N28,RC_IN[BLOCK LOC]=N27)),"""")
"),0.0)</f>
        <v>0</v>
      </c>
      <c r="O30" s="35">
        <f>IFERROR(__xludf.DUMMYFUNCTION("IFERROR(SUMPRODUCT(FILTER(RC_IN[ASTM],RC_IN[BLOCK]=O28,RC_IN[BLOCK LOC]=O27),FILTER(RC_IN[WT],RC_IN[BLOCK]=O28,RC_IN[BLOCK LOC]=O27))/SUM(FILTER(RC_IN[WT],RC_IN[BLOCK]=O28,RC_IN[BLOCK LOC]=O27)),"""")
"),0.5769079575188547)</f>
        <v>0.5769079575</v>
      </c>
      <c r="P30" s="35">
        <f>IFERROR(__xludf.DUMMYFUNCTION("IFERROR(SUMPRODUCT(FILTER(RC_IN[ASTM],RC_IN[BLOCK]=P28,RC_IN[BLOCK LOC]=P27),FILTER(RC_IN[WT],RC_IN[BLOCK]=P28,RC_IN[BLOCK LOC]=P27))/SUM(FILTER(RC_IN[WT],RC_IN[BLOCK]=P28,RC_IN[BLOCK LOC]=P27)),"""")
"),0.578)</f>
        <v>0.578</v>
      </c>
      <c r="Q30" s="35" t="str">
        <f>IFERROR(__xludf.DUMMYFUNCTION("IFERROR(SUMPRODUCT(FILTER(RC_IN[ASTM],RC_IN[BLOCK]=Q28,RC_IN[BLOCK LOC]=Q27),FILTER(RC_IN[WT],RC_IN[BLOCK]=Q28,RC_IN[BLOCK LOC]=Q27))/SUM(FILTER(RC_IN[WT],RC_IN[BLOCK]=Q28,RC_IN[BLOCK LOC]=Q27)),"""")
"),"  ")</f>
        <v/>
      </c>
      <c r="R30" s="35">
        <f>IFERROR(__xludf.DUMMYFUNCTION("IFERROR(SUMPRODUCT(FILTER(RC_IN[ASTM],RC_IN[BLOCK]=R28,RC_IN[BLOCK LOC]=R27),FILTER(RC_IN[WT],RC_IN[BLOCK]=R28,RC_IN[BLOCK LOC]=R27))/SUM(FILTER(RC_IN[WT],RC_IN[BLOCK]=R28,RC_IN[BLOCK LOC]=R27)),"""")
"),0.5754615911878592)</f>
        <v>0.5754615912</v>
      </c>
      <c r="S30" s="35">
        <f>IFERROR(__xludf.DUMMYFUNCTION("IFERROR(SUMPRODUCT(FILTER(RC_IN[ASTM],RC_IN[BLOCK]=S28,RC_IN[BLOCK LOC]=S27),FILTER(RC_IN[WT],RC_IN[BLOCK]=S28,RC_IN[BLOCK LOC]=S27))/SUM(FILTER(RC_IN[WT],RC_IN[BLOCK]=S28,RC_IN[BLOCK LOC]=S27)),"""")
"),0.5732938847938848)</f>
        <v>0.5732938848</v>
      </c>
      <c r="T30" s="35">
        <f>IFERROR(__xludf.DUMMYFUNCTION("IFERROR(SUMPRODUCT(FILTER(RC_IN[ASTM],RC_IN[BLOCK]=T28,RC_IN[BLOCK LOC]=T27),FILTER(RC_IN[WT],RC_IN[BLOCK]=T28,RC_IN[BLOCK LOC]=T27))/SUM(FILTER(RC_IN[WT],RC_IN[BLOCK]=T28,RC_IN[BLOCK LOC]=T27)),"""")
"),0.5715779705438282)</f>
        <v>0.5715779705</v>
      </c>
      <c r="U30" s="35">
        <f>IFERROR(__xludf.DUMMYFUNCTION("IFERROR(SUMPRODUCT(FILTER(RC_IN[ASTM],RC_IN[BLOCK]=U28,RC_IN[BLOCK LOC]=U27),FILTER(RC_IN[WT],RC_IN[BLOCK]=U28,RC_IN[BLOCK LOC]=U27))/SUM(FILTER(RC_IN[WT],RC_IN[BLOCK]=U28,RC_IN[BLOCK LOC]=U27)),"""")
"),0.5672829374800299)</f>
        <v>0.5672829375</v>
      </c>
      <c r="V30" s="35">
        <f>IFERROR(__xludf.DUMMYFUNCTION("IFERROR(SUMPRODUCT(FILTER(RC_IN[ASTM],RC_IN[BLOCK]=V28,RC_IN[BLOCK LOC]=V27),FILTER(RC_IN[WT],RC_IN[BLOCK]=V28,RC_IN[BLOCK LOC]=V27))/SUM(FILTER(RC_IN[WT],RC_IN[BLOCK]=V28,RC_IN[BLOCK LOC]=V27)),"""")
"),1.0898215832232239)</f>
        <v>1.089821583</v>
      </c>
      <c r="W30" s="35" t="str">
        <f>IFERROR(__xludf.DUMMYFUNCTION("IFERROR(SUMPRODUCT(FILTER(RC_IN[ASTM],RC_IN[BLOCK]=W28,RC_IN[BLOCK LOC]=W27),FILTER(RC_IN[WT],RC_IN[BLOCK]=W28,RC_IN[BLOCK LOC]=W27))/SUM(FILTER(RC_IN[WT],RC_IN[BLOCK]=W28,RC_IN[BLOCK LOC]=W27)),"""")
"),"  ")</f>
        <v/>
      </c>
      <c r="X30" s="35">
        <f>IFERROR(__xludf.DUMMYFUNCTION("IFERROR(SUMPRODUCT(FILTER(RC_IN[ASTM],RC_IN[BLOCK]=X28,RC_IN[BLOCK LOC]=X27),FILTER(RC_IN[WT],RC_IN[BLOCK]=X28,RC_IN[BLOCK LOC]=X27))/SUM(FILTER(RC_IN[WT],RC_IN[BLOCK]=X28,RC_IN[BLOCK LOC]=X27)),"""")
"),0.5767406970870516)</f>
        <v>0.5767406971</v>
      </c>
      <c r="Y30" s="35">
        <f>IFERROR(__xludf.DUMMYFUNCTION("IFERROR(SUMPRODUCT(FILTER(RC_IN[ASTM],RC_IN[BLOCK]=Y28,RC_IN[BLOCK LOC]=Y27),FILTER(RC_IN[WT],RC_IN[BLOCK]=Y28,RC_IN[BLOCK LOC]=Y27))/SUM(FILTER(RC_IN[WT],RC_IN[BLOCK]=Y28,RC_IN[BLOCK LOC]=Y27)),"""")
"),0.5764663743306488)</f>
        <v>0.5764663743</v>
      </c>
      <c r="Z30" s="35">
        <f>IFERROR(__xludf.DUMMYFUNCTION("IFERROR(SUMPRODUCT(FILTER(RC_IN[ASTM],RC_IN[BLOCK]=Z28,RC_IN[BLOCK LOC]=Z27),FILTER(RC_IN[WT],RC_IN[BLOCK]=Z28,RC_IN[BLOCK LOC]=Z27))/SUM(FILTER(RC_IN[WT],RC_IN[BLOCK]=Z28,RC_IN[BLOCK LOC]=Z27)),"""")
"),0.5757792141010442)</f>
        <v>0.5757792141</v>
      </c>
      <c r="AA30" s="36">
        <f>IFERROR(__xludf.DUMMYFUNCTION("IFERROR(SUMPRODUCT(FILTER(RC_IN[ASTM],RC_IN[BLOCK]=AA28,RC_IN[BLOCK LOC]=AA27),FILTER(RC_IN[WT],RC_IN[BLOCK]=AA28,RC_IN[BLOCK LOC]=AA27))/SUM(FILTER(RC_IN[WT],RC_IN[BLOCK]=AA28,RC_IN[BLOCK LOC]=AA27)),"""")
"),0.5754344224173014)</f>
        <v>0.5754344224</v>
      </c>
      <c r="AB30" s="37"/>
      <c r="AC30" s="38"/>
      <c r="AD30" s="34" t="s">
        <v>8</v>
      </c>
      <c r="AE30" s="35" t="str">
        <f>IFERROR(__xludf.DUMMYFUNCTION("IFERROR(SUMPRODUCT(FILTER(RC_IN[ASTM],RC_IN[BLOCK]=AE28,RC_IN[BLOCK LOC]=AE27),FILTER(RC_IN[WT],RC_IN[BLOCK]=AE28,RC_IN[BLOCK LOC]=AE27))/SUM(FILTER(RC_IN[WT],RC_IN[BLOCK]=AE28,RC_IN[BLOCK LOC]=AE27)),"""")
"),"  ")</f>
        <v/>
      </c>
      <c r="AF30" s="35" t="str">
        <f>IFERROR(__xludf.DUMMYFUNCTION("IFERROR(SUMPRODUCT(FILTER(RC_IN[ASTM],RC_IN[BLOCK]=AF28,RC_IN[BLOCK LOC]=AF27),FILTER(RC_IN[WT],RC_IN[BLOCK]=AF28,RC_IN[BLOCK LOC]=AF27))/SUM(FILTER(RC_IN[WT],RC_IN[BLOCK]=AF28,RC_IN[BLOCK LOC]=AF27)),"""")
"),"  ")</f>
        <v/>
      </c>
      <c r="AG30" s="36" t="str">
        <f>IFERROR(__xludf.DUMMYFUNCTION("IFERROR(SUMPRODUCT(FILTER(RC_IN[ASTM],RC_IN[BLOCK]=AG28,RC_IN[BLOCK LOC]=AG27),FILTER(RC_IN[WT],RC_IN[BLOCK]=AG28,RC_IN[BLOCK LOC]=AG27))/SUM(FILTER(RC_IN[WT],RC_IN[BLOCK]=AG28,RC_IN[BLOCK LOC]=AG27)),"""")
"),"  ")</f>
        <v/>
      </c>
    </row>
    <row r="31" ht="11.25" customHeight="1">
      <c r="A31" s="42"/>
      <c r="B31" s="17"/>
      <c r="C31" s="32"/>
      <c r="D31" s="11"/>
      <c r="F31" s="26"/>
      <c r="G31" s="27" t="s">
        <v>9</v>
      </c>
      <c r="H31" s="40">
        <f>IFERROR(__xludf.DUMMYFUNCTION("IFERROR(SUMPRODUCT(FILTER(RC_IN[ASH],RC_IN[BLOCK]=H28,RC_IN[BLOCK LOC]=H27),FILTER(RC_IN[WT],RC_IN[BLOCK]=H28,RC_IN[BLOCK LOC]=H27))/SUM(FILTER(RC_IN[WT],RC_IN[BLOCK]=H28,RC_IN[BLOCK LOC]=H27)),"""")
"),0.0)</f>
        <v>0</v>
      </c>
      <c r="I31" s="40">
        <f>IFERROR(__xludf.DUMMYFUNCTION("IFERROR(SUMPRODUCT(FILTER(RC_IN[ASH],RC_IN[BLOCK]=I28,RC_IN[BLOCK LOC]=I27),FILTER(RC_IN[WT],RC_IN[BLOCK]=I28,RC_IN[BLOCK LOC]=I27))/SUM(FILTER(RC_IN[WT],RC_IN[BLOCK]=I28,RC_IN[BLOCK LOC]=I27)),"""")
"),0.0)</f>
        <v>0</v>
      </c>
      <c r="J31" s="40">
        <f>IFERROR(__xludf.DUMMYFUNCTION("IFERROR(SUMPRODUCT(FILTER(RC_IN[ASH],RC_IN[BLOCK]=J28,RC_IN[BLOCK LOC]=J27),FILTER(RC_IN[WT],RC_IN[BLOCK]=J28,RC_IN[BLOCK LOC]=J27))/SUM(FILTER(RC_IN[WT],RC_IN[BLOCK]=J28,RC_IN[BLOCK LOC]=J27)),"""")
"),0.0)</f>
        <v>0</v>
      </c>
      <c r="K31" s="40">
        <f>IFERROR(__xludf.DUMMYFUNCTION("IFERROR(SUMPRODUCT(FILTER(RC_IN[ASH],RC_IN[BLOCK]=K28,RC_IN[BLOCK LOC]=K27),FILTER(RC_IN[WT],RC_IN[BLOCK]=K28,RC_IN[BLOCK LOC]=K27))/SUM(FILTER(RC_IN[WT],RC_IN[BLOCK]=K28,RC_IN[BLOCK LOC]=K27)),"""")
"),0.0)</f>
        <v>0</v>
      </c>
      <c r="L31" s="40">
        <f>IFERROR(__xludf.DUMMYFUNCTION("IFERROR(SUMPRODUCT(FILTER(RC_IN[ASH],RC_IN[BLOCK]=L28,RC_IN[BLOCK LOC]=L27),FILTER(RC_IN[WT],RC_IN[BLOCK]=L28,RC_IN[BLOCK LOC]=L27))/SUM(FILTER(RC_IN[WT],RC_IN[BLOCK]=L28,RC_IN[BLOCK LOC]=L27)),"""")
"),0.0)</f>
        <v>0</v>
      </c>
      <c r="M31" s="40" t="str">
        <f>IFERROR(__xludf.DUMMYFUNCTION("IFERROR(SUMPRODUCT(FILTER(RC_IN[ASH],RC_IN[BLOCK]=M28,RC_IN[BLOCK LOC]=M27),FILTER(RC_IN[WT],RC_IN[BLOCK]=M28,RC_IN[BLOCK LOC]=M27))/SUM(FILTER(RC_IN[WT],RC_IN[BLOCK]=M28,RC_IN[BLOCK LOC]=M27)),"""")
"),"  ")</f>
        <v/>
      </c>
      <c r="N31" s="40">
        <f>IFERROR(__xludf.DUMMYFUNCTION("IFERROR(SUMPRODUCT(FILTER(RC_IN[ASH],RC_IN[BLOCK]=N28,RC_IN[BLOCK LOC]=N27),FILTER(RC_IN[WT],RC_IN[BLOCK]=N28,RC_IN[BLOCK LOC]=N27))/SUM(FILTER(RC_IN[WT],RC_IN[BLOCK]=N28,RC_IN[BLOCK LOC]=N27)),"""")
"),0.0)</f>
        <v>0</v>
      </c>
      <c r="O31" s="40">
        <f>IFERROR(__xludf.DUMMYFUNCTION("IFERROR(SUMPRODUCT(FILTER(RC_IN[ASH],RC_IN[BLOCK]=O28,RC_IN[BLOCK LOC]=O27),FILTER(RC_IN[WT],RC_IN[BLOCK]=O28,RC_IN[BLOCK LOC]=O27))/SUM(FILTER(RC_IN[WT],RC_IN[BLOCK]=O28,RC_IN[BLOCK LOC]=O27)),"""")
"),4.0570755733415425)</f>
        <v>4.057075573</v>
      </c>
      <c r="P31" s="40">
        <f>IFERROR(__xludf.DUMMYFUNCTION("IFERROR(SUMPRODUCT(FILTER(RC_IN[ASH],RC_IN[BLOCK]=P28,RC_IN[BLOCK LOC]=P27),FILTER(RC_IN[WT],RC_IN[BLOCK]=P28,RC_IN[BLOCK LOC]=P27))/SUM(FILTER(RC_IN[WT],RC_IN[BLOCK]=P28,RC_IN[BLOCK LOC]=P27)),"""")
"),4.393763054271529)</f>
        <v>4.393763054</v>
      </c>
      <c r="Q31" s="40" t="str">
        <f>IFERROR(__xludf.DUMMYFUNCTION("IFERROR(SUMPRODUCT(FILTER(RC_IN[ASH],RC_IN[BLOCK]=Q28,RC_IN[BLOCK LOC]=Q27),FILTER(RC_IN[WT],RC_IN[BLOCK]=Q28,RC_IN[BLOCK LOC]=Q27))/SUM(FILTER(RC_IN[WT],RC_IN[BLOCK]=Q28,RC_IN[BLOCK LOC]=Q27)),"""")
"),"  ")</f>
        <v/>
      </c>
      <c r="R31" s="40">
        <f>IFERROR(__xludf.DUMMYFUNCTION("IFERROR(SUMPRODUCT(FILTER(RC_IN[ASH],RC_IN[BLOCK]=R28,RC_IN[BLOCK LOC]=R27),FILTER(RC_IN[WT],RC_IN[BLOCK]=R28,RC_IN[BLOCK LOC]=R27))/SUM(FILTER(RC_IN[WT],RC_IN[BLOCK]=R28,RC_IN[BLOCK LOC]=R27)),"""")
"),3.9623935159575745)</f>
        <v>3.962393516</v>
      </c>
      <c r="S31" s="40">
        <f>IFERROR(__xludf.DUMMYFUNCTION("IFERROR(SUMPRODUCT(FILTER(RC_IN[ASH],RC_IN[BLOCK]=S28,RC_IN[BLOCK LOC]=S27),FILTER(RC_IN[WT],RC_IN[BLOCK]=S28,RC_IN[BLOCK LOC]=S27))/SUM(FILTER(RC_IN[WT],RC_IN[BLOCK]=S28,RC_IN[BLOCK LOC]=S27)),"""")
"),3.93216147966148)</f>
        <v>3.93216148</v>
      </c>
      <c r="T31" s="40">
        <f>IFERROR(__xludf.DUMMYFUNCTION("IFERROR(SUMPRODUCT(FILTER(RC_IN[ASH],RC_IN[BLOCK]=T28,RC_IN[BLOCK LOC]=T27),FILTER(RC_IN[WT],RC_IN[BLOCK]=T28,RC_IN[BLOCK LOC]=T27))/SUM(FILTER(RC_IN[WT],RC_IN[BLOCK]=T28,RC_IN[BLOCK LOC]=T27)),"""")
"),4.223770902771843)</f>
        <v>4.223770903</v>
      </c>
      <c r="U31" s="40">
        <f>IFERROR(__xludf.DUMMYFUNCTION("IFERROR(SUMPRODUCT(FILTER(RC_IN[ASH],RC_IN[BLOCK]=U28,RC_IN[BLOCK LOC]=U27),FILTER(RC_IN[WT],RC_IN[BLOCK]=U28,RC_IN[BLOCK LOC]=U27))/SUM(FILTER(RC_IN[WT],RC_IN[BLOCK]=U28,RC_IN[BLOCK LOC]=U27)),"""")
"),4.240896660986261)</f>
        <v>4.240896661</v>
      </c>
      <c r="V31" s="40">
        <f>IFERROR(__xludf.DUMMYFUNCTION("IFERROR(SUMPRODUCT(FILTER(RC_IN[ASH],RC_IN[BLOCK]=V28,RC_IN[BLOCK LOC]=V27),FILTER(RC_IN[WT],RC_IN[BLOCK]=V28,RC_IN[BLOCK LOC]=V27))/SUM(FILTER(RC_IN[WT],RC_IN[BLOCK]=V28,RC_IN[BLOCK LOC]=V27)),"""")
"),4.485435314433731)</f>
        <v>4.485435314</v>
      </c>
      <c r="W31" s="40" t="str">
        <f>IFERROR(__xludf.DUMMYFUNCTION("IFERROR(SUMPRODUCT(FILTER(RC_IN[ASH],RC_IN[BLOCK]=W28,RC_IN[BLOCK LOC]=W27),FILTER(RC_IN[WT],RC_IN[BLOCK]=W28,RC_IN[BLOCK LOC]=W27))/SUM(FILTER(RC_IN[WT],RC_IN[BLOCK]=W28,RC_IN[BLOCK LOC]=W27)),"""")
"),"  ")</f>
        <v/>
      </c>
      <c r="X31" s="40">
        <f>IFERROR(__xludf.DUMMYFUNCTION("IFERROR(SUMPRODUCT(FILTER(RC_IN[ASH],RC_IN[BLOCK]=X28,RC_IN[BLOCK LOC]=X27),FILTER(RC_IN[WT],RC_IN[BLOCK]=X28,RC_IN[BLOCK LOC]=X27))/SUM(FILTER(RC_IN[WT],RC_IN[BLOCK]=X28,RC_IN[BLOCK LOC]=X27)),"""")
"),3.825329741258349)</f>
        <v>3.825329741</v>
      </c>
      <c r="Y31" s="40">
        <f>IFERROR(__xludf.DUMMYFUNCTION("IFERROR(SUMPRODUCT(FILTER(RC_IN[ASH],RC_IN[BLOCK]=Y28,RC_IN[BLOCK LOC]=Y27),FILTER(RC_IN[WT],RC_IN[BLOCK]=Y28,RC_IN[BLOCK LOC]=Y27))/SUM(FILTER(RC_IN[WT],RC_IN[BLOCK]=Y28,RC_IN[BLOCK LOC]=Y27)),"""")
"),3.4373637756321065)</f>
        <v>3.437363776</v>
      </c>
      <c r="Z31" s="40">
        <f>IFERROR(__xludf.DUMMYFUNCTION("IFERROR(SUMPRODUCT(FILTER(RC_IN[ASH],RC_IN[BLOCK]=Z28,RC_IN[BLOCK LOC]=Z27),FILTER(RC_IN[WT],RC_IN[BLOCK]=Z28,RC_IN[BLOCK LOC]=Z27))/SUM(FILTER(RC_IN[WT],RC_IN[BLOCK]=Z28,RC_IN[BLOCK LOC]=Z27)),"""")
"),3.53223528403491)</f>
        <v>3.532235284</v>
      </c>
      <c r="AA31" s="41">
        <f>IFERROR(__xludf.DUMMYFUNCTION("IFERROR(SUMPRODUCT(FILTER(RC_IN[ASH],RC_IN[BLOCK]=AA28,RC_IN[BLOCK LOC]=AA27),FILTER(RC_IN[WT],RC_IN[BLOCK]=AA28,RC_IN[BLOCK LOC]=AA27))/SUM(FILTER(RC_IN[WT],RC_IN[BLOCK]=AA28,RC_IN[BLOCK LOC]=AA27)),"""")
"),3.4706361548747164)</f>
        <v>3.470636155</v>
      </c>
      <c r="AB31" s="15"/>
      <c r="AC31" s="23"/>
      <c r="AD31" s="27" t="s">
        <v>9</v>
      </c>
      <c r="AE31" s="40" t="str">
        <f>IFERROR(__xludf.DUMMYFUNCTION("IFERROR(SUMPRODUCT(FILTER(RC_IN[ASH],RC_IN[BLOCK]=AE28,RC_IN[BLOCK LOC]=AE27),FILTER(RC_IN[WT],RC_IN[BLOCK]=AE28,RC_IN[BLOCK LOC]=AE27))/SUM(FILTER(RC_IN[WT],RC_IN[BLOCK]=AE28,RC_IN[BLOCK LOC]=AE27)),"""")
"),"  ")</f>
        <v/>
      </c>
      <c r="AF31" s="40" t="str">
        <f>IFERROR(__xludf.DUMMYFUNCTION("IFERROR(SUMPRODUCT(FILTER(RC_IN[ASH],RC_IN[BLOCK]=AF28,RC_IN[BLOCK LOC]=AF27),FILTER(RC_IN[WT],RC_IN[BLOCK]=AF28,RC_IN[BLOCK LOC]=AF27))/SUM(FILTER(RC_IN[WT],RC_IN[BLOCK]=AF28,RC_IN[BLOCK LOC]=AF27)),"""")
"),"  ")</f>
        <v/>
      </c>
      <c r="AG31" s="41" t="str">
        <f>IFERROR(__xludf.DUMMYFUNCTION("IFERROR(SUMPRODUCT(FILTER(RC_IN[ASH],RC_IN[BLOCK]=AG28,RC_IN[BLOCK LOC]=AG27),FILTER(RC_IN[WT],RC_IN[BLOCK]=AG28,RC_IN[BLOCK LOC]=AG27))/SUM(FILTER(RC_IN[WT],RC_IN[BLOCK]=AG28,RC_IN[BLOCK LOC]=AG27)),"""")
"),"  ")</f>
        <v/>
      </c>
    </row>
    <row r="32" ht="11.25" customHeight="1">
      <c r="A32" s="42"/>
      <c r="B32" s="17"/>
      <c r="C32" s="53">
        <f>sum(C29,C23)</f>
        <v>2325347</v>
      </c>
      <c r="D32" s="11"/>
      <c r="F32" s="43"/>
      <c r="G32" s="44" t="s">
        <v>10</v>
      </c>
      <c r="H32" s="45">
        <f>IFERROR(__xludf.DUMMYFUNCTION("IFERROR(SUMPRODUCT(FILTER(RC_IN[MC],RC_IN[BLOCK]=H28,RC_IN[BLOCK LOC]=H27),FILTER(RC_IN[WT],RC_IN[BLOCK]=H28,RC_IN[BLOCK LOC]=H27)) / SUM(FILTER(RC_IN[WT],RC_IN[BLOCK]=H28,RC_IN[BLOCK LOC]=H27)),"""")
"),14.0)</f>
        <v>14</v>
      </c>
      <c r="I32" s="45">
        <f>IFERROR(__xludf.DUMMYFUNCTION("IFERROR(SUMPRODUCT(FILTER(RC_IN[MC],RC_IN[BLOCK]=I28,RC_IN[BLOCK LOC]=I27),FILTER(RC_IN[WT],RC_IN[BLOCK]=I28,RC_IN[BLOCK LOC]=I27)) / SUM(FILTER(RC_IN[WT],RC_IN[BLOCK]=I28,RC_IN[BLOCK LOC]=I27)),"""")
"),11.0)</f>
        <v>11</v>
      </c>
      <c r="J32" s="45">
        <f>IFERROR(__xludf.DUMMYFUNCTION("IFERROR(SUMPRODUCT(FILTER(RC_IN[MC],RC_IN[BLOCK]=J28,RC_IN[BLOCK LOC]=J27),FILTER(RC_IN[WT],RC_IN[BLOCK]=J28,RC_IN[BLOCK LOC]=J27)) / SUM(FILTER(RC_IN[WT],RC_IN[BLOCK]=J28,RC_IN[BLOCK LOC]=J27)),"""")
"),11.8)</f>
        <v>11.8</v>
      </c>
      <c r="K32" s="45">
        <f>IFERROR(__xludf.DUMMYFUNCTION("IFERROR(SUMPRODUCT(FILTER(RC_IN[MC],RC_IN[BLOCK]=K28,RC_IN[BLOCK LOC]=K27),FILTER(RC_IN[WT],RC_IN[BLOCK]=K28,RC_IN[BLOCK LOC]=K27)) / SUM(FILTER(RC_IN[WT],RC_IN[BLOCK]=K28,RC_IN[BLOCK LOC]=K27)),"""")
"),12.2)</f>
        <v>12.2</v>
      </c>
      <c r="L32" s="45">
        <f>IFERROR(__xludf.DUMMYFUNCTION("IFERROR(SUMPRODUCT(FILTER(RC_IN[MC],RC_IN[BLOCK]=L28,RC_IN[BLOCK LOC]=L27),FILTER(RC_IN[WT],RC_IN[BLOCK]=L28,RC_IN[BLOCK LOC]=L27)) / SUM(FILTER(RC_IN[WT],RC_IN[BLOCK]=L28,RC_IN[BLOCK LOC]=L27)),"""")
"),12.0)</f>
        <v>12</v>
      </c>
      <c r="M32" s="45" t="str">
        <f>IFERROR(__xludf.DUMMYFUNCTION("IFERROR(SUMPRODUCT(FILTER(RC_IN[MC],RC_IN[BLOCK]=M28,RC_IN[BLOCK LOC]=M27),FILTER(RC_IN[WT],RC_IN[BLOCK]=M28,RC_IN[BLOCK LOC]=M27)) / SUM(FILTER(RC_IN[WT],RC_IN[BLOCK]=M28,RC_IN[BLOCK LOC]=M27)),"""")
"),"")</f>
        <v/>
      </c>
      <c r="N32" s="45">
        <f>IFERROR(__xludf.DUMMYFUNCTION("IFERROR(SUMPRODUCT(FILTER(RC_IN[MC],RC_IN[BLOCK]=N28,RC_IN[BLOCK LOC]=N27),FILTER(RC_IN[WT],RC_IN[BLOCK]=N28,RC_IN[BLOCK LOC]=N27)) / SUM(FILTER(RC_IN[WT],RC_IN[BLOCK]=N28,RC_IN[BLOCK LOC]=N27)),"""")
"),12.0)</f>
        <v>12</v>
      </c>
      <c r="O32" s="45">
        <f>IFERROR(__xludf.DUMMYFUNCTION("IFERROR(SUMPRODUCT(FILTER(RC_IN[MC],RC_IN[BLOCK]=O28,RC_IN[BLOCK LOC]=O27),FILTER(RC_IN[WT],RC_IN[BLOCK]=O28,RC_IN[BLOCK LOC]=O27)) / SUM(FILTER(RC_IN[WT],RC_IN[BLOCK]=O28,RC_IN[BLOCK LOC]=O27)),"""")
"),9.814331229798368)</f>
        <v>9.81433123</v>
      </c>
      <c r="P32" s="45">
        <f>IFERROR(__xludf.DUMMYFUNCTION("IFERROR(SUMPRODUCT(FILTER(RC_IN[MC],RC_IN[BLOCK]=P28,RC_IN[BLOCK LOC]=P27),FILTER(RC_IN[WT],RC_IN[BLOCK]=P28,RC_IN[BLOCK LOC]=P27)) / SUM(FILTER(RC_IN[WT],RC_IN[BLOCK]=P28,RC_IN[BLOCK LOC]=P27)),"""")
"),10.07231467214518)</f>
        <v>10.07231467</v>
      </c>
      <c r="Q32" s="45" t="str">
        <f>IFERROR(__xludf.DUMMYFUNCTION("IFERROR(SUMPRODUCT(FILTER(RC_IN[MC],RC_IN[BLOCK]=Q28,RC_IN[BLOCK LOC]=Q27),FILTER(RC_IN[WT],RC_IN[BLOCK]=Q28,RC_IN[BLOCK LOC]=Q27)) / SUM(FILTER(RC_IN[WT],RC_IN[BLOCK]=Q28,RC_IN[BLOCK LOC]=Q27)),"""")
"),"")</f>
        <v/>
      </c>
      <c r="R32" s="45">
        <f>IFERROR(__xludf.DUMMYFUNCTION("IFERROR(SUMPRODUCT(FILTER(RC_IN[MC],RC_IN[BLOCK]=R28,RC_IN[BLOCK LOC]=R27),FILTER(RC_IN[WT],RC_IN[BLOCK]=R28,RC_IN[BLOCK LOC]=R27)) / SUM(FILTER(RC_IN[WT],RC_IN[BLOCK]=R28,RC_IN[BLOCK LOC]=R27)),"""")
"),11.501472137377041)</f>
        <v>11.50147214</v>
      </c>
      <c r="S32" s="45">
        <f>IFERROR(__xludf.DUMMYFUNCTION("IFERROR(SUMPRODUCT(FILTER(RC_IN[MC],RC_IN[BLOCK]=S28,RC_IN[BLOCK LOC]=S27),FILTER(RC_IN[WT],RC_IN[BLOCK]=S28,RC_IN[BLOCK LOC]=S27)) / SUM(FILTER(RC_IN[WT],RC_IN[BLOCK]=S28,RC_IN[BLOCK LOC]=S27)),"""")
"),11.603096505596506)</f>
        <v>11.60309651</v>
      </c>
      <c r="T32" s="45">
        <f>IFERROR(__xludf.DUMMYFUNCTION("IFERROR(SUMPRODUCT(FILTER(RC_IN[MC],RC_IN[BLOCK]=T28,RC_IN[BLOCK LOC]=T27),FILTER(RC_IN[WT],RC_IN[BLOCK]=T28,RC_IN[BLOCK LOC]=T27)) / SUM(FILTER(RC_IN[WT],RC_IN[BLOCK]=T28,RC_IN[BLOCK LOC]=T27)),"""")
"),13.080418625188729)</f>
        <v>13.08041863</v>
      </c>
      <c r="U32" s="45">
        <f>IFERROR(__xludf.DUMMYFUNCTION("IFERROR(SUMPRODUCT(FILTER(RC_IN[MC],RC_IN[BLOCK]=U28,RC_IN[BLOCK LOC]=U27),FILTER(RC_IN[WT],RC_IN[BLOCK]=U28,RC_IN[BLOCK LOC]=U27)) / SUM(FILTER(RC_IN[WT],RC_IN[BLOCK]=U28,RC_IN[BLOCK LOC]=U27)),"""")
"),12.873242224944082)</f>
        <v>12.87324222</v>
      </c>
      <c r="V32" s="45">
        <f>IFERROR(__xludf.DUMMYFUNCTION("IFERROR(SUMPRODUCT(FILTER(RC_IN[MC],RC_IN[BLOCK]=V28,RC_IN[BLOCK LOC]=V27),FILTER(RC_IN[WT],RC_IN[BLOCK]=V28,RC_IN[BLOCK LOC]=V27)) / SUM(FILTER(RC_IN[WT],RC_IN[BLOCK]=V28,RC_IN[BLOCK LOC]=V27)),"""")
"),13.511989167833173)</f>
        <v>13.51198917</v>
      </c>
      <c r="W32" s="45" t="str">
        <f>IFERROR(__xludf.DUMMYFUNCTION("IFERROR(SUMPRODUCT(FILTER(RC_IN[MC],RC_IN[BLOCK]=W28,RC_IN[BLOCK LOC]=W27),FILTER(RC_IN[WT],RC_IN[BLOCK]=W28,RC_IN[BLOCK LOC]=W27)) / SUM(FILTER(RC_IN[WT],RC_IN[BLOCK]=W28,RC_IN[BLOCK LOC]=W27)),"""")
"),"")</f>
        <v/>
      </c>
      <c r="X32" s="45">
        <f>IFERROR(__xludf.DUMMYFUNCTION("IFERROR(SUMPRODUCT(FILTER(RC_IN[MC],RC_IN[BLOCK]=X28,RC_IN[BLOCK LOC]=X27),FILTER(RC_IN[WT],RC_IN[BLOCK]=X28,RC_IN[BLOCK LOC]=X27)) / SUM(FILTER(RC_IN[WT],RC_IN[BLOCK]=X28,RC_IN[BLOCK LOC]=X27)),"""")
"),11.194073637537183)</f>
        <v>11.19407364</v>
      </c>
      <c r="Y32" s="45">
        <f>IFERROR(__xludf.DUMMYFUNCTION("IFERROR(SUMPRODUCT(FILTER(RC_IN[MC],RC_IN[BLOCK]=Y28,RC_IN[BLOCK LOC]=Y27),FILTER(RC_IN[WT],RC_IN[BLOCK]=Y28,RC_IN[BLOCK LOC]=Y27)) / SUM(FILTER(RC_IN[WT],RC_IN[BLOCK]=Y28,RC_IN[BLOCK LOC]=Y27)),"""")
"),11.475906593020477)</f>
        <v>11.47590659</v>
      </c>
      <c r="Z32" s="45">
        <f>IFERROR(__xludf.DUMMYFUNCTION("IFERROR(SUMPRODUCT(FILTER(RC_IN[MC],RC_IN[BLOCK]=Z28,RC_IN[BLOCK LOC]=Z27),FILTER(RC_IN[WT],RC_IN[BLOCK]=Z28,RC_IN[BLOCK LOC]=Z27)) / SUM(FILTER(RC_IN[WT],RC_IN[BLOCK]=Z28,RC_IN[BLOCK LOC]=Z27)),"""")
"),11.48079132682941)</f>
        <v>11.48079133</v>
      </c>
      <c r="AA32" s="46">
        <f>IFERROR(__xludf.DUMMYFUNCTION("IFERROR(SUMPRODUCT(FILTER(RC_IN[MC],RC_IN[BLOCK]=AA28,RC_IN[BLOCK LOC]=AA27),FILTER(RC_IN[WT],RC_IN[BLOCK]=AA28,RC_IN[BLOCK LOC]=AA27)) / SUM(FILTER(RC_IN[WT],RC_IN[BLOCK]=AA28,RC_IN[BLOCK LOC]=AA27)),"""")
"),10.74046029300622)</f>
        <v>10.74046029</v>
      </c>
      <c r="AB32" s="47"/>
      <c r="AC32" s="48"/>
      <c r="AD32" s="44" t="s">
        <v>10</v>
      </c>
      <c r="AE32" s="45" t="str">
        <f>IFERROR(__xludf.DUMMYFUNCTION("IFERROR(SUMPRODUCT(FILTER(RC_IN[MC],RC_IN[BLOCK]=AE28,RC_IN[BLOCK LOC]=AE27),FILTER(RC_IN[WT],RC_IN[BLOCK]=AE28,RC_IN[BLOCK LOC]=AE27)) / SUM(FILTER(RC_IN[WT],RC_IN[BLOCK]=AE28,RC_IN[BLOCK LOC]=AE27)),"""")
"),"")</f>
        <v/>
      </c>
      <c r="AF32" s="45" t="str">
        <f>IFERROR(__xludf.DUMMYFUNCTION("IFERROR(SUMPRODUCT(FILTER(RC_IN[MC],RC_IN[BLOCK]=AF28,RC_IN[BLOCK LOC]=AF27),FILTER(RC_IN[WT],RC_IN[BLOCK]=AF28,RC_IN[BLOCK LOC]=AF27)) / SUM(FILTER(RC_IN[WT],RC_IN[BLOCK]=AF28,RC_IN[BLOCK LOC]=AF27)),"""")
"),"")</f>
        <v/>
      </c>
      <c r="AG32" s="46" t="str">
        <f>IFERROR(__xludf.DUMMYFUNCTION("IFERROR(SUMPRODUCT(FILTER(RC_IN[MC],RC_IN[BLOCK]=AG28,RC_IN[BLOCK LOC]=AG27),FILTER(RC_IN[WT],RC_IN[BLOCK]=AG28,RC_IN[BLOCK LOC]=AG27)) / SUM(FILTER(RC_IN[WT],RC_IN[BLOCK]=AG28,RC_IN[BLOCK LOC]=AG27)),"""")
"),"")</f>
        <v/>
      </c>
    </row>
    <row r="33" ht="11.25" customHeight="1">
      <c r="A33" s="9"/>
      <c r="B33" s="9"/>
      <c r="C33" s="10" t="str">
        <f>E33</f>
        <v>WHSE C</v>
      </c>
      <c r="D33" s="10" t="s">
        <v>12</v>
      </c>
      <c r="E33" s="11" t="str">
        <f>CONCATENATE("WHSE ",D33)</f>
        <v>WHSE C</v>
      </c>
      <c r="F33" s="4"/>
      <c r="G33" s="12" t="s">
        <v>2</v>
      </c>
      <c r="H33" s="13" t="str">
        <f t="shared" ref="H33:AA33" si="11">CONCATENATE($D33,"-",H$1,$G33)</f>
        <v>C-1A</v>
      </c>
      <c r="I33" s="13" t="str">
        <f t="shared" si="11"/>
        <v>C-2A</v>
      </c>
      <c r="J33" s="13" t="str">
        <f t="shared" si="11"/>
        <v>C-3A</v>
      </c>
      <c r="K33" s="13" t="str">
        <f t="shared" si="11"/>
        <v>C-4A</v>
      </c>
      <c r="L33" s="13" t="str">
        <f t="shared" si="11"/>
        <v>C-5A</v>
      </c>
      <c r="M33" s="13" t="str">
        <f t="shared" si="11"/>
        <v>C-6A</v>
      </c>
      <c r="N33" s="13" t="str">
        <f t="shared" si="11"/>
        <v>C-7A</v>
      </c>
      <c r="O33" s="13" t="str">
        <f t="shared" si="11"/>
        <v>C-8A</v>
      </c>
      <c r="P33" s="13" t="str">
        <f t="shared" si="11"/>
        <v>C-9A</v>
      </c>
      <c r="Q33" s="13" t="str">
        <f t="shared" si="11"/>
        <v>C-10A</v>
      </c>
      <c r="R33" s="13" t="str">
        <f t="shared" si="11"/>
        <v>C-11A</v>
      </c>
      <c r="S33" s="13" t="str">
        <f t="shared" si="11"/>
        <v>C-12A</v>
      </c>
      <c r="T33" s="13" t="str">
        <f t="shared" si="11"/>
        <v>C-13A</v>
      </c>
      <c r="U33" s="13" t="str">
        <f t="shared" si="11"/>
        <v>C-14A</v>
      </c>
      <c r="V33" s="13" t="str">
        <f t="shared" si="11"/>
        <v>C-15A</v>
      </c>
      <c r="W33" s="13" t="str">
        <f t="shared" si="11"/>
        <v>C-16A</v>
      </c>
      <c r="X33" s="13" t="str">
        <f t="shared" si="11"/>
        <v>C-17A</v>
      </c>
      <c r="Y33" s="13" t="str">
        <f t="shared" si="11"/>
        <v>C-18A</v>
      </c>
      <c r="Z33" s="13" t="str">
        <f t="shared" si="11"/>
        <v>C-19A</v>
      </c>
      <c r="AA33" s="14" t="str">
        <f t="shared" si="11"/>
        <v>C-20A</v>
      </c>
      <c r="AB33" s="15"/>
      <c r="AC33" s="6" t="s">
        <v>14</v>
      </c>
      <c r="AD33" s="12" t="s">
        <v>12</v>
      </c>
      <c r="AE33" s="13" t="str">
        <f t="shared" ref="AE33:AG33" si="12">CONCATENATE($AC33,"-",AE$1,$AD33)</f>
        <v>PCB-15C</v>
      </c>
      <c r="AF33" s="13" t="str">
        <f t="shared" si="12"/>
        <v>PCB-16C</v>
      </c>
      <c r="AG33" s="14" t="str">
        <f t="shared" si="12"/>
        <v>PCB-17C</v>
      </c>
    </row>
    <row r="34" ht="11.25" customHeight="1">
      <c r="A34" s="42"/>
      <c r="B34" s="17"/>
      <c r="C34" s="18" t="s">
        <v>5</v>
      </c>
      <c r="D34" s="11"/>
      <c r="F34" s="19" t="str">
        <f>IF(COUNTIF(G34:Z34,"ERROR")=0,"CLEAR",COUNTIF(G34:Z34,"ERROR")&amp;" ERRORS")
</f>
        <v>CLEAR</v>
      </c>
      <c r="G34" s="20" t="s">
        <v>6</v>
      </c>
      <c r="H34" s="21" t="str">
        <f>IFERROR(__xludf.DUMMYFUNCTION("IFERROR(IF(COUNTA(UNIQUE(FILTER(RC_IN[BLOCK],RC_IN[BLOCK LOC]=H33,RC_IN[STATE]&lt;&gt;""CLOSED"")))&gt;1,""ERROR"",INDEX(UNIQUE(FILTER(RC_IN[BLOCK],RC_IN[BLOCK LOC]=H33,RC_IN[STATE]&lt;&gt;""CLOSED"")),1)),"""")
"),"SEPT-25-BLK9")</f>
        <v>SEPT-25-BLK9</v>
      </c>
      <c r="I34" s="21" t="str">
        <f>IFERROR(__xludf.DUMMYFUNCTION("IFERROR(IF(COUNTA(UNIQUE(FILTER(RC_IN[BLOCK],RC_IN[BLOCK LOC]=I33,RC_IN[STATE]&lt;&gt;""CLOSED"")))&gt;1,""ERROR"",INDEX(UNIQUE(FILTER(RC_IN[BLOCK],RC_IN[BLOCK LOC]=I33,RC_IN[STATE]&lt;&gt;""CLOSED"")),1)),"""")
"),"OCT-25-BLK11")</f>
        <v>OCT-25-BLK11</v>
      </c>
      <c r="J34" s="21" t="str">
        <f>IFERROR(__xludf.DUMMYFUNCTION("IFERROR(IF(COUNTA(UNIQUE(FILTER(RC_IN[BLOCK],RC_IN[BLOCK LOC]=J33,RC_IN[STATE]&lt;&gt;""CLOSED"")))&gt;1,""ERROR"",INDEX(UNIQUE(FILTER(RC_IN[BLOCK],RC_IN[BLOCK LOC]=J33,RC_IN[STATE]&lt;&gt;""CLOSED"")),1)),"""")
"),"APRIL-25-BLK13")</f>
        <v>APRIL-25-BLK13</v>
      </c>
      <c r="K34" s="21" t="str">
        <f>IFERROR(__xludf.DUMMYFUNCTION("IFERROR(IF(COUNTA(UNIQUE(FILTER(RC_IN[BLOCK],RC_IN[BLOCK LOC]=K33,RC_IN[STATE]&lt;&gt;""CLOSED"")))&gt;1,""ERROR"",INDEX(UNIQUE(FILTER(RC_IN[BLOCK],RC_IN[BLOCK LOC]=K33,RC_IN[STATE]&lt;&gt;""CLOSED"")),1)),"""")
"),"MAY-25-BLK9")</f>
        <v>MAY-25-BLK9</v>
      </c>
      <c r="L34" s="21" t="str">
        <f>IFERROR(__xludf.DUMMYFUNCTION("IFERROR(IF(COUNTA(UNIQUE(FILTER(RC_IN[BLOCK],RC_IN[BLOCK LOC]=L33,RC_IN[STATE]&lt;&gt;""CLOSED"")))&gt;1,""ERROR"",INDEX(UNIQUE(FILTER(RC_IN[BLOCK],RC_IN[BLOCK LOC]=L33,RC_IN[STATE]&lt;&gt;""CLOSED"")),1)),"""")
"),"JUNE-25-BLK8")</f>
        <v>JUNE-25-BLK8</v>
      </c>
      <c r="M34" s="21" t="str">
        <f>IFERROR(__xludf.DUMMYFUNCTION("IFERROR(IF(COUNTA(UNIQUE(FILTER(RC_IN[BLOCK],RC_IN[BLOCK LOC]=M33,RC_IN[STATE]&lt;&gt;""CLOSED"")))&gt;1,""ERROR"",INDEX(UNIQUE(FILTER(RC_IN[BLOCK],RC_IN[BLOCK LOC]=M33,RC_IN[STATE]&lt;&gt;""CLOSED"")),1)),"""")
"),"")</f>
        <v/>
      </c>
      <c r="N34" s="21" t="str">
        <f>IFERROR(__xludf.DUMMYFUNCTION("IFERROR(IF(COUNTA(UNIQUE(FILTER(RC_IN[BLOCK],RC_IN[BLOCK LOC]=N33,RC_IN[STATE]&lt;&gt;""CLOSED"")))&gt;1,""ERROR"",INDEX(UNIQUE(FILTER(RC_IN[BLOCK],RC_IN[BLOCK LOC]=N33,RC_IN[STATE]&lt;&gt;""CLOSED"")),1)),"""")
"),"OCT-25-BLK2")</f>
        <v>OCT-25-BLK2</v>
      </c>
      <c r="O34" s="21" t="str">
        <f>IFERROR(__xludf.DUMMYFUNCTION("IFERROR(IF(COUNTA(UNIQUE(FILTER(RC_IN[BLOCK],RC_IN[BLOCK LOC]=O33,RC_IN[STATE]&lt;&gt;""CLOSED"")))&gt;1,""ERROR"",INDEX(UNIQUE(FILTER(RC_IN[BLOCK],RC_IN[BLOCK LOC]=O33,RC_IN[STATE]&lt;&gt;""CLOSED"")),1)),"""")
"),"FEB-26-BLK10")</f>
        <v>FEB-26-BLK10</v>
      </c>
      <c r="P34" s="21" t="str">
        <f>IFERROR(__xludf.DUMMYFUNCTION("IFERROR(IF(COUNTA(UNIQUE(FILTER(RC_IN[BLOCK],RC_IN[BLOCK LOC]=P33,RC_IN[STATE]&lt;&gt;""CLOSED"")))&gt;1,""ERROR"",INDEX(UNIQUE(FILTER(RC_IN[BLOCK],RC_IN[BLOCK LOC]=P33,RC_IN[STATE]&lt;&gt;""CLOSED"")),1)),"""")
"),"FEB-26-BLK26")</f>
        <v>FEB-26-BLK26</v>
      </c>
      <c r="Q34" s="21" t="str">
        <f>IFERROR(__xludf.DUMMYFUNCTION("IFERROR(IF(COUNTA(UNIQUE(FILTER(RC_IN[BLOCK],RC_IN[BLOCK LOC]=Q33,RC_IN[STATE]&lt;&gt;""CLOSED"")))&gt;1,""ERROR"",INDEX(UNIQUE(FILTER(RC_IN[BLOCK],RC_IN[BLOCK LOC]=Q33,RC_IN[STATE]&lt;&gt;""CLOSED"")),1)),"""")
"),"")</f>
        <v/>
      </c>
      <c r="R34" s="21" t="str">
        <f>IFERROR(__xludf.DUMMYFUNCTION("IFERROR(IF(COUNTA(UNIQUE(FILTER(RC_IN[BLOCK],RC_IN[BLOCK LOC]=R33,RC_IN[STATE]&lt;&gt;""CLOSED"")))&gt;1,""ERROR"",INDEX(UNIQUE(FILTER(RC_IN[BLOCK],RC_IN[BLOCK LOC]=R33,RC_IN[STATE]&lt;&gt;""CLOSED"")),1)),"""")
"),"")</f>
        <v/>
      </c>
      <c r="S34" s="21" t="str">
        <f>IFERROR(__xludf.DUMMYFUNCTION("IFERROR(IF(COUNTA(UNIQUE(FILTER(RC_IN[BLOCK],RC_IN[BLOCK LOC]=S33,RC_IN[STATE]&lt;&gt;""CLOSED"")))&gt;1,""ERROR"",INDEX(UNIQUE(FILTER(RC_IN[BLOCK],RC_IN[BLOCK LOC]=S33,RC_IN[STATE]&lt;&gt;""CLOSED"")),1)),"""")
"),"AUG-25-BLK2")</f>
        <v>AUG-25-BLK2</v>
      </c>
      <c r="T34" s="21" t="str">
        <f>IFERROR(__xludf.DUMMYFUNCTION("IFERROR(IF(COUNTA(UNIQUE(FILTER(RC_IN[BLOCK],RC_IN[BLOCK LOC]=T33,RC_IN[STATE]&lt;&gt;""CLOSED"")))&gt;1,""ERROR"",INDEX(UNIQUE(FILTER(RC_IN[BLOCK],RC_IN[BLOCK LOC]=T33,RC_IN[STATE]&lt;&gt;""CLOSED"")),1)),"""")
"),"AUG-25-BLK5")</f>
        <v>AUG-25-BLK5</v>
      </c>
      <c r="U34" s="21" t="str">
        <f>IFERROR(__xludf.DUMMYFUNCTION("IFERROR(IF(COUNTA(UNIQUE(FILTER(RC_IN[BLOCK],RC_IN[BLOCK LOC]=U33,RC_IN[STATE]&lt;&gt;""CLOSED"")))&gt;1,""ERROR"",INDEX(UNIQUE(FILTER(RC_IN[BLOCK],RC_IN[BLOCK LOC]=U33,RC_IN[STATE]&lt;&gt;""CLOSED"")),1)),"""")
"),"AUG-25-BLK12")</f>
        <v>AUG-25-BLK12</v>
      </c>
      <c r="V34" s="21" t="str">
        <f>IFERROR(__xludf.DUMMYFUNCTION("IFERROR(IF(COUNTA(UNIQUE(FILTER(RC_IN[BLOCK],RC_IN[BLOCK LOC]=V33,RC_IN[STATE]&lt;&gt;""CLOSED"")))&gt;1,""ERROR"",INDEX(UNIQUE(FILTER(RC_IN[BLOCK],RC_IN[BLOCK LOC]=V33,RC_IN[STATE]&lt;&gt;""CLOSED"")),1)),"""")
"),"SEPT-25-BLK1")</f>
        <v>SEPT-25-BLK1</v>
      </c>
      <c r="W34" s="21" t="str">
        <f>IFERROR(__xludf.DUMMYFUNCTION("IFERROR(IF(COUNTA(UNIQUE(FILTER(RC_IN[BLOCK],RC_IN[BLOCK LOC]=W33,RC_IN[STATE]&lt;&gt;""CLOSED"")))&gt;1,""ERROR"",INDEX(UNIQUE(FILTER(RC_IN[BLOCK],RC_IN[BLOCK LOC]=W33,RC_IN[STATE]&lt;&gt;""CLOSED"")),1)),"""")
"),"")</f>
        <v/>
      </c>
      <c r="X34" s="21" t="str">
        <f>IFERROR(__xludf.DUMMYFUNCTION("IFERROR(IF(COUNTA(UNIQUE(FILTER(RC_IN[BLOCK],RC_IN[BLOCK LOC]=X33,RC_IN[STATE]&lt;&gt;""CLOSED"")))&gt;1,""ERROR"",INDEX(UNIQUE(FILTER(RC_IN[BLOCK],RC_IN[BLOCK LOC]=X33,RC_IN[STATE]&lt;&gt;""CLOSED"")),1)),"""")
"),"FEB-26-BLK13")</f>
        <v>FEB-26-BLK13</v>
      </c>
      <c r="Y34" s="21" t="str">
        <f>IFERROR(__xludf.DUMMYFUNCTION("IFERROR(IF(COUNTA(UNIQUE(FILTER(RC_IN[BLOCK],RC_IN[BLOCK LOC]=Y33,RC_IN[STATE]&lt;&gt;""CLOSED"")))&gt;1,""ERROR"",INDEX(UNIQUE(FILTER(RC_IN[BLOCK],RC_IN[BLOCK LOC]=Y33,RC_IN[STATE]&lt;&gt;""CLOSED"")),1)),"""")
"),"FEB-26-BLK27")</f>
        <v>FEB-26-BLK27</v>
      </c>
      <c r="Z34" s="21" t="str">
        <f>IFERROR(__xludf.DUMMYFUNCTION("IFERROR(IF(COUNTA(UNIQUE(FILTER(RC_IN[BLOCK],RC_IN[BLOCK LOC]=Z33,RC_IN[STATE]&lt;&gt;""CLOSED"")))&gt;1,""ERROR"",INDEX(UNIQUE(FILTER(RC_IN[BLOCK],RC_IN[BLOCK LOC]=Z33,RC_IN[STATE]&lt;&gt;""CLOSED"")),1)),"""")
"),"NOV-25-BLK15")</f>
        <v>NOV-25-BLK15</v>
      </c>
      <c r="AA34" s="22" t="str">
        <f>IFERROR(__xludf.DUMMYFUNCTION("IFERROR(IF(COUNTA(UNIQUE(FILTER(RC_IN[BLOCK],RC_IN[BLOCK LOC]=AA33,RC_IN[STATE]&lt;&gt;""CLOSED"")))&gt;1,""ERROR"",INDEX(UNIQUE(FILTER(RC_IN[BLOCK],RC_IN[BLOCK LOC]=AA33,RC_IN[STATE]&lt;&gt;""CLOSED"")),1)),"""")
"),"APRIL-26-BLK9")</f>
        <v>APRIL-26-BLK9</v>
      </c>
      <c r="AB34" s="15"/>
      <c r="AC34" s="23"/>
      <c r="AD34" s="20" t="s">
        <v>6</v>
      </c>
      <c r="AE34" s="21" t="str">
        <f>IFERROR(__xludf.DUMMYFUNCTION("IFERROR(IF(COUNTA(UNIQUE(FILTER(RC_IN[BLOCK],RC_IN[BLOCK LOC]=AE33,RC_IN[STATE]&lt;&gt;""CLOSED"")))&gt;1,""ERROR"",INDEX(UNIQUE(FILTER(RC_IN[BLOCK],RC_IN[BLOCK LOC]=AE33,RC_IN[STATE]&lt;&gt;""CLOSED"")),1)),"""")
"),"")</f>
        <v/>
      </c>
      <c r="AF34" s="21" t="str">
        <f>IFERROR(__xludf.DUMMYFUNCTION("IFERROR(IF(COUNTA(UNIQUE(FILTER(RC_IN[BLOCK],RC_IN[BLOCK LOC]=AF33,RC_IN[STATE]&lt;&gt;""CLOSED"")))&gt;1,""ERROR"",INDEX(UNIQUE(FILTER(RC_IN[BLOCK],RC_IN[BLOCK LOC]=AF33,RC_IN[STATE]&lt;&gt;""CLOSED"")),1)),"""")
"),"")</f>
        <v/>
      </c>
      <c r="AG34" s="22" t="str">
        <f>IFERROR(__xludf.DUMMYFUNCTION("IFERROR(IF(COUNTA(UNIQUE(FILTER(RC_IN[BLOCK],RC_IN[BLOCK LOC]=AG33,RC_IN[STATE]&lt;&gt;""CLOSED"")))&gt;1,""ERROR"",INDEX(UNIQUE(FILTER(RC_IN[BLOCK],RC_IN[BLOCK LOC]=AG33,RC_IN[STATE]&lt;&gt;""CLOSED"")),1)),"""")
"),"")</f>
        <v/>
      </c>
    </row>
    <row r="35" ht="11.25" customHeight="1">
      <c r="A35" s="42"/>
      <c r="B35" s="17"/>
      <c r="C35" s="25">
        <f>sum(H35:AA35)</f>
        <v>942820</v>
      </c>
      <c r="D35" s="11"/>
      <c r="F35" s="26"/>
      <c r="G35" s="27" t="s">
        <v>7</v>
      </c>
      <c r="H35" s="28">
        <f>SUMIFS(RC_IN[WT],RC_IN[BLOCK],H34,RC_IN[BLOCK LOC],H33)-SUMIFS(RC_OUT[WT],RC_OUT[BLOCK],H34,RC_OUT[BLOCK LOC],H33)</f>
        <v>51490</v>
      </c>
      <c r="I35" s="28">
        <f>SUMIFS(RC_IN[WT],RC_IN[BLOCK],I34,RC_IN[BLOCK LOC],I33)-SUMIFS(RC_OUT[WT],RC_OUT[BLOCK],I34,RC_OUT[BLOCK LOC],I33)</f>
        <v>59945</v>
      </c>
      <c r="J35" s="28">
        <f>SUMIFS(RC_IN[WT],RC_IN[BLOCK],J34,RC_IN[BLOCK LOC],J33)-SUMIFS(RC_OUT[WT],RC_OUT[BLOCK],J34,RC_OUT[BLOCK LOC],J33)</f>
        <v>46335</v>
      </c>
      <c r="K35" s="28">
        <f>SUMIFS(RC_IN[WT],RC_IN[BLOCK],K34,RC_IN[BLOCK LOC],K33)-SUMIFS(RC_OUT[WT],RC_OUT[BLOCK],K34,RC_OUT[BLOCK LOC],K33)</f>
        <v>47780</v>
      </c>
      <c r="L35" s="28">
        <f>SUMIFS(RC_IN[WT],RC_IN[BLOCK],L34,RC_IN[BLOCK LOC],L33)-SUMIFS(RC_OUT[WT],RC_OUT[BLOCK],L34,RC_OUT[BLOCK LOC],L33)</f>
        <v>55920</v>
      </c>
      <c r="M35" s="28">
        <f>SUMIFS(RC_IN[WT],RC_IN[BLOCK],M34,RC_IN[BLOCK LOC],M33)-SUMIFS(RC_OUT[WT],RC_OUT[BLOCK],M34,RC_OUT[BLOCK LOC],M33)</f>
        <v>0</v>
      </c>
      <c r="N35" s="28">
        <f>SUMIFS(RC_IN[WT],RC_IN[BLOCK],N34,RC_IN[BLOCK LOC],N33)-SUMIFS(RC_OUT[WT],RC_OUT[BLOCK],N34,RC_OUT[BLOCK LOC],N33)</f>
        <v>79156</v>
      </c>
      <c r="O35" s="28">
        <f>SUMIFS(RC_IN[WT],RC_IN[BLOCK],O34,RC_IN[BLOCK LOC],O33)-SUMIFS(RC_OUT[WT],RC_OUT[BLOCK],O34,RC_OUT[BLOCK LOC],O33)</f>
        <v>66010</v>
      </c>
      <c r="P35" s="28">
        <f>SUMIFS(RC_IN[WT],RC_IN[BLOCK],P34,RC_IN[BLOCK LOC],P33)-SUMIFS(RC_OUT[WT],RC_OUT[BLOCK],P34,RC_OUT[BLOCK LOC],P33)</f>
        <v>40059</v>
      </c>
      <c r="Q35" s="28">
        <f>SUMIFS(RC_IN[WT],RC_IN[BLOCK],Q34,RC_IN[BLOCK LOC],Q33)-SUMIFS(RC_OUT[WT],RC_OUT[BLOCK],Q34,RC_OUT[BLOCK LOC],Q33)</f>
        <v>0</v>
      </c>
      <c r="R35" s="28">
        <f>SUMIFS(RC_IN[WT],RC_IN[BLOCK],R34,RC_IN[BLOCK LOC],R33)-SUMIFS(RC_OUT[WT],RC_OUT[BLOCK],R34,RC_OUT[BLOCK LOC],R33)</f>
        <v>0</v>
      </c>
      <c r="S35" s="28">
        <f>SUMIFS(RC_IN[WT],RC_IN[BLOCK],S34,RC_IN[BLOCK LOC],S33)-SUMIFS(RC_OUT[WT],RC_OUT[BLOCK],S34,RC_OUT[BLOCK LOC],S33)</f>
        <v>53345</v>
      </c>
      <c r="T35" s="28">
        <f>SUMIFS(RC_IN[WT],RC_IN[BLOCK],T34,RC_IN[BLOCK LOC],T33)-SUMIFS(RC_OUT[WT],RC_OUT[BLOCK],T34,RC_OUT[BLOCK LOC],T33)</f>
        <v>54950</v>
      </c>
      <c r="U35" s="28">
        <f>SUMIFS(RC_IN[WT],RC_IN[BLOCK],U34,RC_IN[BLOCK LOC],U33)-SUMIFS(RC_OUT[WT],RC_OUT[BLOCK],U34,RC_OUT[BLOCK LOC],U33)</f>
        <v>61305</v>
      </c>
      <c r="V35" s="28">
        <f>SUMIFS(RC_IN[WT],RC_IN[BLOCK],V34,RC_IN[BLOCK LOC],V33)-SUMIFS(RC_OUT[WT],RC_OUT[BLOCK],V34,RC_OUT[BLOCK LOC],V33)</f>
        <v>74160</v>
      </c>
      <c r="W35" s="28">
        <f>SUMIFS(RC_IN[WT],RC_IN[BLOCK],W34,RC_IN[BLOCK LOC],W33)-SUMIFS(RC_OUT[WT],RC_OUT[BLOCK],W34,RC_OUT[BLOCK LOC],W33)</f>
        <v>0</v>
      </c>
      <c r="X35" s="28">
        <f>SUMIFS(RC_IN[WT],RC_IN[BLOCK],X34,RC_IN[BLOCK LOC],X33)-SUMIFS(RC_OUT[WT],RC_OUT[BLOCK],X34,RC_OUT[BLOCK LOC],X33)</f>
        <v>71265</v>
      </c>
      <c r="Y35" s="28">
        <f>SUMIFS(RC_IN[WT],RC_IN[BLOCK],Y34,RC_IN[BLOCK LOC],Y33)-SUMIFS(RC_OUT[WT],RC_OUT[BLOCK],Y34,RC_OUT[BLOCK LOC],Y33)</f>
        <v>53720</v>
      </c>
      <c r="Z35" s="28">
        <f>SUMIFS(RC_IN[WT],RC_IN[BLOCK],Z34,RC_IN[BLOCK LOC],Z33)-SUMIFS(RC_OUT[WT],RC_OUT[BLOCK],Z34,RC_OUT[BLOCK LOC],Z33)</f>
        <v>56685</v>
      </c>
      <c r="AA35" s="29">
        <f>SUMIFS(RC_IN[WT],RC_IN[BLOCK],AA34,RC_IN[BLOCK LOC],AA33)-SUMIFS(RC_OUT[WT],RC_OUT[BLOCK],AA34,RC_OUT[BLOCK LOC],AA33)</f>
        <v>70695</v>
      </c>
      <c r="AB35" s="15"/>
      <c r="AC35" s="30">
        <f>sum(AE35:AG35)</f>
        <v>0</v>
      </c>
      <c r="AD35" s="27" t="s">
        <v>7</v>
      </c>
      <c r="AE35" s="28">
        <f>SUMIFS(RC_IN[WT],RC_IN[BLOCK],AE34,RC_IN[BLOCK LOC],AE33)-SUMIFS(RC_OUT[WT],RC_OUT[BLOCK],AE34,RC_OUT[BLOCK LOC],AE33)</f>
        <v>0</v>
      </c>
      <c r="AF35" s="28">
        <f>SUMIFS(RC_IN[WT],RC_IN[BLOCK],AF34,RC_IN[BLOCK LOC],AF33)-SUMIFS(RC_OUT[WT],RC_OUT[BLOCK],AF34,RC_OUT[BLOCK LOC],AF33)</f>
        <v>0</v>
      </c>
      <c r="AG35" s="29">
        <f>SUMIFS(RC_IN[WT],RC_IN[BLOCK],AG34,RC_IN[BLOCK LOC],AG33)-SUMIFS(RC_OUT[WT],RC_OUT[BLOCK],AG34,RC_OUT[BLOCK LOC],AG33)</f>
        <v>0</v>
      </c>
    </row>
    <row r="36" ht="11.25" customHeight="1">
      <c r="A36" s="42"/>
      <c r="B36" s="17"/>
      <c r="C36" s="32"/>
      <c r="D36" s="11"/>
      <c r="F36" s="33"/>
      <c r="G36" s="34" t="s">
        <v>8</v>
      </c>
      <c r="H36" s="35">
        <f>IFERROR(__xludf.DUMMYFUNCTION("IFERROR(SUMPRODUCT(FILTER(RC_IN[ASTM],RC_IN[BLOCK]=H34,RC_IN[BLOCK LOC]=H33),FILTER(RC_IN[WT],RC_IN[BLOCK]=H34,RC_IN[BLOCK LOC]=H33))/SUM(FILTER(RC_IN[WT],RC_IN[BLOCK]=H34,RC_IN[BLOCK LOC]=H33)),"""")
"),0.5686294426102155)</f>
        <v>0.5686294426</v>
      </c>
      <c r="I36" s="35">
        <f>IFERROR(__xludf.DUMMYFUNCTION("IFERROR(SUMPRODUCT(FILTER(RC_IN[ASTM],RC_IN[BLOCK]=I34,RC_IN[BLOCK LOC]=I33),FILTER(RC_IN[WT],RC_IN[BLOCK]=I34,RC_IN[BLOCK LOC]=I33))/SUM(FILTER(RC_IN[WT],RC_IN[BLOCK]=I34,RC_IN[BLOCK LOC]=I33)),"""")
"),0.572857202435566)</f>
        <v>0.5728572024</v>
      </c>
      <c r="J36" s="35">
        <f>IFERROR(__xludf.DUMMYFUNCTION("IFERROR(SUMPRODUCT(FILTER(RC_IN[ASTM],RC_IN[BLOCK]=J34,RC_IN[BLOCK LOC]=J33),FILTER(RC_IN[WT],RC_IN[BLOCK]=J34,RC_IN[BLOCK LOC]=J33))/SUM(FILTER(RC_IN[WT],RC_IN[BLOCK]=J34,RC_IN[BLOCK LOC]=J33)),"""")
"),0.581506096902989)</f>
        <v>0.5815060969</v>
      </c>
      <c r="K36" s="35">
        <f>IFERROR(__xludf.DUMMYFUNCTION("IFERROR(SUMPRODUCT(FILTER(RC_IN[ASTM],RC_IN[BLOCK]=K34,RC_IN[BLOCK LOC]=K33),FILTER(RC_IN[WT],RC_IN[BLOCK]=K34,RC_IN[BLOCK LOC]=K33))/SUM(FILTER(RC_IN[WT],RC_IN[BLOCK]=K34,RC_IN[BLOCK LOC]=K33)),"""")
"),0.583549183758895)</f>
        <v>0.5835491838</v>
      </c>
      <c r="L36" s="35">
        <f>IFERROR(__xludf.DUMMYFUNCTION("IFERROR(SUMPRODUCT(FILTER(RC_IN[ASTM],RC_IN[BLOCK]=L34,RC_IN[BLOCK LOC]=L33),FILTER(RC_IN[WT],RC_IN[BLOCK]=L34,RC_IN[BLOCK LOC]=L33))/SUM(FILTER(RC_IN[WT],RC_IN[BLOCK]=L34,RC_IN[BLOCK LOC]=L33)),"""")
"),0.5787126251788268)</f>
        <v>0.5787126252</v>
      </c>
      <c r="M36" s="35" t="str">
        <f>IFERROR(__xludf.DUMMYFUNCTION("IFERROR(SUMPRODUCT(FILTER(RC_IN[ASTM],RC_IN[BLOCK]=M34,RC_IN[BLOCK LOC]=M33),FILTER(RC_IN[WT],RC_IN[BLOCK]=M34,RC_IN[BLOCK LOC]=M33))/SUM(FILTER(RC_IN[WT],RC_IN[BLOCK]=M34,RC_IN[BLOCK LOC]=M33)),"""")
"),"  ")</f>
        <v/>
      </c>
      <c r="N36" s="35">
        <f>IFERROR(__xludf.DUMMYFUNCTION("IFERROR(SUMPRODUCT(FILTER(RC_IN[ASTM],RC_IN[BLOCK]=N34,RC_IN[BLOCK LOC]=N33),FILTER(RC_IN[WT],RC_IN[BLOCK]=N34,RC_IN[BLOCK LOC]=N33))/SUM(FILTER(RC_IN[WT],RC_IN[BLOCK]=N34,RC_IN[BLOCK LOC]=N33)),"""")
"),0.556775746626914)</f>
        <v>0.5567757466</v>
      </c>
      <c r="O36" s="35">
        <f>IFERROR(__xludf.DUMMYFUNCTION("IFERROR(SUMPRODUCT(FILTER(RC_IN[ASTM],RC_IN[BLOCK]=O34,RC_IN[BLOCK LOC]=O33),FILTER(RC_IN[WT],RC_IN[BLOCK]=O34,RC_IN[BLOCK LOC]=O33))/SUM(FILTER(RC_IN[WT],RC_IN[BLOCK]=O34,RC_IN[BLOCK LOC]=O33)),"""")
"),0.5621963338888047)</f>
        <v>0.5621963339</v>
      </c>
      <c r="P36" s="35">
        <f>IFERROR(__xludf.DUMMYFUNCTION("IFERROR(SUMPRODUCT(FILTER(RC_IN[ASTM],RC_IN[BLOCK]=P34,RC_IN[BLOCK LOC]=P33),FILTER(RC_IN[WT],RC_IN[BLOCK]=P34,RC_IN[BLOCK LOC]=P33))/SUM(FILTER(RC_IN[WT],RC_IN[BLOCK]=P34,RC_IN[BLOCK LOC]=P33)),"""")
"),0.5702345290696222)</f>
        <v>0.5702345291</v>
      </c>
      <c r="Q36" s="35" t="str">
        <f>IFERROR(__xludf.DUMMYFUNCTION("IFERROR(SUMPRODUCT(FILTER(RC_IN[ASTM],RC_IN[BLOCK]=Q34,RC_IN[BLOCK LOC]=Q33),FILTER(RC_IN[WT],RC_IN[BLOCK]=Q34,RC_IN[BLOCK LOC]=Q33))/SUM(FILTER(RC_IN[WT],RC_IN[BLOCK]=Q34,RC_IN[BLOCK LOC]=Q33)),"""")
"),"  ")</f>
        <v/>
      </c>
      <c r="R36" s="35" t="str">
        <f>IFERROR(__xludf.DUMMYFUNCTION("IFERROR(SUMPRODUCT(FILTER(RC_IN[ASTM],RC_IN[BLOCK]=R34,RC_IN[BLOCK LOC]=R33),FILTER(RC_IN[WT],RC_IN[BLOCK]=R34,RC_IN[BLOCK LOC]=R33))/SUM(FILTER(RC_IN[WT],RC_IN[BLOCK]=R34,RC_IN[BLOCK LOC]=R33)),"""")
"),"  ")</f>
        <v/>
      </c>
      <c r="S36" s="35">
        <f>IFERROR(__xludf.DUMMYFUNCTION("IFERROR(SUMPRODUCT(FILTER(RC_IN[ASTM],RC_IN[BLOCK]=S34,RC_IN[BLOCK LOC]=S33),FILTER(RC_IN[WT],RC_IN[BLOCK]=S34,RC_IN[BLOCK LOC]=S33))/SUM(FILTER(RC_IN[WT],RC_IN[BLOCK]=S34,RC_IN[BLOCK LOC]=S33)),"""")
"),0.5833642328240697)</f>
        <v>0.5833642328</v>
      </c>
      <c r="T36" s="35">
        <f>IFERROR(__xludf.DUMMYFUNCTION("IFERROR(SUMPRODUCT(FILTER(RC_IN[ASTM],RC_IN[BLOCK]=T34,RC_IN[BLOCK LOC]=T33),FILTER(RC_IN[WT],RC_IN[BLOCK]=T34,RC_IN[BLOCK LOC]=T33))/SUM(FILTER(RC_IN[WT],RC_IN[BLOCK]=T34,RC_IN[BLOCK LOC]=T33)),"""")
"),0.5643410373066424)</f>
        <v>0.5643410373</v>
      </c>
      <c r="U36" s="35">
        <f>IFERROR(__xludf.DUMMYFUNCTION("IFERROR(SUMPRODUCT(FILTER(RC_IN[ASTM],RC_IN[BLOCK]=U34,RC_IN[BLOCK LOC]=U33),FILTER(RC_IN[WT],RC_IN[BLOCK]=U34,RC_IN[BLOCK LOC]=U33))/SUM(FILTER(RC_IN[WT],RC_IN[BLOCK]=U34,RC_IN[BLOCK LOC]=U33)),"""")
"),0.5769172987521408)</f>
        <v>0.5769172988</v>
      </c>
      <c r="V36" s="35">
        <f>IFERROR(__xludf.DUMMYFUNCTION("IFERROR(SUMPRODUCT(FILTER(RC_IN[ASTM],RC_IN[BLOCK]=V34,RC_IN[BLOCK LOC]=V33),FILTER(RC_IN[WT],RC_IN[BLOCK]=V34,RC_IN[BLOCK LOC]=V33))/SUM(FILTER(RC_IN[WT],RC_IN[BLOCK]=V34,RC_IN[BLOCK LOC]=V33)),"""")
"),0.5727014563106795)</f>
        <v>0.5727014563</v>
      </c>
      <c r="W36" s="35" t="str">
        <f>IFERROR(__xludf.DUMMYFUNCTION("IFERROR(SUMPRODUCT(FILTER(RC_IN[ASTM],RC_IN[BLOCK]=W34,RC_IN[BLOCK LOC]=W33),FILTER(RC_IN[WT],RC_IN[BLOCK]=W34,RC_IN[BLOCK LOC]=W33))/SUM(FILTER(RC_IN[WT],RC_IN[BLOCK]=W34,RC_IN[BLOCK LOC]=W33)),"""")
"),"  ")</f>
        <v/>
      </c>
      <c r="X36" s="35">
        <f>IFERROR(__xludf.DUMMYFUNCTION("IFERROR(SUMPRODUCT(FILTER(RC_IN[ASTM],RC_IN[BLOCK]=X34,RC_IN[BLOCK LOC]=X33),FILTER(RC_IN[WT],RC_IN[BLOCK]=X34,RC_IN[BLOCK LOC]=X33))/SUM(FILTER(RC_IN[WT],RC_IN[BLOCK]=X34,RC_IN[BLOCK LOC]=X33)),"""")
"),0.5575953693959167)</f>
        <v>0.5575953694</v>
      </c>
      <c r="Y36" s="35">
        <f>IFERROR(__xludf.DUMMYFUNCTION("IFERROR(SUMPRODUCT(FILTER(RC_IN[ASTM],RC_IN[BLOCK]=Y34,RC_IN[BLOCK LOC]=Y33),FILTER(RC_IN[WT],RC_IN[BLOCK]=Y34,RC_IN[BLOCK LOC]=Y33))/SUM(FILTER(RC_IN[WT],RC_IN[BLOCK]=Y34,RC_IN[BLOCK LOC]=Y33)),"""")
"),0.5708873790022339)</f>
        <v>0.570887379</v>
      </c>
      <c r="Z36" s="35">
        <f>IFERROR(__xludf.DUMMYFUNCTION("IFERROR(SUMPRODUCT(FILTER(RC_IN[ASTM],RC_IN[BLOCK]=Z34,RC_IN[BLOCK LOC]=Z33),FILTER(RC_IN[WT],RC_IN[BLOCK]=Z34,RC_IN[BLOCK LOC]=Z33))/SUM(FILTER(RC_IN[WT],RC_IN[BLOCK]=Z34,RC_IN[BLOCK LOC]=Z33)),"""")
"),0.5801436005998059)</f>
        <v>0.5801436006</v>
      </c>
      <c r="AA36" s="36">
        <f>IFERROR(__xludf.DUMMYFUNCTION("IFERROR(SUMPRODUCT(FILTER(RC_IN[ASTM],RC_IN[BLOCK]=AA34,RC_IN[BLOCK LOC]=AA33),FILTER(RC_IN[WT],RC_IN[BLOCK]=AA34,RC_IN[BLOCK LOC]=AA33))/SUM(FILTER(RC_IN[WT],RC_IN[BLOCK]=AA34,RC_IN[BLOCK LOC]=AA33)),"""")
"),0.5741657118608104)</f>
        <v>0.5741657119</v>
      </c>
      <c r="AB36" s="37"/>
      <c r="AC36" s="38"/>
      <c r="AD36" s="34" t="s">
        <v>8</v>
      </c>
      <c r="AE36" s="35" t="str">
        <f>IFERROR(__xludf.DUMMYFUNCTION("IFERROR(SUMPRODUCT(FILTER(RC_IN[ASTM],RC_IN[BLOCK]=AE34,RC_IN[BLOCK LOC]=AE33),FILTER(RC_IN[WT],RC_IN[BLOCK]=AE34,RC_IN[BLOCK LOC]=AE33))/SUM(FILTER(RC_IN[WT],RC_IN[BLOCK]=AE34,RC_IN[BLOCK LOC]=AE33)),"""")
"),"  ")</f>
        <v/>
      </c>
      <c r="AF36" s="35" t="str">
        <f>IFERROR(__xludf.DUMMYFUNCTION("IFERROR(SUMPRODUCT(FILTER(RC_IN[ASTM],RC_IN[BLOCK]=AF34,RC_IN[BLOCK LOC]=AF33),FILTER(RC_IN[WT],RC_IN[BLOCK]=AF34,RC_IN[BLOCK LOC]=AF33))/SUM(FILTER(RC_IN[WT],RC_IN[BLOCK]=AF34,RC_IN[BLOCK LOC]=AF33)),"""")
"),"  ")</f>
        <v/>
      </c>
      <c r="AG36" s="36" t="str">
        <f>IFERROR(__xludf.DUMMYFUNCTION("IFERROR(SUMPRODUCT(FILTER(RC_IN[ASTM],RC_IN[BLOCK]=AG34,RC_IN[BLOCK LOC]=AG33),FILTER(RC_IN[WT],RC_IN[BLOCK]=AG34,RC_IN[BLOCK LOC]=AG33))/SUM(FILTER(RC_IN[WT],RC_IN[BLOCK]=AG34,RC_IN[BLOCK LOC]=AG33)),"""")
"),"  ")</f>
        <v/>
      </c>
    </row>
    <row r="37" ht="11.25" customHeight="1">
      <c r="A37" s="42"/>
      <c r="B37" s="17"/>
      <c r="C37" s="32"/>
      <c r="D37" s="11"/>
      <c r="F37" s="26"/>
      <c r="G37" s="27" t="s">
        <v>9</v>
      </c>
      <c r="H37" s="40">
        <f>IFERROR(__xludf.DUMMYFUNCTION("IFERROR(SUMPRODUCT(FILTER(RC_IN[ASH],RC_IN[BLOCK]=H34,RC_IN[BLOCK LOC]=H33),FILTER(RC_IN[WT],RC_IN[BLOCK]=H34,RC_IN[BLOCK LOC]=H33))/SUM(FILTER(RC_IN[WT],RC_IN[BLOCK]=H34,RC_IN[BLOCK LOC]=H33)),"""")
"),4.045272868518159)</f>
        <v>4.045272869</v>
      </c>
      <c r="I37" s="40">
        <f>IFERROR(__xludf.DUMMYFUNCTION("IFERROR(SUMPRODUCT(FILTER(RC_IN[ASH],RC_IN[BLOCK]=I34,RC_IN[BLOCK LOC]=I33),FILTER(RC_IN[WT],RC_IN[BLOCK]=I34,RC_IN[BLOCK LOC]=I33))/SUM(FILTER(RC_IN[WT],RC_IN[BLOCK]=I34,RC_IN[BLOCK LOC]=I33)),"""")
"),3.5705354908666274)</f>
        <v>3.570535491</v>
      </c>
      <c r="J37" s="40">
        <f>IFERROR(__xludf.DUMMYFUNCTION("IFERROR(SUMPRODUCT(FILTER(RC_IN[ASH],RC_IN[BLOCK]=J34,RC_IN[BLOCK LOC]=J33),FILTER(RC_IN[WT],RC_IN[BLOCK]=J34,RC_IN[BLOCK LOC]=J33))/SUM(FILTER(RC_IN[WT],RC_IN[BLOCK]=J34,RC_IN[BLOCK LOC]=J33)),"""")
"),3.564271069385993)</f>
        <v>3.564271069</v>
      </c>
      <c r="K37" s="40">
        <f>IFERROR(__xludf.DUMMYFUNCTION("IFERROR(SUMPRODUCT(FILTER(RC_IN[ASH],RC_IN[BLOCK]=K34,RC_IN[BLOCK LOC]=K33),FILTER(RC_IN[WT],RC_IN[BLOCK]=K34,RC_IN[BLOCK LOC]=K33))/SUM(FILTER(RC_IN[WT],RC_IN[BLOCK]=K34,RC_IN[BLOCK LOC]=K33)),"""")
"),3.939824194223525)</f>
        <v>3.939824194</v>
      </c>
      <c r="L37" s="40">
        <f>IFERROR(__xludf.DUMMYFUNCTION("IFERROR(SUMPRODUCT(FILTER(RC_IN[ASH],RC_IN[BLOCK]=L34,RC_IN[BLOCK LOC]=L33),FILTER(RC_IN[WT],RC_IN[BLOCK]=L34,RC_IN[BLOCK LOC]=L33))/SUM(FILTER(RC_IN[WT],RC_IN[BLOCK]=L34,RC_IN[BLOCK LOC]=L33)),"""")
"),7.236511087267525)</f>
        <v>7.236511087</v>
      </c>
      <c r="M37" s="40" t="str">
        <f>IFERROR(__xludf.DUMMYFUNCTION("IFERROR(SUMPRODUCT(FILTER(RC_IN[ASH],RC_IN[BLOCK]=M34,RC_IN[BLOCK LOC]=M33),FILTER(RC_IN[WT],RC_IN[BLOCK]=M34,RC_IN[BLOCK LOC]=M33))/SUM(FILTER(RC_IN[WT],RC_IN[BLOCK]=M34,RC_IN[BLOCK LOC]=M33)),"""")
"),"  ")</f>
        <v/>
      </c>
      <c r="N37" s="40">
        <f>IFERROR(__xludf.DUMMYFUNCTION("IFERROR(SUMPRODUCT(FILTER(RC_IN[ASH],RC_IN[BLOCK]=N34,RC_IN[BLOCK LOC]=N33),FILTER(RC_IN[WT],RC_IN[BLOCK]=N34,RC_IN[BLOCK LOC]=N33))/SUM(FILTER(RC_IN[WT],RC_IN[BLOCK]=N34,RC_IN[BLOCK LOC]=N33)),"""")
"),5.98809793319521)</f>
        <v>5.988097933</v>
      </c>
      <c r="O37" s="40">
        <f>IFERROR(__xludf.DUMMYFUNCTION("IFERROR(SUMPRODUCT(FILTER(RC_IN[ASH],RC_IN[BLOCK]=O34,RC_IN[BLOCK LOC]=O33),FILTER(RC_IN[WT],RC_IN[BLOCK]=O34,RC_IN[BLOCK LOC]=O33))/SUM(FILTER(RC_IN[WT],RC_IN[BLOCK]=O34,RC_IN[BLOCK LOC]=O33)),"""")
"),4.127989698530526)</f>
        <v>4.127989699</v>
      </c>
      <c r="P37" s="40">
        <f>IFERROR(__xludf.DUMMYFUNCTION("IFERROR(SUMPRODUCT(FILTER(RC_IN[ASH],RC_IN[BLOCK]=P34,RC_IN[BLOCK LOC]=P33),FILTER(RC_IN[WT],RC_IN[BLOCK]=P34,RC_IN[BLOCK LOC]=P33))/SUM(FILTER(RC_IN[WT],RC_IN[BLOCK]=P34,RC_IN[BLOCK LOC]=P33)),"""")
"),5.7877028882398465)</f>
        <v>5.787702888</v>
      </c>
      <c r="Q37" s="40" t="str">
        <f>IFERROR(__xludf.DUMMYFUNCTION("IFERROR(SUMPRODUCT(FILTER(RC_IN[ASH],RC_IN[BLOCK]=Q34,RC_IN[BLOCK LOC]=Q33),FILTER(RC_IN[WT],RC_IN[BLOCK]=Q34,RC_IN[BLOCK LOC]=Q33))/SUM(FILTER(RC_IN[WT],RC_IN[BLOCK]=Q34,RC_IN[BLOCK LOC]=Q33)),"""")
"),"  ")</f>
        <v/>
      </c>
      <c r="R37" s="40" t="str">
        <f>IFERROR(__xludf.DUMMYFUNCTION("IFERROR(SUMPRODUCT(FILTER(RC_IN[ASH],RC_IN[BLOCK]=R34,RC_IN[BLOCK LOC]=R33),FILTER(RC_IN[WT],RC_IN[BLOCK]=R34,RC_IN[BLOCK LOC]=R33))/SUM(FILTER(RC_IN[WT],RC_IN[BLOCK]=R34,RC_IN[BLOCK LOC]=R33)),"""")
"),"  ")</f>
        <v/>
      </c>
      <c r="S37" s="40">
        <f>IFERROR(__xludf.DUMMYFUNCTION("IFERROR(SUMPRODUCT(FILTER(RC_IN[ASH],RC_IN[BLOCK]=S34,RC_IN[BLOCK LOC]=S33),FILTER(RC_IN[WT],RC_IN[BLOCK]=S34,RC_IN[BLOCK LOC]=S33))/SUM(FILTER(RC_IN[WT],RC_IN[BLOCK]=S34,RC_IN[BLOCK LOC]=S33)),"""")
"),3.2037210610179025)</f>
        <v>3.203721061</v>
      </c>
      <c r="T37" s="40">
        <f>IFERROR(__xludf.DUMMYFUNCTION("IFERROR(SUMPRODUCT(FILTER(RC_IN[ASH],RC_IN[BLOCK]=T34,RC_IN[BLOCK LOC]=T33),FILTER(RC_IN[WT],RC_IN[BLOCK]=T34,RC_IN[BLOCK LOC]=T33))/SUM(FILTER(RC_IN[WT],RC_IN[BLOCK]=T34,RC_IN[BLOCK LOC]=T33)),"""")
"),5.171506824385805)</f>
        <v>5.171506824</v>
      </c>
      <c r="U37" s="40">
        <f>IFERROR(__xludf.DUMMYFUNCTION("IFERROR(SUMPRODUCT(FILTER(RC_IN[ASH],RC_IN[BLOCK]=U34,RC_IN[BLOCK LOC]=U33),FILTER(RC_IN[WT],RC_IN[BLOCK]=U34,RC_IN[BLOCK LOC]=U33))/SUM(FILTER(RC_IN[WT],RC_IN[BLOCK]=U34,RC_IN[BLOCK LOC]=U33)),"""")
"),3.29464562433733)</f>
        <v>3.294645624</v>
      </c>
      <c r="V37" s="40">
        <f>IFERROR(__xludf.DUMMYFUNCTION("IFERROR(SUMPRODUCT(FILTER(RC_IN[ASH],RC_IN[BLOCK]=V34,RC_IN[BLOCK LOC]=V33),FILTER(RC_IN[WT],RC_IN[BLOCK]=V34,RC_IN[BLOCK LOC]=V33))/SUM(FILTER(RC_IN[WT],RC_IN[BLOCK]=V34,RC_IN[BLOCK LOC]=V33)),"""")
"),3.799823354908306)</f>
        <v>3.799823355</v>
      </c>
      <c r="W37" s="40" t="str">
        <f>IFERROR(__xludf.DUMMYFUNCTION("IFERROR(SUMPRODUCT(FILTER(RC_IN[ASH],RC_IN[BLOCK]=W34,RC_IN[BLOCK LOC]=W33),FILTER(RC_IN[WT],RC_IN[BLOCK]=W34,RC_IN[BLOCK LOC]=W33))/SUM(FILTER(RC_IN[WT],RC_IN[BLOCK]=W34,RC_IN[BLOCK LOC]=W33)),"""")
"),"  ")</f>
        <v/>
      </c>
      <c r="X37" s="40">
        <f>IFERROR(__xludf.DUMMYFUNCTION("IFERROR(SUMPRODUCT(FILTER(RC_IN[ASH],RC_IN[BLOCK]=X34,RC_IN[BLOCK LOC]=X33),FILTER(RC_IN[WT],RC_IN[BLOCK]=X34,RC_IN[BLOCK LOC]=X33))/SUM(FILTER(RC_IN[WT],RC_IN[BLOCK]=X34,RC_IN[BLOCK LOC]=X33)),"""")
"),3.721327159194556)</f>
        <v>3.721327159</v>
      </c>
      <c r="Y37" s="40">
        <f>IFERROR(__xludf.DUMMYFUNCTION("IFERROR(SUMPRODUCT(FILTER(RC_IN[ASH],RC_IN[BLOCK]=Y34,RC_IN[BLOCK LOC]=Y33),FILTER(RC_IN[WT],RC_IN[BLOCK]=Y34,RC_IN[BLOCK LOC]=Y33))/SUM(FILTER(RC_IN[WT],RC_IN[BLOCK]=Y34,RC_IN[BLOCK LOC]=Y33)),"""")
"),3.6283516381236036)</f>
        <v>3.628351638</v>
      </c>
      <c r="Z37" s="40">
        <f>IFERROR(__xludf.DUMMYFUNCTION("IFERROR(SUMPRODUCT(FILTER(RC_IN[ASH],RC_IN[BLOCK]=Z34,RC_IN[BLOCK LOC]=Z33),FILTER(RC_IN[WT],RC_IN[BLOCK]=Z34,RC_IN[BLOCK LOC]=Z33))/SUM(FILTER(RC_IN[WT],RC_IN[BLOCK]=Z34,RC_IN[BLOCK LOC]=Z33)),"""")
"),3.29644438563994)</f>
        <v>3.296444386</v>
      </c>
      <c r="AA37" s="41">
        <f>IFERROR(__xludf.DUMMYFUNCTION("IFERROR(SUMPRODUCT(FILTER(RC_IN[ASH],RC_IN[BLOCK]=AA34,RC_IN[BLOCK LOC]=AA33),FILTER(RC_IN[WT],RC_IN[BLOCK]=AA34,RC_IN[BLOCK LOC]=AA33))/SUM(FILTER(RC_IN[WT],RC_IN[BLOCK]=AA34,RC_IN[BLOCK LOC]=AA33)),"""")
"),3.1353808614470613)</f>
        <v>3.135380861</v>
      </c>
      <c r="AB37" s="15"/>
      <c r="AC37" s="23"/>
      <c r="AD37" s="27" t="s">
        <v>9</v>
      </c>
      <c r="AE37" s="40" t="str">
        <f>IFERROR(__xludf.DUMMYFUNCTION("IFERROR(SUMPRODUCT(FILTER(RC_IN[ASH],RC_IN[BLOCK]=AE34,RC_IN[BLOCK LOC]=AE33),FILTER(RC_IN[WT],RC_IN[BLOCK]=AE34,RC_IN[BLOCK LOC]=AE33))/SUM(FILTER(RC_IN[WT],RC_IN[BLOCK]=AE34,RC_IN[BLOCK LOC]=AE33)),"""")
"),"  ")</f>
        <v/>
      </c>
      <c r="AF37" s="40" t="str">
        <f>IFERROR(__xludf.DUMMYFUNCTION("IFERROR(SUMPRODUCT(FILTER(RC_IN[ASH],RC_IN[BLOCK]=AF34,RC_IN[BLOCK LOC]=AF33),FILTER(RC_IN[WT],RC_IN[BLOCK]=AF34,RC_IN[BLOCK LOC]=AF33))/SUM(FILTER(RC_IN[WT],RC_IN[BLOCK]=AF34,RC_IN[BLOCK LOC]=AF33)),"""")
"),"  ")</f>
        <v/>
      </c>
      <c r="AG37" s="41" t="str">
        <f>IFERROR(__xludf.DUMMYFUNCTION("IFERROR(SUMPRODUCT(FILTER(RC_IN[ASH],RC_IN[BLOCK]=AG34,RC_IN[BLOCK LOC]=AG33),FILTER(RC_IN[WT],RC_IN[BLOCK]=AG34,RC_IN[BLOCK LOC]=AG33))/SUM(FILTER(RC_IN[WT],RC_IN[BLOCK]=AG34,RC_IN[BLOCK LOC]=AG33)),"""")
"),"  ")</f>
        <v/>
      </c>
    </row>
    <row r="38" ht="11.25" customHeight="1">
      <c r="A38" s="42"/>
      <c r="B38" s="17"/>
      <c r="C38" s="32"/>
      <c r="D38" s="11"/>
      <c r="F38" s="43"/>
      <c r="G38" s="44" t="s">
        <v>10</v>
      </c>
      <c r="H38" s="45">
        <f>IFERROR(__xludf.DUMMYFUNCTION("IFERROR(SUMPRODUCT(FILTER(RC_IN[MC],RC_IN[BLOCK]=H34,RC_IN[BLOCK LOC]=H33),FILTER(RC_IN[WT],RC_IN[BLOCK]=H34,RC_IN[BLOCK LOC]=H33)) / SUM(FILTER(RC_IN[WT],RC_IN[BLOCK]=H34,RC_IN[BLOCK LOC]=H33)),"""")
"),9.702664595067004)</f>
        <v>9.702664595</v>
      </c>
      <c r="I38" s="45">
        <f>IFERROR(__xludf.DUMMYFUNCTION("IFERROR(SUMPRODUCT(FILTER(RC_IN[MC],RC_IN[BLOCK]=I34,RC_IN[BLOCK LOC]=I33),FILTER(RC_IN[WT],RC_IN[BLOCK]=I34,RC_IN[BLOCK LOC]=I33)) / SUM(FILTER(RC_IN[WT],RC_IN[BLOCK]=I34,RC_IN[BLOCK LOC]=I33)),"""")
"),9.63220869130036)</f>
        <v>9.632208691</v>
      </c>
      <c r="J38" s="45">
        <f>IFERROR(__xludf.DUMMYFUNCTION("IFERROR(SUMPRODUCT(FILTER(RC_IN[MC],RC_IN[BLOCK]=J34,RC_IN[BLOCK LOC]=J33),FILTER(RC_IN[WT],RC_IN[BLOCK]=J34,RC_IN[BLOCK LOC]=J33)) / SUM(FILTER(RC_IN[WT],RC_IN[BLOCK]=J34,RC_IN[BLOCK LOC]=J33)),"""")
"),7.6480112226178925)</f>
        <v>7.648011223</v>
      </c>
      <c r="K38" s="45">
        <f>IFERROR(__xludf.DUMMYFUNCTION("IFERROR(SUMPRODUCT(FILTER(RC_IN[MC],RC_IN[BLOCK]=K34,RC_IN[BLOCK LOC]=K33),FILTER(RC_IN[WT],RC_IN[BLOCK]=K34,RC_IN[BLOCK LOC]=K33)) / SUM(FILTER(RC_IN[WT],RC_IN[BLOCK]=K34,RC_IN[BLOCK LOC]=K33)),"""")
"),9.238394725826705)</f>
        <v>9.238394726</v>
      </c>
      <c r="L38" s="45">
        <f>IFERROR(__xludf.DUMMYFUNCTION("IFERROR(SUMPRODUCT(FILTER(RC_IN[MC],RC_IN[BLOCK]=L34,RC_IN[BLOCK LOC]=L33),FILTER(RC_IN[WT],RC_IN[BLOCK]=L34,RC_IN[BLOCK LOC]=L33)) / SUM(FILTER(RC_IN[WT],RC_IN[BLOCK]=L34,RC_IN[BLOCK LOC]=L33)),"""")
"),10.602864806866952)</f>
        <v>10.60286481</v>
      </c>
      <c r="M38" s="45" t="str">
        <f>IFERROR(__xludf.DUMMYFUNCTION("IFERROR(SUMPRODUCT(FILTER(RC_IN[MC],RC_IN[BLOCK]=M34,RC_IN[BLOCK LOC]=M33),FILTER(RC_IN[WT],RC_IN[BLOCK]=M34,RC_IN[BLOCK LOC]=M33)) / SUM(FILTER(RC_IN[WT],RC_IN[BLOCK]=M34,RC_IN[BLOCK LOC]=M33)),"""")
"),"")</f>
        <v/>
      </c>
      <c r="N38" s="45">
        <f>IFERROR(__xludf.DUMMYFUNCTION("IFERROR(SUMPRODUCT(FILTER(RC_IN[MC],RC_IN[BLOCK]=N34,RC_IN[BLOCK LOC]=N33),FILTER(RC_IN[WT],RC_IN[BLOCK]=N34,RC_IN[BLOCK LOC]=N33)) / SUM(FILTER(RC_IN[WT],RC_IN[BLOCK]=N34,RC_IN[BLOCK LOC]=N33)),"""")
"),12.231915963414018)</f>
        <v>12.23191596</v>
      </c>
      <c r="O38" s="45">
        <f>IFERROR(__xludf.DUMMYFUNCTION("IFERROR(SUMPRODUCT(FILTER(RC_IN[MC],RC_IN[BLOCK]=O34,RC_IN[BLOCK LOC]=O33),FILTER(RC_IN[WT],RC_IN[BLOCK]=O34,RC_IN[BLOCK LOC]=O33)) / SUM(FILTER(RC_IN[WT],RC_IN[BLOCK]=O34,RC_IN[BLOCK LOC]=O33)),"""")
"),10.2997788213907)</f>
        <v>10.29977882</v>
      </c>
      <c r="P38" s="45">
        <f>IFERROR(__xludf.DUMMYFUNCTION("IFERROR(SUMPRODUCT(FILTER(RC_IN[MC],RC_IN[BLOCK]=P34,RC_IN[BLOCK LOC]=P33),FILTER(RC_IN[WT],RC_IN[BLOCK]=P34,RC_IN[BLOCK LOC]=P33)) / SUM(FILTER(RC_IN[WT],RC_IN[BLOCK]=P34,RC_IN[BLOCK LOC]=P33)),"""")
"),12.442054469657256)</f>
        <v>12.44205447</v>
      </c>
      <c r="Q38" s="45" t="str">
        <f>IFERROR(__xludf.DUMMYFUNCTION("IFERROR(SUMPRODUCT(FILTER(RC_IN[MC],RC_IN[BLOCK]=Q34,RC_IN[BLOCK LOC]=Q33),FILTER(RC_IN[WT],RC_IN[BLOCK]=Q34,RC_IN[BLOCK LOC]=Q33)) / SUM(FILTER(RC_IN[WT],RC_IN[BLOCK]=Q34,RC_IN[BLOCK LOC]=Q33)),"""")
"),"")</f>
        <v/>
      </c>
      <c r="R38" s="45" t="str">
        <f>IFERROR(__xludf.DUMMYFUNCTION("IFERROR(SUMPRODUCT(FILTER(RC_IN[MC],RC_IN[BLOCK]=R34,RC_IN[BLOCK LOC]=R33),FILTER(RC_IN[WT],RC_IN[BLOCK]=R34,RC_IN[BLOCK LOC]=R33)) / SUM(FILTER(RC_IN[WT],RC_IN[BLOCK]=R34,RC_IN[BLOCK LOC]=R33)),"""")
"),"")</f>
        <v/>
      </c>
      <c r="S38" s="45">
        <f>IFERROR(__xludf.DUMMYFUNCTION("IFERROR(SUMPRODUCT(FILTER(RC_IN[MC],RC_IN[BLOCK]=S34,RC_IN[BLOCK LOC]=S33),FILTER(RC_IN[WT],RC_IN[BLOCK]=S34,RC_IN[BLOCK LOC]=S33)) / SUM(FILTER(RC_IN[WT],RC_IN[BLOCK]=S34,RC_IN[BLOCK LOC]=S33)),"""")
"),9.562504452151092)</f>
        <v>9.562504452</v>
      </c>
      <c r="T38" s="45">
        <f>IFERROR(__xludf.DUMMYFUNCTION("IFERROR(SUMPRODUCT(FILTER(RC_IN[MC],RC_IN[BLOCK]=T34,RC_IN[BLOCK LOC]=T33),FILTER(RC_IN[WT],RC_IN[BLOCK]=T34,RC_IN[BLOCK LOC]=T33)) / SUM(FILTER(RC_IN[WT],RC_IN[BLOCK]=T34,RC_IN[BLOCK LOC]=T33)),"""")
"),10.49218653321201)</f>
        <v>10.49218653</v>
      </c>
      <c r="U38" s="45">
        <f>IFERROR(__xludf.DUMMYFUNCTION("IFERROR(SUMPRODUCT(FILTER(RC_IN[MC],RC_IN[BLOCK]=U34,RC_IN[BLOCK LOC]=U33),FILTER(RC_IN[WT],RC_IN[BLOCK]=U34,RC_IN[BLOCK LOC]=U33)) / SUM(FILTER(RC_IN[WT],RC_IN[BLOCK]=U34,RC_IN[BLOCK LOC]=U33)),"""")
"),10.64657858249735)</f>
        <v>10.64657858</v>
      </c>
      <c r="V38" s="45">
        <f>IFERROR(__xludf.DUMMYFUNCTION("IFERROR(SUMPRODUCT(FILTER(RC_IN[MC],RC_IN[BLOCK]=V34,RC_IN[BLOCK LOC]=V33),FILTER(RC_IN[WT],RC_IN[BLOCK]=V34,RC_IN[BLOCK LOC]=V33)) / SUM(FILTER(RC_IN[WT],RC_IN[BLOCK]=V34,RC_IN[BLOCK LOC]=V33)),"""")
"),10.697930151024812)</f>
        <v>10.69793015</v>
      </c>
      <c r="W38" s="45" t="str">
        <f>IFERROR(__xludf.DUMMYFUNCTION("IFERROR(SUMPRODUCT(FILTER(RC_IN[MC],RC_IN[BLOCK]=W34,RC_IN[BLOCK LOC]=W33),FILTER(RC_IN[WT],RC_IN[BLOCK]=W34,RC_IN[BLOCK LOC]=W33)) / SUM(FILTER(RC_IN[WT],RC_IN[BLOCK]=W34,RC_IN[BLOCK LOC]=W33)),"""")
"),"")</f>
        <v/>
      </c>
      <c r="X38" s="45">
        <f>IFERROR(__xludf.DUMMYFUNCTION("IFERROR(SUMPRODUCT(FILTER(RC_IN[MC],RC_IN[BLOCK]=X34,RC_IN[BLOCK LOC]=X33),FILTER(RC_IN[WT],RC_IN[BLOCK]=X34,RC_IN[BLOCK LOC]=X33)) / SUM(FILTER(RC_IN[WT],RC_IN[BLOCK]=X34,RC_IN[BLOCK LOC]=X33)),"""")
"),10.827155826843471)</f>
        <v>10.82715583</v>
      </c>
      <c r="Y38" s="45">
        <f>IFERROR(__xludf.DUMMYFUNCTION("IFERROR(SUMPRODUCT(FILTER(RC_IN[MC],RC_IN[BLOCK]=Y34,RC_IN[BLOCK LOC]=Y33),FILTER(RC_IN[WT],RC_IN[BLOCK]=Y34,RC_IN[BLOCK LOC]=Y33)) / SUM(FILTER(RC_IN[WT],RC_IN[BLOCK]=Y34,RC_IN[BLOCK LOC]=Y33)),"""")
"),11.164922747580045)</f>
        <v>11.16492275</v>
      </c>
      <c r="Z38" s="45">
        <f>IFERROR(__xludf.DUMMYFUNCTION("IFERROR(SUMPRODUCT(FILTER(RC_IN[MC],RC_IN[BLOCK]=Z34,RC_IN[BLOCK LOC]=Z33),FILTER(RC_IN[WT],RC_IN[BLOCK]=Z34,RC_IN[BLOCK LOC]=Z33)) / SUM(FILTER(RC_IN[WT],RC_IN[BLOCK]=Z34,RC_IN[BLOCK LOC]=Z33)),"""")
"),10.205107171209315)</f>
        <v>10.20510717</v>
      </c>
      <c r="AA38" s="46">
        <f>IFERROR(__xludf.DUMMYFUNCTION("IFERROR(SUMPRODUCT(FILTER(RC_IN[MC],RC_IN[BLOCK]=AA34,RC_IN[BLOCK LOC]=AA33),FILTER(RC_IN[WT],RC_IN[BLOCK]=AA34,RC_IN[BLOCK LOC]=AA33)) / SUM(FILTER(RC_IN[WT],RC_IN[BLOCK]=AA34,RC_IN[BLOCK LOC]=AA33)),"""")
"),9.692887050003536)</f>
        <v>9.69288705</v>
      </c>
      <c r="AB38" s="47"/>
      <c r="AC38" s="48"/>
      <c r="AD38" s="44" t="s">
        <v>10</v>
      </c>
      <c r="AE38" s="45" t="str">
        <f>IFERROR(__xludf.DUMMYFUNCTION("IFERROR(SUMPRODUCT(FILTER(RC_IN[MC],RC_IN[BLOCK]=AE34,RC_IN[BLOCK LOC]=AE33),FILTER(RC_IN[WT],RC_IN[BLOCK]=AE34,RC_IN[BLOCK LOC]=AE33)) / SUM(FILTER(RC_IN[WT],RC_IN[BLOCK]=AE34,RC_IN[BLOCK LOC]=AE33)),"""")
"),"")</f>
        <v/>
      </c>
      <c r="AF38" s="45" t="str">
        <f>IFERROR(__xludf.DUMMYFUNCTION("IFERROR(SUMPRODUCT(FILTER(RC_IN[MC],RC_IN[BLOCK]=AF34,RC_IN[BLOCK LOC]=AF33),FILTER(RC_IN[WT],RC_IN[BLOCK]=AF34,RC_IN[BLOCK LOC]=AF33)) / SUM(FILTER(RC_IN[WT],RC_IN[BLOCK]=AF34,RC_IN[BLOCK LOC]=AF33)),"""")
"),"")</f>
        <v/>
      </c>
      <c r="AG38" s="46" t="str">
        <f>IFERROR(__xludf.DUMMYFUNCTION("IFERROR(SUMPRODUCT(FILTER(RC_IN[MC],RC_IN[BLOCK]=AG34,RC_IN[BLOCK LOC]=AG33),FILTER(RC_IN[WT],RC_IN[BLOCK]=AG34,RC_IN[BLOCK LOC]=AG33)) / SUM(FILTER(RC_IN[WT],RC_IN[BLOCK]=AG34,RC_IN[BLOCK LOC]=AG33)),"""")
"),"")</f>
        <v/>
      </c>
    </row>
    <row r="39" ht="11.25" customHeight="1">
      <c r="A39" s="9"/>
      <c r="B39" s="9"/>
      <c r="C39" s="49"/>
      <c r="D39" s="10" t="str">
        <f>D33</f>
        <v>C</v>
      </c>
      <c r="F39" s="4"/>
      <c r="G39" s="12" t="s">
        <v>11</v>
      </c>
      <c r="H39" s="13" t="str">
        <f t="shared" ref="H39:AA39" si="13">CONCATENATE($D39,"-",H$1,$G39)</f>
        <v>C-1B</v>
      </c>
      <c r="I39" s="13" t="str">
        <f t="shared" si="13"/>
        <v>C-2B</v>
      </c>
      <c r="J39" s="13" t="str">
        <f t="shared" si="13"/>
        <v>C-3B</v>
      </c>
      <c r="K39" s="13" t="str">
        <f t="shared" si="13"/>
        <v>C-4B</v>
      </c>
      <c r="L39" s="13" t="str">
        <f t="shared" si="13"/>
        <v>C-5B</v>
      </c>
      <c r="M39" s="13" t="str">
        <f t="shared" si="13"/>
        <v>C-6B</v>
      </c>
      <c r="N39" s="13" t="str">
        <f t="shared" si="13"/>
        <v>C-7B</v>
      </c>
      <c r="O39" s="13" t="str">
        <f t="shared" si="13"/>
        <v>C-8B</v>
      </c>
      <c r="P39" s="13" t="str">
        <f t="shared" si="13"/>
        <v>C-9B</v>
      </c>
      <c r="Q39" s="13" t="str">
        <f t="shared" si="13"/>
        <v>C-10B</v>
      </c>
      <c r="R39" s="13" t="str">
        <f t="shared" si="13"/>
        <v>C-11B</v>
      </c>
      <c r="S39" s="13" t="str">
        <f t="shared" si="13"/>
        <v>C-12B</v>
      </c>
      <c r="T39" s="13" t="str">
        <f t="shared" si="13"/>
        <v>C-13B</v>
      </c>
      <c r="U39" s="13" t="str">
        <f t="shared" si="13"/>
        <v>C-14B</v>
      </c>
      <c r="V39" s="13" t="str">
        <f t="shared" si="13"/>
        <v>C-15B</v>
      </c>
      <c r="W39" s="13" t="str">
        <f t="shared" si="13"/>
        <v>C-16B</v>
      </c>
      <c r="X39" s="13" t="str">
        <f t="shared" si="13"/>
        <v>C-17B</v>
      </c>
      <c r="Y39" s="13" t="str">
        <f t="shared" si="13"/>
        <v>C-18B</v>
      </c>
      <c r="Z39" s="13" t="str">
        <f t="shared" si="13"/>
        <v>C-19B</v>
      </c>
      <c r="AA39" s="14" t="str">
        <f t="shared" si="13"/>
        <v>C-20B</v>
      </c>
      <c r="AB39" s="15"/>
      <c r="AC39" s="54"/>
      <c r="AD39" s="15"/>
      <c r="AE39" s="15"/>
      <c r="AF39" s="15"/>
      <c r="AG39" s="15"/>
    </row>
    <row r="40" ht="11.25" customHeight="1">
      <c r="A40" s="42"/>
      <c r="B40" s="17"/>
      <c r="C40" s="32"/>
      <c r="D40" s="11"/>
      <c r="F40" s="19" t="str">
        <f>IF(COUNTIF(G40:Z40,"ERROR")=0,"CLEAR",COUNTIF(G40:Z40,"ERROR")&amp;" ERRORS")
</f>
        <v>CLEAR</v>
      </c>
      <c r="G40" s="20" t="s">
        <v>6</v>
      </c>
      <c r="H40" s="21" t="str">
        <f>IFERROR(__xludf.DUMMYFUNCTION("IFERROR(IF(COUNTA(UNIQUE(FILTER(RC_IN[BLOCK],RC_IN[BLOCK LOC]=H39,RC_IN[STATE]&lt;&gt;""CLOSED"")))&gt;1,""ERROR"",INDEX(UNIQUE(FILTER(RC_IN[BLOCK],RC_IN[BLOCK LOC]=H39,RC_IN[STATE]&lt;&gt;""CLOSED"")),1)),"""")
"),"OCT-25-BLK5")</f>
        <v>OCT-25-BLK5</v>
      </c>
      <c r="I40" s="21" t="str">
        <f>IFERROR(__xludf.DUMMYFUNCTION("IFERROR(IF(COUNTA(UNIQUE(FILTER(RC_IN[BLOCK],RC_IN[BLOCK LOC]=I39,RC_IN[STATE]&lt;&gt;""CLOSED"")))&gt;1,""ERROR"",INDEX(UNIQUE(FILTER(RC_IN[BLOCK],RC_IN[BLOCK LOC]=I39,RC_IN[STATE]&lt;&gt;""CLOSED"")),1)),"""")
"),"OCT-25-BLK21")</f>
        <v>OCT-25-BLK21</v>
      </c>
      <c r="J40" s="21" t="str">
        <f>IFERROR(__xludf.DUMMYFUNCTION("IFERROR(IF(COUNTA(UNIQUE(FILTER(RC_IN[BLOCK],RC_IN[BLOCK LOC]=J39,RC_IN[STATE]&lt;&gt;""CLOSED"")))&gt;1,""ERROR"",INDEX(UNIQUE(FILTER(RC_IN[BLOCK],RC_IN[BLOCK LOC]=J39,RC_IN[STATE]&lt;&gt;""CLOSED"")),1)),"""")
"),"")</f>
        <v/>
      </c>
      <c r="K40" s="21" t="str">
        <f>IFERROR(__xludf.DUMMYFUNCTION("IFERROR(IF(COUNTA(UNIQUE(FILTER(RC_IN[BLOCK],RC_IN[BLOCK LOC]=K39,RC_IN[STATE]&lt;&gt;""CLOSED"")))&gt;1,""ERROR"",INDEX(UNIQUE(FILTER(RC_IN[BLOCK],RC_IN[BLOCK LOC]=K39,RC_IN[STATE]&lt;&gt;""CLOSED"")),1)),"""")
"),"JUNE-25-BLK3")</f>
        <v>JUNE-25-BLK3</v>
      </c>
      <c r="L40" s="21" t="str">
        <f>IFERROR(__xludf.DUMMYFUNCTION("IFERROR(IF(COUNTA(UNIQUE(FILTER(RC_IN[BLOCK],RC_IN[BLOCK LOC]=L39,RC_IN[STATE]&lt;&gt;""CLOSED"")))&gt;1,""ERROR"",INDEX(UNIQUE(FILTER(RC_IN[BLOCK],RC_IN[BLOCK LOC]=L39,RC_IN[STATE]&lt;&gt;""CLOSED"")),1)),"""")
"),"JULY-25-BLK2")</f>
        <v>JULY-25-BLK2</v>
      </c>
      <c r="M40" s="21" t="str">
        <f>IFERROR(__xludf.DUMMYFUNCTION("IFERROR(IF(COUNTA(UNIQUE(FILTER(RC_IN[BLOCK],RC_IN[BLOCK LOC]=M39,RC_IN[STATE]&lt;&gt;""CLOSED"")))&gt;1,""ERROR"",INDEX(UNIQUE(FILTER(RC_IN[BLOCK],RC_IN[BLOCK LOC]=M39,RC_IN[STATE]&lt;&gt;""CLOSED"")),1)),"""")
"),"")</f>
        <v/>
      </c>
      <c r="N40" s="21" t="str">
        <f>IFERROR(__xludf.DUMMYFUNCTION("IFERROR(IF(COUNTA(UNIQUE(FILTER(RC_IN[BLOCK],RC_IN[BLOCK LOC]=N39,RC_IN[STATE]&lt;&gt;""CLOSED"")))&gt;1,""ERROR"",INDEX(UNIQUE(FILTER(RC_IN[BLOCK],RC_IN[BLOCK LOC]=N39,RC_IN[STATE]&lt;&gt;""CLOSED"")),1)),"""")
"),"NOV-25-BLK10")</f>
        <v>NOV-25-BLK10</v>
      </c>
      <c r="O40" s="21" t="str">
        <f>IFERROR(__xludf.DUMMYFUNCTION("IFERROR(IF(COUNTA(UNIQUE(FILTER(RC_IN[BLOCK],RC_IN[BLOCK LOC]=O39,RC_IN[STATE]&lt;&gt;""CLOSED"")))&gt;1,""ERROR"",INDEX(UNIQUE(FILTER(RC_IN[BLOCK],RC_IN[BLOCK LOC]=O39,RC_IN[STATE]&lt;&gt;""CLOSED"")),1)),"""")
"),"JAN-26-BLK23")</f>
        <v>JAN-26-BLK23</v>
      </c>
      <c r="P40" s="21" t="str">
        <f>IFERROR(__xludf.DUMMYFUNCTION("IFERROR(IF(COUNTA(UNIQUE(FILTER(RC_IN[BLOCK],RC_IN[BLOCK LOC]=P39,RC_IN[STATE]&lt;&gt;""CLOSED"")))&gt;1,""ERROR"",INDEX(UNIQUE(FILTER(RC_IN[BLOCK],RC_IN[BLOCK LOC]=P39,RC_IN[STATE]&lt;&gt;""CLOSED"")),1)),"""")
"),"NOV-25-BLK6")</f>
        <v>NOV-25-BLK6</v>
      </c>
      <c r="Q40" s="21" t="str">
        <f>IFERROR(__xludf.DUMMYFUNCTION("IFERROR(IF(COUNTA(UNIQUE(FILTER(RC_IN[BLOCK],RC_IN[BLOCK LOC]=Q39,RC_IN[STATE]&lt;&gt;""CLOSED"")))&gt;1,""ERROR"",INDEX(UNIQUE(FILTER(RC_IN[BLOCK],RC_IN[BLOCK LOC]=Q39,RC_IN[STATE]&lt;&gt;""CLOSED"")),1)),"""")
"),"")</f>
        <v/>
      </c>
      <c r="R40" s="21" t="str">
        <f>IFERROR(__xludf.DUMMYFUNCTION("IFERROR(IF(COUNTA(UNIQUE(FILTER(RC_IN[BLOCK],RC_IN[BLOCK LOC]=R39,RC_IN[STATE]&lt;&gt;""CLOSED"")))&gt;1,""ERROR"",INDEX(UNIQUE(FILTER(RC_IN[BLOCK],RC_IN[BLOCK LOC]=R39,RC_IN[STATE]&lt;&gt;""CLOSED"")),1)),"""")
"),"JULY-25-BLK9")</f>
        <v>JULY-25-BLK9</v>
      </c>
      <c r="S40" s="21" t="str">
        <f>IFERROR(__xludf.DUMMYFUNCTION("IFERROR(IF(COUNTA(UNIQUE(FILTER(RC_IN[BLOCK],RC_IN[BLOCK LOC]=S39,RC_IN[STATE]&lt;&gt;""CLOSED"")))&gt;1,""ERROR"",INDEX(UNIQUE(FILTER(RC_IN[BLOCK],RC_IN[BLOCK LOC]=S39,RC_IN[STATE]&lt;&gt;""CLOSED"")),1)),"""")
"),"AUG-25-BLK4")</f>
        <v>AUG-25-BLK4</v>
      </c>
      <c r="T40" s="21" t="str">
        <f>IFERROR(__xludf.DUMMYFUNCTION("IFERROR(IF(COUNTA(UNIQUE(FILTER(RC_IN[BLOCK],RC_IN[BLOCK LOC]=T39,RC_IN[STATE]&lt;&gt;""CLOSED"")))&gt;1,""ERROR"",INDEX(UNIQUE(FILTER(RC_IN[BLOCK],RC_IN[BLOCK LOC]=T39,RC_IN[STATE]&lt;&gt;""CLOSED"")),1)),"""")
"),"AUG-25-BLK10")</f>
        <v>AUG-25-BLK10</v>
      </c>
      <c r="U40" s="21" t="str">
        <f>IFERROR(__xludf.DUMMYFUNCTION("IFERROR(IF(COUNTA(UNIQUE(FILTER(RC_IN[BLOCK],RC_IN[BLOCK LOC]=U39,RC_IN[STATE]&lt;&gt;""CLOSED"")))&gt;1,""ERROR"",INDEX(UNIQUE(FILTER(RC_IN[BLOCK],RC_IN[BLOCK LOC]=U39,RC_IN[STATE]&lt;&gt;""CLOSED"")),1)),"""")
"),"AUG-25-BLK15")</f>
        <v>AUG-25-BLK15</v>
      </c>
      <c r="V40" s="21" t="str">
        <f>IFERROR(__xludf.DUMMYFUNCTION("IFERROR(IF(COUNTA(UNIQUE(FILTER(RC_IN[BLOCK],RC_IN[BLOCK LOC]=V39,RC_IN[STATE]&lt;&gt;""CLOSED"")))&gt;1,""ERROR"",INDEX(UNIQUE(FILTER(RC_IN[BLOCK],RC_IN[BLOCK LOC]=V39,RC_IN[STATE]&lt;&gt;""CLOSED"")),1)),"""")
"),"SEPT-25-BLK7")</f>
        <v>SEPT-25-BLK7</v>
      </c>
      <c r="W40" s="21" t="str">
        <f>IFERROR(__xludf.DUMMYFUNCTION("IFERROR(IF(COUNTA(UNIQUE(FILTER(RC_IN[BLOCK],RC_IN[BLOCK LOC]=W39,RC_IN[STATE]&lt;&gt;""CLOSED"")))&gt;1,""ERROR"",INDEX(UNIQUE(FILTER(RC_IN[BLOCK],RC_IN[BLOCK LOC]=W39,RC_IN[STATE]&lt;&gt;""CLOSED"")),1)),"""")
"),"")</f>
        <v/>
      </c>
      <c r="X40" s="21" t="str">
        <f>IFERROR(__xludf.DUMMYFUNCTION("IFERROR(IF(COUNTA(UNIQUE(FILTER(RC_IN[BLOCK],RC_IN[BLOCK LOC]=X39,RC_IN[STATE]&lt;&gt;""CLOSED"")))&gt;1,""ERROR"",INDEX(UNIQUE(FILTER(RC_IN[BLOCK],RC_IN[BLOCK LOC]=X39,RC_IN[STATE]&lt;&gt;""CLOSED"")),1)),"""")
"),"FEB-26-BLK17")</f>
        <v>FEB-26-BLK17</v>
      </c>
      <c r="Y40" s="21" t="str">
        <f>IFERROR(__xludf.DUMMYFUNCTION("IFERROR(IF(COUNTA(UNIQUE(FILTER(RC_IN[BLOCK],RC_IN[BLOCK LOC]=Y39,RC_IN[STATE]&lt;&gt;""CLOSED"")))&gt;1,""ERROR"",INDEX(UNIQUE(FILTER(RC_IN[BLOCK],RC_IN[BLOCK LOC]=Y39,RC_IN[STATE]&lt;&gt;""CLOSED"")),1)),"""")
"),"MARCH-26-BLK1")</f>
        <v>MARCH-26-BLK1</v>
      </c>
      <c r="Z40" s="21" t="str">
        <f>IFERROR(__xludf.DUMMYFUNCTION("IFERROR(IF(COUNTA(UNIQUE(FILTER(RC_IN[BLOCK],RC_IN[BLOCK LOC]=Z39,RC_IN[STATE]&lt;&gt;""CLOSED"")))&gt;1,""ERROR"",INDEX(UNIQUE(FILTER(RC_IN[BLOCK],RC_IN[BLOCK LOC]=Z39,RC_IN[STATE]&lt;&gt;""CLOSED"")),1)),"""")
"),"DEC-25-BLK2")</f>
        <v>DEC-25-BLK2</v>
      </c>
      <c r="AA40" s="22" t="str">
        <f>IFERROR(__xludf.DUMMYFUNCTION("IFERROR(IF(COUNTA(UNIQUE(FILTER(RC_IN[BLOCK],RC_IN[BLOCK LOC]=AA39,RC_IN[STATE]&lt;&gt;""CLOSED"")))&gt;1,""ERROR"",INDEX(UNIQUE(FILTER(RC_IN[BLOCK],RC_IN[BLOCK LOC]=AA39,RC_IN[STATE]&lt;&gt;""CLOSED"")),1)),"""")
"),"MAY-26-BLK1")</f>
        <v>MAY-26-BLK1</v>
      </c>
      <c r="AB40" s="15"/>
      <c r="AC40" s="54"/>
      <c r="AD40" s="15"/>
      <c r="AE40" s="15"/>
      <c r="AF40" s="15"/>
      <c r="AG40" s="15"/>
    </row>
    <row r="41" ht="11.25" customHeight="1">
      <c r="A41" s="42"/>
      <c r="B41" s="17"/>
      <c r="C41" s="25">
        <f>sum(H41:AA41)</f>
        <v>863789</v>
      </c>
      <c r="D41" s="11"/>
      <c r="F41" s="26"/>
      <c r="G41" s="27" t="s">
        <v>7</v>
      </c>
      <c r="H41" s="28">
        <f>SUMIFS(RC_IN[WT],RC_IN[BLOCK],H40,RC_IN[BLOCK LOC],H39)-SUMIFS(RC_OUT[WT],RC_OUT[BLOCK],H40,RC_OUT[BLOCK LOC],H39)</f>
        <v>51195</v>
      </c>
      <c r="I41" s="28">
        <f>SUMIFS(RC_IN[WT],RC_IN[BLOCK],I40,RC_IN[BLOCK LOC],I39)-SUMIFS(RC_OUT[WT],RC_OUT[BLOCK],I40,RC_OUT[BLOCK LOC],I39)</f>
        <v>52850</v>
      </c>
      <c r="J41" s="28">
        <f>SUMIFS(RC_IN[WT],RC_IN[BLOCK],J40,RC_IN[BLOCK LOC],J39)-SUMIFS(RC_OUT[WT],RC_OUT[BLOCK],J40,RC_OUT[BLOCK LOC],J39)</f>
        <v>0</v>
      </c>
      <c r="K41" s="28">
        <f>SUMIFS(RC_IN[WT],RC_IN[BLOCK],K40,RC_IN[BLOCK LOC],K39)-SUMIFS(RC_OUT[WT],RC_OUT[BLOCK],K40,RC_OUT[BLOCK LOC],K39)</f>
        <v>58140</v>
      </c>
      <c r="L41" s="28">
        <f>SUMIFS(RC_IN[WT],RC_IN[BLOCK],L40,RC_IN[BLOCK LOC],L39)-SUMIFS(RC_OUT[WT],RC_OUT[BLOCK],L40,RC_OUT[BLOCK LOC],L39)</f>
        <v>52240</v>
      </c>
      <c r="M41" s="28">
        <f>SUMIFS(RC_IN[WT],RC_IN[BLOCK],M40,RC_IN[BLOCK LOC],M39)-SUMIFS(RC_OUT[WT],RC_OUT[BLOCK],M40,RC_OUT[BLOCK LOC],M39)</f>
        <v>0</v>
      </c>
      <c r="N41" s="28">
        <f>SUMIFS(RC_IN[WT],RC_IN[BLOCK],N40,RC_IN[BLOCK LOC],N39)-SUMIFS(RC_OUT[WT],RC_OUT[BLOCK],N40,RC_OUT[BLOCK LOC],N39)</f>
        <v>58260</v>
      </c>
      <c r="O41" s="28">
        <f>SUMIFS(RC_IN[WT],RC_IN[BLOCK],O40,RC_IN[BLOCK LOC],O39)-SUMIFS(RC_OUT[WT],RC_OUT[BLOCK],O40,RC_OUT[BLOCK LOC],O39)</f>
        <v>57855</v>
      </c>
      <c r="P41" s="28">
        <f>SUMIFS(RC_IN[WT],RC_IN[BLOCK],P40,RC_IN[BLOCK LOC],P39)-SUMIFS(RC_OUT[WT],RC_OUT[BLOCK],P40,RC_OUT[BLOCK LOC],P39)</f>
        <v>51845</v>
      </c>
      <c r="Q41" s="28">
        <f>SUMIFS(RC_IN[WT],RC_IN[BLOCK],Q40,RC_IN[BLOCK LOC],Q39)-SUMIFS(RC_OUT[WT],RC_OUT[BLOCK],Q40,RC_OUT[BLOCK LOC],Q39)</f>
        <v>0</v>
      </c>
      <c r="R41" s="28">
        <f>SUMIFS(RC_IN[WT],RC_IN[BLOCK],R40,RC_IN[BLOCK LOC],R39)-SUMIFS(RC_OUT[WT],RC_OUT[BLOCK],R40,RC_OUT[BLOCK LOC],R39)</f>
        <v>11991</v>
      </c>
      <c r="S41" s="28">
        <f>SUMIFS(RC_IN[WT],RC_IN[BLOCK],S40,RC_IN[BLOCK LOC],S39)-SUMIFS(RC_OUT[WT],RC_OUT[BLOCK],S40,RC_OUT[BLOCK LOC],S39)</f>
        <v>54500</v>
      </c>
      <c r="T41" s="28">
        <f>SUMIFS(RC_IN[WT],RC_IN[BLOCK],T40,RC_IN[BLOCK LOC],T39)-SUMIFS(RC_OUT[WT],RC_OUT[BLOCK],T40,RC_OUT[BLOCK LOC],T39)</f>
        <v>53443</v>
      </c>
      <c r="U41" s="28">
        <f>SUMIFS(RC_IN[WT],RC_IN[BLOCK],U40,RC_IN[BLOCK LOC],U39)-SUMIFS(RC_OUT[WT],RC_OUT[BLOCK],U40,RC_OUT[BLOCK LOC],U39)</f>
        <v>54505</v>
      </c>
      <c r="V41" s="28">
        <f>SUMIFS(RC_IN[WT],RC_IN[BLOCK],V40,RC_IN[BLOCK LOC],V39)-SUMIFS(RC_OUT[WT],RC_OUT[BLOCK],V40,RC_OUT[BLOCK LOC],V39)</f>
        <v>58650</v>
      </c>
      <c r="W41" s="28">
        <f>SUMIFS(RC_IN[WT],RC_IN[BLOCK],W40,RC_IN[BLOCK LOC],W39)-SUMIFS(RC_OUT[WT],RC_OUT[BLOCK],W40,RC_OUT[BLOCK LOC],W39)</f>
        <v>0</v>
      </c>
      <c r="X41" s="28">
        <f>SUMIFS(RC_IN[WT],RC_IN[BLOCK],X40,RC_IN[BLOCK LOC],X39)-SUMIFS(RC_OUT[WT],RC_OUT[BLOCK],X40,RC_OUT[BLOCK LOC],X39)</f>
        <v>66940</v>
      </c>
      <c r="Y41" s="28">
        <f>SUMIFS(RC_IN[WT],RC_IN[BLOCK],Y40,RC_IN[BLOCK LOC],Y39)-SUMIFS(RC_OUT[WT],RC_OUT[BLOCK],Y40,RC_OUT[BLOCK LOC],Y39)</f>
        <v>64385</v>
      </c>
      <c r="Z41" s="28">
        <f>SUMIFS(RC_IN[WT],RC_IN[BLOCK],Z40,RC_IN[BLOCK LOC],Z39)-SUMIFS(RC_OUT[WT],RC_OUT[BLOCK],Z40,RC_OUT[BLOCK LOC],Z39)</f>
        <v>59765</v>
      </c>
      <c r="AA41" s="29">
        <f>SUMIFS(RC_IN[WT],RC_IN[BLOCK],AA40,RC_IN[BLOCK LOC],AA39)-SUMIFS(RC_OUT[WT],RC_OUT[BLOCK],AA40,RC_OUT[BLOCK LOC],AA39)</f>
        <v>57225</v>
      </c>
      <c r="AB41" s="15"/>
      <c r="AC41" s="54"/>
      <c r="AD41" s="15"/>
      <c r="AE41" s="15"/>
      <c r="AF41" s="15"/>
      <c r="AG41" s="15"/>
    </row>
    <row r="42" ht="11.25" customHeight="1">
      <c r="A42" s="42"/>
      <c r="B42" s="17"/>
      <c r="C42" s="32"/>
      <c r="D42" s="11"/>
      <c r="F42" s="33"/>
      <c r="G42" s="34" t="s">
        <v>8</v>
      </c>
      <c r="H42" s="35">
        <f>IFERROR(__xludf.DUMMYFUNCTION("IFERROR(SUMPRODUCT(FILTER(RC_IN[ASTM],RC_IN[BLOCK]=H40,RC_IN[BLOCK LOC]=H39),FILTER(RC_IN[WT],RC_IN[BLOCK]=H40,RC_IN[BLOCK LOC]=H39))/SUM(FILTER(RC_IN[WT],RC_IN[BLOCK]=H40,RC_IN[BLOCK LOC]=H39)),"""")
"),0.5795048344564898)</f>
        <v>0.5795048345</v>
      </c>
      <c r="I42" s="35">
        <f>IFERROR(__xludf.DUMMYFUNCTION("IFERROR(SUMPRODUCT(FILTER(RC_IN[ASTM],RC_IN[BLOCK]=I40,RC_IN[BLOCK LOC]=I39),FILTER(RC_IN[WT],RC_IN[BLOCK]=I40,RC_IN[BLOCK LOC]=I39))/SUM(FILTER(RC_IN[WT],RC_IN[BLOCK]=I40,RC_IN[BLOCK LOC]=I39)),"""")
"),0.5746399243140965)</f>
        <v>0.5746399243</v>
      </c>
      <c r="J42" s="35" t="str">
        <f>IFERROR(__xludf.DUMMYFUNCTION("IFERROR(SUMPRODUCT(FILTER(RC_IN[ASTM],RC_IN[BLOCK]=J40,RC_IN[BLOCK LOC]=J39),FILTER(RC_IN[WT],RC_IN[BLOCK]=J40,RC_IN[BLOCK LOC]=J39))/SUM(FILTER(RC_IN[WT],RC_IN[BLOCK]=J40,RC_IN[BLOCK LOC]=J39)),"""")
"),"  ")</f>
        <v/>
      </c>
      <c r="K42" s="35">
        <f>IFERROR(__xludf.DUMMYFUNCTION("IFERROR(SUMPRODUCT(FILTER(RC_IN[ASTM],RC_IN[BLOCK]=K40,RC_IN[BLOCK LOC]=K39),FILTER(RC_IN[WT],RC_IN[BLOCK]=K40,RC_IN[BLOCK LOC]=K39))/SUM(FILTER(RC_IN[WT],RC_IN[BLOCK]=K40,RC_IN[BLOCK LOC]=K39)),"""")
"),0.5647218782249742)</f>
        <v>0.5647218782</v>
      </c>
      <c r="L42" s="35">
        <f>IFERROR(__xludf.DUMMYFUNCTION("IFERROR(SUMPRODUCT(FILTER(RC_IN[ASTM],RC_IN[BLOCK]=L40,RC_IN[BLOCK LOC]=L39),FILTER(RC_IN[WT],RC_IN[BLOCK]=L40,RC_IN[BLOCK LOC]=L39))/SUM(FILTER(RC_IN[WT],RC_IN[BLOCK]=L40,RC_IN[BLOCK LOC]=L39)),"""")
"),0.5820382848392036)</f>
        <v>0.5820382848</v>
      </c>
      <c r="M42" s="35" t="str">
        <f>IFERROR(__xludf.DUMMYFUNCTION("IFERROR(SUMPRODUCT(FILTER(RC_IN[ASTM],RC_IN[BLOCK]=M40,RC_IN[BLOCK LOC]=M39),FILTER(RC_IN[WT],RC_IN[BLOCK]=M40,RC_IN[BLOCK LOC]=M39))/SUM(FILTER(RC_IN[WT],RC_IN[BLOCK]=M40,RC_IN[BLOCK LOC]=M39)),"""")
"),"  ")</f>
        <v/>
      </c>
      <c r="N42" s="35">
        <f>IFERROR(__xludf.DUMMYFUNCTION("IFERROR(SUMPRODUCT(FILTER(RC_IN[ASTM],RC_IN[BLOCK]=N40,RC_IN[BLOCK LOC]=N39),FILTER(RC_IN[WT],RC_IN[BLOCK]=N40,RC_IN[BLOCK LOC]=N39))/SUM(FILTER(RC_IN[WT],RC_IN[BLOCK]=N40,RC_IN[BLOCK LOC]=N39)),"""")
"),0.5669079986268452)</f>
        <v>0.5669079986</v>
      </c>
      <c r="O42" s="35">
        <f>IFERROR(__xludf.DUMMYFUNCTION("IFERROR(SUMPRODUCT(FILTER(RC_IN[ASTM],RC_IN[BLOCK]=O40,RC_IN[BLOCK LOC]=O39),FILTER(RC_IN[WT],RC_IN[BLOCK]=O40,RC_IN[BLOCK LOC]=O39))/SUM(FILTER(RC_IN[WT],RC_IN[BLOCK]=O40,RC_IN[BLOCK LOC]=O39)),"""")
"),0.5645416645060929)</f>
        <v>0.5645416645</v>
      </c>
      <c r="P42" s="35">
        <f>IFERROR(__xludf.DUMMYFUNCTION("IFERROR(SUMPRODUCT(FILTER(RC_IN[ASTM],RC_IN[BLOCK]=P40,RC_IN[BLOCK LOC]=P39),FILTER(RC_IN[WT],RC_IN[BLOCK]=P40,RC_IN[BLOCK LOC]=P39))/SUM(FILTER(RC_IN[WT],RC_IN[BLOCK]=P40,RC_IN[BLOCK LOC]=P39)),"""")
"),0.5671577779920918)</f>
        <v>0.567157778</v>
      </c>
      <c r="Q42" s="35" t="str">
        <f>IFERROR(__xludf.DUMMYFUNCTION("IFERROR(SUMPRODUCT(FILTER(RC_IN[ASTM],RC_IN[BLOCK]=Q40,RC_IN[BLOCK LOC]=Q39),FILTER(RC_IN[WT],RC_IN[BLOCK]=Q40,RC_IN[BLOCK LOC]=Q39))/SUM(FILTER(RC_IN[WT],RC_IN[BLOCK]=Q40,RC_IN[BLOCK LOC]=Q39)),"""")
"),"  ")</f>
        <v/>
      </c>
      <c r="R42" s="35">
        <f>IFERROR(__xludf.DUMMYFUNCTION("IFERROR(SUMPRODUCT(FILTER(RC_IN[ASTM],RC_IN[BLOCK]=R40,RC_IN[BLOCK LOC]=R39),FILTER(RC_IN[WT],RC_IN[BLOCK]=R40,RC_IN[BLOCK LOC]=R39))/SUM(FILTER(RC_IN[WT],RC_IN[BLOCK]=R40,RC_IN[BLOCK LOC]=R39)),"""")
"),0.5805627052977342)</f>
        <v>0.5805627053</v>
      </c>
      <c r="S42" s="35">
        <f>IFERROR(__xludf.DUMMYFUNCTION("IFERROR(SUMPRODUCT(FILTER(RC_IN[ASTM],RC_IN[BLOCK]=S40,RC_IN[BLOCK LOC]=S39),FILTER(RC_IN[WT],RC_IN[BLOCK]=S40,RC_IN[BLOCK LOC]=S39))/SUM(FILTER(RC_IN[WT],RC_IN[BLOCK]=S40,RC_IN[BLOCK LOC]=S39)),"""")
"),0.5740883486238532)</f>
        <v>0.5740883486</v>
      </c>
      <c r="T42" s="35">
        <f>IFERROR(__xludf.DUMMYFUNCTION("IFERROR(SUMPRODUCT(FILTER(RC_IN[ASTM],RC_IN[BLOCK]=T40,RC_IN[BLOCK LOC]=T39),FILTER(RC_IN[WT],RC_IN[BLOCK]=T40,RC_IN[BLOCK LOC]=T39))/SUM(FILTER(RC_IN[WT],RC_IN[BLOCK]=T40,RC_IN[BLOCK LOC]=T39)),"""")
"),0.5709238066725296)</f>
        <v>0.5709238067</v>
      </c>
      <c r="U42" s="35">
        <f>IFERROR(__xludf.DUMMYFUNCTION("IFERROR(SUMPRODUCT(FILTER(RC_IN[ASTM],RC_IN[BLOCK]=U40,RC_IN[BLOCK LOC]=U39),FILTER(RC_IN[WT],RC_IN[BLOCK]=U40,RC_IN[BLOCK LOC]=U39))/SUM(FILTER(RC_IN[WT],RC_IN[BLOCK]=U40,RC_IN[BLOCK LOC]=U39)),"""")
"),0.5746541601687918)</f>
        <v>0.5746541602</v>
      </c>
      <c r="V42" s="35">
        <f>IFERROR(__xludf.DUMMYFUNCTION("IFERROR(SUMPRODUCT(FILTER(RC_IN[ASTM],RC_IN[BLOCK]=V40,RC_IN[BLOCK LOC]=V39),FILTER(RC_IN[WT],RC_IN[BLOCK]=V40,RC_IN[BLOCK LOC]=V39))/SUM(FILTER(RC_IN[WT],RC_IN[BLOCK]=V40,RC_IN[BLOCK LOC]=V39)),"""")
"),0.5692561807331629)</f>
        <v>0.5692561807</v>
      </c>
      <c r="W42" s="35" t="str">
        <f>IFERROR(__xludf.DUMMYFUNCTION("IFERROR(SUMPRODUCT(FILTER(RC_IN[ASTM],RC_IN[BLOCK]=W40,RC_IN[BLOCK LOC]=W39),FILTER(RC_IN[WT],RC_IN[BLOCK]=W40,RC_IN[BLOCK LOC]=W39))/SUM(FILTER(RC_IN[WT],RC_IN[BLOCK]=W40,RC_IN[BLOCK LOC]=W39)),"""")
"),"  ")</f>
        <v/>
      </c>
      <c r="X42" s="35">
        <f>IFERROR(__xludf.DUMMYFUNCTION("IFERROR(SUMPRODUCT(FILTER(RC_IN[ASTM],RC_IN[BLOCK]=X40,RC_IN[BLOCK LOC]=X39),FILTER(RC_IN[WT],RC_IN[BLOCK]=X40,RC_IN[BLOCK LOC]=X39))/SUM(FILTER(RC_IN[WT],RC_IN[BLOCK]=X40,RC_IN[BLOCK LOC]=X39)),"""")
"),0.5675104571257842)</f>
        <v>0.5675104571</v>
      </c>
      <c r="Y42" s="35">
        <f>IFERROR(__xludf.DUMMYFUNCTION("IFERROR(SUMPRODUCT(FILTER(RC_IN[ASTM],RC_IN[BLOCK]=Y40,RC_IN[BLOCK LOC]=Y39),FILTER(RC_IN[WT],RC_IN[BLOCK]=Y40,RC_IN[BLOCK LOC]=Y39))/SUM(FILTER(RC_IN[WT],RC_IN[BLOCK]=Y40,RC_IN[BLOCK LOC]=Y39)),"""")
"),0.5572540187931971)</f>
        <v>0.5572540188</v>
      </c>
      <c r="Z42" s="35">
        <f>IFERROR(__xludf.DUMMYFUNCTION("IFERROR(SUMPRODUCT(FILTER(RC_IN[ASTM],RC_IN[BLOCK]=Z40,RC_IN[BLOCK LOC]=Z39),FILTER(RC_IN[WT],RC_IN[BLOCK]=Z40,RC_IN[BLOCK LOC]=Z39))/SUM(FILTER(RC_IN[WT],RC_IN[BLOCK]=Z40,RC_IN[BLOCK LOC]=Z39)),"""")
"),0.5735074876600016)</f>
        <v>0.5735074877</v>
      </c>
      <c r="AA42" s="36">
        <f>IFERROR(__xludf.DUMMYFUNCTION("IFERROR(SUMPRODUCT(FILTER(RC_IN[ASTM],RC_IN[BLOCK]=AA40,RC_IN[BLOCK LOC]=AA39),FILTER(RC_IN[WT],RC_IN[BLOCK]=AA40,RC_IN[BLOCK LOC]=AA39))/SUM(FILTER(RC_IN[WT],RC_IN[BLOCK]=AA40,RC_IN[BLOCK LOC]=AA39)),"""")
"),0.5652199213630407)</f>
        <v>0.5652199214</v>
      </c>
      <c r="AB42" s="37"/>
      <c r="AC42" s="55"/>
      <c r="AD42" s="37"/>
      <c r="AE42" s="37"/>
      <c r="AF42" s="37"/>
      <c r="AG42" s="37"/>
    </row>
    <row r="43" ht="11.25" customHeight="1">
      <c r="A43" s="42"/>
      <c r="B43" s="17"/>
      <c r="C43" s="32"/>
      <c r="D43" s="11"/>
      <c r="F43" s="26"/>
      <c r="G43" s="27" t="s">
        <v>9</v>
      </c>
      <c r="H43" s="40">
        <f>IFERROR(__xludf.DUMMYFUNCTION("IFERROR(SUMPRODUCT(FILTER(RC_IN[ASH],RC_IN[BLOCK]=H40,RC_IN[BLOCK LOC]=H39),FILTER(RC_IN[WT],RC_IN[BLOCK]=H40,RC_IN[BLOCK LOC]=H39))/SUM(FILTER(RC_IN[WT],RC_IN[BLOCK]=H40,RC_IN[BLOCK LOC]=H39)),"""")
"),3.4506602207246804)</f>
        <v>3.450660221</v>
      </c>
      <c r="I43" s="40">
        <f>IFERROR(__xludf.DUMMYFUNCTION("IFERROR(SUMPRODUCT(FILTER(RC_IN[ASH],RC_IN[BLOCK]=I40,RC_IN[BLOCK LOC]=I39),FILTER(RC_IN[WT],RC_IN[BLOCK]=I40,RC_IN[BLOCK LOC]=I39))/SUM(FILTER(RC_IN[WT],RC_IN[BLOCK]=I40,RC_IN[BLOCK LOC]=I39)),"""")
"),3.134353831598865)</f>
        <v>3.134353832</v>
      </c>
      <c r="J43" s="40" t="str">
        <f>IFERROR(__xludf.DUMMYFUNCTION("IFERROR(SUMPRODUCT(FILTER(RC_IN[ASH],RC_IN[BLOCK]=J40,RC_IN[BLOCK LOC]=J39),FILTER(RC_IN[WT],RC_IN[BLOCK]=J40,RC_IN[BLOCK LOC]=J39))/SUM(FILTER(RC_IN[WT],RC_IN[BLOCK]=J40,RC_IN[BLOCK LOC]=J39)),"""")
"),"  ")</f>
        <v/>
      </c>
      <c r="K43" s="40">
        <f>IFERROR(__xludf.DUMMYFUNCTION("IFERROR(SUMPRODUCT(FILTER(RC_IN[ASH],RC_IN[BLOCK]=K40,RC_IN[BLOCK LOC]=K39),FILTER(RC_IN[WT],RC_IN[BLOCK]=K40,RC_IN[BLOCK LOC]=K39))/SUM(FILTER(RC_IN[WT],RC_IN[BLOCK]=K40,RC_IN[BLOCK LOC]=K39)),"""")
"),7.82922256621947)</f>
        <v>7.829222566</v>
      </c>
      <c r="L43" s="40">
        <f>IFERROR(__xludf.DUMMYFUNCTION("IFERROR(SUMPRODUCT(FILTER(RC_IN[ASH],RC_IN[BLOCK]=L40,RC_IN[BLOCK LOC]=L39),FILTER(RC_IN[WT],RC_IN[BLOCK]=L40,RC_IN[BLOCK LOC]=L39))/SUM(FILTER(RC_IN[WT],RC_IN[BLOCK]=L40,RC_IN[BLOCK LOC]=L39)),"""")
"),3.5777067381317)</f>
        <v>3.577706738</v>
      </c>
      <c r="M43" s="40" t="str">
        <f>IFERROR(__xludf.DUMMYFUNCTION("IFERROR(SUMPRODUCT(FILTER(RC_IN[ASH],RC_IN[BLOCK]=M40,RC_IN[BLOCK LOC]=M39),FILTER(RC_IN[WT],RC_IN[BLOCK]=M40,RC_IN[BLOCK LOC]=M39))/SUM(FILTER(RC_IN[WT],RC_IN[BLOCK]=M40,RC_IN[BLOCK LOC]=M39)),"""")
"),"  ")</f>
        <v/>
      </c>
      <c r="N43" s="40">
        <f>IFERROR(__xludf.DUMMYFUNCTION("IFERROR(SUMPRODUCT(FILTER(RC_IN[ASH],RC_IN[BLOCK]=N40,RC_IN[BLOCK LOC]=N39),FILTER(RC_IN[WT],RC_IN[BLOCK]=N40,RC_IN[BLOCK LOC]=N39))/SUM(FILTER(RC_IN[WT],RC_IN[BLOCK]=N40,RC_IN[BLOCK LOC]=N39)),"""")
"),3.3454969104016476)</f>
        <v>3.34549691</v>
      </c>
      <c r="O43" s="40">
        <f>IFERROR(__xludf.DUMMYFUNCTION("IFERROR(SUMPRODUCT(FILTER(RC_IN[ASH],RC_IN[BLOCK]=O40,RC_IN[BLOCK LOC]=O39),FILTER(RC_IN[WT],RC_IN[BLOCK]=O40,RC_IN[BLOCK LOC]=O39))/SUM(FILTER(RC_IN[WT],RC_IN[BLOCK]=O40,RC_IN[BLOCK LOC]=O39)),"""")
"),5.239038976752225)</f>
        <v>5.239038977</v>
      </c>
      <c r="P43" s="40">
        <f>IFERROR(__xludf.DUMMYFUNCTION("IFERROR(SUMPRODUCT(FILTER(RC_IN[ASH],RC_IN[BLOCK]=P40,RC_IN[BLOCK LOC]=P39),FILTER(RC_IN[WT],RC_IN[BLOCK]=P40,RC_IN[BLOCK LOC]=P39))/SUM(FILTER(RC_IN[WT],RC_IN[BLOCK]=P40,RC_IN[BLOCK LOC]=P39)),"""")
"),3.382857556177066)</f>
        <v>3.382857556</v>
      </c>
      <c r="Q43" s="40" t="str">
        <f>IFERROR(__xludf.DUMMYFUNCTION("IFERROR(SUMPRODUCT(FILTER(RC_IN[ASH],RC_IN[BLOCK]=Q40,RC_IN[BLOCK LOC]=Q39),FILTER(RC_IN[WT],RC_IN[BLOCK]=Q40,RC_IN[BLOCK LOC]=Q39))/SUM(FILTER(RC_IN[WT],RC_IN[BLOCK]=Q40,RC_IN[BLOCK LOC]=Q39)),"""")
"),"  ")</f>
        <v/>
      </c>
      <c r="R43" s="40">
        <f>IFERROR(__xludf.DUMMYFUNCTION("IFERROR(SUMPRODUCT(FILTER(RC_IN[ASH],RC_IN[BLOCK]=R40,RC_IN[BLOCK LOC]=R39),FILTER(RC_IN[WT],RC_IN[BLOCK]=R40,RC_IN[BLOCK LOC]=R39))/SUM(FILTER(RC_IN[WT],RC_IN[BLOCK]=R40,RC_IN[BLOCK LOC]=R39)),"""")
"),3.174985260675482)</f>
        <v>3.174985261</v>
      </c>
      <c r="S43" s="40">
        <f>IFERROR(__xludf.DUMMYFUNCTION("IFERROR(SUMPRODUCT(FILTER(RC_IN[ASH],RC_IN[BLOCK]=S40,RC_IN[BLOCK LOC]=S39),FILTER(RC_IN[WT],RC_IN[BLOCK]=S40,RC_IN[BLOCK LOC]=S39))/SUM(FILTER(RC_IN[WT],RC_IN[BLOCK]=S40,RC_IN[BLOCK LOC]=S39)),"""")
"),3.5569220183486236)</f>
        <v>3.556922018</v>
      </c>
      <c r="T43" s="40">
        <f>IFERROR(__xludf.DUMMYFUNCTION("IFERROR(SUMPRODUCT(FILTER(RC_IN[ASH],RC_IN[BLOCK]=T40,RC_IN[BLOCK LOC]=T39),FILTER(RC_IN[WT],RC_IN[BLOCK]=T40,RC_IN[BLOCK LOC]=T39))/SUM(FILTER(RC_IN[WT],RC_IN[BLOCK]=T40,RC_IN[BLOCK LOC]=T39)),"""")
"),4.4470871769923095)</f>
        <v>4.447087177</v>
      </c>
      <c r="U43" s="40">
        <f>IFERROR(__xludf.DUMMYFUNCTION("IFERROR(SUMPRODUCT(FILTER(RC_IN[ASH],RC_IN[BLOCK]=U40,RC_IN[BLOCK LOC]=U39),FILTER(RC_IN[WT],RC_IN[BLOCK]=U40,RC_IN[BLOCK LOC]=U39))/SUM(FILTER(RC_IN[WT],RC_IN[BLOCK]=U40,RC_IN[BLOCK LOC]=U39)),"""")
"),4.70130538482708)</f>
        <v>4.701305385</v>
      </c>
      <c r="V43" s="40">
        <f>IFERROR(__xludf.DUMMYFUNCTION("IFERROR(SUMPRODUCT(FILTER(RC_IN[ASH],RC_IN[BLOCK]=V40,RC_IN[BLOCK LOC]=V39),FILTER(RC_IN[WT],RC_IN[BLOCK]=V40,RC_IN[BLOCK LOC]=V39))/SUM(FILTER(RC_IN[WT],RC_IN[BLOCK]=V40,RC_IN[BLOCK LOC]=V39)),"""")
"),3.507825234441603)</f>
        <v>3.507825234</v>
      </c>
      <c r="W43" s="40" t="str">
        <f>IFERROR(__xludf.DUMMYFUNCTION("IFERROR(SUMPRODUCT(FILTER(RC_IN[ASH],RC_IN[BLOCK]=W40,RC_IN[BLOCK LOC]=W39),FILTER(RC_IN[WT],RC_IN[BLOCK]=W40,RC_IN[BLOCK LOC]=W39))/SUM(FILTER(RC_IN[WT],RC_IN[BLOCK]=W40,RC_IN[BLOCK LOC]=W39)),"""")
"),"  ")</f>
        <v/>
      </c>
      <c r="X43" s="40">
        <f>IFERROR(__xludf.DUMMYFUNCTION("IFERROR(SUMPRODUCT(FILTER(RC_IN[ASH],RC_IN[BLOCK]=X40,RC_IN[BLOCK LOC]=X39),FILTER(RC_IN[WT],RC_IN[BLOCK]=X40,RC_IN[BLOCK LOC]=X39))/SUM(FILTER(RC_IN[WT],RC_IN[BLOCK]=X40,RC_IN[BLOCK LOC]=X39)),"""")
"),3.865430236032268)</f>
        <v>3.865430236</v>
      </c>
      <c r="Y43" s="40">
        <f>IFERROR(__xludf.DUMMYFUNCTION("IFERROR(SUMPRODUCT(FILTER(RC_IN[ASH],RC_IN[BLOCK]=Y40,RC_IN[BLOCK LOC]=Y39),FILTER(RC_IN[WT],RC_IN[BLOCK]=Y40,RC_IN[BLOCK LOC]=Y39))/SUM(FILTER(RC_IN[WT],RC_IN[BLOCK]=Y40,RC_IN[BLOCK LOC]=Y39)),"""")
"),3.628490331598975)</f>
        <v>3.628490332</v>
      </c>
      <c r="Z43" s="40">
        <f>IFERROR(__xludf.DUMMYFUNCTION("IFERROR(SUMPRODUCT(FILTER(RC_IN[ASH],RC_IN[BLOCK]=Z40,RC_IN[BLOCK LOC]=Z39),FILTER(RC_IN[WT],RC_IN[BLOCK]=Z40,RC_IN[BLOCK LOC]=Z39))/SUM(FILTER(RC_IN[WT],RC_IN[BLOCK]=Z40,RC_IN[BLOCK LOC]=Z39)),"""")
"),3.050144733539697)</f>
        <v>3.050144734</v>
      </c>
      <c r="AA43" s="41">
        <f>IFERROR(__xludf.DUMMYFUNCTION("IFERROR(SUMPRODUCT(FILTER(RC_IN[ASH],RC_IN[BLOCK]=AA40,RC_IN[BLOCK LOC]=AA39),FILTER(RC_IN[WT],RC_IN[BLOCK]=AA40,RC_IN[BLOCK LOC]=AA39))/SUM(FILTER(RC_IN[WT],RC_IN[BLOCK]=AA40,RC_IN[BLOCK LOC]=AA39)),"""")
"),3.220069899519441)</f>
        <v>3.2200699</v>
      </c>
      <c r="AB43" s="15"/>
      <c r="AC43" s="54"/>
      <c r="AD43" s="15"/>
      <c r="AE43" s="15"/>
      <c r="AF43" s="15"/>
      <c r="AG43" s="15"/>
    </row>
    <row r="44" ht="11.25" customHeight="1">
      <c r="A44" s="42"/>
      <c r="B44" s="17"/>
      <c r="C44" s="53">
        <f>sum(C41,C35)</f>
        <v>1806609</v>
      </c>
      <c r="D44" s="11"/>
      <c r="F44" s="43"/>
      <c r="G44" s="44" t="s">
        <v>10</v>
      </c>
      <c r="H44" s="45">
        <f>IFERROR(__xludf.DUMMYFUNCTION("IFERROR(SUMPRODUCT(FILTER(RC_IN[MC],RC_IN[BLOCK]=H40,RC_IN[BLOCK LOC]=H39),FILTER(RC_IN[WT],RC_IN[BLOCK]=H40,RC_IN[BLOCK LOC]=H39)) / SUM(FILTER(RC_IN[WT],RC_IN[BLOCK]=H40,RC_IN[BLOCK LOC]=H39)),"""")
"),9.46966988963766)</f>
        <v>9.46966989</v>
      </c>
      <c r="I44" s="45">
        <f>IFERROR(__xludf.DUMMYFUNCTION("IFERROR(SUMPRODUCT(FILTER(RC_IN[MC],RC_IN[BLOCK]=I40,RC_IN[BLOCK LOC]=I39),FILTER(RC_IN[WT],RC_IN[BLOCK]=I40,RC_IN[BLOCK LOC]=I39)) / SUM(FILTER(RC_IN[WT],RC_IN[BLOCK]=I40,RC_IN[BLOCK LOC]=I39)),"""")
"),10.305983916745506)</f>
        <v>10.30598392</v>
      </c>
      <c r="J44" s="45" t="str">
        <f>IFERROR(__xludf.DUMMYFUNCTION("IFERROR(SUMPRODUCT(FILTER(RC_IN[MC],RC_IN[BLOCK]=J40,RC_IN[BLOCK LOC]=J39),FILTER(RC_IN[WT],RC_IN[BLOCK]=J40,RC_IN[BLOCK LOC]=J39)) / SUM(FILTER(RC_IN[WT],RC_IN[BLOCK]=J40,RC_IN[BLOCK LOC]=J39)),"""")
"),"")</f>
        <v/>
      </c>
      <c r="K44" s="45">
        <f>IFERROR(__xludf.DUMMYFUNCTION("IFERROR(SUMPRODUCT(FILTER(RC_IN[MC],RC_IN[BLOCK]=K40,RC_IN[BLOCK LOC]=K39),FILTER(RC_IN[WT],RC_IN[BLOCK]=K40,RC_IN[BLOCK LOC]=K39)) / SUM(FILTER(RC_IN[WT],RC_IN[BLOCK]=K40,RC_IN[BLOCK LOC]=K39)),"""")
"),9.93874441004472)</f>
        <v>9.93874441</v>
      </c>
      <c r="L44" s="45">
        <f>IFERROR(__xludf.DUMMYFUNCTION("IFERROR(SUMPRODUCT(FILTER(RC_IN[MC],RC_IN[BLOCK]=L40,RC_IN[BLOCK LOC]=L39),FILTER(RC_IN[WT],RC_IN[BLOCK]=L40,RC_IN[BLOCK LOC]=L39)) / SUM(FILTER(RC_IN[WT],RC_IN[BLOCK]=L40,RC_IN[BLOCK LOC]=L39)),"""")
"),9.191269142419602)</f>
        <v>9.191269142</v>
      </c>
      <c r="M44" s="45" t="str">
        <f>IFERROR(__xludf.DUMMYFUNCTION("IFERROR(SUMPRODUCT(FILTER(RC_IN[MC],RC_IN[BLOCK]=M40,RC_IN[BLOCK LOC]=M39),FILTER(RC_IN[WT],RC_IN[BLOCK]=M40,RC_IN[BLOCK LOC]=M39)) / SUM(FILTER(RC_IN[WT],RC_IN[BLOCK]=M40,RC_IN[BLOCK LOC]=M39)),"""")
"),"")</f>
        <v/>
      </c>
      <c r="N44" s="45">
        <f>IFERROR(__xludf.DUMMYFUNCTION("IFERROR(SUMPRODUCT(FILTER(RC_IN[MC],RC_IN[BLOCK]=N40,RC_IN[BLOCK LOC]=N39),FILTER(RC_IN[WT],RC_IN[BLOCK]=N40,RC_IN[BLOCK LOC]=N39)) / SUM(FILTER(RC_IN[WT],RC_IN[BLOCK]=N40,RC_IN[BLOCK LOC]=N39)),"""")
"),10.376830587023687)</f>
        <v>10.37683059</v>
      </c>
      <c r="O44" s="45">
        <f>IFERROR(__xludf.DUMMYFUNCTION("IFERROR(SUMPRODUCT(FILTER(RC_IN[MC],RC_IN[BLOCK]=O40,RC_IN[BLOCK LOC]=O39),FILTER(RC_IN[WT],RC_IN[BLOCK]=O40,RC_IN[BLOCK LOC]=O39)) / SUM(FILTER(RC_IN[WT],RC_IN[BLOCK]=O40,RC_IN[BLOCK LOC]=O39)),"""")
"),11.025348716619135)</f>
        <v>11.02534872</v>
      </c>
      <c r="P44" s="45">
        <f>IFERROR(__xludf.DUMMYFUNCTION("IFERROR(SUMPRODUCT(FILTER(RC_IN[MC],RC_IN[BLOCK]=P40,RC_IN[BLOCK LOC]=P39),FILTER(RC_IN[WT],RC_IN[BLOCK]=P40,RC_IN[BLOCK LOC]=P39)) / SUM(FILTER(RC_IN[WT],RC_IN[BLOCK]=P40,RC_IN[BLOCK LOC]=P39)),"""")
"),11.03883306008294)</f>
        <v>11.03883306</v>
      </c>
      <c r="Q44" s="45" t="str">
        <f>IFERROR(__xludf.DUMMYFUNCTION("IFERROR(SUMPRODUCT(FILTER(RC_IN[MC],RC_IN[BLOCK]=Q40,RC_IN[BLOCK LOC]=Q39),FILTER(RC_IN[WT],RC_IN[BLOCK]=Q40,RC_IN[BLOCK LOC]=Q39)) / SUM(FILTER(RC_IN[WT],RC_IN[BLOCK]=Q40,RC_IN[BLOCK LOC]=Q39)),"""")
"),"")</f>
        <v/>
      </c>
      <c r="R44" s="45">
        <f>IFERROR(__xludf.DUMMYFUNCTION("IFERROR(SUMPRODUCT(FILTER(RC_IN[MC],RC_IN[BLOCK]=R40,RC_IN[BLOCK LOC]=R39),FILTER(RC_IN[WT],RC_IN[BLOCK]=R40,RC_IN[BLOCK LOC]=R39)) / SUM(FILTER(RC_IN[WT],RC_IN[BLOCK]=R40,RC_IN[BLOCK LOC]=R39)),"""")
"),9.60009685841826)</f>
        <v>9.600096858</v>
      </c>
      <c r="S44" s="45">
        <f>IFERROR(__xludf.DUMMYFUNCTION("IFERROR(SUMPRODUCT(FILTER(RC_IN[MC],RC_IN[BLOCK]=S40,RC_IN[BLOCK LOC]=S39),FILTER(RC_IN[WT],RC_IN[BLOCK]=S40,RC_IN[BLOCK LOC]=S39)) / SUM(FILTER(RC_IN[WT],RC_IN[BLOCK]=S40,RC_IN[BLOCK LOC]=S39)),"""")
"),9.385277064220183)</f>
        <v>9.385277064</v>
      </c>
      <c r="T44" s="45">
        <f>IFERROR(__xludf.DUMMYFUNCTION("IFERROR(SUMPRODUCT(FILTER(RC_IN[MC],RC_IN[BLOCK]=T40,RC_IN[BLOCK LOC]=T39),FILTER(RC_IN[WT],RC_IN[BLOCK]=T40,RC_IN[BLOCK LOC]=T39)) / SUM(FILTER(RC_IN[WT],RC_IN[BLOCK]=T40,RC_IN[BLOCK LOC]=T39)),"""")
"),10.760781019029618)</f>
        <v>10.76078102</v>
      </c>
      <c r="U44" s="45">
        <f>IFERROR(__xludf.DUMMYFUNCTION("IFERROR(SUMPRODUCT(FILTER(RC_IN[MC],RC_IN[BLOCK]=U40,RC_IN[BLOCK LOC]=U39),FILTER(RC_IN[WT],RC_IN[BLOCK]=U40,RC_IN[BLOCK LOC]=U39)) / SUM(FILTER(RC_IN[WT],RC_IN[BLOCK]=U40,RC_IN[BLOCK LOC]=U39)),"""")
"),10.971839280799925)</f>
        <v>10.97183928</v>
      </c>
      <c r="V44" s="45">
        <f>IFERROR(__xludf.DUMMYFUNCTION("IFERROR(SUMPRODUCT(FILTER(RC_IN[MC],RC_IN[BLOCK]=V40,RC_IN[BLOCK LOC]=V39),FILTER(RC_IN[WT],RC_IN[BLOCK]=V40,RC_IN[BLOCK LOC]=V39)) / SUM(FILTER(RC_IN[WT],RC_IN[BLOCK]=V40,RC_IN[BLOCK LOC]=V39)),"""")
"),9.719043478260868)</f>
        <v>9.719043478</v>
      </c>
      <c r="W44" s="45" t="str">
        <f>IFERROR(__xludf.DUMMYFUNCTION("IFERROR(SUMPRODUCT(FILTER(RC_IN[MC],RC_IN[BLOCK]=W40,RC_IN[BLOCK LOC]=W39),FILTER(RC_IN[WT],RC_IN[BLOCK]=W40,RC_IN[BLOCK LOC]=W39)) / SUM(FILTER(RC_IN[WT],RC_IN[BLOCK]=W40,RC_IN[BLOCK LOC]=W39)),"""")
"),"")</f>
        <v/>
      </c>
      <c r="X44" s="45">
        <f>IFERROR(__xludf.DUMMYFUNCTION("IFERROR(SUMPRODUCT(FILTER(RC_IN[MC],RC_IN[BLOCK]=X40,RC_IN[BLOCK LOC]=X39),FILTER(RC_IN[WT],RC_IN[BLOCK]=X40,RC_IN[BLOCK LOC]=X39)) / SUM(FILTER(RC_IN[WT],RC_IN[BLOCK]=X40,RC_IN[BLOCK LOC]=X39)),"""")
"),10.76634224678817)</f>
        <v>10.76634225</v>
      </c>
      <c r="Y44" s="45">
        <f>IFERROR(__xludf.DUMMYFUNCTION("IFERROR(SUMPRODUCT(FILTER(RC_IN[MC],RC_IN[BLOCK]=Y40,RC_IN[BLOCK LOC]=Y39),FILTER(RC_IN[WT],RC_IN[BLOCK]=Y40,RC_IN[BLOCK LOC]=Y39)) / SUM(FILTER(RC_IN[WT],RC_IN[BLOCK]=Y40,RC_IN[BLOCK LOC]=Y39)),"""")
"),10.272297118894153)</f>
        <v>10.27229712</v>
      </c>
      <c r="Z44" s="45">
        <f>IFERROR(__xludf.DUMMYFUNCTION("IFERROR(SUMPRODUCT(FILTER(RC_IN[MC],RC_IN[BLOCK]=Z40,RC_IN[BLOCK LOC]=Z39),FILTER(RC_IN[WT],RC_IN[BLOCK]=Z40,RC_IN[BLOCK LOC]=Z39)) / SUM(FILTER(RC_IN[WT],RC_IN[BLOCK]=Z40,RC_IN[BLOCK LOC]=Z39)),"""")
"),10.51977997155526)</f>
        <v>10.51977997</v>
      </c>
      <c r="AA44" s="46">
        <f>IFERROR(__xludf.DUMMYFUNCTION("IFERROR(SUMPRODUCT(FILTER(RC_IN[MC],RC_IN[BLOCK]=AA40,RC_IN[BLOCK LOC]=AA39),FILTER(RC_IN[WT],RC_IN[BLOCK]=AA40,RC_IN[BLOCK LOC]=AA39)) / SUM(FILTER(RC_IN[WT],RC_IN[BLOCK]=AA40,RC_IN[BLOCK LOC]=AA39)),"""")
"),9.987478374836172)</f>
        <v>9.987478375</v>
      </c>
      <c r="AB44" s="47"/>
      <c r="AC44" s="56"/>
      <c r="AD44" s="47"/>
      <c r="AE44" s="47"/>
      <c r="AF44" s="47"/>
      <c r="AG44" s="47"/>
    </row>
    <row r="45" ht="11.25" customHeight="1">
      <c r="A45" s="1"/>
      <c r="B45" s="2"/>
      <c r="C45" s="1"/>
      <c r="D45" s="2"/>
      <c r="E45" s="2"/>
      <c r="F45" s="2"/>
      <c r="G45" s="2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15"/>
      <c r="AC45" s="54"/>
      <c r="AD45" s="15"/>
      <c r="AE45" s="15"/>
      <c r="AF45" s="15"/>
      <c r="AG45" s="15"/>
    </row>
    <row r="46" ht="11.25" customHeight="1">
      <c r="A46" s="9"/>
      <c r="B46" s="9"/>
      <c r="C46" s="10" t="str">
        <f>E46</f>
        <v>WHSE D</v>
      </c>
      <c r="D46" s="10" t="s">
        <v>15</v>
      </c>
      <c r="E46" s="11" t="str">
        <f>CONCATENATE("WHSE ",D46)</f>
        <v>WHSE D</v>
      </c>
      <c r="F46" s="4"/>
      <c r="G46" s="12" t="s">
        <v>2</v>
      </c>
      <c r="H46" s="13" t="str">
        <f t="shared" ref="H46:AA46" si="14">CONCATENATE($D46,"-",H$1,$G46)</f>
        <v>D-1A</v>
      </c>
      <c r="I46" s="13" t="str">
        <f t="shared" si="14"/>
        <v>D-2A</v>
      </c>
      <c r="J46" s="13" t="str">
        <f t="shared" si="14"/>
        <v>D-3A</v>
      </c>
      <c r="K46" s="13" t="str">
        <f t="shared" si="14"/>
        <v>D-4A</v>
      </c>
      <c r="L46" s="13" t="str">
        <f t="shared" si="14"/>
        <v>D-5A</v>
      </c>
      <c r="M46" s="13" t="str">
        <f t="shared" si="14"/>
        <v>D-6A</v>
      </c>
      <c r="N46" s="13" t="str">
        <f t="shared" si="14"/>
        <v>D-7A</v>
      </c>
      <c r="O46" s="13" t="str">
        <f t="shared" si="14"/>
        <v>D-8A</v>
      </c>
      <c r="P46" s="13" t="str">
        <f t="shared" si="14"/>
        <v>D-9A</v>
      </c>
      <c r="Q46" s="13" t="str">
        <f t="shared" si="14"/>
        <v>D-10A</v>
      </c>
      <c r="R46" s="13" t="str">
        <f t="shared" si="14"/>
        <v>D-11A</v>
      </c>
      <c r="S46" s="13" t="str">
        <f t="shared" si="14"/>
        <v>D-12A</v>
      </c>
      <c r="T46" s="13" t="str">
        <f t="shared" si="14"/>
        <v>D-13A</v>
      </c>
      <c r="U46" s="13" t="str">
        <f t="shared" si="14"/>
        <v>D-14A</v>
      </c>
      <c r="V46" s="13" t="str">
        <f t="shared" si="14"/>
        <v>D-15A</v>
      </c>
      <c r="W46" s="13" t="str">
        <f t="shared" si="14"/>
        <v>D-16A</v>
      </c>
      <c r="X46" s="13" t="str">
        <f t="shared" si="14"/>
        <v>D-17A</v>
      </c>
      <c r="Y46" s="13" t="str">
        <f t="shared" si="14"/>
        <v>D-18A</v>
      </c>
      <c r="Z46" s="13" t="str">
        <f t="shared" si="14"/>
        <v>D-19A</v>
      </c>
      <c r="AA46" s="14" t="str">
        <f t="shared" si="14"/>
        <v>D-20A</v>
      </c>
      <c r="AB46" s="15"/>
      <c r="AC46" s="54"/>
      <c r="AD46" s="15"/>
      <c r="AE46" s="15"/>
      <c r="AF46" s="15"/>
      <c r="AG46" s="15"/>
    </row>
    <row r="47" ht="11.25" customHeight="1">
      <c r="A47" s="42"/>
      <c r="B47" s="17"/>
      <c r="C47" s="18" t="s">
        <v>5</v>
      </c>
      <c r="D47" s="11"/>
      <c r="F47" s="19" t="str">
        <f>IF(COUNTIF(G47:Z47,"ERROR")=0,"CLEAR",COUNTIF(G47:Z47,"ERROR")&amp;" ERRORS")
</f>
        <v>CLEAR</v>
      </c>
      <c r="G47" s="20" t="s">
        <v>6</v>
      </c>
      <c r="H47" s="21" t="str">
        <f>IFERROR(__xludf.DUMMYFUNCTION("IFERROR(IF(COUNTA(UNIQUE(FILTER(RC_IN[BLOCK],RC_IN[BLOCK LOC]=H46,RC_IN[STATE]&lt;&gt;""CLOSED"")))&gt;1,""ERROR"",INDEX(UNIQUE(FILTER(RC_IN[BLOCK],RC_IN[BLOCK LOC]=H46,RC_IN[STATE]&lt;&gt;""CLOSED"")),1)),"""")
"),"")</f>
        <v/>
      </c>
      <c r="I47" s="21" t="str">
        <f>IFERROR(__xludf.DUMMYFUNCTION("IFERROR(IF(COUNTA(UNIQUE(FILTER(RC_IN[BLOCK],RC_IN[BLOCK LOC]=I46,RC_IN[STATE]&lt;&gt;""CLOSED"")))&gt;1,""ERROR"",INDEX(UNIQUE(FILTER(RC_IN[BLOCK],RC_IN[BLOCK LOC]=I46,RC_IN[STATE]&lt;&gt;""CLOSED"")),1)),"""")
"),"APRIL-26-BLK4")</f>
        <v>APRIL-26-BLK4</v>
      </c>
      <c r="J47" s="21" t="str">
        <f>IFERROR(__xludf.DUMMYFUNCTION("IFERROR(IF(COUNTA(UNIQUE(FILTER(RC_IN[BLOCK],RC_IN[BLOCK LOC]=J46,RC_IN[STATE]&lt;&gt;""CLOSED"")))&gt;1,""ERROR"",INDEX(UNIQUE(FILTER(RC_IN[BLOCK],RC_IN[BLOCK LOC]=J46,RC_IN[STATE]&lt;&gt;""CLOSED"")),1)),"""")
"),"APRIL-26-BLK2")</f>
        <v>APRIL-26-BLK2</v>
      </c>
      <c r="K47" s="21" t="str">
        <f>IFERROR(__xludf.DUMMYFUNCTION("IFERROR(IF(COUNTA(UNIQUE(FILTER(RC_IN[BLOCK],RC_IN[BLOCK LOC]=K46,RC_IN[STATE]&lt;&gt;""CLOSED"")))&gt;1,""ERROR"",INDEX(UNIQUE(FILTER(RC_IN[BLOCK],RC_IN[BLOCK LOC]=K46,RC_IN[STATE]&lt;&gt;""CLOSED"")),1)),"""")
"),"APRIL-26-BLK1")</f>
        <v>APRIL-26-BLK1</v>
      </c>
      <c r="L47" s="21" t="str">
        <f>IFERROR(__xludf.DUMMYFUNCTION("IFERROR(IF(COUNTA(UNIQUE(FILTER(RC_IN[BLOCK],RC_IN[BLOCK LOC]=L46,RC_IN[STATE]&lt;&gt;""CLOSED"")))&gt;1,""ERROR"",INDEX(UNIQUE(FILTER(RC_IN[BLOCK],RC_IN[BLOCK LOC]=L46,RC_IN[STATE]&lt;&gt;""CLOSED"")),1)),"""")
"),"APRIL-26-BLK3")</f>
        <v>APRIL-26-BLK3</v>
      </c>
      <c r="M47" s="21" t="str">
        <f>IFERROR(__xludf.DUMMYFUNCTION("IFERROR(IF(COUNTA(UNIQUE(FILTER(RC_IN[BLOCK],RC_IN[BLOCK LOC]=M46,RC_IN[STATE]&lt;&gt;""CLOSED"")))&gt;1,""ERROR"",INDEX(UNIQUE(FILTER(RC_IN[BLOCK],RC_IN[BLOCK LOC]=M46,RC_IN[STATE]&lt;&gt;""CLOSED"")),1)),"""")
"),"")</f>
        <v/>
      </c>
      <c r="N47" s="21" t="str">
        <f>IFERROR(__xludf.DUMMYFUNCTION("IFERROR(IF(COUNTA(UNIQUE(FILTER(RC_IN[BLOCK],RC_IN[BLOCK LOC]=N46,RC_IN[STATE]&lt;&gt;""CLOSED"")))&gt;1,""ERROR"",INDEX(UNIQUE(FILTER(RC_IN[BLOCK],RC_IN[BLOCK LOC]=N46,RC_IN[STATE]&lt;&gt;""CLOSED"")),1)),"""")
"),"")</f>
        <v/>
      </c>
      <c r="O47" s="21" t="str">
        <f>IFERROR(__xludf.DUMMYFUNCTION("IFERROR(IF(COUNTA(UNIQUE(FILTER(RC_IN[BLOCK],RC_IN[BLOCK LOC]=O46,RC_IN[STATE]&lt;&gt;""CLOSED"")))&gt;1,""ERROR"",INDEX(UNIQUE(FILTER(RC_IN[BLOCK],RC_IN[BLOCK LOC]=O46,RC_IN[STATE]&lt;&gt;""CLOSED"")),1)),"""")
"),"NOV-25-BLK13")</f>
        <v>NOV-25-BLK13</v>
      </c>
      <c r="P47" s="21" t="str">
        <f>IFERROR(__xludf.DUMMYFUNCTION("IFERROR(IF(COUNTA(UNIQUE(FILTER(RC_IN[BLOCK],RC_IN[BLOCK LOC]=P46,RC_IN[STATE]&lt;&gt;""CLOSED"")))&gt;1,""ERROR"",INDEX(UNIQUE(FILTER(RC_IN[BLOCK],RC_IN[BLOCK LOC]=P46,RC_IN[STATE]&lt;&gt;""CLOSED"")),1)),"""")
"),"NOV-25-BLK2")</f>
        <v>NOV-25-BLK2</v>
      </c>
      <c r="Q47" s="21" t="str">
        <f>IFERROR(__xludf.DUMMYFUNCTION("IFERROR(IF(COUNTA(UNIQUE(FILTER(RC_IN[BLOCK],RC_IN[BLOCK LOC]=Q46,RC_IN[STATE]&lt;&gt;""CLOSED"")))&gt;1,""ERROR"",INDEX(UNIQUE(FILTER(RC_IN[BLOCK],RC_IN[BLOCK LOC]=Q46,RC_IN[STATE]&lt;&gt;""CLOSED"")),1)),"""")
"),"OCT-25-BLK22")</f>
        <v>OCT-25-BLK22</v>
      </c>
      <c r="R47" s="21" t="str">
        <f>IFERROR(__xludf.DUMMYFUNCTION("IFERROR(IF(COUNTA(UNIQUE(FILTER(RC_IN[BLOCK],RC_IN[BLOCK LOC]=R46,RC_IN[STATE]&lt;&gt;""CLOSED"")))&gt;1,""ERROR"",INDEX(UNIQUE(FILTER(RC_IN[BLOCK],RC_IN[BLOCK LOC]=R46,RC_IN[STATE]&lt;&gt;""CLOSED"")),1)),"""")
"),"")</f>
        <v/>
      </c>
      <c r="S47" s="21" t="str">
        <f>IFERROR(__xludf.DUMMYFUNCTION("IFERROR(IF(COUNTA(UNIQUE(FILTER(RC_IN[BLOCK],RC_IN[BLOCK LOC]=S46,RC_IN[STATE]&lt;&gt;""CLOSED"")))&gt;1,""ERROR"",INDEX(UNIQUE(FILTER(RC_IN[BLOCK],RC_IN[BLOCK LOC]=S46,RC_IN[STATE]&lt;&gt;""CLOSED"")),1)),"""")
"),"")</f>
        <v/>
      </c>
      <c r="T47" s="21" t="str">
        <f>IFERROR(__xludf.DUMMYFUNCTION("IFERROR(IF(COUNTA(UNIQUE(FILTER(RC_IN[BLOCK],RC_IN[BLOCK LOC]=T46,RC_IN[STATE]&lt;&gt;""CLOSED"")))&gt;1,""ERROR"",INDEX(UNIQUE(FILTER(RC_IN[BLOCK],RC_IN[BLOCK LOC]=T46,RC_IN[STATE]&lt;&gt;""CLOSED"")),1)),"""")
"),"")</f>
        <v/>
      </c>
      <c r="U47" s="21" t="str">
        <f>IFERROR(__xludf.DUMMYFUNCTION("IFERROR(IF(COUNTA(UNIQUE(FILTER(RC_IN[BLOCK],RC_IN[BLOCK LOC]=U46,RC_IN[STATE]&lt;&gt;""CLOSED"")))&gt;1,""ERROR"",INDEX(UNIQUE(FILTER(RC_IN[BLOCK],RC_IN[BLOCK LOC]=U46,RC_IN[STATE]&lt;&gt;""CLOSED"")),1)),"""")
"),"")</f>
        <v/>
      </c>
      <c r="V47" s="21" t="str">
        <f>IFERROR(__xludf.DUMMYFUNCTION("IFERROR(IF(COUNTA(UNIQUE(FILTER(RC_IN[BLOCK],RC_IN[BLOCK LOC]=V46,RC_IN[STATE]&lt;&gt;""CLOSED"")))&gt;1,""ERROR"",INDEX(UNIQUE(FILTER(RC_IN[BLOCK],RC_IN[BLOCK LOC]=V46,RC_IN[STATE]&lt;&gt;""CLOSED"")),1)),"""")
"),"NOV-25-BLK7")</f>
        <v>NOV-25-BLK7</v>
      </c>
      <c r="W47" s="21" t="str">
        <f>IFERROR(__xludf.DUMMYFUNCTION("IFERROR(IF(COUNTA(UNIQUE(FILTER(RC_IN[BLOCK],RC_IN[BLOCK LOC]=W46,RC_IN[STATE]&lt;&gt;""CLOSED"")))&gt;1,""ERROR"",INDEX(UNIQUE(FILTER(RC_IN[BLOCK],RC_IN[BLOCK LOC]=W46,RC_IN[STATE]&lt;&gt;""CLOSED"")),1)),"""")
"),"DEC-25-BLK14")</f>
        <v>DEC-25-BLK14</v>
      </c>
      <c r="X47" s="21" t="str">
        <f>IFERROR(__xludf.DUMMYFUNCTION("IFERROR(IF(COUNTA(UNIQUE(FILTER(RC_IN[BLOCK],RC_IN[BLOCK LOC]=X46,RC_IN[STATE]&lt;&gt;""CLOSED"")))&gt;1,""ERROR"",INDEX(UNIQUE(FILTER(RC_IN[BLOCK],RC_IN[BLOCK LOC]=X46,RC_IN[STATE]&lt;&gt;""CLOSED"")),1)),"""")
"),"MAY-26-BLK9")</f>
        <v>MAY-26-BLK9</v>
      </c>
      <c r="Y47" s="21" t="str">
        <f>IFERROR(__xludf.DUMMYFUNCTION("IFERROR(IF(COUNTA(UNIQUE(FILTER(RC_IN[BLOCK],RC_IN[BLOCK LOC]=Y46,RC_IN[STATE]&lt;&gt;""CLOSED"")))&gt;1,""ERROR"",INDEX(UNIQUE(FILTER(RC_IN[BLOCK],RC_IN[BLOCK LOC]=Y46,RC_IN[STATE]&lt;&gt;""CLOSED"")),1)),"""")
"),"JUNE-26-BLK7")</f>
        <v>JUNE-26-BLK7</v>
      </c>
      <c r="Z47" s="21" t="str">
        <f>IFERROR(__xludf.DUMMYFUNCTION("IFERROR(IF(COUNTA(UNIQUE(FILTER(RC_IN[BLOCK],RC_IN[BLOCK LOC]=Z46,RC_IN[STATE]&lt;&gt;""CLOSED"")))&gt;1,""ERROR"",INDEX(UNIQUE(FILTER(RC_IN[BLOCK],RC_IN[BLOCK LOC]=Z46,RC_IN[STATE]&lt;&gt;""CLOSED"")),1)),"""")
"),"")</f>
        <v/>
      </c>
      <c r="AA47" s="22" t="str">
        <f>IFERROR(__xludf.DUMMYFUNCTION("IFERROR(IF(COUNTA(UNIQUE(FILTER(RC_IN[BLOCK],RC_IN[BLOCK LOC]=AA46,RC_IN[STATE]&lt;&gt;""CLOSED"")))&gt;1,""ERROR"",INDEX(UNIQUE(FILTER(RC_IN[BLOCK],RC_IN[BLOCK LOC]=AA46,RC_IN[STATE]&lt;&gt;""CLOSED"")),1)),"""")
"),"")</f>
        <v/>
      </c>
      <c r="AB47" s="15"/>
      <c r="AC47" s="54"/>
      <c r="AD47" s="15"/>
      <c r="AE47" s="15"/>
      <c r="AF47" s="15"/>
      <c r="AG47" s="15"/>
    </row>
    <row r="48" ht="11.25" customHeight="1">
      <c r="A48" s="42"/>
      <c r="B48" s="17"/>
      <c r="C48" s="25">
        <f>sum(H48:AA48)</f>
        <v>616100</v>
      </c>
      <c r="D48" s="11"/>
      <c r="F48" s="26"/>
      <c r="G48" s="27" t="s">
        <v>7</v>
      </c>
      <c r="H48" s="28">
        <f>SUMIFS(RC_IN[WT],RC_IN[BLOCK],H47,RC_IN[BLOCK LOC],H46)-SUMIFS(RC_OUT[WT],RC_OUT[BLOCK],H47,RC_OUT[BLOCK LOC],H46)</f>
        <v>0</v>
      </c>
      <c r="I48" s="28">
        <f>SUMIFS(RC_IN[WT],RC_IN[BLOCK],I47,RC_IN[BLOCK LOC],I46)-SUMIFS(RC_OUT[WT],RC_OUT[BLOCK],I47,RC_OUT[BLOCK LOC],I46)</f>
        <v>57715</v>
      </c>
      <c r="J48" s="28">
        <f>SUMIFS(RC_IN[WT],RC_IN[BLOCK],J47,RC_IN[BLOCK LOC],J46)-SUMIFS(RC_OUT[WT],RC_OUT[BLOCK],J47,RC_OUT[BLOCK LOC],J46)</f>
        <v>53410</v>
      </c>
      <c r="K48" s="28">
        <f>SUMIFS(RC_IN[WT],RC_IN[BLOCK],K47,RC_IN[BLOCK LOC],K46)-SUMIFS(RC_OUT[WT],RC_OUT[BLOCK],K47,RC_OUT[BLOCK LOC],K46)</f>
        <v>57285</v>
      </c>
      <c r="L48" s="28">
        <f>SUMIFS(RC_IN[WT],RC_IN[BLOCK],L47,RC_IN[BLOCK LOC],L46)-SUMIFS(RC_OUT[WT],RC_OUT[BLOCK],L47,RC_OUT[BLOCK LOC],L46)</f>
        <v>50108</v>
      </c>
      <c r="M48" s="28">
        <f>SUMIFS(RC_IN[WT],RC_IN[BLOCK],M47,RC_IN[BLOCK LOC],M46)-SUMIFS(RC_OUT[WT],RC_OUT[BLOCK],M47,RC_OUT[BLOCK LOC],M46)</f>
        <v>0</v>
      </c>
      <c r="N48" s="28">
        <f>SUMIFS(RC_IN[WT],RC_IN[BLOCK],N47,RC_IN[BLOCK LOC],N46)-SUMIFS(RC_OUT[WT],RC_OUT[BLOCK],N47,RC_OUT[BLOCK LOC],N46)</f>
        <v>0</v>
      </c>
      <c r="O48" s="28">
        <f>SUMIFS(RC_IN[WT],RC_IN[BLOCK],O47,RC_IN[BLOCK LOC],O46)-SUMIFS(RC_OUT[WT],RC_OUT[BLOCK],O47,RC_OUT[BLOCK LOC],O46)</f>
        <v>58195</v>
      </c>
      <c r="P48" s="28">
        <f>SUMIFS(RC_IN[WT],RC_IN[BLOCK],P47,RC_IN[BLOCK LOC],P46)-SUMIFS(RC_OUT[WT],RC_OUT[BLOCK],P47,RC_OUT[BLOCK LOC],P46)</f>
        <v>58453</v>
      </c>
      <c r="Q48" s="28">
        <f>SUMIFS(RC_IN[WT],RC_IN[BLOCK],Q47,RC_IN[BLOCK LOC],Q46)-SUMIFS(RC_OUT[WT],RC_OUT[BLOCK],Q47,RC_OUT[BLOCK LOC],Q46)</f>
        <v>59884</v>
      </c>
      <c r="R48" s="28">
        <f>SUMIFS(RC_IN[WT],RC_IN[BLOCK],R47,RC_IN[BLOCK LOC],R46)-SUMIFS(RC_OUT[WT],RC_OUT[BLOCK],R47,RC_OUT[BLOCK LOC],R46)</f>
        <v>0</v>
      </c>
      <c r="S48" s="28">
        <f>SUMIFS(RC_IN[WT],RC_IN[BLOCK],S47,RC_IN[BLOCK LOC],S46)-SUMIFS(RC_OUT[WT],RC_OUT[BLOCK],S47,RC_OUT[BLOCK LOC],S46)</f>
        <v>0</v>
      </c>
      <c r="T48" s="28">
        <f>SUMIFS(RC_IN[WT],RC_IN[BLOCK],T47,RC_IN[BLOCK LOC],T46)-SUMIFS(RC_OUT[WT],RC_OUT[BLOCK],T47,RC_OUT[BLOCK LOC],T46)</f>
        <v>0</v>
      </c>
      <c r="U48" s="28">
        <f>SUMIFS(RC_IN[WT],RC_IN[BLOCK],U47,RC_IN[BLOCK LOC],U46)-SUMIFS(RC_OUT[WT],RC_OUT[BLOCK],U47,RC_OUT[BLOCK LOC],U46)</f>
        <v>0</v>
      </c>
      <c r="V48" s="28">
        <f>SUMIFS(RC_IN[WT],RC_IN[BLOCK],V47,RC_IN[BLOCK LOC],V46)-SUMIFS(RC_OUT[WT],RC_OUT[BLOCK],V47,RC_OUT[BLOCK LOC],V46)</f>
        <v>51315</v>
      </c>
      <c r="W48" s="28">
        <f>SUMIFS(RC_IN[WT],RC_IN[BLOCK],W47,RC_IN[BLOCK LOC],W46)-SUMIFS(RC_OUT[WT],RC_OUT[BLOCK],W47,RC_OUT[BLOCK LOC],W46)</f>
        <v>58870</v>
      </c>
      <c r="X48" s="28">
        <f>SUMIFS(RC_IN[WT],RC_IN[BLOCK],X47,RC_IN[BLOCK LOC],X46)-SUMIFS(RC_OUT[WT],RC_OUT[BLOCK],X47,RC_OUT[BLOCK LOC],X46)</f>
        <v>55405</v>
      </c>
      <c r="Y48" s="28">
        <f>SUMIFS(RC_IN[WT],RC_IN[BLOCK],Y47,RC_IN[BLOCK LOC],Y46)-SUMIFS(RC_OUT[WT],RC_OUT[BLOCK],Y47,RC_OUT[BLOCK LOC],Y46)</f>
        <v>55460</v>
      </c>
      <c r="Z48" s="28">
        <f>SUMIFS(RC_IN[WT],RC_IN[BLOCK],Z47,RC_IN[BLOCK LOC],Z46)-SUMIFS(RC_OUT[WT],RC_OUT[BLOCK],Z47,RC_OUT[BLOCK LOC],Z46)</f>
        <v>0</v>
      </c>
      <c r="AA48" s="29">
        <f>SUMIFS(RC_IN[WT],RC_IN[BLOCK],AA47,RC_IN[BLOCK LOC],AA46)-SUMIFS(RC_OUT[WT],RC_OUT[BLOCK],AA47,RC_OUT[BLOCK LOC],AA46)</f>
        <v>0</v>
      </c>
      <c r="AB48" s="15"/>
      <c r="AC48" s="54"/>
      <c r="AD48" s="15"/>
      <c r="AE48" s="15"/>
      <c r="AF48" s="15"/>
      <c r="AG48" s="15"/>
    </row>
    <row r="49" ht="11.25" customHeight="1">
      <c r="A49" s="42"/>
      <c r="B49" s="17"/>
      <c r="C49" s="32"/>
      <c r="D49" s="11"/>
      <c r="F49" s="33"/>
      <c r="G49" s="34" t="s">
        <v>8</v>
      </c>
      <c r="H49" s="35" t="str">
        <f>IFERROR(__xludf.DUMMYFUNCTION("IFERROR(SUMPRODUCT(FILTER(RC_IN[ASTM],RC_IN[BLOCK]=H47,RC_IN[BLOCK LOC]=H46),FILTER(RC_IN[WT],RC_IN[BLOCK]=H47,RC_IN[BLOCK LOC]=H46))/SUM(FILTER(RC_IN[WT],RC_IN[BLOCK]=H47,RC_IN[BLOCK LOC]=H46)),"""")
"),"  ")</f>
        <v/>
      </c>
      <c r="I49" s="35">
        <f>IFERROR(__xludf.DUMMYFUNCTION("IFERROR(SUMPRODUCT(FILTER(RC_IN[ASTM],RC_IN[BLOCK]=I47,RC_IN[BLOCK LOC]=I46),FILTER(RC_IN[WT],RC_IN[BLOCK]=I47,RC_IN[BLOCK LOC]=I46))/SUM(FILTER(RC_IN[WT],RC_IN[BLOCK]=I47,RC_IN[BLOCK LOC]=I46)),"""")
"),0.5651429437754483)</f>
        <v>0.5651429438</v>
      </c>
      <c r="J49" s="35">
        <f>IFERROR(__xludf.DUMMYFUNCTION("IFERROR(SUMPRODUCT(FILTER(RC_IN[ASTM],RC_IN[BLOCK]=J47,RC_IN[BLOCK LOC]=J46),FILTER(RC_IN[WT],RC_IN[BLOCK]=J47,RC_IN[BLOCK LOC]=J46))/SUM(FILTER(RC_IN[WT],RC_IN[BLOCK]=J47,RC_IN[BLOCK LOC]=J46)),"""")
"),0.5742068900954878)</f>
        <v>0.5742068901</v>
      </c>
      <c r="K49" s="35">
        <f>IFERROR(__xludf.DUMMYFUNCTION("IFERROR(SUMPRODUCT(FILTER(RC_IN[ASTM],RC_IN[BLOCK]=K47,RC_IN[BLOCK LOC]=K46),FILTER(RC_IN[WT],RC_IN[BLOCK]=K47,RC_IN[BLOCK LOC]=K46))/SUM(FILTER(RC_IN[WT],RC_IN[BLOCK]=K47,RC_IN[BLOCK LOC]=K46)),"""")
"),0.5643205027494108)</f>
        <v>0.5643205027</v>
      </c>
      <c r="L49" s="35">
        <f>IFERROR(__xludf.DUMMYFUNCTION("IFERROR(SUMPRODUCT(FILTER(RC_IN[ASTM],RC_IN[BLOCK]=L47,RC_IN[BLOCK LOC]=L46),FILTER(RC_IN[WT],RC_IN[BLOCK]=L47,RC_IN[BLOCK LOC]=L46))/SUM(FILTER(RC_IN[WT],RC_IN[BLOCK]=L47,RC_IN[BLOCK LOC]=L46)),"""")
"),0.5541884728985392)</f>
        <v>0.5541884729</v>
      </c>
      <c r="M49" s="35" t="str">
        <f>IFERROR(__xludf.DUMMYFUNCTION("IFERROR(SUMPRODUCT(FILTER(RC_IN[ASTM],RC_IN[BLOCK]=M47,RC_IN[BLOCK LOC]=M46),FILTER(RC_IN[WT],RC_IN[BLOCK]=M47,RC_IN[BLOCK LOC]=M46))/SUM(FILTER(RC_IN[WT],RC_IN[BLOCK]=M47,RC_IN[BLOCK LOC]=M46)),"""")
"),"  ")</f>
        <v/>
      </c>
      <c r="N49" s="35" t="str">
        <f>IFERROR(__xludf.DUMMYFUNCTION("IFERROR(SUMPRODUCT(FILTER(RC_IN[ASTM],RC_IN[BLOCK]=N47,RC_IN[BLOCK LOC]=N46),FILTER(RC_IN[WT],RC_IN[BLOCK]=N47,RC_IN[BLOCK LOC]=N46))/SUM(FILTER(RC_IN[WT],RC_IN[BLOCK]=N47,RC_IN[BLOCK LOC]=N46)),"""")
"),"  ")</f>
        <v/>
      </c>
      <c r="O49" s="35">
        <f>IFERROR(__xludf.DUMMYFUNCTION("IFERROR(SUMPRODUCT(FILTER(RC_IN[ASTM],RC_IN[BLOCK]=O47,RC_IN[BLOCK LOC]=O46),FILTER(RC_IN[WT],RC_IN[BLOCK]=O47,RC_IN[BLOCK LOC]=O46))/SUM(FILTER(RC_IN[WT],RC_IN[BLOCK]=O47,RC_IN[BLOCK LOC]=O46)),"""")
"),0.5769880573932468)</f>
        <v>0.5769880574</v>
      </c>
      <c r="P49" s="35">
        <f>IFERROR(__xludf.DUMMYFUNCTION("IFERROR(SUMPRODUCT(FILTER(RC_IN[ASTM],RC_IN[BLOCK]=P47,RC_IN[BLOCK LOC]=P46),FILTER(RC_IN[WT],RC_IN[BLOCK]=P47,RC_IN[BLOCK LOC]=P46))/SUM(FILTER(RC_IN[WT],RC_IN[BLOCK]=P47,RC_IN[BLOCK LOC]=P46)),"""")
"),0.5769412006227225)</f>
        <v>0.5769412006</v>
      </c>
      <c r="Q49" s="35">
        <f>IFERROR(__xludf.DUMMYFUNCTION("IFERROR(SUMPRODUCT(FILTER(RC_IN[ASTM],RC_IN[BLOCK]=Q47,RC_IN[BLOCK LOC]=Q46),FILTER(RC_IN[WT],RC_IN[BLOCK]=Q47,RC_IN[BLOCK LOC]=Q46))/SUM(FILTER(RC_IN[WT],RC_IN[BLOCK]=Q47,RC_IN[BLOCK LOC]=Q46)),"""")
"),0.5759802451406051)</f>
        <v>0.5759802451</v>
      </c>
      <c r="R49" s="35" t="str">
        <f>IFERROR(__xludf.DUMMYFUNCTION("IFERROR(SUMPRODUCT(FILTER(RC_IN[ASTM],RC_IN[BLOCK]=R47,RC_IN[BLOCK LOC]=R46),FILTER(RC_IN[WT],RC_IN[BLOCK]=R47,RC_IN[BLOCK LOC]=R46))/SUM(FILTER(RC_IN[WT],RC_IN[BLOCK]=R47,RC_IN[BLOCK LOC]=R46)),"""")
"),"  ")</f>
        <v/>
      </c>
      <c r="S49" s="35" t="str">
        <f>IFERROR(__xludf.DUMMYFUNCTION("IFERROR(SUMPRODUCT(FILTER(RC_IN[ASTM],RC_IN[BLOCK]=S47,RC_IN[BLOCK LOC]=S46),FILTER(RC_IN[WT],RC_IN[BLOCK]=S47,RC_IN[BLOCK LOC]=S46))/SUM(FILTER(RC_IN[WT],RC_IN[BLOCK]=S47,RC_IN[BLOCK LOC]=S46)),"""")
"),"  ")</f>
        <v/>
      </c>
      <c r="T49" s="35" t="str">
        <f>IFERROR(__xludf.DUMMYFUNCTION("IFERROR(SUMPRODUCT(FILTER(RC_IN[ASTM],RC_IN[BLOCK]=T47,RC_IN[BLOCK LOC]=T46),FILTER(RC_IN[WT],RC_IN[BLOCK]=T47,RC_IN[BLOCK LOC]=T46))/SUM(FILTER(RC_IN[WT],RC_IN[BLOCK]=T47,RC_IN[BLOCK LOC]=T46)),"""")
"),"  ")</f>
        <v/>
      </c>
      <c r="U49" s="35" t="str">
        <f>IFERROR(__xludf.DUMMYFUNCTION("IFERROR(SUMPRODUCT(FILTER(RC_IN[ASTM],RC_IN[BLOCK]=U47,RC_IN[BLOCK LOC]=U46),FILTER(RC_IN[WT],RC_IN[BLOCK]=U47,RC_IN[BLOCK LOC]=U46))/SUM(FILTER(RC_IN[WT],RC_IN[BLOCK]=U47,RC_IN[BLOCK LOC]=U46)),"""")
"),"  ")</f>
        <v/>
      </c>
      <c r="V49" s="35">
        <f>IFERROR(__xludf.DUMMYFUNCTION("IFERROR(SUMPRODUCT(FILTER(RC_IN[ASTM],RC_IN[BLOCK]=V47,RC_IN[BLOCK LOC]=V46),FILTER(RC_IN[WT],RC_IN[BLOCK]=V47,RC_IN[BLOCK LOC]=V46))/SUM(FILTER(RC_IN[WT],RC_IN[BLOCK]=V47,RC_IN[BLOCK LOC]=V46)),"""")
"),0.5705610445288901)</f>
        <v>0.5705610445</v>
      </c>
      <c r="W49" s="35">
        <f>IFERROR(__xludf.DUMMYFUNCTION("IFERROR(SUMPRODUCT(FILTER(RC_IN[ASTM],RC_IN[BLOCK]=W47,RC_IN[BLOCK LOC]=W46),FILTER(RC_IN[WT],RC_IN[BLOCK]=W47,RC_IN[BLOCK LOC]=W46))/SUM(FILTER(RC_IN[WT],RC_IN[BLOCK]=W47,RC_IN[BLOCK LOC]=W46)),"""")
"),0.5748792254119246)</f>
        <v>0.5748792254</v>
      </c>
      <c r="X49" s="35">
        <f>IFERROR(__xludf.DUMMYFUNCTION("IFERROR(SUMPRODUCT(FILTER(RC_IN[ASTM],RC_IN[BLOCK]=X47,RC_IN[BLOCK LOC]=X46),FILTER(RC_IN[WT],RC_IN[BLOCK]=X47,RC_IN[BLOCK LOC]=X46))/SUM(FILTER(RC_IN[WT],RC_IN[BLOCK]=X47,RC_IN[BLOCK LOC]=X46)),"""")
"),0.5689516289143578)</f>
        <v>0.5689516289</v>
      </c>
      <c r="Y49" s="35">
        <f>IFERROR(__xludf.DUMMYFUNCTION("IFERROR(SUMPRODUCT(FILTER(RC_IN[ASTM],RC_IN[BLOCK]=Y47,RC_IN[BLOCK LOC]=Y46),FILTER(RC_IN[WT],RC_IN[BLOCK]=Y47,RC_IN[BLOCK LOC]=Y46))/SUM(FILTER(RC_IN[WT],RC_IN[BLOCK]=Y47,RC_IN[BLOCK LOC]=Y46)),"""")
"),0.5687905697800216)</f>
        <v>0.5687905698</v>
      </c>
      <c r="Z49" s="35" t="str">
        <f>IFERROR(__xludf.DUMMYFUNCTION("IFERROR(SUMPRODUCT(FILTER(RC_IN[ASTM],RC_IN[BLOCK]=Z47,RC_IN[BLOCK LOC]=Z46),FILTER(RC_IN[WT],RC_IN[BLOCK]=Z47,RC_IN[BLOCK LOC]=Z46))/SUM(FILTER(RC_IN[WT],RC_IN[BLOCK]=Z47,RC_IN[BLOCK LOC]=Z46)),"""")
"),"  ")</f>
        <v/>
      </c>
      <c r="AA49" s="36" t="str">
        <f>IFERROR(__xludf.DUMMYFUNCTION("IFERROR(SUMPRODUCT(FILTER(RC_IN[ASTM],RC_IN[BLOCK]=AA47,RC_IN[BLOCK LOC]=AA46),FILTER(RC_IN[WT],RC_IN[BLOCK]=AA47,RC_IN[BLOCK LOC]=AA46))/SUM(FILTER(RC_IN[WT],RC_IN[BLOCK]=AA47,RC_IN[BLOCK LOC]=AA46)),"""")
"),"  ")</f>
        <v/>
      </c>
      <c r="AB49" s="37"/>
      <c r="AC49" s="55"/>
      <c r="AD49" s="37"/>
      <c r="AE49" s="37"/>
      <c r="AF49" s="37"/>
      <c r="AG49" s="37"/>
    </row>
    <row r="50" ht="11.25" customHeight="1">
      <c r="A50" s="42"/>
      <c r="B50" s="17"/>
      <c r="C50" s="32"/>
      <c r="D50" s="11"/>
      <c r="F50" s="26"/>
      <c r="G50" s="27" t="s">
        <v>9</v>
      </c>
      <c r="H50" s="40" t="str">
        <f>IFERROR(__xludf.DUMMYFUNCTION("IFERROR(SUMPRODUCT(FILTER(RC_IN[ASH],RC_IN[BLOCK]=H47,RC_IN[BLOCK LOC]=H46),FILTER(RC_IN[WT],RC_IN[BLOCK]=H47,RC_IN[BLOCK LOC]=H46))/SUM(FILTER(RC_IN[WT],RC_IN[BLOCK]=H47,RC_IN[BLOCK LOC]=H46)),"""")
"),"  ")</f>
        <v/>
      </c>
      <c r="I50" s="40">
        <f>IFERROR(__xludf.DUMMYFUNCTION("IFERROR(SUMPRODUCT(FILTER(RC_IN[ASH],RC_IN[BLOCK]=I47,RC_IN[BLOCK LOC]=I46),FILTER(RC_IN[WT],RC_IN[BLOCK]=I47,RC_IN[BLOCK LOC]=I46))/SUM(FILTER(RC_IN[WT],RC_IN[BLOCK]=I47,RC_IN[BLOCK LOC]=I46)),"""")
"),4.45493979034913)</f>
        <v>4.45493979</v>
      </c>
      <c r="J50" s="40">
        <f>IFERROR(__xludf.DUMMYFUNCTION("IFERROR(SUMPRODUCT(FILTER(RC_IN[ASH],RC_IN[BLOCK]=J47,RC_IN[BLOCK LOC]=J46),FILTER(RC_IN[WT],RC_IN[BLOCK]=J47,RC_IN[BLOCK LOC]=J46))/SUM(FILTER(RC_IN[WT],RC_IN[BLOCK]=J47,RC_IN[BLOCK LOC]=J46)),"""")
"),3.330252761655121)</f>
        <v>3.330252762</v>
      </c>
      <c r="K50" s="40">
        <f>IFERROR(__xludf.DUMMYFUNCTION("IFERROR(SUMPRODUCT(FILTER(RC_IN[ASH],RC_IN[BLOCK]=K47,RC_IN[BLOCK LOC]=K46),FILTER(RC_IN[WT],RC_IN[BLOCK]=K47,RC_IN[BLOCK LOC]=K46))/SUM(FILTER(RC_IN[WT],RC_IN[BLOCK]=K47,RC_IN[BLOCK LOC]=K46)),"""")
"),3.8797163306275637)</f>
        <v>3.879716331</v>
      </c>
      <c r="L50" s="40">
        <f>IFERROR(__xludf.DUMMYFUNCTION("IFERROR(SUMPRODUCT(FILTER(RC_IN[ASH],RC_IN[BLOCK]=L47,RC_IN[BLOCK LOC]=L46),FILTER(RC_IN[WT],RC_IN[BLOCK]=L47,RC_IN[BLOCK LOC]=L46))/SUM(FILTER(RC_IN[WT],RC_IN[BLOCK]=L47,RC_IN[BLOCK LOC]=L46)),"""")
"),5.7241711902291055)</f>
        <v>5.72417119</v>
      </c>
      <c r="M50" s="40" t="str">
        <f>IFERROR(__xludf.DUMMYFUNCTION("IFERROR(SUMPRODUCT(FILTER(RC_IN[ASH],RC_IN[BLOCK]=M47,RC_IN[BLOCK LOC]=M46),FILTER(RC_IN[WT],RC_IN[BLOCK]=M47,RC_IN[BLOCK LOC]=M46))/SUM(FILTER(RC_IN[WT],RC_IN[BLOCK]=M47,RC_IN[BLOCK LOC]=M46)),"""")
"),"  ")</f>
        <v/>
      </c>
      <c r="N50" s="40" t="str">
        <f>IFERROR(__xludf.DUMMYFUNCTION("IFERROR(SUMPRODUCT(FILTER(RC_IN[ASH],RC_IN[BLOCK]=N47,RC_IN[BLOCK LOC]=N46),FILTER(RC_IN[WT],RC_IN[BLOCK]=N47,RC_IN[BLOCK LOC]=N46))/SUM(FILTER(RC_IN[WT],RC_IN[BLOCK]=N47,RC_IN[BLOCK LOC]=N46)),"""")
"),"  ")</f>
        <v/>
      </c>
      <c r="O50" s="40">
        <f>IFERROR(__xludf.DUMMYFUNCTION("IFERROR(SUMPRODUCT(FILTER(RC_IN[ASH],RC_IN[BLOCK]=O47,RC_IN[BLOCK LOC]=O46),FILTER(RC_IN[WT],RC_IN[BLOCK]=O47,RC_IN[BLOCK LOC]=O46))/SUM(FILTER(RC_IN[WT],RC_IN[BLOCK]=O47,RC_IN[BLOCK LOC]=O46)),"""")
"),3.7047289286021132)</f>
        <v>3.704728929</v>
      </c>
      <c r="P50" s="40">
        <f>IFERROR(__xludf.DUMMYFUNCTION("IFERROR(SUMPRODUCT(FILTER(RC_IN[ASH],RC_IN[BLOCK]=P47,RC_IN[BLOCK LOC]=P46),FILTER(RC_IN[WT],RC_IN[BLOCK]=P47,RC_IN[BLOCK LOC]=P46))/SUM(FILTER(RC_IN[WT],RC_IN[BLOCK]=P47,RC_IN[BLOCK LOC]=P46)),"""")
"),3.3705592527329653)</f>
        <v>3.370559253</v>
      </c>
      <c r="Q50" s="40">
        <f>IFERROR(__xludf.DUMMYFUNCTION("IFERROR(SUMPRODUCT(FILTER(RC_IN[ASH],RC_IN[BLOCK]=Q47,RC_IN[BLOCK LOC]=Q46),FILTER(RC_IN[WT],RC_IN[BLOCK]=Q47,RC_IN[BLOCK LOC]=Q46))/SUM(FILTER(RC_IN[WT],RC_IN[BLOCK]=Q47,RC_IN[BLOCK LOC]=Q46)),"""")
"),3.3026564691737352)</f>
        <v>3.302656469</v>
      </c>
      <c r="R50" s="40" t="str">
        <f>IFERROR(__xludf.DUMMYFUNCTION("IFERROR(SUMPRODUCT(FILTER(RC_IN[ASH],RC_IN[BLOCK]=R47,RC_IN[BLOCK LOC]=R46),FILTER(RC_IN[WT],RC_IN[BLOCK]=R47,RC_IN[BLOCK LOC]=R46))/SUM(FILTER(RC_IN[WT],RC_IN[BLOCK]=R47,RC_IN[BLOCK LOC]=R46)),"""")
"),"  ")</f>
        <v/>
      </c>
      <c r="S50" s="40" t="str">
        <f>IFERROR(__xludf.DUMMYFUNCTION("IFERROR(SUMPRODUCT(FILTER(RC_IN[ASH],RC_IN[BLOCK]=S47,RC_IN[BLOCK LOC]=S46),FILTER(RC_IN[WT],RC_IN[BLOCK]=S47,RC_IN[BLOCK LOC]=S46))/SUM(FILTER(RC_IN[WT],RC_IN[BLOCK]=S47,RC_IN[BLOCK LOC]=S46)),"""")
"),"  ")</f>
        <v/>
      </c>
      <c r="T50" s="40" t="str">
        <f>IFERROR(__xludf.DUMMYFUNCTION("IFERROR(SUMPRODUCT(FILTER(RC_IN[ASH],RC_IN[BLOCK]=T47,RC_IN[BLOCK LOC]=T46),FILTER(RC_IN[WT],RC_IN[BLOCK]=T47,RC_IN[BLOCK LOC]=T46))/SUM(FILTER(RC_IN[WT],RC_IN[BLOCK]=T47,RC_IN[BLOCK LOC]=T46)),"""")
"),"  ")</f>
        <v/>
      </c>
      <c r="U50" s="40" t="str">
        <f>IFERROR(__xludf.DUMMYFUNCTION("IFERROR(SUMPRODUCT(FILTER(RC_IN[ASH],RC_IN[BLOCK]=U47,RC_IN[BLOCK LOC]=U46),FILTER(RC_IN[WT],RC_IN[BLOCK]=U47,RC_IN[BLOCK LOC]=U46))/SUM(FILTER(RC_IN[WT],RC_IN[BLOCK]=U47,RC_IN[BLOCK LOC]=U46)),"""")
"),"  ")</f>
        <v/>
      </c>
      <c r="V50" s="40">
        <f>IFERROR(__xludf.DUMMYFUNCTION("IFERROR(SUMPRODUCT(FILTER(RC_IN[ASH],RC_IN[BLOCK]=V47,RC_IN[BLOCK LOC]=V46),FILTER(RC_IN[WT],RC_IN[BLOCK]=V47,RC_IN[BLOCK LOC]=V46))/SUM(FILTER(RC_IN[WT],RC_IN[BLOCK]=V47,RC_IN[BLOCK LOC]=V46)),"""")
"),3.311588229562506)</f>
        <v>3.31158823</v>
      </c>
      <c r="W50" s="40">
        <f>IFERROR(__xludf.DUMMYFUNCTION("IFERROR(SUMPRODUCT(FILTER(RC_IN[ASH],RC_IN[BLOCK]=W47,RC_IN[BLOCK LOC]=W46),FILTER(RC_IN[WT],RC_IN[BLOCK]=W47,RC_IN[BLOCK LOC]=W46))/SUM(FILTER(RC_IN[WT],RC_IN[BLOCK]=W47,RC_IN[BLOCK LOC]=W46)),"""")
"),3.4745099371496515)</f>
        <v>3.474509937</v>
      </c>
      <c r="X50" s="40">
        <f>IFERROR(__xludf.DUMMYFUNCTION("IFERROR(SUMPRODUCT(FILTER(RC_IN[ASH],RC_IN[BLOCK]=X47,RC_IN[BLOCK LOC]=X46),FILTER(RC_IN[WT],RC_IN[BLOCK]=X47,RC_IN[BLOCK LOC]=X46))/SUM(FILTER(RC_IN[WT],RC_IN[BLOCK]=X47,RC_IN[BLOCK LOC]=X46)),"""")
"),3.7151403302951)</f>
        <v>3.71514033</v>
      </c>
      <c r="Y50" s="40">
        <f>IFERROR(__xludf.DUMMYFUNCTION("IFERROR(SUMPRODUCT(FILTER(RC_IN[ASH],RC_IN[BLOCK]=Y47,RC_IN[BLOCK LOC]=Y46),FILTER(RC_IN[WT],RC_IN[BLOCK]=Y47,RC_IN[BLOCK LOC]=Y46))/SUM(FILTER(RC_IN[WT],RC_IN[BLOCK]=Y47,RC_IN[BLOCK LOC]=Y46)),"""")
"),3.6349386945546343)</f>
        <v>3.634938695</v>
      </c>
      <c r="Z50" s="40" t="str">
        <f>IFERROR(__xludf.DUMMYFUNCTION("IFERROR(SUMPRODUCT(FILTER(RC_IN[ASH],RC_IN[BLOCK]=Z47,RC_IN[BLOCK LOC]=Z46),FILTER(RC_IN[WT],RC_IN[BLOCK]=Z47,RC_IN[BLOCK LOC]=Z46))/SUM(FILTER(RC_IN[WT],RC_IN[BLOCK]=Z47,RC_IN[BLOCK LOC]=Z46)),"""")
"),"  ")</f>
        <v/>
      </c>
      <c r="AA50" s="41" t="str">
        <f>IFERROR(__xludf.DUMMYFUNCTION("IFERROR(SUMPRODUCT(FILTER(RC_IN[ASH],RC_IN[BLOCK]=AA47,RC_IN[BLOCK LOC]=AA46),FILTER(RC_IN[WT],RC_IN[BLOCK]=AA47,RC_IN[BLOCK LOC]=AA46))/SUM(FILTER(RC_IN[WT],RC_IN[BLOCK]=AA47,RC_IN[BLOCK LOC]=AA46)),"""")
"),"  ")</f>
        <v/>
      </c>
      <c r="AB50" s="15"/>
      <c r="AC50" s="54"/>
      <c r="AD50" s="15"/>
      <c r="AE50" s="15"/>
      <c r="AF50" s="15"/>
      <c r="AG50" s="15"/>
    </row>
    <row r="51" ht="11.25" customHeight="1">
      <c r="A51" s="42"/>
      <c r="B51" s="17"/>
      <c r="C51" s="32"/>
      <c r="D51" s="11"/>
      <c r="F51" s="43"/>
      <c r="G51" s="44" t="s">
        <v>10</v>
      </c>
      <c r="H51" s="45" t="str">
        <f>IFERROR(__xludf.DUMMYFUNCTION("IFERROR(SUMPRODUCT(FILTER(RC_IN[MC],RC_IN[BLOCK]=H47,RC_IN[BLOCK LOC]=H46),FILTER(RC_IN[WT],RC_IN[BLOCK]=H47,RC_IN[BLOCK LOC]=H46)) / SUM(FILTER(RC_IN[WT],RC_IN[BLOCK]=H47,RC_IN[BLOCK LOC]=H46)),"""")
"),"")</f>
        <v/>
      </c>
      <c r="I51" s="45">
        <f>IFERROR(__xludf.DUMMYFUNCTION("IFERROR(SUMPRODUCT(FILTER(RC_IN[MC],RC_IN[BLOCK]=I47,RC_IN[BLOCK LOC]=I46),FILTER(RC_IN[WT],RC_IN[BLOCK]=I47,RC_IN[BLOCK LOC]=I46)) / SUM(FILTER(RC_IN[WT],RC_IN[BLOCK]=I47,RC_IN[BLOCK LOC]=I46)),"""")
"),10.172108637269341)</f>
        <v>10.17210864</v>
      </c>
      <c r="J51" s="45">
        <f>IFERROR(__xludf.DUMMYFUNCTION("IFERROR(SUMPRODUCT(FILTER(RC_IN[MC],RC_IN[BLOCK]=J47,RC_IN[BLOCK LOC]=J46),FILTER(RC_IN[WT],RC_IN[BLOCK]=J47,RC_IN[BLOCK LOC]=J46)) / SUM(FILTER(RC_IN[WT],RC_IN[BLOCK]=J47,RC_IN[BLOCK LOC]=J46)),"""")
"),9.4856319041378)</f>
        <v>9.485631904</v>
      </c>
      <c r="K51" s="45">
        <f>IFERROR(__xludf.DUMMYFUNCTION("IFERROR(SUMPRODUCT(FILTER(RC_IN[MC],RC_IN[BLOCK]=K47,RC_IN[BLOCK LOC]=K46),FILTER(RC_IN[WT],RC_IN[BLOCK]=K47,RC_IN[BLOCK LOC]=K46)) / SUM(FILTER(RC_IN[WT],RC_IN[BLOCK]=K47,RC_IN[BLOCK LOC]=K46)),"""")
"),9.582751156498212)</f>
        <v>9.582751156</v>
      </c>
      <c r="L51" s="45">
        <f>IFERROR(__xludf.DUMMYFUNCTION("IFERROR(SUMPRODUCT(FILTER(RC_IN[MC],RC_IN[BLOCK]=L47,RC_IN[BLOCK LOC]=L46),FILTER(RC_IN[WT],RC_IN[BLOCK]=L47,RC_IN[BLOCK LOC]=L46)) / SUM(FILTER(RC_IN[WT],RC_IN[BLOCK]=L47,RC_IN[BLOCK LOC]=L46)),"""")
"),9.629972659056438)</f>
        <v>9.629972659</v>
      </c>
      <c r="M51" s="45" t="str">
        <f>IFERROR(__xludf.DUMMYFUNCTION("IFERROR(SUMPRODUCT(FILTER(RC_IN[MC],RC_IN[BLOCK]=M47,RC_IN[BLOCK LOC]=M46),FILTER(RC_IN[WT],RC_IN[BLOCK]=M47,RC_IN[BLOCK LOC]=M46)) / SUM(FILTER(RC_IN[WT],RC_IN[BLOCK]=M47,RC_IN[BLOCK LOC]=M46)),"""")
"),"")</f>
        <v/>
      </c>
      <c r="N51" s="45" t="str">
        <f>IFERROR(__xludf.DUMMYFUNCTION("IFERROR(SUMPRODUCT(FILTER(RC_IN[MC],RC_IN[BLOCK]=N47,RC_IN[BLOCK LOC]=N46),FILTER(RC_IN[WT],RC_IN[BLOCK]=N47,RC_IN[BLOCK LOC]=N46)) / SUM(FILTER(RC_IN[WT],RC_IN[BLOCK]=N47,RC_IN[BLOCK LOC]=N46)),"""")
"),"")</f>
        <v/>
      </c>
      <c r="O51" s="45">
        <f>IFERROR(__xludf.DUMMYFUNCTION("IFERROR(SUMPRODUCT(FILTER(RC_IN[MC],RC_IN[BLOCK]=O47,RC_IN[BLOCK LOC]=O46),FILTER(RC_IN[WT],RC_IN[BLOCK]=O47,RC_IN[BLOCK LOC]=O46)) / SUM(FILTER(RC_IN[WT],RC_IN[BLOCK]=O47,RC_IN[BLOCK LOC]=O46)),"""")
"),11.664271844660195)</f>
        <v>11.66427184</v>
      </c>
      <c r="P51" s="45">
        <f>IFERROR(__xludf.DUMMYFUNCTION("IFERROR(SUMPRODUCT(FILTER(RC_IN[MC],RC_IN[BLOCK]=P47,RC_IN[BLOCK LOC]=P46),FILTER(RC_IN[WT],RC_IN[BLOCK]=P47,RC_IN[BLOCK LOC]=P46)) / SUM(FILTER(RC_IN[WT],RC_IN[BLOCK]=P47,RC_IN[BLOCK LOC]=P46)),"""")
"),12.887392606025355)</f>
        <v>12.88739261</v>
      </c>
      <c r="Q51" s="45">
        <f>IFERROR(__xludf.DUMMYFUNCTION("IFERROR(SUMPRODUCT(FILTER(RC_IN[MC],RC_IN[BLOCK]=Q47,RC_IN[BLOCK LOC]=Q46),FILTER(RC_IN[WT],RC_IN[BLOCK]=Q47,RC_IN[BLOCK LOC]=Q46)) / SUM(FILTER(RC_IN[WT],RC_IN[BLOCK]=Q47,RC_IN[BLOCK LOC]=Q46)),"""")
"),12.744946229376795)</f>
        <v>12.74494623</v>
      </c>
      <c r="R51" s="45" t="str">
        <f>IFERROR(__xludf.DUMMYFUNCTION("IFERROR(SUMPRODUCT(FILTER(RC_IN[MC],RC_IN[BLOCK]=R47,RC_IN[BLOCK LOC]=R46),FILTER(RC_IN[WT],RC_IN[BLOCK]=R47,RC_IN[BLOCK LOC]=R46)) / SUM(FILTER(RC_IN[WT],RC_IN[BLOCK]=R47,RC_IN[BLOCK LOC]=R46)),"""")
"),"")</f>
        <v/>
      </c>
      <c r="S51" s="45" t="str">
        <f>IFERROR(__xludf.DUMMYFUNCTION("IFERROR(SUMPRODUCT(FILTER(RC_IN[MC],RC_IN[BLOCK]=S47,RC_IN[BLOCK LOC]=S46),FILTER(RC_IN[WT],RC_IN[BLOCK]=S47,RC_IN[BLOCK LOC]=S46)) / SUM(FILTER(RC_IN[WT],RC_IN[BLOCK]=S47,RC_IN[BLOCK LOC]=S46)),"""")
"),"")</f>
        <v/>
      </c>
      <c r="T51" s="45" t="str">
        <f>IFERROR(__xludf.DUMMYFUNCTION("IFERROR(SUMPRODUCT(FILTER(RC_IN[MC],RC_IN[BLOCK]=T47,RC_IN[BLOCK LOC]=T46),FILTER(RC_IN[WT],RC_IN[BLOCK]=T47,RC_IN[BLOCK LOC]=T46)) / SUM(FILTER(RC_IN[WT],RC_IN[BLOCK]=T47,RC_IN[BLOCK LOC]=T46)),"""")
"),"")</f>
        <v/>
      </c>
      <c r="U51" s="45" t="str">
        <f>IFERROR(__xludf.DUMMYFUNCTION("IFERROR(SUMPRODUCT(FILTER(RC_IN[MC],RC_IN[BLOCK]=U47,RC_IN[BLOCK LOC]=U46),FILTER(RC_IN[WT],RC_IN[BLOCK]=U47,RC_IN[BLOCK LOC]=U46)) / SUM(FILTER(RC_IN[WT],RC_IN[BLOCK]=U47,RC_IN[BLOCK LOC]=U46)),"""")
"),"")</f>
        <v/>
      </c>
      <c r="V51" s="45">
        <f>IFERROR(__xludf.DUMMYFUNCTION("IFERROR(SUMPRODUCT(FILTER(RC_IN[MC],RC_IN[BLOCK]=V47,RC_IN[BLOCK LOC]=V46),FILTER(RC_IN[WT],RC_IN[BLOCK]=V47,RC_IN[BLOCK LOC]=V46)) / SUM(FILTER(RC_IN[WT],RC_IN[BLOCK]=V47,RC_IN[BLOCK LOC]=V46)),"""")
"),12.90128617363344)</f>
        <v>12.90128617</v>
      </c>
      <c r="W51" s="45">
        <f>IFERROR(__xludf.DUMMYFUNCTION("IFERROR(SUMPRODUCT(FILTER(RC_IN[MC],RC_IN[BLOCK]=W47,RC_IN[BLOCK LOC]=W46),FILTER(RC_IN[WT],RC_IN[BLOCK]=W47,RC_IN[BLOCK LOC]=W46)) / SUM(FILTER(RC_IN[WT],RC_IN[BLOCK]=W47,RC_IN[BLOCK LOC]=W46)),"""")
"),11.516704603363344)</f>
        <v>11.5167046</v>
      </c>
      <c r="X51" s="45">
        <f>IFERROR(__xludf.DUMMYFUNCTION("IFERROR(SUMPRODUCT(FILTER(RC_IN[MC],RC_IN[BLOCK]=X47,RC_IN[BLOCK LOC]=X46),FILTER(RC_IN[WT],RC_IN[BLOCK]=X47,RC_IN[BLOCK LOC]=X46)) / SUM(FILTER(RC_IN[WT],RC_IN[BLOCK]=X47,RC_IN[BLOCK LOC]=X46)),"""")
"),10.550573955419187)</f>
        <v>10.55057396</v>
      </c>
      <c r="Y51" s="45">
        <f>IFERROR(__xludf.DUMMYFUNCTION("IFERROR(SUMPRODUCT(FILTER(RC_IN[MC],RC_IN[BLOCK]=Y47,RC_IN[BLOCK LOC]=Y46),FILTER(RC_IN[WT],RC_IN[BLOCK]=Y47,RC_IN[BLOCK LOC]=Y46)) / SUM(FILTER(RC_IN[WT],RC_IN[BLOCK]=Y47,RC_IN[BLOCK LOC]=Y46)),"""")
"),9.189572664983771)</f>
        <v>9.189572665</v>
      </c>
      <c r="Z51" s="45" t="str">
        <f>IFERROR(__xludf.DUMMYFUNCTION("IFERROR(SUMPRODUCT(FILTER(RC_IN[MC],RC_IN[BLOCK]=Z47,RC_IN[BLOCK LOC]=Z46),FILTER(RC_IN[WT],RC_IN[BLOCK]=Z47,RC_IN[BLOCK LOC]=Z46)) / SUM(FILTER(RC_IN[WT],RC_IN[BLOCK]=Z47,RC_IN[BLOCK LOC]=Z46)),"""")
"),"")</f>
        <v/>
      </c>
      <c r="AA51" s="46" t="str">
        <f>IFERROR(__xludf.DUMMYFUNCTION("IFERROR(SUMPRODUCT(FILTER(RC_IN[MC],RC_IN[BLOCK]=AA47,RC_IN[BLOCK LOC]=AA46),FILTER(RC_IN[WT],RC_IN[BLOCK]=AA47,RC_IN[BLOCK LOC]=AA46)) / SUM(FILTER(RC_IN[WT],RC_IN[BLOCK]=AA47,RC_IN[BLOCK LOC]=AA46)),"""")
"),"")</f>
        <v/>
      </c>
      <c r="AB51" s="47"/>
      <c r="AC51" s="56"/>
      <c r="AD51" s="47"/>
      <c r="AE51" s="47"/>
      <c r="AF51" s="47"/>
      <c r="AG51" s="47"/>
    </row>
    <row r="52" ht="11.25" customHeight="1">
      <c r="A52" s="9"/>
      <c r="B52" s="9"/>
      <c r="C52" s="49"/>
      <c r="D52" s="10" t="str">
        <f>D46</f>
        <v>D</v>
      </c>
      <c r="F52" s="4"/>
      <c r="G52" s="12" t="s">
        <v>11</v>
      </c>
      <c r="H52" s="13" t="str">
        <f t="shared" ref="H52:AA52" si="15">CONCATENATE($D52,"-",H$1,$G52)</f>
        <v>D-1B</v>
      </c>
      <c r="I52" s="13" t="str">
        <f t="shared" si="15"/>
        <v>D-2B</v>
      </c>
      <c r="J52" s="13" t="str">
        <f t="shared" si="15"/>
        <v>D-3B</v>
      </c>
      <c r="K52" s="13" t="str">
        <f t="shared" si="15"/>
        <v>D-4B</v>
      </c>
      <c r="L52" s="13" t="str">
        <f t="shared" si="15"/>
        <v>D-5B</v>
      </c>
      <c r="M52" s="13" t="str">
        <f t="shared" si="15"/>
        <v>D-6B</v>
      </c>
      <c r="N52" s="13" t="str">
        <f t="shared" si="15"/>
        <v>D-7B</v>
      </c>
      <c r="O52" s="13" t="str">
        <f t="shared" si="15"/>
        <v>D-8B</v>
      </c>
      <c r="P52" s="13" t="str">
        <f t="shared" si="15"/>
        <v>D-9B</v>
      </c>
      <c r="Q52" s="13" t="str">
        <f t="shared" si="15"/>
        <v>D-10B</v>
      </c>
      <c r="R52" s="13" t="str">
        <f t="shared" si="15"/>
        <v>D-11B</v>
      </c>
      <c r="S52" s="13" t="str">
        <f t="shared" si="15"/>
        <v>D-12B</v>
      </c>
      <c r="T52" s="13" t="str">
        <f t="shared" si="15"/>
        <v>D-13B</v>
      </c>
      <c r="U52" s="13" t="str">
        <f t="shared" si="15"/>
        <v>D-14B</v>
      </c>
      <c r="V52" s="13" t="str">
        <f t="shared" si="15"/>
        <v>D-15B</v>
      </c>
      <c r="W52" s="13" t="str">
        <f t="shared" si="15"/>
        <v>D-16B</v>
      </c>
      <c r="X52" s="13" t="str">
        <f t="shared" si="15"/>
        <v>D-17B</v>
      </c>
      <c r="Y52" s="13" t="str">
        <f t="shared" si="15"/>
        <v>D-18B</v>
      </c>
      <c r="Z52" s="13" t="str">
        <f t="shared" si="15"/>
        <v>D-19B</v>
      </c>
      <c r="AA52" s="14" t="str">
        <f t="shared" si="15"/>
        <v>D-20B</v>
      </c>
      <c r="AB52" s="15"/>
      <c r="AC52" s="54"/>
      <c r="AD52" s="15"/>
      <c r="AE52" s="15"/>
      <c r="AF52" s="15"/>
      <c r="AG52" s="15"/>
    </row>
    <row r="53" ht="11.25" customHeight="1">
      <c r="A53" s="42"/>
      <c r="B53" s="17"/>
      <c r="C53" s="32"/>
      <c r="D53" s="11"/>
      <c r="F53" s="19" t="str">
        <f>IF(COUNTIF(G53:Z53,"ERROR")=0,"CLEAR",COUNTIF(G53:Z53,"ERROR")&amp;" ERRORS")
</f>
        <v>CLEAR</v>
      </c>
      <c r="G53" s="20" t="s">
        <v>6</v>
      </c>
      <c r="H53" s="21" t="str">
        <f>IFERROR(__xludf.DUMMYFUNCTION("IFERROR(IF(COUNTA(UNIQUE(FILTER(RC_IN[BLOCK],RC_IN[BLOCK LOC]=H52,RC_IN[STATE]&lt;&gt;""CLOSED"")))&gt;1,""ERROR"",INDEX(UNIQUE(FILTER(RC_IN[BLOCK],RC_IN[BLOCK LOC]=H52,RC_IN[STATE]&lt;&gt;""CLOSED"")),1)),"""")
"),"")</f>
        <v/>
      </c>
      <c r="I53" s="21" t="str">
        <f>IFERROR(__xludf.DUMMYFUNCTION("IFERROR(IF(COUNTA(UNIQUE(FILTER(RC_IN[BLOCK],RC_IN[BLOCK LOC]=I52,RC_IN[STATE]&lt;&gt;""CLOSED"")))&gt;1,""ERROR"",INDEX(UNIQUE(FILTER(RC_IN[BLOCK],RC_IN[BLOCK LOC]=I52,RC_IN[STATE]&lt;&gt;""CLOSED"")),1)),"""")
"),"MARCH-26-BLK27")</f>
        <v>MARCH-26-BLK27</v>
      </c>
      <c r="J53" s="21" t="str">
        <f>IFERROR(__xludf.DUMMYFUNCTION("IFERROR(IF(COUNTA(UNIQUE(FILTER(RC_IN[BLOCK],RC_IN[BLOCK LOC]=J52,RC_IN[STATE]&lt;&gt;""CLOSED"")))&gt;1,""ERROR"",INDEX(UNIQUE(FILTER(RC_IN[BLOCK],RC_IN[BLOCK LOC]=J52,RC_IN[STATE]&lt;&gt;""CLOSED"")),1)),"""")
"),"MARCH-26-BLK25")</f>
        <v>MARCH-26-BLK25</v>
      </c>
      <c r="K53" s="21" t="str">
        <f>IFERROR(__xludf.DUMMYFUNCTION("IFERROR(IF(COUNTA(UNIQUE(FILTER(RC_IN[BLOCK],RC_IN[BLOCK LOC]=K52,RC_IN[STATE]&lt;&gt;""CLOSED"")))&gt;1,""ERROR"",INDEX(UNIQUE(FILTER(RC_IN[BLOCK],RC_IN[BLOCK LOC]=K52,RC_IN[STATE]&lt;&gt;""CLOSED"")),1)),"""")
"),"FEB-26-BLK30")</f>
        <v>FEB-26-BLK30</v>
      </c>
      <c r="L53" s="21" t="str">
        <f>IFERROR(__xludf.DUMMYFUNCTION("IFERROR(IF(COUNTA(UNIQUE(FILTER(RC_IN[BLOCK],RC_IN[BLOCK LOC]=L52,RC_IN[STATE]&lt;&gt;""CLOSED"")))&gt;1,""ERROR"",INDEX(UNIQUE(FILTER(RC_IN[BLOCK],RC_IN[BLOCK LOC]=L52,RC_IN[STATE]&lt;&gt;""CLOSED"")),1)),"""")
"),"MARCH-26-BLK23")</f>
        <v>MARCH-26-BLK23</v>
      </c>
      <c r="M53" s="21" t="str">
        <f>IFERROR(__xludf.DUMMYFUNCTION("IFERROR(IF(COUNTA(UNIQUE(FILTER(RC_IN[BLOCK],RC_IN[BLOCK LOC]=M52,RC_IN[STATE]&lt;&gt;""CLOSED"")))&gt;1,""ERROR"",INDEX(UNIQUE(FILTER(RC_IN[BLOCK],RC_IN[BLOCK LOC]=M52,RC_IN[STATE]&lt;&gt;""CLOSED"")),1)),"""")
"),"")</f>
        <v/>
      </c>
      <c r="N53" s="21" t="str">
        <f>IFERROR(__xludf.DUMMYFUNCTION("IFERROR(IF(COUNTA(UNIQUE(FILTER(RC_IN[BLOCK],RC_IN[BLOCK LOC]=N52,RC_IN[STATE]&lt;&gt;""CLOSED"")))&gt;1,""ERROR"",INDEX(UNIQUE(FILTER(RC_IN[BLOCK],RC_IN[BLOCK LOC]=N52,RC_IN[STATE]&lt;&gt;""CLOSED"")),1)),"""")
"),"OCT-25-BLK25")</f>
        <v>OCT-25-BLK25</v>
      </c>
      <c r="O53" s="21" t="str">
        <f>IFERROR(__xludf.DUMMYFUNCTION("IFERROR(IF(COUNTA(UNIQUE(FILTER(RC_IN[BLOCK],RC_IN[BLOCK LOC]=O52,RC_IN[STATE]&lt;&gt;""CLOSED"")))&gt;1,""ERROR"",INDEX(UNIQUE(FILTER(RC_IN[BLOCK],RC_IN[BLOCK LOC]=O52,RC_IN[STATE]&lt;&gt;""CLOSED"")),1)),"""")
"),"NOV-25-BLK12")</f>
        <v>NOV-25-BLK12</v>
      </c>
      <c r="P53" s="21" t="str">
        <f>IFERROR(__xludf.DUMMYFUNCTION("IFERROR(IF(COUNTA(UNIQUE(FILTER(RC_IN[BLOCK],RC_IN[BLOCK LOC]=P52,RC_IN[STATE]&lt;&gt;""CLOSED"")))&gt;1,""ERROR"",INDEX(UNIQUE(FILTER(RC_IN[BLOCK],RC_IN[BLOCK LOC]=P52,RC_IN[STATE]&lt;&gt;""CLOSED"")),1)),"""")
"),"OCT-25-BLK26")</f>
        <v>OCT-25-BLK26</v>
      </c>
      <c r="Q53" s="21" t="str">
        <f>IFERROR(__xludf.DUMMYFUNCTION("IFERROR(IF(COUNTA(UNIQUE(FILTER(RC_IN[BLOCK],RC_IN[BLOCK LOC]=Q52,RC_IN[STATE]&lt;&gt;""CLOSED"")))&gt;1,""ERROR"",INDEX(UNIQUE(FILTER(RC_IN[BLOCK],RC_IN[BLOCK LOC]=Q52,RC_IN[STATE]&lt;&gt;""CLOSED"")),1)),"""")
"),"OCT-25-BLK18")</f>
        <v>OCT-25-BLK18</v>
      </c>
      <c r="R53" s="21" t="str">
        <f>IFERROR(__xludf.DUMMYFUNCTION("IFERROR(IF(COUNTA(UNIQUE(FILTER(RC_IN[BLOCK],RC_IN[BLOCK LOC]=R52,RC_IN[STATE]&lt;&gt;""CLOSED"")))&gt;1,""ERROR"",INDEX(UNIQUE(FILTER(RC_IN[BLOCK],RC_IN[BLOCK LOC]=R52,RC_IN[STATE]&lt;&gt;""CLOSED"")),1)),"""")
"),"")</f>
        <v/>
      </c>
      <c r="S53" s="21" t="str">
        <f>IFERROR(__xludf.DUMMYFUNCTION("IFERROR(IF(COUNTA(UNIQUE(FILTER(RC_IN[BLOCK],RC_IN[BLOCK LOC]=S52,RC_IN[STATE]&lt;&gt;""CLOSED"")))&gt;1,""ERROR"",INDEX(UNIQUE(FILTER(RC_IN[BLOCK],RC_IN[BLOCK LOC]=S52,RC_IN[STATE]&lt;&gt;""CLOSED"")),1)),"""")
"),"")</f>
        <v/>
      </c>
      <c r="T53" s="21" t="str">
        <f>IFERROR(__xludf.DUMMYFUNCTION("IFERROR(IF(COUNTA(UNIQUE(FILTER(RC_IN[BLOCK],RC_IN[BLOCK LOC]=T52,RC_IN[STATE]&lt;&gt;""CLOSED"")))&gt;1,""ERROR"",INDEX(UNIQUE(FILTER(RC_IN[BLOCK],RC_IN[BLOCK LOC]=T52,RC_IN[STATE]&lt;&gt;""CLOSED"")),1)),"""")
"),"")</f>
        <v/>
      </c>
      <c r="U53" s="21" t="str">
        <f>IFERROR(__xludf.DUMMYFUNCTION("IFERROR(IF(COUNTA(UNIQUE(FILTER(RC_IN[BLOCK],RC_IN[BLOCK LOC]=U52,RC_IN[STATE]&lt;&gt;""CLOSED"")))&gt;1,""ERROR"",INDEX(UNIQUE(FILTER(RC_IN[BLOCK],RC_IN[BLOCK LOC]=U52,RC_IN[STATE]&lt;&gt;""CLOSED"")),1)),"""")
"),"")</f>
        <v/>
      </c>
      <c r="V53" s="21" t="str">
        <f>IFERROR(__xludf.DUMMYFUNCTION("IFERROR(IF(COUNTA(UNIQUE(FILTER(RC_IN[BLOCK],RC_IN[BLOCK LOC]=V52,RC_IN[STATE]&lt;&gt;""CLOSED"")))&gt;1,""ERROR"",INDEX(UNIQUE(FILTER(RC_IN[BLOCK],RC_IN[BLOCK LOC]=V52,RC_IN[STATE]&lt;&gt;""CLOSED"")),1)),"""")
"),"NOV-25-BLK17")</f>
        <v>NOV-25-BLK17</v>
      </c>
      <c r="W53" s="21" t="str">
        <f>IFERROR(__xludf.DUMMYFUNCTION("IFERROR(IF(COUNTA(UNIQUE(FILTER(RC_IN[BLOCK],RC_IN[BLOCK LOC]=W52,RC_IN[STATE]&lt;&gt;""CLOSED"")))&gt;1,""ERROR"",INDEX(UNIQUE(FILTER(RC_IN[BLOCK],RC_IN[BLOCK LOC]=W52,RC_IN[STATE]&lt;&gt;""CLOSED"")),1)),"""")
"),"JAN-26-BLK13")</f>
        <v>JAN-26-BLK13</v>
      </c>
      <c r="X53" s="21" t="str">
        <f>IFERROR(__xludf.DUMMYFUNCTION("IFERROR(IF(COUNTA(UNIQUE(FILTER(RC_IN[BLOCK],RC_IN[BLOCK LOC]=X52,RC_IN[STATE]&lt;&gt;""CLOSED"")))&gt;1,""ERROR"",INDEX(UNIQUE(FILTER(RC_IN[BLOCK],RC_IN[BLOCK LOC]=X52,RC_IN[STATE]&lt;&gt;""CLOSED"")),1)),"""")
"),"MAY-26-BLK7")</f>
        <v>MAY-26-BLK7</v>
      </c>
      <c r="Y53" s="21" t="str">
        <f>IFERROR(__xludf.DUMMYFUNCTION("IFERROR(IF(COUNTA(UNIQUE(FILTER(RC_IN[BLOCK],RC_IN[BLOCK LOC]=Y52,RC_IN[STATE]&lt;&gt;""CLOSED"")))&gt;1,""ERROR"",INDEX(UNIQUE(FILTER(RC_IN[BLOCK],RC_IN[BLOCK LOC]=Y52,RC_IN[STATE]&lt;&gt;""CLOSED"")),1)),"""")
"),"JUNE-26-BLK5")</f>
        <v>JUNE-26-BLK5</v>
      </c>
      <c r="Z53" s="21" t="str">
        <f>IFERROR(__xludf.DUMMYFUNCTION("IFERROR(IF(COUNTA(UNIQUE(FILTER(RC_IN[BLOCK],RC_IN[BLOCK LOC]=Z52,RC_IN[STATE]&lt;&gt;""CLOSED"")))&gt;1,""ERROR"",INDEX(UNIQUE(FILTER(RC_IN[BLOCK],RC_IN[BLOCK LOC]=Z52,RC_IN[STATE]&lt;&gt;""CLOSED"")),1)),"""")
"),"JULY-26-BLK1")</f>
        <v>JULY-26-BLK1</v>
      </c>
      <c r="AA53" s="22" t="str">
        <f>IFERROR(__xludf.DUMMYFUNCTION("IFERROR(IF(COUNTA(UNIQUE(FILTER(RC_IN[BLOCK],RC_IN[BLOCK LOC]=AA52,RC_IN[STATE]&lt;&gt;""CLOSED"")))&gt;1,""ERROR"",INDEX(UNIQUE(FILTER(RC_IN[BLOCK],RC_IN[BLOCK LOC]=AA52,RC_IN[STATE]&lt;&gt;""CLOSED"")),1)),"""")
"),"")</f>
        <v/>
      </c>
      <c r="AB53" s="15"/>
      <c r="AC53" s="54"/>
      <c r="AD53" s="15"/>
      <c r="AE53" s="15"/>
      <c r="AF53" s="15"/>
      <c r="AG53" s="15"/>
    </row>
    <row r="54" ht="11.25" customHeight="1">
      <c r="A54" s="42"/>
      <c r="B54" s="17"/>
      <c r="C54" s="25">
        <f>sum(H54:AA54)</f>
        <v>711166</v>
      </c>
      <c r="D54" s="11"/>
      <c r="F54" s="26"/>
      <c r="G54" s="27" t="s">
        <v>7</v>
      </c>
      <c r="H54" s="28">
        <f>SUMIFS(RC_IN[WT],RC_IN[BLOCK],H53,RC_IN[BLOCK LOC],H52)-SUMIFS(RC_OUT[WT],RC_OUT[BLOCK],H53,RC_OUT[BLOCK LOC],H52)</f>
        <v>0</v>
      </c>
      <c r="I54" s="28">
        <f>SUMIFS(RC_IN[WT],RC_IN[BLOCK],I53,RC_IN[BLOCK LOC],I52)-SUMIFS(RC_OUT[WT],RC_OUT[BLOCK],I53,RC_OUT[BLOCK LOC],I52)</f>
        <v>71040</v>
      </c>
      <c r="J54" s="28">
        <f>SUMIFS(RC_IN[WT],RC_IN[BLOCK],J53,RC_IN[BLOCK LOC],J52)-SUMIFS(RC_OUT[WT],RC_OUT[BLOCK],J53,RC_OUT[BLOCK LOC],J52)</f>
        <v>69130</v>
      </c>
      <c r="K54" s="28">
        <f>SUMIFS(RC_IN[WT],RC_IN[BLOCK],K53,RC_IN[BLOCK LOC],K52)-SUMIFS(RC_OUT[WT],RC_OUT[BLOCK],K53,RC_OUT[BLOCK LOC],K52)</f>
        <v>29215</v>
      </c>
      <c r="L54" s="28">
        <f>SUMIFS(RC_IN[WT],RC_IN[BLOCK],L53,RC_IN[BLOCK LOC],L52)-SUMIFS(RC_OUT[WT],RC_OUT[BLOCK],L53,RC_OUT[BLOCK LOC],L52)</f>
        <v>67000</v>
      </c>
      <c r="M54" s="28">
        <f>SUMIFS(RC_IN[WT],RC_IN[BLOCK],M53,RC_IN[BLOCK LOC],M52)-SUMIFS(RC_OUT[WT],RC_OUT[BLOCK],M53,RC_OUT[BLOCK LOC],M52)</f>
        <v>0</v>
      </c>
      <c r="N54" s="28">
        <f>SUMIFS(RC_IN[WT],RC_IN[BLOCK],N53,RC_IN[BLOCK LOC],N52)-SUMIFS(RC_OUT[WT],RC_OUT[BLOCK],N53,RC_OUT[BLOCK LOC],N52)</f>
        <v>49721</v>
      </c>
      <c r="O54" s="28">
        <f>SUMIFS(RC_IN[WT],RC_IN[BLOCK],O53,RC_IN[BLOCK LOC],O52)-SUMIFS(RC_OUT[WT],RC_OUT[BLOCK],O53,RC_OUT[BLOCK LOC],O52)</f>
        <v>55525</v>
      </c>
      <c r="P54" s="28">
        <f>SUMIFS(RC_IN[WT],RC_IN[BLOCK],P53,RC_IN[BLOCK LOC],P52)-SUMIFS(RC_OUT[WT],RC_OUT[BLOCK],P53,RC_OUT[BLOCK LOC],P52)</f>
        <v>75308</v>
      </c>
      <c r="Q54" s="28">
        <f>SUMIFS(RC_IN[WT],RC_IN[BLOCK],Q53,RC_IN[BLOCK LOC],Q52)-SUMIFS(RC_OUT[WT],RC_OUT[BLOCK],Q53,RC_OUT[BLOCK LOC],Q52)</f>
        <v>55426</v>
      </c>
      <c r="R54" s="28">
        <f>SUMIFS(RC_IN[WT],RC_IN[BLOCK],R53,RC_IN[BLOCK LOC],R52)-SUMIFS(RC_OUT[WT],RC_OUT[BLOCK],R53,RC_OUT[BLOCK LOC],R52)</f>
        <v>0</v>
      </c>
      <c r="S54" s="28">
        <f>SUMIFS(RC_IN[WT],RC_IN[BLOCK],S53,RC_IN[BLOCK LOC],S52)-SUMIFS(RC_OUT[WT],RC_OUT[BLOCK],S53,RC_OUT[BLOCK LOC],S52)</f>
        <v>0</v>
      </c>
      <c r="T54" s="28">
        <f>SUMIFS(RC_IN[WT],RC_IN[BLOCK],T53,RC_IN[BLOCK LOC],T52)-SUMIFS(RC_OUT[WT],RC_OUT[BLOCK],T53,RC_OUT[BLOCK LOC],T52)</f>
        <v>0</v>
      </c>
      <c r="U54" s="28">
        <f>SUMIFS(RC_IN[WT],RC_IN[BLOCK],U53,RC_IN[BLOCK LOC],U52)-SUMIFS(RC_OUT[WT],RC_OUT[BLOCK],U53,RC_OUT[BLOCK LOC],U52)</f>
        <v>0</v>
      </c>
      <c r="V54" s="28">
        <f>SUMIFS(RC_IN[WT],RC_IN[BLOCK],V53,RC_IN[BLOCK LOC],V52)-SUMIFS(RC_OUT[WT],RC_OUT[BLOCK],V53,RC_OUT[BLOCK LOC],V52)</f>
        <v>73870</v>
      </c>
      <c r="W54" s="28">
        <f>SUMIFS(RC_IN[WT],RC_IN[BLOCK],W53,RC_IN[BLOCK LOC],W52)-SUMIFS(RC_OUT[WT],RC_OUT[BLOCK],W53,RC_OUT[BLOCK LOC],W52)</f>
        <v>22346</v>
      </c>
      <c r="X54" s="28">
        <f>SUMIFS(RC_IN[WT],RC_IN[BLOCK],X53,RC_IN[BLOCK LOC],X52)-SUMIFS(RC_OUT[WT],RC_OUT[BLOCK],X53,RC_OUT[BLOCK LOC],X52)</f>
        <v>45990</v>
      </c>
      <c r="Y54" s="28">
        <f>SUMIFS(RC_IN[WT],RC_IN[BLOCK],Y53,RC_IN[BLOCK LOC],Y52)-SUMIFS(RC_OUT[WT],RC_OUT[BLOCK],Y53,RC_OUT[BLOCK LOC],Y52)</f>
        <v>51345</v>
      </c>
      <c r="Z54" s="28">
        <f>SUMIFS(RC_IN[WT],RC_IN[BLOCK],Z53,RC_IN[BLOCK LOC],Z52)-SUMIFS(RC_OUT[WT],RC_OUT[BLOCK],Z53,RC_OUT[BLOCK LOC],Z52)</f>
        <v>45250</v>
      </c>
      <c r="AA54" s="29">
        <f>SUMIFS(RC_IN[WT],RC_IN[BLOCK],AA53,RC_IN[BLOCK LOC],AA52)-SUMIFS(RC_OUT[WT],RC_OUT[BLOCK],AA53,RC_OUT[BLOCK LOC],AA52)</f>
        <v>0</v>
      </c>
      <c r="AB54" s="15"/>
      <c r="AC54" s="54"/>
      <c r="AD54" s="15"/>
      <c r="AE54" s="15"/>
      <c r="AF54" s="15"/>
      <c r="AG54" s="15"/>
    </row>
    <row r="55" ht="11.25" customHeight="1">
      <c r="A55" s="42"/>
      <c r="B55" s="17"/>
      <c r="C55" s="32"/>
      <c r="D55" s="11"/>
      <c r="F55" s="33"/>
      <c r="G55" s="34" t="s">
        <v>8</v>
      </c>
      <c r="H55" s="35" t="str">
        <f>IFERROR(__xludf.DUMMYFUNCTION("IFERROR(SUMPRODUCT(FILTER(RC_IN[ASTM],RC_IN[BLOCK]=H53,RC_IN[BLOCK LOC]=H52),FILTER(RC_IN[WT],RC_IN[BLOCK]=H53,RC_IN[BLOCK LOC]=H52))/SUM(FILTER(RC_IN[WT],RC_IN[BLOCK]=H53,RC_IN[BLOCK LOC]=H52)),"""")
"),"  ")</f>
        <v/>
      </c>
      <c r="I55" s="35">
        <f>IFERROR(__xludf.DUMMYFUNCTION("IFERROR(SUMPRODUCT(FILTER(RC_IN[ASTM],RC_IN[BLOCK]=I53,RC_IN[BLOCK LOC]=I52),FILTER(RC_IN[WT],RC_IN[BLOCK]=I53,RC_IN[BLOCK LOC]=I52))/SUM(FILTER(RC_IN[WT],RC_IN[BLOCK]=I53,RC_IN[BLOCK LOC]=I52)),"""")
"),0.5640323057432433)</f>
        <v>0.5640323057</v>
      </c>
      <c r="J55" s="35">
        <f>IFERROR(__xludf.DUMMYFUNCTION("IFERROR(SUMPRODUCT(FILTER(RC_IN[ASTM],RC_IN[BLOCK]=J53,RC_IN[BLOCK LOC]=J52),FILTER(RC_IN[WT],RC_IN[BLOCK]=J53,RC_IN[BLOCK LOC]=J52))/SUM(FILTER(RC_IN[WT],RC_IN[BLOCK]=J53,RC_IN[BLOCK LOC]=J52)),"""")
"),0.5611335165629973)</f>
        <v>0.5611335166</v>
      </c>
      <c r="K55" s="35">
        <f>IFERROR(__xludf.DUMMYFUNCTION("IFERROR(SUMPRODUCT(FILTER(RC_IN[ASTM],RC_IN[BLOCK]=K53,RC_IN[BLOCK LOC]=K52),FILTER(RC_IN[WT],RC_IN[BLOCK]=K53,RC_IN[BLOCK LOC]=K52))/SUM(FILTER(RC_IN[WT],RC_IN[BLOCK]=K53,RC_IN[BLOCK LOC]=K52)),"""")
"),0.559)</f>
        <v>0.559</v>
      </c>
      <c r="L55" s="35">
        <f>IFERROR(__xludf.DUMMYFUNCTION("IFERROR(SUMPRODUCT(FILTER(RC_IN[ASTM],RC_IN[BLOCK]=L53,RC_IN[BLOCK LOC]=L52),FILTER(RC_IN[WT],RC_IN[BLOCK]=L53,RC_IN[BLOCK LOC]=L52))/SUM(FILTER(RC_IN[WT],RC_IN[BLOCK]=L53,RC_IN[BLOCK LOC]=L52)),"""")
"),0.5564531343283582)</f>
        <v>0.5564531343</v>
      </c>
      <c r="M55" s="35" t="str">
        <f>IFERROR(__xludf.DUMMYFUNCTION("IFERROR(SUMPRODUCT(FILTER(RC_IN[ASTM],RC_IN[BLOCK]=M53,RC_IN[BLOCK LOC]=M52),FILTER(RC_IN[WT],RC_IN[BLOCK]=M53,RC_IN[BLOCK LOC]=M52))/SUM(FILTER(RC_IN[WT],RC_IN[BLOCK]=M53,RC_IN[BLOCK LOC]=M52)),"""")
"),"  ")</f>
        <v/>
      </c>
      <c r="N55" s="35">
        <f>IFERROR(__xludf.DUMMYFUNCTION("IFERROR(SUMPRODUCT(FILTER(RC_IN[ASTM],RC_IN[BLOCK]=N53,RC_IN[BLOCK LOC]=N52),FILTER(RC_IN[WT],RC_IN[BLOCK]=N53,RC_IN[BLOCK LOC]=N52))/SUM(FILTER(RC_IN[WT],RC_IN[BLOCK]=N53,RC_IN[BLOCK LOC]=N52)),"""")
"),0.5785587369931826)</f>
        <v>0.578558737</v>
      </c>
      <c r="O55" s="35">
        <f>IFERROR(__xludf.DUMMYFUNCTION("IFERROR(SUMPRODUCT(FILTER(RC_IN[ASTM],RC_IN[BLOCK]=O53,RC_IN[BLOCK LOC]=O52),FILTER(RC_IN[WT],RC_IN[BLOCK]=O53,RC_IN[BLOCK LOC]=O52))/SUM(FILTER(RC_IN[WT],RC_IN[BLOCK]=O53,RC_IN[BLOCK LOC]=O52)),"""")
"),0.580348941918055)</f>
        <v>0.5803489419</v>
      </c>
      <c r="P55" s="35">
        <f>IFERROR(__xludf.DUMMYFUNCTION("IFERROR(SUMPRODUCT(FILTER(RC_IN[ASTM],RC_IN[BLOCK]=P53,RC_IN[BLOCK LOC]=P52),FILTER(RC_IN[WT],RC_IN[BLOCK]=P53,RC_IN[BLOCK LOC]=P52))/SUM(FILTER(RC_IN[WT],RC_IN[BLOCK]=P53,RC_IN[BLOCK LOC]=P52)),"""")
"),0.5781217798905827)</f>
        <v>0.5781217799</v>
      </c>
      <c r="Q55" s="35">
        <f>IFERROR(__xludf.DUMMYFUNCTION("IFERROR(SUMPRODUCT(FILTER(RC_IN[ASTM],RC_IN[BLOCK]=Q53,RC_IN[BLOCK LOC]=Q52),FILTER(RC_IN[WT],RC_IN[BLOCK]=Q53,RC_IN[BLOCK LOC]=Q52))/SUM(FILTER(RC_IN[WT],RC_IN[BLOCK]=Q53,RC_IN[BLOCK LOC]=Q52)),"""")
"),0.575860570851225)</f>
        <v>0.5758605709</v>
      </c>
      <c r="R55" s="35" t="str">
        <f>IFERROR(__xludf.DUMMYFUNCTION("IFERROR(SUMPRODUCT(FILTER(RC_IN[ASTM],RC_IN[BLOCK]=R53,RC_IN[BLOCK LOC]=R52),FILTER(RC_IN[WT],RC_IN[BLOCK]=R53,RC_IN[BLOCK LOC]=R52))/SUM(FILTER(RC_IN[WT],RC_IN[BLOCK]=R53,RC_IN[BLOCK LOC]=R52)),"""")
"),"  ")</f>
        <v/>
      </c>
      <c r="S55" s="35" t="str">
        <f>IFERROR(__xludf.DUMMYFUNCTION("IFERROR(SUMPRODUCT(FILTER(RC_IN[ASTM],RC_IN[BLOCK]=S53,RC_IN[BLOCK LOC]=S52),FILTER(RC_IN[WT],RC_IN[BLOCK]=S53,RC_IN[BLOCK LOC]=S52))/SUM(FILTER(RC_IN[WT],RC_IN[BLOCK]=S53,RC_IN[BLOCK LOC]=S52)),"""")
"),"  ")</f>
        <v/>
      </c>
      <c r="T55" s="35" t="str">
        <f>IFERROR(__xludf.DUMMYFUNCTION("IFERROR(SUMPRODUCT(FILTER(RC_IN[ASTM],RC_IN[BLOCK]=T53,RC_IN[BLOCK LOC]=T52),FILTER(RC_IN[WT],RC_IN[BLOCK]=T53,RC_IN[BLOCK LOC]=T52))/SUM(FILTER(RC_IN[WT],RC_IN[BLOCK]=T53,RC_IN[BLOCK LOC]=T52)),"""")
"),"  ")</f>
        <v/>
      </c>
      <c r="U55" s="35" t="str">
        <f>IFERROR(__xludf.DUMMYFUNCTION("IFERROR(SUMPRODUCT(FILTER(RC_IN[ASTM],RC_IN[BLOCK]=U53,RC_IN[BLOCK LOC]=U52),FILTER(RC_IN[WT],RC_IN[BLOCK]=U53,RC_IN[BLOCK LOC]=U52))/SUM(FILTER(RC_IN[WT],RC_IN[BLOCK]=U53,RC_IN[BLOCK LOC]=U52)),"""")
"),"  ")</f>
        <v/>
      </c>
      <c r="V55" s="35">
        <f>IFERROR(__xludf.DUMMYFUNCTION("IFERROR(SUMPRODUCT(FILTER(RC_IN[ASTM],RC_IN[BLOCK]=V53,RC_IN[BLOCK LOC]=V52),FILTER(RC_IN[WT],RC_IN[BLOCK]=V53,RC_IN[BLOCK LOC]=V52))/SUM(FILTER(RC_IN[WT],RC_IN[BLOCK]=V53,RC_IN[BLOCK LOC]=V52)),"""")
"),0.5685832272911872)</f>
        <v>0.5685832273</v>
      </c>
      <c r="W55" s="35">
        <f>IFERROR(__xludf.DUMMYFUNCTION("IFERROR(SUMPRODUCT(FILTER(RC_IN[ASTM],RC_IN[BLOCK]=W53,RC_IN[BLOCK LOC]=W52),FILTER(RC_IN[WT],RC_IN[BLOCK]=W53,RC_IN[BLOCK LOC]=W52))/SUM(FILTER(RC_IN[WT],RC_IN[BLOCK]=W53,RC_IN[BLOCK LOC]=W52)),"""")
"),0.5789955249261612)</f>
        <v>0.5789955249</v>
      </c>
      <c r="X55" s="35">
        <f>IFERROR(__xludf.DUMMYFUNCTION("IFERROR(SUMPRODUCT(FILTER(RC_IN[ASTM],RC_IN[BLOCK]=X53,RC_IN[BLOCK LOC]=X52),FILTER(RC_IN[WT],RC_IN[BLOCK]=X53,RC_IN[BLOCK LOC]=X52))/SUM(FILTER(RC_IN[WT],RC_IN[BLOCK]=X53,RC_IN[BLOCK LOC]=X52)),"""")
"),0.5698418134377039)</f>
        <v>0.5698418134</v>
      </c>
      <c r="Y55" s="35">
        <f>IFERROR(__xludf.DUMMYFUNCTION("IFERROR(SUMPRODUCT(FILTER(RC_IN[ASTM],RC_IN[BLOCK]=Y53,RC_IN[BLOCK LOC]=Y52),FILTER(RC_IN[WT],RC_IN[BLOCK]=Y53,RC_IN[BLOCK LOC]=Y52))/SUM(FILTER(RC_IN[WT],RC_IN[BLOCK]=Y53,RC_IN[BLOCK LOC]=Y52)),"""")
"),0.5711903788100107)</f>
        <v>0.5711903788</v>
      </c>
      <c r="Z55" s="35">
        <f>IFERROR(__xludf.DUMMYFUNCTION("IFERROR(SUMPRODUCT(FILTER(RC_IN[ASTM],RC_IN[BLOCK]=Z53,RC_IN[BLOCK LOC]=Z52),FILTER(RC_IN[WT],RC_IN[BLOCK]=Z53,RC_IN[BLOCK LOC]=Z52))/SUM(FILTER(RC_IN[WT],RC_IN[BLOCK]=Z53,RC_IN[BLOCK LOC]=Z52)),"""")
"),0.5666541436464088)</f>
        <v>0.5666541436</v>
      </c>
      <c r="AA55" s="36" t="str">
        <f>IFERROR(__xludf.DUMMYFUNCTION("IFERROR(SUMPRODUCT(FILTER(RC_IN[ASTM],RC_IN[BLOCK]=AA53,RC_IN[BLOCK LOC]=AA52),FILTER(RC_IN[WT],RC_IN[BLOCK]=AA53,RC_IN[BLOCK LOC]=AA52))/SUM(FILTER(RC_IN[WT],RC_IN[BLOCK]=AA53,RC_IN[BLOCK LOC]=AA52)),"""")
"),"  ")</f>
        <v/>
      </c>
      <c r="AB55" s="37"/>
      <c r="AC55" s="55"/>
      <c r="AD55" s="37"/>
      <c r="AE55" s="37"/>
      <c r="AF55" s="37"/>
      <c r="AG55" s="37"/>
    </row>
    <row r="56" ht="11.25" customHeight="1">
      <c r="A56" s="42"/>
      <c r="B56" s="17"/>
      <c r="C56" s="32"/>
      <c r="D56" s="11"/>
      <c r="F56" s="26"/>
      <c r="G56" s="27" t="s">
        <v>9</v>
      </c>
      <c r="H56" s="40" t="str">
        <f>IFERROR(__xludf.DUMMYFUNCTION("IFERROR(SUMPRODUCT(FILTER(RC_IN[ASH],RC_IN[BLOCK]=H53,RC_IN[BLOCK LOC]=H52),FILTER(RC_IN[WT],RC_IN[BLOCK]=H53,RC_IN[BLOCK LOC]=H52))/SUM(FILTER(RC_IN[WT],RC_IN[BLOCK]=H53,RC_IN[BLOCK LOC]=H52)),"""")
"),"  ")</f>
        <v/>
      </c>
      <c r="I56" s="40">
        <f>IFERROR(__xludf.DUMMYFUNCTION("IFERROR(SUMPRODUCT(FILTER(RC_IN[ASH],RC_IN[BLOCK]=I53,RC_IN[BLOCK LOC]=I52),FILTER(RC_IN[WT],RC_IN[BLOCK]=I53,RC_IN[BLOCK LOC]=I52))/SUM(FILTER(RC_IN[WT],RC_IN[BLOCK]=I53,RC_IN[BLOCK LOC]=I52)),"""")
"),3.6986613175675678)</f>
        <v>3.698661318</v>
      </c>
      <c r="J56" s="40">
        <f>IFERROR(__xludf.DUMMYFUNCTION("IFERROR(SUMPRODUCT(FILTER(RC_IN[ASH],RC_IN[BLOCK]=J53,RC_IN[BLOCK LOC]=J52),FILTER(RC_IN[WT],RC_IN[BLOCK]=J53,RC_IN[BLOCK LOC]=J52))/SUM(FILTER(RC_IN[WT],RC_IN[BLOCK]=J53,RC_IN[BLOCK LOC]=J52)),"""")
"),3.5600086792998695)</f>
        <v>3.560008679</v>
      </c>
      <c r="K56" s="40">
        <f>IFERROR(__xludf.DUMMYFUNCTION("IFERROR(SUMPRODUCT(FILTER(RC_IN[ASH],RC_IN[BLOCK]=K53,RC_IN[BLOCK LOC]=K52),FILTER(RC_IN[WT],RC_IN[BLOCK]=K53,RC_IN[BLOCK LOC]=K52))/SUM(FILTER(RC_IN[WT],RC_IN[BLOCK]=K53,RC_IN[BLOCK LOC]=K52)),"""")
"),7.78)</f>
        <v>7.78</v>
      </c>
      <c r="L56" s="40">
        <f>IFERROR(__xludf.DUMMYFUNCTION("IFERROR(SUMPRODUCT(FILTER(RC_IN[ASH],RC_IN[BLOCK]=L53,RC_IN[BLOCK LOC]=L52),FILTER(RC_IN[WT],RC_IN[BLOCK]=L53,RC_IN[BLOCK LOC]=L52))/SUM(FILTER(RC_IN[WT],RC_IN[BLOCK]=L53,RC_IN[BLOCK LOC]=L52)),"""")
"),3.8588089552238807)</f>
        <v>3.858808955</v>
      </c>
      <c r="M56" s="40" t="str">
        <f>IFERROR(__xludf.DUMMYFUNCTION("IFERROR(SUMPRODUCT(FILTER(RC_IN[ASH],RC_IN[BLOCK]=M53,RC_IN[BLOCK LOC]=M52),FILTER(RC_IN[WT],RC_IN[BLOCK]=M53,RC_IN[BLOCK LOC]=M52))/SUM(FILTER(RC_IN[WT],RC_IN[BLOCK]=M53,RC_IN[BLOCK LOC]=M52)),"""")
"),"  ")</f>
        <v/>
      </c>
      <c r="N56" s="40">
        <f>IFERROR(__xludf.DUMMYFUNCTION("IFERROR(SUMPRODUCT(FILTER(RC_IN[ASH],RC_IN[BLOCK]=N53,RC_IN[BLOCK LOC]=N52),FILTER(RC_IN[WT],RC_IN[BLOCK]=N53,RC_IN[BLOCK LOC]=N52))/SUM(FILTER(RC_IN[WT],RC_IN[BLOCK]=N53,RC_IN[BLOCK LOC]=N52)),"""")
"),3.412312881234302)</f>
        <v>3.412312881</v>
      </c>
      <c r="O56" s="40">
        <f>IFERROR(__xludf.DUMMYFUNCTION("IFERROR(SUMPRODUCT(FILTER(RC_IN[ASH],RC_IN[BLOCK]=O53,RC_IN[BLOCK LOC]=O52),FILTER(RC_IN[WT],RC_IN[BLOCK]=O53,RC_IN[BLOCK LOC]=O52))/SUM(FILTER(RC_IN[WT],RC_IN[BLOCK]=O53,RC_IN[BLOCK LOC]=O52)),"""")
"),3.136371904547501)</f>
        <v>3.136371905</v>
      </c>
      <c r="P56" s="40">
        <f>IFERROR(__xludf.DUMMYFUNCTION("IFERROR(SUMPRODUCT(FILTER(RC_IN[ASH],RC_IN[BLOCK]=P53,RC_IN[BLOCK LOC]=P52),FILTER(RC_IN[WT],RC_IN[BLOCK]=P53,RC_IN[BLOCK LOC]=P52))/SUM(FILTER(RC_IN[WT],RC_IN[BLOCK]=P53,RC_IN[BLOCK LOC]=P52)),"""")
"),3.382110665533542)</f>
        <v>3.382110666</v>
      </c>
      <c r="Q56" s="40">
        <f>IFERROR(__xludf.DUMMYFUNCTION("IFERROR(SUMPRODUCT(FILTER(RC_IN[ASH],RC_IN[BLOCK]=Q53,RC_IN[BLOCK LOC]=Q52),FILTER(RC_IN[WT],RC_IN[BLOCK]=Q53,RC_IN[BLOCK LOC]=Q52))/SUM(FILTER(RC_IN[WT],RC_IN[BLOCK]=Q53,RC_IN[BLOCK LOC]=Q52)),"""")
"),3.3133078338685817)</f>
        <v>3.313307834</v>
      </c>
      <c r="R56" s="40" t="str">
        <f>IFERROR(__xludf.DUMMYFUNCTION("IFERROR(SUMPRODUCT(FILTER(RC_IN[ASH],RC_IN[BLOCK]=R53,RC_IN[BLOCK LOC]=R52),FILTER(RC_IN[WT],RC_IN[BLOCK]=R53,RC_IN[BLOCK LOC]=R52))/SUM(FILTER(RC_IN[WT],RC_IN[BLOCK]=R53,RC_IN[BLOCK LOC]=R52)),"""")
"),"  ")</f>
        <v/>
      </c>
      <c r="S56" s="40" t="str">
        <f>IFERROR(__xludf.DUMMYFUNCTION("IFERROR(SUMPRODUCT(FILTER(RC_IN[ASH],RC_IN[BLOCK]=S53,RC_IN[BLOCK LOC]=S52),FILTER(RC_IN[WT],RC_IN[BLOCK]=S53,RC_IN[BLOCK LOC]=S52))/SUM(FILTER(RC_IN[WT],RC_IN[BLOCK]=S53,RC_IN[BLOCK LOC]=S52)),"""")
"),"  ")</f>
        <v/>
      </c>
      <c r="T56" s="40" t="str">
        <f>IFERROR(__xludf.DUMMYFUNCTION("IFERROR(SUMPRODUCT(FILTER(RC_IN[ASH],RC_IN[BLOCK]=T53,RC_IN[BLOCK LOC]=T52),FILTER(RC_IN[WT],RC_IN[BLOCK]=T53,RC_IN[BLOCK LOC]=T52))/SUM(FILTER(RC_IN[WT],RC_IN[BLOCK]=T53,RC_IN[BLOCK LOC]=T52)),"""")
"),"  ")</f>
        <v/>
      </c>
      <c r="U56" s="40" t="str">
        <f>IFERROR(__xludf.DUMMYFUNCTION("IFERROR(SUMPRODUCT(FILTER(RC_IN[ASH],RC_IN[BLOCK]=U53,RC_IN[BLOCK LOC]=U52),FILTER(RC_IN[WT],RC_IN[BLOCK]=U53,RC_IN[BLOCK LOC]=U52))/SUM(FILTER(RC_IN[WT],RC_IN[BLOCK]=U53,RC_IN[BLOCK LOC]=U52)),"""")
"),"  ")</f>
        <v/>
      </c>
      <c r="V56" s="40">
        <f>IFERROR(__xludf.DUMMYFUNCTION("IFERROR(SUMPRODUCT(FILTER(RC_IN[ASH],RC_IN[BLOCK]=V53,RC_IN[BLOCK LOC]=V52),FILTER(RC_IN[WT],RC_IN[BLOCK]=V53,RC_IN[BLOCK LOC]=V52))/SUM(FILTER(RC_IN[WT],RC_IN[BLOCK]=V53,RC_IN[BLOCK LOC]=V52)),"""")
"),3.601626776770001)</f>
        <v>3.601626777</v>
      </c>
      <c r="W56" s="40">
        <f>IFERROR(__xludf.DUMMYFUNCTION("IFERROR(SUMPRODUCT(FILTER(RC_IN[ASH],RC_IN[BLOCK]=W53,RC_IN[BLOCK LOC]=W52),FILTER(RC_IN[WT],RC_IN[BLOCK]=W53,RC_IN[BLOCK LOC]=W52))/SUM(FILTER(RC_IN[WT],RC_IN[BLOCK]=W53,RC_IN[BLOCK LOC]=W52)),"""")
"),3.8886538977893137)</f>
        <v>3.888653898</v>
      </c>
      <c r="X56" s="40">
        <f>IFERROR(__xludf.DUMMYFUNCTION("IFERROR(SUMPRODUCT(FILTER(RC_IN[ASH],RC_IN[BLOCK]=X53,RC_IN[BLOCK LOC]=X52),FILTER(RC_IN[WT],RC_IN[BLOCK]=X53,RC_IN[BLOCK LOC]=X52))/SUM(FILTER(RC_IN[WT],RC_IN[BLOCK]=X53,RC_IN[BLOCK LOC]=X52)),"""")
"),3.2720428353989996)</f>
        <v>3.272042835</v>
      </c>
      <c r="Y56" s="40">
        <f>IFERROR(__xludf.DUMMYFUNCTION("IFERROR(SUMPRODUCT(FILTER(RC_IN[ASH],RC_IN[BLOCK]=Y53,RC_IN[BLOCK LOC]=Y52),FILTER(RC_IN[WT],RC_IN[BLOCK]=Y53,RC_IN[BLOCK LOC]=Y52))/SUM(FILTER(RC_IN[WT],RC_IN[BLOCK]=Y53,RC_IN[BLOCK LOC]=Y52)),"""")
"),3.168999902619534)</f>
        <v>3.168999903</v>
      </c>
      <c r="Z56" s="40">
        <f>IFERROR(__xludf.DUMMYFUNCTION("IFERROR(SUMPRODUCT(FILTER(RC_IN[ASH],RC_IN[BLOCK]=Z53,RC_IN[BLOCK LOC]=Z52),FILTER(RC_IN[WT],RC_IN[BLOCK]=Z53,RC_IN[BLOCK LOC]=Z52))/SUM(FILTER(RC_IN[WT],RC_IN[BLOCK]=Z53,RC_IN[BLOCK LOC]=Z52)),"""")
"),2.9115911602209943)</f>
        <v>2.91159116</v>
      </c>
      <c r="AA56" s="41" t="str">
        <f>IFERROR(__xludf.DUMMYFUNCTION("IFERROR(SUMPRODUCT(FILTER(RC_IN[ASH],RC_IN[BLOCK]=AA53,RC_IN[BLOCK LOC]=AA52),FILTER(RC_IN[WT],RC_IN[BLOCK]=AA53,RC_IN[BLOCK LOC]=AA52))/SUM(FILTER(RC_IN[WT],RC_IN[BLOCK]=AA53,RC_IN[BLOCK LOC]=AA52)),"""")
"),"  ")</f>
        <v/>
      </c>
      <c r="AB56" s="15"/>
      <c r="AC56" s="54"/>
      <c r="AD56" s="15"/>
      <c r="AE56" s="15"/>
      <c r="AF56" s="15"/>
      <c r="AG56" s="15"/>
    </row>
    <row r="57" ht="11.25" customHeight="1">
      <c r="A57" s="42"/>
      <c r="B57" s="17"/>
      <c r="C57" s="32"/>
      <c r="D57" s="11"/>
      <c r="F57" s="43"/>
      <c r="G57" s="44" t="s">
        <v>10</v>
      </c>
      <c r="H57" s="45" t="str">
        <f>IFERROR(__xludf.DUMMYFUNCTION("IFERROR(SUMPRODUCT(FILTER(RC_IN[MC],RC_IN[BLOCK]=H53,RC_IN[BLOCK LOC]=H52),FILTER(RC_IN[WT],RC_IN[BLOCK]=H53,RC_IN[BLOCK LOC]=H52)) / SUM(FILTER(RC_IN[WT],RC_IN[BLOCK]=H53,RC_IN[BLOCK LOC]=H52)),"""")
"),"")</f>
        <v/>
      </c>
      <c r="I57" s="45">
        <f>IFERROR(__xludf.DUMMYFUNCTION("IFERROR(SUMPRODUCT(FILTER(RC_IN[MC],RC_IN[BLOCK]=I53,RC_IN[BLOCK LOC]=I52),FILTER(RC_IN[WT],RC_IN[BLOCK]=I53,RC_IN[BLOCK LOC]=I52)) / SUM(FILTER(RC_IN[WT],RC_IN[BLOCK]=I53,RC_IN[BLOCK LOC]=I52)),"""")
"),10.749122325450449)</f>
        <v>10.74912233</v>
      </c>
      <c r="J57" s="45">
        <f>IFERROR(__xludf.DUMMYFUNCTION("IFERROR(SUMPRODUCT(FILTER(RC_IN[MC],RC_IN[BLOCK]=J53,RC_IN[BLOCK LOC]=J52),FILTER(RC_IN[WT],RC_IN[BLOCK]=J53,RC_IN[BLOCK LOC]=J52)) / SUM(FILTER(RC_IN[WT],RC_IN[BLOCK]=J53,RC_IN[BLOCK LOC]=J52)),"""")
"),10.443494864747578)</f>
        <v>10.44349486</v>
      </c>
      <c r="K57" s="45">
        <f>IFERROR(__xludf.DUMMYFUNCTION("IFERROR(SUMPRODUCT(FILTER(RC_IN[MC],RC_IN[BLOCK]=K53,RC_IN[BLOCK LOC]=K52),FILTER(RC_IN[WT],RC_IN[BLOCK]=K53,RC_IN[BLOCK LOC]=K52)) / SUM(FILTER(RC_IN[WT],RC_IN[BLOCK]=K53,RC_IN[BLOCK LOC]=K52)),"""")
"),11.740000000000002)</f>
        <v>11.74</v>
      </c>
      <c r="L57" s="45">
        <f>IFERROR(__xludf.DUMMYFUNCTION("IFERROR(SUMPRODUCT(FILTER(RC_IN[MC],RC_IN[BLOCK]=L53,RC_IN[BLOCK LOC]=L52),FILTER(RC_IN[WT],RC_IN[BLOCK]=L53,RC_IN[BLOCK LOC]=L52)) / SUM(FILTER(RC_IN[WT],RC_IN[BLOCK]=L53,RC_IN[BLOCK LOC]=L52)),"""")
"),10.098428358208954)</f>
        <v>10.09842836</v>
      </c>
      <c r="M57" s="45" t="str">
        <f>IFERROR(__xludf.DUMMYFUNCTION("IFERROR(SUMPRODUCT(FILTER(RC_IN[MC],RC_IN[BLOCK]=M53,RC_IN[BLOCK LOC]=M52),FILTER(RC_IN[WT],RC_IN[BLOCK]=M53,RC_IN[BLOCK LOC]=M52)) / SUM(FILTER(RC_IN[WT],RC_IN[BLOCK]=M53,RC_IN[BLOCK LOC]=M52)),"""")
"),"")</f>
        <v/>
      </c>
      <c r="N57" s="45">
        <f>IFERROR(__xludf.DUMMYFUNCTION("IFERROR(SUMPRODUCT(FILTER(RC_IN[MC],RC_IN[BLOCK]=N53,RC_IN[BLOCK LOC]=N52),FILTER(RC_IN[WT],RC_IN[BLOCK]=N53,RC_IN[BLOCK LOC]=N52)) / SUM(FILTER(RC_IN[WT],RC_IN[BLOCK]=N53,RC_IN[BLOCK LOC]=N52)),"""")
"),10.92042124147829)</f>
        <v>10.92042124</v>
      </c>
      <c r="O57" s="45">
        <f>IFERROR(__xludf.DUMMYFUNCTION("IFERROR(SUMPRODUCT(FILTER(RC_IN[MC],RC_IN[BLOCK]=O53,RC_IN[BLOCK LOC]=O52),FILTER(RC_IN[WT],RC_IN[BLOCK]=O53,RC_IN[BLOCK LOC]=O52)) / SUM(FILTER(RC_IN[WT],RC_IN[BLOCK]=O53,RC_IN[BLOCK LOC]=O52)),"""")
"),11.352644754615039)</f>
        <v>11.35264475</v>
      </c>
      <c r="P57" s="45">
        <f>IFERROR(__xludf.DUMMYFUNCTION("IFERROR(SUMPRODUCT(FILTER(RC_IN[MC],RC_IN[BLOCK]=P53,RC_IN[BLOCK LOC]=P52),FILTER(RC_IN[WT],RC_IN[BLOCK]=P53,RC_IN[BLOCK LOC]=P52)) / SUM(FILTER(RC_IN[WT],RC_IN[BLOCK]=P53,RC_IN[BLOCK LOC]=P52)),"""")
"),12.025525840548148)</f>
        <v>12.02552584</v>
      </c>
      <c r="Q57" s="45">
        <f>IFERROR(__xludf.DUMMYFUNCTION("IFERROR(SUMPRODUCT(FILTER(RC_IN[MC],RC_IN[BLOCK]=Q53,RC_IN[BLOCK LOC]=Q52),FILTER(RC_IN[WT],RC_IN[BLOCK]=Q53,RC_IN[BLOCK LOC]=Q52)) / SUM(FILTER(RC_IN[WT],RC_IN[BLOCK]=Q53,RC_IN[BLOCK LOC]=Q52)),"""")
"),11.821001695954966)</f>
        <v>11.8210017</v>
      </c>
      <c r="R57" s="45" t="str">
        <f>IFERROR(__xludf.DUMMYFUNCTION("IFERROR(SUMPRODUCT(FILTER(RC_IN[MC],RC_IN[BLOCK]=R53,RC_IN[BLOCK LOC]=R52),FILTER(RC_IN[WT],RC_IN[BLOCK]=R53,RC_IN[BLOCK LOC]=R52)) / SUM(FILTER(RC_IN[WT],RC_IN[BLOCK]=R53,RC_IN[BLOCK LOC]=R52)),"""")
"),"")</f>
        <v/>
      </c>
      <c r="S57" s="45" t="str">
        <f>IFERROR(__xludf.DUMMYFUNCTION("IFERROR(SUMPRODUCT(FILTER(RC_IN[MC],RC_IN[BLOCK]=S53,RC_IN[BLOCK LOC]=S52),FILTER(RC_IN[WT],RC_IN[BLOCK]=S53,RC_IN[BLOCK LOC]=S52)) / SUM(FILTER(RC_IN[WT],RC_IN[BLOCK]=S53,RC_IN[BLOCK LOC]=S52)),"""")
"),"")</f>
        <v/>
      </c>
      <c r="T57" s="45" t="str">
        <f>IFERROR(__xludf.DUMMYFUNCTION("IFERROR(SUMPRODUCT(FILTER(RC_IN[MC],RC_IN[BLOCK]=T53,RC_IN[BLOCK LOC]=T52),FILTER(RC_IN[WT],RC_IN[BLOCK]=T53,RC_IN[BLOCK LOC]=T52)) / SUM(FILTER(RC_IN[WT],RC_IN[BLOCK]=T53,RC_IN[BLOCK LOC]=T52)),"""")
"),"")</f>
        <v/>
      </c>
      <c r="U57" s="45" t="str">
        <f>IFERROR(__xludf.DUMMYFUNCTION("IFERROR(SUMPRODUCT(FILTER(RC_IN[MC],RC_IN[BLOCK]=U53,RC_IN[BLOCK LOC]=U52),FILTER(RC_IN[WT],RC_IN[BLOCK]=U53,RC_IN[BLOCK LOC]=U52)) / SUM(FILTER(RC_IN[WT],RC_IN[BLOCK]=U53,RC_IN[BLOCK LOC]=U52)),"""")
"),"")</f>
        <v/>
      </c>
      <c r="V57" s="45">
        <f>IFERROR(__xludf.DUMMYFUNCTION("IFERROR(SUMPRODUCT(FILTER(RC_IN[MC],RC_IN[BLOCK]=V53,RC_IN[BLOCK LOC]=V52),FILTER(RC_IN[WT],RC_IN[BLOCK]=V53,RC_IN[BLOCK LOC]=V52)) / SUM(FILTER(RC_IN[WT],RC_IN[BLOCK]=V53,RC_IN[BLOCK LOC]=V52)),"""")
"),13.412474888317314)</f>
        <v>13.41247489</v>
      </c>
      <c r="W57" s="45">
        <f>IFERROR(__xludf.DUMMYFUNCTION("IFERROR(SUMPRODUCT(FILTER(RC_IN[MC],RC_IN[BLOCK]=W53,RC_IN[BLOCK LOC]=W52),FILTER(RC_IN[WT],RC_IN[BLOCK]=W53,RC_IN[BLOCK LOC]=W52)) / SUM(FILTER(RC_IN[WT],RC_IN[BLOCK]=W53,RC_IN[BLOCK LOC]=W52)),"""")
"),12.927883290074286)</f>
        <v>12.92788329</v>
      </c>
      <c r="X57" s="45">
        <f>IFERROR(__xludf.DUMMYFUNCTION("IFERROR(SUMPRODUCT(FILTER(RC_IN[MC],RC_IN[BLOCK]=X53,RC_IN[BLOCK LOC]=X52),FILTER(RC_IN[WT],RC_IN[BLOCK]=X53,RC_IN[BLOCK LOC]=X52)) / SUM(FILTER(RC_IN[WT],RC_IN[BLOCK]=X53,RC_IN[BLOCK LOC]=X52)),"""")
"),8.937222222222221)</f>
        <v>8.937222222</v>
      </c>
      <c r="Y57" s="45">
        <f>IFERROR(__xludf.DUMMYFUNCTION("IFERROR(SUMPRODUCT(FILTER(RC_IN[MC],RC_IN[BLOCK]=Y53,RC_IN[BLOCK LOC]=Y52),FILTER(RC_IN[WT],RC_IN[BLOCK]=Y53,RC_IN[BLOCK LOC]=Y52)) / SUM(FILTER(RC_IN[WT],RC_IN[BLOCK]=Y53,RC_IN[BLOCK LOC]=Y52)),"""")
"),9.273133703379104)</f>
        <v>9.273133703</v>
      </c>
      <c r="Z57" s="45">
        <f>IFERROR(__xludf.DUMMYFUNCTION("IFERROR(SUMPRODUCT(FILTER(RC_IN[MC],RC_IN[BLOCK]=Z53,RC_IN[BLOCK LOC]=Z52),FILTER(RC_IN[WT],RC_IN[BLOCK]=Z53,RC_IN[BLOCK LOC]=Z52)) / SUM(FILTER(RC_IN[WT],RC_IN[BLOCK]=Z53,RC_IN[BLOCK LOC]=Z52)),"""")
"),9.828154696132597)</f>
        <v>9.828154696</v>
      </c>
      <c r="AA57" s="46" t="str">
        <f>IFERROR(__xludf.DUMMYFUNCTION("IFERROR(SUMPRODUCT(FILTER(RC_IN[MC],RC_IN[BLOCK]=AA53,RC_IN[BLOCK LOC]=AA52),FILTER(RC_IN[WT],RC_IN[BLOCK]=AA53,RC_IN[BLOCK LOC]=AA52)) / SUM(FILTER(RC_IN[WT],RC_IN[BLOCK]=AA53,RC_IN[BLOCK LOC]=AA52)),"""")
"),"")</f>
        <v/>
      </c>
      <c r="AB57" s="47"/>
      <c r="AC57" s="56"/>
      <c r="AD57" s="47"/>
      <c r="AE57" s="47"/>
      <c r="AF57" s="47"/>
      <c r="AG57" s="47"/>
    </row>
    <row r="58" ht="11.25" customHeight="1">
      <c r="A58" s="9"/>
      <c r="B58" s="9"/>
      <c r="C58" s="49"/>
      <c r="D58" s="10" t="str">
        <f>D46</f>
        <v>D</v>
      </c>
      <c r="F58" s="4"/>
      <c r="G58" s="12" t="s">
        <v>12</v>
      </c>
      <c r="H58" s="13" t="str">
        <f t="shared" ref="H58:AA58" si="16">CONCATENATE($D58,"-",H$1,$G58)</f>
        <v>D-1C</v>
      </c>
      <c r="I58" s="13" t="str">
        <f t="shared" si="16"/>
        <v>D-2C</v>
      </c>
      <c r="J58" s="13" t="str">
        <f t="shared" si="16"/>
        <v>D-3C</v>
      </c>
      <c r="K58" s="13" t="str">
        <f t="shared" si="16"/>
        <v>D-4C</v>
      </c>
      <c r="L58" s="13" t="str">
        <f t="shared" si="16"/>
        <v>D-5C</v>
      </c>
      <c r="M58" s="13" t="str">
        <f t="shared" si="16"/>
        <v>D-6C</v>
      </c>
      <c r="N58" s="13" t="str">
        <f t="shared" si="16"/>
        <v>D-7C</v>
      </c>
      <c r="O58" s="13" t="str">
        <f t="shared" si="16"/>
        <v>D-8C</v>
      </c>
      <c r="P58" s="13" t="str">
        <f t="shared" si="16"/>
        <v>D-9C</v>
      </c>
      <c r="Q58" s="13" t="str">
        <f t="shared" si="16"/>
        <v>D-10C</v>
      </c>
      <c r="R58" s="13" t="str">
        <f t="shared" si="16"/>
        <v>D-11C</v>
      </c>
      <c r="S58" s="13" t="str">
        <f t="shared" si="16"/>
        <v>D-12C</v>
      </c>
      <c r="T58" s="13" t="str">
        <f t="shared" si="16"/>
        <v>D-13C</v>
      </c>
      <c r="U58" s="13" t="str">
        <f t="shared" si="16"/>
        <v>D-14C</v>
      </c>
      <c r="V58" s="13" t="str">
        <f t="shared" si="16"/>
        <v>D-15C</v>
      </c>
      <c r="W58" s="13" t="str">
        <f t="shared" si="16"/>
        <v>D-16C</v>
      </c>
      <c r="X58" s="13" t="str">
        <f t="shared" si="16"/>
        <v>D-17C</v>
      </c>
      <c r="Y58" s="13" t="str">
        <f t="shared" si="16"/>
        <v>D-18C</v>
      </c>
      <c r="Z58" s="13" t="str">
        <f t="shared" si="16"/>
        <v>D-19C</v>
      </c>
      <c r="AA58" s="14" t="str">
        <f t="shared" si="16"/>
        <v>D-20C</v>
      </c>
      <c r="AB58" s="15"/>
      <c r="AC58" s="54"/>
      <c r="AD58" s="15"/>
      <c r="AE58" s="15"/>
      <c r="AF58" s="15"/>
      <c r="AG58" s="15"/>
    </row>
    <row r="59" ht="11.25" customHeight="1">
      <c r="A59" s="42"/>
      <c r="B59" s="17"/>
      <c r="C59" s="32"/>
      <c r="D59" s="11"/>
      <c r="F59" s="19" t="str">
        <f>IF(COUNTIF(G59:Z59,"ERROR")=0,"CLEAR",COUNTIF(G59:Z59,"ERROR")&amp;" ERRORS")
</f>
        <v>CLEAR</v>
      </c>
      <c r="G59" s="20" t="s">
        <v>6</v>
      </c>
      <c r="H59" s="21" t="str">
        <f>IFERROR(__xludf.DUMMYFUNCTION("IFERROR(IF(COUNTA(UNIQUE(FILTER(RC_IN[BLOCK],RC_IN[BLOCK LOC]=H58,RC_IN[STATE]&lt;&gt;""CLOSED"")))&gt;1,""ERROR"",INDEX(UNIQUE(FILTER(RC_IN[BLOCK],RC_IN[BLOCK LOC]=H58,RC_IN[STATE]&lt;&gt;""CLOSED"")),1)),"""")
"),"FEB-26-TNK2")</f>
        <v>FEB-26-TNK2</v>
      </c>
      <c r="I59" s="21" t="str">
        <f>IFERROR(__xludf.DUMMYFUNCTION("IFERROR(IF(COUNTA(UNIQUE(FILTER(RC_IN[BLOCK],RC_IN[BLOCK LOC]=I58,RC_IN[STATE]&lt;&gt;""CLOSED"")))&gt;1,""ERROR"",INDEX(UNIQUE(FILTER(RC_IN[BLOCK],RC_IN[BLOCK LOC]=I58,RC_IN[STATE]&lt;&gt;""CLOSED"")),1)),"""")
"),"MARCH-26-BLK22")</f>
        <v>MARCH-26-BLK22</v>
      </c>
      <c r="J59" s="21" t="str">
        <f>IFERROR(__xludf.DUMMYFUNCTION("IFERROR(IF(COUNTA(UNIQUE(FILTER(RC_IN[BLOCK],RC_IN[BLOCK LOC]=J58,RC_IN[STATE]&lt;&gt;""CLOSED"")))&gt;1,""ERROR"",INDEX(UNIQUE(FILTER(RC_IN[BLOCK],RC_IN[BLOCK LOC]=J58,RC_IN[STATE]&lt;&gt;""CLOSED"")),1)),"""")
"),"MARCH-26-BLK21")</f>
        <v>MARCH-26-BLK21</v>
      </c>
      <c r="K59" s="21" t="str">
        <f>IFERROR(__xludf.DUMMYFUNCTION("IFERROR(IF(COUNTA(UNIQUE(FILTER(RC_IN[BLOCK],RC_IN[BLOCK LOC]=K58,RC_IN[STATE]&lt;&gt;""CLOSED"")))&gt;1,""ERROR"",INDEX(UNIQUE(FILTER(RC_IN[BLOCK],RC_IN[BLOCK LOC]=K58,RC_IN[STATE]&lt;&gt;""CLOSED"")),1)),"""")
"),"FEB-26-BLK24")</f>
        <v>FEB-26-BLK24</v>
      </c>
      <c r="L59" s="21" t="str">
        <f>IFERROR(__xludf.DUMMYFUNCTION("IFERROR(IF(COUNTA(UNIQUE(FILTER(RC_IN[BLOCK],RC_IN[BLOCK LOC]=L58,RC_IN[STATE]&lt;&gt;""CLOSED"")))&gt;1,""ERROR"",INDEX(UNIQUE(FILTER(RC_IN[BLOCK],RC_IN[BLOCK LOC]=L58,RC_IN[STATE]&lt;&gt;""CLOSED"")),1)),"""")
"),"MARCH-26-BLK20")</f>
        <v>MARCH-26-BLK20</v>
      </c>
      <c r="M59" s="21" t="str">
        <f>IFERROR(__xludf.DUMMYFUNCTION("IFERROR(IF(COUNTA(UNIQUE(FILTER(RC_IN[BLOCK],RC_IN[BLOCK LOC]=M58,RC_IN[STATE]&lt;&gt;""CLOSED"")))&gt;1,""ERROR"",INDEX(UNIQUE(FILTER(RC_IN[BLOCK],RC_IN[BLOCK LOC]=M58,RC_IN[STATE]&lt;&gt;""CLOSED"")),1)),"""")
"),"")</f>
        <v/>
      </c>
      <c r="N59" s="21" t="str">
        <f>IFERROR(__xludf.DUMMYFUNCTION("IFERROR(IF(COUNTA(UNIQUE(FILTER(RC_IN[BLOCK],RC_IN[BLOCK LOC]=N58,RC_IN[STATE]&lt;&gt;""CLOSED"")))&gt;1,""ERROR"",INDEX(UNIQUE(FILTER(RC_IN[BLOCK],RC_IN[BLOCK LOC]=N58,RC_IN[STATE]&lt;&gt;""CLOSED"")),1)),"""")
"),"OCT-25-BLK10")</f>
        <v>OCT-25-BLK10</v>
      </c>
      <c r="O59" s="21" t="str">
        <f>IFERROR(__xludf.DUMMYFUNCTION("IFERROR(IF(COUNTA(UNIQUE(FILTER(RC_IN[BLOCK],RC_IN[BLOCK LOC]=O58,RC_IN[STATE]&lt;&gt;""CLOSED"")))&gt;1,""ERROR"",INDEX(UNIQUE(FILTER(RC_IN[BLOCK],RC_IN[BLOCK LOC]=O58,RC_IN[STATE]&lt;&gt;""CLOSED"")),1)),"""")
"),"NOV-25-BLK5")</f>
        <v>NOV-25-BLK5</v>
      </c>
      <c r="P59" s="21" t="str">
        <f>IFERROR(__xludf.DUMMYFUNCTION("IFERROR(IF(COUNTA(UNIQUE(FILTER(RC_IN[BLOCK],RC_IN[BLOCK LOC]=P58,RC_IN[STATE]&lt;&gt;""CLOSED"")))&gt;1,""ERROR"",INDEX(UNIQUE(FILTER(RC_IN[BLOCK],RC_IN[BLOCK LOC]=P58,RC_IN[STATE]&lt;&gt;""CLOSED"")),1)),"""")
"),"OCT-25-BLK4")</f>
        <v>OCT-25-BLK4</v>
      </c>
      <c r="Q59" s="21" t="str">
        <f>IFERROR(__xludf.DUMMYFUNCTION("IFERROR(IF(COUNTA(UNIQUE(FILTER(RC_IN[BLOCK],RC_IN[BLOCK LOC]=Q58,RC_IN[STATE]&lt;&gt;""CLOSED"")))&gt;1,""ERROR"",INDEX(UNIQUE(FILTER(RC_IN[BLOCK],RC_IN[BLOCK LOC]=Q58,RC_IN[STATE]&lt;&gt;""CLOSED"")),1)),"""")
"),"OCT-25-BLK15")</f>
        <v>OCT-25-BLK15</v>
      </c>
      <c r="R59" s="21" t="str">
        <f>IFERROR(__xludf.DUMMYFUNCTION("IFERROR(IF(COUNTA(UNIQUE(FILTER(RC_IN[BLOCK],RC_IN[BLOCK LOC]=R58,RC_IN[STATE]&lt;&gt;""CLOSED"")))&gt;1,""ERROR"",INDEX(UNIQUE(FILTER(RC_IN[BLOCK],RC_IN[BLOCK LOC]=R58,RC_IN[STATE]&lt;&gt;""CLOSED"")),1)),"""")
"),"")</f>
        <v/>
      </c>
      <c r="S59" s="21" t="str">
        <f>IFERROR(__xludf.DUMMYFUNCTION("IFERROR(IF(COUNTA(UNIQUE(FILTER(RC_IN[BLOCK],RC_IN[BLOCK LOC]=S58,RC_IN[STATE]&lt;&gt;""CLOSED"")))&gt;1,""ERROR"",INDEX(UNIQUE(FILTER(RC_IN[BLOCK],RC_IN[BLOCK LOC]=S58,RC_IN[STATE]&lt;&gt;""CLOSED"")),1)),"""")
"),"")</f>
        <v/>
      </c>
      <c r="T59" s="21" t="str">
        <f>IFERROR(__xludf.DUMMYFUNCTION("IFERROR(IF(COUNTA(UNIQUE(FILTER(RC_IN[BLOCK],RC_IN[BLOCK LOC]=T58,RC_IN[STATE]&lt;&gt;""CLOSED"")))&gt;1,""ERROR"",INDEX(UNIQUE(FILTER(RC_IN[BLOCK],RC_IN[BLOCK LOC]=T58,RC_IN[STATE]&lt;&gt;""CLOSED"")),1)),"""")
"),"")</f>
        <v/>
      </c>
      <c r="U59" s="21" t="str">
        <f>IFERROR(__xludf.DUMMYFUNCTION("IFERROR(IF(COUNTA(UNIQUE(FILTER(RC_IN[BLOCK],RC_IN[BLOCK LOC]=U58,RC_IN[STATE]&lt;&gt;""CLOSED"")))&gt;1,""ERROR"",INDEX(UNIQUE(FILTER(RC_IN[BLOCK],RC_IN[BLOCK LOC]=U58,RC_IN[STATE]&lt;&gt;""CLOSED"")),1)),"""")
"),"")</f>
        <v/>
      </c>
      <c r="V59" s="21" t="str">
        <f>IFERROR(__xludf.DUMMYFUNCTION("IFERROR(IF(COUNTA(UNIQUE(FILTER(RC_IN[BLOCK],RC_IN[BLOCK LOC]=V58,RC_IN[STATE]&lt;&gt;""CLOSED"")))&gt;1,""ERROR"",INDEX(UNIQUE(FILTER(RC_IN[BLOCK],RC_IN[BLOCK LOC]=V58,RC_IN[STATE]&lt;&gt;""CLOSED"")),1)),"""")
"),"OCT-25-BLK17")</f>
        <v>OCT-25-BLK17</v>
      </c>
      <c r="W59" s="21" t="str">
        <f>IFERROR(__xludf.DUMMYFUNCTION("IFERROR(IF(COUNTA(UNIQUE(FILTER(RC_IN[BLOCK],RC_IN[BLOCK LOC]=W58,RC_IN[STATE]&lt;&gt;""CLOSED"")))&gt;1,""ERROR"",INDEX(UNIQUE(FILTER(RC_IN[BLOCK],RC_IN[BLOCK LOC]=W58,RC_IN[STATE]&lt;&gt;""CLOSED"")),1)),"""")
"),"APRIL-26-BLK8")</f>
        <v>APRIL-26-BLK8</v>
      </c>
      <c r="X59" s="21" t="str">
        <f>IFERROR(__xludf.DUMMYFUNCTION("IFERROR(IF(COUNTA(UNIQUE(FILTER(RC_IN[BLOCK],RC_IN[BLOCK LOC]=X58,RC_IN[STATE]&lt;&gt;""CLOSED"")))&gt;1,""ERROR"",INDEX(UNIQUE(FILTER(RC_IN[BLOCK],RC_IN[BLOCK LOC]=X58,RC_IN[STATE]&lt;&gt;""CLOSED"")),1)),"""")
"),"MAY-26-BLK5")</f>
        <v>MAY-26-BLK5</v>
      </c>
      <c r="Y59" s="21" t="str">
        <f>IFERROR(__xludf.DUMMYFUNCTION("IFERROR(IF(COUNTA(UNIQUE(FILTER(RC_IN[BLOCK],RC_IN[BLOCK LOC]=Y58,RC_IN[STATE]&lt;&gt;""CLOSED"")))&gt;1,""ERROR"",INDEX(UNIQUE(FILTER(RC_IN[BLOCK],RC_IN[BLOCK LOC]=Y58,RC_IN[STATE]&lt;&gt;""CLOSED"")),1)),"""")
"),"JUNE-26-BLK3")</f>
        <v>JUNE-26-BLK3</v>
      </c>
      <c r="Z59" s="21" t="str">
        <f>IFERROR(__xludf.DUMMYFUNCTION("IFERROR(IF(COUNTA(UNIQUE(FILTER(RC_IN[BLOCK],RC_IN[BLOCK LOC]=Z58,RC_IN[STATE]&lt;&gt;""CLOSED"")))&gt;1,""ERROR"",INDEX(UNIQUE(FILTER(RC_IN[BLOCK],RC_IN[BLOCK LOC]=Z58,RC_IN[STATE]&lt;&gt;""CLOSED"")),1)),"""")
"),"JUNE-26-BLK10")</f>
        <v>JUNE-26-BLK10</v>
      </c>
      <c r="AA59" s="22" t="str">
        <f>IFERROR(__xludf.DUMMYFUNCTION("IFERROR(IF(COUNTA(UNIQUE(FILTER(RC_IN[BLOCK],RC_IN[BLOCK LOC]=AA58,RC_IN[STATE]&lt;&gt;""CLOSED"")))&gt;1,""ERROR"",INDEX(UNIQUE(FILTER(RC_IN[BLOCK],RC_IN[BLOCK LOC]=AA58,RC_IN[STATE]&lt;&gt;""CLOSED"")),1)),"""")
"),"")</f>
        <v/>
      </c>
      <c r="AB59" s="15"/>
      <c r="AC59" s="54"/>
      <c r="AD59" s="15"/>
      <c r="AE59" s="15"/>
      <c r="AF59" s="15"/>
      <c r="AG59" s="15"/>
    </row>
    <row r="60" ht="11.25" customHeight="1">
      <c r="A60" s="42"/>
      <c r="B60" s="17"/>
      <c r="C60" s="25">
        <f>sum(H60:AA60)</f>
        <v>850469</v>
      </c>
      <c r="D60" s="11"/>
      <c r="F60" s="26"/>
      <c r="G60" s="27" t="s">
        <v>7</v>
      </c>
      <c r="H60" s="28">
        <f>SUMIFS(RC_IN[WT],RC_IN[BLOCK],H59,RC_IN[BLOCK LOC],H58)-SUMIFS(RC_OUT[WT],RC_OUT[BLOCK],H59,RC_OUT[BLOCK LOC],H58)</f>
        <v>30115</v>
      </c>
      <c r="I60" s="28">
        <f>SUMIFS(RC_IN[WT],RC_IN[BLOCK],I59,RC_IN[BLOCK LOC],I58)-SUMIFS(RC_OUT[WT],RC_OUT[BLOCK],I59,RC_OUT[BLOCK LOC],I58)</f>
        <v>65465</v>
      </c>
      <c r="J60" s="28">
        <f>SUMIFS(RC_IN[WT],RC_IN[BLOCK],J59,RC_IN[BLOCK LOC],J58)-SUMIFS(RC_OUT[WT],RC_OUT[BLOCK],J59,RC_OUT[BLOCK LOC],J58)</f>
        <v>68575</v>
      </c>
      <c r="K60" s="28">
        <f>SUMIFS(RC_IN[WT],RC_IN[BLOCK],K59,RC_IN[BLOCK LOC],K58)-SUMIFS(RC_OUT[WT],RC_OUT[BLOCK],K59,RC_OUT[BLOCK LOC],K58)</f>
        <v>56048</v>
      </c>
      <c r="L60" s="28">
        <f>SUMIFS(RC_IN[WT],RC_IN[BLOCK],L59,RC_IN[BLOCK LOC],L58)-SUMIFS(RC_OUT[WT],RC_OUT[BLOCK],L59,RC_OUT[BLOCK LOC],L58)</f>
        <v>75180</v>
      </c>
      <c r="M60" s="28">
        <f>SUMIFS(RC_IN[WT],RC_IN[BLOCK],M59,RC_IN[BLOCK LOC],M58)-SUMIFS(RC_OUT[WT],RC_OUT[BLOCK],M59,RC_OUT[BLOCK LOC],M58)</f>
        <v>0</v>
      </c>
      <c r="N60" s="28">
        <f>SUMIFS(RC_IN[WT],RC_IN[BLOCK],N59,RC_IN[BLOCK LOC],N58)-SUMIFS(RC_OUT[WT],RC_OUT[BLOCK],N59,RC_OUT[BLOCK LOC],N58)</f>
        <v>64530</v>
      </c>
      <c r="O60" s="28">
        <f>SUMIFS(RC_IN[WT],RC_IN[BLOCK],O59,RC_IN[BLOCK LOC],O58)-SUMIFS(RC_OUT[WT],RC_OUT[BLOCK],O59,RC_OUT[BLOCK LOC],O58)</f>
        <v>53675</v>
      </c>
      <c r="P60" s="28">
        <f>SUMIFS(RC_IN[WT],RC_IN[BLOCK],P59,RC_IN[BLOCK LOC],P58)-SUMIFS(RC_OUT[WT],RC_OUT[BLOCK],P59,RC_OUT[BLOCK LOC],P58)</f>
        <v>56725</v>
      </c>
      <c r="Q60" s="28">
        <f>SUMIFS(RC_IN[WT],RC_IN[BLOCK],Q59,RC_IN[BLOCK LOC],Q58)-SUMIFS(RC_OUT[WT],RC_OUT[BLOCK],Q59,RC_OUT[BLOCK LOC],Q58)</f>
        <v>68835</v>
      </c>
      <c r="R60" s="28">
        <f>SUMIFS(RC_IN[WT],RC_IN[BLOCK],R59,RC_IN[BLOCK LOC],R58)-SUMIFS(RC_OUT[WT],RC_OUT[BLOCK],R59,RC_OUT[BLOCK LOC],R58)</f>
        <v>0</v>
      </c>
      <c r="S60" s="28">
        <f>SUMIFS(RC_IN[WT],RC_IN[BLOCK],S59,RC_IN[BLOCK LOC],S58)-SUMIFS(RC_OUT[WT],RC_OUT[BLOCK],S59,RC_OUT[BLOCK LOC],S58)</f>
        <v>0</v>
      </c>
      <c r="T60" s="28">
        <f>SUMIFS(RC_IN[WT],RC_IN[BLOCK],T59,RC_IN[BLOCK LOC],T58)-SUMIFS(RC_OUT[WT],RC_OUT[BLOCK],T59,RC_OUT[BLOCK LOC],T58)</f>
        <v>0</v>
      </c>
      <c r="U60" s="28">
        <f>SUMIFS(RC_IN[WT],RC_IN[BLOCK],U59,RC_IN[BLOCK LOC],U58)-SUMIFS(RC_OUT[WT],RC_OUT[BLOCK],U59,RC_OUT[BLOCK LOC],U58)</f>
        <v>0</v>
      </c>
      <c r="V60" s="28">
        <f>SUMIFS(RC_IN[WT],RC_IN[BLOCK],V59,RC_IN[BLOCK LOC],V58)-SUMIFS(RC_OUT[WT],RC_OUT[BLOCK],V59,RC_OUT[BLOCK LOC],V58)</f>
        <v>59811</v>
      </c>
      <c r="W60" s="28">
        <f>SUMIFS(RC_IN[WT],RC_IN[BLOCK],W59,RC_IN[BLOCK LOC],W58)-SUMIFS(RC_OUT[WT],RC_OUT[BLOCK],W59,RC_OUT[BLOCK LOC],W58)</f>
        <v>70470</v>
      </c>
      <c r="X60" s="28">
        <f>SUMIFS(RC_IN[WT],RC_IN[BLOCK],X59,RC_IN[BLOCK LOC],X58)-SUMIFS(RC_OUT[WT],RC_OUT[BLOCK],X59,RC_OUT[BLOCK LOC],X58)</f>
        <v>62220</v>
      </c>
      <c r="Y60" s="28">
        <f>SUMIFS(RC_IN[WT],RC_IN[BLOCK],Y59,RC_IN[BLOCK LOC],Y58)-SUMIFS(RC_OUT[WT],RC_OUT[BLOCK],Y59,RC_OUT[BLOCK LOC],Y58)</f>
        <v>53915</v>
      </c>
      <c r="Z60" s="28">
        <f>SUMIFS(RC_IN[WT],RC_IN[BLOCK],Z59,RC_IN[BLOCK LOC],Z58)-SUMIFS(RC_OUT[WT],RC_OUT[BLOCK],Z59,RC_OUT[BLOCK LOC],Z58)</f>
        <v>64905</v>
      </c>
      <c r="AA60" s="29">
        <f>SUMIFS(RC_IN[WT],RC_IN[BLOCK],AA59,RC_IN[BLOCK LOC],AA58)-SUMIFS(RC_OUT[WT],RC_OUT[BLOCK],AA59,RC_OUT[BLOCK LOC],AA58)</f>
        <v>0</v>
      </c>
      <c r="AB60" s="15"/>
      <c r="AC60" s="54"/>
      <c r="AD60" s="15"/>
      <c r="AE60" s="15"/>
      <c r="AF60" s="15"/>
      <c r="AG60" s="15"/>
    </row>
    <row r="61" ht="11.25" customHeight="1">
      <c r="A61" s="42"/>
      <c r="B61" s="17"/>
      <c r="C61" s="32"/>
      <c r="D61" s="11"/>
      <c r="F61" s="33"/>
      <c r="G61" s="34" t="s">
        <v>8</v>
      </c>
      <c r="H61" s="35">
        <f>IFERROR(__xludf.DUMMYFUNCTION("IFERROR(SUMPRODUCT(FILTER(RC_IN[ASTM],RC_IN[BLOCK]=H59,RC_IN[BLOCK LOC]=H58),FILTER(RC_IN[WT],RC_IN[BLOCK]=H59,RC_IN[BLOCK LOC]=H58))/SUM(FILTER(RC_IN[WT],RC_IN[BLOCK]=H59,RC_IN[BLOCK LOC]=H58)),"""")
"),0.549)</f>
        <v>0.549</v>
      </c>
      <c r="I61" s="35">
        <f>IFERROR(__xludf.DUMMYFUNCTION("IFERROR(SUMPRODUCT(FILTER(RC_IN[ASTM],RC_IN[BLOCK]=I59,RC_IN[BLOCK LOC]=I58),FILTER(RC_IN[WT],RC_IN[BLOCK]=I59,RC_IN[BLOCK LOC]=I58))/SUM(FILTER(RC_IN[WT],RC_IN[BLOCK]=I59,RC_IN[BLOCK LOC]=I58)),"""")
"),0.560662185900863)</f>
        <v>0.5606621859</v>
      </c>
      <c r="J61" s="35">
        <f>IFERROR(__xludf.DUMMYFUNCTION("IFERROR(SUMPRODUCT(FILTER(RC_IN[ASTM],RC_IN[BLOCK]=J59,RC_IN[BLOCK LOC]=J58),FILTER(RC_IN[WT],RC_IN[BLOCK]=J59,RC_IN[BLOCK LOC]=J58))/SUM(FILTER(RC_IN[WT],RC_IN[BLOCK]=J59,RC_IN[BLOCK LOC]=J58)),"""")
"),0.5603932191031717)</f>
        <v>0.5603932191</v>
      </c>
      <c r="K61" s="35">
        <f>IFERROR(__xludf.DUMMYFUNCTION("IFERROR(SUMPRODUCT(FILTER(RC_IN[ASTM],RC_IN[BLOCK]=K59,RC_IN[BLOCK LOC]=K58),FILTER(RC_IN[WT],RC_IN[BLOCK]=K59,RC_IN[BLOCK LOC]=K58))/SUM(FILTER(RC_IN[WT],RC_IN[BLOCK]=K59,RC_IN[BLOCK LOC]=K58)),"""")
"),0.5535235690836426)</f>
        <v>0.5535235691</v>
      </c>
      <c r="L61" s="35">
        <f>IFERROR(__xludf.DUMMYFUNCTION("IFERROR(SUMPRODUCT(FILTER(RC_IN[ASTM],RC_IN[BLOCK]=L59,RC_IN[BLOCK LOC]=L58),FILTER(RC_IN[WT],RC_IN[BLOCK]=L59,RC_IN[BLOCK LOC]=L58))/SUM(FILTER(RC_IN[WT],RC_IN[BLOCK]=L59,RC_IN[BLOCK LOC]=L58)),"""")
"),0.5558711093375898)</f>
        <v>0.5558711093</v>
      </c>
      <c r="M61" s="35" t="str">
        <f>IFERROR(__xludf.DUMMYFUNCTION("IFERROR(SUMPRODUCT(FILTER(RC_IN[ASTM],RC_IN[BLOCK]=M59,RC_IN[BLOCK LOC]=M58),FILTER(RC_IN[WT],RC_IN[BLOCK]=M59,RC_IN[BLOCK LOC]=M58))/SUM(FILTER(RC_IN[WT],RC_IN[BLOCK]=M59,RC_IN[BLOCK LOC]=M58)),"""")
"),"  ")</f>
        <v/>
      </c>
      <c r="N61" s="35">
        <f>IFERROR(__xludf.DUMMYFUNCTION("IFERROR(SUMPRODUCT(FILTER(RC_IN[ASTM],RC_IN[BLOCK]=N59,RC_IN[BLOCK LOC]=N58),FILTER(RC_IN[WT],RC_IN[BLOCK]=N59,RC_IN[BLOCK LOC]=N58))/SUM(FILTER(RC_IN[WT],RC_IN[BLOCK]=N59,RC_IN[BLOCK LOC]=N58)),"""")
"),0.5794755927475592)</f>
        <v>0.5794755927</v>
      </c>
      <c r="O61" s="35">
        <f>IFERROR(__xludf.DUMMYFUNCTION("IFERROR(SUMPRODUCT(FILTER(RC_IN[ASTM],RC_IN[BLOCK]=O59,RC_IN[BLOCK LOC]=O58),FILTER(RC_IN[WT],RC_IN[BLOCK]=O59,RC_IN[BLOCK LOC]=O58))/SUM(FILTER(RC_IN[WT],RC_IN[BLOCK]=O59,RC_IN[BLOCK LOC]=O58)),"""")
"),0.5747307871448533)</f>
        <v>0.5747307871</v>
      </c>
      <c r="P61" s="35">
        <f>IFERROR(__xludf.DUMMYFUNCTION("IFERROR(SUMPRODUCT(FILTER(RC_IN[ASTM],RC_IN[BLOCK]=P59,RC_IN[BLOCK LOC]=P58),FILTER(RC_IN[WT],RC_IN[BLOCK]=P59,RC_IN[BLOCK LOC]=P58))/SUM(FILTER(RC_IN[WT],RC_IN[BLOCK]=P59,RC_IN[BLOCK LOC]=P58)),"""")
"),0.5788905244601145)</f>
        <v>0.5788905245</v>
      </c>
      <c r="Q61" s="35">
        <f>IFERROR(__xludf.DUMMYFUNCTION("IFERROR(SUMPRODUCT(FILTER(RC_IN[ASTM],RC_IN[BLOCK]=Q59,RC_IN[BLOCK LOC]=Q58),FILTER(RC_IN[WT],RC_IN[BLOCK]=Q59,RC_IN[BLOCK LOC]=Q58))/SUM(FILTER(RC_IN[WT],RC_IN[BLOCK]=Q59,RC_IN[BLOCK LOC]=Q58)),"""")
"),0.5757559381128787)</f>
        <v>0.5757559381</v>
      </c>
      <c r="R61" s="35" t="str">
        <f>IFERROR(__xludf.DUMMYFUNCTION("IFERROR(SUMPRODUCT(FILTER(RC_IN[ASTM],RC_IN[BLOCK]=R59,RC_IN[BLOCK LOC]=R58),FILTER(RC_IN[WT],RC_IN[BLOCK]=R59,RC_IN[BLOCK LOC]=R58))/SUM(FILTER(RC_IN[WT],RC_IN[BLOCK]=R59,RC_IN[BLOCK LOC]=R58)),"""")
"),"  ")</f>
        <v/>
      </c>
      <c r="S61" s="35" t="str">
        <f>IFERROR(__xludf.DUMMYFUNCTION("IFERROR(SUMPRODUCT(FILTER(RC_IN[ASTM],RC_IN[BLOCK]=S59,RC_IN[BLOCK LOC]=S58),FILTER(RC_IN[WT],RC_IN[BLOCK]=S59,RC_IN[BLOCK LOC]=S58))/SUM(FILTER(RC_IN[WT],RC_IN[BLOCK]=S59,RC_IN[BLOCK LOC]=S58)),"""")
"),"  ")</f>
        <v/>
      </c>
      <c r="T61" s="35" t="str">
        <f>IFERROR(__xludf.DUMMYFUNCTION("IFERROR(SUMPRODUCT(FILTER(RC_IN[ASTM],RC_IN[BLOCK]=T59,RC_IN[BLOCK LOC]=T58),FILTER(RC_IN[WT],RC_IN[BLOCK]=T59,RC_IN[BLOCK LOC]=T58))/SUM(FILTER(RC_IN[WT],RC_IN[BLOCK]=T59,RC_IN[BLOCK LOC]=T58)),"""")
"),"  ")</f>
        <v/>
      </c>
      <c r="U61" s="35" t="str">
        <f>IFERROR(__xludf.DUMMYFUNCTION("IFERROR(SUMPRODUCT(FILTER(RC_IN[ASTM],RC_IN[BLOCK]=U59,RC_IN[BLOCK LOC]=U58),FILTER(RC_IN[WT],RC_IN[BLOCK]=U59,RC_IN[BLOCK LOC]=U58))/SUM(FILTER(RC_IN[WT],RC_IN[BLOCK]=U59,RC_IN[BLOCK LOC]=U58)),"""")
"),"  ")</f>
        <v/>
      </c>
      <c r="V61" s="35">
        <f>IFERROR(__xludf.DUMMYFUNCTION("IFERROR(SUMPRODUCT(FILTER(RC_IN[ASTM],RC_IN[BLOCK]=V59,RC_IN[BLOCK LOC]=V58),FILTER(RC_IN[WT],RC_IN[BLOCK]=V59,RC_IN[BLOCK LOC]=V58))/SUM(FILTER(RC_IN[WT],RC_IN[BLOCK]=V59,RC_IN[BLOCK LOC]=V58)),"""")
"),0.5689508953202588)</f>
        <v>0.5689508953</v>
      </c>
      <c r="W61" s="35">
        <f>IFERROR(__xludf.DUMMYFUNCTION("IFERROR(SUMPRODUCT(FILTER(RC_IN[ASTM],RC_IN[BLOCK]=W59,RC_IN[BLOCK LOC]=W58),FILTER(RC_IN[WT],RC_IN[BLOCK]=W59,RC_IN[BLOCK LOC]=W58))/SUM(FILTER(RC_IN[WT],RC_IN[BLOCK]=W59,RC_IN[BLOCK LOC]=W58)),"""")
"),0.5747844472825315)</f>
        <v>0.5747844473</v>
      </c>
      <c r="X61" s="35">
        <f>IFERROR(__xludf.DUMMYFUNCTION("IFERROR(SUMPRODUCT(FILTER(RC_IN[ASTM],RC_IN[BLOCK]=X59,RC_IN[BLOCK LOC]=X58),FILTER(RC_IN[WT],RC_IN[BLOCK]=X59,RC_IN[BLOCK LOC]=X58))/SUM(FILTER(RC_IN[WT],RC_IN[BLOCK]=X59,RC_IN[BLOCK LOC]=X58)),"""")
"),0.5634496142719383)</f>
        <v>0.5634496143</v>
      </c>
      <c r="Y61" s="35">
        <f>IFERROR(__xludf.DUMMYFUNCTION("IFERROR(SUMPRODUCT(FILTER(RC_IN[ASTM],RC_IN[BLOCK]=Y59,RC_IN[BLOCK LOC]=Y58),FILTER(RC_IN[WT],RC_IN[BLOCK]=Y59,RC_IN[BLOCK LOC]=Y58))/SUM(FILTER(RC_IN[WT],RC_IN[BLOCK]=Y59,RC_IN[BLOCK LOC]=Y58)),"""")
"),0.5728376147639803)</f>
        <v>0.5728376148</v>
      </c>
      <c r="Z61" s="35">
        <f>IFERROR(__xludf.DUMMYFUNCTION("IFERROR(SUMPRODUCT(FILTER(RC_IN[ASTM],RC_IN[BLOCK]=Z59,RC_IN[BLOCK LOC]=Z58),FILTER(RC_IN[WT],RC_IN[BLOCK]=Z59,RC_IN[BLOCK LOC]=Z58))/SUM(FILTER(RC_IN[WT],RC_IN[BLOCK]=Z59,RC_IN[BLOCK LOC]=Z58)),"""")
"),0.5693434250057777)</f>
        <v>0.569343425</v>
      </c>
      <c r="AA61" s="36" t="str">
        <f>IFERROR(__xludf.DUMMYFUNCTION("IFERROR(SUMPRODUCT(FILTER(RC_IN[ASTM],RC_IN[BLOCK]=AA59,RC_IN[BLOCK LOC]=AA58),FILTER(RC_IN[WT],RC_IN[BLOCK]=AA59,RC_IN[BLOCK LOC]=AA58))/SUM(FILTER(RC_IN[WT],RC_IN[BLOCK]=AA59,RC_IN[BLOCK LOC]=AA58)),"""")
"),"  ")</f>
        <v/>
      </c>
      <c r="AB61" s="37"/>
      <c r="AC61" s="55"/>
      <c r="AD61" s="37"/>
      <c r="AE61" s="37"/>
      <c r="AF61" s="37"/>
      <c r="AG61" s="37"/>
    </row>
    <row r="62" ht="11.25" customHeight="1">
      <c r="A62" s="42"/>
      <c r="B62" s="17"/>
      <c r="C62" s="32"/>
      <c r="D62" s="11"/>
      <c r="F62" s="26"/>
      <c r="G62" s="27" t="s">
        <v>9</v>
      </c>
      <c r="H62" s="40">
        <f>IFERROR(__xludf.DUMMYFUNCTION("IFERROR(SUMPRODUCT(FILTER(RC_IN[ASH],RC_IN[BLOCK]=H59,RC_IN[BLOCK LOC]=H58),FILTER(RC_IN[WT],RC_IN[BLOCK]=H59,RC_IN[BLOCK LOC]=H58))/SUM(FILTER(RC_IN[WT],RC_IN[BLOCK]=H59,RC_IN[BLOCK LOC]=H58)),"""")
"),4.2)</f>
        <v>4.2</v>
      </c>
      <c r="I62" s="40">
        <f>IFERROR(__xludf.DUMMYFUNCTION("IFERROR(SUMPRODUCT(FILTER(RC_IN[ASH],RC_IN[BLOCK]=I59,RC_IN[BLOCK LOC]=I58),FILTER(RC_IN[WT],RC_IN[BLOCK]=I59,RC_IN[BLOCK LOC]=I58))/SUM(FILTER(RC_IN[WT],RC_IN[BLOCK]=I59,RC_IN[BLOCK LOC]=I58)),"""")
"),3.5466684487894296)</f>
        <v>3.546668449</v>
      </c>
      <c r="J62" s="40">
        <f>IFERROR(__xludf.DUMMYFUNCTION("IFERROR(SUMPRODUCT(FILTER(RC_IN[ASH],RC_IN[BLOCK]=J59,RC_IN[BLOCK LOC]=J58),FILTER(RC_IN[WT],RC_IN[BLOCK]=J59,RC_IN[BLOCK LOC]=J58))/SUM(FILTER(RC_IN[WT],RC_IN[BLOCK]=J59,RC_IN[BLOCK LOC]=J58)),"""")
"),3.966820269777616)</f>
        <v>3.96682027</v>
      </c>
      <c r="K62" s="40">
        <f>IFERROR(__xludf.DUMMYFUNCTION("IFERROR(SUMPRODUCT(FILTER(RC_IN[ASH],RC_IN[BLOCK]=K59,RC_IN[BLOCK LOC]=K58),FILTER(RC_IN[WT],RC_IN[BLOCK]=K59,RC_IN[BLOCK LOC]=K58))/SUM(FILTER(RC_IN[WT],RC_IN[BLOCK]=K59,RC_IN[BLOCK LOC]=K58)),"""")
"),6.933925920639453)</f>
        <v>6.933925921</v>
      </c>
      <c r="L62" s="40">
        <f>IFERROR(__xludf.DUMMYFUNCTION("IFERROR(SUMPRODUCT(FILTER(RC_IN[ASH],RC_IN[BLOCK]=L59,RC_IN[BLOCK LOC]=L58),FILTER(RC_IN[WT],RC_IN[BLOCK]=L59,RC_IN[BLOCK LOC]=L58))/SUM(FILTER(RC_IN[WT],RC_IN[BLOCK]=L59,RC_IN[BLOCK LOC]=L58)),"""")
"),3.3648683160415)</f>
        <v>3.364868316</v>
      </c>
      <c r="M62" s="40" t="str">
        <f>IFERROR(__xludf.DUMMYFUNCTION("IFERROR(SUMPRODUCT(FILTER(RC_IN[ASH],RC_IN[BLOCK]=M59,RC_IN[BLOCK LOC]=M58),FILTER(RC_IN[WT],RC_IN[BLOCK]=M59,RC_IN[BLOCK LOC]=M58))/SUM(FILTER(RC_IN[WT],RC_IN[BLOCK]=M59,RC_IN[BLOCK LOC]=M58)),"""")
"),"  ")</f>
        <v/>
      </c>
      <c r="N62" s="40">
        <f>IFERROR(__xludf.DUMMYFUNCTION("IFERROR(SUMPRODUCT(FILTER(RC_IN[ASH],RC_IN[BLOCK]=N59,RC_IN[BLOCK LOC]=N58),FILTER(RC_IN[WT],RC_IN[BLOCK]=N59,RC_IN[BLOCK LOC]=N58))/SUM(FILTER(RC_IN[WT],RC_IN[BLOCK]=N59,RC_IN[BLOCK LOC]=N58)),"""")
"),3.14388036572137)</f>
        <v>3.143880366</v>
      </c>
      <c r="O62" s="40">
        <f>IFERROR(__xludf.DUMMYFUNCTION("IFERROR(SUMPRODUCT(FILTER(RC_IN[ASH],RC_IN[BLOCK]=O59,RC_IN[BLOCK LOC]=O58),FILTER(RC_IN[WT],RC_IN[BLOCK]=O59,RC_IN[BLOCK LOC]=O58))/SUM(FILTER(RC_IN[WT],RC_IN[BLOCK]=O59,RC_IN[BLOCK LOC]=O58)),"""")
"),3.218754541220308)</f>
        <v>3.218754541</v>
      </c>
      <c r="P62" s="40">
        <f>IFERROR(__xludf.DUMMYFUNCTION("IFERROR(SUMPRODUCT(FILTER(RC_IN[ASH],RC_IN[BLOCK]=P59,RC_IN[BLOCK LOC]=P58),FILTER(RC_IN[WT],RC_IN[BLOCK]=P59,RC_IN[BLOCK LOC]=P58))/SUM(FILTER(RC_IN[WT],RC_IN[BLOCK]=P59,RC_IN[BLOCK LOC]=P58)),"""")
"),3.0987368884971356)</f>
        <v>3.098736888</v>
      </c>
      <c r="Q62" s="40">
        <f>IFERROR(__xludf.DUMMYFUNCTION("IFERROR(SUMPRODUCT(FILTER(RC_IN[ASH],RC_IN[BLOCK]=Q59,RC_IN[BLOCK LOC]=Q58),FILTER(RC_IN[WT],RC_IN[BLOCK]=Q59,RC_IN[BLOCK LOC]=Q58))/SUM(FILTER(RC_IN[WT],RC_IN[BLOCK]=Q59,RC_IN[BLOCK LOC]=Q58)),"""")
"),3.7563390716931795)</f>
        <v>3.756339072</v>
      </c>
      <c r="R62" s="40" t="str">
        <f>IFERROR(__xludf.DUMMYFUNCTION("IFERROR(SUMPRODUCT(FILTER(RC_IN[ASH],RC_IN[BLOCK]=R59,RC_IN[BLOCK LOC]=R58),FILTER(RC_IN[WT],RC_IN[BLOCK]=R59,RC_IN[BLOCK LOC]=R58))/SUM(FILTER(RC_IN[WT],RC_IN[BLOCK]=R59,RC_IN[BLOCK LOC]=R58)),"""")
"),"  ")</f>
        <v/>
      </c>
      <c r="S62" s="40" t="str">
        <f>IFERROR(__xludf.DUMMYFUNCTION("IFERROR(SUMPRODUCT(FILTER(RC_IN[ASH],RC_IN[BLOCK]=S59,RC_IN[BLOCK LOC]=S58),FILTER(RC_IN[WT],RC_IN[BLOCK]=S59,RC_IN[BLOCK LOC]=S58))/SUM(FILTER(RC_IN[WT],RC_IN[BLOCK]=S59,RC_IN[BLOCK LOC]=S58)),"""")
"),"  ")</f>
        <v/>
      </c>
      <c r="T62" s="40" t="str">
        <f>IFERROR(__xludf.DUMMYFUNCTION("IFERROR(SUMPRODUCT(FILTER(RC_IN[ASH],RC_IN[BLOCK]=T59,RC_IN[BLOCK LOC]=T58),FILTER(RC_IN[WT],RC_IN[BLOCK]=T59,RC_IN[BLOCK LOC]=T58))/SUM(FILTER(RC_IN[WT],RC_IN[BLOCK]=T59,RC_IN[BLOCK LOC]=T58)),"""")
"),"  ")</f>
        <v/>
      </c>
      <c r="U62" s="40" t="str">
        <f>IFERROR(__xludf.DUMMYFUNCTION("IFERROR(SUMPRODUCT(FILTER(RC_IN[ASH],RC_IN[BLOCK]=U59,RC_IN[BLOCK LOC]=U58),FILTER(RC_IN[WT],RC_IN[BLOCK]=U59,RC_IN[BLOCK LOC]=U58))/SUM(FILTER(RC_IN[WT],RC_IN[BLOCK]=U59,RC_IN[BLOCK LOC]=U58)),"""")
"),"  ")</f>
        <v/>
      </c>
      <c r="V62" s="40">
        <f>IFERROR(__xludf.DUMMYFUNCTION("IFERROR(SUMPRODUCT(FILTER(RC_IN[ASH],RC_IN[BLOCK]=V59,RC_IN[BLOCK LOC]=V58),FILTER(RC_IN[WT],RC_IN[BLOCK]=V59,RC_IN[BLOCK LOC]=V58))/SUM(FILTER(RC_IN[WT],RC_IN[BLOCK]=V59,RC_IN[BLOCK LOC]=V58)),"""")
"),3.9207578873451374)</f>
        <v>3.920757887</v>
      </c>
      <c r="W62" s="40">
        <f>IFERROR(__xludf.DUMMYFUNCTION("IFERROR(SUMPRODUCT(FILTER(RC_IN[ASH],RC_IN[BLOCK]=W59,RC_IN[BLOCK LOC]=W58),FILTER(RC_IN[WT],RC_IN[BLOCK]=W59,RC_IN[BLOCK LOC]=W58))/SUM(FILTER(RC_IN[WT],RC_IN[BLOCK]=W59,RC_IN[BLOCK LOC]=W58)),"""")
"),2.9581069958847737)</f>
        <v>2.958106996</v>
      </c>
      <c r="X62" s="40">
        <f>IFERROR(__xludf.DUMMYFUNCTION("IFERROR(SUMPRODUCT(FILTER(RC_IN[ASH],RC_IN[BLOCK]=X59,RC_IN[BLOCK LOC]=X58),FILTER(RC_IN[WT],RC_IN[BLOCK]=X59,RC_IN[BLOCK LOC]=X58))/SUM(FILTER(RC_IN[WT],RC_IN[BLOCK]=X59,RC_IN[BLOCK LOC]=X58)),"""")
"),3.6814802314368373)</f>
        <v>3.681480231</v>
      </c>
      <c r="Y62" s="40">
        <f>IFERROR(__xludf.DUMMYFUNCTION("IFERROR(SUMPRODUCT(FILTER(RC_IN[ASH],RC_IN[BLOCK]=Y59,RC_IN[BLOCK LOC]=Y58),FILTER(RC_IN[WT],RC_IN[BLOCK]=Y59,RC_IN[BLOCK LOC]=Y58))/SUM(FILTER(RC_IN[WT],RC_IN[BLOCK]=Y59,RC_IN[BLOCK LOC]=Y58)),"""")
"),3.546250579616062)</f>
        <v>3.54625058</v>
      </c>
      <c r="Z62" s="40">
        <f>IFERROR(__xludf.DUMMYFUNCTION("IFERROR(SUMPRODUCT(FILTER(RC_IN[ASH],RC_IN[BLOCK]=Z59,RC_IN[BLOCK LOC]=Z58),FILTER(RC_IN[WT],RC_IN[BLOCK]=Z59,RC_IN[BLOCK LOC]=Z58))/SUM(FILTER(RC_IN[WT],RC_IN[BLOCK]=Z59,RC_IN[BLOCK LOC]=Z58)),"""")
"),3.323460442184732)</f>
        <v>3.323460442</v>
      </c>
      <c r="AA62" s="41" t="str">
        <f>IFERROR(__xludf.DUMMYFUNCTION("IFERROR(SUMPRODUCT(FILTER(RC_IN[ASH],RC_IN[BLOCK]=AA59,RC_IN[BLOCK LOC]=AA58),FILTER(RC_IN[WT],RC_IN[BLOCK]=AA59,RC_IN[BLOCK LOC]=AA58))/SUM(FILTER(RC_IN[WT],RC_IN[BLOCK]=AA59,RC_IN[BLOCK LOC]=AA58)),"""")
"),"  ")</f>
        <v/>
      </c>
      <c r="AB62" s="15"/>
      <c r="AC62" s="54"/>
      <c r="AD62" s="15"/>
      <c r="AE62" s="15"/>
      <c r="AF62" s="15"/>
      <c r="AG62" s="15"/>
    </row>
    <row r="63" ht="11.25" customHeight="1">
      <c r="A63" s="9"/>
      <c r="B63" s="9"/>
      <c r="C63" s="49"/>
      <c r="D63" s="10"/>
      <c r="F63" s="43"/>
      <c r="G63" s="44" t="s">
        <v>10</v>
      </c>
      <c r="H63" s="45">
        <f>IFERROR(__xludf.DUMMYFUNCTION("IFERROR(SUMPRODUCT(FILTER(RC_IN[MC],RC_IN[BLOCK]=H59,RC_IN[BLOCK LOC]=H58),FILTER(RC_IN[WT],RC_IN[BLOCK]=H59,RC_IN[BLOCK LOC]=H58)) / SUM(FILTER(RC_IN[WT],RC_IN[BLOCK]=H59,RC_IN[BLOCK LOC]=H58)),"""")
"),9.740000000000002)</f>
        <v>9.74</v>
      </c>
      <c r="I63" s="45">
        <f>IFERROR(__xludf.DUMMYFUNCTION("IFERROR(SUMPRODUCT(FILTER(RC_IN[MC],RC_IN[BLOCK]=I59,RC_IN[BLOCK LOC]=I58),FILTER(RC_IN[WT],RC_IN[BLOCK]=I59,RC_IN[BLOCK LOC]=I58)) / SUM(FILTER(RC_IN[WT],RC_IN[BLOCK]=I59,RC_IN[BLOCK LOC]=I58)),"""")
"),10.242029328648895)</f>
        <v>10.24202933</v>
      </c>
      <c r="J63" s="45">
        <f>IFERROR(__xludf.DUMMYFUNCTION("IFERROR(SUMPRODUCT(FILTER(RC_IN[MC],RC_IN[BLOCK]=J59,RC_IN[BLOCK LOC]=J58),FILTER(RC_IN[WT],RC_IN[BLOCK]=J59,RC_IN[BLOCK LOC]=J58)) / SUM(FILTER(RC_IN[WT],RC_IN[BLOCK]=J59,RC_IN[BLOCK LOC]=J58)),"""")
"),10.099866569449507)</f>
        <v>10.09986657</v>
      </c>
      <c r="K63" s="45">
        <f>IFERROR(__xludf.DUMMYFUNCTION("IFERROR(SUMPRODUCT(FILTER(RC_IN[MC],RC_IN[BLOCK]=K59,RC_IN[BLOCK LOC]=K58),FILTER(RC_IN[WT],RC_IN[BLOCK]=K59,RC_IN[BLOCK LOC]=K58)) / SUM(FILTER(RC_IN[WT],RC_IN[BLOCK]=K59,RC_IN[BLOCK LOC]=K58)),"""")
"),12.670805381101914)</f>
        <v>12.67080538</v>
      </c>
      <c r="L63" s="45">
        <f>IFERROR(__xludf.DUMMYFUNCTION("IFERROR(SUMPRODUCT(FILTER(RC_IN[MC],RC_IN[BLOCK]=L59,RC_IN[BLOCK LOC]=L58),FILTER(RC_IN[WT],RC_IN[BLOCK]=L59,RC_IN[BLOCK LOC]=L58)) / SUM(FILTER(RC_IN[WT],RC_IN[BLOCK]=L59,RC_IN[BLOCK LOC]=L58)),"""")
"),9.736995211492419)</f>
        <v>9.736995211</v>
      </c>
      <c r="M63" s="45" t="str">
        <f>IFERROR(__xludf.DUMMYFUNCTION("IFERROR(SUMPRODUCT(FILTER(RC_IN[MC],RC_IN[BLOCK]=M59,RC_IN[BLOCK LOC]=M58),FILTER(RC_IN[WT],RC_IN[BLOCK]=M59,RC_IN[BLOCK LOC]=M58)) / SUM(FILTER(RC_IN[WT],RC_IN[BLOCK]=M59,RC_IN[BLOCK LOC]=M58)),"""")
"),"")</f>
        <v/>
      </c>
      <c r="N63" s="45">
        <f>IFERROR(__xludf.DUMMYFUNCTION("IFERROR(SUMPRODUCT(FILTER(RC_IN[MC],RC_IN[BLOCK]=N59,RC_IN[BLOCK LOC]=N58),FILTER(RC_IN[WT],RC_IN[BLOCK]=N59,RC_IN[BLOCK LOC]=N58)) / SUM(FILTER(RC_IN[WT],RC_IN[BLOCK]=N59,RC_IN[BLOCK LOC]=N58)),"""")
"),10.801312567797924)</f>
        <v>10.80131257</v>
      </c>
      <c r="O63" s="45">
        <f>IFERROR(__xludf.DUMMYFUNCTION("IFERROR(SUMPRODUCT(FILTER(RC_IN[MC],RC_IN[BLOCK]=O59,RC_IN[BLOCK LOC]=O58),FILTER(RC_IN[WT],RC_IN[BLOCK]=O59,RC_IN[BLOCK LOC]=O58)) / SUM(FILTER(RC_IN[WT],RC_IN[BLOCK]=O59,RC_IN[BLOCK LOC]=O58)),"""")
"),12.359668374476014)</f>
        <v>12.35966837</v>
      </c>
      <c r="P63" s="45">
        <f>IFERROR(__xludf.DUMMYFUNCTION("IFERROR(SUMPRODUCT(FILTER(RC_IN[MC],RC_IN[BLOCK]=P59,RC_IN[BLOCK LOC]=P58),FILTER(RC_IN[WT],RC_IN[BLOCK]=P59,RC_IN[BLOCK LOC]=P58)) / SUM(FILTER(RC_IN[WT],RC_IN[BLOCK]=P59,RC_IN[BLOCK LOC]=P58)),"""")
"),11.507978845306303)</f>
        <v>11.50797885</v>
      </c>
      <c r="Q63" s="45">
        <f>IFERROR(__xludf.DUMMYFUNCTION("IFERROR(SUMPRODUCT(FILTER(RC_IN[MC],RC_IN[BLOCK]=Q59,RC_IN[BLOCK LOC]=Q58),FILTER(RC_IN[WT],RC_IN[BLOCK]=Q59,RC_IN[BLOCK LOC]=Q58)) / SUM(FILTER(RC_IN[WT],RC_IN[BLOCK]=Q59,RC_IN[BLOCK LOC]=Q58)),"""")
"),11.703269412362898)</f>
        <v>11.70326941</v>
      </c>
      <c r="R63" s="45" t="str">
        <f>IFERROR(__xludf.DUMMYFUNCTION("IFERROR(SUMPRODUCT(FILTER(RC_IN[MC],RC_IN[BLOCK]=R59,RC_IN[BLOCK LOC]=R58),FILTER(RC_IN[WT],RC_IN[BLOCK]=R59,RC_IN[BLOCK LOC]=R58)) / SUM(FILTER(RC_IN[WT],RC_IN[BLOCK]=R59,RC_IN[BLOCK LOC]=R58)),"""")
"),"")</f>
        <v/>
      </c>
      <c r="S63" s="45" t="str">
        <f>IFERROR(__xludf.DUMMYFUNCTION("IFERROR(SUMPRODUCT(FILTER(RC_IN[MC],RC_IN[BLOCK]=S59,RC_IN[BLOCK LOC]=S58),FILTER(RC_IN[WT],RC_IN[BLOCK]=S59,RC_IN[BLOCK LOC]=S58)) / SUM(FILTER(RC_IN[WT],RC_IN[BLOCK]=S59,RC_IN[BLOCK LOC]=S58)),"""")
"),"")</f>
        <v/>
      </c>
      <c r="T63" s="45" t="str">
        <f>IFERROR(__xludf.DUMMYFUNCTION("IFERROR(SUMPRODUCT(FILTER(RC_IN[MC],RC_IN[BLOCK]=T59,RC_IN[BLOCK LOC]=T58),FILTER(RC_IN[WT],RC_IN[BLOCK]=T59,RC_IN[BLOCK LOC]=T58)) / SUM(FILTER(RC_IN[WT],RC_IN[BLOCK]=T59,RC_IN[BLOCK LOC]=T58)),"""")
"),"")</f>
        <v/>
      </c>
      <c r="U63" s="45" t="str">
        <f>IFERROR(__xludf.DUMMYFUNCTION("IFERROR(SUMPRODUCT(FILTER(RC_IN[MC],RC_IN[BLOCK]=U59,RC_IN[BLOCK LOC]=U58),FILTER(RC_IN[WT],RC_IN[BLOCK]=U59,RC_IN[BLOCK LOC]=U58)) / SUM(FILTER(RC_IN[WT],RC_IN[BLOCK]=U59,RC_IN[BLOCK LOC]=U58)),"""")
"),"")</f>
        <v/>
      </c>
      <c r="V63" s="45">
        <f>IFERROR(__xludf.DUMMYFUNCTION("IFERROR(SUMPRODUCT(FILTER(RC_IN[MC],RC_IN[BLOCK]=V59,RC_IN[BLOCK LOC]=V58),FILTER(RC_IN[WT],RC_IN[BLOCK]=V59,RC_IN[BLOCK LOC]=V58)) / SUM(FILTER(RC_IN[WT],RC_IN[BLOCK]=V59,RC_IN[BLOCK LOC]=V58)),"""")
"),12.768420190266005)</f>
        <v>12.76842019</v>
      </c>
      <c r="W63" s="45">
        <f>IFERROR(__xludf.DUMMYFUNCTION("IFERROR(SUMPRODUCT(FILTER(RC_IN[MC],RC_IN[BLOCK]=W59,RC_IN[BLOCK LOC]=W58),FILTER(RC_IN[WT],RC_IN[BLOCK]=W59,RC_IN[BLOCK LOC]=W58)) / SUM(FILTER(RC_IN[WT],RC_IN[BLOCK]=W59,RC_IN[BLOCK LOC]=W58)),"""")
"),11.164726124592026)</f>
        <v>11.16472612</v>
      </c>
      <c r="X63" s="45">
        <f>IFERROR(__xludf.DUMMYFUNCTION("IFERROR(SUMPRODUCT(FILTER(RC_IN[MC],RC_IN[BLOCK]=X59,RC_IN[BLOCK LOC]=X58),FILTER(RC_IN[WT],RC_IN[BLOCK]=X59,RC_IN[BLOCK LOC]=X58)) / SUM(FILTER(RC_IN[WT],RC_IN[BLOCK]=X59,RC_IN[BLOCK LOC]=X58)),"""")
"),9.473127611700418)</f>
        <v>9.473127612</v>
      </c>
      <c r="Y63" s="45">
        <f>IFERROR(__xludf.DUMMYFUNCTION("IFERROR(SUMPRODUCT(FILTER(RC_IN[MC],RC_IN[BLOCK]=Y59,RC_IN[BLOCK LOC]=Y58),FILTER(RC_IN[WT],RC_IN[BLOCK]=Y59,RC_IN[BLOCK LOC]=Y58)) / SUM(FILTER(RC_IN[WT],RC_IN[BLOCK]=Y59,RC_IN[BLOCK LOC]=Y58)),"""")
"),9.051922470555503)</f>
        <v>9.051922471</v>
      </c>
      <c r="Z63" s="45">
        <f>IFERROR(__xludf.DUMMYFUNCTION("IFERROR(SUMPRODUCT(FILTER(RC_IN[MC],RC_IN[BLOCK]=Z59,RC_IN[BLOCK LOC]=Z58),FILTER(RC_IN[WT],RC_IN[BLOCK]=Z59,RC_IN[BLOCK LOC]=Z58)) / SUM(FILTER(RC_IN[WT],RC_IN[BLOCK]=Z59,RC_IN[BLOCK LOC]=Z58)),"""")
"),10.32081965950235)</f>
        <v>10.32081966</v>
      </c>
      <c r="AA63" s="46" t="str">
        <f>IFERROR(__xludf.DUMMYFUNCTION("IFERROR(SUMPRODUCT(FILTER(RC_IN[MC],RC_IN[BLOCK]=AA59,RC_IN[BLOCK LOC]=AA58),FILTER(RC_IN[WT],RC_IN[BLOCK]=AA59,RC_IN[BLOCK LOC]=AA58)) / SUM(FILTER(RC_IN[WT],RC_IN[BLOCK]=AA59,RC_IN[BLOCK LOC]=AA58)),"""")
"),"")</f>
        <v/>
      </c>
      <c r="AB63" s="47"/>
      <c r="AC63" s="56"/>
      <c r="AD63" s="47"/>
      <c r="AE63" s="47"/>
      <c r="AF63" s="47"/>
      <c r="AG63" s="47"/>
    </row>
    <row r="64" ht="11.25" customHeight="1">
      <c r="A64" s="9"/>
      <c r="B64" s="9"/>
      <c r="C64" s="49"/>
      <c r="D64" s="10" t="str">
        <f>D52</f>
        <v>D</v>
      </c>
      <c r="F64" s="4"/>
      <c r="G64" s="12" t="s">
        <v>15</v>
      </c>
      <c r="H64" s="13" t="str">
        <f t="shared" ref="H64:AA64" si="17">CONCATENATE($D64,"-",H$1,$G64)</f>
        <v>D-1D</v>
      </c>
      <c r="I64" s="13" t="str">
        <f t="shared" si="17"/>
        <v>D-2D</v>
      </c>
      <c r="J64" s="13" t="str">
        <f t="shared" si="17"/>
        <v>D-3D</v>
      </c>
      <c r="K64" s="13" t="str">
        <f t="shared" si="17"/>
        <v>D-4D</v>
      </c>
      <c r="L64" s="13" t="str">
        <f t="shared" si="17"/>
        <v>D-5D</v>
      </c>
      <c r="M64" s="13" t="str">
        <f t="shared" si="17"/>
        <v>D-6D</v>
      </c>
      <c r="N64" s="13" t="str">
        <f t="shared" si="17"/>
        <v>D-7D</v>
      </c>
      <c r="O64" s="13" t="str">
        <f t="shared" si="17"/>
        <v>D-8D</v>
      </c>
      <c r="P64" s="13" t="str">
        <f t="shared" si="17"/>
        <v>D-9D</v>
      </c>
      <c r="Q64" s="13" t="str">
        <f t="shared" si="17"/>
        <v>D-10D</v>
      </c>
      <c r="R64" s="13" t="str">
        <f t="shared" si="17"/>
        <v>D-11D</v>
      </c>
      <c r="S64" s="13" t="str">
        <f t="shared" si="17"/>
        <v>D-12D</v>
      </c>
      <c r="T64" s="13" t="str">
        <f t="shared" si="17"/>
        <v>D-13D</v>
      </c>
      <c r="U64" s="13" t="str">
        <f t="shared" si="17"/>
        <v>D-14D</v>
      </c>
      <c r="V64" s="13" t="str">
        <f t="shared" si="17"/>
        <v>D-15D</v>
      </c>
      <c r="W64" s="13" t="str">
        <f t="shared" si="17"/>
        <v>D-16D</v>
      </c>
      <c r="X64" s="13" t="str">
        <f t="shared" si="17"/>
        <v>D-17D</v>
      </c>
      <c r="Y64" s="13" t="str">
        <f t="shared" si="17"/>
        <v>D-18D</v>
      </c>
      <c r="Z64" s="13" t="str">
        <f t="shared" si="17"/>
        <v>D-19D</v>
      </c>
      <c r="AA64" s="14" t="str">
        <f t="shared" si="17"/>
        <v>D-20D</v>
      </c>
      <c r="AB64" s="15"/>
      <c r="AC64" s="54"/>
      <c r="AD64" s="15"/>
      <c r="AE64" s="15"/>
      <c r="AF64" s="15"/>
      <c r="AG64" s="15"/>
    </row>
    <row r="65" ht="11.25" customHeight="1">
      <c r="A65" s="42"/>
      <c r="B65" s="17"/>
      <c r="C65" s="32"/>
      <c r="D65" s="11"/>
      <c r="F65" s="19" t="str">
        <f>IF(COUNTIF(G65:Z65,"ERROR")=0,"CLEAR",COUNTIF(G65:Z65,"ERROR")&amp;" ERRORS")
</f>
        <v>CLEAR</v>
      </c>
      <c r="G65" s="20" t="s">
        <v>6</v>
      </c>
      <c r="H65" s="21" t="str">
        <f>IFERROR(__xludf.DUMMYFUNCTION("IFERROR(IF(COUNTA(UNIQUE(FILTER(RC_IN[BLOCK],RC_IN[BLOCK LOC]=H64,RC_IN[STATE]&lt;&gt;""CLOSED"")))&gt;1,""ERROR"",INDEX(UNIQUE(FILTER(RC_IN[BLOCK],RC_IN[BLOCK LOC]=H64,RC_IN[STATE]&lt;&gt;""CLOSED"")),1)),"""")
"),"FEB-26-TNK1")</f>
        <v>FEB-26-TNK1</v>
      </c>
      <c r="I65" s="21" t="str">
        <f>IFERROR(__xludf.DUMMYFUNCTION("IFERROR(IF(COUNTA(UNIQUE(FILTER(RC_IN[BLOCK],RC_IN[BLOCK LOC]=I64,RC_IN[STATE]&lt;&gt;""CLOSED"")))&gt;1,""ERROR"",INDEX(UNIQUE(FILTER(RC_IN[BLOCK],RC_IN[BLOCK LOC]=I64,RC_IN[STATE]&lt;&gt;""CLOSED"")),1)),"""")
"),"MARCH-26-BLK14")</f>
        <v>MARCH-26-BLK14</v>
      </c>
      <c r="J65" s="21" t="str">
        <f>IFERROR(__xludf.DUMMYFUNCTION("IFERROR(IF(COUNTA(UNIQUE(FILTER(RC_IN[BLOCK],RC_IN[BLOCK LOC]=J64,RC_IN[STATE]&lt;&gt;""CLOSED"")))&gt;1,""ERROR"",INDEX(UNIQUE(FILTER(RC_IN[BLOCK],RC_IN[BLOCK LOC]=J64,RC_IN[STATE]&lt;&gt;""CLOSED"")),1)),"""")
"),"MARCH-26-BLK15")</f>
        <v>MARCH-26-BLK15</v>
      </c>
      <c r="K65" s="21" t="str">
        <f>IFERROR(__xludf.DUMMYFUNCTION("IFERROR(IF(COUNTA(UNIQUE(FILTER(RC_IN[BLOCK],RC_IN[BLOCK LOC]=K64,RC_IN[STATE]&lt;&gt;""CLOSED"")))&gt;1,""ERROR"",INDEX(UNIQUE(FILTER(RC_IN[BLOCK],RC_IN[BLOCK LOC]=K64,RC_IN[STATE]&lt;&gt;""CLOSED"")),1)),"""")
"),"FEB-26-BLK20")</f>
        <v>FEB-26-BLK20</v>
      </c>
      <c r="L65" s="21" t="str">
        <f>IFERROR(__xludf.DUMMYFUNCTION("IFERROR(IF(COUNTA(UNIQUE(FILTER(RC_IN[BLOCK],RC_IN[BLOCK LOC]=L64,RC_IN[STATE]&lt;&gt;""CLOSED"")))&gt;1,""ERROR"",INDEX(UNIQUE(FILTER(RC_IN[BLOCK],RC_IN[BLOCK LOC]=L64,RC_IN[STATE]&lt;&gt;""CLOSED"")),1)),"""")
"),"FEB-26-BLK18")</f>
        <v>FEB-26-BLK18</v>
      </c>
      <c r="M65" s="21" t="str">
        <f>IFERROR(__xludf.DUMMYFUNCTION("IFERROR(IF(COUNTA(UNIQUE(FILTER(RC_IN[BLOCK],RC_IN[BLOCK LOC]=M64,RC_IN[STATE]&lt;&gt;""CLOSED"")))&gt;1,""ERROR"",INDEX(UNIQUE(FILTER(RC_IN[BLOCK],RC_IN[BLOCK LOC]=M64,RC_IN[STATE]&lt;&gt;""CLOSED"")),1)),"""")
"),"")</f>
        <v/>
      </c>
      <c r="N65" s="21" t="str">
        <f>IFERROR(__xludf.DUMMYFUNCTION("IFERROR(IF(COUNTA(UNIQUE(FILTER(RC_IN[BLOCK],RC_IN[BLOCK LOC]=N64,RC_IN[STATE]&lt;&gt;""CLOSED"")))&gt;1,""ERROR"",INDEX(UNIQUE(FILTER(RC_IN[BLOCK],RC_IN[BLOCK LOC]=N64,RC_IN[STATE]&lt;&gt;""CLOSED"")),1)),"""")
"),"SEPT-25-BLK4")</f>
        <v>SEPT-25-BLK4</v>
      </c>
      <c r="O65" s="21" t="str">
        <f>IFERROR(__xludf.DUMMYFUNCTION("IFERROR(IF(COUNTA(UNIQUE(FILTER(RC_IN[BLOCK],RC_IN[BLOCK LOC]=O64,RC_IN[STATE]&lt;&gt;""CLOSED"")))&gt;1,""ERROR"",INDEX(UNIQUE(FILTER(RC_IN[BLOCK],RC_IN[BLOCK LOC]=O64,RC_IN[STATE]&lt;&gt;""CLOSED"")),1)),"""")
"),"NOV-25-BLK3")</f>
        <v>NOV-25-BLK3</v>
      </c>
      <c r="P65" s="21" t="str">
        <f>IFERROR(__xludf.DUMMYFUNCTION("IFERROR(IF(COUNTA(UNIQUE(FILTER(RC_IN[BLOCK],RC_IN[BLOCK LOC]=P64,RC_IN[STATE]&lt;&gt;""CLOSED"")))&gt;1,""ERROR"",INDEX(UNIQUE(FILTER(RC_IN[BLOCK],RC_IN[BLOCK LOC]=P64,RC_IN[STATE]&lt;&gt;""CLOSED"")),1)),"""")
"),"OCT-25-BLK1")</f>
        <v>OCT-25-BLK1</v>
      </c>
      <c r="Q65" s="21" t="str">
        <f>IFERROR(__xludf.DUMMYFUNCTION("IFERROR(IF(COUNTA(UNIQUE(FILTER(RC_IN[BLOCK],RC_IN[BLOCK LOC]=Q64,RC_IN[STATE]&lt;&gt;""CLOSED"")))&gt;1,""ERROR"",INDEX(UNIQUE(FILTER(RC_IN[BLOCK],RC_IN[BLOCK LOC]=Q64,RC_IN[STATE]&lt;&gt;""CLOSED"")),1)),"""")
"),"OCT-25-BLK6")</f>
        <v>OCT-25-BLK6</v>
      </c>
      <c r="R65" s="21" t="str">
        <f>IFERROR(__xludf.DUMMYFUNCTION("IFERROR(IF(COUNTA(UNIQUE(FILTER(RC_IN[BLOCK],RC_IN[BLOCK LOC]=R64,RC_IN[STATE]&lt;&gt;""CLOSED"")))&gt;1,""ERROR"",INDEX(UNIQUE(FILTER(RC_IN[BLOCK],RC_IN[BLOCK LOC]=R64,RC_IN[STATE]&lt;&gt;""CLOSED"")),1)),"""")
"),"")</f>
        <v/>
      </c>
      <c r="S65" s="21" t="str">
        <f>IFERROR(__xludf.DUMMYFUNCTION("IFERROR(IF(COUNTA(UNIQUE(FILTER(RC_IN[BLOCK],RC_IN[BLOCK LOC]=S64,RC_IN[STATE]&lt;&gt;""CLOSED"")))&gt;1,""ERROR"",INDEX(UNIQUE(FILTER(RC_IN[BLOCK],RC_IN[BLOCK LOC]=S64,RC_IN[STATE]&lt;&gt;""CLOSED"")),1)),"""")
"),"")</f>
        <v/>
      </c>
      <c r="T65" s="21" t="str">
        <f>IFERROR(__xludf.DUMMYFUNCTION("IFERROR(IF(COUNTA(UNIQUE(FILTER(RC_IN[BLOCK],RC_IN[BLOCK LOC]=T64,RC_IN[STATE]&lt;&gt;""CLOSED"")))&gt;1,""ERROR"",INDEX(UNIQUE(FILTER(RC_IN[BLOCK],RC_IN[BLOCK LOC]=T64,RC_IN[STATE]&lt;&gt;""CLOSED"")),1)),"""")
"),"JULY-26-BLK2")</f>
        <v>JULY-26-BLK2</v>
      </c>
      <c r="U65" s="21" t="str">
        <f>IFERROR(__xludf.DUMMYFUNCTION("IFERROR(IF(COUNTA(UNIQUE(FILTER(RC_IN[BLOCK],RC_IN[BLOCK LOC]=U64,RC_IN[STATE]&lt;&gt;""CLOSED"")))&gt;1,""ERROR"",INDEX(UNIQUE(FILTER(RC_IN[BLOCK],RC_IN[BLOCK LOC]=U64,RC_IN[STATE]&lt;&gt;""CLOSED"")),1)),"""")
"),"")</f>
        <v/>
      </c>
      <c r="V65" s="21" t="str">
        <f>IFERROR(__xludf.DUMMYFUNCTION("IFERROR(IF(COUNTA(UNIQUE(FILTER(RC_IN[BLOCK],RC_IN[BLOCK LOC]=V64,RC_IN[STATE]&lt;&gt;""CLOSED"")))&gt;1,""ERROR"",INDEX(UNIQUE(FILTER(RC_IN[BLOCK],RC_IN[BLOCK LOC]=V64,RC_IN[STATE]&lt;&gt;""CLOSED"")),1)),"""")
"),"")</f>
        <v/>
      </c>
      <c r="W65" s="21" t="str">
        <f>IFERROR(__xludf.DUMMYFUNCTION("IFERROR(IF(COUNTA(UNIQUE(FILTER(RC_IN[BLOCK],RC_IN[BLOCK LOC]=W64,RC_IN[STATE]&lt;&gt;""CLOSED"")))&gt;1,""ERROR"",INDEX(UNIQUE(FILTER(RC_IN[BLOCK],RC_IN[BLOCK LOC]=W64,RC_IN[STATE]&lt;&gt;""CLOSED"")),1)),"""")
"),"SEPT-25-BLK5")</f>
        <v>SEPT-25-BLK5</v>
      </c>
      <c r="X65" s="21" t="str">
        <f>IFERROR(__xludf.DUMMYFUNCTION("IFERROR(IF(COUNTA(UNIQUE(FILTER(RC_IN[BLOCK],RC_IN[BLOCK LOC]=X64,RC_IN[STATE]&lt;&gt;""CLOSED"")))&gt;1,""ERROR"",INDEX(UNIQUE(FILTER(RC_IN[BLOCK],RC_IN[BLOCK LOC]=X64,RC_IN[STATE]&lt;&gt;""CLOSED"")),1)),"""")
"),"MAY-26-BLK3")</f>
        <v>MAY-26-BLK3</v>
      </c>
      <c r="Y65" s="21" t="str">
        <f>IFERROR(__xludf.DUMMYFUNCTION("IFERROR(IF(COUNTA(UNIQUE(FILTER(RC_IN[BLOCK],RC_IN[BLOCK LOC]=Y64,RC_IN[STATE]&lt;&gt;""CLOSED"")))&gt;1,""ERROR"",INDEX(UNIQUE(FILTER(RC_IN[BLOCK],RC_IN[BLOCK LOC]=Y64,RC_IN[STATE]&lt;&gt;""CLOSED"")),1)),"""")
"),"MAY-26-BLK13")</f>
        <v>MAY-26-BLK13</v>
      </c>
      <c r="Z65" s="21" t="str">
        <f>IFERROR(__xludf.DUMMYFUNCTION("IFERROR(IF(COUNTA(UNIQUE(FILTER(RC_IN[BLOCK],RC_IN[BLOCK LOC]=Z64,RC_IN[STATE]&lt;&gt;""CLOSED"")))&gt;1,""ERROR"",INDEX(UNIQUE(FILTER(RC_IN[BLOCK],RC_IN[BLOCK LOC]=Z64,RC_IN[STATE]&lt;&gt;""CLOSED"")),1)),"""")
"),"JUNE-26-BLK8")</f>
        <v>JUNE-26-BLK8</v>
      </c>
      <c r="AA65" s="22" t="str">
        <f>IFERROR(__xludf.DUMMYFUNCTION("IFERROR(IF(COUNTA(UNIQUE(FILTER(RC_IN[BLOCK],RC_IN[BLOCK LOC]=AA64,RC_IN[STATE]&lt;&gt;""CLOSED"")))&gt;1,""ERROR"",INDEX(UNIQUE(FILTER(RC_IN[BLOCK],RC_IN[BLOCK LOC]=AA64,RC_IN[STATE]&lt;&gt;""CLOSED"")),1)),"""")
"),"JUNE-26-BLK6")</f>
        <v>JUNE-26-BLK6</v>
      </c>
      <c r="AB65" s="15"/>
      <c r="AC65" s="54"/>
      <c r="AD65" s="15"/>
      <c r="AE65" s="15"/>
      <c r="AF65" s="15"/>
      <c r="AG65" s="15"/>
    </row>
    <row r="66" ht="11.25" customHeight="1">
      <c r="A66" s="42"/>
      <c r="B66" s="17"/>
      <c r="C66" s="25">
        <f>sum(H66:AA66)</f>
        <v>949351</v>
      </c>
      <c r="D66" s="11"/>
      <c r="F66" s="26"/>
      <c r="G66" s="27" t="s">
        <v>7</v>
      </c>
      <c r="H66" s="28">
        <f>SUMIFS(RC_IN[WT],RC_IN[BLOCK],H65,RC_IN[BLOCK LOC],H64)-SUMIFS(RC_OUT[WT],RC_OUT[BLOCK],H65,RC_OUT[BLOCK LOC],H64)</f>
        <v>60335</v>
      </c>
      <c r="I66" s="28">
        <f>SUMIFS(RC_IN[WT],RC_IN[BLOCK],I65,RC_IN[BLOCK LOC],I64)-SUMIFS(RC_OUT[WT],RC_OUT[BLOCK],I65,RC_OUT[BLOCK LOC],I64)</f>
        <v>70452</v>
      </c>
      <c r="J66" s="28">
        <f>SUMIFS(RC_IN[WT],RC_IN[BLOCK],J65,RC_IN[BLOCK LOC],J64)-SUMIFS(RC_OUT[WT],RC_OUT[BLOCK],J65,RC_OUT[BLOCK LOC],J64)</f>
        <v>68020</v>
      </c>
      <c r="K66" s="28">
        <f>SUMIFS(RC_IN[WT],RC_IN[BLOCK],K65,RC_IN[BLOCK LOC],K64)-SUMIFS(RC_OUT[WT],RC_OUT[BLOCK],K65,RC_OUT[BLOCK LOC],K64)</f>
        <v>75923</v>
      </c>
      <c r="L66" s="28">
        <f>SUMIFS(RC_IN[WT],RC_IN[BLOCK],L65,RC_IN[BLOCK LOC],L64)-SUMIFS(RC_OUT[WT],RC_OUT[BLOCK],L65,RC_OUT[BLOCK LOC],L64)</f>
        <v>71596</v>
      </c>
      <c r="M66" s="28">
        <f>SUMIFS(RC_IN[WT],RC_IN[BLOCK],M65,RC_IN[BLOCK LOC],M64)-SUMIFS(RC_OUT[WT],RC_OUT[BLOCK],M65,RC_OUT[BLOCK LOC],M64)</f>
        <v>0</v>
      </c>
      <c r="N66" s="28">
        <f>SUMIFS(RC_IN[WT],RC_IN[BLOCK],N65,RC_IN[BLOCK LOC],N64)-SUMIFS(RC_OUT[WT],RC_OUT[BLOCK],N65,RC_OUT[BLOCK LOC],N64)</f>
        <v>64640</v>
      </c>
      <c r="O66" s="28">
        <f>SUMIFS(RC_IN[WT],RC_IN[BLOCK],O65,RC_IN[BLOCK LOC],O64)-SUMIFS(RC_OUT[WT],RC_OUT[BLOCK],O65,RC_OUT[BLOCK LOC],O64)</f>
        <v>58885</v>
      </c>
      <c r="P66" s="28">
        <f>SUMIFS(RC_IN[WT],RC_IN[BLOCK],P65,RC_IN[BLOCK LOC],P64)-SUMIFS(RC_OUT[WT],RC_OUT[BLOCK],P65,RC_OUT[BLOCK LOC],P64)</f>
        <v>88206</v>
      </c>
      <c r="Q66" s="28">
        <f>SUMIFS(RC_IN[WT],RC_IN[BLOCK],Q65,RC_IN[BLOCK LOC],Q64)-SUMIFS(RC_OUT[WT],RC_OUT[BLOCK],Q65,RC_OUT[BLOCK LOC],Q64)</f>
        <v>73709</v>
      </c>
      <c r="R66" s="28">
        <f>SUMIFS(RC_IN[WT],RC_IN[BLOCK],R65,RC_IN[BLOCK LOC],R64)-SUMIFS(RC_OUT[WT],RC_OUT[BLOCK],R65,RC_OUT[BLOCK LOC],R64)</f>
        <v>0</v>
      </c>
      <c r="S66" s="28">
        <f>SUMIFS(RC_IN[WT],RC_IN[BLOCK],S65,RC_IN[BLOCK LOC],S64)-SUMIFS(RC_OUT[WT],RC_OUT[BLOCK],S65,RC_OUT[BLOCK LOC],S64)</f>
        <v>0</v>
      </c>
      <c r="T66" s="28">
        <f>SUMIFS(RC_IN[WT],RC_IN[BLOCK],T65,RC_IN[BLOCK LOC],T64)-SUMIFS(RC_OUT[WT],RC_OUT[BLOCK],T65,RC_OUT[BLOCK LOC],T64)</f>
        <v>23930</v>
      </c>
      <c r="U66" s="28">
        <f>SUMIFS(RC_IN[WT],RC_IN[BLOCK],U65,RC_IN[BLOCK LOC],U64)-SUMIFS(RC_OUT[WT],RC_OUT[BLOCK],U65,RC_OUT[BLOCK LOC],U64)</f>
        <v>0</v>
      </c>
      <c r="V66" s="28">
        <f>SUMIFS(RC_IN[WT],RC_IN[BLOCK],V65,RC_IN[BLOCK LOC],V64)-SUMIFS(RC_OUT[WT],RC_OUT[BLOCK],V65,RC_OUT[BLOCK LOC],V64)</f>
        <v>0</v>
      </c>
      <c r="W66" s="28">
        <f>SUMIFS(RC_IN[WT],RC_IN[BLOCK],W65,RC_IN[BLOCK LOC],W64)-SUMIFS(RC_OUT[WT],RC_OUT[BLOCK],W65,RC_OUT[BLOCK LOC],W64)</f>
        <v>63296</v>
      </c>
      <c r="X66" s="28">
        <f>SUMIFS(RC_IN[WT],RC_IN[BLOCK],X65,RC_IN[BLOCK LOC],X64)-SUMIFS(RC_OUT[WT],RC_OUT[BLOCK],X65,RC_OUT[BLOCK LOC],X64)</f>
        <v>62217</v>
      </c>
      <c r="Y66" s="28">
        <f>SUMIFS(RC_IN[WT],RC_IN[BLOCK],Y65,RC_IN[BLOCK LOC],Y64)-SUMIFS(RC_OUT[WT],RC_OUT[BLOCK],Y65,RC_OUT[BLOCK LOC],Y64)</f>
        <v>50600</v>
      </c>
      <c r="Z66" s="28">
        <f>SUMIFS(RC_IN[WT],RC_IN[BLOCK],Z65,RC_IN[BLOCK LOC],Z64)-SUMIFS(RC_OUT[WT],RC_OUT[BLOCK],Z65,RC_OUT[BLOCK LOC],Z64)</f>
        <v>71560</v>
      </c>
      <c r="AA66" s="29">
        <f>SUMIFS(RC_IN[WT],RC_IN[BLOCK],AA65,RC_IN[BLOCK LOC],AA64)-SUMIFS(RC_OUT[WT],RC_OUT[BLOCK],AA65,RC_OUT[BLOCK LOC],AA64)</f>
        <v>45982</v>
      </c>
      <c r="AB66" s="15"/>
      <c r="AC66" s="54"/>
      <c r="AD66" s="15"/>
      <c r="AE66" s="15"/>
      <c r="AF66" s="15"/>
      <c r="AG66" s="15"/>
    </row>
    <row r="67" ht="11.25" customHeight="1">
      <c r="A67" s="42"/>
      <c r="B67" s="17"/>
      <c r="C67" s="32"/>
      <c r="D67" s="11"/>
      <c r="F67" s="33"/>
      <c r="G67" s="34" t="s">
        <v>8</v>
      </c>
      <c r="H67" s="35">
        <f>IFERROR(__xludf.DUMMYFUNCTION("IFERROR(SUMPRODUCT(FILTER(RC_IN[ASTM],RC_IN[BLOCK]=H65,RC_IN[BLOCK LOC]=H64),FILTER(RC_IN[WT],RC_IN[BLOCK]=H65,RC_IN[BLOCK LOC]=H64))/SUM(FILTER(RC_IN[WT],RC_IN[BLOCK]=H65,RC_IN[BLOCK LOC]=H64)),"""")
"),0.5540534515621116)</f>
        <v>0.5540534516</v>
      </c>
      <c r="I67" s="35">
        <f>IFERROR(__xludf.DUMMYFUNCTION("IFERROR(SUMPRODUCT(FILTER(RC_IN[ASTM],RC_IN[BLOCK]=I65,RC_IN[BLOCK LOC]=I64),FILTER(RC_IN[WT],RC_IN[BLOCK]=I65,RC_IN[BLOCK LOC]=I64))/SUM(FILTER(RC_IN[WT],RC_IN[BLOCK]=I65,RC_IN[BLOCK LOC]=I64)),"""")
"),0.5614519105206381)</f>
        <v>0.5614519105</v>
      </c>
      <c r="J67" s="35">
        <f>IFERROR(__xludf.DUMMYFUNCTION("IFERROR(SUMPRODUCT(FILTER(RC_IN[ASTM],RC_IN[BLOCK]=J65,RC_IN[BLOCK LOC]=J64),FILTER(RC_IN[WT],RC_IN[BLOCK]=J65,RC_IN[BLOCK LOC]=J64))/SUM(FILTER(RC_IN[WT],RC_IN[BLOCK]=J65,RC_IN[BLOCK LOC]=J64)),"""")
"),0.5626204792708027)</f>
        <v>0.5626204793</v>
      </c>
      <c r="K67" s="35">
        <f>IFERROR(__xludf.DUMMYFUNCTION("IFERROR(SUMPRODUCT(FILTER(RC_IN[ASTM],RC_IN[BLOCK]=K65,RC_IN[BLOCK LOC]=K64),FILTER(RC_IN[WT],RC_IN[BLOCK]=K65,RC_IN[BLOCK LOC]=K64))/SUM(FILTER(RC_IN[WT],RC_IN[BLOCK]=K65,RC_IN[BLOCK LOC]=K64)),"""")
"),0.5493930429514113)</f>
        <v>0.549393043</v>
      </c>
      <c r="L67" s="35">
        <f>IFERROR(__xludf.DUMMYFUNCTION("IFERROR(SUMPRODUCT(FILTER(RC_IN[ASTM],RC_IN[BLOCK]=L65,RC_IN[BLOCK LOC]=L64),FILTER(RC_IN[WT],RC_IN[BLOCK]=L65,RC_IN[BLOCK LOC]=L64))/SUM(FILTER(RC_IN[WT],RC_IN[BLOCK]=L65,RC_IN[BLOCK LOC]=L64)),"""")
"),0.5450908989329014)</f>
        <v>0.5450908989</v>
      </c>
      <c r="M67" s="35" t="str">
        <f>IFERROR(__xludf.DUMMYFUNCTION("IFERROR(SUMPRODUCT(FILTER(RC_IN[ASTM],RC_IN[BLOCK]=M65,RC_IN[BLOCK LOC]=M64),FILTER(RC_IN[WT],RC_IN[BLOCK]=M65,RC_IN[BLOCK LOC]=M64))/SUM(FILTER(RC_IN[WT],RC_IN[BLOCK]=M65,RC_IN[BLOCK LOC]=M64)),"""")
"),"  ")</f>
        <v/>
      </c>
      <c r="N67" s="35">
        <f>IFERROR(__xludf.DUMMYFUNCTION("IFERROR(SUMPRODUCT(FILTER(RC_IN[ASTM],RC_IN[BLOCK]=N65,RC_IN[BLOCK LOC]=N64),FILTER(RC_IN[WT],RC_IN[BLOCK]=N65,RC_IN[BLOCK LOC]=N64))/SUM(FILTER(RC_IN[WT],RC_IN[BLOCK]=N65,RC_IN[BLOCK LOC]=N64)),"""")
"),0.5787209931930694)</f>
        <v>0.5787209932</v>
      </c>
      <c r="O67" s="35">
        <f>IFERROR(__xludf.DUMMYFUNCTION("IFERROR(SUMPRODUCT(FILTER(RC_IN[ASTM],RC_IN[BLOCK]=O65,RC_IN[BLOCK LOC]=O64),FILTER(RC_IN[WT],RC_IN[BLOCK]=O65,RC_IN[BLOCK LOC]=O64))/SUM(FILTER(RC_IN[WT],RC_IN[BLOCK]=O65,RC_IN[BLOCK LOC]=O64)),"""")
"),0.5735736605247516)</f>
        <v>0.5735736605</v>
      </c>
      <c r="P67" s="35">
        <f>IFERROR(__xludf.DUMMYFUNCTION("IFERROR(SUMPRODUCT(FILTER(RC_IN[ASTM],RC_IN[BLOCK]=P65,RC_IN[BLOCK LOC]=P64),FILTER(RC_IN[WT],RC_IN[BLOCK]=P65,RC_IN[BLOCK LOC]=P64))/SUM(FILTER(RC_IN[WT],RC_IN[BLOCK]=P65,RC_IN[BLOCK LOC]=P64)),"""")
"),0.5762045439085776)</f>
        <v>0.5762045439</v>
      </c>
      <c r="Q67" s="35">
        <f>IFERROR(__xludf.DUMMYFUNCTION("IFERROR(SUMPRODUCT(FILTER(RC_IN[ASTM],RC_IN[BLOCK]=Q65,RC_IN[BLOCK LOC]=Q64),FILTER(RC_IN[WT],RC_IN[BLOCK]=Q65,RC_IN[BLOCK LOC]=Q64))/SUM(FILTER(RC_IN[WT],RC_IN[BLOCK]=Q65,RC_IN[BLOCK LOC]=Q64)),"""")
"),0.577252940617835)</f>
        <v>0.5772529406</v>
      </c>
      <c r="R67" s="35" t="str">
        <f>IFERROR(__xludf.DUMMYFUNCTION("IFERROR(SUMPRODUCT(FILTER(RC_IN[ASTM],RC_IN[BLOCK]=R65,RC_IN[BLOCK LOC]=R64),FILTER(RC_IN[WT],RC_IN[BLOCK]=R65,RC_IN[BLOCK LOC]=R64))/SUM(FILTER(RC_IN[WT],RC_IN[BLOCK]=R65,RC_IN[BLOCK LOC]=R64)),"""")
"),"  ")</f>
        <v/>
      </c>
      <c r="S67" s="35" t="str">
        <f>IFERROR(__xludf.DUMMYFUNCTION("IFERROR(SUMPRODUCT(FILTER(RC_IN[ASTM],RC_IN[BLOCK]=S65,RC_IN[BLOCK LOC]=S64),FILTER(RC_IN[WT],RC_IN[BLOCK]=S65,RC_IN[BLOCK LOC]=S64))/SUM(FILTER(RC_IN[WT],RC_IN[BLOCK]=S65,RC_IN[BLOCK LOC]=S64)),"""")
"),"  ")</f>
        <v/>
      </c>
      <c r="T67" s="35">
        <f>IFERROR(__xludf.DUMMYFUNCTION("IFERROR(SUMPRODUCT(FILTER(RC_IN[ASTM],RC_IN[BLOCK]=T65,RC_IN[BLOCK LOC]=T64),FILTER(RC_IN[WT],RC_IN[BLOCK]=T65,RC_IN[BLOCK LOC]=T64))/SUM(FILTER(RC_IN[WT],RC_IN[BLOCK]=T65,RC_IN[BLOCK LOC]=T64)),"""")
"),0.578)</f>
        <v>0.578</v>
      </c>
      <c r="U67" s="35" t="str">
        <f>IFERROR(__xludf.DUMMYFUNCTION("IFERROR(SUMPRODUCT(FILTER(RC_IN[ASTM],RC_IN[BLOCK]=U65,RC_IN[BLOCK LOC]=U64),FILTER(RC_IN[WT],RC_IN[BLOCK]=U65,RC_IN[BLOCK LOC]=U64))/SUM(FILTER(RC_IN[WT],RC_IN[BLOCK]=U65,RC_IN[BLOCK LOC]=U64)),"""")
"),"  ")</f>
        <v/>
      </c>
      <c r="V67" s="35" t="str">
        <f>IFERROR(__xludf.DUMMYFUNCTION("IFERROR(SUMPRODUCT(FILTER(RC_IN[ASTM],RC_IN[BLOCK]=V65,RC_IN[BLOCK LOC]=V64),FILTER(RC_IN[WT],RC_IN[BLOCK]=V65,RC_IN[BLOCK LOC]=V64))/SUM(FILTER(RC_IN[WT],RC_IN[BLOCK]=V65,RC_IN[BLOCK LOC]=V64)),"""")
"),"  ")</f>
        <v/>
      </c>
      <c r="W67" s="35">
        <f>IFERROR(__xludf.DUMMYFUNCTION("IFERROR(SUMPRODUCT(FILTER(RC_IN[ASTM],RC_IN[BLOCK]=W65,RC_IN[BLOCK LOC]=W64),FILTER(RC_IN[WT],RC_IN[BLOCK]=W65,RC_IN[BLOCK LOC]=W64))/SUM(FILTER(RC_IN[WT],RC_IN[BLOCK]=W65,RC_IN[BLOCK LOC]=W64)),"""")
"),0.579548691860465)</f>
        <v>0.5795486919</v>
      </c>
      <c r="X67" s="35">
        <f>IFERROR(__xludf.DUMMYFUNCTION("IFERROR(SUMPRODUCT(FILTER(RC_IN[ASTM],RC_IN[BLOCK]=X65,RC_IN[BLOCK LOC]=X64),FILTER(RC_IN[WT],RC_IN[BLOCK]=X65,RC_IN[BLOCK LOC]=X64))/SUM(FILTER(RC_IN[WT],RC_IN[BLOCK]=X65,RC_IN[BLOCK LOC]=X64)),"""")
"),0.5550395872510728)</f>
        <v>0.5550395873</v>
      </c>
      <c r="Y67" s="35">
        <f>IFERROR(__xludf.DUMMYFUNCTION("IFERROR(SUMPRODUCT(FILTER(RC_IN[ASTM],RC_IN[BLOCK]=Y65,RC_IN[BLOCK LOC]=Y64),FILTER(RC_IN[WT],RC_IN[BLOCK]=Y65,RC_IN[BLOCK LOC]=Y64))/SUM(FILTER(RC_IN[WT],RC_IN[BLOCK]=Y65,RC_IN[BLOCK LOC]=Y64)),"""")
"),0.568)</f>
        <v>0.568</v>
      </c>
      <c r="Z67" s="35">
        <f>IFERROR(__xludf.DUMMYFUNCTION("IFERROR(SUMPRODUCT(FILTER(RC_IN[ASTM],RC_IN[BLOCK]=Z65,RC_IN[BLOCK LOC]=Z64),FILTER(RC_IN[WT],RC_IN[BLOCK]=Z65,RC_IN[BLOCK LOC]=Z64))/SUM(FILTER(RC_IN[WT],RC_IN[BLOCK]=Z65,RC_IN[BLOCK LOC]=Z64)),"""")
"),0.5642683063163779)</f>
        <v>0.5642683063</v>
      </c>
      <c r="AA67" s="36">
        <f>IFERROR(__xludf.DUMMYFUNCTION("IFERROR(SUMPRODUCT(FILTER(RC_IN[ASTM],RC_IN[BLOCK]=AA65,RC_IN[BLOCK LOC]=AA64),FILTER(RC_IN[WT],RC_IN[BLOCK]=AA65,RC_IN[BLOCK LOC]=AA64))/SUM(FILTER(RC_IN[WT],RC_IN[BLOCK]=AA65,RC_IN[BLOCK LOC]=AA64)),"""")
"),0.5543782349615067)</f>
        <v>0.554378235</v>
      </c>
      <c r="AB67" s="37"/>
      <c r="AC67" s="55"/>
      <c r="AD67" s="37"/>
      <c r="AE67" s="37"/>
      <c r="AF67" s="37"/>
      <c r="AG67" s="37"/>
    </row>
    <row r="68" ht="11.25" customHeight="1">
      <c r="A68" s="42"/>
      <c r="B68" s="17"/>
      <c r="C68" s="32"/>
      <c r="D68" s="11"/>
      <c r="F68" s="26"/>
      <c r="G68" s="27" t="s">
        <v>9</v>
      </c>
      <c r="H68" s="40">
        <f>IFERROR(__xludf.DUMMYFUNCTION("IFERROR(SUMPRODUCT(FILTER(RC_IN[ASH],RC_IN[BLOCK]=H65,RC_IN[BLOCK LOC]=H64),FILTER(RC_IN[WT],RC_IN[BLOCK]=H65,RC_IN[BLOCK LOC]=H64))/SUM(FILTER(RC_IN[WT],RC_IN[BLOCK]=H65,RC_IN[BLOCK LOC]=H64)),"""")
"),4.433343001574542)</f>
        <v>4.433343002</v>
      </c>
      <c r="I68" s="40">
        <f>IFERROR(__xludf.DUMMYFUNCTION("IFERROR(SUMPRODUCT(FILTER(RC_IN[ASH],RC_IN[BLOCK]=I65,RC_IN[BLOCK LOC]=I64),FILTER(RC_IN[WT],RC_IN[BLOCK]=I65,RC_IN[BLOCK LOC]=I64))/SUM(FILTER(RC_IN[WT],RC_IN[BLOCK]=I65,RC_IN[BLOCK LOC]=I64)),"""")
"),6.324239766081871)</f>
        <v>6.324239766</v>
      </c>
      <c r="J68" s="40">
        <f>IFERROR(__xludf.DUMMYFUNCTION("IFERROR(SUMPRODUCT(FILTER(RC_IN[ASH],RC_IN[BLOCK]=J65,RC_IN[BLOCK LOC]=J64),FILTER(RC_IN[WT],RC_IN[BLOCK]=J65,RC_IN[BLOCK LOC]=J64))/SUM(FILTER(RC_IN[WT],RC_IN[BLOCK]=J65,RC_IN[BLOCK LOC]=J64)),"""")
"),3.2202668332843283)</f>
        <v>3.220266833</v>
      </c>
      <c r="K68" s="40">
        <f>IFERROR(__xludf.DUMMYFUNCTION("IFERROR(SUMPRODUCT(FILTER(RC_IN[ASH],RC_IN[BLOCK]=K65,RC_IN[BLOCK LOC]=K64),FILTER(RC_IN[WT],RC_IN[BLOCK]=K65,RC_IN[BLOCK LOC]=K64))/SUM(FILTER(RC_IN[WT],RC_IN[BLOCK]=K65,RC_IN[BLOCK LOC]=K64)),"""")
"),5.777172925200532)</f>
        <v>5.777172925</v>
      </c>
      <c r="L68" s="40">
        <f>IFERROR(__xludf.DUMMYFUNCTION("IFERROR(SUMPRODUCT(FILTER(RC_IN[ASH],RC_IN[BLOCK]=L65,RC_IN[BLOCK LOC]=L64),FILTER(RC_IN[WT],RC_IN[BLOCK]=L65,RC_IN[BLOCK LOC]=L64))/SUM(FILTER(RC_IN[WT],RC_IN[BLOCK]=L65,RC_IN[BLOCK LOC]=L64)),"""")
"),6.365659254706967)</f>
        <v>6.365659255</v>
      </c>
      <c r="M68" s="40" t="str">
        <f>IFERROR(__xludf.DUMMYFUNCTION("IFERROR(SUMPRODUCT(FILTER(RC_IN[ASH],RC_IN[BLOCK]=M65,RC_IN[BLOCK LOC]=M64),FILTER(RC_IN[WT],RC_IN[BLOCK]=M65,RC_IN[BLOCK LOC]=M64))/SUM(FILTER(RC_IN[WT],RC_IN[BLOCK]=M65,RC_IN[BLOCK LOC]=M64)),"""")
"),"  ")</f>
        <v/>
      </c>
      <c r="N68" s="40">
        <f>IFERROR(__xludf.DUMMYFUNCTION("IFERROR(SUMPRODUCT(FILTER(RC_IN[ASH],RC_IN[BLOCK]=N65,RC_IN[BLOCK LOC]=N64),FILTER(RC_IN[WT],RC_IN[BLOCK]=N65,RC_IN[BLOCK LOC]=N64))/SUM(FILTER(RC_IN[WT],RC_IN[BLOCK]=N65,RC_IN[BLOCK LOC]=N64)),"""")
"),2.967131806930693)</f>
        <v>2.967131807</v>
      </c>
      <c r="O68" s="40">
        <f>IFERROR(__xludf.DUMMYFUNCTION("IFERROR(SUMPRODUCT(FILTER(RC_IN[ASH],RC_IN[BLOCK]=O65,RC_IN[BLOCK LOC]=O64),FILTER(RC_IN[WT],RC_IN[BLOCK]=O65,RC_IN[BLOCK LOC]=O64))/SUM(FILTER(RC_IN[WT],RC_IN[BLOCK]=O65,RC_IN[BLOCK LOC]=O64)),"""")
"),2.89617729472701)</f>
        <v>2.896177295</v>
      </c>
      <c r="P68" s="40">
        <f>IFERROR(__xludf.DUMMYFUNCTION("IFERROR(SUMPRODUCT(FILTER(RC_IN[ASH],RC_IN[BLOCK]=P65,RC_IN[BLOCK LOC]=P64),FILTER(RC_IN[WT],RC_IN[BLOCK]=P65,RC_IN[BLOCK LOC]=P64))/SUM(FILTER(RC_IN[WT],RC_IN[BLOCK]=P65,RC_IN[BLOCK LOC]=P64)),"""")
"),3.683900414937759)</f>
        <v>3.683900415</v>
      </c>
      <c r="Q68" s="40">
        <f>IFERROR(__xludf.DUMMYFUNCTION("IFERROR(SUMPRODUCT(FILTER(RC_IN[ASH],RC_IN[BLOCK]=Q65,RC_IN[BLOCK LOC]=Q64),FILTER(RC_IN[WT],RC_IN[BLOCK]=Q65,RC_IN[BLOCK LOC]=Q64))/SUM(FILTER(RC_IN[WT],RC_IN[BLOCK]=Q65,RC_IN[BLOCK LOC]=Q64)),"""")
"),3.7799449185309792)</f>
        <v>3.779944919</v>
      </c>
      <c r="R68" s="40" t="str">
        <f>IFERROR(__xludf.DUMMYFUNCTION("IFERROR(SUMPRODUCT(FILTER(RC_IN[ASH],RC_IN[BLOCK]=R65,RC_IN[BLOCK LOC]=R64),FILTER(RC_IN[WT],RC_IN[BLOCK]=R65,RC_IN[BLOCK LOC]=R64))/SUM(FILTER(RC_IN[WT],RC_IN[BLOCK]=R65,RC_IN[BLOCK LOC]=R64)),"""")
"),"  ")</f>
        <v/>
      </c>
      <c r="S68" s="40" t="str">
        <f>IFERROR(__xludf.DUMMYFUNCTION("IFERROR(SUMPRODUCT(FILTER(RC_IN[ASH],RC_IN[BLOCK]=S65,RC_IN[BLOCK LOC]=S64),FILTER(RC_IN[WT],RC_IN[BLOCK]=S65,RC_IN[BLOCK LOC]=S64))/SUM(FILTER(RC_IN[WT],RC_IN[BLOCK]=S65,RC_IN[BLOCK LOC]=S64)),"""")
"),"  ")</f>
        <v/>
      </c>
      <c r="T68" s="40">
        <f>IFERROR(__xludf.DUMMYFUNCTION("IFERROR(SUMPRODUCT(FILTER(RC_IN[ASH],RC_IN[BLOCK]=T65,RC_IN[BLOCK LOC]=T64),FILTER(RC_IN[WT],RC_IN[BLOCK]=T65,RC_IN[BLOCK LOC]=T64))/SUM(FILTER(RC_IN[WT],RC_IN[BLOCK]=T65,RC_IN[BLOCK LOC]=T64)),"""")
"),2.8600000000000003)</f>
        <v>2.86</v>
      </c>
      <c r="U68" s="40" t="str">
        <f>IFERROR(__xludf.DUMMYFUNCTION("IFERROR(SUMPRODUCT(FILTER(RC_IN[ASH],RC_IN[BLOCK]=U65,RC_IN[BLOCK LOC]=U64),FILTER(RC_IN[WT],RC_IN[BLOCK]=U65,RC_IN[BLOCK LOC]=U64))/SUM(FILTER(RC_IN[WT],RC_IN[BLOCK]=U65,RC_IN[BLOCK LOC]=U64)),"""")
"),"  ")</f>
        <v/>
      </c>
      <c r="V68" s="40" t="str">
        <f>IFERROR(__xludf.DUMMYFUNCTION("IFERROR(SUMPRODUCT(FILTER(RC_IN[ASH],RC_IN[BLOCK]=V65,RC_IN[BLOCK LOC]=V64),FILTER(RC_IN[WT],RC_IN[BLOCK]=V65,RC_IN[BLOCK LOC]=V64))/SUM(FILTER(RC_IN[WT],RC_IN[BLOCK]=V65,RC_IN[BLOCK LOC]=V64)),"""")
"),"  ")</f>
        <v/>
      </c>
      <c r="W68" s="40">
        <f>IFERROR(__xludf.DUMMYFUNCTION("IFERROR(SUMPRODUCT(FILTER(RC_IN[ASH],RC_IN[BLOCK]=W65,RC_IN[BLOCK LOC]=W64),FILTER(RC_IN[WT],RC_IN[BLOCK]=W65,RC_IN[BLOCK LOC]=W64))/SUM(FILTER(RC_IN[WT],RC_IN[BLOCK]=W65,RC_IN[BLOCK LOC]=W64)),"""")
"),3.464441196916077)</f>
        <v>3.464441197</v>
      </c>
      <c r="X68" s="40">
        <f>IFERROR(__xludf.DUMMYFUNCTION("IFERROR(SUMPRODUCT(FILTER(RC_IN[ASH],RC_IN[BLOCK]=X65,RC_IN[BLOCK LOC]=X64),FILTER(RC_IN[WT],RC_IN[BLOCK]=X65,RC_IN[BLOCK LOC]=X64))/SUM(FILTER(RC_IN[WT],RC_IN[BLOCK]=X65,RC_IN[BLOCK LOC]=X64)),"""")
"),8.190125849848112)</f>
        <v>8.19012585</v>
      </c>
      <c r="Y68" s="40">
        <f>IFERROR(__xludf.DUMMYFUNCTION("IFERROR(SUMPRODUCT(FILTER(RC_IN[ASH],RC_IN[BLOCK]=Y65,RC_IN[BLOCK LOC]=Y64),FILTER(RC_IN[WT],RC_IN[BLOCK]=Y65,RC_IN[BLOCK LOC]=Y64))/SUM(FILTER(RC_IN[WT],RC_IN[BLOCK]=Y65,RC_IN[BLOCK LOC]=Y64)),"""")
"),3.4266798418972333)</f>
        <v>3.426679842</v>
      </c>
      <c r="Z68" s="40">
        <f>IFERROR(__xludf.DUMMYFUNCTION("IFERROR(SUMPRODUCT(FILTER(RC_IN[ASH],RC_IN[BLOCK]=Z65,RC_IN[BLOCK LOC]=Z64),FILTER(RC_IN[WT],RC_IN[BLOCK]=Z65,RC_IN[BLOCK LOC]=Z64))/SUM(FILTER(RC_IN[WT],RC_IN[BLOCK]=Z65,RC_IN[BLOCK LOC]=Z64)),"""")
"),3.5860851034097263)</f>
        <v>3.586085103</v>
      </c>
      <c r="AA68" s="41">
        <f>IFERROR(__xludf.DUMMYFUNCTION("IFERROR(SUMPRODUCT(FILTER(RC_IN[ASH],RC_IN[BLOCK]=AA65,RC_IN[BLOCK LOC]=AA64),FILTER(RC_IN[WT],RC_IN[BLOCK]=AA65,RC_IN[BLOCK LOC]=AA64))/SUM(FILTER(RC_IN[WT],RC_IN[BLOCK]=AA65,RC_IN[BLOCK LOC]=AA64)),"""")
"),9.605481057805228)</f>
        <v>9.605481058</v>
      </c>
      <c r="AB68" s="15"/>
      <c r="AC68" s="54"/>
      <c r="AD68" s="15"/>
      <c r="AE68" s="15"/>
      <c r="AF68" s="15"/>
      <c r="AG68" s="15"/>
    </row>
    <row r="69" ht="11.25" customHeight="1">
      <c r="A69" s="9"/>
      <c r="B69" s="9"/>
      <c r="C69" s="50">
        <f>sum(C48:C67)</f>
        <v>3127086</v>
      </c>
      <c r="D69" s="10"/>
      <c r="F69" s="43"/>
      <c r="G69" s="44" t="s">
        <v>10</v>
      </c>
      <c r="H69" s="45">
        <f>IFERROR(__xludf.DUMMYFUNCTION("IFERROR(SUMPRODUCT(FILTER(RC_IN[MC],RC_IN[BLOCK]=H65,RC_IN[BLOCK LOC]=H64),FILTER(RC_IN[WT],RC_IN[BLOCK]=H65,RC_IN[BLOCK LOC]=H64)) / SUM(FILTER(RC_IN[WT],RC_IN[BLOCK]=H65,RC_IN[BLOCK LOC]=H64)),"""")
"),10.774596834341594)</f>
        <v>10.77459683</v>
      </c>
      <c r="I69" s="45">
        <f>IFERROR(__xludf.DUMMYFUNCTION("IFERROR(SUMPRODUCT(FILTER(RC_IN[MC],RC_IN[BLOCK]=I65,RC_IN[BLOCK LOC]=I64),FILTER(RC_IN[WT],RC_IN[BLOCK]=I65,RC_IN[BLOCK LOC]=I64)) / SUM(FILTER(RC_IN[WT],RC_IN[BLOCK]=I65,RC_IN[BLOCK LOC]=I64)),"""")
"),11.484255947311643)</f>
        <v>11.48425595</v>
      </c>
      <c r="J69" s="45">
        <f>IFERROR(__xludf.DUMMYFUNCTION("IFERROR(SUMPRODUCT(FILTER(RC_IN[MC],RC_IN[BLOCK]=J65,RC_IN[BLOCK LOC]=J64),FILTER(RC_IN[WT],RC_IN[BLOCK]=J65,RC_IN[BLOCK LOC]=J64)) / SUM(FILTER(RC_IN[WT],RC_IN[BLOCK]=J65,RC_IN[BLOCK LOC]=J64)),"""")
"),10.633607027344897)</f>
        <v>10.63360703</v>
      </c>
      <c r="K69" s="45">
        <f>IFERROR(__xludf.DUMMYFUNCTION("IFERROR(SUMPRODUCT(FILTER(RC_IN[MC],RC_IN[BLOCK]=K65,RC_IN[BLOCK LOC]=K64),FILTER(RC_IN[WT],RC_IN[BLOCK]=K65,RC_IN[BLOCK LOC]=K64)) / SUM(FILTER(RC_IN[WT],RC_IN[BLOCK]=K65,RC_IN[BLOCK LOC]=K64)),"""")
"),12.179541904297777)</f>
        <v>12.1795419</v>
      </c>
      <c r="L69" s="45">
        <f>IFERROR(__xludf.DUMMYFUNCTION("IFERROR(SUMPRODUCT(FILTER(RC_IN[MC],RC_IN[BLOCK]=L65,RC_IN[BLOCK LOC]=L64),FILTER(RC_IN[WT],RC_IN[BLOCK]=L65,RC_IN[BLOCK LOC]=L64)) / SUM(FILTER(RC_IN[WT],RC_IN[BLOCK]=L65,RC_IN[BLOCK LOC]=L64)),"""")
"),12.007284485166767)</f>
        <v>12.00728449</v>
      </c>
      <c r="M69" s="45" t="str">
        <f>IFERROR(__xludf.DUMMYFUNCTION("IFERROR(SUMPRODUCT(FILTER(RC_IN[MC],RC_IN[BLOCK]=M65,RC_IN[BLOCK LOC]=M64),FILTER(RC_IN[WT],RC_IN[BLOCK]=M65,RC_IN[BLOCK LOC]=M64)) / SUM(FILTER(RC_IN[WT],RC_IN[BLOCK]=M65,RC_IN[BLOCK LOC]=M64)),"""")
"),"")</f>
        <v/>
      </c>
      <c r="N69" s="45">
        <f>IFERROR(__xludf.DUMMYFUNCTION("IFERROR(SUMPRODUCT(FILTER(RC_IN[MC],RC_IN[BLOCK]=N65,RC_IN[BLOCK LOC]=N64),FILTER(RC_IN[WT],RC_IN[BLOCK]=N65,RC_IN[BLOCK LOC]=N64)) / SUM(FILTER(RC_IN[WT],RC_IN[BLOCK]=N65,RC_IN[BLOCK LOC]=N64)),"""")
"),11.362896813118812)</f>
        <v>11.36289681</v>
      </c>
      <c r="O69" s="45">
        <f>IFERROR(__xludf.DUMMYFUNCTION("IFERROR(SUMPRODUCT(FILTER(RC_IN[MC],RC_IN[BLOCK]=O65,RC_IN[BLOCK LOC]=O64),FILTER(RC_IN[WT],RC_IN[BLOCK]=O65,RC_IN[BLOCK LOC]=O64)) / SUM(FILTER(RC_IN[WT],RC_IN[BLOCK]=O65,RC_IN[BLOCK LOC]=O64)),"""")
"),11.601727944298208)</f>
        <v>11.60172794</v>
      </c>
      <c r="P69" s="45">
        <f>IFERROR(__xludf.DUMMYFUNCTION("IFERROR(SUMPRODUCT(FILTER(RC_IN[MC],RC_IN[BLOCK]=P65,RC_IN[BLOCK LOC]=P64),FILTER(RC_IN[WT],RC_IN[BLOCK]=P65,RC_IN[BLOCK LOC]=P64)) / SUM(FILTER(RC_IN[WT],RC_IN[BLOCK]=P65,RC_IN[BLOCK LOC]=P64)),"""")
"),12.047365031857241)</f>
        <v>12.04736503</v>
      </c>
      <c r="Q69" s="45">
        <f>IFERROR(__xludf.DUMMYFUNCTION("IFERROR(SUMPRODUCT(FILTER(RC_IN[MC],RC_IN[BLOCK]=Q65,RC_IN[BLOCK LOC]=Q64),FILTER(RC_IN[WT],RC_IN[BLOCK]=Q65,RC_IN[BLOCK LOC]=Q64)) / SUM(FILTER(RC_IN[WT],RC_IN[BLOCK]=Q65,RC_IN[BLOCK LOC]=Q64)),"""")
"),12.413276533394836)</f>
        <v>12.41327653</v>
      </c>
      <c r="R69" s="45" t="str">
        <f>IFERROR(__xludf.DUMMYFUNCTION("IFERROR(SUMPRODUCT(FILTER(RC_IN[MC],RC_IN[BLOCK]=R65,RC_IN[BLOCK LOC]=R64),FILTER(RC_IN[WT],RC_IN[BLOCK]=R65,RC_IN[BLOCK LOC]=R64)) / SUM(FILTER(RC_IN[WT],RC_IN[BLOCK]=R65,RC_IN[BLOCK LOC]=R64)),"""")
"),"")</f>
        <v/>
      </c>
      <c r="S69" s="45" t="str">
        <f>IFERROR(__xludf.DUMMYFUNCTION("IFERROR(SUMPRODUCT(FILTER(RC_IN[MC],RC_IN[BLOCK]=S65,RC_IN[BLOCK LOC]=S64),FILTER(RC_IN[WT],RC_IN[BLOCK]=S65,RC_IN[BLOCK LOC]=S64)) / SUM(FILTER(RC_IN[WT],RC_IN[BLOCK]=S65,RC_IN[BLOCK LOC]=S64)),"""")
"),"")</f>
        <v/>
      </c>
      <c r="T69" s="45">
        <f>IFERROR(__xludf.DUMMYFUNCTION("IFERROR(SUMPRODUCT(FILTER(RC_IN[MC],RC_IN[BLOCK]=T65,RC_IN[BLOCK LOC]=T64),FILTER(RC_IN[WT],RC_IN[BLOCK]=T65,RC_IN[BLOCK LOC]=T64)) / SUM(FILTER(RC_IN[WT],RC_IN[BLOCK]=T65,RC_IN[BLOCK LOC]=T64)),"""")
"),12.27)</f>
        <v>12.27</v>
      </c>
      <c r="U69" s="45" t="str">
        <f>IFERROR(__xludf.DUMMYFUNCTION("IFERROR(SUMPRODUCT(FILTER(RC_IN[MC],RC_IN[BLOCK]=U65,RC_IN[BLOCK LOC]=U64),FILTER(RC_IN[WT],RC_IN[BLOCK]=U65,RC_IN[BLOCK LOC]=U64)) / SUM(FILTER(RC_IN[WT],RC_IN[BLOCK]=U65,RC_IN[BLOCK LOC]=U64)),"""")
"),"")</f>
        <v/>
      </c>
      <c r="V69" s="45" t="str">
        <f>IFERROR(__xludf.DUMMYFUNCTION("IFERROR(SUMPRODUCT(FILTER(RC_IN[MC],RC_IN[BLOCK]=V65,RC_IN[BLOCK LOC]=V64),FILTER(RC_IN[WT],RC_IN[BLOCK]=V65,RC_IN[BLOCK LOC]=V64)) / SUM(FILTER(RC_IN[WT],RC_IN[BLOCK]=V65,RC_IN[BLOCK LOC]=V64)),"""")
"),"")</f>
        <v/>
      </c>
      <c r="W69" s="45">
        <f>IFERROR(__xludf.DUMMYFUNCTION("IFERROR(SUMPRODUCT(FILTER(RC_IN[MC],RC_IN[BLOCK]=W65,RC_IN[BLOCK LOC]=W64),FILTER(RC_IN[WT],RC_IN[BLOCK]=W65,RC_IN[BLOCK LOC]=W64)) / SUM(FILTER(RC_IN[WT],RC_IN[BLOCK]=W65,RC_IN[BLOCK LOC]=W64)),"""")
"),13.102830194641049)</f>
        <v>13.10283019</v>
      </c>
      <c r="X69" s="45">
        <f>IFERROR(__xludf.DUMMYFUNCTION("IFERROR(SUMPRODUCT(FILTER(RC_IN[MC],RC_IN[BLOCK]=X65,RC_IN[BLOCK LOC]=X64),FILTER(RC_IN[WT],RC_IN[BLOCK]=X65,RC_IN[BLOCK LOC]=X64)) / SUM(FILTER(RC_IN[WT],RC_IN[BLOCK]=X65,RC_IN[BLOCK LOC]=X64)),"""")
"),10.02833309224167)</f>
        <v>10.02833309</v>
      </c>
      <c r="Y69" s="45">
        <f>IFERROR(__xludf.DUMMYFUNCTION("IFERROR(SUMPRODUCT(FILTER(RC_IN[MC],RC_IN[BLOCK]=Y65,RC_IN[BLOCK LOC]=Y64),FILTER(RC_IN[WT],RC_IN[BLOCK]=Y65,RC_IN[BLOCK LOC]=Y64)) / SUM(FILTER(RC_IN[WT],RC_IN[BLOCK]=Y65,RC_IN[BLOCK LOC]=Y64)),"""")
"),10.278903162055336)</f>
        <v>10.27890316</v>
      </c>
      <c r="Z69" s="45">
        <f>IFERROR(__xludf.DUMMYFUNCTION("IFERROR(SUMPRODUCT(FILTER(RC_IN[MC],RC_IN[BLOCK]=Z65,RC_IN[BLOCK LOC]=Z64),FILTER(RC_IN[WT],RC_IN[BLOCK]=Z65,RC_IN[BLOCK LOC]=Z64)) / SUM(FILTER(RC_IN[WT],RC_IN[BLOCK]=Z65,RC_IN[BLOCK LOC]=Z64)),"""")
"),9.359645053102293)</f>
        <v>9.359645053</v>
      </c>
      <c r="AA69" s="46">
        <f>IFERROR(__xludf.DUMMYFUNCTION("IFERROR(SUMPRODUCT(FILTER(RC_IN[MC],RC_IN[BLOCK]=AA65,RC_IN[BLOCK LOC]=AA64),FILTER(RC_IN[WT],RC_IN[BLOCK]=AA65,RC_IN[BLOCK LOC]=AA64)) / SUM(FILTER(RC_IN[WT],RC_IN[BLOCK]=AA65,RC_IN[BLOCK LOC]=AA64)),"""")
"),12.166412291766342)</f>
        <v>12.16641229</v>
      </c>
      <c r="AB69" s="47"/>
      <c r="AC69" s="56"/>
      <c r="AD69" s="47"/>
      <c r="AE69" s="47"/>
      <c r="AF69" s="47"/>
      <c r="AG69" s="47"/>
    </row>
    <row r="70" ht="11.25" customHeight="1">
      <c r="A70" s="1"/>
      <c r="B70" s="2"/>
      <c r="C70" s="1"/>
      <c r="D70" s="2"/>
      <c r="E70" s="2"/>
      <c r="F70" s="2"/>
      <c r="G70" s="2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15"/>
      <c r="AC70" s="54"/>
      <c r="AD70" s="15"/>
      <c r="AE70" s="15"/>
      <c r="AF70" s="15"/>
      <c r="AG70" s="15"/>
    </row>
    <row r="71" ht="11.25" customHeight="1">
      <c r="A71" s="1"/>
      <c r="B71" s="2"/>
      <c r="C71" s="1"/>
      <c r="D71" s="2"/>
      <c r="E71" s="2"/>
      <c r="F71" s="2"/>
      <c r="G71" s="2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15"/>
      <c r="AC71" s="54"/>
      <c r="AD71" s="15"/>
      <c r="AE71" s="15"/>
      <c r="AF71" s="15"/>
      <c r="AG71" s="15"/>
    </row>
    <row r="72" ht="11.25" customHeight="1">
      <c r="A72" s="1"/>
      <c r="B72" s="2"/>
      <c r="C72" s="1"/>
      <c r="D72" s="2"/>
      <c r="E72" s="2"/>
      <c r="F72" s="2"/>
      <c r="G72" s="2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15"/>
      <c r="AC72" s="54"/>
      <c r="AD72" s="15"/>
      <c r="AE72" s="15"/>
      <c r="AF72" s="15"/>
      <c r="AG72" s="15"/>
    </row>
    <row r="73" ht="11.25" customHeight="1">
      <c r="A73" s="1"/>
      <c r="B73" s="2"/>
      <c r="C73" s="1"/>
      <c r="D73" s="2"/>
      <c r="E73" s="2"/>
      <c r="F73" s="2"/>
      <c r="G73" s="2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15"/>
      <c r="AC73" s="54"/>
      <c r="AD73" s="15"/>
      <c r="AE73" s="15"/>
      <c r="AF73" s="15"/>
      <c r="AG73" s="15"/>
    </row>
    <row r="74" ht="11.25" customHeight="1">
      <c r="A74" s="1"/>
      <c r="B74" s="2"/>
      <c r="C74" s="1"/>
      <c r="D74" s="2"/>
      <c r="E74" s="2"/>
      <c r="F74" s="2"/>
      <c r="G74" s="2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15"/>
      <c r="AC74" s="54"/>
      <c r="AD74" s="15"/>
      <c r="AE74" s="15"/>
      <c r="AF74" s="15"/>
      <c r="AG74" s="15"/>
    </row>
    <row r="75" ht="11.25" customHeight="1">
      <c r="A75" s="1"/>
      <c r="B75" s="2"/>
      <c r="C75" s="1"/>
      <c r="D75" s="2"/>
      <c r="E75" s="2"/>
      <c r="F75" s="2"/>
      <c r="G75" s="2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15"/>
      <c r="AC75" s="54"/>
      <c r="AD75" s="15"/>
      <c r="AE75" s="15"/>
      <c r="AF75" s="15"/>
      <c r="AG75" s="15"/>
    </row>
    <row r="76" ht="11.25" customHeight="1">
      <c r="A76" s="1"/>
      <c r="B76" s="2"/>
      <c r="C76" s="1"/>
      <c r="D76" s="2"/>
      <c r="E76" s="2"/>
      <c r="F76" s="2"/>
      <c r="G76" s="2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15"/>
      <c r="AC76" s="54"/>
      <c r="AD76" s="15"/>
      <c r="AE76" s="15"/>
      <c r="AF76" s="15"/>
      <c r="AG76" s="15"/>
    </row>
    <row r="77" ht="11.25" customHeight="1">
      <c r="A77" s="1"/>
      <c r="B77" s="2"/>
      <c r="C77" s="1"/>
      <c r="D77" s="2"/>
      <c r="E77" s="2"/>
      <c r="F77" s="2"/>
      <c r="G77" s="2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15"/>
      <c r="AC77" s="54"/>
      <c r="AD77" s="15"/>
      <c r="AE77" s="15"/>
      <c r="AF77" s="15"/>
      <c r="AG77" s="15"/>
    </row>
    <row r="78" ht="11.25" customHeight="1">
      <c r="A78" s="1"/>
      <c r="B78" s="2"/>
      <c r="C78" s="1"/>
      <c r="D78" s="2"/>
      <c r="E78" s="2"/>
      <c r="F78" s="2"/>
      <c r="G78" s="2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15"/>
      <c r="AC78" s="54"/>
      <c r="AD78" s="15"/>
      <c r="AE78" s="15"/>
      <c r="AF78" s="15"/>
      <c r="AG78" s="15"/>
    </row>
    <row r="79" ht="11.25" customHeight="1">
      <c r="A79" s="1"/>
      <c r="B79" s="2"/>
      <c r="C79" s="1"/>
      <c r="D79" s="2"/>
      <c r="E79" s="2"/>
      <c r="F79" s="2"/>
      <c r="G79" s="2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15"/>
      <c r="AC79" s="54"/>
      <c r="AD79" s="15"/>
      <c r="AE79" s="15"/>
      <c r="AF79" s="15"/>
      <c r="AG79" s="15"/>
    </row>
    <row r="80" ht="11.25" customHeight="1">
      <c r="A80" s="1"/>
      <c r="B80" s="2"/>
      <c r="C80" s="1"/>
      <c r="D80" s="2"/>
      <c r="E80" s="2"/>
      <c r="F80" s="2"/>
      <c r="G80" s="2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15"/>
      <c r="AC80" s="54"/>
      <c r="AD80" s="15"/>
      <c r="AE80" s="15"/>
      <c r="AF80" s="15"/>
      <c r="AG80" s="15"/>
    </row>
    <row r="81" ht="11.25" customHeight="1">
      <c r="A81" s="1"/>
      <c r="B81" s="2"/>
      <c r="C81" s="1"/>
      <c r="D81" s="2"/>
      <c r="E81" s="2"/>
      <c r="F81" s="2"/>
      <c r="G81" s="2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15"/>
      <c r="AC81" s="54"/>
      <c r="AD81" s="15"/>
      <c r="AE81" s="15"/>
      <c r="AF81" s="15"/>
      <c r="AG81" s="15"/>
    </row>
    <row r="82" ht="11.25" customHeight="1">
      <c r="A82" s="1"/>
      <c r="B82" s="2"/>
      <c r="C82" s="1"/>
      <c r="D82" s="2"/>
      <c r="E82" s="2"/>
      <c r="F82" s="2"/>
      <c r="G82" s="2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15"/>
      <c r="AC82" s="54"/>
      <c r="AD82" s="15"/>
      <c r="AE82" s="15"/>
      <c r="AF82" s="15"/>
      <c r="AG82" s="15"/>
    </row>
    <row r="83" ht="11.25" customHeight="1">
      <c r="A83" s="1"/>
      <c r="B83" s="2"/>
      <c r="C83" s="1"/>
      <c r="D83" s="2"/>
      <c r="E83" s="2"/>
      <c r="F83" s="2"/>
      <c r="G83" s="2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15"/>
      <c r="AC83" s="54"/>
      <c r="AD83" s="15"/>
      <c r="AE83" s="15"/>
      <c r="AF83" s="15"/>
      <c r="AG83" s="15"/>
    </row>
    <row r="84" ht="11.25" customHeight="1">
      <c r="A84" s="1"/>
      <c r="B84" s="2"/>
      <c r="C84" s="1"/>
      <c r="D84" s="2"/>
      <c r="E84" s="2"/>
      <c r="F84" s="2"/>
      <c r="G84" s="2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15"/>
      <c r="AC84" s="54"/>
      <c r="AD84" s="15"/>
      <c r="AE84" s="15"/>
      <c r="AF84" s="15"/>
      <c r="AG84" s="15"/>
    </row>
    <row r="85" ht="11.25" customHeight="1">
      <c r="A85" s="1"/>
      <c r="B85" s="2"/>
      <c r="C85" s="1"/>
      <c r="D85" s="2"/>
      <c r="E85" s="2"/>
      <c r="F85" s="2"/>
      <c r="G85" s="2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15"/>
      <c r="AC85" s="54"/>
      <c r="AD85" s="15"/>
      <c r="AE85" s="15"/>
      <c r="AF85" s="15"/>
      <c r="AG85" s="15"/>
    </row>
    <row r="86" ht="11.25" customHeight="1">
      <c r="A86" s="1"/>
      <c r="B86" s="2"/>
      <c r="C86" s="1"/>
      <c r="D86" s="2"/>
      <c r="E86" s="2"/>
      <c r="F86" s="2"/>
      <c r="G86" s="2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15"/>
      <c r="AC86" s="54"/>
      <c r="AD86" s="15"/>
      <c r="AE86" s="15"/>
      <c r="AF86" s="15"/>
      <c r="AG86" s="15"/>
    </row>
    <row r="87" ht="11.25" customHeight="1">
      <c r="A87" s="1"/>
      <c r="B87" s="2"/>
      <c r="C87" s="1"/>
      <c r="D87" s="2"/>
      <c r="E87" s="2"/>
      <c r="F87" s="2"/>
      <c r="G87" s="2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15"/>
      <c r="AC87" s="54"/>
      <c r="AD87" s="15"/>
      <c r="AE87" s="15"/>
      <c r="AF87" s="15"/>
      <c r="AG87" s="15"/>
    </row>
    <row r="88" ht="11.25" customHeight="1">
      <c r="A88" s="1"/>
      <c r="B88" s="2"/>
      <c r="C88" s="1"/>
      <c r="D88" s="2"/>
      <c r="E88" s="2"/>
      <c r="F88" s="2"/>
      <c r="G88" s="2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15"/>
      <c r="AC88" s="54"/>
      <c r="AD88" s="15"/>
      <c r="AE88" s="15"/>
      <c r="AF88" s="15"/>
      <c r="AG88" s="15"/>
    </row>
    <row r="89" ht="11.25" customHeight="1">
      <c r="A89" s="1"/>
      <c r="B89" s="2"/>
      <c r="C89" s="1"/>
      <c r="D89" s="2"/>
      <c r="E89" s="2"/>
      <c r="F89" s="2"/>
      <c r="G89" s="2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15"/>
      <c r="AC89" s="54"/>
      <c r="AD89" s="15"/>
      <c r="AE89" s="15"/>
      <c r="AF89" s="15"/>
      <c r="AG89" s="15"/>
    </row>
    <row r="90" ht="11.25" customHeight="1">
      <c r="A90" s="1"/>
      <c r="B90" s="2"/>
      <c r="C90" s="1"/>
      <c r="D90" s="2"/>
      <c r="E90" s="2"/>
      <c r="F90" s="2"/>
      <c r="G90" s="2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15"/>
      <c r="AC90" s="54"/>
      <c r="AD90" s="15"/>
      <c r="AE90" s="15"/>
      <c r="AF90" s="15"/>
      <c r="AG90" s="15"/>
    </row>
    <row r="91" ht="11.25" customHeight="1">
      <c r="A91" s="1"/>
      <c r="B91" s="2"/>
      <c r="C91" s="1"/>
      <c r="D91" s="2"/>
      <c r="E91" s="2"/>
      <c r="F91" s="2"/>
      <c r="G91" s="2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15"/>
      <c r="AC91" s="54"/>
      <c r="AD91" s="15"/>
      <c r="AE91" s="15"/>
      <c r="AF91" s="15"/>
      <c r="AG91" s="15"/>
    </row>
    <row r="92" ht="11.25" customHeight="1">
      <c r="A92" s="1"/>
      <c r="B92" s="2"/>
      <c r="C92" s="1"/>
      <c r="D92" s="2"/>
      <c r="E92" s="2"/>
      <c r="F92" s="2"/>
      <c r="G92" s="2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15"/>
      <c r="AC92" s="54"/>
      <c r="AD92" s="15"/>
      <c r="AE92" s="15"/>
      <c r="AF92" s="15"/>
      <c r="AG92" s="15"/>
    </row>
    <row r="93" ht="11.25" customHeight="1">
      <c r="A93" s="1"/>
      <c r="B93" s="2"/>
      <c r="C93" s="1"/>
      <c r="D93" s="2"/>
      <c r="E93" s="2"/>
      <c r="F93" s="2"/>
      <c r="G93" s="2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15"/>
      <c r="AC93" s="54"/>
      <c r="AD93" s="15"/>
      <c r="AE93" s="15"/>
      <c r="AF93" s="15"/>
      <c r="AG93" s="15"/>
    </row>
    <row r="94" ht="11.25" customHeight="1">
      <c r="A94" s="1"/>
      <c r="B94" s="2"/>
      <c r="C94" s="1"/>
      <c r="D94" s="2"/>
      <c r="E94" s="2"/>
      <c r="F94" s="2"/>
      <c r="G94" s="2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15"/>
      <c r="AC94" s="54"/>
      <c r="AD94" s="15"/>
      <c r="AE94" s="15"/>
      <c r="AF94" s="15"/>
      <c r="AG94" s="15"/>
    </row>
    <row r="95" ht="11.25" customHeight="1">
      <c r="A95" s="1"/>
      <c r="B95" s="2"/>
      <c r="C95" s="1"/>
      <c r="D95" s="2"/>
      <c r="E95" s="2"/>
      <c r="F95" s="2"/>
      <c r="G95" s="2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15"/>
      <c r="AC95" s="54"/>
      <c r="AD95" s="15"/>
      <c r="AE95" s="15"/>
      <c r="AF95" s="15"/>
      <c r="AG95" s="15"/>
    </row>
    <row r="96" ht="11.25" customHeight="1">
      <c r="A96" s="1"/>
      <c r="B96" s="2"/>
      <c r="C96" s="1"/>
      <c r="D96" s="2"/>
      <c r="E96" s="2"/>
      <c r="F96" s="2"/>
      <c r="G96" s="2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15"/>
      <c r="AC96" s="54"/>
      <c r="AD96" s="15"/>
      <c r="AE96" s="15"/>
      <c r="AF96" s="15"/>
      <c r="AG96" s="15"/>
    </row>
    <row r="97" ht="11.25" customHeight="1">
      <c r="A97" s="1"/>
      <c r="B97" s="2"/>
      <c r="C97" s="1"/>
      <c r="D97" s="2"/>
      <c r="E97" s="2"/>
      <c r="F97" s="2"/>
      <c r="G97" s="2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15"/>
      <c r="AC97" s="54"/>
      <c r="AD97" s="15"/>
      <c r="AE97" s="15"/>
      <c r="AF97" s="15"/>
      <c r="AG97" s="15"/>
    </row>
    <row r="98" ht="11.25" customHeight="1">
      <c r="A98" s="1"/>
      <c r="B98" s="2"/>
      <c r="C98" s="1"/>
      <c r="D98" s="2"/>
      <c r="E98" s="2"/>
      <c r="F98" s="2"/>
      <c r="G98" s="2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15"/>
      <c r="AC98" s="54"/>
      <c r="AD98" s="15"/>
      <c r="AE98" s="15"/>
      <c r="AF98" s="15"/>
      <c r="AG98" s="15"/>
    </row>
    <row r="99" ht="11.25" customHeight="1">
      <c r="A99" s="1"/>
      <c r="B99" s="2"/>
      <c r="C99" s="1"/>
      <c r="D99" s="2"/>
      <c r="E99" s="2"/>
      <c r="F99" s="2"/>
      <c r="G99" s="2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15"/>
      <c r="AC99" s="54"/>
      <c r="AD99" s="15"/>
      <c r="AE99" s="15"/>
      <c r="AF99" s="15"/>
      <c r="AG99" s="15"/>
    </row>
    <row r="100" ht="11.25" customHeight="1">
      <c r="A100" s="1"/>
      <c r="B100" s="2"/>
      <c r="C100" s="1"/>
      <c r="D100" s="2"/>
      <c r="E100" s="2"/>
      <c r="F100" s="2"/>
      <c r="G100" s="2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15"/>
      <c r="AC100" s="54"/>
      <c r="AD100" s="15"/>
      <c r="AE100" s="15"/>
      <c r="AF100" s="15"/>
      <c r="AG100" s="15"/>
    </row>
    <row r="101" ht="11.25" customHeight="1">
      <c r="A101" s="1"/>
      <c r="B101" s="2"/>
      <c r="C101" s="1"/>
      <c r="D101" s="2"/>
      <c r="E101" s="2"/>
      <c r="F101" s="2"/>
      <c r="G101" s="2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15"/>
      <c r="AC101" s="54"/>
      <c r="AD101" s="15"/>
      <c r="AE101" s="15"/>
      <c r="AF101" s="15"/>
      <c r="AG101" s="15"/>
    </row>
    <row r="102" ht="11.25" customHeight="1">
      <c r="A102" s="1"/>
      <c r="B102" s="2"/>
      <c r="C102" s="1"/>
      <c r="D102" s="2"/>
      <c r="E102" s="2"/>
      <c r="F102" s="2"/>
      <c r="G102" s="2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15"/>
      <c r="AC102" s="54"/>
      <c r="AD102" s="15"/>
      <c r="AE102" s="15"/>
      <c r="AF102" s="15"/>
      <c r="AG102" s="15"/>
    </row>
    <row r="103" ht="11.25" customHeight="1">
      <c r="A103" s="1"/>
      <c r="B103" s="2"/>
      <c r="C103" s="1"/>
      <c r="D103" s="2"/>
      <c r="E103" s="2"/>
      <c r="F103" s="2"/>
      <c r="G103" s="2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15"/>
      <c r="AC103" s="54"/>
      <c r="AD103" s="15"/>
      <c r="AE103" s="15"/>
      <c r="AF103" s="15"/>
      <c r="AG103" s="15"/>
    </row>
    <row r="104" ht="11.25" customHeight="1">
      <c r="A104" s="1"/>
      <c r="B104" s="2"/>
      <c r="C104" s="1"/>
      <c r="D104" s="2"/>
      <c r="E104" s="2"/>
      <c r="F104" s="2"/>
      <c r="G104" s="2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15"/>
      <c r="AC104" s="54"/>
      <c r="AD104" s="15"/>
      <c r="AE104" s="15"/>
      <c r="AF104" s="15"/>
      <c r="AG104" s="15"/>
    </row>
    <row r="105" ht="11.25" customHeight="1">
      <c r="A105" s="1"/>
      <c r="B105" s="2"/>
      <c r="C105" s="1"/>
      <c r="D105" s="2"/>
      <c r="E105" s="2"/>
      <c r="F105" s="2"/>
      <c r="G105" s="2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15"/>
      <c r="AC105" s="54"/>
      <c r="AD105" s="15"/>
      <c r="AE105" s="15"/>
      <c r="AF105" s="15"/>
      <c r="AG105" s="15"/>
    </row>
    <row r="106" ht="11.25" customHeight="1">
      <c r="A106" s="1"/>
      <c r="B106" s="2"/>
      <c r="C106" s="1"/>
      <c r="D106" s="2"/>
      <c r="E106" s="2"/>
      <c r="F106" s="2"/>
      <c r="G106" s="2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15"/>
      <c r="AC106" s="54"/>
      <c r="AD106" s="15"/>
      <c r="AE106" s="15"/>
      <c r="AF106" s="15"/>
      <c r="AG106" s="15"/>
    </row>
    <row r="107" ht="11.25" customHeight="1">
      <c r="A107" s="1"/>
      <c r="B107" s="2"/>
      <c r="C107" s="1"/>
      <c r="D107" s="2"/>
      <c r="E107" s="2"/>
      <c r="F107" s="2"/>
      <c r="G107" s="2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15"/>
      <c r="AC107" s="54"/>
      <c r="AD107" s="15"/>
      <c r="AE107" s="15"/>
      <c r="AF107" s="15"/>
      <c r="AG107" s="15"/>
    </row>
    <row r="108" ht="11.25" customHeight="1">
      <c r="A108" s="1"/>
      <c r="B108" s="2"/>
      <c r="C108" s="1"/>
      <c r="D108" s="2"/>
      <c r="E108" s="2"/>
      <c r="F108" s="2"/>
      <c r="G108" s="2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15"/>
      <c r="AC108" s="54"/>
      <c r="AD108" s="15"/>
      <c r="AE108" s="15"/>
      <c r="AF108" s="15"/>
      <c r="AG108" s="15"/>
    </row>
    <row r="109" ht="11.25" customHeight="1">
      <c r="A109" s="1"/>
      <c r="B109" s="2"/>
      <c r="C109" s="1"/>
      <c r="D109" s="2"/>
      <c r="E109" s="2"/>
      <c r="F109" s="2"/>
      <c r="G109" s="2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15"/>
      <c r="AC109" s="54"/>
      <c r="AD109" s="15"/>
      <c r="AE109" s="15"/>
      <c r="AF109" s="15"/>
      <c r="AG109" s="15"/>
    </row>
    <row r="110" ht="11.25" customHeight="1">
      <c r="A110" s="1"/>
      <c r="B110" s="2"/>
      <c r="C110" s="1"/>
      <c r="D110" s="2"/>
      <c r="E110" s="2"/>
      <c r="F110" s="2"/>
      <c r="G110" s="2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15"/>
      <c r="AC110" s="54"/>
      <c r="AD110" s="15"/>
      <c r="AE110" s="15"/>
      <c r="AF110" s="15"/>
      <c r="AG110" s="15"/>
    </row>
    <row r="111" ht="11.25" customHeight="1">
      <c r="A111" s="1"/>
      <c r="B111" s="2"/>
      <c r="C111" s="1"/>
      <c r="D111" s="2"/>
      <c r="E111" s="2"/>
      <c r="F111" s="2"/>
      <c r="G111" s="2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15"/>
      <c r="AC111" s="54"/>
      <c r="AD111" s="15"/>
      <c r="AE111" s="15"/>
      <c r="AF111" s="15"/>
      <c r="AG111" s="15"/>
    </row>
    <row r="112" ht="11.25" customHeight="1">
      <c r="A112" s="1"/>
      <c r="B112" s="2"/>
      <c r="C112" s="1"/>
      <c r="D112" s="2"/>
      <c r="E112" s="2"/>
      <c r="F112" s="2"/>
      <c r="G112" s="2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15"/>
      <c r="AC112" s="54"/>
      <c r="AD112" s="15"/>
      <c r="AE112" s="15"/>
      <c r="AF112" s="15"/>
      <c r="AG112" s="15"/>
    </row>
    <row r="113" ht="11.25" customHeight="1">
      <c r="A113" s="1"/>
      <c r="B113" s="2"/>
      <c r="C113" s="1"/>
      <c r="D113" s="2"/>
      <c r="E113" s="2"/>
      <c r="F113" s="2"/>
      <c r="G113" s="2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15"/>
      <c r="AC113" s="54"/>
      <c r="AD113" s="15"/>
      <c r="AE113" s="15"/>
      <c r="AF113" s="15"/>
      <c r="AG113" s="15"/>
    </row>
    <row r="114" ht="11.25" customHeight="1">
      <c r="A114" s="1"/>
      <c r="B114" s="2"/>
      <c r="C114" s="1"/>
      <c r="D114" s="2"/>
      <c r="E114" s="2"/>
      <c r="F114" s="2"/>
      <c r="G114" s="2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15"/>
      <c r="AC114" s="54"/>
      <c r="AD114" s="15"/>
      <c r="AE114" s="15"/>
      <c r="AF114" s="15"/>
      <c r="AG114" s="15"/>
    </row>
    <row r="115" ht="11.25" customHeight="1">
      <c r="A115" s="1"/>
      <c r="B115" s="2"/>
      <c r="C115" s="1"/>
      <c r="D115" s="2"/>
      <c r="E115" s="2"/>
      <c r="F115" s="2"/>
      <c r="G115" s="2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15"/>
      <c r="AC115" s="54"/>
      <c r="AD115" s="15"/>
      <c r="AE115" s="15"/>
      <c r="AF115" s="15"/>
      <c r="AG115" s="15"/>
    </row>
    <row r="116" ht="11.25" customHeight="1">
      <c r="A116" s="1"/>
      <c r="B116" s="2"/>
      <c r="C116" s="1"/>
      <c r="D116" s="2"/>
      <c r="E116" s="2"/>
      <c r="F116" s="2"/>
      <c r="G116" s="2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15"/>
      <c r="AC116" s="54"/>
      <c r="AD116" s="15"/>
      <c r="AE116" s="15"/>
      <c r="AF116" s="15"/>
      <c r="AG116" s="15"/>
    </row>
    <row r="117" ht="11.25" customHeight="1">
      <c r="A117" s="1"/>
      <c r="B117" s="2"/>
      <c r="C117" s="1"/>
      <c r="D117" s="2"/>
      <c r="E117" s="2"/>
      <c r="F117" s="2"/>
      <c r="G117" s="2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15"/>
      <c r="AC117" s="54"/>
      <c r="AD117" s="15"/>
      <c r="AE117" s="15"/>
      <c r="AF117" s="15"/>
      <c r="AG117" s="15"/>
    </row>
    <row r="118" ht="11.25" customHeight="1">
      <c r="A118" s="1"/>
      <c r="B118" s="2"/>
      <c r="C118" s="1"/>
      <c r="D118" s="2"/>
      <c r="E118" s="2"/>
      <c r="F118" s="2"/>
      <c r="G118" s="2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15"/>
      <c r="AC118" s="54"/>
      <c r="AD118" s="15"/>
      <c r="AE118" s="15"/>
      <c r="AF118" s="15"/>
      <c r="AG118" s="15"/>
    </row>
    <row r="119" ht="11.25" customHeight="1">
      <c r="A119" s="1"/>
      <c r="B119" s="2"/>
      <c r="C119" s="1"/>
      <c r="D119" s="2"/>
      <c r="E119" s="2"/>
      <c r="F119" s="2"/>
      <c r="G119" s="2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15"/>
      <c r="AC119" s="54"/>
      <c r="AD119" s="15"/>
      <c r="AE119" s="15"/>
      <c r="AF119" s="15"/>
      <c r="AG119" s="15"/>
    </row>
    <row r="120" ht="11.25" customHeight="1">
      <c r="A120" s="1"/>
      <c r="B120" s="2"/>
      <c r="C120" s="1"/>
      <c r="D120" s="2"/>
      <c r="E120" s="2"/>
      <c r="F120" s="2"/>
      <c r="G120" s="2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15"/>
      <c r="AC120" s="54"/>
      <c r="AD120" s="15"/>
      <c r="AE120" s="15"/>
      <c r="AF120" s="15"/>
      <c r="AG120" s="15"/>
    </row>
    <row r="121" ht="11.25" customHeight="1">
      <c r="A121" s="1"/>
      <c r="B121" s="2"/>
      <c r="C121" s="1"/>
      <c r="D121" s="2"/>
      <c r="E121" s="2"/>
      <c r="F121" s="2"/>
      <c r="G121" s="2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15"/>
      <c r="AC121" s="54"/>
      <c r="AD121" s="15"/>
      <c r="AE121" s="15"/>
      <c r="AF121" s="15"/>
      <c r="AG121" s="15"/>
    </row>
    <row r="122" ht="11.25" customHeight="1">
      <c r="A122" s="1"/>
      <c r="B122" s="2"/>
      <c r="C122" s="1"/>
      <c r="D122" s="2"/>
      <c r="E122" s="2"/>
      <c r="F122" s="2"/>
      <c r="G122" s="2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15"/>
      <c r="AC122" s="54"/>
      <c r="AD122" s="15"/>
      <c r="AE122" s="15"/>
      <c r="AF122" s="15"/>
      <c r="AG122" s="15"/>
    </row>
    <row r="123" ht="11.25" customHeight="1">
      <c r="A123" s="1"/>
      <c r="B123" s="2"/>
      <c r="C123" s="1"/>
      <c r="D123" s="2"/>
      <c r="E123" s="2"/>
      <c r="F123" s="2"/>
      <c r="G123" s="2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15"/>
      <c r="AC123" s="54"/>
      <c r="AD123" s="15"/>
      <c r="AE123" s="15"/>
      <c r="AF123" s="15"/>
      <c r="AG123" s="15"/>
    </row>
    <row r="124" ht="11.25" customHeight="1">
      <c r="A124" s="1"/>
      <c r="B124" s="2"/>
      <c r="C124" s="1"/>
      <c r="D124" s="2"/>
      <c r="E124" s="2"/>
      <c r="F124" s="2"/>
      <c r="G124" s="2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15"/>
      <c r="AC124" s="54"/>
      <c r="AD124" s="15"/>
      <c r="AE124" s="15"/>
      <c r="AF124" s="15"/>
      <c r="AG124" s="15"/>
    </row>
    <row r="125" ht="11.25" customHeight="1">
      <c r="A125" s="1"/>
      <c r="B125" s="2"/>
      <c r="C125" s="1"/>
      <c r="D125" s="2"/>
      <c r="E125" s="2"/>
      <c r="F125" s="2"/>
      <c r="G125" s="2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15"/>
      <c r="AC125" s="54"/>
      <c r="AD125" s="15"/>
      <c r="AE125" s="15"/>
      <c r="AF125" s="15"/>
      <c r="AG125" s="15"/>
    </row>
    <row r="126" ht="11.25" customHeight="1">
      <c r="A126" s="1"/>
      <c r="B126" s="2"/>
      <c r="C126" s="1"/>
      <c r="D126" s="2"/>
      <c r="E126" s="2"/>
      <c r="F126" s="2"/>
      <c r="G126" s="2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15"/>
      <c r="AC126" s="54"/>
      <c r="AD126" s="15"/>
      <c r="AE126" s="15"/>
      <c r="AF126" s="15"/>
      <c r="AG126" s="15"/>
    </row>
    <row r="127" ht="11.25" customHeight="1">
      <c r="A127" s="1"/>
      <c r="B127" s="2"/>
      <c r="C127" s="1"/>
      <c r="D127" s="2"/>
      <c r="E127" s="2"/>
      <c r="F127" s="2"/>
      <c r="G127" s="2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15"/>
      <c r="AC127" s="54"/>
      <c r="AD127" s="15"/>
      <c r="AE127" s="15"/>
      <c r="AF127" s="15"/>
      <c r="AG127" s="15"/>
    </row>
    <row r="128" ht="11.25" customHeight="1">
      <c r="A128" s="1"/>
      <c r="B128" s="2"/>
      <c r="C128" s="1"/>
      <c r="D128" s="2"/>
      <c r="E128" s="2"/>
      <c r="F128" s="2"/>
      <c r="G128" s="2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15"/>
      <c r="AC128" s="54"/>
      <c r="AD128" s="15"/>
      <c r="AE128" s="15"/>
      <c r="AF128" s="15"/>
      <c r="AG128" s="15"/>
    </row>
    <row r="129" ht="11.25" customHeight="1">
      <c r="A129" s="1"/>
      <c r="B129" s="2"/>
      <c r="C129" s="1"/>
      <c r="D129" s="2"/>
      <c r="E129" s="2"/>
      <c r="F129" s="2"/>
      <c r="G129" s="2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15"/>
      <c r="AC129" s="54"/>
      <c r="AD129" s="15"/>
      <c r="AE129" s="15"/>
      <c r="AF129" s="15"/>
      <c r="AG129" s="15"/>
    </row>
    <row r="130" ht="11.25" customHeight="1">
      <c r="A130" s="1"/>
      <c r="B130" s="2"/>
      <c r="C130" s="1"/>
      <c r="D130" s="2"/>
      <c r="E130" s="2"/>
      <c r="F130" s="2"/>
      <c r="G130" s="2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15"/>
      <c r="AC130" s="54"/>
      <c r="AD130" s="15"/>
      <c r="AE130" s="15"/>
      <c r="AF130" s="15"/>
      <c r="AG130" s="15"/>
    </row>
    <row r="131" ht="11.25" customHeight="1">
      <c r="A131" s="1"/>
      <c r="B131" s="2"/>
      <c r="C131" s="1"/>
      <c r="D131" s="2"/>
      <c r="E131" s="2"/>
      <c r="F131" s="2"/>
      <c r="G131" s="2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15"/>
      <c r="AC131" s="54"/>
      <c r="AD131" s="15"/>
      <c r="AE131" s="15"/>
      <c r="AF131" s="15"/>
      <c r="AG131" s="15"/>
    </row>
    <row r="132" ht="11.25" customHeight="1">
      <c r="A132" s="1"/>
      <c r="B132" s="2"/>
      <c r="C132" s="1"/>
      <c r="D132" s="2"/>
      <c r="E132" s="2"/>
      <c r="F132" s="2"/>
      <c r="G132" s="2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15"/>
      <c r="AC132" s="54"/>
      <c r="AD132" s="15"/>
      <c r="AE132" s="15"/>
      <c r="AF132" s="15"/>
      <c r="AG132" s="15"/>
    </row>
    <row r="133" ht="11.25" customHeight="1">
      <c r="A133" s="1"/>
      <c r="B133" s="2"/>
      <c r="C133" s="1"/>
      <c r="D133" s="2"/>
      <c r="E133" s="2"/>
      <c r="F133" s="2"/>
      <c r="G133" s="2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15"/>
      <c r="AC133" s="54"/>
      <c r="AD133" s="15"/>
      <c r="AE133" s="15"/>
      <c r="AF133" s="15"/>
      <c r="AG133" s="15"/>
    </row>
    <row r="134" ht="11.25" customHeight="1">
      <c r="A134" s="1"/>
      <c r="B134" s="2"/>
      <c r="C134" s="1"/>
      <c r="D134" s="2"/>
      <c r="E134" s="2"/>
      <c r="F134" s="2"/>
      <c r="G134" s="2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15"/>
      <c r="AC134" s="54"/>
      <c r="AD134" s="15"/>
      <c r="AE134" s="15"/>
      <c r="AF134" s="15"/>
      <c r="AG134" s="15"/>
    </row>
    <row r="135" ht="11.25" customHeight="1">
      <c r="A135" s="1"/>
      <c r="B135" s="2"/>
      <c r="C135" s="1"/>
      <c r="D135" s="2"/>
      <c r="E135" s="2"/>
      <c r="F135" s="2"/>
      <c r="G135" s="2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15"/>
      <c r="AC135" s="54"/>
      <c r="AD135" s="15"/>
      <c r="AE135" s="15"/>
      <c r="AF135" s="15"/>
      <c r="AG135" s="15"/>
    </row>
    <row r="136" ht="11.25" customHeight="1">
      <c r="A136" s="1"/>
      <c r="B136" s="2"/>
      <c r="C136" s="1"/>
      <c r="D136" s="2"/>
      <c r="E136" s="2"/>
      <c r="F136" s="2"/>
      <c r="G136" s="2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15"/>
      <c r="AC136" s="54"/>
      <c r="AD136" s="15"/>
      <c r="AE136" s="15"/>
      <c r="AF136" s="15"/>
      <c r="AG136" s="15"/>
    </row>
    <row r="137" ht="11.25" customHeight="1">
      <c r="A137" s="1"/>
      <c r="B137" s="2"/>
      <c r="C137" s="1"/>
      <c r="D137" s="2"/>
      <c r="E137" s="2"/>
      <c r="F137" s="2"/>
      <c r="G137" s="2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15"/>
      <c r="AC137" s="54"/>
      <c r="AD137" s="15"/>
      <c r="AE137" s="15"/>
      <c r="AF137" s="15"/>
      <c r="AG137" s="15"/>
    </row>
    <row r="138" ht="11.25" customHeight="1">
      <c r="A138" s="1"/>
      <c r="B138" s="2"/>
      <c r="C138" s="1"/>
      <c r="D138" s="2"/>
      <c r="E138" s="2"/>
      <c r="F138" s="2"/>
      <c r="G138" s="2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15"/>
      <c r="AC138" s="54"/>
      <c r="AD138" s="15"/>
      <c r="AE138" s="15"/>
      <c r="AF138" s="15"/>
      <c r="AG138" s="15"/>
    </row>
    <row r="139" ht="11.25" customHeight="1">
      <c r="A139" s="1"/>
      <c r="B139" s="2"/>
      <c r="C139" s="1"/>
      <c r="D139" s="2"/>
      <c r="E139" s="2"/>
      <c r="F139" s="2"/>
      <c r="G139" s="2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15"/>
      <c r="AC139" s="54"/>
      <c r="AD139" s="15"/>
      <c r="AE139" s="15"/>
      <c r="AF139" s="15"/>
      <c r="AG139" s="15"/>
    </row>
    <row r="140" ht="11.25" customHeight="1">
      <c r="A140" s="1"/>
      <c r="B140" s="2"/>
      <c r="C140" s="1"/>
      <c r="D140" s="2"/>
      <c r="E140" s="2"/>
      <c r="F140" s="2"/>
      <c r="G140" s="2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15"/>
      <c r="AC140" s="54"/>
      <c r="AD140" s="15"/>
      <c r="AE140" s="15"/>
      <c r="AF140" s="15"/>
      <c r="AG140" s="15"/>
    </row>
    <row r="141" ht="11.25" customHeight="1">
      <c r="A141" s="1"/>
      <c r="B141" s="2"/>
      <c r="C141" s="1"/>
      <c r="D141" s="2"/>
      <c r="E141" s="2"/>
      <c r="F141" s="2"/>
      <c r="G141" s="2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15"/>
      <c r="AC141" s="54"/>
      <c r="AD141" s="15"/>
      <c r="AE141" s="15"/>
      <c r="AF141" s="15"/>
      <c r="AG141" s="15"/>
    </row>
    <row r="142" ht="11.25" customHeight="1">
      <c r="A142" s="1"/>
      <c r="B142" s="2"/>
      <c r="C142" s="1"/>
      <c r="D142" s="2"/>
      <c r="E142" s="2"/>
      <c r="F142" s="2"/>
      <c r="G142" s="2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15"/>
      <c r="AC142" s="54"/>
      <c r="AD142" s="15"/>
      <c r="AE142" s="15"/>
      <c r="AF142" s="15"/>
      <c r="AG142" s="15"/>
    </row>
    <row r="143" ht="11.25" customHeight="1">
      <c r="A143" s="1"/>
      <c r="B143" s="2"/>
      <c r="C143" s="1"/>
      <c r="D143" s="2"/>
      <c r="E143" s="2"/>
      <c r="F143" s="2"/>
      <c r="G143" s="2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15"/>
      <c r="AC143" s="54"/>
      <c r="AD143" s="15"/>
      <c r="AE143" s="15"/>
      <c r="AF143" s="15"/>
      <c r="AG143" s="15"/>
    </row>
    <row r="144" ht="11.25" customHeight="1">
      <c r="A144" s="1"/>
      <c r="B144" s="2"/>
      <c r="C144" s="1"/>
      <c r="D144" s="2"/>
      <c r="E144" s="2"/>
      <c r="F144" s="2"/>
      <c r="G144" s="2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15"/>
      <c r="AC144" s="54"/>
      <c r="AD144" s="15"/>
      <c r="AE144" s="15"/>
      <c r="AF144" s="15"/>
      <c r="AG144" s="15"/>
    </row>
    <row r="145" ht="11.25" customHeight="1">
      <c r="A145" s="1"/>
      <c r="B145" s="2"/>
      <c r="C145" s="1"/>
      <c r="D145" s="2"/>
      <c r="E145" s="2"/>
      <c r="F145" s="2"/>
      <c r="G145" s="2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15"/>
      <c r="AC145" s="54"/>
      <c r="AD145" s="15"/>
      <c r="AE145" s="15"/>
      <c r="AF145" s="15"/>
      <c r="AG145" s="15"/>
    </row>
    <row r="146" ht="11.25" customHeight="1">
      <c r="A146" s="1"/>
      <c r="B146" s="2"/>
      <c r="C146" s="1"/>
      <c r="D146" s="2"/>
      <c r="E146" s="2"/>
      <c r="F146" s="2"/>
      <c r="G146" s="2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15"/>
      <c r="AC146" s="54"/>
      <c r="AD146" s="15"/>
      <c r="AE146" s="15"/>
      <c r="AF146" s="15"/>
      <c r="AG146" s="15"/>
    </row>
    <row r="147" ht="11.25" customHeight="1">
      <c r="A147" s="1"/>
      <c r="B147" s="2"/>
      <c r="C147" s="1"/>
      <c r="D147" s="2"/>
      <c r="E147" s="2"/>
      <c r="F147" s="2"/>
      <c r="G147" s="2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15"/>
      <c r="AC147" s="54"/>
      <c r="AD147" s="15"/>
      <c r="AE147" s="15"/>
      <c r="AF147" s="15"/>
      <c r="AG147" s="15"/>
    </row>
    <row r="148" ht="11.25" customHeight="1">
      <c r="A148" s="1"/>
      <c r="B148" s="2"/>
      <c r="C148" s="1"/>
      <c r="D148" s="2"/>
      <c r="E148" s="2"/>
      <c r="F148" s="2"/>
      <c r="G148" s="2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15"/>
      <c r="AC148" s="54"/>
      <c r="AD148" s="15"/>
      <c r="AE148" s="15"/>
      <c r="AF148" s="15"/>
      <c r="AG148" s="15"/>
    </row>
    <row r="149" ht="11.25" customHeight="1">
      <c r="A149" s="1"/>
      <c r="B149" s="2"/>
      <c r="C149" s="1"/>
      <c r="D149" s="2"/>
      <c r="E149" s="2"/>
      <c r="F149" s="2"/>
      <c r="G149" s="2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15"/>
      <c r="AC149" s="54"/>
      <c r="AD149" s="15"/>
      <c r="AE149" s="15"/>
      <c r="AF149" s="15"/>
      <c r="AG149" s="15"/>
    </row>
    <row r="150" ht="11.25" customHeight="1">
      <c r="A150" s="1"/>
      <c r="B150" s="2"/>
      <c r="C150" s="1"/>
      <c r="D150" s="2"/>
      <c r="E150" s="2"/>
      <c r="F150" s="2"/>
      <c r="G150" s="2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15"/>
      <c r="AC150" s="54"/>
      <c r="AD150" s="15"/>
      <c r="AE150" s="15"/>
      <c r="AF150" s="15"/>
      <c r="AG150" s="15"/>
    </row>
    <row r="151" ht="11.25" customHeight="1">
      <c r="A151" s="1"/>
      <c r="B151" s="2"/>
      <c r="C151" s="1"/>
      <c r="D151" s="2"/>
      <c r="E151" s="2"/>
      <c r="F151" s="2"/>
      <c r="G151" s="2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15"/>
      <c r="AC151" s="54"/>
      <c r="AD151" s="15"/>
      <c r="AE151" s="15"/>
      <c r="AF151" s="15"/>
      <c r="AG151" s="15"/>
    </row>
    <row r="152" ht="11.25" customHeight="1">
      <c r="A152" s="1"/>
      <c r="B152" s="2"/>
      <c r="C152" s="1"/>
      <c r="D152" s="2"/>
      <c r="E152" s="2"/>
      <c r="F152" s="2"/>
      <c r="G152" s="2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15"/>
      <c r="AC152" s="54"/>
      <c r="AD152" s="15"/>
      <c r="AE152" s="15"/>
      <c r="AF152" s="15"/>
      <c r="AG152" s="15"/>
    </row>
    <row r="153" ht="11.25" customHeight="1">
      <c r="A153" s="1"/>
      <c r="B153" s="2"/>
      <c r="C153" s="1"/>
      <c r="D153" s="2"/>
      <c r="E153" s="2"/>
      <c r="F153" s="2"/>
      <c r="G153" s="2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15"/>
      <c r="AC153" s="54"/>
      <c r="AD153" s="15"/>
      <c r="AE153" s="15"/>
      <c r="AF153" s="15"/>
      <c r="AG153" s="15"/>
    </row>
    <row r="154" ht="11.25" customHeight="1">
      <c r="A154" s="1"/>
      <c r="B154" s="2"/>
      <c r="C154" s="1"/>
      <c r="D154" s="2"/>
      <c r="E154" s="2"/>
      <c r="F154" s="2"/>
      <c r="G154" s="2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15"/>
      <c r="AC154" s="54"/>
      <c r="AD154" s="15"/>
      <c r="AE154" s="15"/>
      <c r="AF154" s="15"/>
      <c r="AG154" s="15"/>
    </row>
    <row r="155" ht="11.25" customHeight="1">
      <c r="A155" s="1"/>
      <c r="B155" s="2"/>
      <c r="C155" s="1"/>
      <c r="D155" s="2"/>
      <c r="E155" s="2"/>
      <c r="F155" s="2"/>
      <c r="G155" s="2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15"/>
      <c r="AC155" s="54"/>
      <c r="AD155" s="15"/>
      <c r="AE155" s="15"/>
      <c r="AF155" s="15"/>
      <c r="AG155" s="15"/>
    </row>
    <row r="156" ht="11.25" customHeight="1">
      <c r="A156" s="1"/>
      <c r="B156" s="2"/>
      <c r="C156" s="1"/>
      <c r="D156" s="2"/>
      <c r="E156" s="2"/>
      <c r="F156" s="2"/>
      <c r="G156" s="2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15"/>
      <c r="AC156" s="54"/>
      <c r="AD156" s="15"/>
      <c r="AE156" s="15"/>
      <c r="AF156" s="15"/>
      <c r="AG156" s="15"/>
    </row>
    <row r="157" ht="11.25" customHeight="1">
      <c r="A157" s="1"/>
      <c r="B157" s="2"/>
      <c r="C157" s="1"/>
      <c r="D157" s="2"/>
      <c r="E157" s="2"/>
      <c r="F157" s="2"/>
      <c r="G157" s="2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15"/>
      <c r="AC157" s="54"/>
      <c r="AD157" s="15"/>
      <c r="AE157" s="15"/>
      <c r="AF157" s="15"/>
      <c r="AG157" s="15"/>
    </row>
    <row r="158" ht="11.25" customHeight="1">
      <c r="A158" s="1"/>
      <c r="B158" s="2"/>
      <c r="C158" s="1"/>
      <c r="D158" s="2"/>
      <c r="E158" s="2"/>
      <c r="F158" s="2"/>
      <c r="G158" s="2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15"/>
      <c r="AC158" s="54"/>
      <c r="AD158" s="15"/>
      <c r="AE158" s="15"/>
      <c r="AF158" s="15"/>
      <c r="AG158" s="15"/>
    </row>
    <row r="159" ht="11.25" customHeight="1">
      <c r="A159" s="1"/>
      <c r="B159" s="2"/>
      <c r="C159" s="1"/>
      <c r="D159" s="2"/>
      <c r="E159" s="2"/>
      <c r="F159" s="2"/>
      <c r="G159" s="2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15"/>
      <c r="AC159" s="54"/>
      <c r="AD159" s="15"/>
      <c r="AE159" s="15"/>
      <c r="AF159" s="15"/>
      <c r="AG159" s="15"/>
    </row>
    <row r="160" ht="11.25" customHeight="1">
      <c r="A160" s="1"/>
      <c r="B160" s="2"/>
      <c r="C160" s="1"/>
      <c r="D160" s="2"/>
      <c r="E160" s="2"/>
      <c r="F160" s="2"/>
      <c r="G160" s="2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15"/>
      <c r="AC160" s="54"/>
      <c r="AD160" s="15"/>
      <c r="AE160" s="15"/>
      <c r="AF160" s="15"/>
      <c r="AG160" s="15"/>
    </row>
    <row r="161" ht="11.25" customHeight="1">
      <c r="A161" s="1"/>
      <c r="B161" s="2"/>
      <c r="C161" s="1"/>
      <c r="D161" s="2"/>
      <c r="E161" s="2"/>
      <c r="F161" s="2"/>
      <c r="G161" s="2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15"/>
      <c r="AC161" s="54"/>
      <c r="AD161" s="15"/>
      <c r="AE161" s="15"/>
      <c r="AF161" s="15"/>
      <c r="AG161" s="15"/>
    </row>
    <row r="162" ht="11.25" customHeight="1">
      <c r="A162" s="1"/>
      <c r="B162" s="2"/>
      <c r="C162" s="1"/>
      <c r="D162" s="2"/>
      <c r="E162" s="2"/>
      <c r="F162" s="2"/>
      <c r="G162" s="2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15"/>
      <c r="AC162" s="54"/>
      <c r="AD162" s="15"/>
      <c r="AE162" s="15"/>
      <c r="AF162" s="15"/>
      <c r="AG162" s="15"/>
    </row>
    <row r="163" ht="11.25" customHeight="1">
      <c r="A163" s="1"/>
      <c r="B163" s="2"/>
      <c r="C163" s="1"/>
      <c r="D163" s="2"/>
      <c r="E163" s="2"/>
      <c r="F163" s="2"/>
      <c r="G163" s="2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15"/>
      <c r="AC163" s="54"/>
      <c r="AD163" s="15"/>
      <c r="AE163" s="15"/>
      <c r="AF163" s="15"/>
      <c r="AG163" s="15"/>
    </row>
    <row r="164" ht="11.25" customHeight="1">
      <c r="A164" s="1"/>
      <c r="B164" s="2"/>
      <c r="C164" s="1"/>
      <c r="D164" s="2"/>
      <c r="E164" s="2"/>
      <c r="F164" s="2"/>
      <c r="G164" s="2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15"/>
      <c r="AC164" s="54"/>
      <c r="AD164" s="15"/>
      <c r="AE164" s="15"/>
      <c r="AF164" s="15"/>
      <c r="AG164" s="15"/>
    </row>
    <row r="165" ht="11.25" customHeight="1">
      <c r="A165" s="1"/>
      <c r="B165" s="2"/>
      <c r="C165" s="1"/>
      <c r="D165" s="2"/>
      <c r="E165" s="2"/>
      <c r="F165" s="2"/>
      <c r="G165" s="2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15"/>
      <c r="AC165" s="54"/>
      <c r="AD165" s="15"/>
      <c r="AE165" s="15"/>
      <c r="AF165" s="15"/>
      <c r="AG165" s="15"/>
    </row>
    <row r="166" ht="11.25" customHeight="1">
      <c r="A166" s="1"/>
      <c r="B166" s="2"/>
      <c r="C166" s="1"/>
      <c r="D166" s="2"/>
      <c r="E166" s="2"/>
      <c r="F166" s="2"/>
      <c r="G166" s="2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15"/>
      <c r="AC166" s="54"/>
      <c r="AD166" s="15"/>
      <c r="AE166" s="15"/>
      <c r="AF166" s="15"/>
      <c r="AG166" s="15"/>
    </row>
    <row r="167" ht="11.25" customHeight="1">
      <c r="A167" s="1"/>
      <c r="B167" s="2"/>
      <c r="C167" s="1"/>
      <c r="D167" s="2"/>
      <c r="E167" s="2"/>
      <c r="F167" s="2"/>
      <c r="G167" s="2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15"/>
      <c r="AC167" s="54"/>
      <c r="AD167" s="15"/>
      <c r="AE167" s="15"/>
      <c r="AF167" s="15"/>
      <c r="AG167" s="15"/>
    </row>
    <row r="168" ht="11.25" customHeight="1">
      <c r="A168" s="1"/>
      <c r="B168" s="2"/>
      <c r="C168" s="1"/>
      <c r="D168" s="2"/>
      <c r="E168" s="2"/>
      <c r="F168" s="2"/>
      <c r="G168" s="2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15"/>
      <c r="AC168" s="54"/>
      <c r="AD168" s="15"/>
      <c r="AE168" s="15"/>
      <c r="AF168" s="15"/>
      <c r="AG168" s="15"/>
    </row>
    <row r="169" ht="11.25" customHeight="1">
      <c r="A169" s="1"/>
      <c r="B169" s="2"/>
      <c r="C169" s="1"/>
      <c r="D169" s="2"/>
      <c r="E169" s="2"/>
      <c r="F169" s="2"/>
      <c r="G169" s="2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15"/>
      <c r="AC169" s="54"/>
      <c r="AD169" s="15"/>
      <c r="AE169" s="15"/>
      <c r="AF169" s="15"/>
      <c r="AG169" s="15"/>
    </row>
    <row r="170" ht="11.25" customHeight="1">
      <c r="A170" s="1"/>
      <c r="B170" s="2"/>
      <c r="C170" s="1"/>
      <c r="D170" s="2"/>
      <c r="E170" s="2"/>
      <c r="F170" s="2"/>
      <c r="G170" s="2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15"/>
      <c r="AC170" s="54"/>
      <c r="AD170" s="15"/>
      <c r="AE170" s="15"/>
      <c r="AF170" s="15"/>
      <c r="AG170" s="15"/>
    </row>
    <row r="171" ht="11.25" customHeight="1">
      <c r="A171" s="1"/>
      <c r="B171" s="2"/>
      <c r="C171" s="1"/>
      <c r="D171" s="2"/>
      <c r="E171" s="2"/>
      <c r="F171" s="2"/>
      <c r="G171" s="2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15"/>
      <c r="AC171" s="54"/>
      <c r="AD171" s="15"/>
      <c r="AE171" s="15"/>
      <c r="AF171" s="15"/>
      <c r="AG171" s="15"/>
    </row>
    <row r="172" ht="11.25" customHeight="1">
      <c r="A172" s="1"/>
      <c r="B172" s="2"/>
      <c r="C172" s="1"/>
      <c r="D172" s="2"/>
      <c r="E172" s="2"/>
      <c r="F172" s="2"/>
      <c r="G172" s="2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15"/>
      <c r="AC172" s="54"/>
      <c r="AD172" s="15"/>
      <c r="AE172" s="15"/>
      <c r="AF172" s="15"/>
      <c r="AG172" s="15"/>
    </row>
    <row r="173" ht="11.25" customHeight="1">
      <c r="A173" s="1"/>
      <c r="B173" s="2"/>
      <c r="C173" s="1"/>
      <c r="D173" s="2"/>
      <c r="E173" s="2"/>
      <c r="F173" s="2"/>
      <c r="G173" s="2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15"/>
      <c r="AC173" s="54"/>
      <c r="AD173" s="15"/>
      <c r="AE173" s="15"/>
      <c r="AF173" s="15"/>
      <c r="AG173" s="15"/>
    </row>
    <row r="174" ht="11.25" customHeight="1">
      <c r="A174" s="1"/>
      <c r="B174" s="2"/>
      <c r="C174" s="1"/>
      <c r="D174" s="2"/>
      <c r="E174" s="2"/>
      <c r="F174" s="2"/>
      <c r="G174" s="2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15"/>
      <c r="AC174" s="54"/>
      <c r="AD174" s="15"/>
      <c r="AE174" s="15"/>
      <c r="AF174" s="15"/>
      <c r="AG174" s="15"/>
    </row>
    <row r="175" ht="11.25" customHeight="1">
      <c r="A175" s="1"/>
      <c r="B175" s="2"/>
      <c r="C175" s="1"/>
      <c r="D175" s="2"/>
      <c r="E175" s="2"/>
      <c r="F175" s="2"/>
      <c r="G175" s="2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15"/>
      <c r="AC175" s="54"/>
      <c r="AD175" s="15"/>
      <c r="AE175" s="15"/>
      <c r="AF175" s="15"/>
      <c r="AG175" s="15"/>
    </row>
    <row r="176" ht="11.25" customHeight="1">
      <c r="A176" s="1"/>
      <c r="B176" s="2"/>
      <c r="C176" s="1"/>
      <c r="D176" s="2"/>
      <c r="E176" s="2"/>
      <c r="F176" s="2"/>
      <c r="G176" s="2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15"/>
      <c r="AC176" s="54"/>
      <c r="AD176" s="15"/>
      <c r="AE176" s="15"/>
      <c r="AF176" s="15"/>
      <c r="AG176" s="15"/>
    </row>
    <row r="177" ht="11.25" customHeight="1">
      <c r="A177" s="1"/>
      <c r="B177" s="2"/>
      <c r="C177" s="1"/>
      <c r="D177" s="2"/>
      <c r="E177" s="2"/>
      <c r="F177" s="2"/>
      <c r="G177" s="2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15"/>
      <c r="AC177" s="54"/>
      <c r="AD177" s="15"/>
      <c r="AE177" s="15"/>
      <c r="AF177" s="15"/>
      <c r="AG177" s="15"/>
    </row>
    <row r="178" ht="11.25" customHeight="1">
      <c r="A178" s="1"/>
      <c r="B178" s="2"/>
      <c r="C178" s="1"/>
      <c r="D178" s="2"/>
      <c r="E178" s="2"/>
      <c r="F178" s="2"/>
      <c r="G178" s="2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15"/>
      <c r="AC178" s="54"/>
      <c r="AD178" s="15"/>
      <c r="AE178" s="15"/>
      <c r="AF178" s="15"/>
      <c r="AG178" s="15"/>
    </row>
    <row r="179" ht="11.25" customHeight="1">
      <c r="A179" s="1"/>
      <c r="B179" s="2"/>
      <c r="C179" s="1"/>
      <c r="D179" s="2"/>
      <c r="E179" s="2"/>
      <c r="F179" s="2"/>
      <c r="G179" s="2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15"/>
      <c r="AC179" s="54"/>
      <c r="AD179" s="15"/>
      <c r="AE179" s="15"/>
      <c r="AF179" s="15"/>
      <c r="AG179" s="15"/>
    </row>
    <row r="180" ht="11.25" customHeight="1">
      <c r="A180" s="1"/>
      <c r="B180" s="2"/>
      <c r="C180" s="1"/>
      <c r="D180" s="2"/>
      <c r="E180" s="2"/>
      <c r="F180" s="2"/>
      <c r="G180" s="2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15"/>
      <c r="AC180" s="54"/>
      <c r="AD180" s="15"/>
      <c r="AE180" s="15"/>
      <c r="AF180" s="15"/>
      <c r="AG180" s="15"/>
    </row>
    <row r="181" ht="11.25" customHeight="1">
      <c r="A181" s="1"/>
      <c r="B181" s="2"/>
      <c r="C181" s="1"/>
      <c r="D181" s="2"/>
      <c r="E181" s="2"/>
      <c r="F181" s="2"/>
      <c r="G181" s="2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15"/>
      <c r="AC181" s="54"/>
      <c r="AD181" s="15"/>
      <c r="AE181" s="15"/>
      <c r="AF181" s="15"/>
      <c r="AG181" s="15"/>
    </row>
    <row r="182" ht="11.25" customHeight="1">
      <c r="A182" s="1"/>
      <c r="B182" s="2"/>
      <c r="C182" s="1"/>
      <c r="D182" s="2"/>
      <c r="E182" s="2"/>
      <c r="F182" s="2"/>
      <c r="G182" s="2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15"/>
      <c r="AC182" s="54"/>
      <c r="AD182" s="15"/>
      <c r="AE182" s="15"/>
      <c r="AF182" s="15"/>
      <c r="AG182" s="15"/>
    </row>
    <row r="183" ht="11.25" customHeight="1">
      <c r="A183" s="1"/>
      <c r="B183" s="2"/>
      <c r="C183" s="1"/>
      <c r="D183" s="2"/>
      <c r="E183" s="2"/>
      <c r="F183" s="2"/>
      <c r="G183" s="2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15"/>
      <c r="AC183" s="54"/>
      <c r="AD183" s="15"/>
      <c r="AE183" s="15"/>
      <c r="AF183" s="15"/>
      <c r="AG183" s="15"/>
    </row>
    <row r="184" ht="11.25" customHeight="1">
      <c r="A184" s="1"/>
      <c r="B184" s="2"/>
      <c r="C184" s="1"/>
      <c r="D184" s="2"/>
      <c r="E184" s="2"/>
      <c r="F184" s="2"/>
      <c r="G184" s="2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15"/>
      <c r="AC184" s="54"/>
      <c r="AD184" s="15"/>
      <c r="AE184" s="15"/>
      <c r="AF184" s="15"/>
      <c r="AG184" s="15"/>
    </row>
    <row r="185" ht="11.25" customHeight="1">
      <c r="A185" s="1"/>
      <c r="B185" s="2"/>
      <c r="C185" s="1"/>
      <c r="D185" s="2"/>
      <c r="E185" s="2"/>
      <c r="F185" s="2"/>
      <c r="G185" s="2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15"/>
      <c r="AC185" s="54"/>
      <c r="AD185" s="15"/>
      <c r="AE185" s="15"/>
      <c r="AF185" s="15"/>
      <c r="AG185" s="15"/>
    </row>
    <row r="186" ht="11.25" customHeight="1">
      <c r="A186" s="1"/>
      <c r="B186" s="2"/>
      <c r="C186" s="1"/>
      <c r="D186" s="2"/>
      <c r="E186" s="2"/>
      <c r="F186" s="2"/>
      <c r="G186" s="2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15"/>
      <c r="AC186" s="54"/>
      <c r="AD186" s="15"/>
      <c r="AE186" s="15"/>
      <c r="AF186" s="15"/>
      <c r="AG186" s="15"/>
    </row>
    <row r="187" ht="11.25" customHeight="1">
      <c r="A187" s="1"/>
      <c r="B187" s="2"/>
      <c r="C187" s="1"/>
      <c r="D187" s="2"/>
      <c r="E187" s="2"/>
      <c r="F187" s="2"/>
      <c r="G187" s="2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15"/>
      <c r="AC187" s="54"/>
      <c r="AD187" s="15"/>
      <c r="AE187" s="15"/>
      <c r="AF187" s="15"/>
      <c r="AG187" s="15"/>
    </row>
    <row r="188" ht="11.25" customHeight="1">
      <c r="A188" s="1"/>
      <c r="B188" s="2"/>
      <c r="C188" s="1"/>
      <c r="D188" s="2"/>
      <c r="E188" s="2"/>
      <c r="F188" s="2"/>
      <c r="G188" s="2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15"/>
      <c r="AC188" s="54"/>
      <c r="AD188" s="15"/>
      <c r="AE188" s="15"/>
      <c r="AF188" s="15"/>
      <c r="AG188" s="15"/>
    </row>
    <row r="189" ht="11.25" customHeight="1">
      <c r="A189" s="1"/>
      <c r="B189" s="2"/>
      <c r="C189" s="1"/>
      <c r="D189" s="2"/>
      <c r="E189" s="2"/>
      <c r="F189" s="2"/>
      <c r="G189" s="2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15"/>
      <c r="AC189" s="54"/>
      <c r="AD189" s="15"/>
      <c r="AE189" s="15"/>
      <c r="AF189" s="15"/>
      <c r="AG189" s="15"/>
    </row>
    <row r="190" ht="11.25" customHeight="1">
      <c r="A190" s="1"/>
      <c r="B190" s="2"/>
      <c r="C190" s="1"/>
      <c r="D190" s="2"/>
      <c r="E190" s="2"/>
      <c r="F190" s="2"/>
      <c r="G190" s="2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15"/>
      <c r="AC190" s="54"/>
      <c r="AD190" s="15"/>
      <c r="AE190" s="15"/>
      <c r="AF190" s="15"/>
      <c r="AG190" s="15"/>
    </row>
    <row r="191" ht="11.25" customHeight="1">
      <c r="A191" s="1"/>
      <c r="B191" s="2"/>
      <c r="C191" s="1"/>
      <c r="D191" s="2"/>
      <c r="E191" s="2"/>
      <c r="F191" s="2"/>
      <c r="G191" s="2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15"/>
      <c r="AC191" s="54"/>
      <c r="AD191" s="15"/>
      <c r="AE191" s="15"/>
      <c r="AF191" s="15"/>
      <c r="AG191" s="15"/>
    </row>
    <row r="192" ht="11.25" customHeight="1">
      <c r="A192" s="1"/>
      <c r="B192" s="2"/>
      <c r="C192" s="1"/>
      <c r="D192" s="2"/>
      <c r="E192" s="2"/>
      <c r="F192" s="2"/>
      <c r="G192" s="2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15"/>
      <c r="AC192" s="54"/>
      <c r="AD192" s="15"/>
      <c r="AE192" s="15"/>
      <c r="AF192" s="15"/>
      <c r="AG192" s="15"/>
    </row>
    <row r="193" ht="11.25" customHeight="1">
      <c r="A193" s="1"/>
      <c r="B193" s="2"/>
      <c r="C193" s="1"/>
      <c r="D193" s="2"/>
      <c r="E193" s="2"/>
      <c r="F193" s="2"/>
      <c r="G193" s="2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15"/>
      <c r="AC193" s="54"/>
      <c r="AD193" s="15"/>
      <c r="AE193" s="15"/>
      <c r="AF193" s="15"/>
      <c r="AG193" s="15"/>
    </row>
    <row r="194" ht="11.25" customHeight="1">
      <c r="A194" s="1"/>
      <c r="B194" s="2"/>
      <c r="C194" s="1"/>
      <c r="D194" s="2"/>
      <c r="E194" s="2"/>
      <c r="F194" s="2"/>
      <c r="G194" s="2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15"/>
      <c r="AC194" s="54"/>
      <c r="AD194" s="15"/>
      <c r="AE194" s="15"/>
      <c r="AF194" s="15"/>
      <c r="AG194" s="15"/>
    </row>
    <row r="195" ht="11.25" customHeight="1">
      <c r="A195" s="1"/>
      <c r="B195" s="2"/>
      <c r="C195" s="1"/>
      <c r="D195" s="2"/>
      <c r="E195" s="2"/>
      <c r="F195" s="2"/>
      <c r="G195" s="2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15"/>
      <c r="AC195" s="54"/>
      <c r="AD195" s="15"/>
      <c r="AE195" s="15"/>
      <c r="AF195" s="15"/>
      <c r="AG195" s="15"/>
    </row>
    <row r="196" ht="11.25" customHeight="1">
      <c r="A196" s="1"/>
      <c r="B196" s="2"/>
      <c r="C196" s="1"/>
      <c r="D196" s="2"/>
      <c r="E196" s="2"/>
      <c r="F196" s="2"/>
      <c r="G196" s="2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15"/>
      <c r="AC196" s="54"/>
      <c r="AD196" s="15"/>
      <c r="AE196" s="15"/>
      <c r="AF196" s="15"/>
      <c r="AG196" s="15"/>
    </row>
    <row r="197" ht="11.25" customHeight="1">
      <c r="A197" s="1"/>
      <c r="B197" s="2"/>
      <c r="C197" s="1"/>
      <c r="D197" s="2"/>
      <c r="E197" s="2"/>
      <c r="F197" s="2"/>
      <c r="G197" s="2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15"/>
      <c r="AC197" s="54"/>
      <c r="AD197" s="15"/>
      <c r="AE197" s="15"/>
      <c r="AF197" s="15"/>
      <c r="AG197" s="15"/>
    </row>
    <row r="198" ht="11.25" customHeight="1">
      <c r="A198" s="1"/>
      <c r="B198" s="2"/>
      <c r="C198" s="1"/>
      <c r="D198" s="2"/>
      <c r="E198" s="2"/>
      <c r="F198" s="2"/>
      <c r="G198" s="2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15"/>
      <c r="AC198" s="54"/>
      <c r="AD198" s="15"/>
      <c r="AE198" s="15"/>
      <c r="AF198" s="15"/>
      <c r="AG198" s="15"/>
    </row>
    <row r="199" ht="11.25" customHeight="1">
      <c r="A199" s="1"/>
      <c r="B199" s="2"/>
      <c r="C199" s="1"/>
      <c r="D199" s="2"/>
      <c r="E199" s="2"/>
      <c r="F199" s="2"/>
      <c r="G199" s="2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15"/>
      <c r="AC199" s="54"/>
      <c r="AD199" s="15"/>
      <c r="AE199" s="15"/>
      <c r="AF199" s="15"/>
      <c r="AG199" s="15"/>
    </row>
    <row r="200" ht="11.25" customHeight="1">
      <c r="A200" s="1"/>
      <c r="B200" s="2"/>
      <c r="C200" s="1"/>
      <c r="D200" s="2"/>
      <c r="E200" s="2"/>
      <c r="F200" s="2"/>
      <c r="G200" s="2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15"/>
      <c r="AC200" s="54"/>
      <c r="AD200" s="15"/>
      <c r="AE200" s="15"/>
      <c r="AF200" s="15"/>
      <c r="AG200" s="15"/>
    </row>
    <row r="201" ht="11.25" customHeight="1">
      <c r="A201" s="1"/>
      <c r="B201" s="2"/>
      <c r="C201" s="1"/>
      <c r="D201" s="2"/>
      <c r="E201" s="2"/>
      <c r="F201" s="2"/>
      <c r="G201" s="2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15"/>
      <c r="AC201" s="54"/>
      <c r="AD201" s="15"/>
      <c r="AE201" s="15"/>
      <c r="AF201" s="15"/>
      <c r="AG201" s="15"/>
    </row>
    <row r="202" ht="11.25" customHeight="1">
      <c r="A202" s="1"/>
      <c r="B202" s="2"/>
      <c r="C202" s="1"/>
      <c r="D202" s="2"/>
      <c r="E202" s="2"/>
      <c r="F202" s="2"/>
      <c r="G202" s="2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15"/>
      <c r="AC202" s="54"/>
      <c r="AD202" s="15"/>
      <c r="AE202" s="15"/>
      <c r="AF202" s="15"/>
      <c r="AG202" s="15"/>
    </row>
    <row r="203" ht="11.25" customHeight="1">
      <c r="A203" s="1"/>
      <c r="B203" s="2"/>
      <c r="C203" s="1"/>
      <c r="D203" s="2"/>
      <c r="E203" s="2"/>
      <c r="F203" s="2"/>
      <c r="G203" s="2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15"/>
      <c r="AC203" s="54"/>
      <c r="AD203" s="15"/>
      <c r="AE203" s="15"/>
      <c r="AF203" s="15"/>
      <c r="AG203" s="15"/>
    </row>
    <row r="204" ht="11.25" customHeight="1">
      <c r="A204" s="1"/>
      <c r="B204" s="2"/>
      <c r="C204" s="1"/>
      <c r="D204" s="2"/>
      <c r="E204" s="2"/>
      <c r="F204" s="2"/>
      <c r="G204" s="2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15"/>
      <c r="AC204" s="54"/>
      <c r="AD204" s="15"/>
      <c r="AE204" s="15"/>
      <c r="AF204" s="15"/>
      <c r="AG204" s="15"/>
    </row>
    <row r="205" ht="11.25" customHeight="1">
      <c r="A205" s="1"/>
      <c r="B205" s="2"/>
      <c r="C205" s="1"/>
      <c r="D205" s="2"/>
      <c r="E205" s="2"/>
      <c r="F205" s="2"/>
      <c r="G205" s="2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15"/>
      <c r="AC205" s="54"/>
      <c r="AD205" s="15"/>
      <c r="AE205" s="15"/>
      <c r="AF205" s="15"/>
      <c r="AG205" s="15"/>
    </row>
    <row r="206" ht="11.25" customHeight="1">
      <c r="A206" s="1"/>
      <c r="B206" s="2"/>
      <c r="C206" s="1"/>
      <c r="D206" s="2"/>
      <c r="E206" s="2"/>
      <c r="F206" s="2"/>
      <c r="G206" s="2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15"/>
      <c r="AC206" s="54"/>
      <c r="AD206" s="15"/>
      <c r="AE206" s="15"/>
      <c r="AF206" s="15"/>
      <c r="AG206" s="15"/>
    </row>
    <row r="207" ht="11.25" customHeight="1">
      <c r="A207" s="1"/>
      <c r="B207" s="2"/>
      <c r="C207" s="1"/>
      <c r="D207" s="2"/>
      <c r="E207" s="2"/>
      <c r="F207" s="2"/>
      <c r="G207" s="2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15"/>
      <c r="AC207" s="54"/>
      <c r="AD207" s="15"/>
      <c r="AE207" s="15"/>
      <c r="AF207" s="15"/>
      <c r="AG207" s="15"/>
    </row>
    <row r="208" ht="11.25" customHeight="1">
      <c r="A208" s="1"/>
      <c r="B208" s="2"/>
      <c r="C208" s="1"/>
      <c r="D208" s="2"/>
      <c r="E208" s="2"/>
      <c r="F208" s="2"/>
      <c r="G208" s="2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15"/>
      <c r="AC208" s="54"/>
      <c r="AD208" s="15"/>
      <c r="AE208" s="15"/>
      <c r="AF208" s="15"/>
      <c r="AG208" s="15"/>
    </row>
    <row r="209" ht="11.25" customHeight="1">
      <c r="A209" s="1"/>
      <c r="B209" s="2"/>
      <c r="C209" s="1"/>
      <c r="D209" s="2"/>
      <c r="E209" s="2"/>
      <c r="F209" s="2"/>
      <c r="G209" s="2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15"/>
      <c r="AC209" s="54"/>
      <c r="AD209" s="15"/>
      <c r="AE209" s="15"/>
      <c r="AF209" s="15"/>
      <c r="AG209" s="15"/>
    </row>
    <row r="210" ht="11.25" customHeight="1">
      <c r="A210" s="1"/>
      <c r="B210" s="2"/>
      <c r="C210" s="1"/>
      <c r="D210" s="2"/>
      <c r="E210" s="2"/>
      <c r="F210" s="2"/>
      <c r="G210" s="2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15"/>
      <c r="AC210" s="54"/>
      <c r="AD210" s="15"/>
      <c r="AE210" s="15"/>
      <c r="AF210" s="15"/>
      <c r="AG210" s="15"/>
    </row>
    <row r="211" ht="11.25" customHeight="1">
      <c r="A211" s="1"/>
      <c r="B211" s="2"/>
      <c r="C211" s="1"/>
      <c r="D211" s="2"/>
      <c r="E211" s="2"/>
      <c r="F211" s="2"/>
      <c r="G211" s="2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15"/>
      <c r="AC211" s="54"/>
      <c r="AD211" s="15"/>
      <c r="AE211" s="15"/>
      <c r="AF211" s="15"/>
      <c r="AG211" s="15"/>
    </row>
    <row r="212" ht="11.25" customHeight="1">
      <c r="A212" s="1"/>
      <c r="B212" s="2"/>
      <c r="C212" s="1"/>
      <c r="D212" s="2"/>
      <c r="E212" s="2"/>
      <c r="F212" s="2"/>
      <c r="G212" s="2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15"/>
      <c r="AC212" s="54"/>
      <c r="AD212" s="15"/>
      <c r="AE212" s="15"/>
      <c r="AF212" s="15"/>
      <c r="AG212" s="15"/>
    </row>
    <row r="213" ht="11.25" customHeight="1">
      <c r="A213" s="1"/>
      <c r="B213" s="2"/>
      <c r="C213" s="1"/>
      <c r="D213" s="2"/>
      <c r="E213" s="2"/>
      <c r="F213" s="2"/>
      <c r="G213" s="2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15"/>
      <c r="AC213" s="54"/>
      <c r="AD213" s="15"/>
      <c r="AE213" s="15"/>
      <c r="AF213" s="15"/>
      <c r="AG213" s="15"/>
    </row>
    <row r="214" ht="11.25" customHeight="1">
      <c r="A214" s="1"/>
      <c r="B214" s="2"/>
      <c r="C214" s="1"/>
      <c r="D214" s="2"/>
      <c r="E214" s="2"/>
      <c r="F214" s="2"/>
      <c r="G214" s="2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15"/>
      <c r="AC214" s="54"/>
      <c r="AD214" s="15"/>
      <c r="AE214" s="15"/>
      <c r="AF214" s="15"/>
      <c r="AG214" s="15"/>
    </row>
    <row r="215" ht="11.25" customHeight="1">
      <c r="A215" s="1"/>
      <c r="B215" s="2"/>
      <c r="C215" s="1"/>
      <c r="D215" s="2"/>
      <c r="E215" s="2"/>
      <c r="F215" s="2"/>
      <c r="G215" s="2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15"/>
      <c r="AC215" s="54"/>
      <c r="AD215" s="15"/>
      <c r="AE215" s="15"/>
      <c r="AF215" s="15"/>
      <c r="AG215" s="15"/>
    </row>
    <row r="216" ht="11.25" customHeight="1">
      <c r="A216" s="1"/>
      <c r="B216" s="2"/>
      <c r="C216" s="1"/>
      <c r="D216" s="2"/>
      <c r="E216" s="2"/>
      <c r="F216" s="2"/>
      <c r="G216" s="2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15"/>
      <c r="AC216" s="54"/>
      <c r="AD216" s="15"/>
      <c r="AE216" s="15"/>
      <c r="AF216" s="15"/>
      <c r="AG216" s="15"/>
    </row>
    <row r="217" ht="11.25" customHeight="1">
      <c r="A217" s="1"/>
      <c r="B217" s="2"/>
      <c r="C217" s="1"/>
      <c r="D217" s="2"/>
      <c r="E217" s="2"/>
      <c r="F217" s="2"/>
      <c r="G217" s="2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15"/>
      <c r="AC217" s="54"/>
      <c r="AD217" s="15"/>
      <c r="AE217" s="15"/>
      <c r="AF217" s="15"/>
      <c r="AG217" s="15"/>
    </row>
    <row r="218" ht="11.25" customHeight="1">
      <c r="A218" s="1"/>
      <c r="B218" s="2"/>
      <c r="C218" s="1"/>
      <c r="D218" s="2"/>
      <c r="E218" s="2"/>
      <c r="F218" s="2"/>
      <c r="G218" s="2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15"/>
      <c r="AC218" s="54"/>
      <c r="AD218" s="15"/>
      <c r="AE218" s="15"/>
      <c r="AF218" s="15"/>
      <c r="AG218" s="15"/>
    </row>
    <row r="219" ht="11.25" customHeight="1">
      <c r="A219" s="1"/>
      <c r="B219" s="2"/>
      <c r="C219" s="1"/>
      <c r="D219" s="2"/>
      <c r="E219" s="2"/>
      <c r="F219" s="2"/>
      <c r="G219" s="2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15"/>
      <c r="AC219" s="54"/>
      <c r="AD219" s="15"/>
      <c r="AE219" s="15"/>
      <c r="AF219" s="15"/>
      <c r="AG219" s="15"/>
    </row>
    <row r="220" ht="11.25" customHeight="1">
      <c r="A220" s="1"/>
      <c r="B220" s="2"/>
      <c r="C220" s="1"/>
      <c r="D220" s="2"/>
      <c r="E220" s="2"/>
      <c r="F220" s="2"/>
      <c r="G220" s="2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15"/>
      <c r="AC220" s="54"/>
      <c r="AD220" s="15"/>
      <c r="AE220" s="15"/>
      <c r="AF220" s="15"/>
      <c r="AG220" s="15"/>
    </row>
    <row r="221" ht="11.25" customHeight="1">
      <c r="A221" s="1"/>
      <c r="B221" s="2"/>
      <c r="C221" s="1"/>
      <c r="D221" s="2"/>
      <c r="E221" s="2"/>
      <c r="F221" s="2"/>
      <c r="G221" s="2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15"/>
      <c r="AC221" s="54"/>
      <c r="AD221" s="15"/>
      <c r="AE221" s="15"/>
      <c r="AF221" s="15"/>
      <c r="AG221" s="15"/>
    </row>
    <row r="222" ht="11.25" customHeight="1">
      <c r="A222" s="1"/>
      <c r="B222" s="2"/>
      <c r="C222" s="1"/>
      <c r="D222" s="2"/>
      <c r="E222" s="2"/>
      <c r="F222" s="2"/>
      <c r="G222" s="2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15"/>
      <c r="AC222" s="54"/>
      <c r="AD222" s="15"/>
      <c r="AE222" s="15"/>
      <c r="AF222" s="15"/>
      <c r="AG222" s="15"/>
    </row>
    <row r="223" ht="11.25" customHeight="1">
      <c r="A223" s="1"/>
      <c r="B223" s="2"/>
      <c r="C223" s="1"/>
      <c r="D223" s="2"/>
      <c r="E223" s="2"/>
      <c r="F223" s="2"/>
      <c r="G223" s="2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15"/>
      <c r="AC223" s="54"/>
      <c r="AD223" s="15"/>
      <c r="AE223" s="15"/>
      <c r="AF223" s="15"/>
      <c r="AG223" s="15"/>
    </row>
    <row r="224" ht="11.25" customHeight="1">
      <c r="A224" s="1"/>
      <c r="B224" s="2"/>
      <c r="C224" s="1"/>
      <c r="D224" s="2"/>
      <c r="E224" s="2"/>
      <c r="F224" s="2"/>
      <c r="G224" s="2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15"/>
      <c r="AC224" s="54"/>
      <c r="AD224" s="15"/>
      <c r="AE224" s="15"/>
      <c r="AF224" s="15"/>
      <c r="AG224" s="15"/>
    </row>
    <row r="225" ht="11.25" customHeight="1">
      <c r="A225" s="1"/>
      <c r="B225" s="2"/>
      <c r="C225" s="1"/>
      <c r="D225" s="2"/>
      <c r="E225" s="2"/>
      <c r="F225" s="2"/>
      <c r="G225" s="2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15"/>
      <c r="AC225" s="54"/>
      <c r="AD225" s="15"/>
      <c r="AE225" s="15"/>
      <c r="AF225" s="15"/>
      <c r="AG225" s="15"/>
    </row>
    <row r="226" ht="11.25" customHeight="1">
      <c r="A226" s="1"/>
      <c r="B226" s="2"/>
      <c r="C226" s="1"/>
      <c r="D226" s="2"/>
      <c r="E226" s="2"/>
      <c r="F226" s="2"/>
      <c r="G226" s="2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15"/>
      <c r="AC226" s="54"/>
      <c r="AD226" s="15"/>
      <c r="AE226" s="15"/>
      <c r="AF226" s="15"/>
      <c r="AG226" s="15"/>
    </row>
    <row r="227" ht="11.25" customHeight="1">
      <c r="A227" s="1"/>
      <c r="B227" s="2"/>
      <c r="C227" s="1"/>
      <c r="D227" s="2"/>
      <c r="E227" s="2"/>
      <c r="F227" s="2"/>
      <c r="G227" s="2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15"/>
      <c r="AC227" s="54"/>
      <c r="AD227" s="15"/>
      <c r="AE227" s="15"/>
      <c r="AF227" s="15"/>
      <c r="AG227" s="15"/>
    </row>
    <row r="228" ht="11.25" customHeight="1">
      <c r="A228" s="1"/>
      <c r="B228" s="2"/>
      <c r="C228" s="1"/>
      <c r="D228" s="2"/>
      <c r="E228" s="2"/>
      <c r="F228" s="2"/>
      <c r="G228" s="2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15"/>
      <c r="AC228" s="54"/>
      <c r="AD228" s="15"/>
      <c r="AE228" s="15"/>
      <c r="AF228" s="15"/>
      <c r="AG228" s="15"/>
    </row>
    <row r="229" ht="11.25" customHeight="1">
      <c r="A229" s="1"/>
      <c r="B229" s="2"/>
      <c r="C229" s="1"/>
      <c r="D229" s="2"/>
      <c r="E229" s="2"/>
      <c r="F229" s="2"/>
      <c r="G229" s="2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15"/>
      <c r="AC229" s="54"/>
      <c r="AD229" s="15"/>
      <c r="AE229" s="15"/>
      <c r="AF229" s="15"/>
      <c r="AG229" s="15"/>
    </row>
    <row r="230" ht="11.25" customHeight="1">
      <c r="A230" s="1"/>
      <c r="B230" s="2"/>
      <c r="C230" s="1"/>
      <c r="D230" s="2"/>
      <c r="E230" s="2"/>
      <c r="F230" s="2"/>
      <c r="G230" s="2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15"/>
      <c r="AC230" s="54"/>
      <c r="AD230" s="15"/>
      <c r="AE230" s="15"/>
      <c r="AF230" s="15"/>
      <c r="AG230" s="15"/>
    </row>
    <row r="231" ht="11.25" customHeight="1">
      <c r="A231" s="1"/>
      <c r="B231" s="2"/>
      <c r="C231" s="1"/>
      <c r="D231" s="2"/>
      <c r="E231" s="2"/>
      <c r="F231" s="2"/>
      <c r="G231" s="2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15"/>
      <c r="AC231" s="54"/>
      <c r="AD231" s="15"/>
      <c r="AE231" s="15"/>
      <c r="AF231" s="15"/>
      <c r="AG231" s="15"/>
    </row>
    <row r="232" ht="11.25" customHeight="1">
      <c r="A232" s="1"/>
      <c r="B232" s="2"/>
      <c r="C232" s="1"/>
      <c r="D232" s="2"/>
      <c r="E232" s="2"/>
      <c r="F232" s="2"/>
      <c r="G232" s="2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15"/>
      <c r="AC232" s="54"/>
      <c r="AD232" s="15"/>
      <c r="AE232" s="15"/>
      <c r="AF232" s="15"/>
      <c r="AG232" s="15"/>
    </row>
    <row r="233" ht="11.25" customHeight="1">
      <c r="A233" s="1"/>
      <c r="B233" s="2"/>
      <c r="C233" s="1"/>
      <c r="D233" s="2"/>
      <c r="E233" s="2"/>
      <c r="F233" s="2"/>
      <c r="G233" s="2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15"/>
      <c r="AC233" s="54"/>
      <c r="AD233" s="15"/>
      <c r="AE233" s="15"/>
      <c r="AF233" s="15"/>
      <c r="AG233" s="15"/>
    </row>
    <row r="234" ht="11.25" customHeight="1">
      <c r="A234" s="1"/>
      <c r="B234" s="2"/>
      <c r="C234" s="1"/>
      <c r="D234" s="2"/>
      <c r="E234" s="2"/>
      <c r="F234" s="2"/>
      <c r="G234" s="2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15"/>
      <c r="AC234" s="54"/>
      <c r="AD234" s="15"/>
      <c r="AE234" s="15"/>
      <c r="AF234" s="15"/>
      <c r="AG234" s="15"/>
    </row>
    <row r="235" ht="11.25" customHeight="1">
      <c r="A235" s="1"/>
      <c r="B235" s="2"/>
      <c r="C235" s="1"/>
      <c r="D235" s="2"/>
      <c r="E235" s="2"/>
      <c r="F235" s="2"/>
      <c r="G235" s="2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15"/>
      <c r="AC235" s="54"/>
      <c r="AD235" s="15"/>
      <c r="AE235" s="15"/>
      <c r="AF235" s="15"/>
      <c r="AG235" s="15"/>
    </row>
    <row r="236" ht="11.25" customHeight="1">
      <c r="A236" s="1"/>
      <c r="B236" s="2"/>
      <c r="C236" s="1"/>
      <c r="D236" s="2"/>
      <c r="E236" s="2"/>
      <c r="F236" s="2"/>
      <c r="G236" s="2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15"/>
      <c r="AC236" s="54"/>
      <c r="AD236" s="15"/>
      <c r="AE236" s="15"/>
      <c r="AF236" s="15"/>
      <c r="AG236" s="15"/>
    </row>
    <row r="237" ht="11.25" customHeight="1">
      <c r="A237" s="1"/>
      <c r="B237" s="2"/>
      <c r="C237" s="1"/>
      <c r="D237" s="2"/>
      <c r="E237" s="2"/>
      <c r="F237" s="2"/>
      <c r="G237" s="2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15"/>
      <c r="AC237" s="54"/>
      <c r="AD237" s="15"/>
      <c r="AE237" s="15"/>
      <c r="AF237" s="15"/>
      <c r="AG237" s="15"/>
    </row>
    <row r="238" ht="11.25" customHeight="1">
      <c r="A238" s="1"/>
      <c r="B238" s="2"/>
      <c r="C238" s="1"/>
      <c r="D238" s="2"/>
      <c r="E238" s="2"/>
      <c r="F238" s="2"/>
      <c r="G238" s="2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15"/>
      <c r="AC238" s="54"/>
      <c r="AD238" s="15"/>
      <c r="AE238" s="15"/>
      <c r="AF238" s="15"/>
      <c r="AG238" s="15"/>
    </row>
    <row r="239" ht="11.25" customHeight="1">
      <c r="A239" s="1"/>
      <c r="B239" s="2"/>
      <c r="C239" s="1"/>
      <c r="D239" s="2"/>
      <c r="E239" s="2"/>
      <c r="F239" s="2"/>
      <c r="G239" s="2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15"/>
      <c r="AC239" s="54"/>
      <c r="AD239" s="15"/>
      <c r="AE239" s="15"/>
      <c r="AF239" s="15"/>
      <c r="AG239" s="15"/>
    </row>
    <row r="240" ht="11.25" customHeight="1">
      <c r="A240" s="1"/>
      <c r="B240" s="2"/>
      <c r="C240" s="1"/>
      <c r="D240" s="2"/>
      <c r="E240" s="2"/>
      <c r="F240" s="2"/>
      <c r="G240" s="2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15"/>
      <c r="AC240" s="54"/>
      <c r="AD240" s="15"/>
      <c r="AE240" s="15"/>
      <c r="AF240" s="15"/>
      <c r="AG240" s="15"/>
    </row>
    <row r="241" ht="11.25" customHeight="1">
      <c r="A241" s="1"/>
      <c r="B241" s="2"/>
      <c r="C241" s="1"/>
      <c r="D241" s="2"/>
      <c r="E241" s="2"/>
      <c r="F241" s="2"/>
      <c r="G241" s="2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15"/>
      <c r="AC241" s="54"/>
      <c r="AD241" s="15"/>
      <c r="AE241" s="15"/>
      <c r="AF241" s="15"/>
      <c r="AG241" s="15"/>
    </row>
    <row r="242" ht="11.25" customHeight="1">
      <c r="A242" s="1"/>
      <c r="B242" s="2"/>
      <c r="C242" s="1"/>
      <c r="D242" s="2"/>
      <c r="E242" s="2"/>
      <c r="F242" s="2"/>
      <c r="G242" s="2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15"/>
      <c r="AC242" s="54"/>
      <c r="AD242" s="15"/>
      <c r="AE242" s="15"/>
      <c r="AF242" s="15"/>
      <c r="AG242" s="15"/>
    </row>
    <row r="243" ht="11.25" customHeight="1">
      <c r="A243" s="1"/>
      <c r="B243" s="2"/>
      <c r="C243" s="1"/>
      <c r="D243" s="2"/>
      <c r="E243" s="2"/>
      <c r="F243" s="2"/>
      <c r="G243" s="2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15"/>
      <c r="AC243" s="54"/>
      <c r="AD243" s="15"/>
      <c r="AE243" s="15"/>
      <c r="AF243" s="15"/>
      <c r="AG243" s="15"/>
    </row>
    <row r="244" ht="11.25" customHeight="1">
      <c r="A244" s="1"/>
      <c r="B244" s="2"/>
      <c r="C244" s="1"/>
      <c r="D244" s="2"/>
      <c r="E244" s="2"/>
      <c r="F244" s="2"/>
      <c r="G244" s="2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15"/>
      <c r="AC244" s="54"/>
      <c r="AD244" s="15"/>
      <c r="AE244" s="15"/>
      <c r="AF244" s="15"/>
      <c r="AG244" s="15"/>
    </row>
    <row r="245" ht="11.25" customHeight="1">
      <c r="A245" s="1"/>
      <c r="B245" s="2"/>
      <c r="C245" s="1"/>
      <c r="D245" s="2"/>
      <c r="E245" s="2"/>
      <c r="F245" s="2"/>
      <c r="G245" s="2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15"/>
      <c r="AC245" s="54"/>
      <c r="AD245" s="15"/>
      <c r="AE245" s="15"/>
      <c r="AF245" s="15"/>
      <c r="AG245" s="15"/>
    </row>
    <row r="246" ht="11.25" customHeight="1">
      <c r="A246" s="1"/>
      <c r="B246" s="2"/>
      <c r="C246" s="1"/>
      <c r="D246" s="2"/>
      <c r="E246" s="2"/>
      <c r="F246" s="2"/>
      <c r="G246" s="2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15"/>
      <c r="AC246" s="54"/>
      <c r="AD246" s="15"/>
      <c r="AE246" s="15"/>
      <c r="AF246" s="15"/>
      <c r="AG246" s="15"/>
    </row>
    <row r="247" ht="11.25" customHeight="1">
      <c r="A247" s="1"/>
      <c r="B247" s="2"/>
      <c r="C247" s="1"/>
      <c r="D247" s="2"/>
      <c r="E247" s="2"/>
      <c r="F247" s="2"/>
      <c r="G247" s="2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15"/>
      <c r="AC247" s="54"/>
      <c r="AD247" s="15"/>
      <c r="AE247" s="15"/>
      <c r="AF247" s="15"/>
      <c r="AG247" s="15"/>
    </row>
    <row r="248" ht="11.25" customHeight="1">
      <c r="A248" s="1"/>
      <c r="B248" s="2"/>
      <c r="C248" s="1"/>
      <c r="D248" s="2"/>
      <c r="E248" s="2"/>
      <c r="F248" s="2"/>
      <c r="G248" s="2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15"/>
      <c r="AC248" s="54"/>
      <c r="AD248" s="15"/>
      <c r="AE248" s="15"/>
      <c r="AF248" s="15"/>
      <c r="AG248" s="15"/>
    </row>
    <row r="249" ht="11.25" customHeight="1">
      <c r="A249" s="1"/>
      <c r="B249" s="2"/>
      <c r="C249" s="1"/>
      <c r="D249" s="2"/>
      <c r="E249" s="2"/>
      <c r="F249" s="2"/>
      <c r="G249" s="2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15"/>
      <c r="AC249" s="54"/>
      <c r="AD249" s="15"/>
      <c r="AE249" s="15"/>
      <c r="AF249" s="15"/>
      <c r="AG249" s="15"/>
    </row>
    <row r="250" ht="11.25" customHeight="1">
      <c r="A250" s="1"/>
      <c r="B250" s="2"/>
      <c r="C250" s="1"/>
      <c r="D250" s="2"/>
      <c r="E250" s="2"/>
      <c r="F250" s="2"/>
      <c r="G250" s="2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15"/>
      <c r="AC250" s="54"/>
      <c r="AD250" s="15"/>
      <c r="AE250" s="15"/>
      <c r="AF250" s="15"/>
      <c r="AG250" s="15"/>
    </row>
    <row r="251" ht="11.25" customHeight="1">
      <c r="A251" s="1"/>
      <c r="B251" s="2"/>
      <c r="C251" s="1"/>
      <c r="D251" s="2"/>
      <c r="E251" s="2"/>
      <c r="F251" s="2"/>
      <c r="G251" s="2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15"/>
      <c r="AC251" s="54"/>
      <c r="AD251" s="15"/>
      <c r="AE251" s="15"/>
      <c r="AF251" s="15"/>
      <c r="AG251" s="15"/>
    </row>
    <row r="252" ht="11.25" customHeight="1">
      <c r="A252" s="1"/>
      <c r="B252" s="2"/>
      <c r="C252" s="1"/>
      <c r="D252" s="2"/>
      <c r="E252" s="2"/>
      <c r="F252" s="2"/>
      <c r="G252" s="2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15"/>
      <c r="AC252" s="54"/>
      <c r="AD252" s="15"/>
      <c r="AE252" s="15"/>
      <c r="AF252" s="15"/>
      <c r="AG252" s="15"/>
    </row>
    <row r="253" ht="11.25" customHeight="1">
      <c r="A253" s="1"/>
      <c r="B253" s="2"/>
      <c r="C253" s="1"/>
      <c r="D253" s="2"/>
      <c r="E253" s="2"/>
      <c r="F253" s="2"/>
      <c r="G253" s="2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15"/>
      <c r="AC253" s="54"/>
      <c r="AD253" s="15"/>
      <c r="AE253" s="15"/>
      <c r="AF253" s="15"/>
      <c r="AG253" s="15"/>
    </row>
    <row r="254" ht="11.25" customHeight="1">
      <c r="A254" s="1"/>
      <c r="B254" s="2"/>
      <c r="C254" s="1"/>
      <c r="D254" s="2"/>
      <c r="E254" s="2"/>
      <c r="F254" s="2"/>
      <c r="G254" s="2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15"/>
      <c r="AC254" s="54"/>
      <c r="AD254" s="15"/>
      <c r="AE254" s="15"/>
      <c r="AF254" s="15"/>
      <c r="AG254" s="15"/>
    </row>
    <row r="255" ht="11.25" customHeight="1">
      <c r="A255" s="1"/>
      <c r="B255" s="2"/>
      <c r="C255" s="1"/>
      <c r="D255" s="2"/>
      <c r="E255" s="2"/>
      <c r="F255" s="2"/>
      <c r="G255" s="2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15"/>
      <c r="AC255" s="54"/>
      <c r="AD255" s="15"/>
      <c r="AE255" s="15"/>
      <c r="AF255" s="15"/>
      <c r="AG255" s="15"/>
    </row>
    <row r="256" ht="11.25" customHeight="1">
      <c r="A256" s="1"/>
      <c r="B256" s="2"/>
      <c r="C256" s="1"/>
      <c r="D256" s="2"/>
      <c r="E256" s="2"/>
      <c r="F256" s="2"/>
      <c r="G256" s="2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15"/>
      <c r="AC256" s="54"/>
      <c r="AD256" s="15"/>
      <c r="AE256" s="15"/>
      <c r="AF256" s="15"/>
      <c r="AG256" s="15"/>
    </row>
    <row r="257" ht="11.25" customHeight="1">
      <c r="A257" s="1"/>
      <c r="B257" s="2"/>
      <c r="C257" s="1"/>
      <c r="D257" s="2"/>
      <c r="E257" s="2"/>
      <c r="F257" s="2"/>
      <c r="G257" s="2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15"/>
      <c r="AC257" s="54"/>
      <c r="AD257" s="15"/>
      <c r="AE257" s="15"/>
      <c r="AF257" s="15"/>
      <c r="AG257" s="15"/>
    </row>
    <row r="258" ht="11.25" customHeight="1">
      <c r="A258" s="1"/>
      <c r="B258" s="2"/>
      <c r="C258" s="1"/>
      <c r="D258" s="2"/>
      <c r="E258" s="2"/>
      <c r="F258" s="2"/>
      <c r="G258" s="2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15"/>
      <c r="AC258" s="54"/>
      <c r="AD258" s="15"/>
      <c r="AE258" s="15"/>
      <c r="AF258" s="15"/>
      <c r="AG258" s="15"/>
    </row>
    <row r="259" ht="11.25" customHeight="1">
      <c r="A259" s="1"/>
      <c r="B259" s="2"/>
      <c r="C259" s="1"/>
      <c r="D259" s="2"/>
      <c r="E259" s="2"/>
      <c r="F259" s="2"/>
      <c r="G259" s="2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15"/>
      <c r="AC259" s="54"/>
      <c r="AD259" s="15"/>
      <c r="AE259" s="15"/>
      <c r="AF259" s="15"/>
      <c r="AG259" s="15"/>
    </row>
    <row r="260" ht="11.25" customHeight="1">
      <c r="A260" s="1"/>
      <c r="B260" s="2"/>
      <c r="C260" s="1"/>
      <c r="D260" s="2"/>
      <c r="E260" s="2"/>
      <c r="F260" s="2"/>
      <c r="G260" s="2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15"/>
      <c r="AC260" s="54"/>
      <c r="AD260" s="15"/>
      <c r="AE260" s="15"/>
      <c r="AF260" s="15"/>
      <c r="AG260" s="15"/>
    </row>
    <row r="261" ht="11.25" customHeight="1">
      <c r="A261" s="1"/>
      <c r="B261" s="2"/>
      <c r="C261" s="1"/>
      <c r="D261" s="2"/>
      <c r="E261" s="2"/>
      <c r="F261" s="2"/>
      <c r="G261" s="2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15"/>
      <c r="AC261" s="54"/>
      <c r="AD261" s="15"/>
      <c r="AE261" s="15"/>
      <c r="AF261" s="15"/>
      <c r="AG261" s="15"/>
    </row>
    <row r="262" ht="11.25" customHeight="1">
      <c r="A262" s="1"/>
      <c r="B262" s="2"/>
      <c r="C262" s="1"/>
      <c r="D262" s="2"/>
      <c r="E262" s="2"/>
      <c r="F262" s="2"/>
      <c r="G262" s="2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15"/>
      <c r="AC262" s="54"/>
      <c r="AD262" s="15"/>
      <c r="AE262" s="15"/>
      <c r="AF262" s="15"/>
      <c r="AG262" s="15"/>
    </row>
    <row r="263" ht="11.25" customHeight="1">
      <c r="A263" s="1"/>
      <c r="B263" s="2"/>
      <c r="C263" s="1"/>
      <c r="D263" s="2"/>
      <c r="E263" s="2"/>
      <c r="F263" s="2"/>
      <c r="G263" s="2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15"/>
      <c r="AC263" s="54"/>
      <c r="AD263" s="15"/>
      <c r="AE263" s="15"/>
      <c r="AF263" s="15"/>
      <c r="AG263" s="15"/>
    </row>
    <row r="264" ht="11.25" customHeight="1">
      <c r="A264" s="1"/>
      <c r="B264" s="2"/>
      <c r="C264" s="1"/>
      <c r="D264" s="2"/>
      <c r="E264" s="2"/>
      <c r="F264" s="2"/>
      <c r="G264" s="2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15"/>
      <c r="AC264" s="54"/>
      <c r="AD264" s="15"/>
      <c r="AE264" s="15"/>
      <c r="AF264" s="15"/>
      <c r="AG264" s="15"/>
    </row>
    <row r="265" ht="11.25" customHeight="1">
      <c r="A265" s="1"/>
      <c r="B265" s="2"/>
      <c r="C265" s="1"/>
      <c r="D265" s="2"/>
      <c r="E265" s="2"/>
      <c r="F265" s="2"/>
      <c r="G265" s="2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15"/>
      <c r="AC265" s="54"/>
      <c r="AD265" s="15"/>
      <c r="AE265" s="15"/>
      <c r="AF265" s="15"/>
      <c r="AG265" s="15"/>
    </row>
    <row r="266" ht="11.25" customHeight="1">
      <c r="A266" s="1"/>
      <c r="B266" s="2"/>
      <c r="C266" s="1"/>
      <c r="D266" s="2"/>
      <c r="E266" s="2"/>
      <c r="F266" s="2"/>
      <c r="G266" s="2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15"/>
      <c r="AC266" s="54"/>
      <c r="AD266" s="15"/>
      <c r="AE266" s="15"/>
      <c r="AF266" s="15"/>
      <c r="AG266" s="15"/>
    </row>
    <row r="267" ht="11.25" customHeight="1">
      <c r="A267" s="1"/>
      <c r="B267" s="2"/>
      <c r="C267" s="1"/>
      <c r="D267" s="2"/>
      <c r="E267" s="2"/>
      <c r="F267" s="2"/>
      <c r="G267" s="2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15"/>
      <c r="AC267" s="54"/>
      <c r="AD267" s="15"/>
      <c r="AE267" s="15"/>
      <c r="AF267" s="15"/>
      <c r="AG267" s="15"/>
    </row>
    <row r="268" ht="11.25" customHeight="1">
      <c r="A268" s="1"/>
      <c r="B268" s="2"/>
      <c r="C268" s="1"/>
      <c r="D268" s="2"/>
      <c r="E268" s="2"/>
      <c r="F268" s="2"/>
      <c r="G268" s="2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15"/>
      <c r="AC268" s="54"/>
      <c r="AD268" s="15"/>
      <c r="AE268" s="15"/>
      <c r="AF268" s="15"/>
      <c r="AG268" s="15"/>
    </row>
    <row r="269" ht="11.25" customHeight="1">
      <c r="A269" s="1"/>
      <c r="B269" s="2"/>
      <c r="C269" s="1"/>
      <c r="D269" s="2"/>
      <c r="E269" s="2"/>
      <c r="F269" s="2"/>
      <c r="G269" s="2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15"/>
      <c r="AC269" s="54"/>
      <c r="AD269" s="15"/>
      <c r="AE269" s="15"/>
      <c r="AF269" s="15"/>
      <c r="AG269" s="15"/>
    </row>
    <row r="270" ht="11.25" customHeight="1">
      <c r="A270" s="1"/>
      <c r="B270" s="2"/>
      <c r="C270" s="1"/>
      <c r="D270" s="2"/>
      <c r="E270" s="2"/>
      <c r="F270" s="2"/>
      <c r="G270" s="2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15"/>
      <c r="AC270" s="54"/>
      <c r="AD270" s="15"/>
      <c r="AE270" s="15"/>
      <c r="AF270" s="15"/>
      <c r="AG270" s="15"/>
    </row>
    <row r="271" ht="11.25" customHeight="1">
      <c r="A271" s="1"/>
      <c r="B271" s="2"/>
      <c r="C271" s="1"/>
      <c r="D271" s="2"/>
      <c r="E271" s="2"/>
      <c r="F271" s="2"/>
      <c r="G271" s="2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15"/>
      <c r="AC271" s="54"/>
      <c r="AD271" s="15"/>
      <c r="AE271" s="15"/>
      <c r="AF271" s="15"/>
      <c r="AG271" s="15"/>
    </row>
    <row r="272" ht="11.25" customHeight="1">
      <c r="A272" s="1"/>
      <c r="B272" s="2"/>
      <c r="C272" s="1"/>
      <c r="D272" s="2"/>
      <c r="E272" s="2"/>
      <c r="F272" s="2"/>
      <c r="G272" s="2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15"/>
      <c r="AC272" s="54"/>
      <c r="AD272" s="15"/>
      <c r="AE272" s="15"/>
      <c r="AF272" s="15"/>
      <c r="AG272" s="15"/>
    </row>
    <row r="273" ht="11.25" customHeight="1">
      <c r="A273" s="1"/>
      <c r="B273" s="2"/>
      <c r="C273" s="1"/>
      <c r="D273" s="2"/>
      <c r="E273" s="2"/>
      <c r="F273" s="2"/>
      <c r="G273" s="2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15"/>
      <c r="AC273" s="54"/>
      <c r="AD273" s="15"/>
      <c r="AE273" s="15"/>
      <c r="AF273" s="15"/>
      <c r="AG273" s="15"/>
    </row>
    <row r="274" ht="11.25" customHeight="1">
      <c r="A274" s="1"/>
      <c r="B274" s="2"/>
      <c r="C274" s="1"/>
      <c r="D274" s="2"/>
      <c r="E274" s="2"/>
      <c r="F274" s="2"/>
      <c r="G274" s="2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15"/>
      <c r="AC274" s="54"/>
      <c r="AD274" s="15"/>
      <c r="AE274" s="15"/>
      <c r="AF274" s="15"/>
      <c r="AG274" s="15"/>
    </row>
    <row r="275" ht="11.25" customHeight="1">
      <c r="A275" s="1"/>
      <c r="B275" s="2"/>
      <c r="C275" s="1"/>
      <c r="D275" s="2"/>
      <c r="E275" s="2"/>
      <c r="F275" s="2"/>
      <c r="G275" s="2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15"/>
      <c r="AC275" s="54"/>
      <c r="AD275" s="15"/>
      <c r="AE275" s="15"/>
      <c r="AF275" s="15"/>
      <c r="AG275" s="15"/>
    </row>
    <row r="276" ht="11.25" customHeight="1">
      <c r="A276" s="1"/>
      <c r="B276" s="2"/>
      <c r="C276" s="1"/>
      <c r="D276" s="2"/>
      <c r="E276" s="2"/>
      <c r="F276" s="2"/>
      <c r="G276" s="2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15"/>
      <c r="AC276" s="54"/>
      <c r="AD276" s="15"/>
      <c r="AE276" s="15"/>
      <c r="AF276" s="15"/>
      <c r="AG276" s="15"/>
    </row>
    <row r="277" ht="11.25" customHeight="1">
      <c r="A277" s="1"/>
      <c r="B277" s="2"/>
      <c r="C277" s="1"/>
      <c r="D277" s="2"/>
      <c r="E277" s="2"/>
      <c r="F277" s="2"/>
      <c r="G277" s="2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15"/>
      <c r="AC277" s="54"/>
      <c r="AD277" s="15"/>
      <c r="AE277" s="15"/>
      <c r="AF277" s="15"/>
      <c r="AG277" s="15"/>
    </row>
    <row r="278" ht="11.25" customHeight="1">
      <c r="A278" s="1"/>
      <c r="B278" s="2"/>
      <c r="C278" s="1"/>
      <c r="D278" s="2"/>
      <c r="E278" s="2"/>
      <c r="F278" s="2"/>
      <c r="G278" s="2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15"/>
      <c r="AC278" s="54"/>
      <c r="AD278" s="15"/>
      <c r="AE278" s="15"/>
      <c r="AF278" s="15"/>
      <c r="AG278" s="15"/>
    </row>
    <row r="279" ht="11.25" customHeight="1">
      <c r="A279" s="1"/>
      <c r="B279" s="2"/>
      <c r="C279" s="1"/>
      <c r="D279" s="2"/>
      <c r="E279" s="2"/>
      <c r="F279" s="2"/>
      <c r="G279" s="2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15"/>
      <c r="AC279" s="54"/>
      <c r="AD279" s="15"/>
      <c r="AE279" s="15"/>
      <c r="AF279" s="15"/>
      <c r="AG279" s="15"/>
    </row>
    <row r="280" ht="11.25" customHeight="1">
      <c r="A280" s="1"/>
      <c r="B280" s="2"/>
      <c r="C280" s="1"/>
      <c r="D280" s="2"/>
      <c r="E280" s="2"/>
      <c r="F280" s="2"/>
      <c r="G280" s="2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15"/>
      <c r="AC280" s="54"/>
      <c r="AD280" s="15"/>
      <c r="AE280" s="15"/>
      <c r="AF280" s="15"/>
      <c r="AG280" s="15"/>
    </row>
    <row r="281" ht="11.25" customHeight="1">
      <c r="A281" s="1"/>
      <c r="B281" s="2"/>
      <c r="C281" s="1"/>
      <c r="D281" s="2"/>
      <c r="E281" s="2"/>
      <c r="F281" s="2"/>
      <c r="G281" s="2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15"/>
      <c r="AC281" s="54"/>
      <c r="AD281" s="15"/>
      <c r="AE281" s="15"/>
      <c r="AF281" s="15"/>
      <c r="AG281" s="15"/>
    </row>
    <row r="282" ht="11.25" customHeight="1">
      <c r="A282" s="1"/>
      <c r="B282" s="2"/>
      <c r="C282" s="1"/>
      <c r="D282" s="2"/>
      <c r="E282" s="2"/>
      <c r="F282" s="2"/>
      <c r="G282" s="2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15"/>
      <c r="AC282" s="54"/>
      <c r="AD282" s="15"/>
      <c r="AE282" s="15"/>
      <c r="AF282" s="15"/>
      <c r="AG282" s="15"/>
    </row>
    <row r="283" ht="11.25" customHeight="1">
      <c r="A283" s="1"/>
      <c r="B283" s="2"/>
      <c r="C283" s="1"/>
      <c r="D283" s="2"/>
      <c r="E283" s="2"/>
      <c r="F283" s="2"/>
      <c r="G283" s="2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15"/>
      <c r="AC283" s="54"/>
      <c r="AD283" s="15"/>
      <c r="AE283" s="15"/>
      <c r="AF283" s="15"/>
      <c r="AG283" s="15"/>
    </row>
    <row r="284" ht="11.25" customHeight="1">
      <c r="A284" s="1"/>
      <c r="B284" s="2"/>
      <c r="C284" s="1"/>
      <c r="D284" s="2"/>
      <c r="E284" s="2"/>
      <c r="F284" s="2"/>
      <c r="G284" s="2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15"/>
      <c r="AC284" s="54"/>
      <c r="AD284" s="15"/>
      <c r="AE284" s="15"/>
      <c r="AF284" s="15"/>
      <c r="AG284" s="15"/>
    </row>
    <row r="285" ht="11.25" customHeight="1">
      <c r="A285" s="1"/>
      <c r="B285" s="2"/>
      <c r="C285" s="1"/>
      <c r="D285" s="2"/>
      <c r="E285" s="2"/>
      <c r="F285" s="2"/>
      <c r="G285" s="2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15"/>
      <c r="AC285" s="54"/>
      <c r="AD285" s="15"/>
      <c r="AE285" s="15"/>
      <c r="AF285" s="15"/>
      <c r="AG285" s="15"/>
    </row>
    <row r="286" ht="11.25" customHeight="1">
      <c r="A286" s="1"/>
      <c r="B286" s="2"/>
      <c r="C286" s="1"/>
      <c r="D286" s="2"/>
      <c r="E286" s="2"/>
      <c r="F286" s="2"/>
      <c r="G286" s="2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15"/>
      <c r="AC286" s="54"/>
      <c r="AD286" s="15"/>
      <c r="AE286" s="15"/>
      <c r="AF286" s="15"/>
      <c r="AG286" s="15"/>
    </row>
    <row r="287" ht="11.25" customHeight="1">
      <c r="A287" s="1"/>
      <c r="B287" s="2"/>
      <c r="C287" s="1"/>
      <c r="D287" s="2"/>
      <c r="E287" s="2"/>
      <c r="F287" s="2"/>
      <c r="G287" s="2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15"/>
      <c r="AC287" s="54"/>
      <c r="AD287" s="15"/>
      <c r="AE287" s="15"/>
      <c r="AF287" s="15"/>
      <c r="AG287" s="15"/>
    </row>
    <row r="288" ht="11.25" customHeight="1">
      <c r="A288" s="1"/>
      <c r="B288" s="2"/>
      <c r="C288" s="1"/>
      <c r="D288" s="2"/>
      <c r="E288" s="2"/>
      <c r="F288" s="2"/>
      <c r="G288" s="2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15"/>
      <c r="AC288" s="54"/>
      <c r="AD288" s="15"/>
      <c r="AE288" s="15"/>
      <c r="AF288" s="15"/>
      <c r="AG288" s="15"/>
    </row>
    <row r="289" ht="11.25" customHeight="1">
      <c r="A289" s="1"/>
      <c r="B289" s="2"/>
      <c r="C289" s="1"/>
      <c r="D289" s="2"/>
      <c r="E289" s="2"/>
      <c r="F289" s="2"/>
      <c r="G289" s="2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15"/>
      <c r="AC289" s="54"/>
      <c r="AD289" s="15"/>
      <c r="AE289" s="15"/>
      <c r="AF289" s="15"/>
      <c r="AG289" s="15"/>
    </row>
    <row r="290" ht="11.25" customHeight="1">
      <c r="A290" s="1"/>
      <c r="B290" s="2"/>
      <c r="C290" s="1"/>
      <c r="D290" s="2"/>
      <c r="E290" s="2"/>
      <c r="F290" s="2"/>
      <c r="G290" s="2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15"/>
      <c r="AC290" s="54"/>
      <c r="AD290" s="15"/>
      <c r="AE290" s="15"/>
      <c r="AF290" s="15"/>
      <c r="AG290" s="15"/>
    </row>
    <row r="291" ht="11.25" customHeight="1">
      <c r="A291" s="1"/>
      <c r="B291" s="2"/>
      <c r="C291" s="1"/>
      <c r="D291" s="2"/>
      <c r="E291" s="2"/>
      <c r="F291" s="2"/>
      <c r="G291" s="2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15"/>
      <c r="AC291" s="54"/>
      <c r="AD291" s="15"/>
      <c r="AE291" s="15"/>
      <c r="AF291" s="15"/>
      <c r="AG291" s="15"/>
    </row>
    <row r="292" ht="11.25" customHeight="1">
      <c r="A292" s="1"/>
      <c r="B292" s="2"/>
      <c r="C292" s="1"/>
      <c r="D292" s="2"/>
      <c r="E292" s="2"/>
      <c r="F292" s="2"/>
      <c r="G292" s="2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15"/>
      <c r="AC292" s="54"/>
      <c r="AD292" s="15"/>
      <c r="AE292" s="15"/>
      <c r="AF292" s="15"/>
      <c r="AG292" s="15"/>
    </row>
    <row r="293" ht="11.25" customHeight="1">
      <c r="A293" s="1"/>
      <c r="B293" s="2"/>
      <c r="C293" s="1"/>
      <c r="D293" s="2"/>
      <c r="E293" s="2"/>
      <c r="F293" s="2"/>
      <c r="G293" s="2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15"/>
      <c r="AC293" s="54"/>
      <c r="AD293" s="15"/>
      <c r="AE293" s="15"/>
      <c r="AF293" s="15"/>
      <c r="AG293" s="15"/>
    </row>
    <row r="294" ht="11.25" customHeight="1">
      <c r="A294" s="1"/>
      <c r="B294" s="2"/>
      <c r="C294" s="1"/>
      <c r="D294" s="2"/>
      <c r="E294" s="2"/>
      <c r="F294" s="2"/>
      <c r="G294" s="2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15"/>
      <c r="AC294" s="54"/>
      <c r="AD294" s="15"/>
      <c r="AE294" s="15"/>
      <c r="AF294" s="15"/>
      <c r="AG294" s="15"/>
    </row>
    <row r="295" ht="11.25" customHeight="1">
      <c r="A295" s="1"/>
      <c r="B295" s="2"/>
      <c r="C295" s="1"/>
      <c r="D295" s="2"/>
      <c r="E295" s="2"/>
      <c r="F295" s="2"/>
      <c r="G295" s="2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15"/>
      <c r="AC295" s="54"/>
      <c r="AD295" s="15"/>
      <c r="AE295" s="15"/>
      <c r="AF295" s="15"/>
      <c r="AG295" s="15"/>
    </row>
    <row r="296" ht="11.25" customHeight="1">
      <c r="A296" s="1"/>
      <c r="B296" s="2"/>
      <c r="C296" s="1"/>
      <c r="D296" s="2"/>
      <c r="E296" s="2"/>
      <c r="F296" s="2"/>
      <c r="G296" s="2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15"/>
      <c r="AC296" s="54"/>
      <c r="AD296" s="15"/>
      <c r="AE296" s="15"/>
      <c r="AF296" s="15"/>
      <c r="AG296" s="15"/>
    </row>
    <row r="297" ht="11.25" customHeight="1">
      <c r="A297" s="1"/>
      <c r="B297" s="2"/>
      <c r="C297" s="1"/>
      <c r="D297" s="2"/>
      <c r="E297" s="2"/>
      <c r="F297" s="2"/>
      <c r="G297" s="2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15"/>
      <c r="AC297" s="54"/>
      <c r="AD297" s="15"/>
      <c r="AE297" s="15"/>
      <c r="AF297" s="15"/>
      <c r="AG297" s="15"/>
    </row>
    <row r="298" ht="11.25" customHeight="1">
      <c r="A298" s="1"/>
      <c r="B298" s="2"/>
      <c r="C298" s="1"/>
      <c r="D298" s="2"/>
      <c r="E298" s="2"/>
      <c r="F298" s="2"/>
      <c r="G298" s="2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15"/>
      <c r="AC298" s="54"/>
      <c r="AD298" s="15"/>
      <c r="AE298" s="15"/>
      <c r="AF298" s="15"/>
      <c r="AG298" s="15"/>
    </row>
    <row r="299" ht="11.25" customHeight="1">
      <c r="A299" s="1"/>
      <c r="B299" s="2"/>
      <c r="C299" s="1"/>
      <c r="D299" s="2"/>
      <c r="E299" s="2"/>
      <c r="F299" s="2"/>
      <c r="G299" s="2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15"/>
      <c r="AC299" s="54"/>
      <c r="AD299" s="15"/>
      <c r="AE299" s="15"/>
      <c r="AF299" s="15"/>
      <c r="AG299" s="15"/>
    </row>
    <row r="300" ht="11.25" customHeight="1">
      <c r="A300" s="1"/>
      <c r="B300" s="2"/>
      <c r="C300" s="1"/>
      <c r="D300" s="2"/>
      <c r="E300" s="2"/>
      <c r="F300" s="2"/>
      <c r="G300" s="2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15"/>
      <c r="AC300" s="54"/>
      <c r="AD300" s="15"/>
      <c r="AE300" s="15"/>
      <c r="AF300" s="15"/>
      <c r="AG300" s="15"/>
    </row>
    <row r="301" ht="11.25" customHeight="1">
      <c r="A301" s="1"/>
      <c r="B301" s="2"/>
      <c r="C301" s="1"/>
      <c r="D301" s="2"/>
      <c r="E301" s="2"/>
      <c r="F301" s="2"/>
      <c r="G301" s="2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15"/>
      <c r="AC301" s="54"/>
      <c r="AD301" s="15"/>
      <c r="AE301" s="15"/>
      <c r="AF301" s="15"/>
      <c r="AG301" s="15"/>
    </row>
    <row r="302" ht="11.25" customHeight="1">
      <c r="A302" s="1"/>
      <c r="B302" s="2"/>
      <c r="C302" s="1"/>
      <c r="D302" s="2"/>
      <c r="E302" s="2"/>
      <c r="F302" s="2"/>
      <c r="G302" s="2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15"/>
      <c r="AC302" s="54"/>
      <c r="AD302" s="15"/>
      <c r="AE302" s="15"/>
      <c r="AF302" s="15"/>
      <c r="AG302" s="15"/>
    </row>
    <row r="303" ht="11.25" customHeight="1">
      <c r="A303" s="1"/>
      <c r="B303" s="2"/>
      <c r="C303" s="1"/>
      <c r="D303" s="2"/>
      <c r="E303" s="2"/>
      <c r="F303" s="2"/>
      <c r="G303" s="2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15"/>
      <c r="AC303" s="54"/>
      <c r="AD303" s="15"/>
      <c r="AE303" s="15"/>
      <c r="AF303" s="15"/>
      <c r="AG303" s="15"/>
    </row>
    <row r="304" ht="11.25" customHeight="1">
      <c r="A304" s="1"/>
      <c r="B304" s="2"/>
      <c r="C304" s="1"/>
      <c r="D304" s="2"/>
      <c r="E304" s="2"/>
      <c r="F304" s="2"/>
      <c r="G304" s="2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15"/>
      <c r="AC304" s="54"/>
      <c r="AD304" s="15"/>
      <c r="AE304" s="15"/>
      <c r="AF304" s="15"/>
      <c r="AG304" s="15"/>
    </row>
    <row r="305" ht="11.25" customHeight="1">
      <c r="A305" s="1"/>
      <c r="B305" s="2"/>
      <c r="C305" s="1"/>
      <c r="D305" s="2"/>
      <c r="E305" s="2"/>
      <c r="F305" s="2"/>
      <c r="G305" s="2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15"/>
      <c r="AC305" s="54"/>
      <c r="AD305" s="15"/>
      <c r="AE305" s="15"/>
      <c r="AF305" s="15"/>
      <c r="AG305" s="15"/>
    </row>
    <row r="306" ht="11.25" customHeight="1">
      <c r="A306" s="1"/>
      <c r="B306" s="2"/>
      <c r="C306" s="1"/>
      <c r="D306" s="2"/>
      <c r="E306" s="2"/>
      <c r="F306" s="2"/>
      <c r="G306" s="2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15"/>
      <c r="AC306" s="54"/>
      <c r="AD306" s="15"/>
      <c r="AE306" s="15"/>
      <c r="AF306" s="15"/>
      <c r="AG306" s="15"/>
    </row>
    <row r="307" ht="11.25" customHeight="1">
      <c r="A307" s="1"/>
      <c r="B307" s="2"/>
      <c r="C307" s="1"/>
      <c r="D307" s="2"/>
      <c r="E307" s="2"/>
      <c r="F307" s="2"/>
      <c r="G307" s="2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15"/>
      <c r="AC307" s="54"/>
      <c r="AD307" s="15"/>
      <c r="AE307" s="15"/>
      <c r="AF307" s="15"/>
      <c r="AG307" s="15"/>
    </row>
    <row r="308" ht="11.25" customHeight="1">
      <c r="A308" s="1"/>
      <c r="B308" s="2"/>
      <c r="C308" s="1"/>
      <c r="D308" s="2"/>
      <c r="E308" s="2"/>
      <c r="F308" s="2"/>
      <c r="G308" s="2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15"/>
      <c r="AC308" s="54"/>
      <c r="AD308" s="15"/>
      <c r="AE308" s="15"/>
      <c r="AF308" s="15"/>
      <c r="AG308" s="15"/>
    </row>
    <row r="309" ht="11.25" customHeight="1">
      <c r="A309" s="1"/>
      <c r="B309" s="2"/>
      <c r="C309" s="1"/>
      <c r="D309" s="2"/>
      <c r="E309" s="2"/>
      <c r="F309" s="2"/>
      <c r="G309" s="2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15"/>
      <c r="AC309" s="54"/>
      <c r="AD309" s="15"/>
      <c r="AE309" s="15"/>
      <c r="AF309" s="15"/>
      <c r="AG309" s="15"/>
    </row>
    <row r="310" ht="11.25" customHeight="1">
      <c r="A310" s="1"/>
      <c r="B310" s="2"/>
      <c r="C310" s="1"/>
      <c r="D310" s="2"/>
      <c r="E310" s="2"/>
      <c r="F310" s="2"/>
      <c r="G310" s="2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15"/>
      <c r="AC310" s="54"/>
      <c r="AD310" s="15"/>
      <c r="AE310" s="15"/>
      <c r="AF310" s="15"/>
      <c r="AG310" s="15"/>
    </row>
    <row r="311" ht="11.25" customHeight="1">
      <c r="A311" s="1"/>
      <c r="B311" s="2"/>
      <c r="C311" s="1"/>
      <c r="D311" s="2"/>
      <c r="E311" s="2"/>
      <c r="F311" s="2"/>
      <c r="G311" s="2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15"/>
      <c r="AC311" s="54"/>
      <c r="AD311" s="15"/>
      <c r="AE311" s="15"/>
      <c r="AF311" s="15"/>
      <c r="AG311" s="15"/>
    </row>
    <row r="312" ht="11.25" customHeight="1">
      <c r="A312" s="1"/>
      <c r="B312" s="2"/>
      <c r="C312" s="1"/>
      <c r="D312" s="2"/>
      <c r="E312" s="2"/>
      <c r="F312" s="2"/>
      <c r="G312" s="2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15"/>
      <c r="AC312" s="54"/>
      <c r="AD312" s="15"/>
      <c r="AE312" s="15"/>
      <c r="AF312" s="15"/>
      <c r="AG312" s="15"/>
    </row>
    <row r="313" ht="11.25" customHeight="1">
      <c r="A313" s="1"/>
      <c r="B313" s="2"/>
      <c r="C313" s="1"/>
      <c r="D313" s="2"/>
      <c r="E313" s="2"/>
      <c r="F313" s="2"/>
      <c r="G313" s="2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15"/>
      <c r="AC313" s="54"/>
      <c r="AD313" s="15"/>
      <c r="AE313" s="15"/>
      <c r="AF313" s="15"/>
      <c r="AG313" s="15"/>
    </row>
    <row r="314" ht="11.25" customHeight="1">
      <c r="A314" s="1"/>
      <c r="B314" s="2"/>
      <c r="C314" s="1"/>
      <c r="D314" s="2"/>
      <c r="E314" s="2"/>
      <c r="F314" s="2"/>
      <c r="G314" s="2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15"/>
      <c r="AC314" s="54"/>
      <c r="AD314" s="15"/>
      <c r="AE314" s="15"/>
      <c r="AF314" s="15"/>
      <c r="AG314" s="15"/>
    </row>
    <row r="315" ht="11.25" customHeight="1">
      <c r="A315" s="1"/>
      <c r="B315" s="2"/>
      <c r="C315" s="1"/>
      <c r="D315" s="2"/>
      <c r="E315" s="2"/>
      <c r="F315" s="2"/>
      <c r="G315" s="2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15"/>
      <c r="AC315" s="54"/>
      <c r="AD315" s="15"/>
      <c r="AE315" s="15"/>
      <c r="AF315" s="15"/>
      <c r="AG315" s="15"/>
    </row>
    <row r="316" ht="11.25" customHeight="1">
      <c r="A316" s="1"/>
      <c r="B316" s="2"/>
      <c r="C316" s="1"/>
      <c r="D316" s="2"/>
      <c r="E316" s="2"/>
      <c r="F316" s="2"/>
      <c r="G316" s="2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15"/>
      <c r="AC316" s="54"/>
      <c r="AD316" s="15"/>
      <c r="AE316" s="15"/>
      <c r="AF316" s="15"/>
      <c r="AG316" s="15"/>
    </row>
    <row r="317" ht="11.25" customHeight="1">
      <c r="A317" s="1"/>
      <c r="B317" s="2"/>
      <c r="C317" s="1"/>
      <c r="D317" s="2"/>
      <c r="E317" s="2"/>
      <c r="F317" s="2"/>
      <c r="G317" s="2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15"/>
      <c r="AC317" s="54"/>
      <c r="AD317" s="15"/>
      <c r="AE317" s="15"/>
      <c r="AF317" s="15"/>
      <c r="AG317" s="15"/>
    </row>
    <row r="318" ht="11.25" customHeight="1">
      <c r="A318" s="1"/>
      <c r="B318" s="2"/>
      <c r="C318" s="1"/>
      <c r="D318" s="2"/>
      <c r="E318" s="2"/>
      <c r="F318" s="2"/>
      <c r="G318" s="2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15"/>
      <c r="AC318" s="54"/>
      <c r="AD318" s="15"/>
      <c r="AE318" s="15"/>
      <c r="AF318" s="15"/>
      <c r="AG318" s="15"/>
    </row>
    <row r="319" ht="11.25" customHeight="1">
      <c r="A319" s="1"/>
      <c r="B319" s="2"/>
      <c r="C319" s="1"/>
      <c r="D319" s="2"/>
      <c r="E319" s="2"/>
      <c r="F319" s="2"/>
      <c r="G319" s="2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15"/>
      <c r="AC319" s="54"/>
      <c r="AD319" s="15"/>
      <c r="AE319" s="15"/>
      <c r="AF319" s="15"/>
      <c r="AG319" s="15"/>
    </row>
    <row r="320" ht="11.25" customHeight="1">
      <c r="A320" s="1"/>
      <c r="B320" s="2"/>
      <c r="C320" s="1"/>
      <c r="D320" s="2"/>
      <c r="E320" s="2"/>
      <c r="F320" s="2"/>
      <c r="G320" s="2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15"/>
      <c r="AC320" s="54"/>
      <c r="AD320" s="15"/>
      <c r="AE320" s="15"/>
      <c r="AF320" s="15"/>
      <c r="AG320" s="15"/>
    </row>
    <row r="321" ht="11.25" customHeight="1">
      <c r="A321" s="1"/>
      <c r="B321" s="2"/>
      <c r="C321" s="1"/>
      <c r="D321" s="2"/>
      <c r="E321" s="2"/>
      <c r="F321" s="2"/>
      <c r="G321" s="2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15"/>
      <c r="AC321" s="54"/>
      <c r="AD321" s="15"/>
      <c r="AE321" s="15"/>
      <c r="AF321" s="15"/>
      <c r="AG321" s="15"/>
    </row>
    <row r="322" ht="11.25" customHeight="1">
      <c r="A322" s="1"/>
      <c r="B322" s="2"/>
      <c r="C322" s="1"/>
      <c r="D322" s="2"/>
      <c r="E322" s="2"/>
      <c r="F322" s="2"/>
      <c r="G322" s="2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15"/>
      <c r="AC322" s="54"/>
      <c r="AD322" s="15"/>
      <c r="AE322" s="15"/>
      <c r="AF322" s="15"/>
      <c r="AG322" s="15"/>
    </row>
    <row r="323" ht="11.25" customHeight="1">
      <c r="A323" s="1"/>
      <c r="B323" s="2"/>
      <c r="C323" s="1"/>
      <c r="D323" s="2"/>
      <c r="E323" s="2"/>
      <c r="F323" s="2"/>
      <c r="G323" s="2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15"/>
      <c r="AC323" s="54"/>
      <c r="AD323" s="15"/>
      <c r="AE323" s="15"/>
      <c r="AF323" s="15"/>
      <c r="AG323" s="15"/>
    </row>
    <row r="324" ht="11.25" customHeight="1">
      <c r="A324" s="1"/>
      <c r="B324" s="2"/>
      <c r="C324" s="1"/>
      <c r="D324" s="2"/>
      <c r="E324" s="2"/>
      <c r="F324" s="2"/>
      <c r="G324" s="2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15"/>
      <c r="AC324" s="54"/>
      <c r="AD324" s="15"/>
      <c r="AE324" s="15"/>
      <c r="AF324" s="15"/>
      <c r="AG324" s="15"/>
    </row>
    <row r="325" ht="11.25" customHeight="1">
      <c r="A325" s="1"/>
      <c r="B325" s="2"/>
      <c r="C325" s="1"/>
      <c r="D325" s="2"/>
      <c r="E325" s="2"/>
      <c r="F325" s="2"/>
      <c r="G325" s="2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15"/>
      <c r="AC325" s="54"/>
      <c r="AD325" s="15"/>
      <c r="AE325" s="15"/>
      <c r="AF325" s="15"/>
      <c r="AG325" s="15"/>
    </row>
    <row r="326" ht="11.25" customHeight="1">
      <c r="A326" s="1"/>
      <c r="B326" s="2"/>
      <c r="C326" s="1"/>
      <c r="D326" s="2"/>
      <c r="E326" s="2"/>
      <c r="F326" s="2"/>
      <c r="G326" s="2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15"/>
      <c r="AC326" s="54"/>
      <c r="AD326" s="15"/>
      <c r="AE326" s="15"/>
      <c r="AF326" s="15"/>
      <c r="AG326" s="15"/>
    </row>
    <row r="327" ht="11.25" customHeight="1">
      <c r="A327" s="1"/>
      <c r="B327" s="2"/>
      <c r="C327" s="1"/>
      <c r="D327" s="2"/>
      <c r="E327" s="2"/>
      <c r="F327" s="2"/>
      <c r="G327" s="2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15"/>
      <c r="AC327" s="54"/>
      <c r="AD327" s="15"/>
      <c r="AE327" s="15"/>
      <c r="AF327" s="15"/>
      <c r="AG327" s="15"/>
    </row>
    <row r="328" ht="11.25" customHeight="1">
      <c r="A328" s="1"/>
      <c r="B328" s="2"/>
      <c r="C328" s="1"/>
      <c r="D328" s="2"/>
      <c r="E328" s="2"/>
      <c r="F328" s="2"/>
      <c r="G328" s="2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15"/>
      <c r="AC328" s="54"/>
      <c r="AD328" s="15"/>
      <c r="AE328" s="15"/>
      <c r="AF328" s="15"/>
      <c r="AG328" s="15"/>
    </row>
    <row r="329" ht="11.25" customHeight="1">
      <c r="A329" s="1"/>
      <c r="B329" s="2"/>
      <c r="C329" s="1"/>
      <c r="D329" s="2"/>
      <c r="E329" s="2"/>
      <c r="F329" s="2"/>
      <c r="G329" s="2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15"/>
      <c r="AC329" s="54"/>
      <c r="AD329" s="15"/>
      <c r="AE329" s="15"/>
      <c r="AF329" s="15"/>
      <c r="AG329" s="15"/>
    </row>
    <row r="330" ht="11.25" customHeight="1">
      <c r="A330" s="1"/>
      <c r="B330" s="2"/>
      <c r="C330" s="1"/>
      <c r="D330" s="2"/>
      <c r="E330" s="2"/>
      <c r="F330" s="2"/>
      <c r="G330" s="2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15"/>
      <c r="AC330" s="54"/>
      <c r="AD330" s="15"/>
      <c r="AE330" s="15"/>
      <c r="AF330" s="15"/>
      <c r="AG330" s="15"/>
    </row>
    <row r="331" ht="11.25" customHeight="1">
      <c r="A331" s="1"/>
      <c r="B331" s="2"/>
      <c r="C331" s="1"/>
      <c r="D331" s="2"/>
      <c r="E331" s="2"/>
      <c r="F331" s="2"/>
      <c r="G331" s="2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15"/>
      <c r="AC331" s="54"/>
      <c r="AD331" s="15"/>
      <c r="AE331" s="15"/>
      <c r="AF331" s="15"/>
      <c r="AG331" s="15"/>
    </row>
    <row r="332" ht="11.25" customHeight="1">
      <c r="A332" s="1"/>
      <c r="B332" s="2"/>
      <c r="C332" s="1"/>
      <c r="D332" s="2"/>
      <c r="E332" s="2"/>
      <c r="F332" s="2"/>
      <c r="G332" s="2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15"/>
      <c r="AC332" s="54"/>
      <c r="AD332" s="15"/>
      <c r="AE332" s="15"/>
      <c r="AF332" s="15"/>
      <c r="AG332" s="15"/>
    </row>
    <row r="333" ht="11.25" customHeight="1">
      <c r="A333" s="1"/>
      <c r="B333" s="2"/>
      <c r="C333" s="1"/>
      <c r="D333" s="2"/>
      <c r="E333" s="2"/>
      <c r="F333" s="2"/>
      <c r="G333" s="2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15"/>
      <c r="AC333" s="54"/>
      <c r="AD333" s="15"/>
      <c r="AE333" s="15"/>
      <c r="AF333" s="15"/>
      <c r="AG333" s="15"/>
    </row>
    <row r="334" ht="11.25" customHeight="1">
      <c r="A334" s="1"/>
      <c r="B334" s="2"/>
      <c r="C334" s="1"/>
      <c r="D334" s="2"/>
      <c r="E334" s="2"/>
      <c r="F334" s="2"/>
      <c r="G334" s="2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15"/>
      <c r="AC334" s="54"/>
      <c r="AD334" s="15"/>
      <c r="AE334" s="15"/>
      <c r="AF334" s="15"/>
      <c r="AG334" s="15"/>
    </row>
    <row r="335" ht="11.25" customHeight="1">
      <c r="A335" s="1"/>
      <c r="B335" s="2"/>
      <c r="C335" s="1"/>
      <c r="D335" s="2"/>
      <c r="E335" s="2"/>
      <c r="F335" s="2"/>
      <c r="G335" s="2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15"/>
      <c r="AC335" s="54"/>
      <c r="AD335" s="15"/>
      <c r="AE335" s="15"/>
      <c r="AF335" s="15"/>
      <c r="AG335" s="15"/>
    </row>
    <row r="336" ht="11.25" customHeight="1">
      <c r="A336" s="1"/>
      <c r="B336" s="2"/>
      <c r="C336" s="1"/>
      <c r="D336" s="2"/>
      <c r="E336" s="2"/>
      <c r="F336" s="2"/>
      <c r="G336" s="2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15"/>
      <c r="AC336" s="54"/>
      <c r="AD336" s="15"/>
      <c r="AE336" s="15"/>
      <c r="AF336" s="15"/>
      <c r="AG336" s="15"/>
    </row>
    <row r="337" ht="11.25" customHeight="1">
      <c r="A337" s="1"/>
      <c r="B337" s="2"/>
      <c r="C337" s="1"/>
      <c r="D337" s="2"/>
      <c r="E337" s="2"/>
      <c r="F337" s="2"/>
      <c r="G337" s="2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15"/>
      <c r="AC337" s="54"/>
      <c r="AD337" s="15"/>
      <c r="AE337" s="15"/>
      <c r="AF337" s="15"/>
      <c r="AG337" s="15"/>
    </row>
    <row r="338" ht="11.25" customHeight="1">
      <c r="A338" s="1"/>
      <c r="B338" s="2"/>
      <c r="C338" s="1"/>
      <c r="D338" s="2"/>
      <c r="E338" s="2"/>
      <c r="F338" s="2"/>
      <c r="G338" s="2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15"/>
      <c r="AC338" s="54"/>
      <c r="AD338" s="15"/>
      <c r="AE338" s="15"/>
      <c r="AF338" s="15"/>
      <c r="AG338" s="15"/>
    </row>
    <row r="339" ht="11.25" customHeight="1">
      <c r="A339" s="1"/>
      <c r="B339" s="2"/>
      <c r="C339" s="1"/>
      <c r="D339" s="2"/>
      <c r="E339" s="2"/>
      <c r="F339" s="2"/>
      <c r="G339" s="2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15"/>
      <c r="AC339" s="54"/>
      <c r="AD339" s="15"/>
      <c r="AE339" s="15"/>
      <c r="AF339" s="15"/>
      <c r="AG339" s="15"/>
    </row>
    <row r="340" ht="11.25" customHeight="1">
      <c r="A340" s="1"/>
      <c r="B340" s="2"/>
      <c r="C340" s="1"/>
      <c r="D340" s="2"/>
      <c r="E340" s="2"/>
      <c r="F340" s="2"/>
      <c r="G340" s="2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15"/>
      <c r="AC340" s="54"/>
      <c r="AD340" s="15"/>
      <c r="AE340" s="15"/>
      <c r="AF340" s="15"/>
      <c r="AG340" s="15"/>
    </row>
    <row r="341" ht="11.25" customHeight="1">
      <c r="A341" s="1"/>
      <c r="B341" s="2"/>
      <c r="C341" s="1"/>
      <c r="D341" s="2"/>
      <c r="E341" s="2"/>
      <c r="F341" s="2"/>
      <c r="G341" s="2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15"/>
      <c r="AC341" s="54"/>
      <c r="AD341" s="15"/>
      <c r="AE341" s="15"/>
      <c r="AF341" s="15"/>
      <c r="AG341" s="15"/>
    </row>
    <row r="342" ht="11.25" customHeight="1">
      <c r="A342" s="1"/>
      <c r="B342" s="2"/>
      <c r="C342" s="1"/>
      <c r="D342" s="2"/>
      <c r="E342" s="2"/>
      <c r="F342" s="2"/>
      <c r="G342" s="2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15"/>
      <c r="AC342" s="54"/>
      <c r="AD342" s="15"/>
      <c r="AE342" s="15"/>
      <c r="AF342" s="15"/>
      <c r="AG342" s="15"/>
    </row>
    <row r="343" ht="11.25" customHeight="1">
      <c r="A343" s="1"/>
      <c r="B343" s="2"/>
      <c r="C343" s="1"/>
      <c r="D343" s="2"/>
      <c r="E343" s="2"/>
      <c r="F343" s="2"/>
      <c r="G343" s="2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15"/>
      <c r="AC343" s="54"/>
      <c r="AD343" s="15"/>
      <c r="AE343" s="15"/>
      <c r="AF343" s="15"/>
      <c r="AG343" s="15"/>
    </row>
    <row r="344" ht="11.25" customHeight="1">
      <c r="A344" s="1"/>
      <c r="B344" s="2"/>
      <c r="C344" s="1"/>
      <c r="D344" s="2"/>
      <c r="E344" s="2"/>
      <c r="F344" s="2"/>
      <c r="G344" s="2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15"/>
      <c r="AC344" s="54"/>
      <c r="AD344" s="15"/>
      <c r="AE344" s="15"/>
      <c r="AF344" s="15"/>
      <c r="AG344" s="15"/>
    </row>
    <row r="345" ht="11.25" customHeight="1">
      <c r="A345" s="1"/>
      <c r="B345" s="2"/>
      <c r="C345" s="1"/>
      <c r="D345" s="2"/>
      <c r="E345" s="2"/>
      <c r="F345" s="2"/>
      <c r="G345" s="2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15"/>
      <c r="AC345" s="54"/>
      <c r="AD345" s="15"/>
      <c r="AE345" s="15"/>
      <c r="AF345" s="15"/>
      <c r="AG345" s="15"/>
    </row>
    <row r="346" ht="11.25" customHeight="1">
      <c r="A346" s="1"/>
      <c r="B346" s="2"/>
      <c r="C346" s="1"/>
      <c r="D346" s="2"/>
      <c r="E346" s="2"/>
      <c r="F346" s="2"/>
      <c r="G346" s="2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15"/>
      <c r="AC346" s="54"/>
      <c r="AD346" s="15"/>
      <c r="AE346" s="15"/>
      <c r="AF346" s="15"/>
      <c r="AG346" s="15"/>
    </row>
    <row r="347" ht="11.25" customHeight="1">
      <c r="A347" s="1"/>
      <c r="B347" s="2"/>
      <c r="C347" s="1"/>
      <c r="D347" s="2"/>
      <c r="E347" s="2"/>
      <c r="F347" s="2"/>
      <c r="G347" s="2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15"/>
      <c r="AC347" s="54"/>
      <c r="AD347" s="15"/>
      <c r="AE347" s="15"/>
      <c r="AF347" s="15"/>
      <c r="AG347" s="15"/>
    </row>
    <row r="348" ht="11.25" customHeight="1">
      <c r="A348" s="1"/>
      <c r="B348" s="2"/>
      <c r="C348" s="1"/>
      <c r="D348" s="2"/>
      <c r="E348" s="2"/>
      <c r="F348" s="2"/>
      <c r="G348" s="2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15"/>
      <c r="AC348" s="54"/>
      <c r="AD348" s="15"/>
      <c r="AE348" s="15"/>
      <c r="AF348" s="15"/>
      <c r="AG348" s="15"/>
    </row>
    <row r="349" ht="11.25" customHeight="1">
      <c r="A349" s="1"/>
      <c r="B349" s="2"/>
      <c r="C349" s="1"/>
      <c r="D349" s="2"/>
      <c r="E349" s="2"/>
      <c r="F349" s="2"/>
      <c r="G349" s="2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15"/>
      <c r="AC349" s="54"/>
      <c r="AD349" s="15"/>
      <c r="AE349" s="15"/>
      <c r="AF349" s="15"/>
      <c r="AG349" s="15"/>
    </row>
    <row r="350" ht="11.25" customHeight="1">
      <c r="A350" s="1"/>
      <c r="B350" s="2"/>
      <c r="C350" s="1"/>
      <c r="D350" s="2"/>
      <c r="E350" s="2"/>
      <c r="F350" s="2"/>
      <c r="G350" s="2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15"/>
      <c r="AC350" s="54"/>
      <c r="AD350" s="15"/>
      <c r="AE350" s="15"/>
      <c r="AF350" s="15"/>
      <c r="AG350" s="15"/>
    </row>
    <row r="351" ht="11.25" customHeight="1">
      <c r="A351" s="1"/>
      <c r="B351" s="2"/>
      <c r="C351" s="1"/>
      <c r="D351" s="2"/>
      <c r="E351" s="2"/>
      <c r="F351" s="2"/>
      <c r="G351" s="2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15"/>
      <c r="AC351" s="54"/>
      <c r="AD351" s="15"/>
      <c r="AE351" s="15"/>
      <c r="AF351" s="15"/>
      <c r="AG351" s="15"/>
    </row>
    <row r="352" ht="11.25" customHeight="1">
      <c r="A352" s="1"/>
      <c r="B352" s="2"/>
      <c r="C352" s="1"/>
      <c r="D352" s="2"/>
      <c r="E352" s="2"/>
      <c r="F352" s="2"/>
      <c r="G352" s="2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15"/>
      <c r="AC352" s="54"/>
      <c r="AD352" s="15"/>
      <c r="AE352" s="15"/>
      <c r="AF352" s="15"/>
      <c r="AG352" s="15"/>
    </row>
    <row r="353" ht="11.25" customHeight="1">
      <c r="A353" s="1"/>
      <c r="B353" s="2"/>
      <c r="C353" s="1"/>
      <c r="D353" s="2"/>
      <c r="E353" s="2"/>
      <c r="F353" s="2"/>
      <c r="G353" s="2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15"/>
      <c r="AC353" s="54"/>
      <c r="AD353" s="15"/>
      <c r="AE353" s="15"/>
      <c r="AF353" s="15"/>
      <c r="AG353" s="15"/>
    </row>
    <row r="354" ht="11.25" customHeight="1">
      <c r="A354" s="1"/>
      <c r="B354" s="2"/>
      <c r="C354" s="1"/>
      <c r="D354" s="2"/>
      <c r="E354" s="2"/>
      <c r="F354" s="2"/>
      <c r="G354" s="2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15"/>
      <c r="AC354" s="54"/>
      <c r="AD354" s="15"/>
      <c r="AE354" s="15"/>
      <c r="AF354" s="15"/>
      <c r="AG354" s="15"/>
    </row>
    <row r="355" ht="11.25" customHeight="1">
      <c r="A355" s="1"/>
      <c r="B355" s="2"/>
      <c r="C355" s="1"/>
      <c r="D355" s="2"/>
      <c r="E355" s="2"/>
      <c r="F355" s="2"/>
      <c r="G355" s="2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15"/>
      <c r="AC355" s="54"/>
      <c r="AD355" s="15"/>
      <c r="AE355" s="15"/>
      <c r="AF355" s="15"/>
      <c r="AG355" s="15"/>
    </row>
    <row r="356" ht="11.25" customHeight="1">
      <c r="A356" s="1"/>
      <c r="B356" s="2"/>
      <c r="C356" s="1"/>
      <c r="D356" s="2"/>
      <c r="E356" s="2"/>
      <c r="F356" s="2"/>
      <c r="G356" s="2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15"/>
      <c r="AC356" s="54"/>
      <c r="AD356" s="15"/>
      <c r="AE356" s="15"/>
      <c r="AF356" s="15"/>
      <c r="AG356" s="15"/>
    </row>
    <row r="357" ht="11.25" customHeight="1">
      <c r="A357" s="1"/>
      <c r="B357" s="2"/>
      <c r="C357" s="1"/>
      <c r="D357" s="2"/>
      <c r="E357" s="2"/>
      <c r="F357" s="2"/>
      <c r="G357" s="2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15"/>
      <c r="AC357" s="54"/>
      <c r="AD357" s="15"/>
      <c r="AE357" s="15"/>
      <c r="AF357" s="15"/>
      <c r="AG357" s="15"/>
    </row>
    <row r="358" ht="11.25" customHeight="1">
      <c r="A358" s="1"/>
      <c r="B358" s="2"/>
      <c r="C358" s="1"/>
      <c r="D358" s="2"/>
      <c r="E358" s="2"/>
      <c r="F358" s="2"/>
      <c r="G358" s="2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15"/>
      <c r="AC358" s="54"/>
      <c r="AD358" s="15"/>
      <c r="AE358" s="15"/>
      <c r="AF358" s="15"/>
      <c r="AG358" s="15"/>
    </row>
    <row r="359" ht="11.25" customHeight="1">
      <c r="A359" s="1"/>
      <c r="B359" s="2"/>
      <c r="C359" s="1"/>
      <c r="D359" s="2"/>
      <c r="E359" s="2"/>
      <c r="F359" s="2"/>
      <c r="G359" s="2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15"/>
      <c r="AC359" s="54"/>
      <c r="AD359" s="15"/>
      <c r="AE359" s="15"/>
      <c r="AF359" s="15"/>
      <c r="AG359" s="15"/>
    </row>
    <row r="360" ht="11.25" customHeight="1">
      <c r="A360" s="1"/>
      <c r="B360" s="2"/>
      <c r="C360" s="1"/>
      <c r="D360" s="2"/>
      <c r="E360" s="2"/>
      <c r="F360" s="2"/>
      <c r="G360" s="2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15"/>
      <c r="AC360" s="54"/>
      <c r="AD360" s="15"/>
      <c r="AE360" s="15"/>
      <c r="AF360" s="15"/>
      <c r="AG360" s="15"/>
    </row>
    <row r="361" ht="11.25" customHeight="1">
      <c r="A361" s="1"/>
      <c r="B361" s="2"/>
      <c r="C361" s="1"/>
      <c r="D361" s="2"/>
      <c r="E361" s="2"/>
      <c r="F361" s="2"/>
      <c r="G361" s="2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15"/>
      <c r="AC361" s="54"/>
      <c r="AD361" s="15"/>
      <c r="AE361" s="15"/>
      <c r="AF361" s="15"/>
      <c r="AG361" s="15"/>
    </row>
    <row r="362" ht="11.25" customHeight="1">
      <c r="A362" s="1"/>
      <c r="B362" s="2"/>
      <c r="C362" s="1"/>
      <c r="D362" s="2"/>
      <c r="E362" s="2"/>
      <c r="F362" s="2"/>
      <c r="G362" s="2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15"/>
      <c r="AC362" s="54"/>
      <c r="AD362" s="15"/>
      <c r="AE362" s="15"/>
      <c r="AF362" s="15"/>
      <c r="AG362" s="15"/>
    </row>
    <row r="363" ht="11.25" customHeight="1">
      <c r="A363" s="1"/>
      <c r="B363" s="2"/>
      <c r="C363" s="1"/>
      <c r="D363" s="2"/>
      <c r="E363" s="2"/>
      <c r="F363" s="2"/>
      <c r="G363" s="2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15"/>
      <c r="AC363" s="54"/>
      <c r="AD363" s="15"/>
      <c r="AE363" s="15"/>
      <c r="AF363" s="15"/>
      <c r="AG363" s="15"/>
    </row>
    <row r="364" ht="11.25" customHeight="1">
      <c r="A364" s="1"/>
      <c r="B364" s="2"/>
      <c r="C364" s="1"/>
      <c r="D364" s="2"/>
      <c r="E364" s="2"/>
      <c r="F364" s="2"/>
      <c r="G364" s="2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15"/>
      <c r="AC364" s="54"/>
      <c r="AD364" s="15"/>
      <c r="AE364" s="15"/>
      <c r="AF364" s="15"/>
      <c r="AG364" s="15"/>
    </row>
    <row r="365" ht="11.25" customHeight="1">
      <c r="A365" s="1"/>
      <c r="B365" s="2"/>
      <c r="C365" s="1"/>
      <c r="D365" s="2"/>
      <c r="E365" s="2"/>
      <c r="F365" s="2"/>
      <c r="G365" s="2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15"/>
      <c r="AC365" s="54"/>
      <c r="AD365" s="15"/>
      <c r="AE365" s="15"/>
      <c r="AF365" s="15"/>
      <c r="AG365" s="15"/>
    </row>
    <row r="366" ht="11.25" customHeight="1">
      <c r="A366" s="1"/>
      <c r="B366" s="2"/>
      <c r="C366" s="1"/>
      <c r="D366" s="2"/>
      <c r="E366" s="2"/>
      <c r="F366" s="2"/>
      <c r="G366" s="2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15"/>
      <c r="AC366" s="54"/>
      <c r="AD366" s="15"/>
      <c r="AE366" s="15"/>
      <c r="AF366" s="15"/>
      <c r="AG366" s="15"/>
    </row>
    <row r="367" ht="11.25" customHeight="1">
      <c r="A367" s="1"/>
      <c r="B367" s="2"/>
      <c r="C367" s="1"/>
      <c r="D367" s="2"/>
      <c r="E367" s="2"/>
      <c r="F367" s="2"/>
      <c r="G367" s="2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15"/>
      <c r="AC367" s="54"/>
      <c r="AD367" s="15"/>
      <c r="AE367" s="15"/>
      <c r="AF367" s="15"/>
      <c r="AG367" s="15"/>
    </row>
    <row r="368" ht="11.25" customHeight="1">
      <c r="A368" s="1"/>
      <c r="B368" s="2"/>
      <c r="C368" s="1"/>
      <c r="D368" s="2"/>
      <c r="E368" s="2"/>
      <c r="F368" s="2"/>
      <c r="G368" s="2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15"/>
      <c r="AC368" s="54"/>
      <c r="AD368" s="15"/>
      <c r="AE368" s="15"/>
      <c r="AF368" s="15"/>
      <c r="AG368" s="15"/>
    </row>
    <row r="369" ht="11.25" customHeight="1">
      <c r="A369" s="1"/>
      <c r="B369" s="2"/>
      <c r="C369" s="1"/>
      <c r="D369" s="2"/>
      <c r="E369" s="2"/>
      <c r="F369" s="2"/>
      <c r="G369" s="2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15"/>
      <c r="AC369" s="54"/>
      <c r="AD369" s="15"/>
      <c r="AE369" s="15"/>
      <c r="AF369" s="15"/>
      <c r="AG369" s="15"/>
    </row>
    <row r="370" ht="11.25" customHeight="1">
      <c r="A370" s="1"/>
      <c r="B370" s="2"/>
      <c r="C370" s="1"/>
      <c r="D370" s="2"/>
      <c r="E370" s="2"/>
      <c r="F370" s="2"/>
      <c r="G370" s="2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15"/>
      <c r="AC370" s="54"/>
      <c r="AD370" s="15"/>
      <c r="AE370" s="15"/>
      <c r="AF370" s="15"/>
      <c r="AG370" s="15"/>
    </row>
    <row r="371" ht="11.25" customHeight="1">
      <c r="A371" s="1"/>
      <c r="B371" s="2"/>
      <c r="C371" s="1"/>
      <c r="D371" s="2"/>
      <c r="E371" s="2"/>
      <c r="F371" s="2"/>
      <c r="G371" s="2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15"/>
      <c r="AC371" s="54"/>
      <c r="AD371" s="15"/>
      <c r="AE371" s="15"/>
      <c r="AF371" s="15"/>
      <c r="AG371" s="15"/>
    </row>
    <row r="372" ht="11.25" customHeight="1">
      <c r="A372" s="1"/>
      <c r="B372" s="2"/>
      <c r="C372" s="1"/>
      <c r="D372" s="2"/>
      <c r="E372" s="2"/>
      <c r="F372" s="2"/>
      <c r="G372" s="2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15"/>
      <c r="AC372" s="54"/>
      <c r="AD372" s="15"/>
      <c r="AE372" s="15"/>
      <c r="AF372" s="15"/>
      <c r="AG372" s="15"/>
    </row>
    <row r="373" ht="11.25" customHeight="1">
      <c r="A373" s="1"/>
      <c r="B373" s="2"/>
      <c r="C373" s="1"/>
      <c r="D373" s="2"/>
      <c r="E373" s="2"/>
      <c r="F373" s="2"/>
      <c r="G373" s="2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15"/>
      <c r="AC373" s="54"/>
      <c r="AD373" s="15"/>
      <c r="AE373" s="15"/>
      <c r="AF373" s="15"/>
      <c r="AG373" s="15"/>
    </row>
    <row r="374" ht="11.25" customHeight="1">
      <c r="A374" s="1"/>
      <c r="B374" s="2"/>
      <c r="C374" s="1"/>
      <c r="D374" s="2"/>
      <c r="E374" s="2"/>
      <c r="F374" s="2"/>
      <c r="G374" s="2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15"/>
      <c r="AC374" s="54"/>
      <c r="AD374" s="15"/>
      <c r="AE374" s="15"/>
      <c r="AF374" s="15"/>
      <c r="AG374" s="15"/>
    </row>
    <row r="375" ht="11.25" customHeight="1">
      <c r="A375" s="1"/>
      <c r="B375" s="2"/>
      <c r="C375" s="1"/>
      <c r="D375" s="2"/>
      <c r="E375" s="2"/>
      <c r="F375" s="2"/>
      <c r="G375" s="2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15"/>
      <c r="AC375" s="54"/>
      <c r="AD375" s="15"/>
      <c r="AE375" s="15"/>
      <c r="AF375" s="15"/>
      <c r="AG375" s="15"/>
    </row>
    <row r="376" ht="11.25" customHeight="1">
      <c r="A376" s="1"/>
      <c r="B376" s="2"/>
      <c r="C376" s="1"/>
      <c r="D376" s="2"/>
      <c r="E376" s="2"/>
      <c r="F376" s="2"/>
      <c r="G376" s="2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15"/>
      <c r="AC376" s="54"/>
      <c r="AD376" s="15"/>
      <c r="AE376" s="15"/>
      <c r="AF376" s="15"/>
      <c r="AG376" s="15"/>
    </row>
    <row r="377" ht="11.25" customHeight="1">
      <c r="A377" s="1"/>
      <c r="B377" s="2"/>
      <c r="C377" s="1"/>
      <c r="D377" s="2"/>
      <c r="E377" s="2"/>
      <c r="F377" s="2"/>
      <c r="G377" s="2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15"/>
      <c r="AC377" s="54"/>
      <c r="AD377" s="15"/>
      <c r="AE377" s="15"/>
      <c r="AF377" s="15"/>
      <c r="AG377" s="15"/>
    </row>
    <row r="378" ht="11.25" customHeight="1">
      <c r="A378" s="1"/>
      <c r="B378" s="2"/>
      <c r="C378" s="1"/>
      <c r="D378" s="2"/>
      <c r="E378" s="2"/>
      <c r="F378" s="2"/>
      <c r="G378" s="2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15"/>
      <c r="AC378" s="54"/>
      <c r="AD378" s="15"/>
      <c r="AE378" s="15"/>
      <c r="AF378" s="15"/>
      <c r="AG378" s="15"/>
    </row>
    <row r="379" ht="11.25" customHeight="1">
      <c r="A379" s="1"/>
      <c r="B379" s="2"/>
      <c r="C379" s="1"/>
      <c r="D379" s="2"/>
      <c r="E379" s="2"/>
      <c r="F379" s="2"/>
      <c r="G379" s="2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15"/>
      <c r="AC379" s="54"/>
      <c r="AD379" s="15"/>
      <c r="AE379" s="15"/>
      <c r="AF379" s="15"/>
      <c r="AG379" s="15"/>
    </row>
    <row r="380" ht="11.25" customHeight="1">
      <c r="A380" s="1"/>
      <c r="B380" s="2"/>
      <c r="C380" s="1"/>
      <c r="D380" s="2"/>
      <c r="E380" s="2"/>
      <c r="F380" s="2"/>
      <c r="G380" s="2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15"/>
      <c r="AC380" s="54"/>
      <c r="AD380" s="15"/>
      <c r="AE380" s="15"/>
      <c r="AF380" s="15"/>
      <c r="AG380" s="15"/>
    </row>
    <row r="381" ht="11.25" customHeight="1">
      <c r="A381" s="1"/>
      <c r="B381" s="2"/>
      <c r="C381" s="1"/>
      <c r="D381" s="2"/>
      <c r="E381" s="2"/>
      <c r="F381" s="2"/>
      <c r="G381" s="2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15"/>
      <c r="AC381" s="54"/>
      <c r="AD381" s="15"/>
      <c r="AE381" s="15"/>
      <c r="AF381" s="15"/>
      <c r="AG381" s="15"/>
    </row>
    <row r="382" ht="11.25" customHeight="1">
      <c r="A382" s="1"/>
      <c r="B382" s="2"/>
      <c r="C382" s="1"/>
      <c r="D382" s="2"/>
      <c r="E382" s="2"/>
      <c r="F382" s="2"/>
      <c r="G382" s="2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15"/>
      <c r="AC382" s="54"/>
      <c r="AD382" s="15"/>
      <c r="AE382" s="15"/>
      <c r="AF382" s="15"/>
      <c r="AG382" s="15"/>
    </row>
    <row r="383" ht="11.25" customHeight="1">
      <c r="A383" s="1"/>
      <c r="B383" s="2"/>
      <c r="C383" s="1"/>
      <c r="D383" s="2"/>
      <c r="E383" s="2"/>
      <c r="F383" s="2"/>
      <c r="G383" s="2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15"/>
      <c r="AC383" s="54"/>
      <c r="AD383" s="15"/>
      <c r="AE383" s="15"/>
      <c r="AF383" s="15"/>
      <c r="AG383" s="15"/>
    </row>
    <row r="384" ht="11.25" customHeight="1">
      <c r="A384" s="1"/>
      <c r="B384" s="2"/>
      <c r="C384" s="1"/>
      <c r="D384" s="2"/>
      <c r="E384" s="2"/>
      <c r="F384" s="2"/>
      <c r="G384" s="2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15"/>
      <c r="AC384" s="54"/>
      <c r="AD384" s="15"/>
      <c r="AE384" s="15"/>
      <c r="AF384" s="15"/>
      <c r="AG384" s="15"/>
    </row>
    <row r="385" ht="11.25" customHeight="1">
      <c r="A385" s="1"/>
      <c r="B385" s="2"/>
      <c r="C385" s="1"/>
      <c r="D385" s="2"/>
      <c r="E385" s="2"/>
      <c r="F385" s="2"/>
      <c r="G385" s="2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15"/>
      <c r="AC385" s="54"/>
      <c r="AD385" s="15"/>
      <c r="AE385" s="15"/>
      <c r="AF385" s="15"/>
      <c r="AG385" s="15"/>
    </row>
    <row r="386" ht="11.25" customHeight="1">
      <c r="A386" s="1"/>
      <c r="B386" s="2"/>
      <c r="C386" s="1"/>
      <c r="D386" s="2"/>
      <c r="E386" s="2"/>
      <c r="F386" s="2"/>
      <c r="G386" s="2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15"/>
      <c r="AC386" s="54"/>
      <c r="AD386" s="15"/>
      <c r="AE386" s="15"/>
      <c r="AF386" s="15"/>
      <c r="AG386" s="15"/>
    </row>
    <row r="387" ht="11.25" customHeight="1">
      <c r="A387" s="1"/>
      <c r="B387" s="2"/>
      <c r="C387" s="1"/>
      <c r="D387" s="2"/>
      <c r="E387" s="2"/>
      <c r="F387" s="2"/>
      <c r="G387" s="2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15"/>
      <c r="AC387" s="54"/>
      <c r="AD387" s="15"/>
      <c r="AE387" s="15"/>
      <c r="AF387" s="15"/>
      <c r="AG387" s="15"/>
    </row>
    <row r="388" ht="11.25" customHeight="1">
      <c r="A388" s="1"/>
      <c r="B388" s="2"/>
      <c r="C388" s="1"/>
      <c r="D388" s="2"/>
      <c r="E388" s="2"/>
      <c r="F388" s="2"/>
      <c r="G388" s="2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15"/>
      <c r="AC388" s="54"/>
      <c r="AD388" s="15"/>
      <c r="AE388" s="15"/>
      <c r="AF388" s="15"/>
      <c r="AG388" s="15"/>
    </row>
    <row r="389" ht="11.25" customHeight="1">
      <c r="A389" s="1"/>
      <c r="B389" s="2"/>
      <c r="C389" s="1"/>
      <c r="D389" s="2"/>
      <c r="E389" s="2"/>
      <c r="F389" s="2"/>
      <c r="G389" s="2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15"/>
      <c r="AC389" s="54"/>
      <c r="AD389" s="15"/>
      <c r="AE389" s="15"/>
      <c r="AF389" s="15"/>
      <c r="AG389" s="15"/>
    </row>
    <row r="390" ht="11.25" customHeight="1">
      <c r="A390" s="1"/>
      <c r="B390" s="2"/>
      <c r="C390" s="1"/>
      <c r="D390" s="2"/>
      <c r="E390" s="2"/>
      <c r="F390" s="2"/>
      <c r="G390" s="2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15"/>
      <c r="AC390" s="54"/>
      <c r="AD390" s="15"/>
      <c r="AE390" s="15"/>
      <c r="AF390" s="15"/>
      <c r="AG390" s="15"/>
    </row>
    <row r="391" ht="11.25" customHeight="1">
      <c r="A391" s="1"/>
      <c r="B391" s="2"/>
      <c r="C391" s="1"/>
      <c r="D391" s="2"/>
      <c r="E391" s="2"/>
      <c r="F391" s="2"/>
      <c r="G391" s="2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15"/>
      <c r="AC391" s="54"/>
      <c r="AD391" s="15"/>
      <c r="AE391" s="15"/>
      <c r="AF391" s="15"/>
      <c r="AG391" s="15"/>
    </row>
    <row r="392" ht="11.25" customHeight="1">
      <c r="A392" s="1"/>
      <c r="B392" s="2"/>
      <c r="C392" s="1"/>
      <c r="D392" s="2"/>
      <c r="E392" s="2"/>
      <c r="F392" s="2"/>
      <c r="G392" s="2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15"/>
      <c r="AC392" s="54"/>
      <c r="AD392" s="15"/>
      <c r="AE392" s="15"/>
      <c r="AF392" s="15"/>
      <c r="AG392" s="15"/>
    </row>
    <row r="393" ht="11.25" customHeight="1">
      <c r="A393" s="1"/>
      <c r="B393" s="2"/>
      <c r="C393" s="1"/>
      <c r="D393" s="2"/>
      <c r="E393" s="2"/>
      <c r="F393" s="2"/>
      <c r="G393" s="2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15"/>
      <c r="AC393" s="54"/>
      <c r="AD393" s="15"/>
      <c r="AE393" s="15"/>
      <c r="AF393" s="15"/>
      <c r="AG393" s="15"/>
    </row>
    <row r="394" ht="11.25" customHeight="1">
      <c r="A394" s="1"/>
      <c r="B394" s="2"/>
      <c r="C394" s="1"/>
      <c r="D394" s="2"/>
      <c r="E394" s="2"/>
      <c r="F394" s="2"/>
      <c r="G394" s="2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15"/>
      <c r="AC394" s="54"/>
      <c r="AD394" s="15"/>
      <c r="AE394" s="15"/>
      <c r="AF394" s="15"/>
      <c r="AG394" s="15"/>
    </row>
    <row r="395" ht="11.25" customHeight="1">
      <c r="A395" s="1"/>
      <c r="B395" s="2"/>
      <c r="C395" s="1"/>
      <c r="D395" s="2"/>
      <c r="E395" s="2"/>
      <c r="F395" s="2"/>
      <c r="G395" s="2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15"/>
      <c r="AC395" s="54"/>
      <c r="AD395" s="15"/>
      <c r="AE395" s="15"/>
      <c r="AF395" s="15"/>
      <c r="AG395" s="15"/>
    </row>
    <row r="396" ht="11.25" customHeight="1">
      <c r="A396" s="1"/>
      <c r="B396" s="2"/>
      <c r="C396" s="1"/>
      <c r="D396" s="2"/>
      <c r="E396" s="2"/>
      <c r="F396" s="2"/>
      <c r="G396" s="2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15"/>
      <c r="AC396" s="54"/>
      <c r="AD396" s="15"/>
      <c r="AE396" s="15"/>
      <c r="AF396" s="15"/>
      <c r="AG396" s="15"/>
    </row>
    <row r="397" ht="11.25" customHeight="1">
      <c r="A397" s="1"/>
      <c r="B397" s="2"/>
      <c r="C397" s="1"/>
      <c r="D397" s="2"/>
      <c r="E397" s="2"/>
      <c r="F397" s="2"/>
      <c r="G397" s="2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15"/>
      <c r="AC397" s="54"/>
      <c r="AD397" s="15"/>
      <c r="AE397" s="15"/>
      <c r="AF397" s="15"/>
      <c r="AG397" s="15"/>
    </row>
    <row r="398" ht="11.25" customHeight="1">
      <c r="A398" s="1"/>
      <c r="B398" s="2"/>
      <c r="C398" s="1"/>
      <c r="D398" s="2"/>
      <c r="E398" s="2"/>
      <c r="F398" s="2"/>
      <c r="G398" s="2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15"/>
      <c r="AC398" s="54"/>
      <c r="AD398" s="15"/>
      <c r="AE398" s="15"/>
      <c r="AF398" s="15"/>
      <c r="AG398" s="15"/>
    </row>
    <row r="399" ht="11.25" customHeight="1">
      <c r="A399" s="1"/>
      <c r="B399" s="2"/>
      <c r="C399" s="1"/>
      <c r="D399" s="2"/>
      <c r="E399" s="2"/>
      <c r="F399" s="2"/>
      <c r="G399" s="2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15"/>
      <c r="AC399" s="54"/>
      <c r="AD399" s="15"/>
      <c r="AE399" s="15"/>
      <c r="AF399" s="15"/>
      <c r="AG399" s="15"/>
    </row>
    <row r="400" ht="11.25" customHeight="1">
      <c r="A400" s="1"/>
      <c r="B400" s="2"/>
      <c r="C400" s="1"/>
      <c r="D400" s="2"/>
      <c r="E400" s="2"/>
      <c r="F400" s="2"/>
      <c r="G400" s="2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15"/>
      <c r="AC400" s="54"/>
      <c r="AD400" s="15"/>
      <c r="AE400" s="15"/>
      <c r="AF400" s="15"/>
      <c r="AG400" s="15"/>
    </row>
    <row r="401" ht="11.25" customHeight="1">
      <c r="A401" s="1"/>
      <c r="B401" s="2"/>
      <c r="C401" s="1"/>
      <c r="D401" s="2"/>
      <c r="E401" s="2"/>
      <c r="F401" s="2"/>
      <c r="G401" s="2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15"/>
      <c r="AC401" s="54"/>
      <c r="AD401" s="15"/>
      <c r="AE401" s="15"/>
      <c r="AF401" s="15"/>
      <c r="AG401" s="15"/>
    </row>
    <row r="402" ht="11.25" customHeight="1">
      <c r="A402" s="1"/>
      <c r="B402" s="2"/>
      <c r="C402" s="1"/>
      <c r="D402" s="2"/>
      <c r="E402" s="2"/>
      <c r="F402" s="2"/>
      <c r="G402" s="2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15"/>
      <c r="AC402" s="54"/>
      <c r="AD402" s="15"/>
      <c r="AE402" s="15"/>
      <c r="AF402" s="15"/>
      <c r="AG402" s="15"/>
    </row>
    <row r="403" ht="11.25" customHeight="1">
      <c r="A403" s="1"/>
      <c r="B403" s="2"/>
      <c r="C403" s="1"/>
      <c r="D403" s="2"/>
      <c r="E403" s="2"/>
      <c r="F403" s="2"/>
      <c r="G403" s="2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15"/>
      <c r="AC403" s="54"/>
      <c r="AD403" s="15"/>
      <c r="AE403" s="15"/>
      <c r="AF403" s="15"/>
      <c r="AG403" s="15"/>
    </row>
    <row r="404" ht="11.25" customHeight="1">
      <c r="A404" s="1"/>
      <c r="B404" s="2"/>
      <c r="C404" s="1"/>
      <c r="D404" s="2"/>
      <c r="E404" s="2"/>
      <c r="F404" s="2"/>
      <c r="G404" s="2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15"/>
      <c r="AC404" s="54"/>
      <c r="AD404" s="15"/>
      <c r="AE404" s="15"/>
      <c r="AF404" s="15"/>
      <c r="AG404" s="15"/>
    </row>
    <row r="405" ht="11.25" customHeight="1">
      <c r="A405" s="1"/>
      <c r="B405" s="2"/>
      <c r="C405" s="1"/>
      <c r="D405" s="2"/>
      <c r="E405" s="2"/>
      <c r="F405" s="2"/>
      <c r="G405" s="2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15"/>
      <c r="AC405" s="54"/>
      <c r="AD405" s="15"/>
      <c r="AE405" s="15"/>
      <c r="AF405" s="15"/>
      <c r="AG405" s="15"/>
    </row>
    <row r="406" ht="11.25" customHeight="1">
      <c r="A406" s="1"/>
      <c r="B406" s="2"/>
      <c r="C406" s="1"/>
      <c r="D406" s="2"/>
      <c r="E406" s="2"/>
      <c r="F406" s="2"/>
      <c r="G406" s="2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15"/>
      <c r="AC406" s="54"/>
      <c r="AD406" s="15"/>
      <c r="AE406" s="15"/>
      <c r="AF406" s="15"/>
      <c r="AG406" s="15"/>
    </row>
    <row r="407" ht="11.25" customHeight="1">
      <c r="A407" s="1"/>
      <c r="B407" s="2"/>
      <c r="C407" s="1"/>
      <c r="D407" s="2"/>
      <c r="E407" s="2"/>
      <c r="F407" s="2"/>
      <c r="G407" s="2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15"/>
      <c r="AC407" s="54"/>
      <c r="AD407" s="15"/>
      <c r="AE407" s="15"/>
      <c r="AF407" s="15"/>
      <c r="AG407" s="15"/>
    </row>
    <row r="408" ht="11.25" customHeight="1">
      <c r="A408" s="1"/>
      <c r="B408" s="2"/>
      <c r="C408" s="1"/>
      <c r="D408" s="2"/>
      <c r="E408" s="2"/>
      <c r="F408" s="2"/>
      <c r="G408" s="2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15"/>
      <c r="AC408" s="54"/>
      <c r="AD408" s="15"/>
      <c r="AE408" s="15"/>
      <c r="AF408" s="15"/>
      <c r="AG408" s="15"/>
    </row>
    <row r="409" ht="11.25" customHeight="1">
      <c r="A409" s="1"/>
      <c r="B409" s="2"/>
      <c r="C409" s="1"/>
      <c r="D409" s="2"/>
      <c r="E409" s="2"/>
      <c r="F409" s="2"/>
      <c r="G409" s="2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15"/>
      <c r="AC409" s="54"/>
      <c r="AD409" s="15"/>
      <c r="AE409" s="15"/>
      <c r="AF409" s="15"/>
      <c r="AG409" s="15"/>
    </row>
    <row r="410" ht="11.25" customHeight="1">
      <c r="A410" s="1"/>
      <c r="B410" s="2"/>
      <c r="C410" s="1"/>
      <c r="D410" s="2"/>
      <c r="E410" s="2"/>
      <c r="F410" s="2"/>
      <c r="G410" s="2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15"/>
      <c r="AC410" s="54"/>
      <c r="AD410" s="15"/>
      <c r="AE410" s="15"/>
      <c r="AF410" s="15"/>
      <c r="AG410" s="15"/>
    </row>
    <row r="411" ht="11.25" customHeight="1">
      <c r="A411" s="1"/>
      <c r="B411" s="2"/>
      <c r="C411" s="1"/>
      <c r="D411" s="2"/>
      <c r="E411" s="2"/>
      <c r="F411" s="2"/>
      <c r="G411" s="2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15"/>
      <c r="AC411" s="54"/>
      <c r="AD411" s="15"/>
      <c r="AE411" s="15"/>
      <c r="AF411" s="15"/>
      <c r="AG411" s="15"/>
    </row>
    <row r="412" ht="11.25" customHeight="1">
      <c r="A412" s="1"/>
      <c r="B412" s="2"/>
      <c r="C412" s="1"/>
      <c r="D412" s="2"/>
      <c r="E412" s="2"/>
      <c r="F412" s="2"/>
      <c r="G412" s="2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15"/>
      <c r="AC412" s="54"/>
      <c r="AD412" s="15"/>
      <c r="AE412" s="15"/>
      <c r="AF412" s="15"/>
      <c r="AG412" s="15"/>
    </row>
    <row r="413" ht="11.25" customHeight="1">
      <c r="A413" s="1"/>
      <c r="B413" s="2"/>
      <c r="C413" s="1"/>
      <c r="D413" s="2"/>
      <c r="E413" s="2"/>
      <c r="F413" s="2"/>
      <c r="G413" s="2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15"/>
      <c r="AC413" s="54"/>
      <c r="AD413" s="15"/>
      <c r="AE413" s="15"/>
      <c r="AF413" s="15"/>
      <c r="AG413" s="15"/>
    </row>
    <row r="414" ht="11.25" customHeight="1">
      <c r="A414" s="1"/>
      <c r="B414" s="2"/>
      <c r="C414" s="1"/>
      <c r="D414" s="2"/>
      <c r="E414" s="2"/>
      <c r="F414" s="2"/>
      <c r="G414" s="2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15"/>
      <c r="AC414" s="54"/>
      <c r="AD414" s="15"/>
      <c r="AE414" s="15"/>
      <c r="AF414" s="15"/>
      <c r="AG414" s="15"/>
    </row>
    <row r="415" ht="11.25" customHeight="1">
      <c r="A415" s="1"/>
      <c r="B415" s="2"/>
      <c r="C415" s="1"/>
      <c r="D415" s="2"/>
      <c r="E415" s="2"/>
      <c r="F415" s="2"/>
      <c r="G415" s="2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15"/>
      <c r="AC415" s="54"/>
      <c r="AD415" s="15"/>
      <c r="AE415" s="15"/>
      <c r="AF415" s="15"/>
      <c r="AG415" s="15"/>
    </row>
    <row r="416" ht="11.25" customHeight="1">
      <c r="A416" s="1"/>
      <c r="B416" s="2"/>
      <c r="C416" s="1"/>
      <c r="D416" s="2"/>
      <c r="E416" s="2"/>
      <c r="F416" s="2"/>
      <c r="G416" s="2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15"/>
      <c r="AC416" s="54"/>
      <c r="AD416" s="15"/>
      <c r="AE416" s="15"/>
      <c r="AF416" s="15"/>
      <c r="AG416" s="15"/>
    </row>
    <row r="417" ht="11.25" customHeight="1">
      <c r="A417" s="1"/>
      <c r="B417" s="2"/>
      <c r="C417" s="1"/>
      <c r="D417" s="2"/>
      <c r="E417" s="2"/>
      <c r="F417" s="2"/>
      <c r="G417" s="2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15"/>
      <c r="AC417" s="54"/>
      <c r="AD417" s="15"/>
      <c r="AE417" s="15"/>
      <c r="AF417" s="15"/>
      <c r="AG417" s="15"/>
    </row>
    <row r="418" ht="11.25" customHeight="1">
      <c r="A418" s="1"/>
      <c r="B418" s="2"/>
      <c r="C418" s="1"/>
      <c r="D418" s="2"/>
      <c r="E418" s="2"/>
      <c r="F418" s="2"/>
      <c r="G418" s="2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15"/>
      <c r="AC418" s="54"/>
      <c r="AD418" s="15"/>
      <c r="AE418" s="15"/>
      <c r="AF418" s="15"/>
      <c r="AG418" s="15"/>
    </row>
    <row r="419" ht="11.25" customHeight="1">
      <c r="A419" s="1"/>
      <c r="B419" s="2"/>
      <c r="C419" s="1"/>
      <c r="D419" s="2"/>
      <c r="E419" s="2"/>
      <c r="F419" s="2"/>
      <c r="G419" s="2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15"/>
      <c r="AC419" s="54"/>
      <c r="AD419" s="15"/>
      <c r="AE419" s="15"/>
      <c r="AF419" s="15"/>
      <c r="AG419" s="15"/>
    </row>
    <row r="420" ht="11.25" customHeight="1">
      <c r="A420" s="1"/>
      <c r="B420" s="2"/>
      <c r="C420" s="1"/>
      <c r="D420" s="2"/>
      <c r="E420" s="2"/>
      <c r="F420" s="2"/>
      <c r="G420" s="2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15"/>
      <c r="AC420" s="54"/>
      <c r="AD420" s="15"/>
      <c r="AE420" s="15"/>
      <c r="AF420" s="15"/>
      <c r="AG420" s="15"/>
    </row>
    <row r="421" ht="11.25" customHeight="1">
      <c r="A421" s="1"/>
      <c r="B421" s="2"/>
      <c r="C421" s="1"/>
      <c r="D421" s="2"/>
      <c r="E421" s="2"/>
      <c r="F421" s="2"/>
      <c r="G421" s="2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15"/>
      <c r="AC421" s="54"/>
      <c r="AD421" s="15"/>
      <c r="AE421" s="15"/>
      <c r="AF421" s="15"/>
      <c r="AG421" s="15"/>
    </row>
    <row r="422" ht="11.25" customHeight="1">
      <c r="A422" s="1"/>
      <c r="B422" s="2"/>
      <c r="C422" s="1"/>
      <c r="D422" s="2"/>
      <c r="E422" s="2"/>
      <c r="F422" s="2"/>
      <c r="G422" s="2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15"/>
      <c r="AC422" s="54"/>
      <c r="AD422" s="15"/>
      <c r="AE422" s="15"/>
      <c r="AF422" s="15"/>
      <c r="AG422" s="15"/>
    </row>
    <row r="423" ht="11.25" customHeight="1">
      <c r="A423" s="1"/>
      <c r="B423" s="2"/>
      <c r="C423" s="1"/>
      <c r="D423" s="2"/>
      <c r="E423" s="2"/>
      <c r="F423" s="2"/>
      <c r="G423" s="2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15"/>
      <c r="AC423" s="54"/>
      <c r="AD423" s="15"/>
      <c r="AE423" s="15"/>
      <c r="AF423" s="15"/>
      <c r="AG423" s="15"/>
    </row>
    <row r="424" ht="11.25" customHeight="1">
      <c r="A424" s="1"/>
      <c r="B424" s="2"/>
      <c r="C424" s="1"/>
      <c r="D424" s="2"/>
      <c r="E424" s="2"/>
      <c r="F424" s="2"/>
      <c r="G424" s="2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15"/>
      <c r="AC424" s="54"/>
      <c r="AD424" s="15"/>
      <c r="AE424" s="15"/>
      <c r="AF424" s="15"/>
      <c r="AG424" s="15"/>
    </row>
    <row r="425" ht="11.25" customHeight="1">
      <c r="A425" s="1"/>
      <c r="B425" s="2"/>
      <c r="C425" s="1"/>
      <c r="D425" s="2"/>
      <c r="E425" s="2"/>
      <c r="F425" s="2"/>
      <c r="G425" s="2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15"/>
      <c r="AC425" s="54"/>
      <c r="AD425" s="15"/>
      <c r="AE425" s="15"/>
      <c r="AF425" s="15"/>
      <c r="AG425" s="15"/>
    </row>
    <row r="426" ht="11.25" customHeight="1">
      <c r="A426" s="1"/>
      <c r="B426" s="2"/>
      <c r="C426" s="1"/>
      <c r="D426" s="2"/>
      <c r="E426" s="2"/>
      <c r="F426" s="2"/>
      <c r="G426" s="2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15"/>
      <c r="AC426" s="54"/>
      <c r="AD426" s="15"/>
      <c r="AE426" s="15"/>
      <c r="AF426" s="15"/>
      <c r="AG426" s="15"/>
    </row>
    <row r="427" ht="11.25" customHeight="1">
      <c r="A427" s="1"/>
      <c r="B427" s="2"/>
      <c r="C427" s="1"/>
      <c r="D427" s="2"/>
      <c r="E427" s="2"/>
      <c r="F427" s="2"/>
      <c r="G427" s="2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15"/>
      <c r="AC427" s="54"/>
      <c r="AD427" s="15"/>
      <c r="AE427" s="15"/>
      <c r="AF427" s="15"/>
      <c r="AG427" s="15"/>
    </row>
    <row r="428" ht="11.25" customHeight="1">
      <c r="A428" s="1"/>
      <c r="B428" s="2"/>
      <c r="C428" s="1"/>
      <c r="D428" s="2"/>
      <c r="E428" s="2"/>
      <c r="F428" s="2"/>
      <c r="G428" s="2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15"/>
      <c r="AC428" s="54"/>
      <c r="AD428" s="15"/>
      <c r="AE428" s="15"/>
      <c r="AF428" s="15"/>
      <c r="AG428" s="15"/>
    </row>
    <row r="429" ht="11.25" customHeight="1">
      <c r="A429" s="1"/>
      <c r="B429" s="2"/>
      <c r="C429" s="1"/>
      <c r="D429" s="2"/>
      <c r="E429" s="2"/>
      <c r="F429" s="2"/>
      <c r="G429" s="2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15"/>
      <c r="AC429" s="54"/>
      <c r="AD429" s="15"/>
      <c r="AE429" s="15"/>
      <c r="AF429" s="15"/>
      <c r="AG429" s="15"/>
    </row>
    <row r="430" ht="11.25" customHeight="1">
      <c r="A430" s="1"/>
      <c r="B430" s="2"/>
      <c r="C430" s="1"/>
      <c r="D430" s="2"/>
      <c r="E430" s="2"/>
      <c r="F430" s="2"/>
      <c r="G430" s="2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15"/>
      <c r="AC430" s="54"/>
      <c r="AD430" s="15"/>
      <c r="AE430" s="15"/>
      <c r="AF430" s="15"/>
      <c r="AG430" s="15"/>
    </row>
    <row r="431" ht="11.25" customHeight="1">
      <c r="A431" s="1"/>
      <c r="B431" s="2"/>
      <c r="C431" s="1"/>
      <c r="D431" s="2"/>
      <c r="E431" s="2"/>
      <c r="F431" s="2"/>
      <c r="G431" s="2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15"/>
      <c r="AC431" s="54"/>
      <c r="AD431" s="15"/>
      <c r="AE431" s="15"/>
      <c r="AF431" s="15"/>
      <c r="AG431" s="15"/>
    </row>
    <row r="432" ht="11.25" customHeight="1">
      <c r="A432" s="1"/>
      <c r="B432" s="2"/>
      <c r="C432" s="1"/>
      <c r="D432" s="2"/>
      <c r="E432" s="2"/>
      <c r="F432" s="2"/>
      <c r="G432" s="2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15"/>
      <c r="AC432" s="54"/>
      <c r="AD432" s="15"/>
      <c r="AE432" s="15"/>
      <c r="AF432" s="15"/>
      <c r="AG432" s="15"/>
    </row>
    <row r="433" ht="11.25" customHeight="1">
      <c r="A433" s="1"/>
      <c r="B433" s="2"/>
      <c r="C433" s="1"/>
      <c r="D433" s="2"/>
      <c r="E433" s="2"/>
      <c r="F433" s="2"/>
      <c r="G433" s="2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15"/>
      <c r="AC433" s="54"/>
      <c r="AD433" s="15"/>
      <c r="AE433" s="15"/>
      <c r="AF433" s="15"/>
      <c r="AG433" s="15"/>
    </row>
    <row r="434" ht="11.25" customHeight="1">
      <c r="A434" s="1"/>
      <c r="B434" s="2"/>
      <c r="C434" s="1"/>
      <c r="D434" s="2"/>
      <c r="E434" s="2"/>
      <c r="F434" s="2"/>
      <c r="G434" s="2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15"/>
      <c r="AC434" s="54"/>
      <c r="AD434" s="15"/>
      <c r="AE434" s="15"/>
      <c r="AF434" s="15"/>
      <c r="AG434" s="15"/>
    </row>
    <row r="435" ht="11.25" customHeight="1">
      <c r="A435" s="1"/>
      <c r="B435" s="2"/>
      <c r="C435" s="1"/>
      <c r="D435" s="2"/>
      <c r="E435" s="2"/>
      <c r="F435" s="2"/>
      <c r="G435" s="2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15"/>
      <c r="AC435" s="54"/>
      <c r="AD435" s="15"/>
      <c r="AE435" s="15"/>
      <c r="AF435" s="15"/>
      <c r="AG435" s="15"/>
    </row>
    <row r="436" ht="11.25" customHeight="1">
      <c r="A436" s="1"/>
      <c r="B436" s="2"/>
      <c r="C436" s="1"/>
      <c r="D436" s="2"/>
      <c r="E436" s="2"/>
      <c r="F436" s="2"/>
      <c r="G436" s="2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15"/>
      <c r="AC436" s="54"/>
      <c r="AD436" s="15"/>
      <c r="AE436" s="15"/>
      <c r="AF436" s="15"/>
      <c r="AG436" s="15"/>
    </row>
    <row r="437" ht="11.25" customHeight="1">
      <c r="A437" s="1"/>
      <c r="B437" s="2"/>
      <c r="C437" s="1"/>
      <c r="D437" s="2"/>
      <c r="E437" s="2"/>
      <c r="F437" s="2"/>
      <c r="G437" s="2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15"/>
      <c r="AC437" s="54"/>
      <c r="AD437" s="15"/>
      <c r="AE437" s="15"/>
      <c r="AF437" s="15"/>
      <c r="AG437" s="15"/>
    </row>
    <row r="438" ht="11.25" customHeight="1">
      <c r="A438" s="1"/>
      <c r="B438" s="2"/>
      <c r="C438" s="1"/>
      <c r="D438" s="2"/>
      <c r="E438" s="2"/>
      <c r="F438" s="2"/>
      <c r="G438" s="2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15"/>
      <c r="AC438" s="54"/>
      <c r="AD438" s="15"/>
      <c r="AE438" s="15"/>
      <c r="AF438" s="15"/>
      <c r="AG438" s="15"/>
    </row>
    <row r="439" ht="11.25" customHeight="1">
      <c r="A439" s="1"/>
      <c r="B439" s="2"/>
      <c r="C439" s="1"/>
      <c r="D439" s="2"/>
      <c r="E439" s="2"/>
      <c r="F439" s="2"/>
      <c r="G439" s="2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15"/>
      <c r="AC439" s="54"/>
      <c r="AD439" s="15"/>
      <c r="AE439" s="15"/>
      <c r="AF439" s="15"/>
      <c r="AG439" s="15"/>
    </row>
    <row r="440" ht="11.25" customHeight="1">
      <c r="A440" s="1"/>
      <c r="B440" s="2"/>
      <c r="C440" s="1"/>
      <c r="D440" s="2"/>
      <c r="E440" s="2"/>
      <c r="F440" s="2"/>
      <c r="G440" s="2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15"/>
      <c r="AC440" s="54"/>
      <c r="AD440" s="15"/>
      <c r="AE440" s="15"/>
      <c r="AF440" s="15"/>
      <c r="AG440" s="15"/>
    </row>
    <row r="441" ht="11.25" customHeight="1">
      <c r="A441" s="1"/>
      <c r="B441" s="2"/>
      <c r="C441" s="1"/>
      <c r="D441" s="2"/>
      <c r="E441" s="2"/>
      <c r="F441" s="2"/>
      <c r="G441" s="2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15"/>
      <c r="AC441" s="54"/>
      <c r="AD441" s="15"/>
      <c r="AE441" s="15"/>
      <c r="AF441" s="15"/>
      <c r="AG441" s="15"/>
    </row>
    <row r="442" ht="11.25" customHeight="1">
      <c r="A442" s="1"/>
      <c r="B442" s="2"/>
      <c r="C442" s="1"/>
      <c r="D442" s="2"/>
      <c r="E442" s="2"/>
      <c r="F442" s="2"/>
      <c r="G442" s="2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15"/>
      <c r="AC442" s="54"/>
      <c r="AD442" s="15"/>
      <c r="AE442" s="15"/>
      <c r="AF442" s="15"/>
      <c r="AG442" s="15"/>
    </row>
    <row r="443" ht="11.25" customHeight="1">
      <c r="A443" s="1"/>
      <c r="B443" s="2"/>
      <c r="C443" s="1"/>
      <c r="D443" s="2"/>
      <c r="E443" s="2"/>
      <c r="F443" s="2"/>
      <c r="G443" s="2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15"/>
      <c r="AC443" s="54"/>
      <c r="AD443" s="15"/>
      <c r="AE443" s="15"/>
      <c r="AF443" s="15"/>
      <c r="AG443" s="15"/>
    </row>
    <row r="444" ht="11.25" customHeight="1">
      <c r="A444" s="1"/>
      <c r="B444" s="2"/>
      <c r="C444" s="1"/>
      <c r="D444" s="2"/>
      <c r="E444" s="2"/>
      <c r="F444" s="2"/>
      <c r="G444" s="2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15"/>
      <c r="AC444" s="54"/>
      <c r="AD444" s="15"/>
      <c r="AE444" s="15"/>
      <c r="AF444" s="15"/>
      <c r="AG444" s="15"/>
    </row>
    <row r="445" ht="11.25" customHeight="1">
      <c r="A445" s="1"/>
      <c r="B445" s="2"/>
      <c r="C445" s="1"/>
      <c r="D445" s="2"/>
      <c r="E445" s="2"/>
      <c r="F445" s="2"/>
      <c r="G445" s="2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15"/>
      <c r="AC445" s="54"/>
      <c r="AD445" s="15"/>
      <c r="AE445" s="15"/>
      <c r="AF445" s="15"/>
      <c r="AG445" s="15"/>
    </row>
    <row r="446" ht="11.25" customHeight="1">
      <c r="A446" s="1"/>
      <c r="B446" s="2"/>
      <c r="C446" s="1"/>
      <c r="D446" s="2"/>
      <c r="E446" s="2"/>
      <c r="F446" s="2"/>
      <c r="G446" s="2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15"/>
      <c r="AC446" s="54"/>
      <c r="AD446" s="15"/>
      <c r="AE446" s="15"/>
      <c r="AF446" s="15"/>
      <c r="AG446" s="15"/>
    </row>
    <row r="447" ht="11.25" customHeight="1">
      <c r="A447" s="1"/>
      <c r="B447" s="2"/>
      <c r="C447" s="1"/>
      <c r="D447" s="2"/>
      <c r="E447" s="2"/>
      <c r="F447" s="2"/>
      <c r="G447" s="2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15"/>
      <c r="AC447" s="54"/>
      <c r="AD447" s="15"/>
      <c r="AE447" s="15"/>
      <c r="AF447" s="15"/>
      <c r="AG447" s="15"/>
    </row>
    <row r="448" ht="11.25" customHeight="1">
      <c r="A448" s="1"/>
      <c r="B448" s="2"/>
      <c r="C448" s="1"/>
      <c r="D448" s="2"/>
      <c r="E448" s="2"/>
      <c r="F448" s="2"/>
      <c r="G448" s="2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15"/>
      <c r="AC448" s="54"/>
      <c r="AD448" s="15"/>
      <c r="AE448" s="15"/>
      <c r="AF448" s="15"/>
      <c r="AG448" s="15"/>
    </row>
    <row r="449" ht="11.25" customHeight="1">
      <c r="A449" s="1"/>
      <c r="B449" s="2"/>
      <c r="C449" s="1"/>
      <c r="D449" s="2"/>
      <c r="E449" s="2"/>
      <c r="F449" s="2"/>
      <c r="G449" s="2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15"/>
      <c r="AC449" s="54"/>
      <c r="AD449" s="15"/>
      <c r="AE449" s="15"/>
      <c r="AF449" s="15"/>
      <c r="AG449" s="15"/>
    </row>
    <row r="450" ht="11.25" customHeight="1">
      <c r="A450" s="1"/>
      <c r="B450" s="2"/>
      <c r="C450" s="1"/>
      <c r="D450" s="2"/>
      <c r="E450" s="2"/>
      <c r="F450" s="2"/>
      <c r="G450" s="2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15"/>
      <c r="AC450" s="54"/>
      <c r="AD450" s="15"/>
      <c r="AE450" s="15"/>
      <c r="AF450" s="15"/>
      <c r="AG450" s="15"/>
    </row>
    <row r="451" ht="11.25" customHeight="1">
      <c r="A451" s="1"/>
      <c r="B451" s="2"/>
      <c r="C451" s="1"/>
      <c r="D451" s="2"/>
      <c r="E451" s="2"/>
      <c r="F451" s="2"/>
      <c r="G451" s="2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15"/>
      <c r="AC451" s="54"/>
      <c r="AD451" s="15"/>
      <c r="AE451" s="15"/>
      <c r="AF451" s="15"/>
      <c r="AG451" s="15"/>
    </row>
    <row r="452" ht="11.25" customHeight="1">
      <c r="A452" s="1"/>
      <c r="B452" s="2"/>
      <c r="C452" s="1"/>
      <c r="D452" s="2"/>
      <c r="E452" s="2"/>
      <c r="F452" s="2"/>
      <c r="G452" s="2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15"/>
      <c r="AC452" s="54"/>
      <c r="AD452" s="15"/>
      <c r="AE452" s="15"/>
      <c r="AF452" s="15"/>
      <c r="AG452" s="15"/>
    </row>
    <row r="453" ht="11.25" customHeight="1">
      <c r="A453" s="1"/>
      <c r="B453" s="2"/>
      <c r="C453" s="1"/>
      <c r="D453" s="2"/>
      <c r="E453" s="2"/>
      <c r="F453" s="2"/>
      <c r="G453" s="2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15"/>
      <c r="AC453" s="54"/>
      <c r="AD453" s="15"/>
      <c r="AE453" s="15"/>
      <c r="AF453" s="15"/>
      <c r="AG453" s="15"/>
    </row>
    <row r="454" ht="11.25" customHeight="1">
      <c r="A454" s="1"/>
      <c r="B454" s="2"/>
      <c r="C454" s="1"/>
      <c r="D454" s="2"/>
      <c r="E454" s="2"/>
      <c r="F454" s="2"/>
      <c r="G454" s="2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15"/>
      <c r="AC454" s="54"/>
      <c r="AD454" s="15"/>
      <c r="AE454" s="15"/>
      <c r="AF454" s="15"/>
      <c r="AG454" s="15"/>
    </row>
    <row r="455" ht="11.25" customHeight="1">
      <c r="A455" s="1"/>
      <c r="B455" s="2"/>
      <c r="C455" s="1"/>
      <c r="D455" s="2"/>
      <c r="E455" s="2"/>
      <c r="F455" s="2"/>
      <c r="G455" s="2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15"/>
      <c r="AC455" s="54"/>
      <c r="AD455" s="15"/>
      <c r="AE455" s="15"/>
      <c r="AF455" s="15"/>
      <c r="AG455" s="15"/>
    </row>
    <row r="456" ht="11.25" customHeight="1">
      <c r="A456" s="1"/>
      <c r="B456" s="2"/>
      <c r="C456" s="1"/>
      <c r="D456" s="2"/>
      <c r="E456" s="2"/>
      <c r="F456" s="2"/>
      <c r="G456" s="2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15"/>
      <c r="AC456" s="54"/>
      <c r="AD456" s="15"/>
      <c r="AE456" s="15"/>
      <c r="AF456" s="15"/>
      <c r="AG456" s="15"/>
    </row>
    <row r="457" ht="11.25" customHeight="1">
      <c r="A457" s="1"/>
      <c r="B457" s="2"/>
      <c r="C457" s="1"/>
      <c r="D457" s="2"/>
      <c r="E457" s="2"/>
      <c r="F457" s="2"/>
      <c r="G457" s="2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15"/>
      <c r="AC457" s="54"/>
      <c r="AD457" s="15"/>
      <c r="AE457" s="15"/>
      <c r="AF457" s="15"/>
      <c r="AG457" s="15"/>
    </row>
    <row r="458" ht="11.25" customHeight="1">
      <c r="A458" s="1"/>
      <c r="B458" s="2"/>
      <c r="C458" s="1"/>
      <c r="D458" s="2"/>
      <c r="E458" s="2"/>
      <c r="F458" s="2"/>
      <c r="G458" s="2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15"/>
      <c r="AC458" s="54"/>
      <c r="AD458" s="15"/>
      <c r="AE458" s="15"/>
      <c r="AF458" s="15"/>
      <c r="AG458" s="15"/>
    </row>
    <row r="459" ht="11.25" customHeight="1">
      <c r="A459" s="1"/>
      <c r="B459" s="2"/>
      <c r="C459" s="1"/>
      <c r="D459" s="2"/>
      <c r="E459" s="2"/>
      <c r="F459" s="2"/>
      <c r="G459" s="2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15"/>
      <c r="AC459" s="54"/>
      <c r="AD459" s="15"/>
      <c r="AE459" s="15"/>
      <c r="AF459" s="15"/>
      <c r="AG459" s="15"/>
    </row>
    <row r="460" ht="11.25" customHeight="1">
      <c r="A460" s="1"/>
      <c r="B460" s="2"/>
      <c r="C460" s="1"/>
      <c r="D460" s="2"/>
      <c r="E460" s="2"/>
      <c r="F460" s="2"/>
      <c r="G460" s="2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15"/>
      <c r="AC460" s="54"/>
      <c r="AD460" s="15"/>
      <c r="AE460" s="15"/>
      <c r="AF460" s="15"/>
      <c r="AG460" s="15"/>
    </row>
    <row r="461" ht="11.25" customHeight="1">
      <c r="A461" s="1"/>
      <c r="B461" s="2"/>
      <c r="C461" s="1"/>
      <c r="D461" s="2"/>
      <c r="E461" s="2"/>
      <c r="F461" s="2"/>
      <c r="G461" s="2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15"/>
      <c r="AC461" s="54"/>
      <c r="AD461" s="15"/>
      <c r="AE461" s="15"/>
      <c r="AF461" s="15"/>
      <c r="AG461" s="15"/>
    </row>
    <row r="462" ht="11.25" customHeight="1">
      <c r="A462" s="1"/>
      <c r="B462" s="2"/>
      <c r="C462" s="1"/>
      <c r="D462" s="2"/>
      <c r="E462" s="2"/>
      <c r="F462" s="2"/>
      <c r="G462" s="2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15"/>
      <c r="AC462" s="54"/>
      <c r="AD462" s="15"/>
      <c r="AE462" s="15"/>
      <c r="AF462" s="15"/>
      <c r="AG462" s="15"/>
    </row>
    <row r="463" ht="11.25" customHeight="1">
      <c r="A463" s="1"/>
      <c r="B463" s="2"/>
      <c r="C463" s="1"/>
      <c r="D463" s="2"/>
      <c r="E463" s="2"/>
      <c r="F463" s="2"/>
      <c r="G463" s="2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15"/>
      <c r="AC463" s="54"/>
      <c r="AD463" s="15"/>
      <c r="AE463" s="15"/>
      <c r="AF463" s="15"/>
      <c r="AG463" s="15"/>
    </row>
    <row r="464" ht="11.25" customHeight="1">
      <c r="A464" s="1"/>
      <c r="B464" s="2"/>
      <c r="C464" s="1"/>
      <c r="D464" s="2"/>
      <c r="E464" s="2"/>
      <c r="F464" s="2"/>
      <c r="G464" s="2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15"/>
      <c r="AC464" s="54"/>
      <c r="AD464" s="15"/>
      <c r="AE464" s="15"/>
      <c r="AF464" s="15"/>
      <c r="AG464" s="15"/>
    </row>
    <row r="465" ht="11.25" customHeight="1">
      <c r="A465" s="1"/>
      <c r="B465" s="2"/>
      <c r="C465" s="1"/>
      <c r="D465" s="2"/>
      <c r="E465" s="2"/>
      <c r="F465" s="2"/>
      <c r="G465" s="2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15"/>
      <c r="AC465" s="54"/>
      <c r="AD465" s="15"/>
      <c r="AE465" s="15"/>
      <c r="AF465" s="15"/>
      <c r="AG465" s="15"/>
    </row>
    <row r="466" ht="11.25" customHeight="1">
      <c r="A466" s="1"/>
      <c r="B466" s="2"/>
      <c r="C466" s="1"/>
      <c r="D466" s="2"/>
      <c r="E466" s="2"/>
      <c r="F466" s="2"/>
      <c r="G466" s="2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15"/>
      <c r="AC466" s="54"/>
      <c r="AD466" s="15"/>
      <c r="AE466" s="15"/>
      <c r="AF466" s="15"/>
      <c r="AG466" s="15"/>
    </row>
    <row r="467" ht="11.25" customHeight="1">
      <c r="A467" s="1"/>
      <c r="B467" s="2"/>
      <c r="C467" s="1"/>
      <c r="D467" s="2"/>
      <c r="E467" s="2"/>
      <c r="F467" s="2"/>
      <c r="G467" s="2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15"/>
      <c r="AC467" s="54"/>
      <c r="AD467" s="15"/>
      <c r="AE467" s="15"/>
      <c r="AF467" s="15"/>
      <c r="AG467" s="15"/>
    </row>
    <row r="468" ht="11.25" customHeight="1">
      <c r="A468" s="1"/>
      <c r="B468" s="2"/>
      <c r="C468" s="1"/>
      <c r="D468" s="2"/>
      <c r="E468" s="2"/>
      <c r="F468" s="2"/>
      <c r="G468" s="2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15"/>
      <c r="AC468" s="54"/>
      <c r="AD468" s="15"/>
      <c r="AE468" s="15"/>
      <c r="AF468" s="15"/>
      <c r="AG468" s="15"/>
    </row>
    <row r="469" ht="11.25" customHeight="1">
      <c r="A469" s="1"/>
      <c r="B469" s="2"/>
      <c r="C469" s="1"/>
      <c r="D469" s="2"/>
      <c r="E469" s="2"/>
      <c r="F469" s="2"/>
      <c r="G469" s="2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15"/>
      <c r="AC469" s="54"/>
      <c r="AD469" s="15"/>
      <c r="AE469" s="15"/>
      <c r="AF469" s="15"/>
      <c r="AG469" s="15"/>
    </row>
    <row r="470" ht="11.25" customHeight="1">
      <c r="A470" s="1"/>
      <c r="B470" s="2"/>
      <c r="C470" s="1"/>
      <c r="D470" s="2"/>
      <c r="E470" s="2"/>
      <c r="F470" s="2"/>
      <c r="G470" s="2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15"/>
      <c r="AC470" s="54"/>
      <c r="AD470" s="15"/>
      <c r="AE470" s="15"/>
      <c r="AF470" s="15"/>
      <c r="AG470" s="15"/>
    </row>
    <row r="471" ht="11.25" customHeight="1">
      <c r="A471" s="1"/>
      <c r="B471" s="2"/>
      <c r="C471" s="1"/>
      <c r="D471" s="2"/>
      <c r="E471" s="2"/>
      <c r="F471" s="2"/>
      <c r="G471" s="2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15"/>
      <c r="AC471" s="54"/>
      <c r="AD471" s="15"/>
      <c r="AE471" s="15"/>
      <c r="AF471" s="15"/>
      <c r="AG471" s="15"/>
    </row>
    <row r="472" ht="11.25" customHeight="1">
      <c r="A472" s="1"/>
      <c r="B472" s="2"/>
      <c r="C472" s="1"/>
      <c r="D472" s="2"/>
      <c r="E472" s="2"/>
      <c r="F472" s="2"/>
      <c r="G472" s="2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15"/>
      <c r="AC472" s="54"/>
      <c r="AD472" s="15"/>
      <c r="AE472" s="15"/>
      <c r="AF472" s="15"/>
      <c r="AG472" s="15"/>
    </row>
    <row r="473" ht="11.25" customHeight="1">
      <c r="A473" s="1"/>
      <c r="B473" s="2"/>
      <c r="C473" s="1"/>
      <c r="D473" s="2"/>
      <c r="E473" s="2"/>
      <c r="F473" s="2"/>
      <c r="G473" s="2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15"/>
      <c r="AC473" s="54"/>
      <c r="AD473" s="15"/>
      <c r="AE473" s="15"/>
      <c r="AF473" s="15"/>
      <c r="AG473" s="15"/>
    </row>
    <row r="474" ht="11.25" customHeight="1">
      <c r="A474" s="1"/>
      <c r="B474" s="2"/>
      <c r="C474" s="1"/>
      <c r="D474" s="2"/>
      <c r="E474" s="2"/>
      <c r="F474" s="2"/>
      <c r="G474" s="2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15"/>
      <c r="AC474" s="54"/>
      <c r="AD474" s="15"/>
      <c r="AE474" s="15"/>
      <c r="AF474" s="15"/>
      <c r="AG474" s="15"/>
    </row>
    <row r="475" ht="11.25" customHeight="1">
      <c r="A475" s="1"/>
      <c r="B475" s="2"/>
      <c r="C475" s="1"/>
      <c r="D475" s="2"/>
      <c r="E475" s="2"/>
      <c r="F475" s="2"/>
      <c r="G475" s="2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15"/>
      <c r="AC475" s="54"/>
      <c r="AD475" s="15"/>
      <c r="AE475" s="15"/>
      <c r="AF475" s="15"/>
      <c r="AG475" s="15"/>
    </row>
    <row r="476" ht="11.25" customHeight="1">
      <c r="A476" s="1"/>
      <c r="B476" s="2"/>
      <c r="C476" s="1"/>
      <c r="D476" s="2"/>
      <c r="E476" s="2"/>
      <c r="F476" s="2"/>
      <c r="G476" s="2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15"/>
      <c r="AC476" s="54"/>
      <c r="AD476" s="15"/>
      <c r="AE476" s="15"/>
      <c r="AF476" s="15"/>
      <c r="AG476" s="15"/>
    </row>
    <row r="477" ht="11.25" customHeight="1">
      <c r="A477" s="1"/>
      <c r="B477" s="2"/>
      <c r="C477" s="1"/>
      <c r="D477" s="2"/>
      <c r="E477" s="2"/>
      <c r="F477" s="2"/>
      <c r="G477" s="2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15"/>
      <c r="AC477" s="54"/>
      <c r="AD477" s="15"/>
      <c r="AE477" s="15"/>
      <c r="AF477" s="15"/>
      <c r="AG477" s="15"/>
    </row>
    <row r="478" ht="11.25" customHeight="1">
      <c r="A478" s="1"/>
      <c r="B478" s="2"/>
      <c r="C478" s="1"/>
      <c r="D478" s="2"/>
      <c r="E478" s="2"/>
      <c r="F478" s="2"/>
      <c r="G478" s="2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15"/>
      <c r="AC478" s="54"/>
      <c r="AD478" s="15"/>
      <c r="AE478" s="15"/>
      <c r="AF478" s="15"/>
      <c r="AG478" s="15"/>
    </row>
    <row r="479" ht="11.25" customHeight="1">
      <c r="A479" s="1"/>
      <c r="B479" s="2"/>
      <c r="C479" s="1"/>
      <c r="D479" s="2"/>
      <c r="E479" s="2"/>
      <c r="F479" s="2"/>
      <c r="G479" s="2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15"/>
      <c r="AC479" s="54"/>
      <c r="AD479" s="15"/>
      <c r="AE479" s="15"/>
      <c r="AF479" s="15"/>
      <c r="AG479" s="15"/>
    </row>
    <row r="480" ht="11.25" customHeight="1">
      <c r="A480" s="1"/>
      <c r="B480" s="2"/>
      <c r="C480" s="1"/>
      <c r="D480" s="2"/>
      <c r="E480" s="2"/>
      <c r="F480" s="2"/>
      <c r="G480" s="2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15"/>
      <c r="AC480" s="54"/>
      <c r="AD480" s="15"/>
      <c r="AE480" s="15"/>
      <c r="AF480" s="15"/>
      <c r="AG480" s="15"/>
    </row>
    <row r="481" ht="11.25" customHeight="1">
      <c r="A481" s="1"/>
      <c r="B481" s="2"/>
      <c r="C481" s="1"/>
      <c r="D481" s="2"/>
      <c r="E481" s="2"/>
      <c r="F481" s="2"/>
      <c r="G481" s="2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15"/>
      <c r="AC481" s="54"/>
      <c r="AD481" s="15"/>
      <c r="AE481" s="15"/>
      <c r="AF481" s="15"/>
      <c r="AG481" s="15"/>
    </row>
    <row r="482" ht="11.25" customHeight="1">
      <c r="A482" s="1"/>
      <c r="B482" s="2"/>
      <c r="C482" s="1"/>
      <c r="D482" s="2"/>
      <c r="E482" s="2"/>
      <c r="F482" s="2"/>
      <c r="G482" s="2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15"/>
      <c r="AC482" s="54"/>
      <c r="AD482" s="15"/>
      <c r="AE482" s="15"/>
      <c r="AF482" s="15"/>
      <c r="AG482" s="15"/>
    </row>
    <row r="483" ht="11.25" customHeight="1">
      <c r="A483" s="1"/>
      <c r="B483" s="2"/>
      <c r="C483" s="1"/>
      <c r="D483" s="2"/>
      <c r="E483" s="2"/>
      <c r="F483" s="2"/>
      <c r="G483" s="2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15"/>
      <c r="AC483" s="54"/>
      <c r="AD483" s="15"/>
      <c r="AE483" s="15"/>
      <c r="AF483" s="15"/>
      <c r="AG483" s="15"/>
    </row>
    <row r="484" ht="11.25" customHeight="1">
      <c r="A484" s="1"/>
      <c r="B484" s="2"/>
      <c r="C484" s="1"/>
      <c r="D484" s="2"/>
      <c r="E484" s="2"/>
      <c r="F484" s="2"/>
      <c r="G484" s="2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15"/>
      <c r="AC484" s="54"/>
      <c r="AD484" s="15"/>
      <c r="AE484" s="15"/>
      <c r="AF484" s="15"/>
      <c r="AG484" s="15"/>
    </row>
    <row r="485" ht="11.25" customHeight="1">
      <c r="A485" s="1"/>
      <c r="B485" s="2"/>
      <c r="C485" s="1"/>
      <c r="D485" s="2"/>
      <c r="E485" s="2"/>
      <c r="F485" s="2"/>
      <c r="G485" s="2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15"/>
      <c r="AC485" s="54"/>
      <c r="AD485" s="15"/>
      <c r="AE485" s="15"/>
      <c r="AF485" s="15"/>
      <c r="AG485" s="15"/>
    </row>
    <row r="486" ht="11.25" customHeight="1">
      <c r="A486" s="1"/>
      <c r="B486" s="2"/>
      <c r="C486" s="1"/>
      <c r="D486" s="2"/>
      <c r="E486" s="2"/>
      <c r="F486" s="2"/>
      <c r="G486" s="2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15"/>
      <c r="AC486" s="54"/>
      <c r="AD486" s="15"/>
      <c r="AE486" s="15"/>
      <c r="AF486" s="15"/>
      <c r="AG486" s="15"/>
    </row>
    <row r="487" ht="11.25" customHeight="1">
      <c r="A487" s="1"/>
      <c r="B487" s="2"/>
      <c r="C487" s="1"/>
      <c r="D487" s="2"/>
      <c r="E487" s="2"/>
      <c r="F487" s="2"/>
      <c r="G487" s="2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15"/>
      <c r="AC487" s="54"/>
      <c r="AD487" s="15"/>
      <c r="AE487" s="15"/>
      <c r="AF487" s="15"/>
      <c r="AG487" s="15"/>
    </row>
    <row r="488" ht="11.25" customHeight="1">
      <c r="A488" s="1"/>
      <c r="B488" s="2"/>
      <c r="C488" s="1"/>
      <c r="D488" s="2"/>
      <c r="E488" s="2"/>
      <c r="F488" s="2"/>
      <c r="G488" s="2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15"/>
      <c r="AC488" s="54"/>
      <c r="AD488" s="15"/>
      <c r="AE488" s="15"/>
      <c r="AF488" s="15"/>
      <c r="AG488" s="15"/>
    </row>
    <row r="489" ht="11.25" customHeight="1">
      <c r="A489" s="1"/>
      <c r="B489" s="2"/>
      <c r="C489" s="1"/>
      <c r="D489" s="2"/>
      <c r="E489" s="2"/>
      <c r="F489" s="2"/>
      <c r="G489" s="2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15"/>
      <c r="AC489" s="54"/>
      <c r="AD489" s="15"/>
      <c r="AE489" s="15"/>
      <c r="AF489" s="15"/>
      <c r="AG489" s="15"/>
    </row>
    <row r="490" ht="11.25" customHeight="1">
      <c r="A490" s="1"/>
      <c r="B490" s="2"/>
      <c r="C490" s="1"/>
      <c r="D490" s="2"/>
      <c r="E490" s="2"/>
      <c r="F490" s="2"/>
      <c r="G490" s="2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15"/>
      <c r="AC490" s="54"/>
      <c r="AD490" s="15"/>
      <c r="AE490" s="15"/>
      <c r="AF490" s="15"/>
      <c r="AG490" s="15"/>
    </row>
    <row r="491" ht="11.25" customHeight="1">
      <c r="A491" s="1"/>
      <c r="B491" s="2"/>
      <c r="C491" s="1"/>
      <c r="D491" s="2"/>
      <c r="E491" s="2"/>
      <c r="F491" s="2"/>
      <c r="G491" s="2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15"/>
      <c r="AC491" s="54"/>
      <c r="AD491" s="15"/>
      <c r="AE491" s="15"/>
      <c r="AF491" s="15"/>
      <c r="AG491" s="15"/>
    </row>
    <row r="492" ht="11.25" customHeight="1">
      <c r="A492" s="1"/>
      <c r="B492" s="2"/>
      <c r="C492" s="1"/>
      <c r="D492" s="2"/>
      <c r="E492" s="2"/>
      <c r="F492" s="2"/>
      <c r="G492" s="2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15"/>
      <c r="AC492" s="54"/>
      <c r="AD492" s="15"/>
      <c r="AE492" s="15"/>
      <c r="AF492" s="15"/>
      <c r="AG492" s="15"/>
    </row>
    <row r="493" ht="11.25" customHeight="1">
      <c r="A493" s="1"/>
      <c r="B493" s="2"/>
      <c r="C493" s="1"/>
      <c r="D493" s="2"/>
      <c r="E493" s="2"/>
      <c r="F493" s="2"/>
      <c r="G493" s="2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15"/>
      <c r="AC493" s="54"/>
      <c r="AD493" s="15"/>
      <c r="AE493" s="15"/>
      <c r="AF493" s="15"/>
      <c r="AG493" s="15"/>
    </row>
    <row r="494" ht="11.25" customHeight="1">
      <c r="A494" s="1"/>
      <c r="B494" s="2"/>
      <c r="C494" s="1"/>
      <c r="D494" s="2"/>
      <c r="E494" s="2"/>
      <c r="F494" s="2"/>
      <c r="G494" s="2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15"/>
      <c r="AC494" s="54"/>
      <c r="AD494" s="15"/>
      <c r="AE494" s="15"/>
      <c r="AF494" s="15"/>
      <c r="AG494" s="15"/>
    </row>
    <row r="495" ht="11.25" customHeight="1">
      <c r="A495" s="1"/>
      <c r="B495" s="2"/>
      <c r="C495" s="1"/>
      <c r="D495" s="2"/>
      <c r="E495" s="2"/>
      <c r="F495" s="2"/>
      <c r="G495" s="2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15"/>
      <c r="AC495" s="54"/>
      <c r="AD495" s="15"/>
      <c r="AE495" s="15"/>
      <c r="AF495" s="15"/>
      <c r="AG495" s="15"/>
    </row>
    <row r="496" ht="11.25" customHeight="1">
      <c r="A496" s="1"/>
      <c r="B496" s="2"/>
      <c r="C496" s="1"/>
      <c r="D496" s="2"/>
      <c r="E496" s="2"/>
      <c r="F496" s="2"/>
      <c r="G496" s="2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15"/>
      <c r="AC496" s="54"/>
      <c r="AD496" s="15"/>
      <c r="AE496" s="15"/>
      <c r="AF496" s="15"/>
      <c r="AG496" s="15"/>
    </row>
    <row r="497" ht="11.25" customHeight="1">
      <c r="A497" s="1"/>
      <c r="B497" s="2"/>
      <c r="C497" s="1"/>
      <c r="D497" s="2"/>
      <c r="E497" s="2"/>
      <c r="F497" s="2"/>
      <c r="G497" s="2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15"/>
      <c r="AC497" s="54"/>
      <c r="AD497" s="15"/>
      <c r="AE497" s="15"/>
      <c r="AF497" s="15"/>
      <c r="AG497" s="15"/>
    </row>
    <row r="498" ht="11.25" customHeight="1">
      <c r="A498" s="1"/>
      <c r="B498" s="2"/>
      <c r="C498" s="1"/>
      <c r="D498" s="2"/>
      <c r="E498" s="2"/>
      <c r="F498" s="2"/>
      <c r="G498" s="2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15"/>
      <c r="AC498" s="54"/>
      <c r="AD498" s="15"/>
      <c r="AE498" s="15"/>
      <c r="AF498" s="15"/>
      <c r="AG498" s="15"/>
    </row>
    <row r="499" ht="11.25" customHeight="1">
      <c r="A499" s="1"/>
      <c r="B499" s="2"/>
      <c r="C499" s="1"/>
      <c r="D499" s="2"/>
      <c r="E499" s="2"/>
      <c r="F499" s="2"/>
      <c r="G499" s="2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15"/>
      <c r="AC499" s="54"/>
      <c r="AD499" s="15"/>
      <c r="AE499" s="15"/>
      <c r="AF499" s="15"/>
      <c r="AG499" s="15"/>
    </row>
    <row r="500" ht="11.25" customHeight="1">
      <c r="A500" s="1"/>
      <c r="B500" s="2"/>
      <c r="C500" s="1"/>
      <c r="D500" s="2"/>
      <c r="E500" s="2"/>
      <c r="F500" s="2"/>
      <c r="G500" s="2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15"/>
      <c r="AC500" s="54"/>
      <c r="AD500" s="15"/>
      <c r="AE500" s="15"/>
      <c r="AF500" s="15"/>
      <c r="AG500" s="15"/>
    </row>
    <row r="501" ht="11.25" customHeight="1">
      <c r="A501" s="1"/>
      <c r="B501" s="2"/>
      <c r="C501" s="1"/>
      <c r="D501" s="2"/>
      <c r="E501" s="2"/>
      <c r="F501" s="2"/>
      <c r="G501" s="2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15"/>
      <c r="AC501" s="54"/>
      <c r="AD501" s="15"/>
      <c r="AE501" s="15"/>
      <c r="AF501" s="15"/>
      <c r="AG501" s="15"/>
    </row>
    <row r="502" ht="11.25" customHeight="1">
      <c r="A502" s="1"/>
      <c r="B502" s="2"/>
      <c r="C502" s="1"/>
      <c r="D502" s="2"/>
      <c r="E502" s="2"/>
      <c r="F502" s="2"/>
      <c r="G502" s="2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15"/>
      <c r="AC502" s="54"/>
      <c r="AD502" s="15"/>
      <c r="AE502" s="15"/>
      <c r="AF502" s="15"/>
      <c r="AG502" s="15"/>
    </row>
    <row r="503" ht="11.25" customHeight="1">
      <c r="A503" s="1"/>
      <c r="B503" s="2"/>
      <c r="C503" s="1"/>
      <c r="D503" s="2"/>
      <c r="E503" s="2"/>
      <c r="F503" s="2"/>
      <c r="G503" s="2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15"/>
      <c r="AC503" s="54"/>
      <c r="AD503" s="15"/>
      <c r="AE503" s="15"/>
      <c r="AF503" s="15"/>
      <c r="AG503" s="15"/>
    </row>
    <row r="504" ht="11.25" customHeight="1">
      <c r="A504" s="1"/>
      <c r="B504" s="2"/>
      <c r="C504" s="1"/>
      <c r="D504" s="2"/>
      <c r="E504" s="2"/>
      <c r="F504" s="2"/>
      <c r="G504" s="2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15"/>
      <c r="AC504" s="54"/>
      <c r="AD504" s="15"/>
      <c r="AE504" s="15"/>
      <c r="AF504" s="15"/>
      <c r="AG504" s="15"/>
    </row>
    <row r="505" ht="11.25" customHeight="1">
      <c r="A505" s="1"/>
      <c r="B505" s="2"/>
      <c r="C505" s="1"/>
      <c r="D505" s="2"/>
      <c r="E505" s="2"/>
      <c r="F505" s="2"/>
      <c r="G505" s="2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15"/>
      <c r="AC505" s="54"/>
      <c r="AD505" s="15"/>
      <c r="AE505" s="15"/>
      <c r="AF505" s="15"/>
      <c r="AG505" s="15"/>
    </row>
    <row r="506" ht="11.25" customHeight="1">
      <c r="A506" s="1"/>
      <c r="B506" s="2"/>
      <c r="C506" s="1"/>
      <c r="D506" s="2"/>
      <c r="E506" s="2"/>
      <c r="F506" s="2"/>
      <c r="G506" s="2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15"/>
      <c r="AC506" s="54"/>
      <c r="AD506" s="15"/>
      <c r="AE506" s="15"/>
      <c r="AF506" s="15"/>
      <c r="AG506" s="15"/>
    </row>
    <row r="507" ht="11.25" customHeight="1">
      <c r="A507" s="1"/>
      <c r="B507" s="2"/>
      <c r="C507" s="1"/>
      <c r="D507" s="2"/>
      <c r="E507" s="2"/>
      <c r="F507" s="2"/>
      <c r="G507" s="2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15"/>
      <c r="AC507" s="54"/>
      <c r="AD507" s="15"/>
      <c r="AE507" s="15"/>
      <c r="AF507" s="15"/>
      <c r="AG507" s="15"/>
    </row>
    <row r="508" ht="11.25" customHeight="1">
      <c r="A508" s="1"/>
      <c r="B508" s="2"/>
      <c r="C508" s="1"/>
      <c r="D508" s="2"/>
      <c r="E508" s="2"/>
      <c r="F508" s="2"/>
      <c r="G508" s="2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15"/>
      <c r="AC508" s="54"/>
      <c r="AD508" s="15"/>
      <c r="AE508" s="15"/>
      <c r="AF508" s="15"/>
      <c r="AG508" s="15"/>
    </row>
    <row r="509" ht="11.25" customHeight="1">
      <c r="A509" s="1"/>
      <c r="B509" s="2"/>
      <c r="C509" s="1"/>
      <c r="D509" s="2"/>
      <c r="E509" s="2"/>
      <c r="F509" s="2"/>
      <c r="G509" s="2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15"/>
      <c r="AC509" s="54"/>
      <c r="AD509" s="15"/>
      <c r="AE509" s="15"/>
      <c r="AF509" s="15"/>
      <c r="AG509" s="15"/>
    </row>
    <row r="510" ht="11.25" customHeight="1">
      <c r="A510" s="1"/>
      <c r="B510" s="2"/>
      <c r="C510" s="1"/>
      <c r="D510" s="2"/>
      <c r="E510" s="2"/>
      <c r="F510" s="2"/>
      <c r="G510" s="2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15"/>
      <c r="AC510" s="54"/>
      <c r="AD510" s="15"/>
      <c r="AE510" s="15"/>
      <c r="AF510" s="15"/>
      <c r="AG510" s="15"/>
    </row>
    <row r="511" ht="11.25" customHeight="1">
      <c r="A511" s="1"/>
      <c r="B511" s="2"/>
      <c r="C511" s="1"/>
      <c r="D511" s="2"/>
      <c r="E511" s="2"/>
      <c r="F511" s="2"/>
      <c r="G511" s="2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15"/>
      <c r="AC511" s="54"/>
      <c r="AD511" s="15"/>
      <c r="AE511" s="15"/>
      <c r="AF511" s="15"/>
      <c r="AG511" s="15"/>
    </row>
    <row r="512" ht="11.25" customHeight="1">
      <c r="A512" s="1"/>
      <c r="B512" s="2"/>
      <c r="C512" s="1"/>
      <c r="D512" s="2"/>
      <c r="E512" s="2"/>
      <c r="F512" s="2"/>
      <c r="G512" s="2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15"/>
      <c r="AC512" s="54"/>
      <c r="AD512" s="15"/>
      <c r="AE512" s="15"/>
      <c r="AF512" s="15"/>
      <c r="AG512" s="15"/>
    </row>
    <row r="513" ht="11.25" customHeight="1">
      <c r="A513" s="1"/>
      <c r="B513" s="2"/>
      <c r="C513" s="1"/>
      <c r="D513" s="2"/>
      <c r="E513" s="2"/>
      <c r="F513" s="2"/>
      <c r="G513" s="2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15"/>
      <c r="AC513" s="54"/>
      <c r="AD513" s="15"/>
      <c r="AE513" s="15"/>
      <c r="AF513" s="15"/>
      <c r="AG513" s="15"/>
    </row>
    <row r="514" ht="11.25" customHeight="1">
      <c r="A514" s="1"/>
      <c r="B514" s="2"/>
      <c r="C514" s="1"/>
      <c r="D514" s="2"/>
      <c r="E514" s="2"/>
      <c r="F514" s="2"/>
      <c r="G514" s="2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15"/>
      <c r="AC514" s="54"/>
      <c r="AD514" s="15"/>
      <c r="AE514" s="15"/>
      <c r="AF514" s="15"/>
      <c r="AG514" s="15"/>
    </row>
    <row r="515" ht="11.25" customHeight="1">
      <c r="A515" s="1"/>
      <c r="B515" s="2"/>
      <c r="C515" s="1"/>
      <c r="D515" s="2"/>
      <c r="E515" s="2"/>
      <c r="F515" s="2"/>
      <c r="G515" s="2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15"/>
      <c r="AC515" s="54"/>
      <c r="AD515" s="15"/>
      <c r="AE515" s="15"/>
      <c r="AF515" s="15"/>
      <c r="AG515" s="15"/>
    </row>
    <row r="516" ht="11.25" customHeight="1">
      <c r="A516" s="1"/>
      <c r="B516" s="2"/>
      <c r="C516" s="1"/>
      <c r="D516" s="2"/>
      <c r="E516" s="2"/>
      <c r="F516" s="2"/>
      <c r="G516" s="2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15"/>
      <c r="AC516" s="54"/>
      <c r="AD516" s="15"/>
      <c r="AE516" s="15"/>
      <c r="AF516" s="15"/>
      <c r="AG516" s="15"/>
    </row>
    <row r="517" ht="11.25" customHeight="1">
      <c r="A517" s="1"/>
      <c r="B517" s="2"/>
      <c r="C517" s="1"/>
      <c r="D517" s="2"/>
      <c r="E517" s="2"/>
      <c r="F517" s="2"/>
      <c r="G517" s="2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15"/>
      <c r="AC517" s="54"/>
      <c r="AD517" s="15"/>
      <c r="AE517" s="15"/>
      <c r="AF517" s="15"/>
      <c r="AG517" s="15"/>
    </row>
    <row r="518" ht="11.25" customHeight="1">
      <c r="A518" s="1"/>
      <c r="B518" s="2"/>
      <c r="C518" s="1"/>
      <c r="D518" s="2"/>
      <c r="E518" s="2"/>
      <c r="F518" s="2"/>
      <c r="G518" s="2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15"/>
      <c r="AC518" s="54"/>
      <c r="AD518" s="15"/>
      <c r="AE518" s="15"/>
      <c r="AF518" s="15"/>
      <c r="AG518" s="15"/>
    </row>
    <row r="519" ht="11.25" customHeight="1">
      <c r="A519" s="1"/>
      <c r="B519" s="2"/>
      <c r="C519" s="1"/>
      <c r="D519" s="2"/>
      <c r="E519" s="2"/>
      <c r="F519" s="2"/>
      <c r="G519" s="2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15"/>
      <c r="AC519" s="54"/>
      <c r="AD519" s="15"/>
      <c r="AE519" s="15"/>
      <c r="AF519" s="15"/>
      <c r="AG519" s="15"/>
    </row>
    <row r="520" ht="11.25" customHeight="1">
      <c r="A520" s="1"/>
      <c r="B520" s="2"/>
      <c r="C520" s="1"/>
      <c r="D520" s="2"/>
      <c r="E520" s="2"/>
      <c r="F520" s="2"/>
      <c r="G520" s="2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15"/>
      <c r="AC520" s="54"/>
      <c r="AD520" s="15"/>
      <c r="AE520" s="15"/>
      <c r="AF520" s="15"/>
      <c r="AG520" s="15"/>
    </row>
    <row r="521" ht="11.25" customHeight="1">
      <c r="A521" s="1"/>
      <c r="B521" s="2"/>
      <c r="C521" s="1"/>
      <c r="D521" s="2"/>
      <c r="E521" s="2"/>
      <c r="F521" s="2"/>
      <c r="G521" s="2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15"/>
      <c r="AC521" s="54"/>
      <c r="AD521" s="15"/>
      <c r="AE521" s="15"/>
      <c r="AF521" s="15"/>
      <c r="AG521" s="15"/>
    </row>
    <row r="522" ht="11.25" customHeight="1">
      <c r="A522" s="1"/>
      <c r="B522" s="2"/>
      <c r="C522" s="1"/>
      <c r="D522" s="2"/>
      <c r="E522" s="2"/>
      <c r="F522" s="2"/>
      <c r="G522" s="2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15"/>
      <c r="AC522" s="54"/>
      <c r="AD522" s="15"/>
      <c r="AE522" s="15"/>
      <c r="AF522" s="15"/>
      <c r="AG522" s="15"/>
    </row>
    <row r="523" ht="11.25" customHeight="1">
      <c r="A523" s="1"/>
      <c r="B523" s="2"/>
      <c r="C523" s="1"/>
      <c r="D523" s="2"/>
      <c r="E523" s="2"/>
      <c r="F523" s="2"/>
      <c r="G523" s="2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15"/>
      <c r="AC523" s="54"/>
      <c r="AD523" s="15"/>
      <c r="AE523" s="15"/>
      <c r="AF523" s="15"/>
      <c r="AG523" s="15"/>
    </row>
    <row r="524" ht="11.25" customHeight="1">
      <c r="A524" s="1"/>
      <c r="B524" s="2"/>
      <c r="C524" s="1"/>
      <c r="D524" s="2"/>
      <c r="E524" s="2"/>
      <c r="F524" s="2"/>
      <c r="G524" s="2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15"/>
      <c r="AC524" s="54"/>
      <c r="AD524" s="15"/>
      <c r="AE524" s="15"/>
      <c r="AF524" s="15"/>
      <c r="AG524" s="15"/>
    </row>
    <row r="525" ht="11.25" customHeight="1">
      <c r="A525" s="1"/>
      <c r="B525" s="2"/>
      <c r="C525" s="1"/>
      <c r="D525" s="2"/>
      <c r="E525" s="2"/>
      <c r="F525" s="2"/>
      <c r="G525" s="2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15"/>
      <c r="AC525" s="54"/>
      <c r="AD525" s="15"/>
      <c r="AE525" s="15"/>
      <c r="AF525" s="15"/>
      <c r="AG525" s="15"/>
    </row>
    <row r="526" ht="11.25" customHeight="1">
      <c r="A526" s="1"/>
      <c r="B526" s="2"/>
      <c r="C526" s="1"/>
      <c r="D526" s="2"/>
      <c r="E526" s="2"/>
      <c r="F526" s="2"/>
      <c r="G526" s="2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15"/>
      <c r="AC526" s="54"/>
      <c r="AD526" s="15"/>
      <c r="AE526" s="15"/>
      <c r="AF526" s="15"/>
      <c r="AG526" s="15"/>
    </row>
    <row r="527" ht="11.25" customHeight="1">
      <c r="A527" s="1"/>
      <c r="B527" s="2"/>
      <c r="C527" s="1"/>
      <c r="D527" s="2"/>
      <c r="E527" s="2"/>
      <c r="F527" s="2"/>
      <c r="G527" s="2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15"/>
      <c r="AC527" s="54"/>
      <c r="AD527" s="15"/>
      <c r="AE527" s="15"/>
      <c r="AF527" s="15"/>
      <c r="AG527" s="15"/>
    </row>
    <row r="528" ht="11.25" customHeight="1">
      <c r="A528" s="1"/>
      <c r="B528" s="2"/>
      <c r="C528" s="1"/>
      <c r="D528" s="2"/>
      <c r="E528" s="2"/>
      <c r="F528" s="2"/>
      <c r="G528" s="2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15"/>
      <c r="AC528" s="54"/>
      <c r="AD528" s="15"/>
      <c r="AE528" s="15"/>
      <c r="AF528" s="15"/>
      <c r="AG528" s="15"/>
    </row>
    <row r="529" ht="11.25" customHeight="1">
      <c r="A529" s="1"/>
      <c r="B529" s="2"/>
      <c r="C529" s="1"/>
      <c r="D529" s="2"/>
      <c r="E529" s="2"/>
      <c r="F529" s="2"/>
      <c r="G529" s="2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15"/>
      <c r="AC529" s="54"/>
      <c r="AD529" s="15"/>
      <c r="AE529" s="15"/>
      <c r="AF529" s="15"/>
      <c r="AG529" s="15"/>
    </row>
    <row r="530" ht="11.25" customHeight="1">
      <c r="A530" s="1"/>
      <c r="B530" s="2"/>
      <c r="C530" s="1"/>
      <c r="D530" s="2"/>
      <c r="E530" s="2"/>
      <c r="F530" s="2"/>
      <c r="G530" s="2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15"/>
      <c r="AC530" s="54"/>
      <c r="AD530" s="15"/>
      <c r="AE530" s="15"/>
      <c r="AF530" s="15"/>
      <c r="AG530" s="15"/>
    </row>
    <row r="531" ht="11.25" customHeight="1">
      <c r="A531" s="1"/>
      <c r="B531" s="2"/>
      <c r="C531" s="1"/>
      <c r="D531" s="2"/>
      <c r="E531" s="2"/>
      <c r="F531" s="2"/>
      <c r="G531" s="2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15"/>
      <c r="AC531" s="54"/>
      <c r="AD531" s="15"/>
      <c r="AE531" s="15"/>
      <c r="AF531" s="15"/>
      <c r="AG531" s="15"/>
    </row>
    <row r="532" ht="11.25" customHeight="1">
      <c r="A532" s="1"/>
      <c r="B532" s="2"/>
      <c r="C532" s="1"/>
      <c r="D532" s="2"/>
      <c r="E532" s="2"/>
      <c r="F532" s="2"/>
      <c r="G532" s="2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15"/>
      <c r="AC532" s="54"/>
      <c r="AD532" s="15"/>
      <c r="AE532" s="15"/>
      <c r="AF532" s="15"/>
      <c r="AG532" s="15"/>
    </row>
    <row r="533" ht="11.25" customHeight="1">
      <c r="A533" s="1"/>
      <c r="B533" s="2"/>
      <c r="C533" s="1"/>
      <c r="D533" s="2"/>
      <c r="E533" s="2"/>
      <c r="F533" s="2"/>
      <c r="G533" s="2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15"/>
      <c r="AC533" s="54"/>
      <c r="AD533" s="15"/>
      <c r="AE533" s="15"/>
      <c r="AF533" s="15"/>
      <c r="AG533" s="15"/>
    </row>
    <row r="534" ht="11.25" customHeight="1">
      <c r="A534" s="1"/>
      <c r="B534" s="2"/>
      <c r="C534" s="1"/>
      <c r="D534" s="2"/>
      <c r="E534" s="2"/>
      <c r="F534" s="2"/>
      <c r="G534" s="2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15"/>
      <c r="AC534" s="54"/>
      <c r="AD534" s="15"/>
      <c r="AE534" s="15"/>
      <c r="AF534" s="15"/>
      <c r="AG534" s="15"/>
    </row>
    <row r="535" ht="11.25" customHeight="1">
      <c r="A535" s="1"/>
      <c r="B535" s="2"/>
      <c r="C535" s="1"/>
      <c r="D535" s="2"/>
      <c r="E535" s="2"/>
      <c r="F535" s="2"/>
      <c r="G535" s="2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15"/>
      <c r="AC535" s="54"/>
      <c r="AD535" s="15"/>
      <c r="AE535" s="15"/>
      <c r="AF535" s="15"/>
      <c r="AG535" s="15"/>
    </row>
    <row r="536" ht="11.25" customHeight="1">
      <c r="A536" s="1"/>
      <c r="B536" s="2"/>
      <c r="C536" s="1"/>
      <c r="D536" s="2"/>
      <c r="E536" s="2"/>
      <c r="F536" s="2"/>
      <c r="G536" s="2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15"/>
      <c r="AC536" s="54"/>
      <c r="AD536" s="15"/>
      <c r="AE536" s="15"/>
      <c r="AF536" s="15"/>
      <c r="AG536" s="15"/>
    </row>
    <row r="537" ht="11.25" customHeight="1">
      <c r="A537" s="1"/>
      <c r="B537" s="2"/>
      <c r="C537" s="1"/>
      <c r="D537" s="2"/>
      <c r="E537" s="2"/>
      <c r="F537" s="2"/>
      <c r="G537" s="2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15"/>
      <c r="AC537" s="54"/>
      <c r="AD537" s="15"/>
      <c r="AE537" s="15"/>
      <c r="AF537" s="15"/>
      <c r="AG537" s="15"/>
    </row>
    <row r="538" ht="11.25" customHeight="1">
      <c r="A538" s="1"/>
      <c r="B538" s="2"/>
      <c r="C538" s="1"/>
      <c r="D538" s="2"/>
      <c r="E538" s="2"/>
      <c r="F538" s="2"/>
      <c r="G538" s="2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15"/>
      <c r="AC538" s="54"/>
      <c r="AD538" s="15"/>
      <c r="AE538" s="15"/>
      <c r="AF538" s="15"/>
      <c r="AG538" s="15"/>
    </row>
    <row r="539" ht="11.25" customHeight="1">
      <c r="A539" s="1"/>
      <c r="B539" s="2"/>
      <c r="C539" s="1"/>
      <c r="D539" s="2"/>
      <c r="E539" s="2"/>
      <c r="F539" s="2"/>
      <c r="G539" s="2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15"/>
      <c r="AC539" s="54"/>
      <c r="AD539" s="15"/>
      <c r="AE539" s="15"/>
      <c r="AF539" s="15"/>
      <c r="AG539" s="15"/>
    </row>
    <row r="540" ht="11.25" customHeight="1">
      <c r="A540" s="1"/>
      <c r="B540" s="2"/>
      <c r="C540" s="1"/>
      <c r="D540" s="2"/>
      <c r="E540" s="2"/>
      <c r="F540" s="2"/>
      <c r="G540" s="2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15"/>
      <c r="AC540" s="54"/>
      <c r="AD540" s="15"/>
      <c r="AE540" s="15"/>
      <c r="AF540" s="15"/>
      <c r="AG540" s="15"/>
    </row>
    <row r="541" ht="11.25" customHeight="1">
      <c r="A541" s="1"/>
      <c r="B541" s="2"/>
      <c r="C541" s="1"/>
      <c r="D541" s="2"/>
      <c r="E541" s="2"/>
      <c r="F541" s="2"/>
      <c r="G541" s="2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15"/>
      <c r="AC541" s="54"/>
      <c r="AD541" s="15"/>
      <c r="AE541" s="15"/>
      <c r="AF541" s="15"/>
      <c r="AG541" s="15"/>
    </row>
    <row r="542" ht="11.25" customHeight="1">
      <c r="A542" s="1"/>
      <c r="B542" s="2"/>
      <c r="C542" s="1"/>
      <c r="D542" s="2"/>
      <c r="E542" s="2"/>
      <c r="F542" s="2"/>
      <c r="G542" s="2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15"/>
      <c r="AC542" s="54"/>
      <c r="AD542" s="15"/>
      <c r="AE542" s="15"/>
      <c r="AF542" s="15"/>
      <c r="AG542" s="15"/>
    </row>
    <row r="543" ht="11.25" customHeight="1">
      <c r="A543" s="1"/>
      <c r="B543" s="2"/>
      <c r="C543" s="1"/>
      <c r="D543" s="2"/>
      <c r="E543" s="2"/>
      <c r="F543" s="2"/>
      <c r="G543" s="2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15"/>
      <c r="AC543" s="54"/>
      <c r="AD543" s="15"/>
      <c r="AE543" s="15"/>
      <c r="AF543" s="15"/>
      <c r="AG543" s="15"/>
    </row>
    <row r="544" ht="11.25" customHeight="1">
      <c r="A544" s="1"/>
      <c r="B544" s="2"/>
      <c r="C544" s="1"/>
      <c r="D544" s="2"/>
      <c r="E544" s="2"/>
      <c r="F544" s="2"/>
      <c r="G544" s="2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15"/>
      <c r="AC544" s="54"/>
      <c r="AD544" s="15"/>
      <c r="AE544" s="15"/>
      <c r="AF544" s="15"/>
      <c r="AG544" s="15"/>
    </row>
    <row r="545" ht="11.25" customHeight="1">
      <c r="A545" s="1"/>
      <c r="B545" s="2"/>
      <c r="C545" s="1"/>
      <c r="D545" s="2"/>
      <c r="E545" s="2"/>
      <c r="F545" s="2"/>
      <c r="G545" s="2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15"/>
      <c r="AC545" s="54"/>
      <c r="AD545" s="15"/>
      <c r="AE545" s="15"/>
      <c r="AF545" s="15"/>
      <c r="AG545" s="15"/>
    </row>
    <row r="546" ht="11.25" customHeight="1">
      <c r="A546" s="1"/>
      <c r="B546" s="2"/>
      <c r="C546" s="1"/>
      <c r="D546" s="2"/>
      <c r="E546" s="2"/>
      <c r="F546" s="2"/>
      <c r="G546" s="2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15"/>
      <c r="AC546" s="54"/>
      <c r="AD546" s="15"/>
      <c r="AE546" s="15"/>
      <c r="AF546" s="15"/>
      <c r="AG546" s="15"/>
    </row>
    <row r="547" ht="11.25" customHeight="1">
      <c r="A547" s="1"/>
      <c r="B547" s="2"/>
      <c r="C547" s="1"/>
      <c r="D547" s="2"/>
      <c r="E547" s="2"/>
      <c r="F547" s="2"/>
      <c r="G547" s="2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15"/>
      <c r="AC547" s="54"/>
      <c r="AD547" s="15"/>
      <c r="AE547" s="15"/>
      <c r="AF547" s="15"/>
      <c r="AG547" s="15"/>
    </row>
    <row r="548" ht="11.25" customHeight="1">
      <c r="A548" s="1"/>
      <c r="B548" s="2"/>
      <c r="C548" s="1"/>
      <c r="D548" s="2"/>
      <c r="E548" s="2"/>
      <c r="F548" s="2"/>
      <c r="G548" s="2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15"/>
      <c r="AC548" s="54"/>
      <c r="AD548" s="15"/>
      <c r="AE548" s="15"/>
      <c r="AF548" s="15"/>
      <c r="AG548" s="15"/>
    </row>
    <row r="549" ht="11.25" customHeight="1">
      <c r="A549" s="1"/>
      <c r="B549" s="2"/>
      <c r="C549" s="1"/>
      <c r="D549" s="2"/>
      <c r="E549" s="2"/>
      <c r="F549" s="2"/>
      <c r="G549" s="2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15"/>
      <c r="AC549" s="54"/>
      <c r="AD549" s="15"/>
      <c r="AE549" s="15"/>
      <c r="AF549" s="15"/>
      <c r="AG549" s="15"/>
    </row>
    <row r="550" ht="11.25" customHeight="1">
      <c r="A550" s="1"/>
      <c r="B550" s="2"/>
      <c r="C550" s="1"/>
      <c r="D550" s="2"/>
      <c r="E550" s="2"/>
      <c r="F550" s="2"/>
      <c r="G550" s="2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15"/>
      <c r="AC550" s="54"/>
      <c r="AD550" s="15"/>
      <c r="AE550" s="15"/>
      <c r="AF550" s="15"/>
      <c r="AG550" s="15"/>
    </row>
    <row r="551" ht="11.25" customHeight="1">
      <c r="A551" s="1"/>
      <c r="B551" s="2"/>
      <c r="C551" s="1"/>
      <c r="D551" s="2"/>
      <c r="E551" s="2"/>
      <c r="F551" s="2"/>
      <c r="G551" s="2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15"/>
      <c r="AC551" s="54"/>
      <c r="AD551" s="15"/>
      <c r="AE551" s="15"/>
      <c r="AF551" s="15"/>
      <c r="AG551" s="15"/>
    </row>
    <row r="552" ht="11.25" customHeight="1">
      <c r="A552" s="1"/>
      <c r="B552" s="2"/>
      <c r="C552" s="1"/>
      <c r="D552" s="2"/>
      <c r="E552" s="2"/>
      <c r="F552" s="2"/>
      <c r="G552" s="2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15"/>
      <c r="AC552" s="54"/>
      <c r="AD552" s="15"/>
      <c r="AE552" s="15"/>
      <c r="AF552" s="15"/>
      <c r="AG552" s="15"/>
    </row>
    <row r="553" ht="11.25" customHeight="1">
      <c r="A553" s="1"/>
      <c r="B553" s="2"/>
      <c r="C553" s="1"/>
      <c r="D553" s="2"/>
      <c r="E553" s="2"/>
      <c r="F553" s="2"/>
      <c r="G553" s="2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15"/>
      <c r="AC553" s="54"/>
      <c r="AD553" s="15"/>
      <c r="AE553" s="15"/>
      <c r="AF553" s="15"/>
      <c r="AG553" s="15"/>
    </row>
    <row r="554" ht="11.25" customHeight="1">
      <c r="A554" s="1"/>
      <c r="B554" s="2"/>
      <c r="C554" s="1"/>
      <c r="D554" s="2"/>
      <c r="E554" s="2"/>
      <c r="F554" s="2"/>
      <c r="G554" s="2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15"/>
      <c r="AC554" s="54"/>
      <c r="AD554" s="15"/>
      <c r="AE554" s="15"/>
      <c r="AF554" s="15"/>
      <c r="AG554" s="15"/>
    </row>
    <row r="555" ht="11.25" customHeight="1">
      <c r="A555" s="1"/>
      <c r="B555" s="2"/>
      <c r="C555" s="1"/>
      <c r="D555" s="2"/>
      <c r="E555" s="2"/>
      <c r="F555" s="2"/>
      <c r="G555" s="2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15"/>
      <c r="AC555" s="54"/>
      <c r="AD555" s="15"/>
      <c r="AE555" s="15"/>
      <c r="AF555" s="15"/>
      <c r="AG555" s="15"/>
    </row>
    <row r="556" ht="11.25" customHeight="1">
      <c r="A556" s="1"/>
      <c r="B556" s="2"/>
      <c r="C556" s="1"/>
      <c r="D556" s="2"/>
      <c r="E556" s="2"/>
      <c r="F556" s="2"/>
      <c r="G556" s="2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15"/>
      <c r="AC556" s="54"/>
      <c r="AD556" s="15"/>
      <c r="AE556" s="15"/>
      <c r="AF556" s="15"/>
      <c r="AG556" s="15"/>
    </row>
    <row r="557" ht="11.25" customHeight="1">
      <c r="A557" s="1"/>
      <c r="B557" s="2"/>
      <c r="C557" s="1"/>
      <c r="D557" s="2"/>
      <c r="E557" s="2"/>
      <c r="F557" s="2"/>
      <c r="G557" s="2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15"/>
      <c r="AC557" s="54"/>
      <c r="AD557" s="15"/>
      <c r="AE557" s="15"/>
      <c r="AF557" s="15"/>
      <c r="AG557" s="15"/>
    </row>
    <row r="558" ht="11.25" customHeight="1">
      <c r="A558" s="1"/>
      <c r="B558" s="2"/>
      <c r="C558" s="1"/>
      <c r="D558" s="2"/>
      <c r="E558" s="2"/>
      <c r="F558" s="2"/>
      <c r="G558" s="2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15"/>
      <c r="AC558" s="54"/>
      <c r="AD558" s="15"/>
      <c r="AE558" s="15"/>
      <c r="AF558" s="15"/>
      <c r="AG558" s="15"/>
    </row>
    <row r="559" ht="11.25" customHeight="1">
      <c r="A559" s="1"/>
      <c r="B559" s="2"/>
      <c r="C559" s="1"/>
      <c r="D559" s="2"/>
      <c r="E559" s="2"/>
      <c r="F559" s="2"/>
      <c r="G559" s="2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15"/>
      <c r="AC559" s="54"/>
      <c r="AD559" s="15"/>
      <c r="AE559" s="15"/>
      <c r="AF559" s="15"/>
      <c r="AG559" s="15"/>
    </row>
    <row r="560" ht="11.25" customHeight="1">
      <c r="A560" s="1"/>
      <c r="B560" s="2"/>
      <c r="C560" s="1"/>
      <c r="D560" s="2"/>
      <c r="E560" s="2"/>
      <c r="F560" s="2"/>
      <c r="G560" s="2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15"/>
      <c r="AC560" s="54"/>
      <c r="AD560" s="15"/>
      <c r="AE560" s="15"/>
      <c r="AF560" s="15"/>
      <c r="AG560" s="15"/>
    </row>
    <row r="561" ht="11.25" customHeight="1">
      <c r="A561" s="1"/>
      <c r="B561" s="2"/>
      <c r="C561" s="1"/>
      <c r="D561" s="2"/>
      <c r="E561" s="2"/>
      <c r="F561" s="2"/>
      <c r="G561" s="2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15"/>
      <c r="AC561" s="54"/>
      <c r="AD561" s="15"/>
      <c r="AE561" s="15"/>
      <c r="AF561" s="15"/>
      <c r="AG561" s="15"/>
    </row>
    <row r="562" ht="11.25" customHeight="1">
      <c r="A562" s="1"/>
      <c r="B562" s="2"/>
      <c r="C562" s="1"/>
      <c r="D562" s="2"/>
      <c r="E562" s="2"/>
      <c r="F562" s="2"/>
      <c r="G562" s="2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15"/>
      <c r="AC562" s="54"/>
      <c r="AD562" s="15"/>
      <c r="AE562" s="15"/>
      <c r="AF562" s="15"/>
      <c r="AG562" s="15"/>
    </row>
    <row r="563" ht="11.25" customHeight="1">
      <c r="A563" s="1"/>
      <c r="B563" s="2"/>
      <c r="C563" s="1"/>
      <c r="D563" s="2"/>
      <c r="E563" s="2"/>
      <c r="F563" s="2"/>
      <c r="G563" s="2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15"/>
      <c r="AC563" s="54"/>
      <c r="AD563" s="15"/>
      <c r="AE563" s="15"/>
      <c r="AF563" s="15"/>
      <c r="AG563" s="15"/>
    </row>
    <row r="564" ht="11.25" customHeight="1">
      <c r="A564" s="1"/>
      <c r="B564" s="2"/>
      <c r="C564" s="1"/>
      <c r="D564" s="2"/>
      <c r="E564" s="2"/>
      <c r="F564" s="2"/>
      <c r="G564" s="2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15"/>
      <c r="AC564" s="54"/>
      <c r="AD564" s="15"/>
      <c r="AE564" s="15"/>
      <c r="AF564" s="15"/>
      <c r="AG564" s="15"/>
    </row>
    <row r="565" ht="11.25" customHeight="1">
      <c r="A565" s="1"/>
      <c r="B565" s="2"/>
      <c r="C565" s="1"/>
      <c r="D565" s="2"/>
      <c r="E565" s="2"/>
      <c r="F565" s="2"/>
      <c r="G565" s="2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15"/>
      <c r="AC565" s="54"/>
      <c r="AD565" s="15"/>
      <c r="AE565" s="15"/>
      <c r="AF565" s="15"/>
      <c r="AG565" s="15"/>
    </row>
    <row r="566" ht="11.25" customHeight="1">
      <c r="A566" s="1"/>
      <c r="B566" s="2"/>
      <c r="C566" s="1"/>
      <c r="D566" s="2"/>
      <c r="E566" s="2"/>
      <c r="F566" s="2"/>
      <c r="G566" s="2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15"/>
      <c r="AC566" s="54"/>
      <c r="AD566" s="15"/>
      <c r="AE566" s="15"/>
      <c r="AF566" s="15"/>
      <c r="AG566" s="15"/>
    </row>
    <row r="567" ht="11.25" customHeight="1">
      <c r="A567" s="1"/>
      <c r="B567" s="2"/>
      <c r="C567" s="1"/>
      <c r="D567" s="2"/>
      <c r="E567" s="2"/>
      <c r="F567" s="2"/>
      <c r="G567" s="2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15"/>
      <c r="AC567" s="54"/>
      <c r="AD567" s="15"/>
      <c r="AE567" s="15"/>
      <c r="AF567" s="15"/>
      <c r="AG567" s="15"/>
    </row>
    <row r="568" ht="11.25" customHeight="1">
      <c r="A568" s="1"/>
      <c r="B568" s="2"/>
      <c r="C568" s="1"/>
      <c r="D568" s="2"/>
      <c r="E568" s="2"/>
      <c r="F568" s="2"/>
      <c r="G568" s="2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15"/>
      <c r="AC568" s="54"/>
      <c r="AD568" s="15"/>
      <c r="AE568" s="15"/>
      <c r="AF568" s="15"/>
      <c r="AG568" s="15"/>
    </row>
    <row r="569" ht="11.25" customHeight="1">
      <c r="A569" s="1"/>
      <c r="B569" s="2"/>
      <c r="C569" s="1"/>
      <c r="D569" s="2"/>
      <c r="E569" s="2"/>
      <c r="F569" s="2"/>
      <c r="G569" s="2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15"/>
      <c r="AC569" s="54"/>
      <c r="AD569" s="15"/>
      <c r="AE569" s="15"/>
      <c r="AF569" s="15"/>
      <c r="AG569" s="15"/>
    </row>
    <row r="570" ht="11.25" customHeight="1">
      <c r="A570" s="1"/>
      <c r="B570" s="2"/>
      <c r="C570" s="1"/>
      <c r="D570" s="2"/>
      <c r="E570" s="2"/>
      <c r="F570" s="2"/>
      <c r="G570" s="2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15"/>
      <c r="AC570" s="54"/>
      <c r="AD570" s="15"/>
      <c r="AE570" s="15"/>
      <c r="AF570" s="15"/>
      <c r="AG570" s="15"/>
    </row>
    <row r="571" ht="11.25" customHeight="1">
      <c r="A571" s="1"/>
      <c r="B571" s="2"/>
      <c r="C571" s="1"/>
      <c r="D571" s="2"/>
      <c r="E571" s="2"/>
      <c r="F571" s="2"/>
      <c r="G571" s="2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15"/>
      <c r="AC571" s="54"/>
      <c r="AD571" s="15"/>
      <c r="AE571" s="15"/>
      <c r="AF571" s="15"/>
      <c r="AG571" s="15"/>
    </row>
    <row r="572" ht="11.25" customHeight="1">
      <c r="A572" s="1"/>
      <c r="B572" s="2"/>
      <c r="C572" s="1"/>
      <c r="D572" s="2"/>
      <c r="E572" s="2"/>
      <c r="F572" s="2"/>
      <c r="G572" s="2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15"/>
      <c r="AC572" s="54"/>
      <c r="AD572" s="15"/>
      <c r="AE572" s="15"/>
      <c r="AF572" s="15"/>
      <c r="AG572" s="15"/>
    </row>
    <row r="573" ht="11.25" customHeight="1">
      <c r="A573" s="1"/>
      <c r="B573" s="2"/>
      <c r="C573" s="1"/>
      <c r="D573" s="2"/>
      <c r="E573" s="2"/>
      <c r="F573" s="2"/>
      <c r="G573" s="2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15"/>
      <c r="AC573" s="54"/>
      <c r="AD573" s="15"/>
      <c r="AE573" s="15"/>
      <c r="AF573" s="15"/>
      <c r="AG573" s="15"/>
    </row>
    <row r="574" ht="11.25" customHeight="1">
      <c r="A574" s="1"/>
      <c r="B574" s="2"/>
      <c r="C574" s="1"/>
      <c r="D574" s="2"/>
      <c r="E574" s="2"/>
      <c r="F574" s="2"/>
      <c r="G574" s="2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15"/>
      <c r="AC574" s="54"/>
      <c r="AD574" s="15"/>
      <c r="AE574" s="15"/>
      <c r="AF574" s="15"/>
      <c r="AG574" s="15"/>
    </row>
    <row r="575" ht="11.25" customHeight="1">
      <c r="A575" s="1"/>
      <c r="B575" s="2"/>
      <c r="C575" s="1"/>
      <c r="D575" s="2"/>
      <c r="E575" s="2"/>
      <c r="F575" s="2"/>
      <c r="G575" s="2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15"/>
      <c r="AC575" s="54"/>
      <c r="AD575" s="15"/>
      <c r="AE575" s="15"/>
      <c r="AF575" s="15"/>
      <c r="AG575" s="15"/>
    </row>
    <row r="576" ht="11.25" customHeight="1">
      <c r="A576" s="1"/>
      <c r="B576" s="2"/>
      <c r="C576" s="1"/>
      <c r="D576" s="2"/>
      <c r="E576" s="2"/>
      <c r="F576" s="2"/>
      <c r="G576" s="2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15"/>
      <c r="AC576" s="54"/>
      <c r="AD576" s="15"/>
      <c r="AE576" s="15"/>
      <c r="AF576" s="15"/>
      <c r="AG576" s="15"/>
    </row>
    <row r="577" ht="11.25" customHeight="1">
      <c r="A577" s="1"/>
      <c r="B577" s="2"/>
      <c r="C577" s="1"/>
      <c r="D577" s="2"/>
      <c r="E577" s="2"/>
      <c r="F577" s="2"/>
      <c r="G577" s="2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15"/>
      <c r="AC577" s="54"/>
      <c r="AD577" s="15"/>
      <c r="AE577" s="15"/>
      <c r="AF577" s="15"/>
      <c r="AG577" s="15"/>
    </row>
    <row r="578" ht="11.25" customHeight="1">
      <c r="A578" s="1"/>
      <c r="B578" s="2"/>
      <c r="C578" s="1"/>
      <c r="D578" s="2"/>
      <c r="E578" s="2"/>
      <c r="F578" s="2"/>
      <c r="G578" s="2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15"/>
      <c r="AC578" s="54"/>
      <c r="AD578" s="15"/>
      <c r="AE578" s="15"/>
      <c r="AF578" s="15"/>
      <c r="AG578" s="15"/>
    </row>
    <row r="579" ht="11.25" customHeight="1">
      <c r="A579" s="1"/>
      <c r="B579" s="2"/>
      <c r="C579" s="1"/>
      <c r="D579" s="2"/>
      <c r="E579" s="2"/>
      <c r="F579" s="2"/>
      <c r="G579" s="2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15"/>
      <c r="AC579" s="54"/>
      <c r="AD579" s="15"/>
      <c r="AE579" s="15"/>
      <c r="AF579" s="15"/>
      <c r="AG579" s="15"/>
    </row>
    <row r="580" ht="11.25" customHeight="1">
      <c r="A580" s="1"/>
      <c r="B580" s="2"/>
      <c r="C580" s="1"/>
      <c r="D580" s="2"/>
      <c r="E580" s="2"/>
      <c r="F580" s="2"/>
      <c r="G580" s="2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15"/>
      <c r="AC580" s="54"/>
      <c r="AD580" s="15"/>
      <c r="AE580" s="15"/>
      <c r="AF580" s="15"/>
      <c r="AG580" s="15"/>
    </row>
    <row r="581" ht="11.25" customHeight="1">
      <c r="A581" s="1"/>
      <c r="B581" s="2"/>
      <c r="C581" s="1"/>
      <c r="D581" s="2"/>
      <c r="E581" s="2"/>
      <c r="F581" s="2"/>
      <c r="G581" s="2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15"/>
      <c r="AC581" s="54"/>
      <c r="AD581" s="15"/>
      <c r="AE581" s="15"/>
      <c r="AF581" s="15"/>
      <c r="AG581" s="15"/>
    </row>
    <row r="582" ht="11.25" customHeight="1">
      <c r="A582" s="1"/>
      <c r="B582" s="2"/>
      <c r="C582" s="1"/>
      <c r="D582" s="2"/>
      <c r="E582" s="2"/>
      <c r="F582" s="2"/>
      <c r="G582" s="2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15"/>
      <c r="AC582" s="54"/>
      <c r="AD582" s="15"/>
      <c r="AE582" s="15"/>
      <c r="AF582" s="15"/>
      <c r="AG582" s="15"/>
    </row>
    <row r="583" ht="11.25" customHeight="1">
      <c r="A583" s="1"/>
      <c r="B583" s="2"/>
      <c r="C583" s="1"/>
      <c r="D583" s="2"/>
      <c r="E583" s="2"/>
      <c r="F583" s="2"/>
      <c r="G583" s="2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15"/>
      <c r="AC583" s="54"/>
      <c r="AD583" s="15"/>
      <c r="AE583" s="15"/>
      <c r="AF583" s="15"/>
      <c r="AG583" s="15"/>
    </row>
    <row r="584" ht="11.25" customHeight="1">
      <c r="A584" s="1"/>
      <c r="B584" s="2"/>
      <c r="C584" s="1"/>
      <c r="D584" s="2"/>
      <c r="E584" s="2"/>
      <c r="F584" s="2"/>
      <c r="G584" s="2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15"/>
      <c r="AC584" s="54"/>
      <c r="AD584" s="15"/>
      <c r="AE584" s="15"/>
      <c r="AF584" s="15"/>
      <c r="AG584" s="15"/>
    </row>
    <row r="585" ht="11.25" customHeight="1">
      <c r="A585" s="1"/>
      <c r="B585" s="2"/>
      <c r="C585" s="1"/>
      <c r="D585" s="2"/>
      <c r="E585" s="2"/>
      <c r="F585" s="2"/>
      <c r="G585" s="2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15"/>
      <c r="AC585" s="54"/>
      <c r="AD585" s="15"/>
      <c r="AE585" s="15"/>
      <c r="AF585" s="15"/>
      <c r="AG585" s="15"/>
    </row>
    <row r="586" ht="11.25" customHeight="1">
      <c r="A586" s="1"/>
      <c r="B586" s="2"/>
      <c r="C586" s="1"/>
      <c r="D586" s="2"/>
      <c r="E586" s="2"/>
      <c r="F586" s="2"/>
      <c r="G586" s="2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15"/>
      <c r="AC586" s="54"/>
      <c r="AD586" s="15"/>
      <c r="AE586" s="15"/>
      <c r="AF586" s="15"/>
      <c r="AG586" s="15"/>
    </row>
    <row r="587" ht="11.25" customHeight="1">
      <c r="A587" s="1"/>
      <c r="B587" s="2"/>
      <c r="C587" s="1"/>
      <c r="D587" s="2"/>
      <c r="E587" s="2"/>
      <c r="F587" s="2"/>
      <c r="G587" s="2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15"/>
      <c r="AC587" s="54"/>
      <c r="AD587" s="15"/>
      <c r="AE587" s="15"/>
      <c r="AF587" s="15"/>
      <c r="AG587" s="15"/>
    </row>
    <row r="588" ht="11.25" customHeight="1">
      <c r="A588" s="1"/>
      <c r="B588" s="2"/>
      <c r="C588" s="1"/>
      <c r="D588" s="2"/>
      <c r="E588" s="2"/>
      <c r="F588" s="2"/>
      <c r="G588" s="2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15"/>
      <c r="AC588" s="54"/>
      <c r="AD588" s="15"/>
      <c r="AE588" s="15"/>
      <c r="AF588" s="15"/>
      <c r="AG588" s="15"/>
    </row>
    <row r="589" ht="11.25" customHeight="1">
      <c r="A589" s="1"/>
      <c r="B589" s="2"/>
      <c r="C589" s="1"/>
      <c r="D589" s="2"/>
      <c r="E589" s="2"/>
      <c r="F589" s="2"/>
      <c r="G589" s="2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15"/>
      <c r="AC589" s="54"/>
      <c r="AD589" s="15"/>
      <c r="AE589" s="15"/>
      <c r="AF589" s="15"/>
      <c r="AG589" s="15"/>
    </row>
    <row r="590" ht="11.25" customHeight="1">
      <c r="A590" s="1"/>
      <c r="B590" s="2"/>
      <c r="C590" s="1"/>
      <c r="D590" s="2"/>
      <c r="E590" s="2"/>
      <c r="F590" s="2"/>
      <c r="G590" s="2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15"/>
      <c r="AC590" s="54"/>
      <c r="AD590" s="15"/>
      <c r="AE590" s="15"/>
      <c r="AF590" s="15"/>
      <c r="AG590" s="15"/>
    </row>
    <row r="591" ht="11.25" customHeight="1">
      <c r="A591" s="1"/>
      <c r="B591" s="2"/>
      <c r="C591" s="1"/>
      <c r="D591" s="2"/>
      <c r="E591" s="2"/>
      <c r="F591" s="2"/>
      <c r="G591" s="2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15"/>
      <c r="AC591" s="54"/>
      <c r="AD591" s="15"/>
      <c r="AE591" s="15"/>
      <c r="AF591" s="15"/>
      <c r="AG591" s="15"/>
    </row>
    <row r="592" ht="11.25" customHeight="1">
      <c r="A592" s="1"/>
      <c r="B592" s="2"/>
      <c r="C592" s="1"/>
      <c r="D592" s="2"/>
      <c r="E592" s="2"/>
      <c r="F592" s="2"/>
      <c r="G592" s="2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15"/>
      <c r="AC592" s="54"/>
      <c r="AD592" s="15"/>
      <c r="AE592" s="15"/>
      <c r="AF592" s="15"/>
      <c r="AG592" s="15"/>
    </row>
    <row r="593" ht="11.25" customHeight="1">
      <c r="A593" s="1"/>
      <c r="B593" s="2"/>
      <c r="C593" s="1"/>
      <c r="D593" s="2"/>
      <c r="E593" s="2"/>
      <c r="F593" s="2"/>
      <c r="G593" s="2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15"/>
      <c r="AC593" s="54"/>
      <c r="AD593" s="15"/>
      <c r="AE593" s="15"/>
      <c r="AF593" s="15"/>
      <c r="AG593" s="15"/>
    </row>
    <row r="594" ht="11.25" customHeight="1">
      <c r="A594" s="1"/>
      <c r="B594" s="2"/>
      <c r="C594" s="1"/>
      <c r="D594" s="2"/>
      <c r="E594" s="2"/>
      <c r="F594" s="2"/>
      <c r="G594" s="2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15"/>
      <c r="AC594" s="54"/>
      <c r="AD594" s="15"/>
      <c r="AE594" s="15"/>
      <c r="AF594" s="15"/>
      <c r="AG594" s="15"/>
    </row>
    <row r="595" ht="11.25" customHeight="1">
      <c r="A595" s="1"/>
      <c r="B595" s="2"/>
      <c r="C595" s="1"/>
      <c r="D595" s="2"/>
      <c r="E595" s="2"/>
      <c r="F595" s="2"/>
      <c r="G595" s="2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15"/>
      <c r="AC595" s="54"/>
      <c r="AD595" s="15"/>
      <c r="AE595" s="15"/>
      <c r="AF595" s="15"/>
      <c r="AG595" s="15"/>
    </row>
    <row r="596" ht="11.25" customHeight="1">
      <c r="A596" s="1"/>
      <c r="B596" s="2"/>
      <c r="C596" s="1"/>
      <c r="D596" s="2"/>
      <c r="E596" s="2"/>
      <c r="F596" s="2"/>
      <c r="G596" s="2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15"/>
      <c r="AC596" s="54"/>
      <c r="AD596" s="15"/>
      <c r="AE596" s="15"/>
      <c r="AF596" s="15"/>
      <c r="AG596" s="15"/>
    </row>
    <row r="597" ht="11.25" customHeight="1">
      <c r="A597" s="1"/>
      <c r="B597" s="2"/>
      <c r="C597" s="1"/>
      <c r="D597" s="2"/>
      <c r="E597" s="2"/>
      <c r="F597" s="2"/>
      <c r="G597" s="2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15"/>
      <c r="AC597" s="54"/>
      <c r="AD597" s="15"/>
      <c r="AE597" s="15"/>
      <c r="AF597" s="15"/>
      <c r="AG597" s="15"/>
    </row>
    <row r="598" ht="11.25" customHeight="1">
      <c r="A598" s="1"/>
      <c r="B598" s="2"/>
      <c r="C598" s="1"/>
      <c r="D598" s="2"/>
      <c r="E598" s="2"/>
      <c r="F598" s="2"/>
      <c r="G598" s="2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15"/>
      <c r="AC598" s="54"/>
      <c r="AD598" s="15"/>
      <c r="AE598" s="15"/>
      <c r="AF598" s="15"/>
      <c r="AG598" s="15"/>
    </row>
    <row r="599" ht="11.25" customHeight="1">
      <c r="A599" s="1"/>
      <c r="B599" s="2"/>
      <c r="C599" s="1"/>
      <c r="D599" s="2"/>
      <c r="E599" s="2"/>
      <c r="F599" s="2"/>
      <c r="G599" s="2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15"/>
      <c r="AC599" s="54"/>
      <c r="AD599" s="15"/>
      <c r="AE599" s="15"/>
      <c r="AF599" s="15"/>
      <c r="AG599" s="15"/>
    </row>
    <row r="600" ht="11.25" customHeight="1">
      <c r="A600" s="1"/>
      <c r="B600" s="2"/>
      <c r="C600" s="1"/>
      <c r="D600" s="2"/>
      <c r="E600" s="2"/>
      <c r="F600" s="2"/>
      <c r="G600" s="2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15"/>
      <c r="AC600" s="54"/>
      <c r="AD600" s="15"/>
      <c r="AE600" s="15"/>
      <c r="AF600" s="15"/>
      <c r="AG600" s="15"/>
    </row>
    <row r="601" ht="11.25" customHeight="1">
      <c r="A601" s="1"/>
      <c r="B601" s="2"/>
      <c r="C601" s="1"/>
      <c r="D601" s="2"/>
      <c r="E601" s="2"/>
      <c r="F601" s="2"/>
      <c r="G601" s="2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15"/>
      <c r="AC601" s="54"/>
      <c r="AD601" s="15"/>
      <c r="AE601" s="15"/>
      <c r="AF601" s="15"/>
      <c r="AG601" s="15"/>
    </row>
    <row r="602" ht="11.25" customHeight="1">
      <c r="A602" s="1"/>
      <c r="B602" s="2"/>
      <c r="C602" s="1"/>
      <c r="D602" s="2"/>
      <c r="E602" s="2"/>
      <c r="F602" s="2"/>
      <c r="G602" s="2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15"/>
      <c r="AC602" s="54"/>
      <c r="AD602" s="15"/>
      <c r="AE602" s="15"/>
      <c r="AF602" s="15"/>
      <c r="AG602" s="15"/>
    </row>
    <row r="603" ht="11.25" customHeight="1">
      <c r="A603" s="1"/>
      <c r="B603" s="2"/>
      <c r="C603" s="1"/>
      <c r="D603" s="2"/>
      <c r="E603" s="2"/>
      <c r="F603" s="2"/>
      <c r="G603" s="2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15"/>
      <c r="AC603" s="54"/>
      <c r="AD603" s="15"/>
      <c r="AE603" s="15"/>
      <c r="AF603" s="15"/>
      <c r="AG603" s="15"/>
    </row>
    <row r="604" ht="11.25" customHeight="1">
      <c r="A604" s="1"/>
      <c r="B604" s="2"/>
      <c r="C604" s="1"/>
      <c r="D604" s="2"/>
      <c r="E604" s="2"/>
      <c r="F604" s="2"/>
      <c r="G604" s="2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15"/>
      <c r="AC604" s="54"/>
      <c r="AD604" s="15"/>
      <c r="AE604" s="15"/>
      <c r="AF604" s="15"/>
      <c r="AG604" s="15"/>
    </row>
    <row r="605" ht="11.25" customHeight="1">
      <c r="A605" s="1"/>
      <c r="B605" s="2"/>
      <c r="C605" s="1"/>
      <c r="D605" s="2"/>
      <c r="E605" s="2"/>
      <c r="F605" s="2"/>
      <c r="G605" s="2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15"/>
      <c r="AC605" s="54"/>
      <c r="AD605" s="15"/>
      <c r="AE605" s="15"/>
      <c r="AF605" s="15"/>
      <c r="AG605" s="15"/>
    </row>
    <row r="606" ht="11.25" customHeight="1">
      <c r="A606" s="1"/>
      <c r="B606" s="2"/>
      <c r="C606" s="1"/>
      <c r="D606" s="2"/>
      <c r="E606" s="2"/>
      <c r="F606" s="2"/>
      <c r="G606" s="2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15"/>
      <c r="AC606" s="54"/>
      <c r="AD606" s="15"/>
      <c r="AE606" s="15"/>
      <c r="AF606" s="15"/>
      <c r="AG606" s="15"/>
    </row>
    <row r="607" ht="11.25" customHeight="1">
      <c r="A607" s="1"/>
      <c r="B607" s="2"/>
      <c r="C607" s="1"/>
      <c r="D607" s="2"/>
      <c r="E607" s="2"/>
      <c r="F607" s="2"/>
      <c r="G607" s="2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15"/>
      <c r="AC607" s="54"/>
      <c r="AD607" s="15"/>
      <c r="AE607" s="15"/>
      <c r="AF607" s="15"/>
      <c r="AG607" s="15"/>
    </row>
    <row r="608" ht="11.25" customHeight="1">
      <c r="A608" s="1"/>
      <c r="B608" s="2"/>
      <c r="C608" s="1"/>
      <c r="D608" s="2"/>
      <c r="E608" s="2"/>
      <c r="F608" s="2"/>
      <c r="G608" s="2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15"/>
      <c r="AC608" s="54"/>
      <c r="AD608" s="15"/>
      <c r="AE608" s="15"/>
      <c r="AF608" s="15"/>
      <c r="AG608" s="15"/>
    </row>
    <row r="609" ht="11.25" customHeight="1">
      <c r="A609" s="1"/>
      <c r="B609" s="2"/>
      <c r="C609" s="1"/>
      <c r="D609" s="2"/>
      <c r="E609" s="2"/>
      <c r="F609" s="2"/>
      <c r="G609" s="2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15"/>
      <c r="AC609" s="54"/>
      <c r="AD609" s="15"/>
      <c r="AE609" s="15"/>
      <c r="AF609" s="15"/>
      <c r="AG609" s="15"/>
    </row>
    <row r="610" ht="11.25" customHeight="1">
      <c r="A610" s="1"/>
      <c r="B610" s="2"/>
      <c r="C610" s="1"/>
      <c r="D610" s="2"/>
      <c r="E610" s="2"/>
      <c r="F610" s="2"/>
      <c r="G610" s="2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15"/>
      <c r="AC610" s="54"/>
      <c r="AD610" s="15"/>
      <c r="AE610" s="15"/>
      <c r="AF610" s="15"/>
      <c r="AG610" s="15"/>
    </row>
    <row r="611" ht="11.25" customHeight="1">
      <c r="A611" s="1"/>
      <c r="B611" s="2"/>
      <c r="C611" s="1"/>
      <c r="D611" s="2"/>
      <c r="E611" s="2"/>
      <c r="F611" s="2"/>
      <c r="G611" s="2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15"/>
      <c r="AC611" s="54"/>
      <c r="AD611" s="15"/>
      <c r="AE611" s="15"/>
      <c r="AF611" s="15"/>
      <c r="AG611" s="15"/>
    </row>
    <row r="612" ht="11.25" customHeight="1">
      <c r="A612" s="1"/>
      <c r="B612" s="2"/>
      <c r="C612" s="1"/>
      <c r="D612" s="2"/>
      <c r="E612" s="2"/>
      <c r="F612" s="2"/>
      <c r="G612" s="2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15"/>
      <c r="AC612" s="54"/>
      <c r="AD612" s="15"/>
      <c r="AE612" s="15"/>
      <c r="AF612" s="15"/>
      <c r="AG612" s="15"/>
    </row>
    <row r="613" ht="11.25" customHeight="1">
      <c r="A613" s="1"/>
      <c r="B613" s="2"/>
      <c r="C613" s="1"/>
      <c r="D613" s="2"/>
      <c r="E613" s="2"/>
      <c r="F613" s="2"/>
      <c r="G613" s="2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15"/>
      <c r="AC613" s="54"/>
      <c r="AD613" s="15"/>
      <c r="AE613" s="15"/>
      <c r="AF613" s="15"/>
      <c r="AG613" s="15"/>
    </row>
    <row r="614" ht="11.25" customHeight="1">
      <c r="A614" s="1"/>
      <c r="B614" s="2"/>
      <c r="C614" s="1"/>
      <c r="D614" s="2"/>
      <c r="E614" s="2"/>
      <c r="F614" s="2"/>
      <c r="G614" s="2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15"/>
      <c r="AC614" s="54"/>
      <c r="AD614" s="15"/>
      <c r="AE614" s="15"/>
      <c r="AF614" s="15"/>
      <c r="AG614" s="15"/>
    </row>
    <row r="615" ht="11.25" customHeight="1">
      <c r="A615" s="1"/>
      <c r="B615" s="2"/>
      <c r="C615" s="1"/>
      <c r="D615" s="2"/>
      <c r="E615" s="2"/>
      <c r="F615" s="2"/>
      <c r="G615" s="2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15"/>
      <c r="AC615" s="54"/>
      <c r="AD615" s="15"/>
      <c r="AE615" s="15"/>
      <c r="AF615" s="15"/>
      <c r="AG615" s="15"/>
    </row>
    <row r="616" ht="11.25" customHeight="1">
      <c r="A616" s="1"/>
      <c r="B616" s="2"/>
      <c r="C616" s="1"/>
      <c r="D616" s="2"/>
      <c r="E616" s="2"/>
      <c r="F616" s="2"/>
      <c r="G616" s="2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15"/>
      <c r="AC616" s="54"/>
      <c r="AD616" s="15"/>
      <c r="AE616" s="15"/>
      <c r="AF616" s="15"/>
      <c r="AG616" s="15"/>
    </row>
    <row r="617" ht="11.25" customHeight="1">
      <c r="A617" s="1"/>
      <c r="B617" s="2"/>
      <c r="C617" s="1"/>
      <c r="D617" s="2"/>
      <c r="E617" s="2"/>
      <c r="F617" s="2"/>
      <c r="G617" s="2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15"/>
      <c r="AC617" s="54"/>
      <c r="AD617" s="15"/>
      <c r="AE617" s="15"/>
      <c r="AF617" s="15"/>
      <c r="AG617" s="15"/>
    </row>
    <row r="618" ht="11.25" customHeight="1">
      <c r="A618" s="1"/>
      <c r="B618" s="2"/>
      <c r="C618" s="1"/>
      <c r="D618" s="2"/>
      <c r="E618" s="2"/>
      <c r="F618" s="2"/>
      <c r="G618" s="2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15"/>
      <c r="AC618" s="54"/>
      <c r="AD618" s="15"/>
      <c r="AE618" s="15"/>
      <c r="AF618" s="15"/>
      <c r="AG618" s="15"/>
    </row>
    <row r="619" ht="11.25" customHeight="1">
      <c r="A619" s="1"/>
      <c r="B619" s="2"/>
      <c r="C619" s="1"/>
      <c r="D619" s="2"/>
      <c r="E619" s="2"/>
      <c r="F619" s="2"/>
      <c r="G619" s="2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15"/>
      <c r="AC619" s="54"/>
      <c r="AD619" s="15"/>
      <c r="AE619" s="15"/>
      <c r="AF619" s="15"/>
      <c r="AG619" s="15"/>
    </row>
    <row r="620" ht="11.25" customHeight="1">
      <c r="A620" s="1"/>
      <c r="B620" s="2"/>
      <c r="C620" s="1"/>
      <c r="D620" s="2"/>
      <c r="E620" s="2"/>
      <c r="F620" s="2"/>
      <c r="G620" s="2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15"/>
      <c r="AC620" s="54"/>
      <c r="AD620" s="15"/>
      <c r="AE620" s="15"/>
      <c r="AF620" s="15"/>
      <c r="AG620" s="15"/>
    </row>
    <row r="621" ht="11.25" customHeight="1">
      <c r="A621" s="1"/>
      <c r="B621" s="2"/>
      <c r="C621" s="1"/>
      <c r="D621" s="2"/>
      <c r="E621" s="2"/>
      <c r="F621" s="2"/>
      <c r="G621" s="2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15"/>
      <c r="AC621" s="54"/>
      <c r="AD621" s="15"/>
      <c r="AE621" s="15"/>
      <c r="AF621" s="15"/>
      <c r="AG621" s="15"/>
    </row>
    <row r="622" ht="11.25" customHeight="1">
      <c r="A622" s="1"/>
      <c r="B622" s="2"/>
      <c r="C622" s="1"/>
      <c r="D622" s="2"/>
      <c r="E622" s="2"/>
      <c r="F622" s="2"/>
      <c r="G622" s="2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15"/>
      <c r="AC622" s="54"/>
      <c r="AD622" s="15"/>
      <c r="AE622" s="15"/>
      <c r="AF622" s="15"/>
      <c r="AG622" s="15"/>
    </row>
    <row r="623" ht="11.25" customHeight="1">
      <c r="A623" s="1"/>
      <c r="B623" s="2"/>
      <c r="C623" s="1"/>
      <c r="D623" s="2"/>
      <c r="E623" s="2"/>
      <c r="F623" s="2"/>
      <c r="G623" s="2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15"/>
      <c r="AC623" s="54"/>
      <c r="AD623" s="15"/>
      <c r="AE623" s="15"/>
      <c r="AF623" s="15"/>
      <c r="AG623" s="15"/>
    </row>
    <row r="624" ht="11.25" customHeight="1">
      <c r="A624" s="1"/>
      <c r="B624" s="2"/>
      <c r="C624" s="1"/>
      <c r="D624" s="2"/>
      <c r="E624" s="2"/>
      <c r="F624" s="2"/>
      <c r="G624" s="2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15"/>
      <c r="AC624" s="54"/>
      <c r="AD624" s="15"/>
      <c r="AE624" s="15"/>
      <c r="AF624" s="15"/>
      <c r="AG624" s="15"/>
    </row>
    <row r="625" ht="11.25" customHeight="1">
      <c r="A625" s="1"/>
      <c r="B625" s="2"/>
      <c r="C625" s="1"/>
      <c r="D625" s="2"/>
      <c r="E625" s="2"/>
      <c r="F625" s="2"/>
      <c r="G625" s="2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15"/>
      <c r="AC625" s="54"/>
      <c r="AD625" s="15"/>
      <c r="AE625" s="15"/>
      <c r="AF625" s="15"/>
      <c r="AG625" s="15"/>
    </row>
    <row r="626" ht="11.25" customHeight="1">
      <c r="A626" s="1"/>
      <c r="B626" s="2"/>
      <c r="C626" s="1"/>
      <c r="D626" s="2"/>
      <c r="E626" s="2"/>
      <c r="F626" s="2"/>
      <c r="G626" s="2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15"/>
      <c r="AC626" s="54"/>
      <c r="AD626" s="15"/>
      <c r="AE626" s="15"/>
      <c r="AF626" s="15"/>
      <c r="AG626" s="15"/>
    </row>
    <row r="627" ht="11.25" customHeight="1">
      <c r="A627" s="1"/>
      <c r="B627" s="2"/>
      <c r="C627" s="1"/>
      <c r="D627" s="2"/>
      <c r="E627" s="2"/>
      <c r="F627" s="2"/>
      <c r="G627" s="2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15"/>
      <c r="AC627" s="54"/>
      <c r="AD627" s="15"/>
      <c r="AE627" s="15"/>
      <c r="AF627" s="15"/>
      <c r="AG627" s="15"/>
    </row>
    <row r="628" ht="11.25" customHeight="1">
      <c r="A628" s="1"/>
      <c r="B628" s="2"/>
      <c r="C628" s="1"/>
      <c r="D628" s="2"/>
      <c r="E628" s="2"/>
      <c r="F628" s="2"/>
      <c r="G628" s="2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15"/>
      <c r="AC628" s="54"/>
      <c r="AD628" s="15"/>
      <c r="AE628" s="15"/>
      <c r="AF628" s="15"/>
      <c r="AG628" s="15"/>
    </row>
    <row r="629" ht="11.25" customHeight="1">
      <c r="A629" s="1"/>
      <c r="B629" s="2"/>
      <c r="C629" s="1"/>
      <c r="D629" s="2"/>
      <c r="E629" s="2"/>
      <c r="F629" s="2"/>
      <c r="G629" s="2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15"/>
      <c r="AC629" s="54"/>
      <c r="AD629" s="15"/>
      <c r="AE629" s="15"/>
      <c r="AF629" s="15"/>
      <c r="AG629" s="15"/>
    </row>
    <row r="630" ht="11.25" customHeight="1">
      <c r="A630" s="1"/>
      <c r="B630" s="2"/>
      <c r="C630" s="1"/>
      <c r="D630" s="2"/>
      <c r="E630" s="2"/>
      <c r="F630" s="2"/>
      <c r="G630" s="2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15"/>
      <c r="AC630" s="54"/>
      <c r="AD630" s="15"/>
      <c r="AE630" s="15"/>
      <c r="AF630" s="15"/>
      <c r="AG630" s="15"/>
    </row>
    <row r="631" ht="11.25" customHeight="1">
      <c r="A631" s="1"/>
      <c r="B631" s="2"/>
      <c r="C631" s="1"/>
      <c r="D631" s="2"/>
      <c r="E631" s="2"/>
      <c r="F631" s="2"/>
      <c r="G631" s="2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15"/>
      <c r="AC631" s="54"/>
      <c r="AD631" s="15"/>
      <c r="AE631" s="15"/>
      <c r="AF631" s="15"/>
      <c r="AG631" s="15"/>
    </row>
    <row r="632" ht="11.25" customHeight="1">
      <c r="A632" s="1"/>
      <c r="B632" s="2"/>
      <c r="C632" s="1"/>
      <c r="D632" s="2"/>
      <c r="E632" s="2"/>
      <c r="F632" s="2"/>
      <c r="G632" s="2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15"/>
      <c r="AC632" s="54"/>
      <c r="AD632" s="15"/>
      <c r="AE632" s="15"/>
      <c r="AF632" s="15"/>
      <c r="AG632" s="15"/>
    </row>
    <row r="633" ht="11.25" customHeight="1">
      <c r="A633" s="1"/>
      <c r="B633" s="2"/>
      <c r="C633" s="1"/>
      <c r="D633" s="2"/>
      <c r="E633" s="2"/>
      <c r="F633" s="2"/>
      <c r="G633" s="2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15"/>
      <c r="AC633" s="54"/>
      <c r="AD633" s="15"/>
      <c r="AE633" s="15"/>
      <c r="AF633" s="15"/>
      <c r="AG633" s="15"/>
    </row>
    <row r="634" ht="11.25" customHeight="1">
      <c r="A634" s="1"/>
      <c r="B634" s="2"/>
      <c r="C634" s="1"/>
      <c r="D634" s="2"/>
      <c r="E634" s="2"/>
      <c r="F634" s="2"/>
      <c r="G634" s="2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15"/>
      <c r="AC634" s="54"/>
      <c r="AD634" s="15"/>
      <c r="AE634" s="15"/>
      <c r="AF634" s="15"/>
      <c r="AG634" s="15"/>
    </row>
    <row r="635" ht="11.25" customHeight="1">
      <c r="A635" s="1"/>
      <c r="B635" s="2"/>
      <c r="C635" s="1"/>
      <c r="D635" s="2"/>
      <c r="E635" s="2"/>
      <c r="F635" s="2"/>
      <c r="G635" s="2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15"/>
      <c r="AC635" s="54"/>
      <c r="AD635" s="15"/>
      <c r="AE635" s="15"/>
      <c r="AF635" s="15"/>
      <c r="AG635" s="15"/>
    </row>
    <row r="636" ht="11.25" customHeight="1">
      <c r="A636" s="1"/>
      <c r="B636" s="2"/>
      <c r="C636" s="1"/>
      <c r="D636" s="2"/>
      <c r="E636" s="2"/>
      <c r="F636" s="2"/>
      <c r="G636" s="2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15"/>
      <c r="AC636" s="54"/>
      <c r="AD636" s="15"/>
      <c r="AE636" s="15"/>
      <c r="AF636" s="15"/>
      <c r="AG636" s="15"/>
    </row>
    <row r="637" ht="11.25" customHeight="1">
      <c r="A637" s="1"/>
      <c r="B637" s="2"/>
      <c r="C637" s="1"/>
      <c r="D637" s="2"/>
      <c r="E637" s="2"/>
      <c r="F637" s="2"/>
      <c r="G637" s="2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15"/>
      <c r="AC637" s="54"/>
      <c r="AD637" s="15"/>
      <c r="AE637" s="15"/>
      <c r="AF637" s="15"/>
      <c r="AG637" s="15"/>
    </row>
    <row r="638" ht="11.25" customHeight="1">
      <c r="A638" s="1"/>
      <c r="B638" s="2"/>
      <c r="C638" s="1"/>
      <c r="D638" s="2"/>
      <c r="E638" s="2"/>
      <c r="F638" s="2"/>
      <c r="G638" s="2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15"/>
      <c r="AC638" s="54"/>
      <c r="AD638" s="15"/>
      <c r="AE638" s="15"/>
      <c r="AF638" s="15"/>
      <c r="AG638" s="15"/>
    </row>
    <row r="639" ht="11.25" customHeight="1">
      <c r="A639" s="1"/>
      <c r="B639" s="2"/>
      <c r="C639" s="1"/>
      <c r="D639" s="2"/>
      <c r="E639" s="2"/>
      <c r="F639" s="2"/>
      <c r="G639" s="2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15"/>
      <c r="AC639" s="54"/>
      <c r="AD639" s="15"/>
      <c r="AE639" s="15"/>
      <c r="AF639" s="15"/>
      <c r="AG639" s="15"/>
    </row>
    <row r="640" ht="11.25" customHeight="1">
      <c r="A640" s="1"/>
      <c r="B640" s="2"/>
      <c r="C640" s="1"/>
      <c r="D640" s="2"/>
      <c r="E640" s="2"/>
      <c r="F640" s="2"/>
      <c r="G640" s="2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15"/>
      <c r="AC640" s="54"/>
      <c r="AD640" s="15"/>
      <c r="AE640" s="15"/>
      <c r="AF640" s="15"/>
      <c r="AG640" s="15"/>
    </row>
    <row r="641" ht="11.25" customHeight="1">
      <c r="A641" s="1"/>
      <c r="B641" s="2"/>
      <c r="C641" s="1"/>
      <c r="D641" s="2"/>
      <c r="E641" s="2"/>
      <c r="F641" s="2"/>
      <c r="G641" s="2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15"/>
      <c r="AC641" s="54"/>
      <c r="AD641" s="15"/>
      <c r="AE641" s="15"/>
      <c r="AF641" s="15"/>
      <c r="AG641" s="15"/>
    </row>
    <row r="642" ht="11.25" customHeight="1">
      <c r="A642" s="1"/>
      <c r="B642" s="2"/>
      <c r="C642" s="1"/>
      <c r="D642" s="2"/>
      <c r="E642" s="2"/>
      <c r="F642" s="2"/>
      <c r="G642" s="2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15"/>
      <c r="AC642" s="54"/>
      <c r="AD642" s="15"/>
      <c r="AE642" s="15"/>
      <c r="AF642" s="15"/>
      <c r="AG642" s="15"/>
    </row>
    <row r="643" ht="11.25" customHeight="1">
      <c r="A643" s="1"/>
      <c r="B643" s="2"/>
      <c r="C643" s="1"/>
      <c r="D643" s="2"/>
      <c r="E643" s="2"/>
      <c r="F643" s="2"/>
      <c r="G643" s="2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15"/>
      <c r="AC643" s="54"/>
      <c r="AD643" s="15"/>
      <c r="AE643" s="15"/>
      <c r="AF643" s="15"/>
      <c r="AG643" s="15"/>
    </row>
    <row r="644" ht="11.25" customHeight="1">
      <c r="A644" s="1"/>
      <c r="B644" s="2"/>
      <c r="C644" s="1"/>
      <c r="D644" s="2"/>
      <c r="E644" s="2"/>
      <c r="F644" s="2"/>
      <c r="G644" s="2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15"/>
      <c r="AC644" s="54"/>
      <c r="AD644" s="15"/>
      <c r="AE644" s="15"/>
      <c r="AF644" s="15"/>
      <c r="AG644" s="15"/>
    </row>
    <row r="645" ht="11.25" customHeight="1">
      <c r="A645" s="1"/>
      <c r="B645" s="2"/>
      <c r="C645" s="1"/>
      <c r="D645" s="2"/>
      <c r="E645" s="2"/>
      <c r="F645" s="2"/>
      <c r="G645" s="2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15"/>
      <c r="AC645" s="54"/>
      <c r="AD645" s="15"/>
      <c r="AE645" s="15"/>
      <c r="AF645" s="15"/>
      <c r="AG645" s="15"/>
    </row>
    <row r="646" ht="11.25" customHeight="1">
      <c r="A646" s="1"/>
      <c r="B646" s="2"/>
      <c r="C646" s="1"/>
      <c r="D646" s="2"/>
      <c r="E646" s="2"/>
      <c r="F646" s="2"/>
      <c r="G646" s="2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15"/>
      <c r="AC646" s="54"/>
      <c r="AD646" s="15"/>
      <c r="AE646" s="15"/>
      <c r="AF646" s="15"/>
      <c r="AG646" s="15"/>
    </row>
    <row r="647" ht="11.25" customHeight="1">
      <c r="A647" s="1"/>
      <c r="B647" s="2"/>
      <c r="C647" s="1"/>
      <c r="D647" s="2"/>
      <c r="E647" s="2"/>
      <c r="F647" s="2"/>
      <c r="G647" s="2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15"/>
      <c r="AC647" s="54"/>
      <c r="AD647" s="15"/>
      <c r="AE647" s="15"/>
      <c r="AF647" s="15"/>
      <c r="AG647" s="15"/>
    </row>
    <row r="648" ht="11.25" customHeight="1">
      <c r="A648" s="1"/>
      <c r="B648" s="2"/>
      <c r="C648" s="1"/>
      <c r="D648" s="2"/>
      <c r="E648" s="2"/>
      <c r="F648" s="2"/>
      <c r="G648" s="2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15"/>
      <c r="AC648" s="54"/>
      <c r="AD648" s="15"/>
      <c r="AE648" s="15"/>
      <c r="AF648" s="15"/>
      <c r="AG648" s="15"/>
    </row>
    <row r="649" ht="11.25" customHeight="1">
      <c r="A649" s="1"/>
      <c r="B649" s="2"/>
      <c r="C649" s="1"/>
      <c r="D649" s="2"/>
      <c r="E649" s="2"/>
      <c r="F649" s="2"/>
      <c r="G649" s="2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15"/>
      <c r="AC649" s="54"/>
      <c r="AD649" s="15"/>
      <c r="AE649" s="15"/>
      <c r="AF649" s="15"/>
      <c r="AG649" s="15"/>
    </row>
    <row r="650" ht="11.25" customHeight="1">
      <c r="A650" s="1"/>
      <c r="B650" s="2"/>
      <c r="C650" s="1"/>
      <c r="D650" s="2"/>
      <c r="E650" s="2"/>
      <c r="F650" s="2"/>
      <c r="G650" s="2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15"/>
      <c r="AC650" s="54"/>
      <c r="AD650" s="15"/>
      <c r="AE650" s="15"/>
      <c r="AF650" s="15"/>
      <c r="AG650" s="15"/>
    </row>
    <row r="651" ht="11.25" customHeight="1">
      <c r="A651" s="1"/>
      <c r="B651" s="2"/>
      <c r="C651" s="1"/>
      <c r="D651" s="2"/>
      <c r="E651" s="2"/>
      <c r="F651" s="2"/>
      <c r="G651" s="2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15"/>
      <c r="AC651" s="54"/>
      <c r="AD651" s="15"/>
      <c r="AE651" s="15"/>
      <c r="AF651" s="15"/>
      <c r="AG651" s="15"/>
    </row>
    <row r="652" ht="11.25" customHeight="1">
      <c r="A652" s="1"/>
      <c r="B652" s="2"/>
      <c r="C652" s="1"/>
      <c r="D652" s="2"/>
      <c r="E652" s="2"/>
      <c r="F652" s="2"/>
      <c r="G652" s="2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15"/>
      <c r="AC652" s="54"/>
      <c r="AD652" s="15"/>
      <c r="AE652" s="15"/>
      <c r="AF652" s="15"/>
      <c r="AG652" s="15"/>
    </row>
    <row r="653" ht="11.25" customHeight="1">
      <c r="A653" s="1"/>
      <c r="B653" s="2"/>
      <c r="C653" s="1"/>
      <c r="D653" s="2"/>
      <c r="E653" s="2"/>
      <c r="F653" s="2"/>
      <c r="G653" s="2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15"/>
      <c r="AC653" s="54"/>
      <c r="AD653" s="15"/>
      <c r="AE653" s="15"/>
      <c r="AF653" s="15"/>
      <c r="AG653" s="15"/>
    </row>
    <row r="654" ht="11.25" customHeight="1">
      <c r="A654" s="1"/>
      <c r="B654" s="2"/>
      <c r="C654" s="1"/>
      <c r="D654" s="2"/>
      <c r="E654" s="2"/>
      <c r="F654" s="2"/>
      <c r="G654" s="2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15"/>
      <c r="AC654" s="54"/>
      <c r="AD654" s="15"/>
      <c r="AE654" s="15"/>
      <c r="AF654" s="15"/>
      <c r="AG654" s="15"/>
    </row>
    <row r="655" ht="11.25" customHeight="1">
      <c r="A655" s="1"/>
      <c r="B655" s="2"/>
      <c r="C655" s="1"/>
      <c r="D655" s="2"/>
      <c r="E655" s="2"/>
      <c r="F655" s="2"/>
      <c r="G655" s="2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15"/>
      <c r="AC655" s="54"/>
      <c r="AD655" s="15"/>
      <c r="AE655" s="15"/>
      <c r="AF655" s="15"/>
      <c r="AG655" s="15"/>
    </row>
    <row r="656" ht="11.25" customHeight="1">
      <c r="A656" s="1"/>
      <c r="B656" s="2"/>
      <c r="C656" s="1"/>
      <c r="D656" s="2"/>
      <c r="E656" s="2"/>
      <c r="F656" s="2"/>
      <c r="G656" s="2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15"/>
      <c r="AC656" s="54"/>
      <c r="AD656" s="15"/>
      <c r="AE656" s="15"/>
      <c r="AF656" s="15"/>
      <c r="AG656" s="15"/>
    </row>
    <row r="657" ht="11.25" customHeight="1">
      <c r="A657" s="1"/>
      <c r="B657" s="2"/>
      <c r="C657" s="1"/>
      <c r="D657" s="2"/>
      <c r="E657" s="2"/>
      <c r="F657" s="2"/>
      <c r="G657" s="2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15"/>
      <c r="AC657" s="54"/>
      <c r="AD657" s="15"/>
      <c r="AE657" s="15"/>
      <c r="AF657" s="15"/>
      <c r="AG657" s="15"/>
    </row>
    <row r="658" ht="11.25" customHeight="1">
      <c r="A658" s="1"/>
      <c r="B658" s="2"/>
      <c r="C658" s="1"/>
      <c r="D658" s="2"/>
      <c r="E658" s="2"/>
      <c r="F658" s="2"/>
      <c r="G658" s="2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15"/>
      <c r="AC658" s="54"/>
      <c r="AD658" s="15"/>
      <c r="AE658" s="15"/>
      <c r="AF658" s="15"/>
      <c r="AG658" s="15"/>
    </row>
    <row r="659" ht="11.25" customHeight="1">
      <c r="A659" s="1"/>
      <c r="B659" s="2"/>
      <c r="C659" s="1"/>
      <c r="D659" s="2"/>
      <c r="E659" s="2"/>
      <c r="F659" s="2"/>
      <c r="G659" s="2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15"/>
      <c r="AC659" s="54"/>
      <c r="AD659" s="15"/>
      <c r="AE659" s="15"/>
      <c r="AF659" s="15"/>
      <c r="AG659" s="15"/>
    </row>
    <row r="660" ht="11.25" customHeight="1">
      <c r="A660" s="1"/>
      <c r="B660" s="2"/>
      <c r="C660" s="1"/>
      <c r="D660" s="2"/>
      <c r="E660" s="2"/>
      <c r="F660" s="2"/>
      <c r="G660" s="2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15"/>
      <c r="AC660" s="54"/>
      <c r="AD660" s="15"/>
      <c r="AE660" s="15"/>
      <c r="AF660" s="15"/>
      <c r="AG660" s="15"/>
    </row>
    <row r="661" ht="11.25" customHeight="1">
      <c r="A661" s="1"/>
      <c r="B661" s="2"/>
      <c r="C661" s="1"/>
      <c r="D661" s="2"/>
      <c r="E661" s="2"/>
      <c r="F661" s="2"/>
      <c r="G661" s="2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15"/>
      <c r="AC661" s="54"/>
      <c r="AD661" s="15"/>
      <c r="AE661" s="15"/>
      <c r="AF661" s="15"/>
      <c r="AG661" s="15"/>
    </row>
    <row r="662" ht="11.25" customHeight="1">
      <c r="A662" s="1"/>
      <c r="B662" s="2"/>
      <c r="C662" s="1"/>
      <c r="D662" s="2"/>
      <c r="E662" s="2"/>
      <c r="F662" s="2"/>
      <c r="G662" s="2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15"/>
      <c r="AC662" s="54"/>
      <c r="AD662" s="15"/>
      <c r="AE662" s="15"/>
      <c r="AF662" s="15"/>
      <c r="AG662" s="15"/>
    </row>
    <row r="663" ht="11.25" customHeight="1">
      <c r="A663" s="1"/>
      <c r="B663" s="2"/>
      <c r="C663" s="1"/>
      <c r="D663" s="2"/>
      <c r="E663" s="2"/>
      <c r="F663" s="2"/>
      <c r="G663" s="2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15"/>
      <c r="AC663" s="54"/>
      <c r="AD663" s="15"/>
      <c r="AE663" s="15"/>
      <c r="AF663" s="15"/>
      <c r="AG663" s="15"/>
    </row>
    <row r="664" ht="11.25" customHeight="1">
      <c r="A664" s="1"/>
      <c r="B664" s="2"/>
      <c r="C664" s="1"/>
      <c r="D664" s="2"/>
      <c r="E664" s="2"/>
      <c r="F664" s="2"/>
      <c r="G664" s="2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15"/>
      <c r="AC664" s="54"/>
      <c r="AD664" s="15"/>
      <c r="AE664" s="15"/>
      <c r="AF664" s="15"/>
      <c r="AG664" s="15"/>
    </row>
    <row r="665" ht="11.25" customHeight="1">
      <c r="A665" s="1"/>
      <c r="B665" s="2"/>
      <c r="C665" s="1"/>
      <c r="D665" s="2"/>
      <c r="E665" s="2"/>
      <c r="F665" s="2"/>
      <c r="G665" s="2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15"/>
      <c r="AC665" s="54"/>
      <c r="AD665" s="15"/>
      <c r="AE665" s="15"/>
      <c r="AF665" s="15"/>
      <c r="AG665" s="15"/>
    </row>
    <row r="666" ht="11.25" customHeight="1">
      <c r="A666" s="1"/>
      <c r="B666" s="2"/>
      <c r="C666" s="1"/>
      <c r="D666" s="2"/>
      <c r="E666" s="2"/>
      <c r="F666" s="2"/>
      <c r="G666" s="2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15"/>
      <c r="AC666" s="54"/>
      <c r="AD666" s="15"/>
      <c r="AE666" s="15"/>
      <c r="AF666" s="15"/>
      <c r="AG666" s="15"/>
    </row>
    <row r="667" ht="11.25" customHeight="1">
      <c r="A667" s="1"/>
      <c r="B667" s="2"/>
      <c r="C667" s="1"/>
      <c r="D667" s="2"/>
      <c r="E667" s="2"/>
      <c r="F667" s="2"/>
      <c r="G667" s="2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15"/>
      <c r="AC667" s="54"/>
      <c r="AD667" s="15"/>
      <c r="AE667" s="15"/>
      <c r="AF667" s="15"/>
      <c r="AG667" s="15"/>
    </row>
    <row r="668" ht="11.25" customHeight="1">
      <c r="A668" s="1"/>
      <c r="B668" s="2"/>
      <c r="C668" s="1"/>
      <c r="D668" s="2"/>
      <c r="E668" s="2"/>
      <c r="F668" s="2"/>
      <c r="G668" s="2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15"/>
      <c r="AC668" s="54"/>
      <c r="AD668" s="15"/>
      <c r="AE668" s="15"/>
      <c r="AF668" s="15"/>
      <c r="AG668" s="15"/>
    </row>
    <row r="669" ht="11.25" customHeight="1">
      <c r="A669" s="1"/>
      <c r="B669" s="2"/>
      <c r="C669" s="1"/>
      <c r="D669" s="2"/>
      <c r="E669" s="2"/>
      <c r="F669" s="2"/>
      <c r="G669" s="2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15"/>
      <c r="AC669" s="54"/>
      <c r="AD669" s="15"/>
      <c r="AE669" s="15"/>
      <c r="AF669" s="15"/>
      <c r="AG669" s="15"/>
    </row>
    <row r="670" ht="11.25" customHeight="1">
      <c r="A670" s="1"/>
      <c r="B670" s="2"/>
      <c r="C670" s="1"/>
      <c r="D670" s="2"/>
      <c r="E670" s="2"/>
      <c r="F670" s="2"/>
      <c r="G670" s="2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15"/>
      <c r="AC670" s="54"/>
      <c r="AD670" s="15"/>
      <c r="AE670" s="15"/>
      <c r="AF670" s="15"/>
      <c r="AG670" s="15"/>
    </row>
    <row r="671" ht="11.25" customHeight="1">
      <c r="A671" s="1"/>
      <c r="B671" s="2"/>
      <c r="C671" s="1"/>
      <c r="D671" s="2"/>
      <c r="E671" s="2"/>
      <c r="F671" s="2"/>
      <c r="G671" s="2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15"/>
      <c r="AC671" s="54"/>
      <c r="AD671" s="15"/>
      <c r="AE671" s="15"/>
      <c r="AF671" s="15"/>
      <c r="AG671" s="15"/>
    </row>
    <row r="672" ht="11.25" customHeight="1">
      <c r="A672" s="1"/>
      <c r="B672" s="2"/>
      <c r="C672" s="1"/>
      <c r="D672" s="2"/>
      <c r="E672" s="2"/>
      <c r="F672" s="2"/>
      <c r="G672" s="2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15"/>
      <c r="AC672" s="54"/>
      <c r="AD672" s="15"/>
      <c r="AE672" s="15"/>
      <c r="AF672" s="15"/>
      <c r="AG672" s="15"/>
    </row>
    <row r="673" ht="11.25" customHeight="1">
      <c r="A673" s="1"/>
      <c r="B673" s="2"/>
      <c r="C673" s="1"/>
      <c r="D673" s="2"/>
      <c r="E673" s="2"/>
      <c r="F673" s="2"/>
      <c r="G673" s="2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15"/>
      <c r="AC673" s="54"/>
      <c r="AD673" s="15"/>
      <c r="AE673" s="15"/>
      <c r="AF673" s="15"/>
      <c r="AG673" s="15"/>
    </row>
    <row r="674" ht="11.25" customHeight="1">
      <c r="A674" s="1"/>
      <c r="B674" s="2"/>
      <c r="C674" s="1"/>
      <c r="D674" s="2"/>
      <c r="E674" s="2"/>
      <c r="F674" s="2"/>
      <c r="G674" s="2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15"/>
      <c r="AC674" s="54"/>
      <c r="AD674" s="15"/>
      <c r="AE674" s="15"/>
      <c r="AF674" s="15"/>
      <c r="AG674" s="15"/>
    </row>
    <row r="675" ht="11.25" customHeight="1">
      <c r="A675" s="1"/>
      <c r="B675" s="2"/>
      <c r="C675" s="1"/>
      <c r="D675" s="2"/>
      <c r="E675" s="2"/>
      <c r="F675" s="2"/>
      <c r="G675" s="2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15"/>
      <c r="AC675" s="54"/>
      <c r="AD675" s="15"/>
      <c r="AE675" s="15"/>
      <c r="AF675" s="15"/>
      <c r="AG675" s="15"/>
    </row>
    <row r="676" ht="11.25" customHeight="1">
      <c r="A676" s="1"/>
      <c r="B676" s="2"/>
      <c r="C676" s="1"/>
      <c r="D676" s="2"/>
      <c r="E676" s="2"/>
      <c r="F676" s="2"/>
      <c r="G676" s="2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15"/>
      <c r="AC676" s="54"/>
      <c r="AD676" s="15"/>
      <c r="AE676" s="15"/>
      <c r="AF676" s="15"/>
      <c r="AG676" s="15"/>
    </row>
    <row r="677" ht="11.25" customHeight="1">
      <c r="A677" s="1"/>
      <c r="B677" s="2"/>
      <c r="C677" s="1"/>
      <c r="D677" s="2"/>
      <c r="E677" s="2"/>
      <c r="F677" s="2"/>
      <c r="G677" s="2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15"/>
      <c r="AC677" s="54"/>
      <c r="AD677" s="15"/>
      <c r="AE677" s="15"/>
      <c r="AF677" s="15"/>
      <c r="AG677" s="15"/>
    </row>
    <row r="678" ht="11.25" customHeight="1">
      <c r="A678" s="1"/>
      <c r="B678" s="2"/>
      <c r="C678" s="1"/>
      <c r="D678" s="2"/>
      <c r="E678" s="2"/>
      <c r="F678" s="2"/>
      <c r="G678" s="2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15"/>
      <c r="AC678" s="54"/>
      <c r="AD678" s="15"/>
      <c r="AE678" s="15"/>
      <c r="AF678" s="15"/>
      <c r="AG678" s="15"/>
    </row>
    <row r="679" ht="11.25" customHeight="1">
      <c r="A679" s="1"/>
      <c r="B679" s="2"/>
      <c r="C679" s="1"/>
      <c r="D679" s="2"/>
      <c r="E679" s="2"/>
      <c r="F679" s="2"/>
      <c r="G679" s="2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15"/>
      <c r="AC679" s="54"/>
      <c r="AD679" s="15"/>
      <c r="AE679" s="15"/>
      <c r="AF679" s="15"/>
      <c r="AG679" s="15"/>
    </row>
    <row r="680" ht="11.25" customHeight="1">
      <c r="A680" s="1"/>
      <c r="B680" s="2"/>
      <c r="C680" s="1"/>
      <c r="D680" s="2"/>
      <c r="E680" s="2"/>
      <c r="F680" s="2"/>
      <c r="G680" s="2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15"/>
      <c r="AC680" s="54"/>
      <c r="AD680" s="15"/>
      <c r="AE680" s="15"/>
      <c r="AF680" s="15"/>
      <c r="AG680" s="15"/>
    </row>
    <row r="681" ht="11.25" customHeight="1">
      <c r="A681" s="1"/>
      <c r="B681" s="2"/>
      <c r="C681" s="1"/>
      <c r="D681" s="2"/>
      <c r="E681" s="2"/>
      <c r="F681" s="2"/>
      <c r="G681" s="2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15"/>
      <c r="AC681" s="54"/>
      <c r="AD681" s="15"/>
      <c r="AE681" s="15"/>
      <c r="AF681" s="15"/>
      <c r="AG681" s="15"/>
    </row>
    <row r="682" ht="11.25" customHeight="1">
      <c r="A682" s="1"/>
      <c r="B682" s="2"/>
      <c r="C682" s="1"/>
      <c r="D682" s="2"/>
      <c r="E682" s="2"/>
      <c r="F682" s="2"/>
      <c r="G682" s="2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15"/>
      <c r="AC682" s="54"/>
      <c r="AD682" s="15"/>
      <c r="AE682" s="15"/>
      <c r="AF682" s="15"/>
      <c r="AG682" s="15"/>
    </row>
    <row r="683" ht="11.25" customHeight="1">
      <c r="A683" s="1"/>
      <c r="B683" s="2"/>
      <c r="C683" s="1"/>
      <c r="D683" s="2"/>
      <c r="E683" s="2"/>
      <c r="F683" s="2"/>
      <c r="G683" s="2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15"/>
      <c r="AC683" s="54"/>
      <c r="AD683" s="15"/>
      <c r="AE683" s="15"/>
      <c r="AF683" s="15"/>
      <c r="AG683" s="15"/>
    </row>
    <row r="684" ht="11.25" customHeight="1">
      <c r="A684" s="1"/>
      <c r="B684" s="2"/>
      <c r="C684" s="1"/>
      <c r="D684" s="2"/>
      <c r="E684" s="2"/>
      <c r="F684" s="2"/>
      <c r="G684" s="2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15"/>
      <c r="AC684" s="54"/>
      <c r="AD684" s="15"/>
      <c r="AE684" s="15"/>
      <c r="AF684" s="15"/>
      <c r="AG684" s="15"/>
    </row>
    <row r="685" ht="11.25" customHeight="1">
      <c r="A685" s="1"/>
      <c r="B685" s="2"/>
      <c r="C685" s="1"/>
      <c r="D685" s="2"/>
      <c r="E685" s="2"/>
      <c r="F685" s="2"/>
      <c r="G685" s="2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15"/>
      <c r="AC685" s="54"/>
      <c r="AD685" s="15"/>
      <c r="AE685" s="15"/>
      <c r="AF685" s="15"/>
      <c r="AG685" s="15"/>
    </row>
    <row r="686" ht="11.25" customHeight="1">
      <c r="A686" s="1"/>
      <c r="B686" s="2"/>
      <c r="C686" s="1"/>
      <c r="D686" s="2"/>
      <c r="E686" s="2"/>
      <c r="F686" s="2"/>
      <c r="G686" s="2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15"/>
      <c r="AC686" s="54"/>
      <c r="AD686" s="15"/>
      <c r="AE686" s="15"/>
      <c r="AF686" s="15"/>
      <c r="AG686" s="15"/>
    </row>
    <row r="687" ht="11.25" customHeight="1">
      <c r="A687" s="1"/>
      <c r="B687" s="2"/>
      <c r="C687" s="1"/>
      <c r="D687" s="2"/>
      <c r="E687" s="2"/>
      <c r="F687" s="2"/>
      <c r="G687" s="2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15"/>
      <c r="AC687" s="54"/>
      <c r="AD687" s="15"/>
      <c r="AE687" s="15"/>
      <c r="AF687" s="15"/>
      <c r="AG687" s="15"/>
    </row>
    <row r="688" ht="11.25" customHeight="1">
      <c r="A688" s="1"/>
      <c r="B688" s="2"/>
      <c r="C688" s="1"/>
      <c r="D688" s="2"/>
      <c r="E688" s="2"/>
      <c r="F688" s="2"/>
      <c r="G688" s="2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15"/>
      <c r="AC688" s="54"/>
      <c r="AD688" s="15"/>
      <c r="AE688" s="15"/>
      <c r="AF688" s="15"/>
      <c r="AG688" s="15"/>
    </row>
    <row r="689" ht="11.25" customHeight="1">
      <c r="A689" s="1"/>
      <c r="B689" s="2"/>
      <c r="C689" s="1"/>
      <c r="D689" s="2"/>
      <c r="E689" s="2"/>
      <c r="F689" s="2"/>
      <c r="G689" s="2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15"/>
      <c r="AC689" s="54"/>
      <c r="AD689" s="15"/>
      <c r="AE689" s="15"/>
      <c r="AF689" s="15"/>
      <c r="AG689" s="15"/>
    </row>
    <row r="690" ht="11.25" customHeight="1">
      <c r="A690" s="1"/>
      <c r="B690" s="2"/>
      <c r="C690" s="1"/>
      <c r="D690" s="2"/>
      <c r="E690" s="2"/>
      <c r="F690" s="2"/>
      <c r="G690" s="2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15"/>
      <c r="AC690" s="54"/>
      <c r="AD690" s="15"/>
      <c r="AE690" s="15"/>
      <c r="AF690" s="15"/>
      <c r="AG690" s="15"/>
    </row>
    <row r="691" ht="11.25" customHeight="1">
      <c r="A691" s="1"/>
      <c r="B691" s="2"/>
      <c r="C691" s="1"/>
      <c r="D691" s="2"/>
      <c r="E691" s="2"/>
      <c r="F691" s="2"/>
      <c r="G691" s="2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15"/>
      <c r="AC691" s="54"/>
      <c r="AD691" s="15"/>
      <c r="AE691" s="15"/>
      <c r="AF691" s="15"/>
      <c r="AG691" s="15"/>
    </row>
    <row r="692" ht="11.25" customHeight="1">
      <c r="A692" s="1"/>
      <c r="B692" s="2"/>
      <c r="C692" s="1"/>
      <c r="D692" s="2"/>
      <c r="E692" s="2"/>
      <c r="F692" s="2"/>
      <c r="G692" s="2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15"/>
      <c r="AC692" s="54"/>
      <c r="AD692" s="15"/>
      <c r="AE692" s="15"/>
      <c r="AF692" s="15"/>
      <c r="AG692" s="15"/>
    </row>
    <row r="693" ht="11.25" customHeight="1">
      <c r="A693" s="1"/>
      <c r="B693" s="2"/>
      <c r="C693" s="1"/>
      <c r="D693" s="2"/>
      <c r="E693" s="2"/>
      <c r="F693" s="2"/>
      <c r="G693" s="2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15"/>
      <c r="AC693" s="54"/>
      <c r="AD693" s="15"/>
      <c r="AE693" s="15"/>
      <c r="AF693" s="15"/>
      <c r="AG693" s="15"/>
    </row>
    <row r="694" ht="11.25" customHeight="1">
      <c r="A694" s="1"/>
      <c r="B694" s="2"/>
      <c r="C694" s="1"/>
      <c r="D694" s="2"/>
      <c r="E694" s="2"/>
      <c r="F694" s="2"/>
      <c r="G694" s="2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15"/>
      <c r="AC694" s="54"/>
      <c r="AD694" s="15"/>
      <c r="AE694" s="15"/>
      <c r="AF694" s="15"/>
      <c r="AG694" s="15"/>
    </row>
    <row r="695" ht="11.25" customHeight="1">
      <c r="A695" s="1"/>
      <c r="B695" s="2"/>
      <c r="C695" s="1"/>
      <c r="D695" s="2"/>
      <c r="E695" s="2"/>
      <c r="F695" s="2"/>
      <c r="G695" s="2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15"/>
      <c r="AC695" s="54"/>
      <c r="AD695" s="15"/>
      <c r="AE695" s="15"/>
      <c r="AF695" s="15"/>
      <c r="AG695" s="15"/>
    </row>
    <row r="696" ht="11.25" customHeight="1">
      <c r="A696" s="1"/>
      <c r="B696" s="2"/>
      <c r="C696" s="1"/>
      <c r="D696" s="2"/>
      <c r="E696" s="2"/>
      <c r="F696" s="2"/>
      <c r="G696" s="2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15"/>
      <c r="AC696" s="54"/>
      <c r="AD696" s="15"/>
      <c r="AE696" s="15"/>
      <c r="AF696" s="15"/>
      <c r="AG696" s="15"/>
    </row>
    <row r="697" ht="11.25" customHeight="1">
      <c r="A697" s="1"/>
      <c r="B697" s="2"/>
      <c r="C697" s="1"/>
      <c r="D697" s="2"/>
      <c r="E697" s="2"/>
      <c r="F697" s="2"/>
      <c r="G697" s="2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15"/>
      <c r="AC697" s="54"/>
      <c r="AD697" s="15"/>
      <c r="AE697" s="15"/>
      <c r="AF697" s="15"/>
      <c r="AG697" s="15"/>
    </row>
    <row r="698" ht="11.25" customHeight="1">
      <c r="A698" s="1"/>
      <c r="B698" s="2"/>
      <c r="C698" s="1"/>
      <c r="D698" s="2"/>
      <c r="E698" s="2"/>
      <c r="F698" s="2"/>
      <c r="G698" s="2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15"/>
      <c r="AC698" s="54"/>
      <c r="AD698" s="15"/>
      <c r="AE698" s="15"/>
      <c r="AF698" s="15"/>
      <c r="AG698" s="15"/>
    </row>
    <row r="699" ht="11.25" customHeight="1">
      <c r="A699" s="1"/>
      <c r="B699" s="2"/>
      <c r="C699" s="1"/>
      <c r="D699" s="2"/>
      <c r="E699" s="2"/>
      <c r="F699" s="2"/>
      <c r="G699" s="2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15"/>
      <c r="AC699" s="54"/>
      <c r="AD699" s="15"/>
      <c r="AE699" s="15"/>
      <c r="AF699" s="15"/>
      <c r="AG699" s="15"/>
    </row>
    <row r="700" ht="11.25" customHeight="1">
      <c r="A700" s="1"/>
      <c r="B700" s="2"/>
      <c r="C700" s="1"/>
      <c r="D700" s="2"/>
      <c r="E700" s="2"/>
      <c r="F700" s="2"/>
      <c r="G700" s="2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15"/>
      <c r="AC700" s="54"/>
      <c r="AD700" s="15"/>
      <c r="AE700" s="15"/>
      <c r="AF700" s="15"/>
      <c r="AG700" s="15"/>
    </row>
    <row r="701" ht="11.25" customHeight="1">
      <c r="A701" s="1"/>
      <c r="B701" s="2"/>
      <c r="C701" s="1"/>
      <c r="D701" s="2"/>
      <c r="E701" s="2"/>
      <c r="F701" s="2"/>
      <c r="G701" s="2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15"/>
      <c r="AC701" s="54"/>
      <c r="AD701" s="15"/>
      <c r="AE701" s="15"/>
      <c r="AF701" s="15"/>
      <c r="AG701" s="15"/>
    </row>
    <row r="702" ht="11.25" customHeight="1">
      <c r="A702" s="1"/>
      <c r="B702" s="2"/>
      <c r="C702" s="1"/>
      <c r="D702" s="2"/>
      <c r="E702" s="2"/>
      <c r="F702" s="2"/>
      <c r="G702" s="2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15"/>
      <c r="AC702" s="54"/>
      <c r="AD702" s="15"/>
      <c r="AE702" s="15"/>
      <c r="AF702" s="15"/>
      <c r="AG702" s="15"/>
    </row>
    <row r="703" ht="11.25" customHeight="1">
      <c r="A703" s="1"/>
      <c r="B703" s="2"/>
      <c r="C703" s="1"/>
      <c r="D703" s="2"/>
      <c r="E703" s="2"/>
      <c r="F703" s="2"/>
      <c r="G703" s="2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15"/>
      <c r="AC703" s="54"/>
      <c r="AD703" s="15"/>
      <c r="AE703" s="15"/>
      <c r="AF703" s="15"/>
      <c r="AG703" s="15"/>
    </row>
    <row r="704" ht="11.25" customHeight="1">
      <c r="A704" s="1"/>
      <c r="B704" s="2"/>
      <c r="C704" s="1"/>
      <c r="D704" s="2"/>
      <c r="E704" s="2"/>
      <c r="F704" s="2"/>
      <c r="G704" s="2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15"/>
      <c r="AC704" s="54"/>
      <c r="AD704" s="15"/>
      <c r="AE704" s="15"/>
      <c r="AF704" s="15"/>
      <c r="AG704" s="15"/>
    </row>
    <row r="705" ht="11.25" customHeight="1">
      <c r="A705" s="1"/>
      <c r="B705" s="2"/>
      <c r="C705" s="1"/>
      <c r="D705" s="2"/>
      <c r="E705" s="2"/>
      <c r="F705" s="2"/>
      <c r="G705" s="2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15"/>
      <c r="AC705" s="54"/>
      <c r="AD705" s="15"/>
      <c r="AE705" s="15"/>
      <c r="AF705" s="15"/>
      <c r="AG705" s="15"/>
    </row>
    <row r="706" ht="11.25" customHeight="1">
      <c r="A706" s="1"/>
      <c r="B706" s="2"/>
      <c r="C706" s="1"/>
      <c r="D706" s="2"/>
      <c r="E706" s="2"/>
      <c r="F706" s="2"/>
      <c r="G706" s="2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15"/>
      <c r="AC706" s="54"/>
      <c r="AD706" s="15"/>
      <c r="AE706" s="15"/>
      <c r="AF706" s="15"/>
      <c r="AG706" s="15"/>
    </row>
    <row r="707" ht="11.25" customHeight="1">
      <c r="A707" s="1"/>
      <c r="B707" s="2"/>
      <c r="C707" s="1"/>
      <c r="D707" s="2"/>
      <c r="E707" s="2"/>
      <c r="F707" s="2"/>
      <c r="G707" s="2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15"/>
      <c r="AC707" s="54"/>
      <c r="AD707" s="15"/>
      <c r="AE707" s="15"/>
      <c r="AF707" s="15"/>
      <c r="AG707" s="15"/>
    </row>
    <row r="708" ht="11.25" customHeight="1">
      <c r="A708" s="1"/>
      <c r="B708" s="2"/>
      <c r="C708" s="1"/>
      <c r="D708" s="2"/>
      <c r="E708" s="2"/>
      <c r="F708" s="2"/>
      <c r="G708" s="2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15"/>
      <c r="AC708" s="54"/>
      <c r="AD708" s="15"/>
      <c r="AE708" s="15"/>
      <c r="AF708" s="15"/>
      <c r="AG708" s="15"/>
    </row>
    <row r="709" ht="11.25" customHeight="1">
      <c r="A709" s="1"/>
      <c r="B709" s="2"/>
      <c r="C709" s="1"/>
      <c r="D709" s="2"/>
      <c r="E709" s="2"/>
      <c r="F709" s="2"/>
      <c r="G709" s="2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15"/>
      <c r="AC709" s="54"/>
      <c r="AD709" s="15"/>
      <c r="AE709" s="15"/>
      <c r="AF709" s="15"/>
      <c r="AG709" s="15"/>
    </row>
    <row r="710" ht="11.25" customHeight="1">
      <c r="A710" s="1"/>
      <c r="B710" s="2"/>
      <c r="C710" s="1"/>
      <c r="D710" s="2"/>
      <c r="E710" s="2"/>
      <c r="F710" s="2"/>
      <c r="G710" s="2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15"/>
      <c r="AC710" s="54"/>
      <c r="AD710" s="15"/>
      <c r="AE710" s="15"/>
      <c r="AF710" s="15"/>
      <c r="AG710" s="15"/>
    </row>
    <row r="711" ht="11.25" customHeight="1">
      <c r="A711" s="1"/>
      <c r="B711" s="2"/>
      <c r="C711" s="1"/>
      <c r="D711" s="2"/>
      <c r="E711" s="2"/>
      <c r="F711" s="2"/>
      <c r="G711" s="2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15"/>
      <c r="AC711" s="54"/>
      <c r="AD711" s="15"/>
      <c r="AE711" s="15"/>
      <c r="AF711" s="15"/>
      <c r="AG711" s="15"/>
    </row>
    <row r="712" ht="11.25" customHeight="1">
      <c r="A712" s="1"/>
      <c r="B712" s="2"/>
      <c r="C712" s="1"/>
      <c r="D712" s="2"/>
      <c r="E712" s="2"/>
      <c r="F712" s="2"/>
      <c r="G712" s="2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15"/>
      <c r="AC712" s="54"/>
      <c r="AD712" s="15"/>
      <c r="AE712" s="15"/>
      <c r="AF712" s="15"/>
      <c r="AG712" s="15"/>
    </row>
    <row r="713" ht="11.25" customHeight="1">
      <c r="A713" s="1"/>
      <c r="B713" s="2"/>
      <c r="C713" s="1"/>
      <c r="D713" s="2"/>
      <c r="E713" s="2"/>
      <c r="F713" s="2"/>
      <c r="G713" s="2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15"/>
      <c r="AC713" s="54"/>
      <c r="AD713" s="15"/>
      <c r="AE713" s="15"/>
      <c r="AF713" s="15"/>
      <c r="AG713" s="15"/>
    </row>
    <row r="714" ht="11.25" customHeight="1">
      <c r="A714" s="1"/>
      <c r="B714" s="2"/>
      <c r="C714" s="1"/>
      <c r="D714" s="2"/>
      <c r="E714" s="2"/>
      <c r="F714" s="2"/>
      <c r="G714" s="2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15"/>
      <c r="AC714" s="54"/>
      <c r="AD714" s="15"/>
      <c r="AE714" s="15"/>
      <c r="AF714" s="15"/>
      <c r="AG714" s="15"/>
    </row>
    <row r="715" ht="11.25" customHeight="1">
      <c r="A715" s="1"/>
      <c r="B715" s="2"/>
      <c r="C715" s="1"/>
      <c r="D715" s="2"/>
      <c r="E715" s="2"/>
      <c r="F715" s="2"/>
      <c r="G715" s="2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15"/>
      <c r="AC715" s="54"/>
      <c r="AD715" s="15"/>
      <c r="AE715" s="15"/>
      <c r="AF715" s="15"/>
      <c r="AG715" s="15"/>
    </row>
    <row r="716" ht="11.25" customHeight="1">
      <c r="A716" s="1"/>
      <c r="B716" s="2"/>
      <c r="C716" s="1"/>
      <c r="D716" s="2"/>
      <c r="E716" s="2"/>
      <c r="F716" s="2"/>
      <c r="G716" s="2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15"/>
      <c r="AC716" s="54"/>
      <c r="AD716" s="15"/>
      <c r="AE716" s="15"/>
      <c r="AF716" s="15"/>
      <c r="AG716" s="15"/>
    </row>
    <row r="717" ht="11.25" customHeight="1">
      <c r="A717" s="1"/>
      <c r="B717" s="2"/>
      <c r="C717" s="1"/>
      <c r="D717" s="2"/>
      <c r="E717" s="2"/>
      <c r="F717" s="2"/>
      <c r="G717" s="2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15"/>
      <c r="AC717" s="54"/>
      <c r="AD717" s="15"/>
      <c r="AE717" s="15"/>
      <c r="AF717" s="15"/>
      <c r="AG717" s="15"/>
    </row>
    <row r="718" ht="11.25" customHeight="1">
      <c r="A718" s="1"/>
      <c r="B718" s="2"/>
      <c r="C718" s="1"/>
      <c r="D718" s="2"/>
      <c r="E718" s="2"/>
      <c r="F718" s="2"/>
      <c r="G718" s="2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15"/>
      <c r="AC718" s="54"/>
      <c r="AD718" s="15"/>
      <c r="AE718" s="15"/>
      <c r="AF718" s="15"/>
      <c r="AG718" s="15"/>
    </row>
    <row r="719" ht="11.25" customHeight="1">
      <c r="A719" s="1"/>
      <c r="B719" s="2"/>
      <c r="C719" s="1"/>
      <c r="D719" s="2"/>
      <c r="E719" s="2"/>
      <c r="F719" s="2"/>
      <c r="G719" s="2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15"/>
      <c r="AC719" s="54"/>
      <c r="AD719" s="15"/>
      <c r="AE719" s="15"/>
      <c r="AF719" s="15"/>
      <c r="AG719" s="15"/>
    </row>
    <row r="720" ht="11.25" customHeight="1">
      <c r="A720" s="1"/>
      <c r="B720" s="2"/>
      <c r="C720" s="1"/>
      <c r="D720" s="2"/>
      <c r="E720" s="2"/>
      <c r="F720" s="2"/>
      <c r="G720" s="2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15"/>
      <c r="AC720" s="54"/>
      <c r="AD720" s="15"/>
      <c r="AE720" s="15"/>
      <c r="AF720" s="15"/>
      <c r="AG720" s="15"/>
    </row>
    <row r="721" ht="11.25" customHeight="1">
      <c r="A721" s="1"/>
      <c r="B721" s="2"/>
      <c r="C721" s="1"/>
      <c r="D721" s="2"/>
      <c r="E721" s="2"/>
      <c r="F721" s="2"/>
      <c r="G721" s="2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15"/>
      <c r="AC721" s="54"/>
      <c r="AD721" s="15"/>
      <c r="AE721" s="15"/>
      <c r="AF721" s="15"/>
      <c r="AG721" s="15"/>
    </row>
    <row r="722" ht="11.25" customHeight="1">
      <c r="A722" s="1"/>
      <c r="B722" s="2"/>
      <c r="C722" s="1"/>
      <c r="D722" s="2"/>
      <c r="E722" s="2"/>
      <c r="F722" s="2"/>
      <c r="G722" s="2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15"/>
      <c r="AC722" s="54"/>
      <c r="AD722" s="15"/>
      <c r="AE722" s="15"/>
      <c r="AF722" s="15"/>
      <c r="AG722" s="15"/>
    </row>
    <row r="723" ht="11.25" customHeight="1">
      <c r="A723" s="1"/>
      <c r="B723" s="2"/>
      <c r="C723" s="1"/>
      <c r="D723" s="2"/>
      <c r="E723" s="2"/>
      <c r="F723" s="2"/>
      <c r="G723" s="2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15"/>
      <c r="AC723" s="54"/>
      <c r="AD723" s="15"/>
      <c r="AE723" s="15"/>
      <c r="AF723" s="15"/>
      <c r="AG723" s="15"/>
    </row>
    <row r="724" ht="11.25" customHeight="1">
      <c r="A724" s="1"/>
      <c r="B724" s="2"/>
      <c r="C724" s="1"/>
      <c r="D724" s="2"/>
      <c r="E724" s="2"/>
      <c r="F724" s="2"/>
      <c r="G724" s="2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15"/>
      <c r="AC724" s="54"/>
      <c r="AD724" s="15"/>
      <c r="AE724" s="15"/>
      <c r="AF724" s="15"/>
      <c r="AG724" s="15"/>
    </row>
    <row r="725" ht="11.25" customHeight="1">
      <c r="A725" s="1"/>
      <c r="B725" s="2"/>
      <c r="C725" s="1"/>
      <c r="D725" s="2"/>
      <c r="E725" s="2"/>
      <c r="F725" s="2"/>
      <c r="G725" s="2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15"/>
      <c r="AC725" s="54"/>
      <c r="AD725" s="15"/>
      <c r="AE725" s="15"/>
      <c r="AF725" s="15"/>
      <c r="AG725" s="15"/>
    </row>
    <row r="726" ht="11.25" customHeight="1">
      <c r="A726" s="1"/>
      <c r="B726" s="2"/>
      <c r="C726" s="1"/>
      <c r="D726" s="2"/>
      <c r="E726" s="2"/>
      <c r="F726" s="2"/>
      <c r="G726" s="2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15"/>
      <c r="AC726" s="54"/>
      <c r="AD726" s="15"/>
      <c r="AE726" s="15"/>
      <c r="AF726" s="15"/>
      <c r="AG726" s="15"/>
    </row>
    <row r="727" ht="11.25" customHeight="1">
      <c r="A727" s="1"/>
      <c r="B727" s="2"/>
      <c r="C727" s="1"/>
      <c r="D727" s="2"/>
      <c r="E727" s="2"/>
      <c r="F727" s="2"/>
      <c r="G727" s="2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15"/>
      <c r="AC727" s="54"/>
      <c r="AD727" s="15"/>
      <c r="AE727" s="15"/>
      <c r="AF727" s="15"/>
      <c r="AG727" s="15"/>
    </row>
    <row r="728" ht="11.25" customHeight="1">
      <c r="A728" s="1"/>
      <c r="B728" s="2"/>
      <c r="C728" s="1"/>
      <c r="D728" s="2"/>
      <c r="E728" s="2"/>
      <c r="F728" s="2"/>
      <c r="G728" s="2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15"/>
      <c r="AC728" s="54"/>
      <c r="AD728" s="15"/>
      <c r="AE728" s="15"/>
      <c r="AF728" s="15"/>
      <c r="AG728" s="15"/>
    </row>
    <row r="729" ht="11.25" customHeight="1">
      <c r="A729" s="1"/>
      <c r="B729" s="2"/>
      <c r="C729" s="1"/>
      <c r="D729" s="2"/>
      <c r="E729" s="2"/>
      <c r="F729" s="2"/>
      <c r="G729" s="2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15"/>
      <c r="AC729" s="54"/>
      <c r="AD729" s="15"/>
      <c r="AE729" s="15"/>
      <c r="AF729" s="15"/>
      <c r="AG729" s="15"/>
    </row>
    <row r="730" ht="11.25" customHeight="1">
      <c r="A730" s="1"/>
      <c r="B730" s="2"/>
      <c r="C730" s="1"/>
      <c r="D730" s="2"/>
      <c r="E730" s="2"/>
      <c r="F730" s="2"/>
      <c r="G730" s="2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15"/>
      <c r="AC730" s="54"/>
      <c r="AD730" s="15"/>
      <c r="AE730" s="15"/>
      <c r="AF730" s="15"/>
      <c r="AG730" s="15"/>
    </row>
    <row r="731" ht="11.25" customHeight="1">
      <c r="A731" s="1"/>
      <c r="B731" s="2"/>
      <c r="C731" s="1"/>
      <c r="D731" s="2"/>
      <c r="E731" s="2"/>
      <c r="F731" s="2"/>
      <c r="G731" s="2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15"/>
      <c r="AC731" s="54"/>
      <c r="AD731" s="15"/>
      <c r="AE731" s="15"/>
      <c r="AF731" s="15"/>
      <c r="AG731" s="15"/>
    </row>
    <row r="732" ht="11.25" customHeight="1">
      <c r="A732" s="1"/>
      <c r="B732" s="2"/>
      <c r="C732" s="1"/>
      <c r="D732" s="2"/>
      <c r="E732" s="2"/>
      <c r="F732" s="2"/>
      <c r="G732" s="2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15"/>
      <c r="AC732" s="54"/>
      <c r="AD732" s="15"/>
      <c r="AE732" s="15"/>
      <c r="AF732" s="15"/>
      <c r="AG732" s="15"/>
    </row>
    <row r="733" ht="11.25" customHeight="1">
      <c r="A733" s="1"/>
      <c r="B733" s="2"/>
      <c r="C733" s="1"/>
      <c r="D733" s="2"/>
      <c r="E733" s="2"/>
      <c r="F733" s="2"/>
      <c r="G733" s="2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15"/>
      <c r="AC733" s="54"/>
      <c r="AD733" s="15"/>
      <c r="AE733" s="15"/>
      <c r="AF733" s="15"/>
      <c r="AG733" s="15"/>
    </row>
    <row r="734" ht="11.25" customHeight="1">
      <c r="A734" s="1"/>
      <c r="B734" s="2"/>
      <c r="C734" s="1"/>
      <c r="D734" s="2"/>
      <c r="E734" s="2"/>
      <c r="F734" s="2"/>
      <c r="G734" s="2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15"/>
      <c r="AC734" s="54"/>
      <c r="AD734" s="15"/>
      <c r="AE734" s="15"/>
      <c r="AF734" s="15"/>
      <c r="AG734" s="15"/>
    </row>
    <row r="735" ht="11.25" customHeight="1">
      <c r="A735" s="1"/>
      <c r="B735" s="2"/>
      <c r="C735" s="1"/>
      <c r="D735" s="2"/>
      <c r="E735" s="2"/>
      <c r="F735" s="2"/>
      <c r="G735" s="2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15"/>
      <c r="AC735" s="54"/>
      <c r="AD735" s="15"/>
      <c r="AE735" s="15"/>
      <c r="AF735" s="15"/>
      <c r="AG735" s="15"/>
    </row>
    <row r="736" ht="11.25" customHeight="1">
      <c r="A736" s="1"/>
      <c r="B736" s="2"/>
      <c r="C736" s="1"/>
      <c r="D736" s="2"/>
      <c r="E736" s="2"/>
      <c r="F736" s="2"/>
      <c r="G736" s="2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15"/>
      <c r="AC736" s="54"/>
      <c r="AD736" s="15"/>
      <c r="AE736" s="15"/>
      <c r="AF736" s="15"/>
      <c r="AG736" s="15"/>
    </row>
    <row r="737" ht="11.25" customHeight="1">
      <c r="A737" s="1"/>
      <c r="B737" s="2"/>
      <c r="C737" s="1"/>
      <c r="D737" s="2"/>
      <c r="E737" s="2"/>
      <c r="F737" s="2"/>
      <c r="G737" s="2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15"/>
      <c r="AC737" s="54"/>
      <c r="AD737" s="15"/>
      <c r="AE737" s="15"/>
      <c r="AF737" s="15"/>
      <c r="AG737" s="15"/>
    </row>
    <row r="738" ht="11.25" customHeight="1">
      <c r="A738" s="1"/>
      <c r="B738" s="2"/>
      <c r="C738" s="1"/>
      <c r="D738" s="2"/>
      <c r="E738" s="2"/>
      <c r="F738" s="2"/>
      <c r="G738" s="2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15"/>
      <c r="AC738" s="54"/>
      <c r="AD738" s="15"/>
      <c r="AE738" s="15"/>
      <c r="AF738" s="15"/>
      <c r="AG738" s="15"/>
    </row>
    <row r="739" ht="11.25" customHeight="1">
      <c r="A739" s="1"/>
      <c r="B739" s="2"/>
      <c r="C739" s="1"/>
      <c r="D739" s="2"/>
      <c r="E739" s="2"/>
      <c r="F739" s="2"/>
      <c r="G739" s="2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15"/>
      <c r="AC739" s="54"/>
      <c r="AD739" s="15"/>
      <c r="AE739" s="15"/>
      <c r="AF739" s="15"/>
      <c r="AG739" s="15"/>
    </row>
    <row r="740" ht="11.25" customHeight="1">
      <c r="A740" s="1"/>
      <c r="B740" s="2"/>
      <c r="C740" s="1"/>
      <c r="D740" s="2"/>
      <c r="E740" s="2"/>
      <c r="F740" s="2"/>
      <c r="G740" s="2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15"/>
      <c r="AC740" s="54"/>
      <c r="AD740" s="15"/>
      <c r="AE740" s="15"/>
      <c r="AF740" s="15"/>
      <c r="AG740" s="15"/>
    </row>
    <row r="741" ht="11.25" customHeight="1">
      <c r="A741" s="1"/>
      <c r="B741" s="2"/>
      <c r="C741" s="1"/>
      <c r="D741" s="2"/>
      <c r="E741" s="2"/>
      <c r="F741" s="2"/>
      <c r="G741" s="2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15"/>
      <c r="AC741" s="54"/>
      <c r="AD741" s="15"/>
      <c r="AE741" s="15"/>
      <c r="AF741" s="15"/>
      <c r="AG741" s="15"/>
    </row>
    <row r="742" ht="11.25" customHeight="1">
      <c r="A742" s="1"/>
      <c r="B742" s="2"/>
      <c r="C742" s="1"/>
      <c r="D742" s="2"/>
      <c r="E742" s="2"/>
      <c r="F742" s="2"/>
      <c r="G742" s="2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15"/>
      <c r="AC742" s="54"/>
      <c r="AD742" s="15"/>
      <c r="AE742" s="15"/>
      <c r="AF742" s="15"/>
      <c r="AG742" s="15"/>
    </row>
    <row r="743" ht="11.25" customHeight="1">
      <c r="A743" s="1"/>
      <c r="B743" s="2"/>
      <c r="C743" s="1"/>
      <c r="D743" s="2"/>
      <c r="E743" s="2"/>
      <c r="F743" s="2"/>
      <c r="G743" s="2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15"/>
      <c r="AC743" s="54"/>
      <c r="AD743" s="15"/>
      <c r="AE743" s="15"/>
      <c r="AF743" s="15"/>
      <c r="AG743" s="15"/>
    </row>
    <row r="744" ht="11.25" customHeight="1">
      <c r="A744" s="1"/>
      <c r="B744" s="2"/>
      <c r="C744" s="1"/>
      <c r="D744" s="2"/>
      <c r="E744" s="2"/>
      <c r="F744" s="2"/>
      <c r="G744" s="2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15"/>
      <c r="AC744" s="54"/>
      <c r="AD744" s="15"/>
      <c r="AE744" s="15"/>
      <c r="AF744" s="15"/>
      <c r="AG744" s="15"/>
    </row>
    <row r="745" ht="11.25" customHeight="1">
      <c r="A745" s="1"/>
      <c r="B745" s="2"/>
      <c r="C745" s="1"/>
      <c r="D745" s="2"/>
      <c r="E745" s="2"/>
      <c r="F745" s="2"/>
      <c r="G745" s="2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15"/>
      <c r="AC745" s="54"/>
      <c r="AD745" s="15"/>
      <c r="AE745" s="15"/>
      <c r="AF745" s="15"/>
      <c r="AG745" s="15"/>
    </row>
    <row r="746" ht="11.25" customHeight="1">
      <c r="A746" s="1"/>
      <c r="B746" s="2"/>
      <c r="C746" s="1"/>
      <c r="D746" s="2"/>
      <c r="E746" s="2"/>
      <c r="F746" s="2"/>
      <c r="G746" s="2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15"/>
      <c r="AC746" s="54"/>
      <c r="AD746" s="15"/>
      <c r="AE746" s="15"/>
      <c r="AF746" s="15"/>
      <c r="AG746" s="15"/>
    </row>
    <row r="747" ht="11.25" customHeight="1">
      <c r="A747" s="1"/>
      <c r="B747" s="2"/>
      <c r="C747" s="1"/>
      <c r="D747" s="2"/>
      <c r="E747" s="2"/>
      <c r="F747" s="2"/>
      <c r="G747" s="2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15"/>
      <c r="AC747" s="54"/>
      <c r="AD747" s="15"/>
      <c r="AE747" s="15"/>
      <c r="AF747" s="15"/>
      <c r="AG747" s="15"/>
    </row>
    <row r="748" ht="11.25" customHeight="1">
      <c r="A748" s="1"/>
      <c r="B748" s="2"/>
      <c r="C748" s="1"/>
      <c r="D748" s="2"/>
      <c r="E748" s="2"/>
      <c r="F748" s="2"/>
      <c r="G748" s="2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15"/>
      <c r="AC748" s="54"/>
      <c r="AD748" s="15"/>
      <c r="AE748" s="15"/>
      <c r="AF748" s="15"/>
      <c r="AG748" s="15"/>
    </row>
    <row r="749" ht="11.25" customHeight="1">
      <c r="A749" s="1"/>
      <c r="B749" s="2"/>
      <c r="C749" s="1"/>
      <c r="D749" s="2"/>
      <c r="E749" s="2"/>
      <c r="F749" s="2"/>
      <c r="G749" s="2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15"/>
      <c r="AC749" s="54"/>
      <c r="AD749" s="15"/>
      <c r="AE749" s="15"/>
      <c r="AF749" s="15"/>
      <c r="AG749" s="15"/>
    </row>
    <row r="750" ht="11.25" customHeight="1">
      <c r="A750" s="1"/>
      <c r="B750" s="2"/>
      <c r="C750" s="1"/>
      <c r="D750" s="2"/>
      <c r="E750" s="2"/>
      <c r="F750" s="2"/>
      <c r="G750" s="2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15"/>
      <c r="AC750" s="54"/>
      <c r="AD750" s="15"/>
      <c r="AE750" s="15"/>
      <c r="AF750" s="15"/>
      <c r="AG750" s="15"/>
    </row>
    <row r="751" ht="11.25" customHeight="1">
      <c r="A751" s="1"/>
      <c r="B751" s="2"/>
      <c r="C751" s="1"/>
      <c r="D751" s="2"/>
      <c r="E751" s="2"/>
      <c r="F751" s="2"/>
      <c r="G751" s="2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15"/>
      <c r="AC751" s="54"/>
      <c r="AD751" s="15"/>
      <c r="AE751" s="15"/>
      <c r="AF751" s="15"/>
      <c r="AG751" s="15"/>
    </row>
    <row r="752" ht="11.25" customHeight="1">
      <c r="A752" s="1"/>
      <c r="B752" s="2"/>
      <c r="C752" s="1"/>
      <c r="D752" s="2"/>
      <c r="E752" s="2"/>
      <c r="F752" s="2"/>
      <c r="G752" s="2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15"/>
      <c r="AC752" s="54"/>
      <c r="AD752" s="15"/>
      <c r="AE752" s="15"/>
      <c r="AF752" s="15"/>
      <c r="AG752" s="15"/>
    </row>
    <row r="753" ht="11.25" customHeight="1">
      <c r="A753" s="1"/>
      <c r="B753" s="2"/>
      <c r="C753" s="1"/>
      <c r="D753" s="2"/>
      <c r="E753" s="2"/>
      <c r="F753" s="2"/>
      <c r="G753" s="2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15"/>
      <c r="AC753" s="54"/>
      <c r="AD753" s="15"/>
      <c r="AE753" s="15"/>
      <c r="AF753" s="15"/>
      <c r="AG753" s="15"/>
    </row>
    <row r="754" ht="11.25" customHeight="1">
      <c r="A754" s="1"/>
      <c r="B754" s="2"/>
      <c r="C754" s="1"/>
      <c r="D754" s="2"/>
      <c r="E754" s="2"/>
      <c r="F754" s="2"/>
      <c r="G754" s="2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15"/>
      <c r="AC754" s="54"/>
      <c r="AD754" s="15"/>
      <c r="AE754" s="15"/>
      <c r="AF754" s="15"/>
      <c r="AG754" s="15"/>
    </row>
    <row r="755" ht="11.25" customHeight="1">
      <c r="A755" s="1"/>
      <c r="B755" s="2"/>
      <c r="C755" s="1"/>
      <c r="D755" s="2"/>
      <c r="E755" s="2"/>
      <c r="F755" s="2"/>
      <c r="G755" s="2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15"/>
      <c r="AC755" s="54"/>
      <c r="AD755" s="15"/>
      <c r="AE755" s="15"/>
      <c r="AF755" s="15"/>
      <c r="AG755" s="15"/>
    </row>
    <row r="756" ht="11.25" customHeight="1">
      <c r="A756" s="1"/>
      <c r="B756" s="2"/>
      <c r="C756" s="1"/>
      <c r="D756" s="2"/>
      <c r="E756" s="2"/>
      <c r="F756" s="2"/>
      <c r="G756" s="2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15"/>
      <c r="AC756" s="54"/>
      <c r="AD756" s="15"/>
      <c r="AE756" s="15"/>
      <c r="AF756" s="15"/>
      <c r="AG756" s="15"/>
    </row>
    <row r="757" ht="11.25" customHeight="1">
      <c r="A757" s="1"/>
      <c r="B757" s="2"/>
      <c r="C757" s="1"/>
      <c r="D757" s="2"/>
      <c r="E757" s="2"/>
      <c r="F757" s="2"/>
      <c r="G757" s="2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15"/>
      <c r="AC757" s="54"/>
      <c r="AD757" s="15"/>
      <c r="AE757" s="15"/>
      <c r="AF757" s="15"/>
      <c r="AG757" s="15"/>
    </row>
    <row r="758" ht="11.25" customHeight="1">
      <c r="A758" s="1"/>
      <c r="B758" s="2"/>
      <c r="C758" s="1"/>
      <c r="D758" s="2"/>
      <c r="E758" s="2"/>
      <c r="F758" s="2"/>
      <c r="G758" s="2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15"/>
      <c r="AC758" s="54"/>
      <c r="AD758" s="15"/>
      <c r="AE758" s="15"/>
      <c r="AF758" s="15"/>
      <c r="AG758" s="15"/>
    </row>
    <row r="759" ht="11.25" customHeight="1">
      <c r="A759" s="1"/>
      <c r="B759" s="2"/>
      <c r="C759" s="1"/>
      <c r="D759" s="2"/>
      <c r="E759" s="2"/>
      <c r="F759" s="2"/>
      <c r="G759" s="2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15"/>
      <c r="AC759" s="54"/>
      <c r="AD759" s="15"/>
      <c r="AE759" s="15"/>
      <c r="AF759" s="15"/>
      <c r="AG759" s="15"/>
    </row>
    <row r="760" ht="11.25" customHeight="1">
      <c r="A760" s="1"/>
      <c r="B760" s="2"/>
      <c r="C760" s="1"/>
      <c r="D760" s="2"/>
      <c r="E760" s="2"/>
      <c r="F760" s="2"/>
      <c r="G760" s="2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15"/>
      <c r="AC760" s="54"/>
      <c r="AD760" s="15"/>
      <c r="AE760" s="15"/>
      <c r="AF760" s="15"/>
      <c r="AG760" s="15"/>
    </row>
    <row r="761" ht="11.25" customHeight="1">
      <c r="A761" s="1"/>
      <c r="B761" s="2"/>
      <c r="C761" s="1"/>
      <c r="D761" s="2"/>
      <c r="E761" s="2"/>
      <c r="F761" s="2"/>
      <c r="G761" s="2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15"/>
      <c r="AC761" s="54"/>
      <c r="AD761" s="15"/>
      <c r="AE761" s="15"/>
      <c r="AF761" s="15"/>
      <c r="AG761" s="15"/>
    </row>
    <row r="762" ht="11.25" customHeight="1">
      <c r="A762" s="1"/>
      <c r="B762" s="2"/>
      <c r="C762" s="1"/>
      <c r="D762" s="2"/>
      <c r="E762" s="2"/>
      <c r="F762" s="2"/>
      <c r="G762" s="2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15"/>
      <c r="AC762" s="54"/>
      <c r="AD762" s="15"/>
      <c r="AE762" s="15"/>
      <c r="AF762" s="15"/>
      <c r="AG762" s="15"/>
    </row>
    <row r="763" ht="11.25" customHeight="1">
      <c r="A763" s="1"/>
      <c r="B763" s="2"/>
      <c r="C763" s="1"/>
      <c r="D763" s="2"/>
      <c r="E763" s="2"/>
      <c r="F763" s="2"/>
      <c r="G763" s="2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15"/>
      <c r="AC763" s="54"/>
      <c r="AD763" s="15"/>
      <c r="AE763" s="15"/>
      <c r="AF763" s="15"/>
      <c r="AG763" s="15"/>
    </row>
    <row r="764" ht="11.25" customHeight="1">
      <c r="A764" s="1"/>
      <c r="B764" s="2"/>
      <c r="C764" s="1"/>
      <c r="D764" s="2"/>
      <c r="E764" s="2"/>
      <c r="F764" s="2"/>
      <c r="G764" s="2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15"/>
      <c r="AC764" s="54"/>
      <c r="AD764" s="15"/>
      <c r="AE764" s="15"/>
      <c r="AF764" s="15"/>
      <c r="AG764" s="15"/>
    </row>
    <row r="765" ht="11.25" customHeight="1">
      <c r="A765" s="1"/>
      <c r="B765" s="2"/>
      <c r="C765" s="1"/>
      <c r="D765" s="2"/>
      <c r="E765" s="2"/>
      <c r="F765" s="2"/>
      <c r="G765" s="2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15"/>
      <c r="AC765" s="54"/>
      <c r="AD765" s="15"/>
      <c r="AE765" s="15"/>
      <c r="AF765" s="15"/>
      <c r="AG765" s="15"/>
    </row>
    <row r="766" ht="11.25" customHeight="1">
      <c r="A766" s="1"/>
      <c r="B766" s="2"/>
      <c r="C766" s="1"/>
      <c r="D766" s="2"/>
      <c r="E766" s="2"/>
      <c r="F766" s="2"/>
      <c r="G766" s="2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15"/>
      <c r="AC766" s="54"/>
      <c r="AD766" s="15"/>
      <c r="AE766" s="15"/>
      <c r="AF766" s="15"/>
      <c r="AG766" s="15"/>
    </row>
    <row r="767" ht="11.25" customHeight="1">
      <c r="A767" s="1"/>
      <c r="B767" s="2"/>
      <c r="C767" s="1"/>
      <c r="D767" s="2"/>
      <c r="E767" s="2"/>
      <c r="F767" s="2"/>
      <c r="G767" s="2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15"/>
      <c r="AC767" s="54"/>
      <c r="AD767" s="15"/>
      <c r="AE767" s="15"/>
      <c r="AF767" s="15"/>
      <c r="AG767" s="15"/>
    </row>
    <row r="768" ht="11.25" customHeight="1">
      <c r="A768" s="1"/>
      <c r="B768" s="2"/>
      <c r="C768" s="1"/>
      <c r="D768" s="2"/>
      <c r="E768" s="2"/>
      <c r="F768" s="2"/>
      <c r="G768" s="2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15"/>
      <c r="AC768" s="54"/>
      <c r="AD768" s="15"/>
      <c r="AE768" s="15"/>
      <c r="AF768" s="15"/>
      <c r="AG768" s="15"/>
    </row>
    <row r="769" ht="11.25" customHeight="1">
      <c r="A769" s="1"/>
      <c r="B769" s="2"/>
      <c r="C769" s="1"/>
      <c r="D769" s="2"/>
      <c r="E769" s="2"/>
      <c r="F769" s="2"/>
      <c r="G769" s="2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15"/>
      <c r="AC769" s="54"/>
      <c r="AD769" s="15"/>
      <c r="AE769" s="15"/>
      <c r="AF769" s="15"/>
      <c r="AG769" s="15"/>
    </row>
    <row r="770" ht="11.25" customHeight="1">
      <c r="A770" s="1"/>
      <c r="B770" s="2"/>
      <c r="C770" s="1"/>
      <c r="D770" s="2"/>
      <c r="E770" s="2"/>
      <c r="F770" s="2"/>
      <c r="G770" s="2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15"/>
      <c r="AC770" s="54"/>
      <c r="AD770" s="15"/>
      <c r="AE770" s="15"/>
      <c r="AF770" s="15"/>
      <c r="AG770" s="15"/>
    </row>
    <row r="771" ht="11.25" customHeight="1">
      <c r="A771" s="1"/>
      <c r="B771" s="2"/>
      <c r="C771" s="1"/>
      <c r="D771" s="2"/>
      <c r="E771" s="2"/>
      <c r="F771" s="2"/>
      <c r="G771" s="2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15"/>
      <c r="AC771" s="54"/>
      <c r="AD771" s="15"/>
      <c r="AE771" s="15"/>
      <c r="AF771" s="15"/>
      <c r="AG771" s="15"/>
    </row>
    <row r="772" ht="11.25" customHeight="1">
      <c r="A772" s="1"/>
      <c r="B772" s="2"/>
      <c r="C772" s="1"/>
      <c r="D772" s="2"/>
      <c r="E772" s="2"/>
      <c r="F772" s="2"/>
      <c r="G772" s="2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15"/>
      <c r="AC772" s="54"/>
      <c r="AD772" s="15"/>
      <c r="AE772" s="15"/>
      <c r="AF772" s="15"/>
      <c r="AG772" s="15"/>
    </row>
    <row r="773" ht="11.25" customHeight="1">
      <c r="A773" s="1"/>
      <c r="B773" s="2"/>
      <c r="C773" s="1"/>
      <c r="D773" s="2"/>
      <c r="E773" s="2"/>
      <c r="F773" s="2"/>
      <c r="G773" s="2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15"/>
      <c r="AC773" s="54"/>
      <c r="AD773" s="15"/>
      <c r="AE773" s="15"/>
      <c r="AF773" s="15"/>
      <c r="AG773" s="15"/>
    </row>
    <row r="774" ht="11.25" customHeight="1">
      <c r="A774" s="1"/>
      <c r="B774" s="2"/>
      <c r="C774" s="1"/>
      <c r="D774" s="2"/>
      <c r="E774" s="2"/>
      <c r="F774" s="2"/>
      <c r="G774" s="2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15"/>
      <c r="AC774" s="54"/>
      <c r="AD774" s="15"/>
      <c r="AE774" s="15"/>
      <c r="AF774" s="15"/>
      <c r="AG774" s="15"/>
    </row>
    <row r="775" ht="11.25" customHeight="1">
      <c r="A775" s="1"/>
      <c r="B775" s="2"/>
      <c r="C775" s="1"/>
      <c r="D775" s="2"/>
      <c r="E775" s="2"/>
      <c r="F775" s="2"/>
      <c r="G775" s="2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15"/>
      <c r="AC775" s="54"/>
      <c r="AD775" s="15"/>
      <c r="AE775" s="15"/>
      <c r="AF775" s="15"/>
      <c r="AG775" s="15"/>
    </row>
    <row r="776" ht="11.25" customHeight="1">
      <c r="A776" s="1"/>
      <c r="B776" s="2"/>
      <c r="C776" s="1"/>
      <c r="D776" s="2"/>
      <c r="E776" s="2"/>
      <c r="F776" s="2"/>
      <c r="G776" s="2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15"/>
      <c r="AC776" s="54"/>
      <c r="AD776" s="15"/>
      <c r="AE776" s="15"/>
      <c r="AF776" s="15"/>
      <c r="AG776" s="15"/>
    </row>
    <row r="777" ht="11.25" customHeight="1">
      <c r="A777" s="1"/>
      <c r="B777" s="2"/>
      <c r="C777" s="1"/>
      <c r="D777" s="2"/>
      <c r="E777" s="2"/>
      <c r="F777" s="2"/>
      <c r="G777" s="2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15"/>
      <c r="AC777" s="54"/>
      <c r="AD777" s="15"/>
      <c r="AE777" s="15"/>
      <c r="AF777" s="15"/>
      <c r="AG777" s="15"/>
    </row>
    <row r="778" ht="11.25" customHeight="1">
      <c r="A778" s="1"/>
      <c r="B778" s="2"/>
      <c r="C778" s="1"/>
      <c r="D778" s="2"/>
      <c r="E778" s="2"/>
      <c r="F778" s="2"/>
      <c r="G778" s="2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15"/>
      <c r="AC778" s="54"/>
      <c r="AD778" s="15"/>
      <c r="AE778" s="15"/>
      <c r="AF778" s="15"/>
      <c r="AG778" s="15"/>
    </row>
    <row r="779" ht="11.25" customHeight="1">
      <c r="A779" s="1"/>
      <c r="B779" s="2"/>
      <c r="C779" s="1"/>
      <c r="D779" s="2"/>
      <c r="E779" s="2"/>
      <c r="F779" s="2"/>
      <c r="G779" s="2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15"/>
      <c r="AC779" s="54"/>
      <c r="AD779" s="15"/>
      <c r="AE779" s="15"/>
      <c r="AF779" s="15"/>
      <c r="AG779" s="15"/>
    </row>
    <row r="780" ht="11.25" customHeight="1">
      <c r="A780" s="1"/>
      <c r="B780" s="2"/>
      <c r="C780" s="1"/>
      <c r="D780" s="2"/>
      <c r="E780" s="2"/>
      <c r="F780" s="2"/>
      <c r="G780" s="2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15"/>
      <c r="AC780" s="54"/>
      <c r="AD780" s="15"/>
      <c r="AE780" s="15"/>
      <c r="AF780" s="15"/>
      <c r="AG780" s="15"/>
    </row>
    <row r="781" ht="11.25" customHeight="1">
      <c r="A781" s="1"/>
      <c r="B781" s="2"/>
      <c r="C781" s="1"/>
      <c r="D781" s="2"/>
      <c r="E781" s="2"/>
      <c r="F781" s="2"/>
      <c r="G781" s="2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15"/>
      <c r="AC781" s="54"/>
      <c r="AD781" s="15"/>
      <c r="AE781" s="15"/>
      <c r="AF781" s="15"/>
      <c r="AG781" s="15"/>
    </row>
    <row r="782" ht="11.25" customHeight="1">
      <c r="A782" s="1"/>
      <c r="B782" s="2"/>
      <c r="C782" s="1"/>
      <c r="D782" s="2"/>
      <c r="E782" s="2"/>
      <c r="F782" s="2"/>
      <c r="G782" s="2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15"/>
      <c r="AC782" s="54"/>
      <c r="AD782" s="15"/>
      <c r="AE782" s="15"/>
      <c r="AF782" s="15"/>
      <c r="AG782" s="15"/>
    </row>
    <row r="783" ht="11.25" customHeight="1">
      <c r="A783" s="1"/>
      <c r="B783" s="2"/>
      <c r="C783" s="1"/>
      <c r="D783" s="2"/>
      <c r="E783" s="2"/>
      <c r="F783" s="2"/>
      <c r="G783" s="2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15"/>
      <c r="AC783" s="54"/>
      <c r="AD783" s="15"/>
      <c r="AE783" s="15"/>
      <c r="AF783" s="15"/>
      <c r="AG783" s="15"/>
    </row>
    <row r="784" ht="11.25" customHeight="1">
      <c r="A784" s="1"/>
      <c r="B784" s="2"/>
      <c r="C784" s="1"/>
      <c r="D784" s="2"/>
      <c r="E784" s="2"/>
      <c r="F784" s="2"/>
      <c r="G784" s="2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15"/>
      <c r="AC784" s="54"/>
      <c r="AD784" s="15"/>
      <c r="AE784" s="15"/>
      <c r="AF784" s="15"/>
      <c r="AG784" s="15"/>
    </row>
    <row r="785" ht="11.25" customHeight="1">
      <c r="A785" s="1"/>
      <c r="B785" s="2"/>
      <c r="C785" s="1"/>
      <c r="D785" s="2"/>
      <c r="E785" s="2"/>
      <c r="F785" s="2"/>
      <c r="G785" s="2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15"/>
      <c r="AC785" s="54"/>
      <c r="AD785" s="15"/>
      <c r="AE785" s="15"/>
      <c r="AF785" s="15"/>
      <c r="AG785" s="15"/>
    </row>
    <row r="786" ht="11.25" customHeight="1">
      <c r="A786" s="1"/>
      <c r="B786" s="2"/>
      <c r="C786" s="1"/>
      <c r="D786" s="2"/>
      <c r="E786" s="2"/>
      <c r="F786" s="2"/>
      <c r="G786" s="2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15"/>
      <c r="AC786" s="54"/>
      <c r="AD786" s="15"/>
      <c r="AE786" s="15"/>
      <c r="AF786" s="15"/>
      <c r="AG786" s="15"/>
    </row>
    <row r="787" ht="11.25" customHeight="1">
      <c r="A787" s="1"/>
      <c r="B787" s="2"/>
      <c r="C787" s="1"/>
      <c r="D787" s="2"/>
      <c r="E787" s="2"/>
      <c r="F787" s="2"/>
      <c r="G787" s="2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15"/>
      <c r="AC787" s="54"/>
      <c r="AD787" s="15"/>
      <c r="AE787" s="15"/>
      <c r="AF787" s="15"/>
      <c r="AG787" s="15"/>
    </row>
    <row r="788" ht="11.25" customHeight="1">
      <c r="A788" s="1"/>
      <c r="B788" s="2"/>
      <c r="C788" s="1"/>
      <c r="D788" s="2"/>
      <c r="E788" s="2"/>
      <c r="F788" s="2"/>
      <c r="G788" s="2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15"/>
      <c r="AC788" s="54"/>
      <c r="AD788" s="15"/>
      <c r="AE788" s="15"/>
      <c r="AF788" s="15"/>
      <c r="AG788" s="15"/>
    </row>
    <row r="789" ht="11.25" customHeight="1">
      <c r="A789" s="1"/>
      <c r="B789" s="2"/>
      <c r="C789" s="1"/>
      <c r="D789" s="2"/>
      <c r="E789" s="2"/>
      <c r="F789" s="2"/>
      <c r="G789" s="2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15"/>
      <c r="AC789" s="54"/>
      <c r="AD789" s="15"/>
      <c r="AE789" s="15"/>
      <c r="AF789" s="15"/>
      <c r="AG789" s="15"/>
    </row>
    <row r="790" ht="11.25" customHeight="1">
      <c r="A790" s="1"/>
      <c r="B790" s="2"/>
      <c r="C790" s="1"/>
      <c r="D790" s="2"/>
      <c r="E790" s="2"/>
      <c r="F790" s="2"/>
      <c r="G790" s="2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15"/>
      <c r="AC790" s="54"/>
      <c r="AD790" s="15"/>
      <c r="AE790" s="15"/>
      <c r="AF790" s="15"/>
      <c r="AG790" s="15"/>
    </row>
    <row r="791" ht="11.25" customHeight="1">
      <c r="A791" s="1"/>
      <c r="B791" s="2"/>
      <c r="C791" s="1"/>
      <c r="D791" s="2"/>
      <c r="E791" s="2"/>
      <c r="F791" s="2"/>
      <c r="G791" s="2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15"/>
      <c r="AC791" s="54"/>
      <c r="AD791" s="15"/>
      <c r="AE791" s="15"/>
      <c r="AF791" s="15"/>
      <c r="AG791" s="15"/>
    </row>
    <row r="792" ht="11.25" customHeight="1">
      <c r="A792" s="1"/>
      <c r="B792" s="2"/>
      <c r="C792" s="1"/>
      <c r="D792" s="2"/>
      <c r="E792" s="2"/>
      <c r="F792" s="2"/>
      <c r="G792" s="2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15"/>
      <c r="AC792" s="54"/>
      <c r="AD792" s="15"/>
      <c r="AE792" s="15"/>
      <c r="AF792" s="15"/>
      <c r="AG792" s="15"/>
    </row>
    <row r="793" ht="11.25" customHeight="1">
      <c r="A793" s="1"/>
      <c r="B793" s="2"/>
      <c r="C793" s="1"/>
      <c r="D793" s="2"/>
      <c r="E793" s="2"/>
      <c r="F793" s="2"/>
      <c r="G793" s="2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15"/>
      <c r="AC793" s="54"/>
      <c r="AD793" s="15"/>
      <c r="AE793" s="15"/>
      <c r="AF793" s="15"/>
      <c r="AG793" s="15"/>
    </row>
    <row r="794" ht="11.25" customHeight="1">
      <c r="A794" s="1"/>
      <c r="B794" s="2"/>
      <c r="C794" s="1"/>
      <c r="D794" s="2"/>
      <c r="E794" s="2"/>
      <c r="F794" s="2"/>
      <c r="G794" s="2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15"/>
      <c r="AC794" s="54"/>
      <c r="AD794" s="15"/>
      <c r="AE794" s="15"/>
      <c r="AF794" s="15"/>
      <c r="AG794" s="15"/>
    </row>
    <row r="795" ht="11.25" customHeight="1">
      <c r="A795" s="1"/>
      <c r="B795" s="2"/>
      <c r="C795" s="1"/>
      <c r="D795" s="2"/>
      <c r="E795" s="2"/>
      <c r="F795" s="2"/>
      <c r="G795" s="2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15"/>
      <c r="AC795" s="54"/>
      <c r="AD795" s="15"/>
      <c r="AE795" s="15"/>
      <c r="AF795" s="15"/>
      <c r="AG795" s="15"/>
    </row>
    <row r="796" ht="11.25" customHeight="1">
      <c r="A796" s="1"/>
      <c r="B796" s="2"/>
      <c r="C796" s="1"/>
      <c r="D796" s="2"/>
      <c r="E796" s="2"/>
      <c r="F796" s="2"/>
      <c r="G796" s="2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15"/>
      <c r="AC796" s="54"/>
      <c r="AD796" s="15"/>
      <c r="AE796" s="15"/>
      <c r="AF796" s="15"/>
      <c r="AG796" s="15"/>
    </row>
    <row r="797" ht="11.25" customHeight="1">
      <c r="A797" s="1"/>
      <c r="B797" s="2"/>
      <c r="C797" s="1"/>
      <c r="D797" s="2"/>
      <c r="E797" s="2"/>
      <c r="F797" s="2"/>
      <c r="G797" s="2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15"/>
      <c r="AC797" s="54"/>
      <c r="AD797" s="15"/>
      <c r="AE797" s="15"/>
      <c r="AF797" s="15"/>
      <c r="AG797" s="15"/>
    </row>
    <row r="798" ht="11.25" customHeight="1">
      <c r="A798" s="1"/>
      <c r="B798" s="2"/>
      <c r="C798" s="1"/>
      <c r="D798" s="2"/>
      <c r="E798" s="2"/>
      <c r="F798" s="2"/>
      <c r="G798" s="2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15"/>
      <c r="AC798" s="54"/>
      <c r="AD798" s="15"/>
      <c r="AE798" s="15"/>
      <c r="AF798" s="15"/>
      <c r="AG798" s="15"/>
    </row>
    <row r="799" ht="11.25" customHeight="1">
      <c r="A799" s="1"/>
      <c r="B799" s="2"/>
      <c r="C799" s="1"/>
      <c r="D799" s="2"/>
      <c r="E799" s="2"/>
      <c r="F799" s="2"/>
      <c r="G799" s="2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15"/>
      <c r="AC799" s="54"/>
      <c r="AD799" s="15"/>
      <c r="AE799" s="15"/>
      <c r="AF799" s="15"/>
      <c r="AG799" s="15"/>
    </row>
    <row r="800" ht="11.25" customHeight="1">
      <c r="A800" s="1"/>
      <c r="B800" s="2"/>
      <c r="C800" s="1"/>
      <c r="D800" s="2"/>
      <c r="E800" s="2"/>
      <c r="F800" s="2"/>
      <c r="G800" s="2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15"/>
      <c r="AC800" s="54"/>
      <c r="AD800" s="15"/>
      <c r="AE800" s="15"/>
      <c r="AF800" s="15"/>
      <c r="AG800" s="15"/>
    </row>
    <row r="801" ht="11.25" customHeight="1">
      <c r="A801" s="1"/>
      <c r="B801" s="2"/>
      <c r="C801" s="1"/>
      <c r="D801" s="2"/>
      <c r="E801" s="2"/>
      <c r="F801" s="2"/>
      <c r="G801" s="2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15"/>
      <c r="AC801" s="54"/>
      <c r="AD801" s="15"/>
      <c r="AE801" s="15"/>
      <c r="AF801" s="15"/>
      <c r="AG801" s="15"/>
    </row>
    <row r="802" ht="11.25" customHeight="1">
      <c r="A802" s="1"/>
      <c r="B802" s="2"/>
      <c r="C802" s="1"/>
      <c r="D802" s="2"/>
      <c r="E802" s="2"/>
      <c r="F802" s="2"/>
      <c r="G802" s="2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15"/>
      <c r="AC802" s="54"/>
      <c r="AD802" s="15"/>
      <c r="AE802" s="15"/>
      <c r="AF802" s="15"/>
      <c r="AG802" s="15"/>
    </row>
    <row r="803" ht="11.25" customHeight="1">
      <c r="A803" s="1"/>
      <c r="B803" s="2"/>
      <c r="C803" s="1"/>
      <c r="D803" s="2"/>
      <c r="E803" s="2"/>
      <c r="F803" s="2"/>
      <c r="G803" s="2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15"/>
      <c r="AC803" s="54"/>
      <c r="AD803" s="15"/>
      <c r="AE803" s="15"/>
      <c r="AF803" s="15"/>
      <c r="AG803" s="15"/>
    </row>
    <row r="804" ht="11.25" customHeight="1">
      <c r="A804" s="1"/>
      <c r="B804" s="2"/>
      <c r="C804" s="1"/>
      <c r="D804" s="2"/>
      <c r="E804" s="2"/>
      <c r="F804" s="2"/>
      <c r="G804" s="2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15"/>
      <c r="AC804" s="54"/>
      <c r="AD804" s="15"/>
      <c r="AE804" s="15"/>
      <c r="AF804" s="15"/>
      <c r="AG804" s="15"/>
    </row>
    <row r="805" ht="11.25" customHeight="1">
      <c r="A805" s="1"/>
      <c r="B805" s="2"/>
      <c r="C805" s="1"/>
      <c r="D805" s="2"/>
      <c r="E805" s="2"/>
      <c r="F805" s="2"/>
      <c r="G805" s="2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15"/>
      <c r="AC805" s="54"/>
      <c r="AD805" s="15"/>
      <c r="AE805" s="15"/>
      <c r="AF805" s="15"/>
      <c r="AG805" s="15"/>
    </row>
    <row r="806" ht="11.25" customHeight="1">
      <c r="A806" s="1"/>
      <c r="B806" s="2"/>
      <c r="C806" s="1"/>
      <c r="D806" s="2"/>
      <c r="E806" s="2"/>
      <c r="F806" s="2"/>
      <c r="G806" s="2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15"/>
      <c r="AC806" s="54"/>
      <c r="AD806" s="15"/>
      <c r="AE806" s="15"/>
      <c r="AF806" s="15"/>
      <c r="AG806" s="15"/>
    </row>
    <row r="807" ht="11.25" customHeight="1">
      <c r="A807" s="1"/>
      <c r="B807" s="2"/>
      <c r="C807" s="1"/>
      <c r="D807" s="2"/>
      <c r="E807" s="2"/>
      <c r="F807" s="2"/>
      <c r="G807" s="2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15"/>
      <c r="AC807" s="54"/>
      <c r="AD807" s="15"/>
      <c r="AE807" s="15"/>
      <c r="AF807" s="15"/>
      <c r="AG807" s="15"/>
    </row>
    <row r="808" ht="11.25" customHeight="1">
      <c r="A808" s="1"/>
      <c r="B808" s="2"/>
      <c r="C808" s="1"/>
      <c r="D808" s="2"/>
      <c r="E808" s="2"/>
      <c r="F808" s="2"/>
      <c r="G808" s="2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15"/>
      <c r="AC808" s="54"/>
      <c r="AD808" s="15"/>
      <c r="AE808" s="15"/>
      <c r="AF808" s="15"/>
      <c r="AG808" s="15"/>
    </row>
    <row r="809" ht="11.25" customHeight="1">
      <c r="A809" s="1"/>
      <c r="B809" s="2"/>
      <c r="C809" s="1"/>
      <c r="D809" s="2"/>
      <c r="E809" s="2"/>
      <c r="F809" s="2"/>
      <c r="G809" s="2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15"/>
      <c r="AC809" s="54"/>
      <c r="AD809" s="15"/>
      <c r="AE809" s="15"/>
      <c r="AF809" s="15"/>
      <c r="AG809" s="15"/>
    </row>
    <row r="810" ht="11.25" customHeight="1">
      <c r="A810" s="1"/>
      <c r="B810" s="2"/>
      <c r="C810" s="1"/>
      <c r="D810" s="2"/>
      <c r="E810" s="2"/>
      <c r="F810" s="2"/>
      <c r="G810" s="2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15"/>
      <c r="AC810" s="54"/>
      <c r="AD810" s="15"/>
      <c r="AE810" s="15"/>
      <c r="AF810" s="15"/>
      <c r="AG810" s="15"/>
    </row>
    <row r="811" ht="11.25" customHeight="1">
      <c r="A811" s="1"/>
      <c r="B811" s="2"/>
      <c r="C811" s="1"/>
      <c r="D811" s="2"/>
      <c r="E811" s="2"/>
      <c r="F811" s="2"/>
      <c r="G811" s="2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15"/>
      <c r="AC811" s="54"/>
      <c r="AD811" s="15"/>
      <c r="AE811" s="15"/>
      <c r="AF811" s="15"/>
      <c r="AG811" s="15"/>
    </row>
    <row r="812" ht="11.25" customHeight="1">
      <c r="A812" s="1"/>
      <c r="B812" s="2"/>
      <c r="C812" s="1"/>
      <c r="D812" s="2"/>
      <c r="E812" s="2"/>
      <c r="F812" s="2"/>
      <c r="G812" s="2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15"/>
      <c r="AC812" s="54"/>
      <c r="AD812" s="15"/>
      <c r="AE812" s="15"/>
      <c r="AF812" s="15"/>
      <c r="AG812" s="15"/>
    </row>
    <row r="813" ht="11.25" customHeight="1">
      <c r="A813" s="1"/>
      <c r="B813" s="2"/>
      <c r="C813" s="1"/>
      <c r="D813" s="2"/>
      <c r="E813" s="2"/>
      <c r="F813" s="2"/>
      <c r="G813" s="2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15"/>
      <c r="AC813" s="54"/>
      <c r="AD813" s="15"/>
      <c r="AE813" s="15"/>
      <c r="AF813" s="15"/>
      <c r="AG813" s="15"/>
    </row>
    <row r="814" ht="11.25" customHeight="1">
      <c r="A814" s="1"/>
      <c r="B814" s="2"/>
      <c r="C814" s="1"/>
      <c r="D814" s="2"/>
      <c r="E814" s="2"/>
      <c r="F814" s="2"/>
      <c r="G814" s="2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15"/>
      <c r="AC814" s="54"/>
      <c r="AD814" s="15"/>
      <c r="AE814" s="15"/>
      <c r="AF814" s="15"/>
      <c r="AG814" s="15"/>
    </row>
    <row r="815" ht="11.25" customHeight="1">
      <c r="A815" s="1"/>
      <c r="B815" s="2"/>
      <c r="C815" s="1"/>
      <c r="D815" s="2"/>
      <c r="E815" s="2"/>
      <c r="F815" s="2"/>
      <c r="G815" s="2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15"/>
      <c r="AC815" s="54"/>
      <c r="AD815" s="15"/>
      <c r="AE815" s="15"/>
      <c r="AF815" s="15"/>
      <c r="AG815" s="15"/>
    </row>
    <row r="816" ht="11.25" customHeight="1">
      <c r="A816" s="1"/>
      <c r="B816" s="2"/>
      <c r="C816" s="1"/>
      <c r="D816" s="2"/>
      <c r="E816" s="2"/>
      <c r="F816" s="2"/>
      <c r="G816" s="2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15"/>
      <c r="AC816" s="54"/>
      <c r="AD816" s="15"/>
      <c r="AE816" s="15"/>
      <c r="AF816" s="15"/>
      <c r="AG816" s="15"/>
    </row>
    <row r="817" ht="11.25" customHeight="1">
      <c r="A817" s="1"/>
      <c r="B817" s="2"/>
      <c r="C817" s="1"/>
      <c r="D817" s="2"/>
      <c r="E817" s="2"/>
      <c r="F817" s="2"/>
      <c r="G817" s="2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15"/>
      <c r="AC817" s="54"/>
      <c r="AD817" s="15"/>
      <c r="AE817" s="15"/>
      <c r="AF817" s="15"/>
      <c r="AG817" s="15"/>
    </row>
    <row r="818" ht="11.25" customHeight="1">
      <c r="A818" s="1"/>
      <c r="B818" s="2"/>
      <c r="C818" s="1"/>
      <c r="D818" s="2"/>
      <c r="E818" s="2"/>
      <c r="F818" s="2"/>
      <c r="G818" s="2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15"/>
      <c r="AC818" s="54"/>
      <c r="AD818" s="15"/>
      <c r="AE818" s="15"/>
      <c r="AF818" s="15"/>
      <c r="AG818" s="15"/>
    </row>
    <row r="819" ht="11.25" customHeight="1">
      <c r="A819" s="1"/>
      <c r="B819" s="2"/>
      <c r="C819" s="1"/>
      <c r="D819" s="2"/>
      <c r="E819" s="2"/>
      <c r="F819" s="2"/>
      <c r="G819" s="2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15"/>
      <c r="AC819" s="54"/>
      <c r="AD819" s="15"/>
      <c r="AE819" s="15"/>
      <c r="AF819" s="15"/>
      <c r="AG819" s="15"/>
    </row>
    <row r="820" ht="11.25" customHeight="1">
      <c r="A820" s="1"/>
      <c r="B820" s="2"/>
      <c r="C820" s="1"/>
      <c r="D820" s="2"/>
      <c r="E820" s="2"/>
      <c r="F820" s="2"/>
      <c r="G820" s="2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15"/>
      <c r="AC820" s="54"/>
      <c r="AD820" s="15"/>
      <c r="AE820" s="15"/>
      <c r="AF820" s="15"/>
      <c r="AG820" s="15"/>
    </row>
    <row r="821" ht="11.25" customHeight="1">
      <c r="A821" s="1"/>
      <c r="B821" s="2"/>
      <c r="C821" s="1"/>
      <c r="D821" s="2"/>
      <c r="E821" s="2"/>
      <c r="F821" s="2"/>
      <c r="G821" s="2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15"/>
      <c r="AC821" s="54"/>
      <c r="AD821" s="15"/>
      <c r="AE821" s="15"/>
      <c r="AF821" s="15"/>
      <c r="AG821" s="15"/>
    </row>
    <row r="822" ht="11.25" customHeight="1">
      <c r="A822" s="1"/>
      <c r="B822" s="2"/>
      <c r="C822" s="1"/>
      <c r="D822" s="2"/>
      <c r="E822" s="2"/>
      <c r="F822" s="2"/>
      <c r="G822" s="2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15"/>
      <c r="AC822" s="54"/>
      <c r="AD822" s="15"/>
      <c r="AE822" s="15"/>
      <c r="AF822" s="15"/>
      <c r="AG822" s="15"/>
    </row>
    <row r="823" ht="11.25" customHeight="1">
      <c r="A823" s="1"/>
      <c r="B823" s="2"/>
      <c r="C823" s="1"/>
      <c r="D823" s="2"/>
      <c r="E823" s="2"/>
      <c r="F823" s="2"/>
      <c r="G823" s="2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15"/>
      <c r="AC823" s="54"/>
      <c r="AD823" s="15"/>
      <c r="AE823" s="15"/>
      <c r="AF823" s="15"/>
      <c r="AG823" s="15"/>
    </row>
    <row r="824" ht="11.25" customHeight="1">
      <c r="A824" s="1"/>
      <c r="B824" s="2"/>
      <c r="C824" s="1"/>
      <c r="D824" s="2"/>
      <c r="E824" s="2"/>
      <c r="F824" s="2"/>
      <c r="G824" s="2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15"/>
      <c r="AC824" s="54"/>
      <c r="AD824" s="15"/>
      <c r="AE824" s="15"/>
      <c r="AF824" s="15"/>
      <c r="AG824" s="15"/>
    </row>
    <row r="825" ht="11.25" customHeight="1">
      <c r="A825" s="1"/>
      <c r="B825" s="2"/>
      <c r="C825" s="1"/>
      <c r="D825" s="2"/>
      <c r="E825" s="2"/>
      <c r="F825" s="2"/>
      <c r="G825" s="2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15"/>
      <c r="AC825" s="54"/>
      <c r="AD825" s="15"/>
      <c r="AE825" s="15"/>
      <c r="AF825" s="15"/>
      <c r="AG825" s="15"/>
    </row>
    <row r="826" ht="11.25" customHeight="1">
      <c r="A826" s="1"/>
      <c r="B826" s="2"/>
      <c r="C826" s="1"/>
      <c r="D826" s="2"/>
      <c r="E826" s="2"/>
      <c r="F826" s="2"/>
      <c r="G826" s="2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15"/>
      <c r="AC826" s="54"/>
      <c r="AD826" s="15"/>
      <c r="AE826" s="15"/>
      <c r="AF826" s="15"/>
      <c r="AG826" s="15"/>
    </row>
    <row r="827" ht="11.25" customHeight="1">
      <c r="A827" s="1"/>
      <c r="B827" s="2"/>
      <c r="C827" s="1"/>
      <c r="D827" s="2"/>
      <c r="E827" s="2"/>
      <c r="F827" s="2"/>
      <c r="G827" s="2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15"/>
      <c r="AC827" s="54"/>
      <c r="AD827" s="15"/>
      <c r="AE827" s="15"/>
      <c r="AF827" s="15"/>
      <c r="AG827" s="15"/>
    </row>
    <row r="828" ht="11.25" customHeight="1">
      <c r="A828" s="1"/>
      <c r="B828" s="2"/>
      <c r="C828" s="1"/>
      <c r="D828" s="2"/>
      <c r="E828" s="2"/>
      <c r="F828" s="2"/>
      <c r="G828" s="2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15"/>
      <c r="AC828" s="54"/>
      <c r="AD828" s="15"/>
      <c r="AE828" s="15"/>
      <c r="AF828" s="15"/>
      <c r="AG828" s="15"/>
    </row>
    <row r="829" ht="11.25" customHeight="1">
      <c r="A829" s="1"/>
      <c r="B829" s="2"/>
      <c r="C829" s="1"/>
      <c r="D829" s="2"/>
      <c r="E829" s="2"/>
      <c r="F829" s="2"/>
      <c r="G829" s="2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15"/>
      <c r="AC829" s="54"/>
      <c r="AD829" s="15"/>
      <c r="AE829" s="15"/>
      <c r="AF829" s="15"/>
      <c r="AG829" s="15"/>
    </row>
    <row r="830" ht="11.25" customHeight="1">
      <c r="A830" s="1"/>
      <c r="B830" s="2"/>
      <c r="C830" s="1"/>
      <c r="D830" s="2"/>
      <c r="E830" s="2"/>
      <c r="F830" s="2"/>
      <c r="G830" s="2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15"/>
      <c r="AC830" s="54"/>
      <c r="AD830" s="15"/>
      <c r="AE830" s="15"/>
      <c r="AF830" s="15"/>
      <c r="AG830" s="15"/>
    </row>
    <row r="831" ht="11.25" customHeight="1">
      <c r="A831" s="1"/>
      <c r="B831" s="2"/>
      <c r="C831" s="1"/>
      <c r="D831" s="2"/>
      <c r="E831" s="2"/>
      <c r="F831" s="2"/>
      <c r="G831" s="2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15"/>
      <c r="AC831" s="54"/>
      <c r="AD831" s="15"/>
      <c r="AE831" s="15"/>
      <c r="AF831" s="15"/>
      <c r="AG831" s="15"/>
    </row>
    <row r="832" ht="11.25" customHeight="1">
      <c r="A832" s="1"/>
      <c r="B832" s="2"/>
      <c r="C832" s="1"/>
      <c r="D832" s="2"/>
      <c r="E832" s="2"/>
      <c r="F832" s="2"/>
      <c r="G832" s="2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15"/>
      <c r="AC832" s="54"/>
      <c r="AD832" s="15"/>
      <c r="AE832" s="15"/>
      <c r="AF832" s="15"/>
      <c r="AG832" s="15"/>
    </row>
    <row r="833" ht="11.25" customHeight="1">
      <c r="A833" s="1"/>
      <c r="B833" s="2"/>
      <c r="C833" s="1"/>
      <c r="D833" s="2"/>
      <c r="E833" s="2"/>
      <c r="F833" s="2"/>
      <c r="G833" s="2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15"/>
      <c r="AC833" s="54"/>
      <c r="AD833" s="15"/>
      <c r="AE833" s="15"/>
      <c r="AF833" s="15"/>
      <c r="AG833" s="15"/>
    </row>
    <row r="834" ht="11.25" customHeight="1">
      <c r="A834" s="1"/>
      <c r="B834" s="2"/>
      <c r="C834" s="1"/>
      <c r="D834" s="2"/>
      <c r="E834" s="2"/>
      <c r="F834" s="2"/>
      <c r="G834" s="2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15"/>
      <c r="AC834" s="54"/>
      <c r="AD834" s="15"/>
      <c r="AE834" s="15"/>
      <c r="AF834" s="15"/>
      <c r="AG834" s="15"/>
    </row>
    <row r="835" ht="11.25" customHeight="1">
      <c r="A835" s="1"/>
      <c r="B835" s="2"/>
      <c r="C835" s="1"/>
      <c r="D835" s="2"/>
      <c r="E835" s="2"/>
      <c r="F835" s="2"/>
      <c r="G835" s="2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15"/>
      <c r="AC835" s="54"/>
      <c r="AD835" s="15"/>
      <c r="AE835" s="15"/>
      <c r="AF835" s="15"/>
      <c r="AG835" s="15"/>
    </row>
    <row r="836" ht="11.25" customHeight="1">
      <c r="A836" s="1"/>
      <c r="B836" s="2"/>
      <c r="C836" s="1"/>
      <c r="D836" s="2"/>
      <c r="E836" s="2"/>
      <c r="F836" s="2"/>
      <c r="G836" s="2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15"/>
      <c r="AC836" s="54"/>
      <c r="AD836" s="15"/>
      <c r="AE836" s="15"/>
      <c r="AF836" s="15"/>
      <c r="AG836" s="15"/>
    </row>
    <row r="837" ht="11.25" customHeight="1">
      <c r="A837" s="1"/>
      <c r="B837" s="2"/>
      <c r="C837" s="1"/>
      <c r="D837" s="2"/>
      <c r="E837" s="2"/>
      <c r="F837" s="2"/>
      <c r="G837" s="2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15"/>
      <c r="AC837" s="54"/>
      <c r="AD837" s="15"/>
      <c r="AE837" s="15"/>
      <c r="AF837" s="15"/>
      <c r="AG837" s="15"/>
    </row>
    <row r="838" ht="11.25" customHeight="1">
      <c r="A838" s="1"/>
      <c r="B838" s="2"/>
      <c r="C838" s="1"/>
      <c r="D838" s="2"/>
      <c r="E838" s="2"/>
      <c r="F838" s="2"/>
      <c r="G838" s="2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15"/>
      <c r="AC838" s="54"/>
      <c r="AD838" s="15"/>
      <c r="AE838" s="15"/>
      <c r="AF838" s="15"/>
      <c r="AG838" s="15"/>
    </row>
    <row r="839" ht="11.25" customHeight="1">
      <c r="A839" s="1"/>
      <c r="B839" s="2"/>
      <c r="C839" s="1"/>
      <c r="D839" s="2"/>
      <c r="E839" s="2"/>
      <c r="F839" s="2"/>
      <c r="G839" s="2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15"/>
      <c r="AC839" s="54"/>
      <c r="AD839" s="15"/>
      <c r="AE839" s="15"/>
      <c r="AF839" s="15"/>
      <c r="AG839" s="15"/>
    </row>
    <row r="840" ht="11.25" customHeight="1">
      <c r="A840" s="1"/>
      <c r="B840" s="2"/>
      <c r="C840" s="1"/>
      <c r="D840" s="2"/>
      <c r="E840" s="2"/>
      <c r="F840" s="2"/>
      <c r="G840" s="2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15"/>
      <c r="AC840" s="54"/>
      <c r="AD840" s="15"/>
      <c r="AE840" s="15"/>
      <c r="AF840" s="15"/>
      <c r="AG840" s="15"/>
    </row>
    <row r="841" ht="11.25" customHeight="1">
      <c r="A841" s="1"/>
      <c r="B841" s="2"/>
      <c r="C841" s="1"/>
      <c r="D841" s="2"/>
      <c r="E841" s="2"/>
      <c r="F841" s="2"/>
      <c r="G841" s="2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15"/>
      <c r="AC841" s="54"/>
      <c r="AD841" s="15"/>
      <c r="AE841" s="15"/>
      <c r="AF841" s="15"/>
      <c r="AG841" s="15"/>
    </row>
    <row r="842" ht="11.25" customHeight="1">
      <c r="A842" s="1"/>
      <c r="B842" s="2"/>
      <c r="C842" s="1"/>
      <c r="D842" s="2"/>
      <c r="E842" s="2"/>
      <c r="F842" s="2"/>
      <c r="G842" s="2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15"/>
      <c r="AC842" s="54"/>
      <c r="AD842" s="15"/>
      <c r="AE842" s="15"/>
      <c r="AF842" s="15"/>
      <c r="AG842" s="15"/>
    </row>
    <row r="843" ht="11.25" customHeight="1">
      <c r="A843" s="1"/>
      <c r="B843" s="2"/>
      <c r="C843" s="1"/>
      <c r="D843" s="2"/>
      <c r="E843" s="2"/>
      <c r="F843" s="2"/>
      <c r="G843" s="2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15"/>
      <c r="AC843" s="54"/>
      <c r="AD843" s="15"/>
      <c r="AE843" s="15"/>
      <c r="AF843" s="15"/>
      <c r="AG843" s="15"/>
    </row>
    <row r="844" ht="11.25" customHeight="1">
      <c r="A844" s="1"/>
      <c r="B844" s="2"/>
      <c r="C844" s="1"/>
      <c r="D844" s="2"/>
      <c r="E844" s="2"/>
      <c r="F844" s="2"/>
      <c r="G844" s="2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15"/>
      <c r="AC844" s="54"/>
      <c r="AD844" s="15"/>
      <c r="AE844" s="15"/>
      <c r="AF844" s="15"/>
      <c r="AG844" s="15"/>
    </row>
    <row r="845" ht="11.25" customHeight="1">
      <c r="A845" s="1"/>
      <c r="B845" s="2"/>
      <c r="C845" s="1"/>
      <c r="D845" s="2"/>
      <c r="E845" s="2"/>
      <c r="F845" s="2"/>
      <c r="G845" s="2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15"/>
      <c r="AC845" s="54"/>
      <c r="AD845" s="15"/>
      <c r="AE845" s="15"/>
      <c r="AF845" s="15"/>
      <c r="AG845" s="15"/>
    </row>
    <row r="846" ht="11.25" customHeight="1">
      <c r="A846" s="1"/>
      <c r="B846" s="2"/>
      <c r="C846" s="1"/>
      <c r="D846" s="2"/>
      <c r="E846" s="2"/>
      <c r="F846" s="2"/>
      <c r="G846" s="2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15"/>
      <c r="AC846" s="54"/>
      <c r="AD846" s="15"/>
      <c r="AE846" s="15"/>
      <c r="AF846" s="15"/>
      <c r="AG846" s="15"/>
    </row>
    <row r="847" ht="11.25" customHeight="1">
      <c r="A847" s="1"/>
      <c r="B847" s="2"/>
      <c r="C847" s="1"/>
      <c r="D847" s="2"/>
      <c r="E847" s="2"/>
      <c r="F847" s="2"/>
      <c r="G847" s="2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15"/>
      <c r="AC847" s="54"/>
      <c r="AD847" s="15"/>
      <c r="AE847" s="15"/>
      <c r="AF847" s="15"/>
      <c r="AG847" s="15"/>
    </row>
    <row r="848" ht="11.25" customHeight="1">
      <c r="A848" s="1"/>
      <c r="B848" s="2"/>
      <c r="C848" s="1"/>
      <c r="D848" s="2"/>
      <c r="E848" s="2"/>
      <c r="F848" s="2"/>
      <c r="G848" s="2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15"/>
      <c r="AC848" s="54"/>
      <c r="AD848" s="15"/>
      <c r="AE848" s="15"/>
      <c r="AF848" s="15"/>
      <c r="AG848" s="15"/>
    </row>
    <row r="849" ht="11.25" customHeight="1">
      <c r="A849" s="1"/>
      <c r="B849" s="2"/>
      <c r="C849" s="1"/>
      <c r="D849" s="2"/>
      <c r="E849" s="2"/>
      <c r="F849" s="2"/>
      <c r="G849" s="2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15"/>
      <c r="AC849" s="54"/>
      <c r="AD849" s="15"/>
      <c r="AE849" s="15"/>
      <c r="AF849" s="15"/>
      <c r="AG849" s="15"/>
    </row>
    <row r="850" ht="11.25" customHeight="1">
      <c r="A850" s="1"/>
      <c r="B850" s="2"/>
      <c r="C850" s="1"/>
      <c r="D850" s="2"/>
      <c r="E850" s="2"/>
      <c r="F850" s="2"/>
      <c r="G850" s="2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15"/>
      <c r="AC850" s="54"/>
      <c r="AD850" s="15"/>
      <c r="AE850" s="15"/>
      <c r="AF850" s="15"/>
      <c r="AG850" s="15"/>
    </row>
    <row r="851" ht="11.25" customHeight="1">
      <c r="A851" s="1"/>
      <c r="B851" s="2"/>
      <c r="C851" s="1"/>
      <c r="D851" s="2"/>
      <c r="E851" s="2"/>
      <c r="F851" s="2"/>
      <c r="G851" s="2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15"/>
      <c r="AC851" s="54"/>
      <c r="AD851" s="15"/>
      <c r="AE851" s="15"/>
      <c r="AF851" s="15"/>
      <c r="AG851" s="15"/>
    </row>
    <row r="852" ht="11.25" customHeight="1">
      <c r="A852" s="1"/>
      <c r="B852" s="2"/>
      <c r="C852" s="1"/>
      <c r="D852" s="2"/>
      <c r="E852" s="2"/>
      <c r="F852" s="2"/>
      <c r="G852" s="2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15"/>
      <c r="AC852" s="54"/>
      <c r="AD852" s="15"/>
      <c r="AE852" s="15"/>
      <c r="AF852" s="15"/>
      <c r="AG852" s="15"/>
    </row>
    <row r="853" ht="11.25" customHeight="1">
      <c r="A853" s="1"/>
      <c r="B853" s="2"/>
      <c r="C853" s="1"/>
      <c r="D853" s="2"/>
      <c r="E853" s="2"/>
      <c r="F853" s="2"/>
      <c r="G853" s="2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15"/>
      <c r="AC853" s="54"/>
      <c r="AD853" s="15"/>
      <c r="AE853" s="15"/>
      <c r="AF853" s="15"/>
      <c r="AG853" s="15"/>
    </row>
    <row r="854" ht="11.25" customHeight="1">
      <c r="A854" s="1"/>
      <c r="B854" s="2"/>
      <c r="C854" s="1"/>
      <c r="D854" s="2"/>
      <c r="E854" s="2"/>
      <c r="F854" s="2"/>
      <c r="G854" s="2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15"/>
      <c r="AC854" s="54"/>
      <c r="AD854" s="15"/>
      <c r="AE854" s="15"/>
      <c r="AF854" s="15"/>
      <c r="AG854" s="15"/>
    </row>
    <row r="855" ht="11.25" customHeight="1">
      <c r="A855" s="1"/>
      <c r="B855" s="2"/>
      <c r="C855" s="1"/>
      <c r="D855" s="2"/>
      <c r="E855" s="2"/>
      <c r="F855" s="2"/>
      <c r="G855" s="2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15"/>
      <c r="AC855" s="54"/>
      <c r="AD855" s="15"/>
      <c r="AE855" s="15"/>
      <c r="AF855" s="15"/>
      <c r="AG855" s="15"/>
    </row>
    <row r="856" ht="11.25" customHeight="1">
      <c r="A856" s="1"/>
      <c r="B856" s="2"/>
      <c r="C856" s="1"/>
      <c r="D856" s="2"/>
      <c r="E856" s="2"/>
      <c r="F856" s="2"/>
      <c r="G856" s="2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15"/>
      <c r="AC856" s="54"/>
      <c r="AD856" s="15"/>
      <c r="AE856" s="15"/>
      <c r="AF856" s="15"/>
      <c r="AG856" s="15"/>
    </row>
    <row r="857" ht="11.25" customHeight="1">
      <c r="A857" s="1"/>
      <c r="B857" s="2"/>
      <c r="C857" s="1"/>
      <c r="D857" s="2"/>
      <c r="E857" s="2"/>
      <c r="F857" s="2"/>
      <c r="G857" s="2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15"/>
      <c r="AC857" s="54"/>
      <c r="AD857" s="15"/>
      <c r="AE857" s="15"/>
      <c r="AF857" s="15"/>
      <c r="AG857" s="15"/>
    </row>
    <row r="858" ht="11.25" customHeight="1">
      <c r="A858" s="1"/>
      <c r="B858" s="2"/>
      <c r="C858" s="1"/>
      <c r="D858" s="2"/>
      <c r="E858" s="2"/>
      <c r="F858" s="2"/>
      <c r="G858" s="2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15"/>
      <c r="AC858" s="54"/>
      <c r="AD858" s="15"/>
      <c r="AE858" s="15"/>
      <c r="AF858" s="15"/>
      <c r="AG858" s="15"/>
    </row>
    <row r="859" ht="11.25" customHeight="1">
      <c r="A859" s="1"/>
      <c r="B859" s="2"/>
      <c r="C859" s="1"/>
      <c r="D859" s="2"/>
      <c r="E859" s="2"/>
      <c r="F859" s="2"/>
      <c r="G859" s="2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15"/>
      <c r="AC859" s="54"/>
      <c r="AD859" s="15"/>
      <c r="AE859" s="15"/>
      <c r="AF859" s="15"/>
      <c r="AG859" s="15"/>
    </row>
    <row r="860" ht="11.25" customHeight="1">
      <c r="A860" s="1"/>
      <c r="B860" s="2"/>
      <c r="C860" s="1"/>
      <c r="D860" s="2"/>
      <c r="E860" s="2"/>
      <c r="F860" s="2"/>
      <c r="G860" s="2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15"/>
      <c r="AC860" s="54"/>
      <c r="AD860" s="15"/>
      <c r="AE860" s="15"/>
      <c r="AF860" s="15"/>
      <c r="AG860" s="15"/>
    </row>
    <row r="861" ht="11.25" customHeight="1">
      <c r="A861" s="1"/>
      <c r="B861" s="2"/>
      <c r="C861" s="1"/>
      <c r="D861" s="2"/>
      <c r="E861" s="2"/>
      <c r="F861" s="2"/>
      <c r="G861" s="2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15"/>
      <c r="AC861" s="54"/>
      <c r="AD861" s="15"/>
      <c r="AE861" s="15"/>
      <c r="AF861" s="15"/>
      <c r="AG861" s="15"/>
    </row>
    <row r="862" ht="11.25" customHeight="1">
      <c r="A862" s="1"/>
      <c r="B862" s="2"/>
      <c r="C862" s="1"/>
      <c r="D862" s="2"/>
      <c r="E862" s="2"/>
      <c r="F862" s="2"/>
      <c r="G862" s="2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15"/>
      <c r="AC862" s="54"/>
      <c r="AD862" s="15"/>
      <c r="AE862" s="15"/>
      <c r="AF862" s="15"/>
      <c r="AG862" s="15"/>
    </row>
    <row r="863" ht="11.25" customHeight="1">
      <c r="A863" s="1"/>
      <c r="B863" s="2"/>
      <c r="C863" s="1"/>
      <c r="D863" s="2"/>
      <c r="E863" s="2"/>
      <c r="F863" s="2"/>
      <c r="G863" s="2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15"/>
      <c r="AC863" s="54"/>
      <c r="AD863" s="15"/>
      <c r="AE863" s="15"/>
      <c r="AF863" s="15"/>
      <c r="AG863" s="15"/>
    </row>
    <row r="864" ht="11.25" customHeight="1">
      <c r="A864" s="1"/>
      <c r="B864" s="2"/>
      <c r="C864" s="1"/>
      <c r="D864" s="2"/>
      <c r="E864" s="2"/>
      <c r="F864" s="2"/>
      <c r="G864" s="2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15"/>
      <c r="AC864" s="54"/>
      <c r="AD864" s="15"/>
      <c r="AE864" s="15"/>
      <c r="AF864" s="15"/>
      <c r="AG864" s="15"/>
    </row>
    <row r="865" ht="11.25" customHeight="1">
      <c r="A865" s="1"/>
      <c r="B865" s="2"/>
      <c r="C865" s="1"/>
      <c r="D865" s="2"/>
      <c r="E865" s="2"/>
      <c r="F865" s="2"/>
      <c r="G865" s="2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15"/>
      <c r="AC865" s="54"/>
      <c r="AD865" s="15"/>
      <c r="AE865" s="15"/>
      <c r="AF865" s="15"/>
      <c r="AG865" s="15"/>
    </row>
    <row r="866" ht="11.25" customHeight="1">
      <c r="A866" s="1"/>
      <c r="B866" s="2"/>
      <c r="C866" s="1"/>
      <c r="D866" s="2"/>
      <c r="E866" s="2"/>
      <c r="F866" s="2"/>
      <c r="G866" s="2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15"/>
      <c r="AC866" s="54"/>
      <c r="AD866" s="15"/>
      <c r="AE866" s="15"/>
      <c r="AF866" s="15"/>
      <c r="AG866" s="15"/>
    </row>
    <row r="867" ht="11.25" customHeight="1">
      <c r="A867" s="1"/>
      <c r="B867" s="2"/>
      <c r="C867" s="1"/>
      <c r="D867" s="2"/>
      <c r="E867" s="2"/>
      <c r="F867" s="2"/>
      <c r="G867" s="2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15"/>
      <c r="AC867" s="54"/>
      <c r="AD867" s="15"/>
      <c r="AE867" s="15"/>
      <c r="AF867" s="15"/>
      <c r="AG867" s="15"/>
    </row>
    <row r="868" ht="11.25" customHeight="1">
      <c r="A868" s="1"/>
      <c r="B868" s="2"/>
      <c r="C868" s="1"/>
      <c r="D868" s="2"/>
      <c r="E868" s="2"/>
      <c r="F868" s="2"/>
      <c r="G868" s="2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15"/>
      <c r="AC868" s="54"/>
      <c r="AD868" s="15"/>
      <c r="AE868" s="15"/>
      <c r="AF868" s="15"/>
      <c r="AG868" s="15"/>
    </row>
    <row r="869" ht="11.25" customHeight="1">
      <c r="A869" s="1"/>
      <c r="B869" s="2"/>
      <c r="C869" s="1"/>
      <c r="D869" s="2"/>
      <c r="E869" s="2"/>
      <c r="F869" s="2"/>
      <c r="G869" s="2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15"/>
      <c r="AC869" s="54"/>
      <c r="AD869" s="15"/>
      <c r="AE869" s="15"/>
      <c r="AF869" s="15"/>
      <c r="AG869" s="15"/>
    </row>
    <row r="870" ht="11.25" customHeight="1">
      <c r="A870" s="1"/>
      <c r="B870" s="2"/>
      <c r="C870" s="1"/>
      <c r="D870" s="2"/>
      <c r="E870" s="2"/>
      <c r="F870" s="2"/>
      <c r="G870" s="2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15"/>
      <c r="AC870" s="54"/>
      <c r="AD870" s="15"/>
      <c r="AE870" s="15"/>
      <c r="AF870" s="15"/>
      <c r="AG870" s="15"/>
    </row>
    <row r="871" ht="11.25" customHeight="1">
      <c r="A871" s="1"/>
      <c r="B871" s="2"/>
      <c r="C871" s="1"/>
      <c r="D871" s="2"/>
      <c r="E871" s="2"/>
      <c r="F871" s="2"/>
      <c r="G871" s="2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15"/>
      <c r="AC871" s="54"/>
      <c r="AD871" s="15"/>
      <c r="AE871" s="15"/>
      <c r="AF871" s="15"/>
      <c r="AG871" s="15"/>
    </row>
    <row r="872" ht="11.25" customHeight="1">
      <c r="A872" s="1"/>
      <c r="B872" s="2"/>
      <c r="C872" s="1"/>
      <c r="D872" s="2"/>
      <c r="E872" s="2"/>
      <c r="F872" s="2"/>
      <c r="G872" s="2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15"/>
      <c r="AC872" s="54"/>
      <c r="AD872" s="15"/>
      <c r="AE872" s="15"/>
      <c r="AF872" s="15"/>
      <c r="AG872" s="15"/>
    </row>
    <row r="873" ht="11.25" customHeight="1">
      <c r="A873" s="1"/>
      <c r="B873" s="2"/>
      <c r="C873" s="1"/>
      <c r="D873" s="2"/>
      <c r="E873" s="2"/>
      <c r="F873" s="2"/>
      <c r="G873" s="2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15"/>
      <c r="AC873" s="54"/>
      <c r="AD873" s="15"/>
      <c r="AE873" s="15"/>
      <c r="AF873" s="15"/>
      <c r="AG873" s="15"/>
    </row>
    <row r="874" ht="11.25" customHeight="1">
      <c r="A874" s="1"/>
      <c r="B874" s="2"/>
      <c r="C874" s="1"/>
      <c r="D874" s="2"/>
      <c r="E874" s="2"/>
      <c r="F874" s="2"/>
      <c r="G874" s="2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15"/>
      <c r="AC874" s="54"/>
      <c r="AD874" s="15"/>
      <c r="AE874" s="15"/>
      <c r="AF874" s="15"/>
      <c r="AG874" s="15"/>
    </row>
    <row r="875" ht="11.25" customHeight="1">
      <c r="A875" s="1"/>
      <c r="B875" s="2"/>
      <c r="C875" s="1"/>
      <c r="D875" s="2"/>
      <c r="E875" s="2"/>
      <c r="F875" s="2"/>
      <c r="G875" s="2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15"/>
      <c r="AC875" s="54"/>
      <c r="AD875" s="15"/>
      <c r="AE875" s="15"/>
      <c r="AF875" s="15"/>
      <c r="AG875" s="15"/>
    </row>
    <row r="876" ht="11.25" customHeight="1">
      <c r="A876" s="1"/>
      <c r="B876" s="2"/>
      <c r="C876" s="1"/>
      <c r="D876" s="2"/>
      <c r="E876" s="2"/>
      <c r="F876" s="2"/>
      <c r="G876" s="2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15"/>
      <c r="AC876" s="54"/>
      <c r="AD876" s="15"/>
      <c r="AE876" s="15"/>
      <c r="AF876" s="15"/>
      <c r="AG876" s="15"/>
    </row>
    <row r="877" ht="11.25" customHeight="1">
      <c r="A877" s="1"/>
      <c r="B877" s="2"/>
      <c r="C877" s="1"/>
      <c r="D877" s="2"/>
      <c r="E877" s="2"/>
      <c r="F877" s="2"/>
      <c r="G877" s="2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15"/>
      <c r="AC877" s="54"/>
      <c r="AD877" s="15"/>
      <c r="AE877" s="15"/>
      <c r="AF877" s="15"/>
      <c r="AG877" s="15"/>
    </row>
    <row r="878" ht="11.25" customHeight="1">
      <c r="A878" s="1"/>
      <c r="B878" s="2"/>
      <c r="C878" s="1"/>
      <c r="D878" s="2"/>
      <c r="E878" s="2"/>
      <c r="F878" s="2"/>
      <c r="G878" s="2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15"/>
      <c r="AC878" s="54"/>
      <c r="AD878" s="15"/>
      <c r="AE878" s="15"/>
      <c r="AF878" s="15"/>
      <c r="AG878" s="15"/>
    </row>
    <row r="879" ht="11.25" customHeight="1">
      <c r="A879" s="1"/>
      <c r="B879" s="2"/>
      <c r="C879" s="1"/>
      <c r="D879" s="2"/>
      <c r="E879" s="2"/>
      <c r="F879" s="2"/>
      <c r="G879" s="2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15"/>
      <c r="AC879" s="54"/>
      <c r="AD879" s="15"/>
      <c r="AE879" s="15"/>
      <c r="AF879" s="15"/>
      <c r="AG879" s="15"/>
    </row>
    <row r="880" ht="11.25" customHeight="1">
      <c r="A880" s="1"/>
      <c r="B880" s="2"/>
      <c r="C880" s="1"/>
      <c r="D880" s="2"/>
      <c r="E880" s="2"/>
      <c r="F880" s="2"/>
      <c r="G880" s="2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15"/>
      <c r="AC880" s="54"/>
      <c r="AD880" s="15"/>
      <c r="AE880" s="15"/>
      <c r="AF880" s="15"/>
      <c r="AG880" s="15"/>
    </row>
    <row r="881" ht="11.25" customHeight="1">
      <c r="A881" s="1"/>
      <c r="B881" s="2"/>
      <c r="C881" s="1"/>
      <c r="D881" s="2"/>
      <c r="E881" s="2"/>
      <c r="F881" s="2"/>
      <c r="G881" s="2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15"/>
      <c r="AC881" s="54"/>
      <c r="AD881" s="15"/>
      <c r="AE881" s="15"/>
      <c r="AF881" s="15"/>
      <c r="AG881" s="15"/>
    </row>
    <row r="882" ht="11.25" customHeight="1">
      <c r="A882" s="1"/>
      <c r="B882" s="2"/>
      <c r="C882" s="1"/>
      <c r="D882" s="2"/>
      <c r="E882" s="2"/>
      <c r="F882" s="2"/>
      <c r="G882" s="2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15"/>
      <c r="AC882" s="54"/>
      <c r="AD882" s="15"/>
      <c r="AE882" s="15"/>
      <c r="AF882" s="15"/>
      <c r="AG882" s="15"/>
    </row>
    <row r="883" ht="11.25" customHeight="1">
      <c r="A883" s="1"/>
      <c r="B883" s="2"/>
      <c r="C883" s="1"/>
      <c r="D883" s="2"/>
      <c r="E883" s="2"/>
      <c r="F883" s="2"/>
      <c r="G883" s="2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15"/>
      <c r="AC883" s="54"/>
      <c r="AD883" s="15"/>
      <c r="AE883" s="15"/>
      <c r="AF883" s="15"/>
      <c r="AG883" s="15"/>
    </row>
    <row r="884" ht="11.25" customHeight="1">
      <c r="A884" s="1"/>
      <c r="B884" s="2"/>
      <c r="C884" s="1"/>
      <c r="D884" s="2"/>
      <c r="E884" s="2"/>
      <c r="F884" s="2"/>
      <c r="G884" s="2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15"/>
      <c r="AC884" s="54"/>
      <c r="AD884" s="15"/>
      <c r="AE884" s="15"/>
      <c r="AF884" s="15"/>
      <c r="AG884" s="15"/>
    </row>
    <row r="885" ht="11.25" customHeight="1">
      <c r="A885" s="1"/>
      <c r="B885" s="2"/>
      <c r="C885" s="1"/>
      <c r="D885" s="2"/>
      <c r="E885" s="2"/>
      <c r="F885" s="2"/>
      <c r="G885" s="2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15"/>
      <c r="AC885" s="54"/>
      <c r="AD885" s="15"/>
      <c r="AE885" s="15"/>
      <c r="AF885" s="15"/>
      <c r="AG885" s="15"/>
    </row>
    <row r="886" ht="11.25" customHeight="1">
      <c r="A886" s="1"/>
      <c r="B886" s="2"/>
      <c r="C886" s="1"/>
      <c r="D886" s="2"/>
      <c r="E886" s="2"/>
      <c r="F886" s="2"/>
      <c r="G886" s="2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15"/>
      <c r="AC886" s="54"/>
      <c r="AD886" s="15"/>
      <c r="AE886" s="15"/>
      <c r="AF886" s="15"/>
      <c r="AG886" s="15"/>
    </row>
    <row r="887" ht="11.25" customHeight="1">
      <c r="A887" s="1"/>
      <c r="B887" s="2"/>
      <c r="C887" s="1"/>
      <c r="D887" s="2"/>
      <c r="E887" s="2"/>
      <c r="F887" s="2"/>
      <c r="G887" s="2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15"/>
      <c r="AC887" s="54"/>
      <c r="AD887" s="15"/>
      <c r="AE887" s="15"/>
      <c r="AF887" s="15"/>
      <c r="AG887" s="15"/>
    </row>
    <row r="888" ht="11.25" customHeight="1">
      <c r="A888" s="1"/>
      <c r="B888" s="2"/>
      <c r="C888" s="1"/>
      <c r="D888" s="2"/>
      <c r="E888" s="2"/>
      <c r="F888" s="2"/>
      <c r="G888" s="2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15"/>
      <c r="AC888" s="54"/>
      <c r="AD888" s="15"/>
      <c r="AE888" s="15"/>
      <c r="AF888" s="15"/>
      <c r="AG888" s="15"/>
    </row>
    <row r="889" ht="11.25" customHeight="1">
      <c r="A889" s="1"/>
      <c r="B889" s="2"/>
      <c r="C889" s="1"/>
      <c r="D889" s="2"/>
      <c r="E889" s="2"/>
      <c r="F889" s="2"/>
      <c r="G889" s="2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15"/>
      <c r="AC889" s="54"/>
      <c r="AD889" s="15"/>
      <c r="AE889" s="15"/>
      <c r="AF889" s="15"/>
      <c r="AG889" s="15"/>
    </row>
    <row r="890" ht="11.25" customHeight="1">
      <c r="A890" s="1"/>
      <c r="B890" s="2"/>
      <c r="C890" s="1"/>
      <c r="D890" s="2"/>
      <c r="E890" s="2"/>
      <c r="F890" s="2"/>
      <c r="G890" s="2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15"/>
      <c r="AC890" s="54"/>
      <c r="AD890" s="15"/>
      <c r="AE890" s="15"/>
      <c r="AF890" s="15"/>
      <c r="AG890" s="15"/>
    </row>
    <row r="891" ht="11.25" customHeight="1">
      <c r="A891" s="1"/>
      <c r="B891" s="2"/>
      <c r="C891" s="1"/>
      <c r="D891" s="2"/>
      <c r="E891" s="2"/>
      <c r="F891" s="2"/>
      <c r="G891" s="2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15"/>
      <c r="AC891" s="54"/>
      <c r="AD891" s="15"/>
      <c r="AE891" s="15"/>
      <c r="AF891" s="15"/>
      <c r="AG891" s="15"/>
    </row>
    <row r="892" ht="11.25" customHeight="1">
      <c r="A892" s="1"/>
      <c r="B892" s="2"/>
      <c r="C892" s="1"/>
      <c r="D892" s="2"/>
      <c r="E892" s="2"/>
      <c r="F892" s="2"/>
      <c r="G892" s="2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15"/>
      <c r="AC892" s="54"/>
      <c r="AD892" s="15"/>
      <c r="AE892" s="15"/>
      <c r="AF892" s="15"/>
      <c r="AG892" s="15"/>
    </row>
    <row r="893" ht="11.25" customHeight="1">
      <c r="A893" s="1"/>
      <c r="B893" s="2"/>
      <c r="C893" s="1"/>
      <c r="D893" s="2"/>
      <c r="E893" s="2"/>
      <c r="F893" s="2"/>
      <c r="G893" s="2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15"/>
      <c r="AC893" s="54"/>
      <c r="AD893" s="15"/>
      <c r="AE893" s="15"/>
      <c r="AF893" s="15"/>
      <c r="AG893" s="15"/>
    </row>
    <row r="894" ht="11.25" customHeight="1">
      <c r="A894" s="1"/>
      <c r="B894" s="2"/>
      <c r="C894" s="1"/>
      <c r="D894" s="2"/>
      <c r="E894" s="2"/>
      <c r="F894" s="2"/>
      <c r="G894" s="2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15"/>
      <c r="AC894" s="54"/>
      <c r="AD894" s="15"/>
      <c r="AE894" s="15"/>
      <c r="AF894" s="15"/>
      <c r="AG894" s="15"/>
    </row>
    <row r="895" ht="11.25" customHeight="1">
      <c r="A895" s="1"/>
      <c r="B895" s="2"/>
      <c r="C895" s="1"/>
      <c r="D895" s="2"/>
      <c r="E895" s="2"/>
      <c r="F895" s="2"/>
      <c r="G895" s="2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15"/>
      <c r="AC895" s="54"/>
      <c r="AD895" s="15"/>
      <c r="AE895" s="15"/>
      <c r="AF895" s="15"/>
      <c r="AG895" s="15"/>
    </row>
    <row r="896" ht="11.25" customHeight="1">
      <c r="A896" s="1"/>
      <c r="B896" s="2"/>
      <c r="C896" s="1"/>
      <c r="D896" s="2"/>
      <c r="E896" s="2"/>
      <c r="F896" s="2"/>
      <c r="G896" s="2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15"/>
      <c r="AC896" s="54"/>
      <c r="AD896" s="15"/>
      <c r="AE896" s="15"/>
      <c r="AF896" s="15"/>
      <c r="AG896" s="15"/>
    </row>
    <row r="897" ht="11.25" customHeight="1">
      <c r="A897" s="1"/>
      <c r="B897" s="2"/>
      <c r="C897" s="1"/>
      <c r="D897" s="2"/>
      <c r="E897" s="2"/>
      <c r="F897" s="2"/>
      <c r="G897" s="2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15"/>
      <c r="AC897" s="54"/>
      <c r="AD897" s="15"/>
      <c r="AE897" s="15"/>
      <c r="AF897" s="15"/>
      <c r="AG897" s="15"/>
    </row>
    <row r="898" ht="11.25" customHeight="1">
      <c r="A898" s="1"/>
      <c r="B898" s="2"/>
      <c r="C898" s="1"/>
      <c r="D898" s="2"/>
      <c r="E898" s="2"/>
      <c r="F898" s="2"/>
      <c r="G898" s="2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15"/>
      <c r="AC898" s="54"/>
      <c r="AD898" s="15"/>
      <c r="AE898" s="15"/>
      <c r="AF898" s="15"/>
      <c r="AG898" s="15"/>
    </row>
    <row r="899" ht="11.25" customHeight="1">
      <c r="A899" s="1"/>
      <c r="B899" s="2"/>
      <c r="C899" s="1"/>
      <c r="D899" s="2"/>
      <c r="E899" s="2"/>
      <c r="F899" s="2"/>
      <c r="G899" s="2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15"/>
      <c r="AC899" s="54"/>
      <c r="AD899" s="15"/>
      <c r="AE899" s="15"/>
      <c r="AF899" s="15"/>
      <c r="AG899" s="15"/>
    </row>
    <row r="900" ht="11.25" customHeight="1">
      <c r="A900" s="1"/>
      <c r="B900" s="2"/>
      <c r="C900" s="1"/>
      <c r="D900" s="2"/>
      <c r="E900" s="2"/>
      <c r="F900" s="2"/>
      <c r="G900" s="2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15"/>
      <c r="AC900" s="54"/>
      <c r="AD900" s="15"/>
      <c r="AE900" s="15"/>
      <c r="AF900" s="15"/>
      <c r="AG900" s="15"/>
    </row>
    <row r="901" ht="11.25" customHeight="1">
      <c r="A901" s="1"/>
      <c r="B901" s="2"/>
      <c r="C901" s="1"/>
      <c r="D901" s="2"/>
      <c r="E901" s="2"/>
      <c r="F901" s="2"/>
      <c r="G901" s="2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15"/>
      <c r="AC901" s="54"/>
      <c r="AD901" s="15"/>
      <c r="AE901" s="15"/>
      <c r="AF901" s="15"/>
      <c r="AG901" s="15"/>
    </row>
    <row r="902" ht="11.25" customHeight="1">
      <c r="A902" s="1"/>
      <c r="B902" s="2"/>
      <c r="C902" s="1"/>
      <c r="D902" s="2"/>
      <c r="E902" s="2"/>
      <c r="F902" s="2"/>
      <c r="G902" s="2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15"/>
      <c r="AC902" s="54"/>
      <c r="AD902" s="15"/>
      <c r="AE902" s="15"/>
      <c r="AF902" s="15"/>
      <c r="AG902" s="15"/>
    </row>
    <row r="903" ht="11.25" customHeight="1">
      <c r="A903" s="1"/>
      <c r="B903" s="2"/>
      <c r="C903" s="1"/>
      <c r="D903" s="2"/>
      <c r="E903" s="2"/>
      <c r="F903" s="2"/>
      <c r="G903" s="2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15"/>
      <c r="AC903" s="54"/>
      <c r="AD903" s="15"/>
      <c r="AE903" s="15"/>
      <c r="AF903" s="15"/>
      <c r="AG903" s="15"/>
    </row>
    <row r="904" ht="11.25" customHeight="1">
      <c r="A904" s="1"/>
      <c r="B904" s="2"/>
      <c r="C904" s="1"/>
      <c r="D904" s="2"/>
      <c r="E904" s="2"/>
      <c r="F904" s="2"/>
      <c r="G904" s="2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15"/>
      <c r="AC904" s="54"/>
      <c r="AD904" s="15"/>
      <c r="AE904" s="15"/>
      <c r="AF904" s="15"/>
      <c r="AG904" s="15"/>
    </row>
    <row r="905" ht="11.25" customHeight="1">
      <c r="A905" s="1"/>
      <c r="B905" s="2"/>
      <c r="C905" s="1"/>
      <c r="D905" s="2"/>
      <c r="E905" s="2"/>
      <c r="F905" s="2"/>
      <c r="G905" s="2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15"/>
      <c r="AC905" s="54"/>
      <c r="AD905" s="15"/>
      <c r="AE905" s="15"/>
      <c r="AF905" s="15"/>
      <c r="AG905" s="15"/>
    </row>
    <row r="906" ht="11.25" customHeight="1">
      <c r="A906" s="1"/>
      <c r="B906" s="2"/>
      <c r="C906" s="1"/>
      <c r="D906" s="2"/>
      <c r="E906" s="2"/>
      <c r="F906" s="2"/>
      <c r="G906" s="2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15"/>
      <c r="AC906" s="54"/>
      <c r="AD906" s="15"/>
      <c r="AE906" s="15"/>
      <c r="AF906" s="15"/>
      <c r="AG906" s="15"/>
    </row>
    <row r="907" ht="11.25" customHeight="1">
      <c r="A907" s="1"/>
      <c r="B907" s="2"/>
      <c r="C907" s="1"/>
      <c r="D907" s="2"/>
      <c r="E907" s="2"/>
      <c r="F907" s="2"/>
      <c r="G907" s="2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15"/>
      <c r="AC907" s="54"/>
      <c r="AD907" s="15"/>
      <c r="AE907" s="15"/>
      <c r="AF907" s="15"/>
      <c r="AG907" s="15"/>
    </row>
    <row r="908" ht="11.25" customHeight="1">
      <c r="A908" s="1"/>
      <c r="B908" s="2"/>
      <c r="C908" s="1"/>
      <c r="D908" s="2"/>
      <c r="E908" s="2"/>
      <c r="F908" s="2"/>
      <c r="G908" s="2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15"/>
      <c r="AC908" s="54"/>
      <c r="AD908" s="15"/>
      <c r="AE908" s="15"/>
      <c r="AF908" s="15"/>
      <c r="AG908" s="15"/>
    </row>
    <row r="909" ht="11.25" customHeight="1">
      <c r="A909" s="1"/>
      <c r="B909" s="2"/>
      <c r="C909" s="1"/>
      <c r="D909" s="2"/>
      <c r="E909" s="2"/>
      <c r="F909" s="2"/>
      <c r="G909" s="2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15"/>
      <c r="AC909" s="54"/>
      <c r="AD909" s="15"/>
      <c r="AE909" s="15"/>
      <c r="AF909" s="15"/>
      <c r="AG909" s="15"/>
    </row>
    <row r="910" ht="11.25" customHeight="1">
      <c r="A910" s="1"/>
      <c r="B910" s="2"/>
      <c r="C910" s="1"/>
      <c r="D910" s="2"/>
      <c r="E910" s="2"/>
      <c r="F910" s="2"/>
      <c r="G910" s="2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15"/>
      <c r="AC910" s="54"/>
      <c r="AD910" s="15"/>
      <c r="AE910" s="15"/>
      <c r="AF910" s="15"/>
      <c r="AG910" s="15"/>
    </row>
    <row r="911" ht="11.25" customHeight="1">
      <c r="A911" s="1"/>
      <c r="B911" s="2"/>
      <c r="C911" s="1"/>
      <c r="D911" s="2"/>
      <c r="E911" s="2"/>
      <c r="F911" s="2"/>
      <c r="G911" s="2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15"/>
      <c r="AC911" s="54"/>
      <c r="AD911" s="15"/>
      <c r="AE911" s="15"/>
      <c r="AF911" s="15"/>
      <c r="AG911" s="15"/>
    </row>
    <row r="912" ht="11.25" customHeight="1">
      <c r="A912" s="1"/>
      <c r="B912" s="2"/>
      <c r="C912" s="1"/>
      <c r="D912" s="2"/>
      <c r="E912" s="2"/>
      <c r="F912" s="2"/>
      <c r="G912" s="2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15"/>
      <c r="AC912" s="54"/>
      <c r="AD912" s="15"/>
      <c r="AE912" s="15"/>
      <c r="AF912" s="15"/>
      <c r="AG912" s="15"/>
    </row>
    <row r="913" ht="11.25" customHeight="1">
      <c r="A913" s="1"/>
      <c r="B913" s="2"/>
      <c r="C913" s="1"/>
      <c r="D913" s="2"/>
      <c r="E913" s="2"/>
      <c r="F913" s="2"/>
      <c r="G913" s="2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15"/>
      <c r="AC913" s="54"/>
      <c r="AD913" s="15"/>
      <c r="AE913" s="15"/>
      <c r="AF913" s="15"/>
      <c r="AG913" s="15"/>
    </row>
    <row r="914" ht="11.25" customHeight="1">
      <c r="A914" s="1"/>
      <c r="B914" s="2"/>
      <c r="C914" s="1"/>
      <c r="D914" s="2"/>
      <c r="E914" s="2"/>
      <c r="F914" s="2"/>
      <c r="G914" s="2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15"/>
      <c r="AC914" s="54"/>
      <c r="AD914" s="15"/>
      <c r="AE914" s="15"/>
      <c r="AF914" s="15"/>
      <c r="AG914" s="15"/>
    </row>
    <row r="915" ht="11.25" customHeight="1">
      <c r="A915" s="1"/>
      <c r="B915" s="2"/>
      <c r="C915" s="1"/>
      <c r="D915" s="2"/>
      <c r="E915" s="2"/>
      <c r="F915" s="2"/>
      <c r="G915" s="2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15"/>
      <c r="AC915" s="54"/>
      <c r="AD915" s="15"/>
      <c r="AE915" s="15"/>
      <c r="AF915" s="15"/>
      <c r="AG915" s="15"/>
    </row>
    <row r="916" ht="11.25" customHeight="1">
      <c r="A916" s="1"/>
      <c r="B916" s="2"/>
      <c r="C916" s="1"/>
      <c r="D916" s="2"/>
      <c r="E916" s="2"/>
      <c r="F916" s="2"/>
      <c r="G916" s="2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15"/>
      <c r="AC916" s="54"/>
      <c r="AD916" s="15"/>
      <c r="AE916" s="15"/>
      <c r="AF916" s="15"/>
      <c r="AG916" s="15"/>
    </row>
    <row r="917" ht="11.25" customHeight="1">
      <c r="A917" s="1"/>
      <c r="B917" s="2"/>
      <c r="C917" s="1"/>
      <c r="D917" s="2"/>
      <c r="E917" s="2"/>
      <c r="F917" s="2"/>
      <c r="G917" s="2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15"/>
      <c r="AC917" s="54"/>
      <c r="AD917" s="15"/>
      <c r="AE917" s="15"/>
      <c r="AF917" s="15"/>
      <c r="AG917" s="15"/>
    </row>
    <row r="918" ht="11.25" customHeight="1">
      <c r="A918" s="1"/>
      <c r="B918" s="2"/>
      <c r="C918" s="1"/>
      <c r="D918" s="2"/>
      <c r="E918" s="2"/>
      <c r="F918" s="2"/>
      <c r="G918" s="2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15"/>
      <c r="AC918" s="54"/>
      <c r="AD918" s="15"/>
      <c r="AE918" s="15"/>
      <c r="AF918" s="15"/>
      <c r="AG918" s="15"/>
    </row>
    <row r="919" ht="11.25" customHeight="1">
      <c r="A919" s="1"/>
      <c r="B919" s="2"/>
      <c r="C919" s="1"/>
      <c r="D919" s="2"/>
      <c r="E919" s="2"/>
      <c r="F919" s="2"/>
      <c r="G919" s="2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15"/>
      <c r="AC919" s="54"/>
      <c r="AD919" s="15"/>
      <c r="AE919" s="15"/>
      <c r="AF919" s="15"/>
      <c r="AG919" s="15"/>
    </row>
    <row r="920" ht="11.25" customHeight="1">
      <c r="A920" s="1"/>
      <c r="B920" s="2"/>
      <c r="C920" s="1"/>
      <c r="D920" s="2"/>
      <c r="E920" s="2"/>
      <c r="F920" s="2"/>
      <c r="G920" s="2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15"/>
      <c r="AC920" s="54"/>
      <c r="AD920" s="15"/>
      <c r="AE920" s="15"/>
      <c r="AF920" s="15"/>
      <c r="AG920" s="15"/>
    </row>
    <row r="921" ht="11.25" customHeight="1">
      <c r="A921" s="1"/>
      <c r="B921" s="2"/>
      <c r="C921" s="1"/>
      <c r="D921" s="2"/>
      <c r="E921" s="2"/>
      <c r="F921" s="2"/>
      <c r="G921" s="2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15"/>
      <c r="AC921" s="54"/>
      <c r="AD921" s="15"/>
      <c r="AE921" s="15"/>
      <c r="AF921" s="15"/>
      <c r="AG921" s="15"/>
    </row>
    <row r="922" ht="11.25" customHeight="1">
      <c r="A922" s="1"/>
      <c r="B922" s="2"/>
      <c r="C922" s="1"/>
      <c r="D922" s="2"/>
      <c r="E922" s="2"/>
      <c r="F922" s="2"/>
      <c r="G922" s="2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15"/>
      <c r="AC922" s="54"/>
      <c r="AD922" s="15"/>
      <c r="AE922" s="15"/>
      <c r="AF922" s="15"/>
      <c r="AG922" s="15"/>
    </row>
    <row r="923" ht="11.25" customHeight="1">
      <c r="A923" s="1"/>
      <c r="B923" s="2"/>
      <c r="C923" s="1"/>
      <c r="D923" s="2"/>
      <c r="E923" s="2"/>
      <c r="F923" s="2"/>
      <c r="G923" s="2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15"/>
      <c r="AC923" s="54"/>
      <c r="AD923" s="15"/>
      <c r="AE923" s="15"/>
      <c r="AF923" s="15"/>
      <c r="AG923" s="15"/>
    </row>
    <row r="924" ht="11.25" customHeight="1">
      <c r="A924" s="1"/>
      <c r="B924" s="2"/>
      <c r="C924" s="1"/>
      <c r="D924" s="2"/>
      <c r="E924" s="2"/>
      <c r="F924" s="2"/>
      <c r="G924" s="2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15"/>
      <c r="AC924" s="54"/>
      <c r="AD924" s="15"/>
      <c r="AE924" s="15"/>
      <c r="AF924" s="15"/>
      <c r="AG924" s="15"/>
    </row>
    <row r="925" ht="11.25" customHeight="1">
      <c r="A925" s="1"/>
      <c r="B925" s="2"/>
      <c r="C925" s="1"/>
      <c r="D925" s="2"/>
      <c r="E925" s="2"/>
      <c r="F925" s="2"/>
      <c r="G925" s="2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15"/>
      <c r="AC925" s="54"/>
      <c r="AD925" s="15"/>
      <c r="AE925" s="15"/>
      <c r="AF925" s="15"/>
      <c r="AG925" s="15"/>
    </row>
    <row r="926" ht="11.25" customHeight="1">
      <c r="A926" s="1"/>
      <c r="B926" s="2"/>
      <c r="C926" s="1"/>
      <c r="D926" s="2"/>
      <c r="E926" s="2"/>
      <c r="F926" s="2"/>
      <c r="G926" s="2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15"/>
      <c r="AC926" s="54"/>
      <c r="AD926" s="15"/>
      <c r="AE926" s="15"/>
      <c r="AF926" s="15"/>
      <c r="AG926" s="15"/>
    </row>
    <row r="927" ht="11.25" customHeight="1">
      <c r="A927" s="1"/>
      <c r="B927" s="2"/>
      <c r="C927" s="1"/>
      <c r="D927" s="2"/>
      <c r="E927" s="2"/>
      <c r="F927" s="2"/>
      <c r="G927" s="2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15"/>
      <c r="AC927" s="54"/>
      <c r="AD927" s="15"/>
      <c r="AE927" s="15"/>
      <c r="AF927" s="15"/>
      <c r="AG927" s="15"/>
    </row>
    <row r="928" ht="11.25" customHeight="1">
      <c r="A928" s="1"/>
      <c r="B928" s="2"/>
      <c r="C928" s="1"/>
      <c r="D928" s="2"/>
      <c r="E928" s="2"/>
      <c r="F928" s="2"/>
      <c r="G928" s="2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15"/>
      <c r="AC928" s="54"/>
      <c r="AD928" s="15"/>
      <c r="AE928" s="15"/>
      <c r="AF928" s="15"/>
      <c r="AG928" s="15"/>
    </row>
    <row r="929" ht="11.25" customHeight="1">
      <c r="A929" s="1"/>
      <c r="B929" s="2"/>
      <c r="C929" s="1"/>
      <c r="D929" s="2"/>
      <c r="E929" s="2"/>
      <c r="F929" s="2"/>
      <c r="G929" s="2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15"/>
      <c r="AC929" s="54"/>
      <c r="AD929" s="15"/>
      <c r="AE929" s="15"/>
      <c r="AF929" s="15"/>
      <c r="AG929" s="15"/>
    </row>
    <row r="930" ht="11.25" customHeight="1">
      <c r="A930" s="1"/>
      <c r="B930" s="2"/>
      <c r="C930" s="1"/>
      <c r="D930" s="2"/>
      <c r="E930" s="2"/>
      <c r="F930" s="2"/>
      <c r="G930" s="2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15"/>
      <c r="AC930" s="54"/>
      <c r="AD930" s="15"/>
      <c r="AE930" s="15"/>
      <c r="AF930" s="15"/>
      <c r="AG930" s="15"/>
    </row>
    <row r="931" ht="11.25" customHeight="1">
      <c r="A931" s="1"/>
      <c r="B931" s="2"/>
      <c r="C931" s="1"/>
      <c r="D931" s="2"/>
      <c r="E931" s="2"/>
      <c r="F931" s="2"/>
      <c r="G931" s="2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15"/>
      <c r="AC931" s="54"/>
      <c r="AD931" s="15"/>
      <c r="AE931" s="15"/>
      <c r="AF931" s="15"/>
      <c r="AG931" s="15"/>
    </row>
    <row r="932" ht="11.25" customHeight="1">
      <c r="A932" s="1"/>
      <c r="B932" s="2"/>
      <c r="C932" s="1"/>
      <c r="D932" s="2"/>
      <c r="E932" s="2"/>
      <c r="F932" s="2"/>
      <c r="G932" s="2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15"/>
      <c r="AC932" s="54"/>
      <c r="AD932" s="15"/>
      <c r="AE932" s="15"/>
      <c r="AF932" s="15"/>
      <c r="AG932" s="15"/>
    </row>
    <row r="933" ht="11.25" customHeight="1">
      <c r="A933" s="1"/>
      <c r="B933" s="2"/>
      <c r="C933" s="1"/>
      <c r="D933" s="2"/>
      <c r="E933" s="2"/>
      <c r="F933" s="2"/>
      <c r="G933" s="2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15"/>
      <c r="AC933" s="54"/>
      <c r="AD933" s="15"/>
      <c r="AE933" s="15"/>
      <c r="AF933" s="15"/>
      <c r="AG933" s="15"/>
    </row>
    <row r="934" ht="11.25" customHeight="1">
      <c r="A934" s="1"/>
      <c r="B934" s="2"/>
      <c r="C934" s="1"/>
      <c r="D934" s="2"/>
      <c r="E934" s="2"/>
      <c r="F934" s="2"/>
      <c r="G934" s="2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15"/>
      <c r="AC934" s="54"/>
      <c r="AD934" s="15"/>
      <c r="AE934" s="15"/>
      <c r="AF934" s="15"/>
      <c r="AG934" s="15"/>
    </row>
    <row r="935" ht="11.25" customHeight="1">
      <c r="A935" s="1"/>
      <c r="B935" s="2"/>
      <c r="C935" s="1"/>
      <c r="D935" s="2"/>
      <c r="E935" s="2"/>
      <c r="F935" s="2"/>
      <c r="G935" s="2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15"/>
      <c r="AC935" s="54"/>
      <c r="AD935" s="15"/>
      <c r="AE935" s="15"/>
      <c r="AF935" s="15"/>
      <c r="AG935" s="15"/>
    </row>
    <row r="936" ht="11.25" customHeight="1">
      <c r="A936" s="1"/>
      <c r="B936" s="2"/>
      <c r="C936" s="1"/>
      <c r="D936" s="2"/>
      <c r="E936" s="2"/>
      <c r="F936" s="2"/>
      <c r="G936" s="2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15"/>
      <c r="AC936" s="54"/>
      <c r="AD936" s="15"/>
      <c r="AE936" s="15"/>
      <c r="AF936" s="15"/>
      <c r="AG936" s="15"/>
    </row>
    <row r="937" ht="11.25" customHeight="1">
      <c r="A937" s="1"/>
      <c r="B937" s="2"/>
      <c r="C937" s="1"/>
      <c r="D937" s="2"/>
      <c r="E937" s="2"/>
      <c r="F937" s="2"/>
      <c r="G937" s="2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15"/>
      <c r="AC937" s="54"/>
      <c r="AD937" s="15"/>
      <c r="AE937" s="15"/>
      <c r="AF937" s="15"/>
      <c r="AG937" s="15"/>
    </row>
    <row r="938" ht="11.25" customHeight="1">
      <c r="A938" s="1"/>
      <c r="B938" s="2"/>
      <c r="C938" s="1"/>
      <c r="D938" s="2"/>
      <c r="E938" s="2"/>
      <c r="F938" s="2"/>
      <c r="G938" s="2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15"/>
      <c r="AC938" s="54"/>
      <c r="AD938" s="15"/>
      <c r="AE938" s="15"/>
      <c r="AF938" s="15"/>
      <c r="AG938" s="15"/>
    </row>
    <row r="939" ht="11.25" customHeight="1">
      <c r="A939" s="1"/>
      <c r="B939" s="2"/>
      <c r="C939" s="1"/>
      <c r="D939" s="2"/>
      <c r="E939" s="2"/>
      <c r="F939" s="2"/>
      <c r="G939" s="2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15"/>
      <c r="AC939" s="54"/>
      <c r="AD939" s="15"/>
      <c r="AE939" s="15"/>
      <c r="AF939" s="15"/>
      <c r="AG939" s="15"/>
    </row>
    <row r="940" ht="11.25" customHeight="1">
      <c r="A940" s="1"/>
      <c r="B940" s="2"/>
      <c r="C940" s="1"/>
      <c r="D940" s="2"/>
      <c r="E940" s="2"/>
      <c r="F940" s="2"/>
      <c r="G940" s="2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15"/>
      <c r="AC940" s="54"/>
      <c r="AD940" s="15"/>
      <c r="AE940" s="15"/>
      <c r="AF940" s="15"/>
      <c r="AG940" s="15"/>
    </row>
    <row r="941" ht="11.25" customHeight="1">
      <c r="A941" s="1"/>
      <c r="B941" s="2"/>
      <c r="C941" s="1"/>
      <c r="D941" s="2"/>
      <c r="E941" s="2"/>
      <c r="F941" s="2"/>
      <c r="G941" s="2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15"/>
      <c r="AC941" s="54"/>
      <c r="AD941" s="15"/>
      <c r="AE941" s="15"/>
      <c r="AF941" s="15"/>
      <c r="AG941" s="15"/>
    </row>
    <row r="942" ht="11.25" customHeight="1">
      <c r="A942" s="1"/>
      <c r="B942" s="2"/>
      <c r="C942" s="1"/>
      <c r="D942" s="2"/>
      <c r="E942" s="2"/>
      <c r="F942" s="2"/>
      <c r="G942" s="2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15"/>
      <c r="AC942" s="54"/>
      <c r="AD942" s="15"/>
      <c r="AE942" s="15"/>
      <c r="AF942" s="15"/>
      <c r="AG942" s="15"/>
    </row>
    <row r="943" ht="11.25" customHeight="1">
      <c r="A943" s="1"/>
      <c r="B943" s="2"/>
      <c r="C943" s="1"/>
      <c r="D943" s="2"/>
      <c r="E943" s="2"/>
      <c r="F943" s="2"/>
      <c r="G943" s="2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15"/>
      <c r="AC943" s="54"/>
      <c r="AD943" s="15"/>
      <c r="AE943" s="15"/>
      <c r="AF943" s="15"/>
      <c r="AG943" s="15"/>
    </row>
    <row r="944" ht="11.25" customHeight="1">
      <c r="A944" s="1"/>
      <c r="B944" s="2"/>
      <c r="C944" s="1"/>
      <c r="D944" s="2"/>
      <c r="E944" s="2"/>
      <c r="F944" s="2"/>
      <c r="G944" s="2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15"/>
      <c r="AC944" s="54"/>
      <c r="AD944" s="15"/>
      <c r="AE944" s="15"/>
      <c r="AF944" s="15"/>
      <c r="AG944" s="15"/>
    </row>
    <row r="945" ht="11.25" customHeight="1">
      <c r="A945" s="1"/>
      <c r="B945" s="2"/>
      <c r="C945" s="1"/>
      <c r="D945" s="2"/>
      <c r="E945" s="2"/>
      <c r="F945" s="2"/>
      <c r="G945" s="2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15"/>
      <c r="AC945" s="54"/>
      <c r="AD945" s="15"/>
      <c r="AE945" s="15"/>
      <c r="AF945" s="15"/>
      <c r="AG945" s="15"/>
    </row>
    <row r="946" ht="11.25" customHeight="1">
      <c r="A946" s="1"/>
      <c r="B946" s="2"/>
      <c r="C946" s="1"/>
      <c r="D946" s="2"/>
      <c r="E946" s="2"/>
      <c r="F946" s="2"/>
      <c r="G946" s="2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15"/>
      <c r="AC946" s="54"/>
      <c r="AD946" s="15"/>
      <c r="AE946" s="15"/>
      <c r="AF946" s="15"/>
      <c r="AG946" s="15"/>
    </row>
    <row r="947" ht="11.25" customHeight="1">
      <c r="A947" s="1"/>
      <c r="B947" s="2"/>
      <c r="C947" s="1"/>
      <c r="D947" s="2"/>
      <c r="E947" s="2"/>
      <c r="F947" s="2"/>
      <c r="G947" s="2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15"/>
      <c r="AC947" s="54"/>
      <c r="AD947" s="15"/>
      <c r="AE947" s="15"/>
      <c r="AF947" s="15"/>
      <c r="AG947" s="15"/>
    </row>
    <row r="948" ht="11.25" customHeight="1">
      <c r="A948" s="1"/>
      <c r="B948" s="2"/>
      <c r="C948" s="1"/>
      <c r="D948" s="2"/>
      <c r="E948" s="2"/>
      <c r="F948" s="2"/>
      <c r="G948" s="2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15"/>
      <c r="AC948" s="54"/>
      <c r="AD948" s="15"/>
      <c r="AE948" s="15"/>
      <c r="AF948" s="15"/>
      <c r="AG948" s="15"/>
    </row>
    <row r="949" ht="11.25" customHeight="1">
      <c r="A949" s="1"/>
      <c r="B949" s="2"/>
      <c r="C949" s="1"/>
      <c r="D949" s="2"/>
      <c r="E949" s="2"/>
      <c r="F949" s="2"/>
      <c r="G949" s="2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15"/>
      <c r="AC949" s="54"/>
      <c r="AD949" s="15"/>
      <c r="AE949" s="15"/>
      <c r="AF949" s="15"/>
      <c r="AG949" s="15"/>
    </row>
    <row r="950" ht="11.25" customHeight="1">
      <c r="A950" s="1"/>
      <c r="B950" s="2"/>
      <c r="C950" s="1"/>
      <c r="D950" s="2"/>
      <c r="E950" s="2"/>
      <c r="F950" s="2"/>
      <c r="G950" s="2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15"/>
      <c r="AC950" s="54"/>
      <c r="AD950" s="15"/>
      <c r="AE950" s="15"/>
      <c r="AF950" s="15"/>
      <c r="AG950" s="15"/>
    </row>
    <row r="951" ht="11.25" customHeight="1">
      <c r="A951" s="1"/>
      <c r="B951" s="2"/>
      <c r="C951" s="1"/>
      <c r="D951" s="2"/>
      <c r="E951" s="2"/>
      <c r="F951" s="2"/>
      <c r="G951" s="2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15"/>
      <c r="AC951" s="54"/>
      <c r="AD951" s="15"/>
      <c r="AE951" s="15"/>
      <c r="AF951" s="15"/>
      <c r="AG951" s="15"/>
    </row>
    <row r="952" ht="11.25" customHeight="1">
      <c r="A952" s="1"/>
      <c r="B952" s="2"/>
      <c r="C952" s="1"/>
      <c r="D952" s="2"/>
      <c r="E952" s="2"/>
      <c r="F952" s="2"/>
      <c r="G952" s="2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15"/>
      <c r="AC952" s="54"/>
      <c r="AD952" s="15"/>
      <c r="AE952" s="15"/>
      <c r="AF952" s="15"/>
      <c r="AG952" s="15"/>
    </row>
    <row r="953" ht="11.25" customHeight="1">
      <c r="A953" s="1"/>
      <c r="B953" s="2"/>
      <c r="C953" s="1"/>
      <c r="D953" s="2"/>
      <c r="E953" s="2"/>
      <c r="F953" s="2"/>
      <c r="G953" s="2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15"/>
      <c r="AC953" s="54"/>
      <c r="AD953" s="15"/>
      <c r="AE953" s="15"/>
      <c r="AF953" s="15"/>
      <c r="AG953" s="15"/>
    </row>
    <row r="954" ht="11.25" customHeight="1">
      <c r="A954" s="1"/>
      <c r="B954" s="2"/>
      <c r="C954" s="1"/>
      <c r="D954" s="2"/>
      <c r="E954" s="2"/>
      <c r="F954" s="2"/>
      <c r="G954" s="2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15"/>
      <c r="AC954" s="54"/>
      <c r="AD954" s="15"/>
      <c r="AE954" s="15"/>
      <c r="AF954" s="15"/>
      <c r="AG954" s="15"/>
    </row>
    <row r="955" ht="11.25" customHeight="1">
      <c r="A955" s="1"/>
      <c r="B955" s="2"/>
      <c r="C955" s="1"/>
      <c r="D955" s="2"/>
      <c r="E955" s="2"/>
      <c r="F955" s="2"/>
      <c r="G955" s="2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15"/>
      <c r="AC955" s="54"/>
      <c r="AD955" s="15"/>
      <c r="AE955" s="15"/>
      <c r="AF955" s="15"/>
      <c r="AG955" s="15"/>
    </row>
    <row r="956" ht="11.25" customHeight="1">
      <c r="A956" s="1"/>
      <c r="B956" s="2"/>
      <c r="C956" s="1"/>
      <c r="D956" s="2"/>
      <c r="E956" s="2"/>
      <c r="F956" s="2"/>
      <c r="G956" s="2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15"/>
      <c r="AC956" s="54"/>
      <c r="AD956" s="15"/>
      <c r="AE956" s="15"/>
      <c r="AF956" s="15"/>
      <c r="AG956" s="15"/>
    </row>
    <row r="957" ht="11.25" customHeight="1">
      <c r="A957" s="1"/>
      <c r="B957" s="2"/>
      <c r="C957" s="1"/>
      <c r="D957" s="2"/>
      <c r="E957" s="2"/>
      <c r="F957" s="2"/>
      <c r="G957" s="2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15"/>
      <c r="AC957" s="54"/>
      <c r="AD957" s="15"/>
      <c r="AE957" s="15"/>
      <c r="AF957" s="15"/>
      <c r="AG957" s="15"/>
    </row>
    <row r="958" ht="11.25" customHeight="1">
      <c r="A958" s="1"/>
      <c r="B958" s="2"/>
      <c r="C958" s="1"/>
      <c r="D958" s="2"/>
      <c r="E958" s="2"/>
      <c r="F958" s="2"/>
      <c r="G958" s="2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15"/>
      <c r="AC958" s="54"/>
      <c r="AD958" s="15"/>
      <c r="AE958" s="15"/>
      <c r="AF958" s="15"/>
      <c r="AG958" s="15"/>
    </row>
    <row r="959" ht="11.25" customHeight="1">
      <c r="A959" s="1"/>
      <c r="B959" s="2"/>
      <c r="C959" s="1"/>
      <c r="D959" s="2"/>
      <c r="E959" s="2"/>
      <c r="F959" s="2"/>
      <c r="G959" s="2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15"/>
      <c r="AC959" s="54"/>
      <c r="AD959" s="15"/>
      <c r="AE959" s="15"/>
      <c r="AF959" s="15"/>
      <c r="AG959" s="15"/>
    </row>
    <row r="960" ht="11.25" customHeight="1">
      <c r="A960" s="1"/>
      <c r="B960" s="2"/>
      <c r="C960" s="1"/>
      <c r="D960" s="2"/>
      <c r="E960" s="2"/>
      <c r="F960" s="2"/>
      <c r="G960" s="2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15"/>
      <c r="AC960" s="54"/>
      <c r="AD960" s="15"/>
      <c r="AE960" s="15"/>
      <c r="AF960" s="15"/>
      <c r="AG960" s="15"/>
    </row>
    <row r="961" ht="11.25" customHeight="1">
      <c r="A961" s="1"/>
      <c r="B961" s="2"/>
      <c r="C961" s="1"/>
      <c r="D961" s="2"/>
      <c r="E961" s="2"/>
      <c r="F961" s="2"/>
      <c r="G961" s="2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15"/>
      <c r="AC961" s="54"/>
      <c r="AD961" s="15"/>
      <c r="AE961" s="15"/>
      <c r="AF961" s="15"/>
      <c r="AG961" s="15"/>
    </row>
    <row r="962" ht="11.25" customHeight="1">
      <c r="A962" s="1"/>
      <c r="B962" s="2"/>
      <c r="C962" s="1"/>
      <c r="D962" s="2"/>
      <c r="E962" s="2"/>
      <c r="F962" s="2"/>
      <c r="G962" s="2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15"/>
      <c r="AC962" s="54"/>
      <c r="AD962" s="15"/>
      <c r="AE962" s="15"/>
      <c r="AF962" s="15"/>
      <c r="AG962" s="15"/>
    </row>
    <row r="963" ht="11.25" customHeight="1">
      <c r="A963" s="1"/>
      <c r="B963" s="2"/>
      <c r="C963" s="1"/>
      <c r="D963" s="2"/>
      <c r="E963" s="2"/>
      <c r="F963" s="2"/>
      <c r="G963" s="2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15"/>
      <c r="AC963" s="54"/>
      <c r="AD963" s="15"/>
      <c r="AE963" s="15"/>
      <c r="AF963" s="15"/>
      <c r="AG963" s="15"/>
    </row>
    <row r="964" ht="11.25" customHeight="1">
      <c r="A964" s="1"/>
      <c r="B964" s="2"/>
      <c r="C964" s="1"/>
      <c r="D964" s="2"/>
      <c r="E964" s="2"/>
      <c r="F964" s="2"/>
      <c r="G964" s="2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15"/>
      <c r="AC964" s="54"/>
      <c r="AD964" s="15"/>
      <c r="AE964" s="15"/>
      <c r="AF964" s="15"/>
      <c r="AG964" s="15"/>
    </row>
    <row r="965" ht="11.25" customHeight="1">
      <c r="A965" s="1"/>
      <c r="B965" s="2"/>
      <c r="C965" s="1"/>
      <c r="D965" s="2"/>
      <c r="E965" s="2"/>
      <c r="F965" s="2"/>
      <c r="G965" s="2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15"/>
      <c r="AC965" s="54"/>
      <c r="AD965" s="15"/>
      <c r="AE965" s="15"/>
      <c r="AF965" s="15"/>
      <c r="AG965" s="15"/>
    </row>
    <row r="966" ht="11.25" customHeight="1">
      <c r="A966" s="1"/>
      <c r="B966" s="2"/>
      <c r="C966" s="1"/>
      <c r="D966" s="2"/>
      <c r="E966" s="2"/>
      <c r="F966" s="2"/>
      <c r="G966" s="2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15"/>
      <c r="AC966" s="54"/>
      <c r="AD966" s="15"/>
      <c r="AE966" s="15"/>
      <c r="AF966" s="15"/>
      <c r="AG966" s="15"/>
    </row>
    <row r="967" ht="11.25" customHeight="1">
      <c r="A967" s="1"/>
      <c r="B967" s="2"/>
      <c r="C967" s="1"/>
      <c r="D967" s="2"/>
      <c r="E967" s="2"/>
      <c r="F967" s="2"/>
      <c r="G967" s="2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15"/>
      <c r="AC967" s="54"/>
      <c r="AD967" s="15"/>
      <c r="AE967" s="15"/>
      <c r="AF967" s="15"/>
      <c r="AG967" s="15"/>
    </row>
    <row r="968" ht="11.25" customHeight="1">
      <c r="A968" s="1"/>
      <c r="B968" s="2"/>
      <c r="C968" s="1"/>
      <c r="D968" s="2"/>
      <c r="E968" s="2"/>
      <c r="F968" s="2"/>
      <c r="G968" s="2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15"/>
      <c r="AC968" s="54"/>
      <c r="AD968" s="15"/>
      <c r="AE968" s="15"/>
      <c r="AF968" s="15"/>
      <c r="AG968" s="15"/>
    </row>
    <row r="969" ht="11.25" customHeight="1">
      <c r="A969" s="1"/>
      <c r="B969" s="2"/>
      <c r="C969" s="1"/>
      <c r="D969" s="2"/>
      <c r="E969" s="2"/>
      <c r="F969" s="2"/>
      <c r="G969" s="2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15"/>
      <c r="AC969" s="54"/>
      <c r="AD969" s="15"/>
      <c r="AE969" s="15"/>
      <c r="AF969" s="15"/>
      <c r="AG969" s="15"/>
    </row>
    <row r="970" ht="11.25" customHeight="1">
      <c r="A970" s="1"/>
      <c r="B970" s="2"/>
      <c r="C970" s="1"/>
      <c r="D970" s="2"/>
      <c r="E970" s="2"/>
      <c r="F970" s="2"/>
      <c r="G970" s="2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15"/>
      <c r="AC970" s="54"/>
      <c r="AD970" s="15"/>
      <c r="AE970" s="15"/>
      <c r="AF970" s="15"/>
      <c r="AG970" s="15"/>
    </row>
    <row r="971" ht="11.25" customHeight="1">
      <c r="A971" s="1"/>
      <c r="B971" s="2"/>
      <c r="C971" s="1"/>
      <c r="D971" s="2"/>
      <c r="E971" s="2"/>
      <c r="F971" s="2"/>
      <c r="G971" s="2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15"/>
      <c r="AC971" s="54"/>
      <c r="AD971" s="15"/>
      <c r="AE971" s="15"/>
      <c r="AF971" s="15"/>
      <c r="AG971" s="15"/>
    </row>
  </sheetData>
  <mergeCells count="6">
    <mergeCell ref="A2:A3"/>
    <mergeCell ref="E2:E19"/>
    <mergeCell ref="AD20:AG20"/>
    <mergeCell ref="E21:E32"/>
    <mergeCell ref="E33:E44"/>
    <mergeCell ref="E46:E69"/>
  </mergeCells>
  <conditionalFormatting sqref="H1:AG100">
    <cfRule type="expression" dxfId="0" priority="1">
      <formula>H1=""</formula>
    </cfRule>
  </conditionalFormatting>
  <conditionalFormatting sqref="H3:AA971 AE3:AG7 AE9:AG13 AE15:AG19 AE22:AG26 AE28:AG32 AE34:AG38">
    <cfRule type="expression" dxfId="1" priority="2">
      <formula>H3="ERROR"</formula>
    </cfRule>
  </conditionalFormatting>
  <conditionalFormatting sqref="F1:AA971 AD2:AG19 AD21:AG38">
    <cfRule type="expression" dxfId="2" priority="3">
      <formula>REGEXMATCH($F1,"ERROR")</formula>
    </cfRule>
  </conditionalFormatting>
  <conditionalFormatting sqref="F1:AA971 AD2:AG19 AD21:AG38">
    <cfRule type="expression" dxfId="3" priority="4">
      <formula>$F1="CLEAR"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8.13"/>
    <col customWidth="1" min="2" max="2" width="8.88"/>
    <col customWidth="1" min="3" max="3" width="9.5"/>
    <col customWidth="1" min="4" max="4" width="18.5"/>
    <col customWidth="1" min="5" max="5" width="14.75"/>
    <col customWidth="1" min="6" max="7" width="9.38"/>
    <col customWidth="1" min="8" max="9" width="8.38"/>
    <col customWidth="1" min="10" max="16" width="7.38"/>
    <col customWidth="1" min="17" max="17" width="55.38"/>
    <col hidden="1" min="18" max="24" width="12.63"/>
  </cols>
  <sheetData>
    <row r="1" ht="12.0" customHeight="1">
      <c r="A1" s="57"/>
      <c r="B1" s="57"/>
      <c r="C1" s="58"/>
      <c r="D1" s="59"/>
      <c r="E1" s="57"/>
      <c r="F1" s="57"/>
      <c r="G1" s="60"/>
      <c r="H1" s="57"/>
      <c r="I1" s="61"/>
      <c r="J1" s="62"/>
      <c r="K1" s="63"/>
      <c r="L1" s="63"/>
      <c r="M1" s="63"/>
      <c r="N1" s="64"/>
      <c r="O1" s="62"/>
      <c r="P1" s="64"/>
      <c r="Q1" s="59"/>
      <c r="R1" s="65"/>
      <c r="S1" s="65"/>
      <c r="T1" s="65"/>
      <c r="U1" s="65"/>
      <c r="V1" s="65"/>
      <c r="W1" s="65"/>
      <c r="X1" s="65"/>
    </row>
    <row r="2" ht="12.0" customHeight="1">
      <c r="A2" s="57"/>
      <c r="B2" s="57"/>
      <c r="C2" s="58"/>
      <c r="D2" s="59"/>
      <c r="E2" s="57"/>
      <c r="F2" s="57"/>
      <c r="G2" s="60"/>
      <c r="H2" s="57"/>
      <c r="I2" s="61"/>
      <c r="J2" s="62"/>
      <c r="K2" s="63"/>
      <c r="L2" s="63"/>
      <c r="M2" s="63"/>
      <c r="N2" s="64"/>
      <c r="O2" s="62"/>
      <c r="P2" s="64"/>
      <c r="Q2" s="59"/>
      <c r="R2" s="65"/>
      <c r="S2" s="65"/>
      <c r="T2" s="65"/>
      <c r="U2" s="65"/>
      <c r="V2" s="65"/>
      <c r="W2" s="65"/>
      <c r="X2" s="65"/>
    </row>
    <row r="3" ht="12.0" customHeight="1">
      <c r="A3" s="57"/>
      <c r="B3" s="57"/>
      <c r="C3" s="58"/>
      <c r="D3" s="59"/>
      <c r="E3" s="57"/>
      <c r="F3" s="57"/>
      <c r="G3" s="60"/>
      <c r="H3" s="57"/>
      <c r="I3" s="61"/>
      <c r="J3" s="62"/>
      <c r="K3" s="63"/>
      <c r="L3" s="63"/>
      <c r="M3" s="63"/>
      <c r="N3" s="64"/>
      <c r="O3" s="62"/>
      <c r="P3" s="64"/>
      <c r="Q3" s="59"/>
      <c r="R3" s="65"/>
      <c r="S3" s="65"/>
      <c r="T3" s="65"/>
      <c r="U3" s="65"/>
      <c r="V3" s="65"/>
      <c r="W3" s="65"/>
      <c r="X3" s="65"/>
    </row>
    <row r="4" ht="12.0" customHeight="1">
      <c r="A4" s="57"/>
      <c r="B4" s="57"/>
      <c r="C4" s="58"/>
      <c r="D4" s="59"/>
      <c r="E4" s="57"/>
      <c r="F4" s="57"/>
      <c r="G4" s="60"/>
      <c r="H4" s="57"/>
      <c r="I4" s="66"/>
      <c r="J4" s="62"/>
      <c r="K4" s="63"/>
      <c r="L4" s="63"/>
      <c r="M4" s="63"/>
      <c r="N4" s="64"/>
      <c r="O4" s="62"/>
      <c r="P4" s="64"/>
      <c r="Q4" s="59"/>
      <c r="R4" s="65"/>
      <c r="S4" s="65"/>
      <c r="T4" s="65"/>
      <c r="U4" s="65"/>
      <c r="V4" s="65"/>
      <c r="W4" s="65"/>
      <c r="X4" s="65"/>
    </row>
    <row r="5" ht="12.0" customHeight="1">
      <c r="A5" s="57"/>
      <c r="B5" s="57"/>
      <c r="C5" s="58"/>
      <c r="D5" s="59"/>
      <c r="E5" s="57"/>
      <c r="F5" s="57"/>
      <c r="G5" s="60"/>
      <c r="H5" s="57"/>
      <c r="I5" s="61"/>
      <c r="J5" s="62"/>
      <c r="K5" s="63"/>
      <c r="L5" s="63"/>
      <c r="M5" s="63"/>
      <c r="N5" s="64"/>
      <c r="O5" s="62"/>
      <c r="P5" s="64"/>
      <c r="Q5" s="59"/>
      <c r="R5" s="65"/>
      <c r="S5" s="65"/>
      <c r="T5" s="65"/>
      <c r="U5" s="65"/>
      <c r="V5" s="65"/>
      <c r="W5" s="65"/>
      <c r="X5" s="65"/>
    </row>
    <row r="6" ht="12.0" customHeight="1">
      <c r="A6" s="57"/>
      <c r="B6" s="57"/>
      <c r="C6" s="58"/>
      <c r="D6" s="59"/>
      <c r="E6" s="57"/>
      <c r="F6" s="57"/>
      <c r="G6" s="60"/>
      <c r="H6" s="57"/>
      <c r="I6" s="61"/>
      <c r="J6" s="62"/>
      <c r="K6" s="63"/>
      <c r="L6" s="63"/>
      <c r="M6" s="63"/>
      <c r="N6" s="64"/>
      <c r="O6" s="62"/>
      <c r="P6" s="64"/>
      <c r="Q6" s="59"/>
      <c r="R6" s="65"/>
      <c r="S6" s="65"/>
      <c r="T6" s="65"/>
      <c r="U6" s="65"/>
      <c r="V6" s="65"/>
      <c r="W6" s="65"/>
      <c r="X6" s="65"/>
    </row>
    <row r="7" ht="33.75" customHeight="1">
      <c r="A7" s="67" t="s">
        <v>3</v>
      </c>
      <c r="B7" s="67" t="s">
        <v>16</v>
      </c>
      <c r="C7" s="68" t="s">
        <v>17</v>
      </c>
      <c r="D7" s="67" t="s">
        <v>18</v>
      </c>
      <c r="E7" s="67" t="s">
        <v>6</v>
      </c>
      <c r="F7" s="67" t="s">
        <v>19</v>
      </c>
      <c r="G7" s="69" t="s">
        <v>20</v>
      </c>
      <c r="H7" s="67" t="s">
        <v>21</v>
      </c>
      <c r="I7" s="70" t="s">
        <v>22</v>
      </c>
      <c r="J7" s="71" t="s">
        <v>10</v>
      </c>
      <c r="K7" s="72" t="s">
        <v>23</v>
      </c>
      <c r="L7" s="72" t="s">
        <v>24</v>
      </c>
      <c r="M7" s="72" t="s">
        <v>25</v>
      </c>
      <c r="N7" s="71" t="s">
        <v>26</v>
      </c>
      <c r="O7" s="71" t="s">
        <v>9</v>
      </c>
      <c r="P7" s="71" t="s">
        <v>27</v>
      </c>
      <c r="Q7" s="73" t="s">
        <v>28</v>
      </c>
      <c r="R7" s="74" t="s">
        <v>29</v>
      </c>
      <c r="S7" s="74" t="s">
        <v>30</v>
      </c>
      <c r="T7" s="74" t="s">
        <v>31</v>
      </c>
      <c r="U7" s="74" t="s">
        <v>32</v>
      </c>
      <c r="V7" s="74" t="s">
        <v>33</v>
      </c>
      <c r="W7" s="74" t="s">
        <v>34</v>
      </c>
      <c r="X7" s="74" t="s">
        <v>35</v>
      </c>
    </row>
    <row r="8" ht="12.0" customHeight="1">
      <c r="A8" s="75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" s="75" t="str">
        <f>IFERROR(__xludf.DUMMYFUNCTION("IFERROR(IF(F8&lt;&gt;"""",""WHSE ""&amp;LEFT(F8,1),REGEXEXTRACT(E8,""-(?:\d{2}-)?([A-Z]+)"")),"""")
"),"WHSE B")</f>
        <v>WHSE B</v>
      </c>
      <c r="C8" s="76">
        <v>45200.0</v>
      </c>
      <c r="D8" s="77" t="s">
        <v>36</v>
      </c>
      <c r="E8" s="78" t="s">
        <v>37</v>
      </c>
      <c r="F8" s="78" t="s">
        <v>38</v>
      </c>
      <c r="G8" s="79"/>
      <c r="H8" s="80">
        <v>70120.0</v>
      </c>
      <c r="I8" s="81"/>
      <c r="J8" s="82">
        <v>11.5</v>
      </c>
      <c r="K8" s="83"/>
      <c r="L8" s="83"/>
      <c r="M8" s="83"/>
      <c r="N8" s="84"/>
      <c r="O8" s="85"/>
      <c r="P8" s="84"/>
      <c r="Q8" s="77" t="s">
        <v>39</v>
      </c>
      <c r="R8" s="86">
        <f t="shared" ref="R8:R1013" si="1">H8*J8</f>
        <v>806380</v>
      </c>
      <c r="S8" s="86">
        <f t="shared" ref="S8:S1013" si="2">H8*K8</f>
        <v>0</v>
      </c>
      <c r="T8" s="86">
        <f t="shared" ref="T8:T1013" si="3">H8*L8</f>
        <v>0</v>
      </c>
      <c r="U8" s="86">
        <f t="shared" ref="U8:U1013" si="4">H8*M8</f>
        <v>0</v>
      </c>
      <c r="V8" s="86">
        <f t="shared" ref="V8:V1013" si="5">H8*N8</f>
        <v>0</v>
      </c>
      <c r="W8" s="86">
        <f t="shared" ref="W8:W1013" si="6">H8*O8</f>
        <v>0</v>
      </c>
      <c r="X8" s="86">
        <f t="shared" ref="X8:X1013" si="7">H8*P8</f>
        <v>0</v>
      </c>
    </row>
    <row r="9" ht="12.0" customHeight="1">
      <c r="A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" s="87" t="str">
        <f>IFERROR(__xludf.DUMMYFUNCTION("IFERROR(IF(F9&lt;&gt;"""",""WHSE ""&amp;LEFT(F9,1),REGEXEXTRACT(E9,""-(?:\d{2}-)?([A-Z]+)"")),"""")
"),"WHSE B")</f>
        <v>WHSE B</v>
      </c>
      <c r="C9" s="88">
        <v>45200.0</v>
      </c>
      <c r="D9" s="89" t="s">
        <v>36</v>
      </c>
      <c r="E9" s="90" t="s">
        <v>40</v>
      </c>
      <c r="F9" s="90" t="s">
        <v>41</v>
      </c>
      <c r="G9" s="91"/>
      <c r="H9" s="92">
        <v>69760.0</v>
      </c>
      <c r="I9" s="93"/>
      <c r="J9" s="94">
        <v>14.4</v>
      </c>
      <c r="K9" s="95"/>
      <c r="L9" s="95"/>
      <c r="M9" s="95"/>
      <c r="N9" s="96"/>
      <c r="O9" s="97"/>
      <c r="P9" s="96"/>
      <c r="Q9" s="89" t="s">
        <v>39</v>
      </c>
      <c r="R9" s="86">
        <f t="shared" si="1"/>
        <v>1004544</v>
      </c>
      <c r="S9" s="86">
        <f t="shared" si="2"/>
        <v>0</v>
      </c>
      <c r="T9" s="86">
        <f t="shared" si="3"/>
        <v>0</v>
      </c>
      <c r="U9" s="86">
        <f t="shared" si="4"/>
        <v>0</v>
      </c>
      <c r="V9" s="86">
        <f t="shared" si="5"/>
        <v>0</v>
      </c>
      <c r="W9" s="86">
        <f t="shared" si="6"/>
        <v>0</v>
      </c>
      <c r="X9" s="86">
        <f t="shared" si="7"/>
        <v>0</v>
      </c>
    </row>
    <row r="10" ht="12.0" customHeight="1">
      <c r="A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" s="87" t="str">
        <f>IFERROR(__xludf.DUMMYFUNCTION("IFERROR(IF(F10&lt;&gt;"""",""WHSE ""&amp;LEFT(F10,1),REGEXEXTRACT(E10,""-(?:\d{2}-)?([A-Z]+)"")),"""")
"),"WHSE B")</f>
        <v>WHSE B</v>
      </c>
      <c r="C10" s="88">
        <v>45200.0</v>
      </c>
      <c r="D10" s="89" t="s">
        <v>36</v>
      </c>
      <c r="E10" s="90" t="s">
        <v>42</v>
      </c>
      <c r="F10" s="90" t="s">
        <v>43</v>
      </c>
      <c r="G10" s="91"/>
      <c r="H10" s="92">
        <v>59860.0</v>
      </c>
      <c r="I10" s="93"/>
      <c r="J10" s="94">
        <v>11.6</v>
      </c>
      <c r="K10" s="95"/>
      <c r="L10" s="95"/>
      <c r="M10" s="95"/>
      <c r="N10" s="96"/>
      <c r="O10" s="97"/>
      <c r="P10" s="96"/>
      <c r="Q10" s="89" t="s">
        <v>39</v>
      </c>
      <c r="R10" s="86">
        <f t="shared" si="1"/>
        <v>694376</v>
      </c>
      <c r="S10" s="86">
        <f t="shared" si="2"/>
        <v>0</v>
      </c>
      <c r="T10" s="86">
        <f t="shared" si="3"/>
        <v>0</v>
      </c>
      <c r="U10" s="86">
        <f t="shared" si="4"/>
        <v>0</v>
      </c>
      <c r="V10" s="86">
        <f t="shared" si="5"/>
        <v>0</v>
      </c>
      <c r="W10" s="86">
        <f t="shared" si="6"/>
        <v>0</v>
      </c>
      <c r="X10" s="86">
        <f t="shared" si="7"/>
        <v>0</v>
      </c>
    </row>
    <row r="11" ht="12.0" customHeight="1">
      <c r="A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" s="87" t="str">
        <f>IFERROR(__xludf.DUMMYFUNCTION("IFERROR(IF(F11&lt;&gt;"""",""WHSE ""&amp;LEFT(F11,1),REGEXEXTRACT(E11,""-(?:\d{2}-)?([A-Z]+)"")),"""")
"),"WHSE B")</f>
        <v>WHSE B</v>
      </c>
      <c r="C11" s="88">
        <v>45170.0</v>
      </c>
      <c r="D11" s="89" t="s">
        <v>36</v>
      </c>
      <c r="E11" s="90" t="s">
        <v>44</v>
      </c>
      <c r="F11" s="90" t="s">
        <v>45</v>
      </c>
      <c r="G11" s="91"/>
      <c r="H11" s="92">
        <v>64037.0</v>
      </c>
      <c r="I11" s="93"/>
      <c r="J11" s="94">
        <v>12.0</v>
      </c>
      <c r="K11" s="95"/>
      <c r="L11" s="95"/>
      <c r="M11" s="95"/>
      <c r="N11" s="96"/>
      <c r="O11" s="97"/>
      <c r="P11" s="96"/>
      <c r="Q11" s="89" t="s">
        <v>39</v>
      </c>
      <c r="R11" s="86">
        <f t="shared" si="1"/>
        <v>768444</v>
      </c>
      <c r="S11" s="86">
        <f t="shared" si="2"/>
        <v>0</v>
      </c>
      <c r="T11" s="86">
        <f t="shared" si="3"/>
        <v>0</v>
      </c>
      <c r="U11" s="86">
        <f t="shared" si="4"/>
        <v>0</v>
      </c>
      <c r="V11" s="86">
        <f t="shared" si="5"/>
        <v>0</v>
      </c>
      <c r="W11" s="86">
        <f t="shared" si="6"/>
        <v>0</v>
      </c>
      <c r="X11" s="86">
        <f t="shared" si="7"/>
        <v>0</v>
      </c>
    </row>
    <row r="12" ht="12.0" customHeight="1">
      <c r="A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" s="87" t="str">
        <f>IFERROR(__xludf.DUMMYFUNCTION("IFERROR(IF(F12&lt;&gt;"""",""WHSE ""&amp;LEFT(F12,1),REGEXEXTRACT(E12,""-(?:\d{2}-)?([A-Z]+)"")),"""")
"),"WHSE B")</f>
        <v>WHSE B</v>
      </c>
      <c r="C12" s="88">
        <v>45170.0</v>
      </c>
      <c r="D12" s="89" t="s">
        <v>36</v>
      </c>
      <c r="E12" s="90" t="s">
        <v>46</v>
      </c>
      <c r="F12" s="90" t="s">
        <v>47</v>
      </c>
      <c r="G12" s="91"/>
      <c r="H12" s="92">
        <v>70612.0</v>
      </c>
      <c r="I12" s="93"/>
      <c r="J12" s="94">
        <v>12.0</v>
      </c>
      <c r="K12" s="95"/>
      <c r="L12" s="95"/>
      <c r="M12" s="95"/>
      <c r="N12" s="96"/>
      <c r="O12" s="97"/>
      <c r="P12" s="96"/>
      <c r="Q12" s="89" t="s">
        <v>39</v>
      </c>
      <c r="R12" s="86">
        <f t="shared" si="1"/>
        <v>847344</v>
      </c>
      <c r="S12" s="86">
        <f t="shared" si="2"/>
        <v>0</v>
      </c>
      <c r="T12" s="86">
        <f t="shared" si="3"/>
        <v>0</v>
      </c>
      <c r="U12" s="86">
        <f t="shared" si="4"/>
        <v>0</v>
      </c>
      <c r="V12" s="86">
        <f t="shared" si="5"/>
        <v>0</v>
      </c>
      <c r="W12" s="86">
        <f t="shared" si="6"/>
        <v>0</v>
      </c>
      <c r="X12" s="86">
        <f t="shared" si="7"/>
        <v>0</v>
      </c>
    </row>
    <row r="13" ht="12.0" customHeight="1">
      <c r="A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" s="87" t="str">
        <f>IFERROR(__xludf.DUMMYFUNCTION("IFERROR(IF(F13&lt;&gt;"""",""WHSE ""&amp;LEFT(F13,1),REGEXEXTRACT(E13,""-(?:\d{2}-)?([A-Z]+)"")),"""")
"),"WHSE B")</f>
        <v>WHSE B</v>
      </c>
      <c r="C13" s="88">
        <v>45170.0</v>
      </c>
      <c r="D13" s="89" t="s">
        <v>36</v>
      </c>
      <c r="E13" s="90" t="s">
        <v>48</v>
      </c>
      <c r="F13" s="90" t="s">
        <v>49</v>
      </c>
      <c r="G13" s="91"/>
      <c r="H13" s="92">
        <v>78467.0</v>
      </c>
      <c r="I13" s="93"/>
      <c r="J13" s="94">
        <v>14.0</v>
      </c>
      <c r="K13" s="95"/>
      <c r="L13" s="95"/>
      <c r="M13" s="95"/>
      <c r="N13" s="96"/>
      <c r="O13" s="97"/>
      <c r="P13" s="96"/>
      <c r="Q13" s="89" t="s">
        <v>39</v>
      </c>
      <c r="R13" s="86">
        <f t="shared" si="1"/>
        <v>1098538</v>
      </c>
      <c r="S13" s="86">
        <f t="shared" si="2"/>
        <v>0</v>
      </c>
      <c r="T13" s="86">
        <f t="shared" si="3"/>
        <v>0</v>
      </c>
      <c r="U13" s="86">
        <f t="shared" si="4"/>
        <v>0</v>
      </c>
      <c r="V13" s="86">
        <f t="shared" si="5"/>
        <v>0</v>
      </c>
      <c r="W13" s="86">
        <f t="shared" si="6"/>
        <v>0</v>
      </c>
      <c r="X13" s="86">
        <f t="shared" si="7"/>
        <v>0</v>
      </c>
    </row>
    <row r="14" ht="12.0" customHeight="1">
      <c r="A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" s="87" t="str">
        <f>IFERROR(__xludf.DUMMYFUNCTION("IFERROR(IF(F14&lt;&gt;"""",""WHSE ""&amp;LEFT(F14,1),REGEXEXTRACT(E14,""-(?:\d{2}-)?([A-Z]+)"")),"""")
"),"WHSE B")</f>
        <v>WHSE B</v>
      </c>
      <c r="C14" s="88">
        <v>45139.0</v>
      </c>
      <c r="D14" s="89" t="s">
        <v>36</v>
      </c>
      <c r="E14" s="90" t="s">
        <v>50</v>
      </c>
      <c r="F14" s="90" t="s">
        <v>51</v>
      </c>
      <c r="G14" s="91"/>
      <c r="H14" s="92">
        <v>77540.0</v>
      </c>
      <c r="I14" s="93"/>
      <c r="J14" s="94">
        <v>11.0</v>
      </c>
      <c r="K14" s="95"/>
      <c r="L14" s="95"/>
      <c r="M14" s="95"/>
      <c r="N14" s="96"/>
      <c r="O14" s="97"/>
      <c r="P14" s="96"/>
      <c r="Q14" s="89" t="s">
        <v>39</v>
      </c>
      <c r="R14" s="86">
        <f t="shared" si="1"/>
        <v>852940</v>
      </c>
      <c r="S14" s="86">
        <f t="shared" si="2"/>
        <v>0</v>
      </c>
      <c r="T14" s="86">
        <f t="shared" si="3"/>
        <v>0</v>
      </c>
      <c r="U14" s="86">
        <f t="shared" si="4"/>
        <v>0</v>
      </c>
      <c r="V14" s="86">
        <f t="shared" si="5"/>
        <v>0</v>
      </c>
      <c r="W14" s="86">
        <f t="shared" si="6"/>
        <v>0</v>
      </c>
      <c r="X14" s="86">
        <f t="shared" si="7"/>
        <v>0</v>
      </c>
    </row>
    <row r="15" ht="12.0" customHeight="1">
      <c r="A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" s="87" t="str">
        <f>IFERROR(__xludf.DUMMYFUNCTION("IFERROR(IF(F15&lt;&gt;"""",""WHSE ""&amp;LEFT(F15,1),REGEXEXTRACT(E15,""-(?:\d{2}-)?([A-Z]+)"")),"""")
"),"WHSE B")</f>
        <v>WHSE B</v>
      </c>
      <c r="C15" s="88">
        <v>45139.0</v>
      </c>
      <c r="D15" s="89" t="s">
        <v>36</v>
      </c>
      <c r="E15" s="90" t="s">
        <v>52</v>
      </c>
      <c r="F15" s="90" t="s">
        <v>53</v>
      </c>
      <c r="G15" s="91"/>
      <c r="H15" s="92">
        <v>70805.0</v>
      </c>
      <c r="I15" s="93"/>
      <c r="J15" s="94">
        <v>11.8</v>
      </c>
      <c r="K15" s="95"/>
      <c r="L15" s="95"/>
      <c r="M15" s="95"/>
      <c r="N15" s="96"/>
      <c r="O15" s="97"/>
      <c r="P15" s="96"/>
      <c r="Q15" s="89" t="s">
        <v>39</v>
      </c>
      <c r="R15" s="86">
        <f t="shared" si="1"/>
        <v>835499</v>
      </c>
      <c r="S15" s="86">
        <f t="shared" si="2"/>
        <v>0</v>
      </c>
      <c r="T15" s="86">
        <f t="shared" si="3"/>
        <v>0</v>
      </c>
      <c r="U15" s="86">
        <f t="shared" si="4"/>
        <v>0</v>
      </c>
      <c r="V15" s="86">
        <f t="shared" si="5"/>
        <v>0</v>
      </c>
      <c r="W15" s="86">
        <f t="shared" si="6"/>
        <v>0</v>
      </c>
      <c r="X15" s="86">
        <f t="shared" si="7"/>
        <v>0</v>
      </c>
    </row>
    <row r="16" ht="12.0" customHeight="1">
      <c r="A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6" s="87" t="str">
        <f>IFERROR(__xludf.DUMMYFUNCTION("IFERROR(IF(F16&lt;&gt;"""",""WHSE ""&amp;LEFT(F16,1),REGEXEXTRACT(E16,""-(?:\d{2}-)?([A-Z]+)"")),"""")
"),"WHSE B")</f>
        <v>WHSE B</v>
      </c>
      <c r="C16" s="88">
        <v>45139.0</v>
      </c>
      <c r="D16" s="89" t="s">
        <v>36</v>
      </c>
      <c r="E16" s="90" t="s">
        <v>54</v>
      </c>
      <c r="F16" s="90" t="s">
        <v>55</v>
      </c>
      <c r="G16" s="91"/>
      <c r="H16" s="92">
        <v>75471.0</v>
      </c>
      <c r="I16" s="93"/>
      <c r="J16" s="94">
        <v>12.2</v>
      </c>
      <c r="K16" s="95"/>
      <c r="L16" s="95"/>
      <c r="M16" s="95"/>
      <c r="N16" s="96"/>
      <c r="O16" s="97"/>
      <c r="P16" s="96"/>
      <c r="Q16" s="89" t="s">
        <v>39</v>
      </c>
      <c r="R16" s="86">
        <f t="shared" si="1"/>
        <v>920746.2</v>
      </c>
      <c r="S16" s="86">
        <f t="shared" si="2"/>
        <v>0</v>
      </c>
      <c r="T16" s="86">
        <f t="shared" si="3"/>
        <v>0</v>
      </c>
      <c r="U16" s="86">
        <f t="shared" si="4"/>
        <v>0</v>
      </c>
      <c r="V16" s="86">
        <f t="shared" si="5"/>
        <v>0</v>
      </c>
      <c r="W16" s="86">
        <f t="shared" si="6"/>
        <v>0</v>
      </c>
      <c r="X16" s="86">
        <f t="shared" si="7"/>
        <v>0</v>
      </c>
    </row>
    <row r="17" ht="12.0" customHeight="1">
      <c r="A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" s="87" t="str">
        <f>IFERROR(__xludf.DUMMYFUNCTION("IFERROR(IF(F17&lt;&gt;"""",""WHSE ""&amp;LEFT(F17,1),REGEXEXTRACT(E17,""-(?:\d{2}-)?([A-Z]+)"")),"""")
"),"WHSE B")</f>
        <v>WHSE B</v>
      </c>
      <c r="C17" s="88">
        <v>45139.0</v>
      </c>
      <c r="D17" s="89" t="s">
        <v>36</v>
      </c>
      <c r="E17" s="90" t="s">
        <v>56</v>
      </c>
      <c r="F17" s="90" t="s">
        <v>57</v>
      </c>
      <c r="G17" s="91"/>
      <c r="H17" s="92">
        <v>74833.0</v>
      </c>
      <c r="I17" s="93"/>
      <c r="J17" s="94">
        <v>12.0</v>
      </c>
      <c r="K17" s="95"/>
      <c r="L17" s="95"/>
      <c r="M17" s="95"/>
      <c r="N17" s="96"/>
      <c r="O17" s="97"/>
      <c r="P17" s="96"/>
      <c r="Q17" s="89" t="s">
        <v>39</v>
      </c>
      <c r="R17" s="86">
        <f t="shared" si="1"/>
        <v>897996</v>
      </c>
      <c r="S17" s="86">
        <f t="shared" si="2"/>
        <v>0</v>
      </c>
      <c r="T17" s="86">
        <f t="shared" si="3"/>
        <v>0</v>
      </c>
      <c r="U17" s="86">
        <f t="shared" si="4"/>
        <v>0</v>
      </c>
      <c r="V17" s="86">
        <f t="shared" si="5"/>
        <v>0</v>
      </c>
      <c r="W17" s="86">
        <f t="shared" si="6"/>
        <v>0</v>
      </c>
      <c r="X17" s="86">
        <f t="shared" si="7"/>
        <v>0</v>
      </c>
    </row>
    <row r="18" ht="12.0" customHeight="1">
      <c r="A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8" s="87" t="str">
        <f>IFERROR(__xludf.DUMMYFUNCTION("IFERROR(IF(F18&lt;&gt;"""",""WHSE ""&amp;LEFT(F18,1),REGEXEXTRACT(E18,""-(?:\d{2}-)?([A-Z]+)"")),"""")
"),"WHSE B")</f>
        <v>WHSE B</v>
      </c>
      <c r="C18" s="88">
        <v>45108.0</v>
      </c>
      <c r="D18" s="89" t="s">
        <v>36</v>
      </c>
      <c r="E18" s="90" t="s">
        <v>58</v>
      </c>
      <c r="F18" s="90" t="s">
        <v>59</v>
      </c>
      <c r="G18" s="91"/>
      <c r="H18" s="92">
        <v>58226.0</v>
      </c>
      <c r="I18" s="93"/>
      <c r="J18" s="94">
        <v>12.0</v>
      </c>
      <c r="K18" s="95"/>
      <c r="L18" s="95"/>
      <c r="M18" s="95"/>
      <c r="N18" s="96"/>
      <c r="O18" s="97"/>
      <c r="P18" s="96"/>
      <c r="Q18" s="89" t="s">
        <v>39</v>
      </c>
      <c r="R18" s="86">
        <f t="shared" si="1"/>
        <v>698712</v>
      </c>
      <c r="S18" s="86">
        <f t="shared" si="2"/>
        <v>0</v>
      </c>
      <c r="T18" s="86">
        <f t="shared" si="3"/>
        <v>0</v>
      </c>
      <c r="U18" s="86">
        <f t="shared" si="4"/>
        <v>0</v>
      </c>
      <c r="V18" s="86">
        <f t="shared" si="5"/>
        <v>0</v>
      </c>
      <c r="W18" s="86">
        <f t="shared" si="6"/>
        <v>0</v>
      </c>
      <c r="X18" s="86">
        <f t="shared" si="7"/>
        <v>0</v>
      </c>
    </row>
    <row r="19" ht="12.0" customHeight="1">
      <c r="A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" s="87" t="str">
        <f>IFERROR(__xludf.DUMMYFUNCTION("IFERROR(IF(F19&lt;&gt;"""",""WHSE ""&amp;LEFT(F19,1),REGEXEXTRACT(E19,""-(?:\d{2}-)?([A-Z]+)"")),"""")
"),"WHSE B")</f>
        <v>WHSE B</v>
      </c>
      <c r="C19" s="88">
        <v>45299.0</v>
      </c>
      <c r="D19" s="89" t="s">
        <v>60</v>
      </c>
      <c r="E19" s="90" t="s">
        <v>61</v>
      </c>
      <c r="F19" s="90" t="s">
        <v>62</v>
      </c>
      <c r="G19" s="98" t="s">
        <v>63</v>
      </c>
      <c r="H19" s="92">
        <v>21250.0</v>
      </c>
      <c r="I19" s="99">
        <v>620.0</v>
      </c>
      <c r="J19" s="94">
        <v>11.74</v>
      </c>
      <c r="K19" s="100">
        <v>2.39</v>
      </c>
      <c r="L19" s="100">
        <v>0.568</v>
      </c>
      <c r="M19" s="100">
        <v>0.588</v>
      </c>
      <c r="N19" s="101">
        <v>11.98</v>
      </c>
      <c r="O19" s="94">
        <v>3.8</v>
      </c>
      <c r="P19" s="101">
        <v>84.22</v>
      </c>
      <c r="Q19" s="102"/>
      <c r="R19" s="103">
        <f t="shared" si="1"/>
        <v>249475</v>
      </c>
      <c r="S19" s="103">
        <f t="shared" si="2"/>
        <v>50787.5</v>
      </c>
      <c r="T19" s="103">
        <f t="shared" si="3"/>
        <v>12070</v>
      </c>
      <c r="U19" s="103">
        <f t="shared" si="4"/>
        <v>12495</v>
      </c>
      <c r="V19" s="103">
        <f t="shared" si="5"/>
        <v>254575</v>
      </c>
      <c r="W19" s="103">
        <f t="shared" si="6"/>
        <v>80750</v>
      </c>
      <c r="X19" s="103">
        <f t="shared" si="7"/>
        <v>1789675</v>
      </c>
    </row>
    <row r="20" ht="12.0" customHeight="1">
      <c r="A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" s="87" t="str">
        <f>IFERROR(__xludf.DUMMYFUNCTION("IFERROR(IF(F20&lt;&gt;"""",""WHSE ""&amp;LEFT(F20,1),REGEXEXTRACT(E20,""-(?:\d{2}-)?([A-Z]+)"")),"""")
"),"WHSE B")</f>
        <v>WHSE B</v>
      </c>
      <c r="C20" s="88">
        <v>45302.0</v>
      </c>
      <c r="D20" s="89" t="s">
        <v>64</v>
      </c>
      <c r="E20" s="90" t="s">
        <v>61</v>
      </c>
      <c r="F20" s="90" t="s">
        <v>62</v>
      </c>
      <c r="G20" s="98" t="s">
        <v>65</v>
      </c>
      <c r="H20" s="92">
        <v>22865.0</v>
      </c>
      <c r="I20" s="99">
        <v>620.0</v>
      </c>
      <c r="J20" s="94">
        <v>11.14</v>
      </c>
      <c r="K20" s="100">
        <v>2.54</v>
      </c>
      <c r="L20" s="100">
        <v>0.575</v>
      </c>
      <c r="M20" s="100">
        <v>0.595</v>
      </c>
      <c r="N20" s="101">
        <v>12.77</v>
      </c>
      <c r="O20" s="94">
        <v>3.17</v>
      </c>
      <c r="P20" s="101">
        <v>84.06</v>
      </c>
      <c r="Q20" s="102"/>
      <c r="R20" s="103">
        <f t="shared" si="1"/>
        <v>254716.1</v>
      </c>
      <c r="S20" s="103">
        <f t="shared" si="2"/>
        <v>58077.1</v>
      </c>
      <c r="T20" s="103">
        <f t="shared" si="3"/>
        <v>13147.375</v>
      </c>
      <c r="U20" s="103">
        <f t="shared" si="4"/>
        <v>13604.675</v>
      </c>
      <c r="V20" s="103">
        <f t="shared" si="5"/>
        <v>291986.05</v>
      </c>
      <c r="W20" s="103">
        <f t="shared" si="6"/>
        <v>72482.05</v>
      </c>
      <c r="X20" s="103">
        <f t="shared" si="7"/>
        <v>1922031.9</v>
      </c>
    </row>
    <row r="21" ht="12.0" customHeight="1">
      <c r="A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1" s="87" t="str">
        <f>IFERROR(__xludf.DUMMYFUNCTION("IFERROR(IF(F21&lt;&gt;"""",""WHSE ""&amp;LEFT(F21,1),REGEXEXTRACT(E21,""-(?:\d{2}-)?([A-Z]+)"")),"""")
"),"WHSE B")</f>
        <v>WHSE B</v>
      </c>
      <c r="C21" s="88">
        <v>45306.0</v>
      </c>
      <c r="D21" s="89" t="s">
        <v>64</v>
      </c>
      <c r="E21" s="90" t="s">
        <v>61</v>
      </c>
      <c r="F21" s="90" t="s">
        <v>62</v>
      </c>
      <c r="G21" s="98" t="s">
        <v>65</v>
      </c>
      <c r="H21" s="92">
        <v>24648.0</v>
      </c>
      <c r="I21" s="99">
        <v>650.0</v>
      </c>
      <c r="J21" s="94">
        <v>11.34</v>
      </c>
      <c r="K21" s="100">
        <v>2.76</v>
      </c>
      <c r="L21" s="100">
        <v>0.575</v>
      </c>
      <c r="M21" s="100">
        <v>0.595</v>
      </c>
      <c r="N21" s="101">
        <v>12.27</v>
      </c>
      <c r="O21" s="94">
        <v>5.09</v>
      </c>
      <c r="P21" s="101">
        <v>82.64</v>
      </c>
      <c r="Q21" s="89" t="s">
        <v>66</v>
      </c>
      <c r="R21" s="86">
        <f t="shared" si="1"/>
        <v>279508.32</v>
      </c>
      <c r="S21" s="86">
        <f t="shared" si="2"/>
        <v>68028.48</v>
      </c>
      <c r="T21" s="86">
        <f t="shared" si="3"/>
        <v>14172.6</v>
      </c>
      <c r="U21" s="86">
        <f t="shared" si="4"/>
        <v>14665.56</v>
      </c>
      <c r="V21" s="86">
        <f t="shared" si="5"/>
        <v>302430.96</v>
      </c>
      <c r="W21" s="86">
        <f t="shared" si="6"/>
        <v>125458.32</v>
      </c>
      <c r="X21" s="86">
        <f t="shared" si="7"/>
        <v>2036910.72</v>
      </c>
    </row>
    <row r="22" ht="12.0" customHeight="1">
      <c r="A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2" s="87" t="str">
        <f>IFERROR(__xludf.DUMMYFUNCTION("IFERROR(IF(F22&lt;&gt;"""",""WHSE ""&amp;LEFT(F22,1),REGEXEXTRACT(E22,""-(?:\d{2}-)?([A-Z]+)"")),"""")
"),"WHSE B")</f>
        <v>WHSE B</v>
      </c>
      <c r="C22" s="88">
        <v>45306.0</v>
      </c>
      <c r="D22" s="89" t="s">
        <v>64</v>
      </c>
      <c r="E22" s="90" t="s">
        <v>67</v>
      </c>
      <c r="F22" s="90" t="s">
        <v>68</v>
      </c>
      <c r="G22" s="98" t="s">
        <v>69</v>
      </c>
      <c r="H22" s="92">
        <v>12585.0</v>
      </c>
      <c r="I22" s="99">
        <v>415.0</v>
      </c>
      <c r="J22" s="94">
        <v>11.0</v>
      </c>
      <c r="K22" s="100">
        <v>2.4</v>
      </c>
      <c r="L22" s="100">
        <v>0.571</v>
      </c>
      <c r="M22" s="100">
        <v>0.591</v>
      </c>
      <c r="N22" s="101">
        <v>11.91</v>
      </c>
      <c r="O22" s="94">
        <v>4.47</v>
      </c>
      <c r="P22" s="101">
        <v>83.62</v>
      </c>
      <c r="Q22" s="102"/>
      <c r="R22" s="103">
        <f t="shared" si="1"/>
        <v>138435</v>
      </c>
      <c r="S22" s="103">
        <f t="shared" si="2"/>
        <v>30204</v>
      </c>
      <c r="T22" s="103">
        <f t="shared" si="3"/>
        <v>7186.035</v>
      </c>
      <c r="U22" s="103">
        <f t="shared" si="4"/>
        <v>7437.735</v>
      </c>
      <c r="V22" s="103">
        <f t="shared" si="5"/>
        <v>149887.35</v>
      </c>
      <c r="W22" s="103">
        <f t="shared" si="6"/>
        <v>56254.95</v>
      </c>
      <c r="X22" s="103">
        <f t="shared" si="7"/>
        <v>1052357.7</v>
      </c>
    </row>
    <row r="23" ht="12.0" customHeight="1">
      <c r="A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3" s="87" t="str">
        <f>IFERROR(__xludf.DUMMYFUNCTION("IFERROR(IF(F23&lt;&gt;"""",""WHSE ""&amp;LEFT(F23,1),REGEXEXTRACT(E23,""-(?:\d{2}-)?([A-Z]+)"")),"""")
"),"WHSE B")</f>
        <v>WHSE B</v>
      </c>
      <c r="C23" s="88">
        <v>45314.0</v>
      </c>
      <c r="D23" s="89" t="s">
        <v>70</v>
      </c>
      <c r="E23" s="90" t="s">
        <v>61</v>
      </c>
      <c r="F23" s="90" t="s">
        <v>62</v>
      </c>
      <c r="G23" s="98" t="s">
        <v>71</v>
      </c>
      <c r="H23" s="92">
        <v>14395.0</v>
      </c>
      <c r="I23" s="99">
        <v>400.0</v>
      </c>
      <c r="J23" s="94">
        <v>12.0</v>
      </c>
      <c r="K23" s="100">
        <v>1.17</v>
      </c>
      <c r="L23" s="100">
        <v>0.588</v>
      </c>
      <c r="M23" s="100">
        <v>0.608</v>
      </c>
      <c r="N23" s="101">
        <v>12.27</v>
      </c>
      <c r="O23" s="94">
        <v>3.53</v>
      </c>
      <c r="P23" s="101">
        <v>84.2</v>
      </c>
      <c r="Q23" s="102"/>
      <c r="R23" s="103">
        <f t="shared" si="1"/>
        <v>172740</v>
      </c>
      <c r="S23" s="103">
        <f t="shared" si="2"/>
        <v>16842.15</v>
      </c>
      <c r="T23" s="103">
        <f t="shared" si="3"/>
        <v>8464.26</v>
      </c>
      <c r="U23" s="103">
        <f t="shared" si="4"/>
        <v>8752.16</v>
      </c>
      <c r="V23" s="103">
        <f t="shared" si="5"/>
        <v>176626.65</v>
      </c>
      <c r="W23" s="103">
        <f t="shared" si="6"/>
        <v>50814.35</v>
      </c>
      <c r="X23" s="103">
        <f t="shared" si="7"/>
        <v>1212059</v>
      </c>
    </row>
    <row r="24" ht="12.0" customHeight="1">
      <c r="A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4" s="87" t="str">
        <f>IFERROR(__xludf.DUMMYFUNCTION("IFERROR(IF(F24&lt;&gt;"""",""WHSE ""&amp;LEFT(F24,1),REGEXEXTRACT(E24,""-(?:\d{2}-)?([A-Z]+)"")),"""")
"),"WHSE B")</f>
        <v>WHSE B</v>
      </c>
      <c r="C24" s="88">
        <v>45317.0</v>
      </c>
      <c r="D24" s="89" t="s">
        <v>72</v>
      </c>
      <c r="E24" s="90" t="s">
        <v>67</v>
      </c>
      <c r="F24" s="90" t="s">
        <v>68</v>
      </c>
      <c r="G24" s="98" t="s">
        <v>73</v>
      </c>
      <c r="H24" s="92">
        <v>18575.0</v>
      </c>
      <c r="I24" s="99">
        <v>440.0</v>
      </c>
      <c r="J24" s="94">
        <v>11.74</v>
      </c>
      <c r="K24" s="100">
        <v>2.38</v>
      </c>
      <c r="L24" s="100">
        <v>0.575</v>
      </c>
      <c r="M24" s="100">
        <v>0.595</v>
      </c>
      <c r="N24" s="101">
        <v>12.45</v>
      </c>
      <c r="O24" s="94">
        <v>3.91</v>
      </c>
      <c r="P24" s="101">
        <v>83.64</v>
      </c>
      <c r="Q24" s="102"/>
      <c r="R24" s="103">
        <f t="shared" si="1"/>
        <v>218070.5</v>
      </c>
      <c r="S24" s="103">
        <f t="shared" si="2"/>
        <v>44208.5</v>
      </c>
      <c r="T24" s="103">
        <f t="shared" si="3"/>
        <v>10680.625</v>
      </c>
      <c r="U24" s="103">
        <f t="shared" si="4"/>
        <v>11052.125</v>
      </c>
      <c r="V24" s="103">
        <f t="shared" si="5"/>
        <v>231258.75</v>
      </c>
      <c r="W24" s="103">
        <f t="shared" si="6"/>
        <v>72628.25</v>
      </c>
      <c r="X24" s="103">
        <f t="shared" si="7"/>
        <v>1553613</v>
      </c>
    </row>
    <row r="25" ht="12.0" customHeight="1">
      <c r="A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5" s="87" t="str">
        <f>IFERROR(__xludf.DUMMYFUNCTION("IFERROR(IF(F25&lt;&gt;"""",""WHSE ""&amp;LEFT(F25,1),REGEXEXTRACT(E25,""-(?:\d{2}-)?([A-Z]+)"")),"""")
"),"WHSE B")</f>
        <v>WHSE B</v>
      </c>
      <c r="C25" s="88">
        <v>45317.0</v>
      </c>
      <c r="D25" s="89" t="s">
        <v>64</v>
      </c>
      <c r="E25" s="90" t="s">
        <v>67</v>
      </c>
      <c r="F25" s="90" t="s">
        <v>68</v>
      </c>
      <c r="G25" s="98" t="s">
        <v>74</v>
      </c>
      <c r="H25" s="92">
        <v>20095.0</v>
      </c>
      <c r="I25" s="99">
        <v>620.0</v>
      </c>
      <c r="J25" s="94">
        <v>12.0</v>
      </c>
      <c r="K25" s="100">
        <v>2.67</v>
      </c>
      <c r="L25" s="100">
        <v>0.568</v>
      </c>
      <c r="M25" s="100">
        <v>0.588</v>
      </c>
      <c r="N25" s="101">
        <v>12.7</v>
      </c>
      <c r="O25" s="94">
        <v>4.1</v>
      </c>
      <c r="P25" s="101">
        <v>83.2</v>
      </c>
      <c r="Q25" s="102"/>
      <c r="R25" s="103">
        <f t="shared" si="1"/>
        <v>241140</v>
      </c>
      <c r="S25" s="103">
        <f t="shared" si="2"/>
        <v>53653.65</v>
      </c>
      <c r="T25" s="103">
        <f t="shared" si="3"/>
        <v>11413.96</v>
      </c>
      <c r="U25" s="103">
        <f t="shared" si="4"/>
        <v>11815.86</v>
      </c>
      <c r="V25" s="103">
        <f t="shared" si="5"/>
        <v>255206.5</v>
      </c>
      <c r="W25" s="103">
        <f t="shared" si="6"/>
        <v>82389.5</v>
      </c>
      <c r="X25" s="103">
        <f t="shared" si="7"/>
        <v>1671904</v>
      </c>
    </row>
    <row r="26" ht="12.0" customHeight="1">
      <c r="A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6" s="87" t="str">
        <f>IFERROR(__xludf.DUMMYFUNCTION("IFERROR(IF(F26&lt;&gt;"""",""WHSE ""&amp;LEFT(F26,1),REGEXEXTRACT(E26,""-(?:\d{2}-)?([A-Z]+)"")),"""")
"),"WHSE B")</f>
        <v>WHSE B</v>
      </c>
      <c r="C26" s="88">
        <v>45322.0</v>
      </c>
      <c r="D26" s="89" t="s">
        <v>72</v>
      </c>
      <c r="E26" s="90" t="s">
        <v>75</v>
      </c>
      <c r="F26" s="90" t="s">
        <v>76</v>
      </c>
      <c r="G26" s="98" t="s">
        <v>77</v>
      </c>
      <c r="H26" s="92">
        <v>17415.0</v>
      </c>
      <c r="I26" s="99">
        <v>430.0</v>
      </c>
      <c r="J26" s="94">
        <v>10.74</v>
      </c>
      <c r="K26" s="100">
        <v>2.4</v>
      </c>
      <c r="L26" s="100">
        <v>0.578</v>
      </c>
      <c r="M26" s="100">
        <v>0.598</v>
      </c>
      <c r="N26" s="101">
        <v>13.19</v>
      </c>
      <c r="O26" s="94">
        <v>3.94</v>
      </c>
      <c r="P26" s="101">
        <v>82.87</v>
      </c>
      <c r="Q26" s="102"/>
      <c r="R26" s="103">
        <f t="shared" si="1"/>
        <v>187037.1</v>
      </c>
      <c r="S26" s="103">
        <f t="shared" si="2"/>
        <v>41796</v>
      </c>
      <c r="T26" s="103">
        <f t="shared" si="3"/>
        <v>10065.87</v>
      </c>
      <c r="U26" s="103">
        <f t="shared" si="4"/>
        <v>10414.17</v>
      </c>
      <c r="V26" s="103">
        <f t="shared" si="5"/>
        <v>229703.85</v>
      </c>
      <c r="W26" s="103">
        <f t="shared" si="6"/>
        <v>68615.1</v>
      </c>
      <c r="X26" s="103">
        <f t="shared" si="7"/>
        <v>1443181.05</v>
      </c>
    </row>
    <row r="27" ht="12.0" customHeight="1">
      <c r="A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7" s="87" t="str">
        <f>IFERROR(__xludf.DUMMYFUNCTION("IFERROR(IF(F27&lt;&gt;"""",""WHSE ""&amp;LEFT(F27,1),REGEXEXTRACT(E27,""-(?:\d{2}-)?([A-Z]+)"")),"""")
"),"WHSE B")</f>
        <v>WHSE B</v>
      </c>
      <c r="C27" s="88">
        <v>45329.0</v>
      </c>
      <c r="D27" s="89" t="s">
        <v>72</v>
      </c>
      <c r="E27" s="90" t="s">
        <v>75</v>
      </c>
      <c r="F27" s="90" t="s">
        <v>76</v>
      </c>
      <c r="G27" s="98" t="s">
        <v>73</v>
      </c>
      <c r="H27" s="92">
        <v>18305.0</v>
      </c>
      <c r="I27" s="99">
        <v>430.0</v>
      </c>
      <c r="J27" s="94">
        <v>11.8</v>
      </c>
      <c r="K27" s="100">
        <v>2.68</v>
      </c>
      <c r="L27" s="100">
        <v>0.578</v>
      </c>
      <c r="M27" s="100">
        <v>0.598</v>
      </c>
      <c r="N27" s="101">
        <v>13.15</v>
      </c>
      <c r="O27" s="94">
        <v>4.23</v>
      </c>
      <c r="P27" s="101">
        <v>82.62</v>
      </c>
      <c r="Q27" s="89" t="s">
        <v>78</v>
      </c>
      <c r="R27" s="86">
        <f t="shared" si="1"/>
        <v>215999</v>
      </c>
      <c r="S27" s="86">
        <f t="shared" si="2"/>
        <v>49057.4</v>
      </c>
      <c r="T27" s="86">
        <f t="shared" si="3"/>
        <v>10580.29</v>
      </c>
      <c r="U27" s="86">
        <f t="shared" si="4"/>
        <v>10946.39</v>
      </c>
      <c r="V27" s="86">
        <f t="shared" si="5"/>
        <v>240710.75</v>
      </c>
      <c r="W27" s="86">
        <f t="shared" si="6"/>
        <v>77430.15</v>
      </c>
      <c r="X27" s="86">
        <f t="shared" si="7"/>
        <v>1512359.1</v>
      </c>
    </row>
    <row r="28" ht="12.0" customHeight="1">
      <c r="A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8" s="87" t="str">
        <f>IFERROR(__xludf.DUMMYFUNCTION("IFERROR(IF(F28&lt;&gt;"""",""WHSE ""&amp;LEFT(F28,1),REGEXEXTRACT(E28,""-(?:\d{2}-)?([A-Z]+)"")),"""")
"),"WHSE B")</f>
        <v>WHSE B</v>
      </c>
      <c r="C28" s="88">
        <v>45334.0</v>
      </c>
      <c r="D28" s="89" t="s">
        <v>72</v>
      </c>
      <c r="E28" s="90" t="s">
        <v>75</v>
      </c>
      <c r="F28" s="90" t="s">
        <v>76</v>
      </c>
      <c r="G28" s="98" t="s">
        <v>77</v>
      </c>
      <c r="H28" s="92">
        <v>18810.0</v>
      </c>
      <c r="I28" s="99">
        <v>440.0</v>
      </c>
      <c r="J28" s="94">
        <v>11.94</v>
      </c>
      <c r="K28" s="100">
        <v>2.47</v>
      </c>
      <c r="L28" s="100">
        <v>0.575</v>
      </c>
      <c r="M28" s="100">
        <v>0.595</v>
      </c>
      <c r="N28" s="101">
        <v>13.19</v>
      </c>
      <c r="O28" s="94">
        <v>3.86</v>
      </c>
      <c r="P28" s="101">
        <v>82.95</v>
      </c>
      <c r="Q28" s="89" t="s">
        <v>78</v>
      </c>
      <c r="R28" s="86">
        <f t="shared" si="1"/>
        <v>224591.4</v>
      </c>
      <c r="S28" s="86">
        <f t="shared" si="2"/>
        <v>46460.7</v>
      </c>
      <c r="T28" s="86">
        <f t="shared" si="3"/>
        <v>10815.75</v>
      </c>
      <c r="U28" s="86">
        <f t="shared" si="4"/>
        <v>11191.95</v>
      </c>
      <c r="V28" s="86">
        <f t="shared" si="5"/>
        <v>248103.9</v>
      </c>
      <c r="W28" s="86">
        <f t="shared" si="6"/>
        <v>72606.6</v>
      </c>
      <c r="X28" s="86">
        <f t="shared" si="7"/>
        <v>1560289.5</v>
      </c>
    </row>
    <row r="29" ht="12.0" customHeight="1">
      <c r="A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9" s="87" t="str">
        <f>IFERROR(__xludf.DUMMYFUNCTION("IFERROR(IF(F29&lt;&gt;"""",""WHSE ""&amp;LEFT(F29,1),REGEXEXTRACT(E29,""-(?:\d{2}-)?([A-Z]+)"")),"""")
"),"WHSE B")</f>
        <v>WHSE B</v>
      </c>
      <c r="C29" s="88">
        <v>45334.0</v>
      </c>
      <c r="D29" s="89" t="s">
        <v>79</v>
      </c>
      <c r="E29" s="90" t="s">
        <v>80</v>
      </c>
      <c r="F29" s="90" t="s">
        <v>81</v>
      </c>
      <c r="G29" s="98" t="s">
        <v>82</v>
      </c>
      <c r="H29" s="92">
        <v>23650.0</v>
      </c>
      <c r="I29" s="99">
        <v>590.0</v>
      </c>
      <c r="J29" s="94">
        <v>9.87</v>
      </c>
      <c r="K29" s="100">
        <v>2.79</v>
      </c>
      <c r="L29" s="100">
        <v>0.575</v>
      </c>
      <c r="M29" s="100">
        <v>0.595</v>
      </c>
      <c r="N29" s="101">
        <v>12.37</v>
      </c>
      <c r="O29" s="94">
        <v>4.54</v>
      </c>
      <c r="P29" s="101">
        <v>83.09</v>
      </c>
      <c r="Q29" s="102"/>
      <c r="R29" s="103">
        <f t="shared" si="1"/>
        <v>233425.5</v>
      </c>
      <c r="S29" s="103">
        <f t="shared" si="2"/>
        <v>65983.5</v>
      </c>
      <c r="T29" s="103">
        <f t="shared" si="3"/>
        <v>13598.75</v>
      </c>
      <c r="U29" s="103">
        <f t="shared" si="4"/>
        <v>14071.75</v>
      </c>
      <c r="V29" s="103">
        <f t="shared" si="5"/>
        <v>292550.5</v>
      </c>
      <c r="W29" s="103">
        <f t="shared" si="6"/>
        <v>107371</v>
      </c>
      <c r="X29" s="103">
        <f t="shared" si="7"/>
        <v>1965078.5</v>
      </c>
    </row>
    <row r="30" ht="12.0" customHeight="1">
      <c r="A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" s="87" t="str">
        <f>IFERROR(__xludf.DUMMYFUNCTION("IFERROR(IF(F30&lt;&gt;"""",""WHSE ""&amp;LEFT(F30,1),REGEXEXTRACT(E30,""-(?:\d{2}-)?([A-Z]+)"")),"""")
"),"WHSE B")</f>
        <v>WHSE B</v>
      </c>
      <c r="C30" s="88">
        <v>45336.0</v>
      </c>
      <c r="D30" s="89" t="s">
        <v>64</v>
      </c>
      <c r="E30" s="90" t="s">
        <v>67</v>
      </c>
      <c r="F30" s="90" t="s">
        <v>68</v>
      </c>
      <c r="G30" s="98" t="s">
        <v>65</v>
      </c>
      <c r="H30" s="92">
        <v>22005.0</v>
      </c>
      <c r="I30" s="99">
        <v>600.0</v>
      </c>
      <c r="J30" s="94">
        <v>11.47</v>
      </c>
      <c r="K30" s="100">
        <v>2.77</v>
      </c>
      <c r="L30" s="100">
        <v>0.578</v>
      </c>
      <c r="M30" s="100">
        <v>0.598</v>
      </c>
      <c r="N30" s="101">
        <v>12.38</v>
      </c>
      <c r="O30" s="94">
        <v>3.49</v>
      </c>
      <c r="P30" s="101">
        <v>84.13</v>
      </c>
      <c r="Q30" s="89" t="s">
        <v>83</v>
      </c>
      <c r="R30" s="86">
        <f t="shared" si="1"/>
        <v>252397.35</v>
      </c>
      <c r="S30" s="86">
        <f t="shared" si="2"/>
        <v>60953.85</v>
      </c>
      <c r="T30" s="86">
        <f t="shared" si="3"/>
        <v>12718.89</v>
      </c>
      <c r="U30" s="86">
        <f t="shared" si="4"/>
        <v>13158.99</v>
      </c>
      <c r="V30" s="86">
        <f t="shared" si="5"/>
        <v>272421.9</v>
      </c>
      <c r="W30" s="86">
        <f t="shared" si="6"/>
        <v>76797.45</v>
      </c>
      <c r="X30" s="86">
        <f t="shared" si="7"/>
        <v>1851280.65</v>
      </c>
    </row>
    <row r="31" ht="12.0" customHeight="1">
      <c r="A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1" s="87" t="str">
        <f>IFERROR(__xludf.DUMMYFUNCTION("IFERROR(IF(F31&lt;&gt;"""",""WHSE ""&amp;LEFT(F31,1),REGEXEXTRACT(E31,""-(?:\d{2}-)?([A-Z]+)"")),"""")
"),"WHSE B")</f>
        <v>WHSE B</v>
      </c>
      <c r="C31" s="88">
        <v>45336.0</v>
      </c>
      <c r="D31" s="89" t="s">
        <v>60</v>
      </c>
      <c r="E31" s="90" t="s">
        <v>84</v>
      </c>
      <c r="F31" s="90" t="s">
        <v>85</v>
      </c>
      <c r="G31" s="98" t="s">
        <v>74</v>
      </c>
      <c r="H31" s="92">
        <v>20946.0</v>
      </c>
      <c r="I31" s="99">
        <v>620.0</v>
      </c>
      <c r="J31" s="94">
        <v>13.87</v>
      </c>
      <c r="K31" s="100">
        <v>2.65</v>
      </c>
      <c r="L31" s="100">
        <v>0.568</v>
      </c>
      <c r="M31" s="100">
        <v>0.588</v>
      </c>
      <c r="N31" s="101">
        <v>12.16</v>
      </c>
      <c r="O31" s="94">
        <v>4.26</v>
      </c>
      <c r="P31" s="101">
        <v>83.58</v>
      </c>
      <c r="Q31" s="89" t="s">
        <v>86</v>
      </c>
      <c r="R31" s="86">
        <f t="shared" si="1"/>
        <v>290521.02</v>
      </c>
      <c r="S31" s="86">
        <f t="shared" si="2"/>
        <v>55506.9</v>
      </c>
      <c r="T31" s="86">
        <f t="shared" si="3"/>
        <v>11897.328</v>
      </c>
      <c r="U31" s="86">
        <f t="shared" si="4"/>
        <v>12316.248</v>
      </c>
      <c r="V31" s="86">
        <f t="shared" si="5"/>
        <v>254703.36</v>
      </c>
      <c r="W31" s="86">
        <f t="shared" si="6"/>
        <v>89229.96</v>
      </c>
      <c r="X31" s="86">
        <f t="shared" si="7"/>
        <v>1750666.68</v>
      </c>
    </row>
    <row r="32" ht="12.0" customHeight="1">
      <c r="A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2" s="87" t="str">
        <f>IFERROR(__xludf.DUMMYFUNCTION("IFERROR(IF(F32&lt;&gt;"""",""WHSE ""&amp;LEFT(F32,1),REGEXEXTRACT(E32,""-(?:\d{2}-)?([A-Z]+)"")),"""")
"),"WHSE B")</f>
        <v>WHSE B</v>
      </c>
      <c r="C32" s="88">
        <v>45337.0</v>
      </c>
      <c r="D32" s="89" t="s">
        <v>79</v>
      </c>
      <c r="E32" s="90" t="s">
        <v>80</v>
      </c>
      <c r="F32" s="90" t="s">
        <v>81</v>
      </c>
      <c r="G32" s="98" t="s">
        <v>87</v>
      </c>
      <c r="H32" s="92">
        <v>19540.0</v>
      </c>
      <c r="I32" s="99">
        <v>610.0</v>
      </c>
      <c r="J32" s="94">
        <v>9.54</v>
      </c>
      <c r="K32" s="100">
        <v>2.6</v>
      </c>
      <c r="L32" s="100">
        <v>0.578</v>
      </c>
      <c r="M32" s="100">
        <v>0.598</v>
      </c>
      <c r="N32" s="101">
        <v>12.8</v>
      </c>
      <c r="O32" s="94">
        <v>4.74</v>
      </c>
      <c r="P32" s="101">
        <v>82.46</v>
      </c>
      <c r="Q32" s="102"/>
      <c r="R32" s="103">
        <f t="shared" si="1"/>
        <v>186411.6</v>
      </c>
      <c r="S32" s="103">
        <f t="shared" si="2"/>
        <v>50804</v>
      </c>
      <c r="T32" s="103">
        <f t="shared" si="3"/>
        <v>11294.12</v>
      </c>
      <c r="U32" s="103">
        <f t="shared" si="4"/>
        <v>11684.92</v>
      </c>
      <c r="V32" s="103">
        <f t="shared" si="5"/>
        <v>250112</v>
      </c>
      <c r="W32" s="103">
        <f t="shared" si="6"/>
        <v>92619.6</v>
      </c>
      <c r="X32" s="103">
        <f t="shared" si="7"/>
        <v>1611268.4</v>
      </c>
    </row>
    <row r="33" ht="12.0" customHeight="1">
      <c r="A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3" s="87" t="str">
        <f>IFERROR(__xludf.DUMMYFUNCTION("IFERROR(IF(F33&lt;&gt;"""",""WHSE ""&amp;LEFT(F33,1),REGEXEXTRACT(E33,""-(?:\d{2}-)?([A-Z]+)"")),"""")
"),"WHSE B")</f>
        <v>WHSE B</v>
      </c>
      <c r="C33" s="88">
        <v>45337.0</v>
      </c>
      <c r="D33" s="89" t="s">
        <v>88</v>
      </c>
      <c r="E33" s="90" t="s">
        <v>84</v>
      </c>
      <c r="F33" s="90" t="s">
        <v>85</v>
      </c>
      <c r="G33" s="98" t="s">
        <v>89</v>
      </c>
      <c r="H33" s="92">
        <v>3990.0</v>
      </c>
      <c r="I33" s="99">
        <v>100.0</v>
      </c>
      <c r="J33" s="94">
        <v>12.0</v>
      </c>
      <c r="K33" s="100">
        <v>1.37</v>
      </c>
      <c r="L33" s="100">
        <v>0.588</v>
      </c>
      <c r="M33" s="100">
        <v>0.608</v>
      </c>
      <c r="N33" s="101">
        <v>12.15</v>
      </c>
      <c r="O33" s="94">
        <v>3.88</v>
      </c>
      <c r="P33" s="101">
        <v>83.97</v>
      </c>
      <c r="Q33" s="102"/>
      <c r="R33" s="103">
        <f t="shared" si="1"/>
        <v>47880</v>
      </c>
      <c r="S33" s="103">
        <f t="shared" si="2"/>
        <v>5466.3</v>
      </c>
      <c r="T33" s="103">
        <f t="shared" si="3"/>
        <v>2346.12</v>
      </c>
      <c r="U33" s="103">
        <f t="shared" si="4"/>
        <v>2425.92</v>
      </c>
      <c r="V33" s="103">
        <f t="shared" si="5"/>
        <v>48478.5</v>
      </c>
      <c r="W33" s="103">
        <f t="shared" si="6"/>
        <v>15481.2</v>
      </c>
      <c r="X33" s="103">
        <f t="shared" si="7"/>
        <v>335040.3</v>
      </c>
    </row>
    <row r="34" ht="12.0" customHeight="1">
      <c r="A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4" s="87" t="str">
        <f>IFERROR(__xludf.DUMMYFUNCTION("IFERROR(IF(F34&lt;&gt;"""",""WHSE ""&amp;LEFT(F34,1),REGEXEXTRACT(E34,""-(?:\d{2}-)?([A-Z]+)"")),"""")
"),"WHSE B")</f>
        <v>WHSE B</v>
      </c>
      <c r="C34" s="88">
        <v>45338.0</v>
      </c>
      <c r="D34" s="89" t="s">
        <v>72</v>
      </c>
      <c r="E34" s="90" t="s">
        <v>75</v>
      </c>
      <c r="F34" s="90" t="s">
        <v>76</v>
      </c>
      <c r="G34" s="98" t="s">
        <v>73</v>
      </c>
      <c r="H34" s="92">
        <v>18585.0</v>
      </c>
      <c r="I34" s="99">
        <v>440.0</v>
      </c>
      <c r="J34" s="94">
        <v>10.89</v>
      </c>
      <c r="K34" s="100">
        <v>2.76</v>
      </c>
      <c r="L34" s="100">
        <v>0.575</v>
      </c>
      <c r="M34" s="100">
        <v>0.595</v>
      </c>
      <c r="N34" s="101">
        <v>12.14</v>
      </c>
      <c r="O34" s="94">
        <v>3.77</v>
      </c>
      <c r="P34" s="101">
        <v>84.09</v>
      </c>
      <c r="Q34" s="89" t="s">
        <v>78</v>
      </c>
      <c r="R34" s="86">
        <f t="shared" si="1"/>
        <v>202390.65</v>
      </c>
      <c r="S34" s="86">
        <f t="shared" si="2"/>
        <v>51294.6</v>
      </c>
      <c r="T34" s="86">
        <f t="shared" si="3"/>
        <v>10686.375</v>
      </c>
      <c r="U34" s="86">
        <f t="shared" si="4"/>
        <v>11058.075</v>
      </c>
      <c r="V34" s="86">
        <f t="shared" si="5"/>
        <v>225621.9</v>
      </c>
      <c r="W34" s="86">
        <f t="shared" si="6"/>
        <v>70065.45</v>
      </c>
      <c r="X34" s="86">
        <f t="shared" si="7"/>
        <v>1562812.65</v>
      </c>
    </row>
    <row r="35" ht="12.0" customHeight="1">
      <c r="A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5" s="87" t="str">
        <f>IFERROR(__xludf.DUMMYFUNCTION("IFERROR(IF(F35&lt;&gt;"""",""WHSE ""&amp;LEFT(F35,1),REGEXEXTRACT(E35,""-(?:\d{2}-)?([A-Z]+)"")),"""")
"),"WHSE B")</f>
        <v>WHSE B</v>
      </c>
      <c r="C35" s="88">
        <v>45338.0</v>
      </c>
      <c r="D35" s="89" t="s">
        <v>60</v>
      </c>
      <c r="E35" s="90" t="s">
        <v>84</v>
      </c>
      <c r="F35" s="90" t="s">
        <v>85</v>
      </c>
      <c r="G35" s="98" t="s">
        <v>63</v>
      </c>
      <c r="H35" s="92">
        <v>20785.0</v>
      </c>
      <c r="I35" s="99">
        <v>600.0</v>
      </c>
      <c r="J35" s="94">
        <v>12.74</v>
      </c>
      <c r="K35" s="100">
        <v>2.75</v>
      </c>
      <c r="L35" s="100">
        <v>0.568</v>
      </c>
      <c r="M35" s="100">
        <v>0.588</v>
      </c>
      <c r="N35" s="101">
        <v>11.84</v>
      </c>
      <c r="O35" s="94">
        <v>4.67</v>
      </c>
      <c r="P35" s="101">
        <v>83.49</v>
      </c>
      <c r="Q35" s="89" t="s">
        <v>90</v>
      </c>
      <c r="R35" s="86">
        <f t="shared" si="1"/>
        <v>264800.9</v>
      </c>
      <c r="S35" s="86">
        <f t="shared" si="2"/>
        <v>57158.75</v>
      </c>
      <c r="T35" s="86">
        <f t="shared" si="3"/>
        <v>11805.88</v>
      </c>
      <c r="U35" s="86">
        <f t="shared" si="4"/>
        <v>12221.58</v>
      </c>
      <c r="V35" s="86">
        <f t="shared" si="5"/>
        <v>246094.4</v>
      </c>
      <c r="W35" s="86">
        <f t="shared" si="6"/>
        <v>97065.95</v>
      </c>
      <c r="X35" s="86">
        <f t="shared" si="7"/>
        <v>1735339.65</v>
      </c>
    </row>
    <row r="36" ht="12.0" customHeight="1">
      <c r="A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6" s="87" t="str">
        <f>IFERROR(__xludf.DUMMYFUNCTION("IFERROR(IF(F36&lt;&gt;"""",""WHSE ""&amp;LEFT(F36,1),REGEXEXTRACT(E36,""-(?:\d{2}-)?([A-Z]+)"")),"""")
"),"WHSE B")</f>
        <v>WHSE B</v>
      </c>
      <c r="C36" s="88">
        <v>45342.0</v>
      </c>
      <c r="D36" s="89" t="s">
        <v>79</v>
      </c>
      <c r="E36" s="90" t="s">
        <v>80</v>
      </c>
      <c r="F36" s="90" t="s">
        <v>81</v>
      </c>
      <c r="G36" s="98" t="s">
        <v>82</v>
      </c>
      <c r="H36" s="92">
        <v>21780.0</v>
      </c>
      <c r="I36" s="99">
        <v>590.0</v>
      </c>
      <c r="J36" s="94">
        <v>10.0</v>
      </c>
      <c r="K36" s="100">
        <v>2.88</v>
      </c>
      <c r="L36" s="100">
        <v>0.578</v>
      </c>
      <c r="M36" s="100">
        <v>0.598</v>
      </c>
      <c r="N36" s="101">
        <v>14.79</v>
      </c>
      <c r="O36" s="94">
        <v>2.92</v>
      </c>
      <c r="P36" s="101">
        <v>82.29</v>
      </c>
      <c r="Q36" s="102"/>
      <c r="R36" s="103">
        <f t="shared" si="1"/>
        <v>217800</v>
      </c>
      <c r="S36" s="103">
        <f t="shared" si="2"/>
        <v>62726.4</v>
      </c>
      <c r="T36" s="103">
        <f t="shared" si="3"/>
        <v>12588.84</v>
      </c>
      <c r="U36" s="103">
        <f t="shared" si="4"/>
        <v>13024.44</v>
      </c>
      <c r="V36" s="103">
        <f t="shared" si="5"/>
        <v>322126.2</v>
      </c>
      <c r="W36" s="103">
        <f t="shared" si="6"/>
        <v>63597.6</v>
      </c>
      <c r="X36" s="103">
        <f t="shared" si="7"/>
        <v>1792276.2</v>
      </c>
    </row>
    <row r="37" ht="12.0" customHeight="1">
      <c r="A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7" s="87" t="str">
        <f>IFERROR(__xludf.DUMMYFUNCTION("IFERROR(IF(F37&lt;&gt;"""",""WHSE ""&amp;LEFT(F37,1),REGEXEXTRACT(E37,""-(?:\d{2}-)?([A-Z]+)"")),"""")
"),"WHSE B")</f>
        <v>WHSE B</v>
      </c>
      <c r="C37" s="88">
        <v>45344.0</v>
      </c>
      <c r="D37" s="89" t="s">
        <v>72</v>
      </c>
      <c r="E37" s="90" t="s">
        <v>91</v>
      </c>
      <c r="F37" s="90" t="s">
        <v>92</v>
      </c>
      <c r="G37" s="98" t="s">
        <v>77</v>
      </c>
      <c r="H37" s="92">
        <v>16535.0</v>
      </c>
      <c r="I37" s="99">
        <v>437.0</v>
      </c>
      <c r="J37" s="94">
        <v>11.8</v>
      </c>
      <c r="K37" s="100">
        <v>2.3</v>
      </c>
      <c r="L37" s="100">
        <v>0.578</v>
      </c>
      <c r="M37" s="100">
        <v>0.598</v>
      </c>
      <c r="N37" s="101">
        <v>13.21</v>
      </c>
      <c r="O37" s="94">
        <v>3.7</v>
      </c>
      <c r="P37" s="101">
        <v>83.09</v>
      </c>
      <c r="Q37" s="102"/>
      <c r="R37" s="103">
        <f t="shared" si="1"/>
        <v>195113</v>
      </c>
      <c r="S37" s="103">
        <f t="shared" si="2"/>
        <v>38030.5</v>
      </c>
      <c r="T37" s="103">
        <f t="shared" si="3"/>
        <v>9557.23</v>
      </c>
      <c r="U37" s="103">
        <f t="shared" si="4"/>
        <v>9887.93</v>
      </c>
      <c r="V37" s="103">
        <f t="shared" si="5"/>
        <v>218427.35</v>
      </c>
      <c r="W37" s="103">
        <f t="shared" si="6"/>
        <v>61179.5</v>
      </c>
      <c r="X37" s="103">
        <f t="shared" si="7"/>
        <v>1373893.15</v>
      </c>
    </row>
    <row r="38" ht="12.0" customHeight="1">
      <c r="A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8" s="87" t="str">
        <f>IFERROR(__xludf.DUMMYFUNCTION("IFERROR(IF(F38&lt;&gt;"""",""WHSE ""&amp;LEFT(F38,1),REGEXEXTRACT(E38,""-(?:\d{2}-)?([A-Z]+)"")),"""")
"),"WHSE B")</f>
        <v>WHSE B</v>
      </c>
      <c r="C38" s="88">
        <v>45344.0</v>
      </c>
      <c r="D38" s="89" t="s">
        <v>79</v>
      </c>
      <c r="E38" s="90" t="s">
        <v>93</v>
      </c>
      <c r="F38" s="90" t="s">
        <v>94</v>
      </c>
      <c r="G38" s="98" t="s">
        <v>95</v>
      </c>
      <c r="H38" s="92">
        <v>19130.0</v>
      </c>
      <c r="I38" s="99">
        <v>452.0</v>
      </c>
      <c r="J38" s="94">
        <v>9.94</v>
      </c>
      <c r="K38" s="100">
        <v>2.46</v>
      </c>
      <c r="L38" s="100">
        <v>0.578</v>
      </c>
      <c r="M38" s="100">
        <v>0.598</v>
      </c>
      <c r="N38" s="101">
        <v>13.1</v>
      </c>
      <c r="O38" s="94">
        <v>4.72</v>
      </c>
      <c r="P38" s="101">
        <v>82.18</v>
      </c>
      <c r="Q38" s="102"/>
      <c r="R38" s="103">
        <f t="shared" si="1"/>
        <v>190152.2</v>
      </c>
      <c r="S38" s="103">
        <f t="shared" si="2"/>
        <v>47059.8</v>
      </c>
      <c r="T38" s="103">
        <f t="shared" si="3"/>
        <v>11057.14</v>
      </c>
      <c r="U38" s="103">
        <f t="shared" si="4"/>
        <v>11439.74</v>
      </c>
      <c r="V38" s="103">
        <f t="shared" si="5"/>
        <v>250603</v>
      </c>
      <c r="W38" s="103">
        <f t="shared" si="6"/>
        <v>90293.6</v>
      </c>
      <c r="X38" s="103">
        <f t="shared" si="7"/>
        <v>1572103.4</v>
      </c>
    </row>
    <row r="39" ht="12.0" customHeight="1">
      <c r="A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9" s="87" t="str">
        <f>IFERROR(__xludf.DUMMYFUNCTION("IFERROR(IF(F39&lt;&gt;"""",""WHSE ""&amp;LEFT(F39,1),REGEXEXTRACT(E39,""-(?:\d{2}-)?([A-Z]+)"")),"""")
"),"WHSE B")</f>
        <v>WHSE B</v>
      </c>
      <c r="C39" s="88">
        <v>45344.0</v>
      </c>
      <c r="D39" s="89" t="s">
        <v>64</v>
      </c>
      <c r="E39" s="90" t="s">
        <v>84</v>
      </c>
      <c r="F39" s="90" t="s">
        <v>85</v>
      </c>
      <c r="G39" s="98" t="s">
        <v>96</v>
      </c>
      <c r="H39" s="92">
        <v>24485.0</v>
      </c>
      <c r="I39" s="99">
        <v>420.0</v>
      </c>
      <c r="J39" s="94">
        <v>12.87</v>
      </c>
      <c r="K39" s="100">
        <v>2.38</v>
      </c>
      <c r="L39" s="100">
        <v>0.575</v>
      </c>
      <c r="M39" s="100">
        <v>0.595</v>
      </c>
      <c r="N39" s="101">
        <v>12.51</v>
      </c>
      <c r="O39" s="94">
        <v>3.87</v>
      </c>
      <c r="P39" s="101">
        <v>83.62</v>
      </c>
      <c r="Q39" s="89" t="s">
        <v>97</v>
      </c>
      <c r="R39" s="86">
        <f t="shared" si="1"/>
        <v>315121.95</v>
      </c>
      <c r="S39" s="86">
        <f t="shared" si="2"/>
        <v>58274.3</v>
      </c>
      <c r="T39" s="86">
        <f t="shared" si="3"/>
        <v>14078.875</v>
      </c>
      <c r="U39" s="86">
        <f t="shared" si="4"/>
        <v>14568.575</v>
      </c>
      <c r="V39" s="86">
        <f t="shared" si="5"/>
        <v>306307.35</v>
      </c>
      <c r="W39" s="86">
        <f t="shared" si="6"/>
        <v>94756.95</v>
      </c>
      <c r="X39" s="86">
        <f t="shared" si="7"/>
        <v>2047435.7</v>
      </c>
    </row>
    <row r="40" ht="12.0" customHeight="1">
      <c r="A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0" s="87" t="str">
        <f>IFERROR(__xludf.DUMMYFUNCTION("IFERROR(IF(F40&lt;&gt;"""",""WHSE ""&amp;LEFT(F40,1),REGEXEXTRACT(E40,""-(?:\d{2}-)?([A-Z]+)"")),"""")
"),"WHSE B")</f>
        <v>WHSE B</v>
      </c>
      <c r="C40" s="88">
        <v>45348.0</v>
      </c>
      <c r="D40" s="89" t="s">
        <v>72</v>
      </c>
      <c r="E40" s="90" t="s">
        <v>75</v>
      </c>
      <c r="F40" s="90" t="s">
        <v>76</v>
      </c>
      <c r="G40" s="98" t="s">
        <v>77</v>
      </c>
      <c r="H40" s="92">
        <v>15970.0</v>
      </c>
      <c r="I40" s="99">
        <v>440.0</v>
      </c>
      <c r="J40" s="94">
        <v>10.47</v>
      </c>
      <c r="K40" s="100">
        <v>2.58</v>
      </c>
      <c r="L40" s="100">
        <v>0.578</v>
      </c>
      <c r="M40" s="100">
        <v>0.598</v>
      </c>
      <c r="N40" s="101">
        <v>12.5</v>
      </c>
      <c r="O40" s="94">
        <v>3.26</v>
      </c>
      <c r="P40" s="101">
        <v>84.24</v>
      </c>
      <c r="Q40" s="89" t="s">
        <v>78</v>
      </c>
      <c r="R40" s="86">
        <f t="shared" si="1"/>
        <v>167205.9</v>
      </c>
      <c r="S40" s="86">
        <f t="shared" si="2"/>
        <v>41202.6</v>
      </c>
      <c r="T40" s="86">
        <f t="shared" si="3"/>
        <v>9230.66</v>
      </c>
      <c r="U40" s="86">
        <f t="shared" si="4"/>
        <v>9550.06</v>
      </c>
      <c r="V40" s="86">
        <f t="shared" si="5"/>
        <v>199625</v>
      </c>
      <c r="W40" s="86">
        <f t="shared" si="6"/>
        <v>52062.2</v>
      </c>
      <c r="X40" s="86">
        <f t="shared" si="7"/>
        <v>1345312.8</v>
      </c>
    </row>
    <row r="41" ht="12.0" customHeight="1">
      <c r="A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1" s="87" t="str">
        <f>IFERROR(__xludf.DUMMYFUNCTION("IFERROR(IF(F41&lt;&gt;"""",""WHSE ""&amp;LEFT(F41,1),REGEXEXTRACT(E41,""-(?:\d{2}-)?([A-Z]+)"")),"""")
"),"WHSE B")</f>
        <v>WHSE B</v>
      </c>
      <c r="C41" s="88">
        <v>45349.0</v>
      </c>
      <c r="D41" s="89" t="s">
        <v>72</v>
      </c>
      <c r="E41" s="90" t="s">
        <v>91</v>
      </c>
      <c r="F41" s="90" t="s">
        <v>92</v>
      </c>
      <c r="G41" s="98" t="s">
        <v>73</v>
      </c>
      <c r="H41" s="92">
        <v>18783.0</v>
      </c>
      <c r="I41" s="99">
        <v>445.0</v>
      </c>
      <c r="J41" s="94">
        <v>12.67</v>
      </c>
      <c r="K41" s="100">
        <v>2.7</v>
      </c>
      <c r="L41" s="100">
        <v>0.575</v>
      </c>
      <c r="M41" s="100">
        <v>0.595</v>
      </c>
      <c r="N41" s="101">
        <v>13.27</v>
      </c>
      <c r="O41" s="94">
        <v>2.9</v>
      </c>
      <c r="P41" s="101">
        <v>83.83</v>
      </c>
      <c r="Q41" s="89" t="s">
        <v>98</v>
      </c>
      <c r="R41" s="86">
        <f t="shared" si="1"/>
        <v>237980.61</v>
      </c>
      <c r="S41" s="86">
        <f t="shared" si="2"/>
        <v>50714.1</v>
      </c>
      <c r="T41" s="86">
        <f t="shared" si="3"/>
        <v>10800.225</v>
      </c>
      <c r="U41" s="86">
        <f t="shared" si="4"/>
        <v>11175.885</v>
      </c>
      <c r="V41" s="86">
        <f t="shared" si="5"/>
        <v>249250.41</v>
      </c>
      <c r="W41" s="86">
        <f t="shared" si="6"/>
        <v>54470.7</v>
      </c>
      <c r="X41" s="86">
        <f t="shared" si="7"/>
        <v>1574578.89</v>
      </c>
    </row>
    <row r="42" ht="12.0" customHeight="1">
      <c r="A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2" s="87" t="str">
        <f>IFERROR(__xludf.DUMMYFUNCTION("IFERROR(IF(F42&lt;&gt;"""",""WHSE ""&amp;LEFT(F42,1),REGEXEXTRACT(E42,""-(?:\d{2}-)?([A-Z]+)"")),"""")
"),"WHSE B")</f>
        <v>WHSE B</v>
      </c>
      <c r="C42" s="88">
        <v>45355.0</v>
      </c>
      <c r="D42" s="89" t="s">
        <v>60</v>
      </c>
      <c r="E42" s="90" t="s">
        <v>99</v>
      </c>
      <c r="F42" s="90" t="s">
        <v>100</v>
      </c>
      <c r="G42" s="98" t="s">
        <v>74</v>
      </c>
      <c r="H42" s="92">
        <v>20575.0</v>
      </c>
      <c r="I42" s="99">
        <v>615.0</v>
      </c>
      <c r="J42" s="94">
        <v>11.94</v>
      </c>
      <c r="K42" s="100">
        <v>3.2</v>
      </c>
      <c r="L42" s="100">
        <v>0.549</v>
      </c>
      <c r="M42" s="100">
        <v>0.569</v>
      </c>
      <c r="N42" s="101">
        <v>12.51</v>
      </c>
      <c r="O42" s="94">
        <v>3.9</v>
      </c>
      <c r="P42" s="101">
        <v>83.59</v>
      </c>
      <c r="Q42" s="102"/>
      <c r="R42" s="103">
        <f t="shared" si="1"/>
        <v>245665.5</v>
      </c>
      <c r="S42" s="103">
        <f t="shared" si="2"/>
        <v>65840</v>
      </c>
      <c r="T42" s="103">
        <f t="shared" si="3"/>
        <v>11295.675</v>
      </c>
      <c r="U42" s="103">
        <f t="shared" si="4"/>
        <v>11707.175</v>
      </c>
      <c r="V42" s="103">
        <f t="shared" si="5"/>
        <v>257393.25</v>
      </c>
      <c r="W42" s="103">
        <f t="shared" si="6"/>
        <v>80242.5</v>
      </c>
      <c r="X42" s="103">
        <f t="shared" si="7"/>
        <v>1719864.25</v>
      </c>
    </row>
    <row r="43" ht="12.0" customHeight="1">
      <c r="A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3" s="87" t="str">
        <f>IFERROR(__xludf.DUMMYFUNCTION("IFERROR(IF(F43&lt;&gt;"""",""WHSE ""&amp;LEFT(F43,1),REGEXEXTRACT(E43,""-(?:\d{2}-)?([A-Z]+)"")),"""")
"),"WHSE B")</f>
        <v>WHSE B</v>
      </c>
      <c r="C43" s="88">
        <v>45356.0</v>
      </c>
      <c r="D43" s="89" t="s">
        <v>72</v>
      </c>
      <c r="E43" s="90" t="s">
        <v>91</v>
      </c>
      <c r="F43" s="90" t="s">
        <v>92</v>
      </c>
      <c r="G43" s="98" t="s">
        <v>77</v>
      </c>
      <c r="H43" s="92">
        <v>18243.0</v>
      </c>
      <c r="I43" s="99">
        <v>436.0</v>
      </c>
      <c r="J43" s="94">
        <v>12.34</v>
      </c>
      <c r="K43" s="100">
        <v>2.55</v>
      </c>
      <c r="L43" s="100">
        <v>0.578</v>
      </c>
      <c r="M43" s="100">
        <v>0.598</v>
      </c>
      <c r="N43" s="101">
        <v>13.24</v>
      </c>
      <c r="O43" s="94">
        <v>4.29</v>
      </c>
      <c r="P43" s="101">
        <v>82.47</v>
      </c>
      <c r="Q43" s="89" t="s">
        <v>101</v>
      </c>
      <c r="R43" s="86">
        <f t="shared" si="1"/>
        <v>225118.62</v>
      </c>
      <c r="S43" s="86">
        <f t="shared" si="2"/>
        <v>46519.65</v>
      </c>
      <c r="T43" s="86">
        <f t="shared" si="3"/>
        <v>10544.454</v>
      </c>
      <c r="U43" s="86">
        <f t="shared" si="4"/>
        <v>10909.314</v>
      </c>
      <c r="V43" s="86">
        <f t="shared" si="5"/>
        <v>241537.32</v>
      </c>
      <c r="W43" s="86">
        <f t="shared" si="6"/>
        <v>78262.47</v>
      </c>
      <c r="X43" s="86">
        <f t="shared" si="7"/>
        <v>1504500.21</v>
      </c>
    </row>
    <row r="44" ht="12.0" customHeight="1">
      <c r="A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4" s="87" t="str">
        <f>IFERROR(__xludf.DUMMYFUNCTION("IFERROR(IF(F44&lt;&gt;"""",""WHSE ""&amp;LEFT(F44,1),REGEXEXTRACT(E44,""-(?:\d{2}-)?([A-Z]+)"")),"""")
"),"WHSE B")</f>
        <v>WHSE B</v>
      </c>
      <c r="C44" s="88">
        <v>45356.0</v>
      </c>
      <c r="D44" s="89" t="s">
        <v>64</v>
      </c>
      <c r="E44" s="90" t="s">
        <v>99</v>
      </c>
      <c r="F44" s="90" t="s">
        <v>100</v>
      </c>
      <c r="G44" s="98" t="s">
        <v>65</v>
      </c>
      <c r="H44" s="92">
        <v>18767.0</v>
      </c>
      <c r="I44" s="99">
        <v>496.0</v>
      </c>
      <c r="J44" s="94">
        <v>12.07</v>
      </c>
      <c r="K44" s="100">
        <v>2.79</v>
      </c>
      <c r="L44" s="100">
        <v>0.575</v>
      </c>
      <c r="M44" s="100">
        <v>0.595</v>
      </c>
      <c r="N44" s="101">
        <v>12.47</v>
      </c>
      <c r="O44" s="94">
        <v>4.57</v>
      </c>
      <c r="P44" s="101">
        <v>82.96</v>
      </c>
      <c r="Q44" s="89" t="s">
        <v>102</v>
      </c>
      <c r="R44" s="86">
        <f t="shared" si="1"/>
        <v>226517.69</v>
      </c>
      <c r="S44" s="86">
        <f t="shared" si="2"/>
        <v>52359.93</v>
      </c>
      <c r="T44" s="86">
        <f t="shared" si="3"/>
        <v>10791.025</v>
      </c>
      <c r="U44" s="86">
        <f t="shared" si="4"/>
        <v>11166.365</v>
      </c>
      <c r="V44" s="86">
        <f t="shared" si="5"/>
        <v>234024.49</v>
      </c>
      <c r="W44" s="86">
        <f t="shared" si="6"/>
        <v>85765.19</v>
      </c>
      <c r="X44" s="86">
        <f t="shared" si="7"/>
        <v>1556910.32</v>
      </c>
    </row>
    <row r="45" ht="12.0" customHeight="1">
      <c r="A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5" s="87" t="str">
        <f>IFERROR(__xludf.DUMMYFUNCTION("IFERROR(IF(F45&lt;&gt;"""",""WHSE ""&amp;LEFT(F45,1),REGEXEXTRACT(E45,""-(?:\d{2}-)?([A-Z]+)"")),"""")
"),"WHSE B")</f>
        <v>WHSE B</v>
      </c>
      <c r="C45" s="88">
        <v>45358.0</v>
      </c>
      <c r="D45" s="89" t="s">
        <v>72</v>
      </c>
      <c r="E45" s="90" t="s">
        <v>91</v>
      </c>
      <c r="F45" s="90" t="s">
        <v>92</v>
      </c>
      <c r="G45" s="98" t="s">
        <v>73</v>
      </c>
      <c r="H45" s="92">
        <v>17590.0</v>
      </c>
      <c r="I45" s="99">
        <v>444.0</v>
      </c>
      <c r="J45" s="94">
        <v>9.0</v>
      </c>
      <c r="K45" s="100">
        <v>2.68</v>
      </c>
      <c r="L45" s="100">
        <v>0.575</v>
      </c>
      <c r="M45" s="100">
        <v>0.595</v>
      </c>
      <c r="N45" s="101">
        <v>13.29</v>
      </c>
      <c r="O45" s="94">
        <v>2.88</v>
      </c>
      <c r="P45" s="101">
        <v>83.83</v>
      </c>
      <c r="Q45" s="89" t="s">
        <v>103</v>
      </c>
      <c r="R45" s="86">
        <f t="shared" si="1"/>
        <v>158310</v>
      </c>
      <c r="S45" s="86">
        <f t="shared" si="2"/>
        <v>47141.2</v>
      </c>
      <c r="T45" s="86">
        <f t="shared" si="3"/>
        <v>10114.25</v>
      </c>
      <c r="U45" s="86">
        <f t="shared" si="4"/>
        <v>10466.05</v>
      </c>
      <c r="V45" s="86">
        <f t="shared" si="5"/>
        <v>233771.1</v>
      </c>
      <c r="W45" s="86">
        <f t="shared" si="6"/>
        <v>50659.2</v>
      </c>
      <c r="X45" s="86">
        <f t="shared" si="7"/>
        <v>1474569.7</v>
      </c>
    </row>
    <row r="46" ht="12.0" customHeight="1">
      <c r="A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6" s="87" t="str">
        <f>IFERROR(__xludf.DUMMYFUNCTION("IFERROR(IF(F46&lt;&gt;"""",""WHSE ""&amp;LEFT(F46,1),REGEXEXTRACT(E46,""-(?:\d{2}-)?([A-Z]+)"")),"""")
"),"WHSE B")</f>
        <v>WHSE B</v>
      </c>
      <c r="C46" s="88">
        <v>45358.0</v>
      </c>
      <c r="D46" s="89" t="s">
        <v>60</v>
      </c>
      <c r="E46" s="90" t="s">
        <v>99</v>
      </c>
      <c r="F46" s="90" t="s">
        <v>100</v>
      </c>
      <c r="G46" s="98" t="s">
        <v>63</v>
      </c>
      <c r="H46" s="92">
        <v>19604.0</v>
      </c>
      <c r="I46" s="99">
        <v>590.0</v>
      </c>
      <c r="J46" s="94">
        <v>13.14</v>
      </c>
      <c r="K46" s="100">
        <v>2.87</v>
      </c>
      <c r="L46" s="100">
        <v>0.562</v>
      </c>
      <c r="M46" s="100">
        <v>0.582</v>
      </c>
      <c r="N46" s="101">
        <v>12.16</v>
      </c>
      <c r="O46" s="94">
        <v>4.54</v>
      </c>
      <c r="P46" s="101">
        <v>83.3</v>
      </c>
      <c r="Q46" s="89" t="s">
        <v>104</v>
      </c>
      <c r="R46" s="86">
        <f t="shared" si="1"/>
        <v>257596.56</v>
      </c>
      <c r="S46" s="86">
        <f t="shared" si="2"/>
        <v>56263.48</v>
      </c>
      <c r="T46" s="86">
        <f t="shared" si="3"/>
        <v>11017.448</v>
      </c>
      <c r="U46" s="86">
        <f t="shared" si="4"/>
        <v>11409.528</v>
      </c>
      <c r="V46" s="86">
        <f t="shared" si="5"/>
        <v>238384.64</v>
      </c>
      <c r="W46" s="86">
        <f t="shared" si="6"/>
        <v>89002.16</v>
      </c>
      <c r="X46" s="86">
        <f t="shared" si="7"/>
        <v>1633013.2</v>
      </c>
    </row>
    <row r="47" ht="12.0" customHeight="1">
      <c r="A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7" s="87" t="str">
        <f>IFERROR(__xludf.DUMMYFUNCTION("IFERROR(IF(F47&lt;&gt;"""",""WHSE ""&amp;LEFT(F47,1),REGEXEXTRACT(E47,""-(?:\d{2}-)?([A-Z]+)"")),"""")
"),"WHSE B")</f>
        <v>WHSE B</v>
      </c>
      <c r="C47" s="88">
        <v>45358.0</v>
      </c>
      <c r="D47" s="89" t="s">
        <v>70</v>
      </c>
      <c r="E47" s="90" t="s">
        <v>99</v>
      </c>
      <c r="F47" s="90" t="s">
        <v>100</v>
      </c>
      <c r="G47" s="98" t="s">
        <v>105</v>
      </c>
      <c r="H47" s="92">
        <v>16166.0</v>
      </c>
      <c r="I47" s="99">
        <v>435.0</v>
      </c>
      <c r="J47" s="94">
        <v>14.67</v>
      </c>
      <c r="K47" s="100">
        <v>2.14</v>
      </c>
      <c r="L47" s="100">
        <v>0.588</v>
      </c>
      <c r="M47" s="100">
        <v>0.608</v>
      </c>
      <c r="N47" s="101">
        <v>12.2</v>
      </c>
      <c r="O47" s="94">
        <v>3.93</v>
      </c>
      <c r="P47" s="101">
        <v>83.87</v>
      </c>
      <c r="Q47" s="89" t="s">
        <v>106</v>
      </c>
      <c r="R47" s="86">
        <f t="shared" si="1"/>
        <v>237155.22</v>
      </c>
      <c r="S47" s="86">
        <f t="shared" si="2"/>
        <v>34595.24</v>
      </c>
      <c r="T47" s="86">
        <f t="shared" si="3"/>
        <v>9505.608</v>
      </c>
      <c r="U47" s="86">
        <f t="shared" si="4"/>
        <v>9828.928</v>
      </c>
      <c r="V47" s="86">
        <f t="shared" si="5"/>
        <v>197225.2</v>
      </c>
      <c r="W47" s="86">
        <f t="shared" si="6"/>
        <v>63532.38</v>
      </c>
      <c r="X47" s="86">
        <f t="shared" si="7"/>
        <v>1355842.42</v>
      </c>
    </row>
    <row r="48" ht="12.0" customHeight="1">
      <c r="A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8" s="87" t="str">
        <f>IFERROR(__xludf.DUMMYFUNCTION("IFERROR(IF(F48&lt;&gt;"""",""WHSE ""&amp;LEFT(F48,1),REGEXEXTRACT(E48,""-(?:\d{2}-)?([A-Z]+)"")),"""")
"),"WHSE B")</f>
        <v>WHSE B</v>
      </c>
      <c r="C48" s="88">
        <v>45359.0</v>
      </c>
      <c r="D48" s="89" t="s">
        <v>79</v>
      </c>
      <c r="E48" s="90" t="s">
        <v>93</v>
      </c>
      <c r="F48" s="90" t="s">
        <v>94</v>
      </c>
      <c r="G48" s="98" t="s">
        <v>107</v>
      </c>
      <c r="H48" s="92">
        <v>19110.0</v>
      </c>
      <c r="I48" s="99">
        <v>453.0</v>
      </c>
      <c r="J48" s="94">
        <v>10.07</v>
      </c>
      <c r="K48" s="100">
        <v>2.56</v>
      </c>
      <c r="L48" s="100">
        <v>0.578</v>
      </c>
      <c r="M48" s="100">
        <v>0.598</v>
      </c>
      <c r="N48" s="101">
        <v>13.29</v>
      </c>
      <c r="O48" s="94">
        <v>4.62</v>
      </c>
      <c r="P48" s="101">
        <v>82.09</v>
      </c>
      <c r="Q48" s="89" t="s">
        <v>108</v>
      </c>
      <c r="R48" s="86">
        <f t="shared" si="1"/>
        <v>192437.7</v>
      </c>
      <c r="S48" s="86">
        <f t="shared" si="2"/>
        <v>48921.6</v>
      </c>
      <c r="T48" s="86">
        <f t="shared" si="3"/>
        <v>11045.58</v>
      </c>
      <c r="U48" s="86">
        <f t="shared" si="4"/>
        <v>11427.78</v>
      </c>
      <c r="V48" s="86">
        <f t="shared" si="5"/>
        <v>253971.9</v>
      </c>
      <c r="W48" s="86">
        <f t="shared" si="6"/>
        <v>88288.2</v>
      </c>
      <c r="X48" s="86">
        <f t="shared" si="7"/>
        <v>1568739.9</v>
      </c>
    </row>
    <row r="49" ht="12.0" customHeight="1">
      <c r="A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9" s="87" t="str">
        <f>IFERROR(__xludf.DUMMYFUNCTION("IFERROR(IF(F49&lt;&gt;"""",""WHSE ""&amp;LEFT(F49,1),REGEXEXTRACT(E49,""-(?:\d{2}-)?([A-Z]+)"")),"""")
"),"WHSE B")</f>
        <v>WHSE B</v>
      </c>
      <c r="C49" s="88">
        <v>45359.0</v>
      </c>
      <c r="D49" s="89" t="s">
        <v>79</v>
      </c>
      <c r="E49" s="90" t="s">
        <v>93</v>
      </c>
      <c r="F49" s="90" t="s">
        <v>94</v>
      </c>
      <c r="G49" s="98" t="s">
        <v>109</v>
      </c>
      <c r="H49" s="92">
        <v>20170.0</v>
      </c>
      <c r="I49" s="99">
        <v>520.0</v>
      </c>
      <c r="J49" s="94">
        <v>10.2</v>
      </c>
      <c r="K49" s="100">
        <v>2.66</v>
      </c>
      <c r="L49" s="100">
        <v>0.578</v>
      </c>
      <c r="M49" s="100">
        <v>0.598</v>
      </c>
      <c r="N49" s="101">
        <v>12.37</v>
      </c>
      <c r="O49" s="94">
        <v>3.87</v>
      </c>
      <c r="P49" s="101">
        <v>83.76</v>
      </c>
      <c r="Q49" s="89" t="s">
        <v>108</v>
      </c>
      <c r="R49" s="86">
        <f t="shared" si="1"/>
        <v>205734</v>
      </c>
      <c r="S49" s="86">
        <f t="shared" si="2"/>
        <v>53652.2</v>
      </c>
      <c r="T49" s="86">
        <f t="shared" si="3"/>
        <v>11658.26</v>
      </c>
      <c r="U49" s="86">
        <f t="shared" si="4"/>
        <v>12061.66</v>
      </c>
      <c r="V49" s="86">
        <f t="shared" si="5"/>
        <v>249502.9</v>
      </c>
      <c r="W49" s="86">
        <f t="shared" si="6"/>
        <v>78057.9</v>
      </c>
      <c r="X49" s="86">
        <f t="shared" si="7"/>
        <v>1689439.2</v>
      </c>
    </row>
    <row r="50" ht="12.0" customHeight="1">
      <c r="A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0" s="87" t="str">
        <f>IFERROR(__xludf.DUMMYFUNCTION("IFERROR(IF(F50&lt;&gt;"""",""WHSE ""&amp;LEFT(F50,1),REGEXEXTRACT(E50,""-(?:\d{2}-)?([A-Z]+)"")),"""")
"),"WHSE B")</f>
        <v>WHSE B</v>
      </c>
      <c r="C50" s="88">
        <v>45362.0</v>
      </c>
      <c r="D50" s="89" t="s">
        <v>72</v>
      </c>
      <c r="E50" s="90" t="s">
        <v>110</v>
      </c>
      <c r="F50" s="90" t="s">
        <v>111</v>
      </c>
      <c r="G50" s="98" t="s">
        <v>77</v>
      </c>
      <c r="H50" s="92">
        <v>17310.0</v>
      </c>
      <c r="I50" s="99">
        <v>435.0</v>
      </c>
      <c r="J50" s="94">
        <v>11.07</v>
      </c>
      <c r="K50" s="100">
        <v>2.39</v>
      </c>
      <c r="L50" s="100">
        <v>0.575</v>
      </c>
      <c r="M50" s="100">
        <v>0.595</v>
      </c>
      <c r="N50" s="101">
        <v>12.5</v>
      </c>
      <c r="O50" s="94">
        <v>3.91</v>
      </c>
      <c r="P50" s="101">
        <v>83.59</v>
      </c>
      <c r="Q50" s="102"/>
      <c r="R50" s="103">
        <f t="shared" si="1"/>
        <v>191621.7</v>
      </c>
      <c r="S50" s="103">
        <f t="shared" si="2"/>
        <v>41370.9</v>
      </c>
      <c r="T50" s="103">
        <f t="shared" si="3"/>
        <v>9953.25</v>
      </c>
      <c r="U50" s="103">
        <f t="shared" si="4"/>
        <v>10299.45</v>
      </c>
      <c r="V50" s="103">
        <f t="shared" si="5"/>
        <v>216375</v>
      </c>
      <c r="W50" s="103">
        <f t="shared" si="6"/>
        <v>67682.1</v>
      </c>
      <c r="X50" s="103">
        <f t="shared" si="7"/>
        <v>1446942.9</v>
      </c>
    </row>
    <row r="51" ht="12.0" customHeight="1">
      <c r="A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1" s="87" t="str">
        <f>IFERROR(__xludf.DUMMYFUNCTION("IFERROR(IF(F51&lt;&gt;"""",""WHSE ""&amp;LEFT(F51,1),REGEXEXTRACT(E51,""-(?:\d{2}-)?([A-Z]+)"")),"""")
"),"WHSE B")</f>
        <v>WHSE B</v>
      </c>
      <c r="C51" s="88">
        <v>45362.0</v>
      </c>
      <c r="D51" s="89" t="s">
        <v>112</v>
      </c>
      <c r="E51" s="90" t="s">
        <v>113</v>
      </c>
      <c r="F51" s="90" t="s">
        <v>114</v>
      </c>
      <c r="G51" s="98" t="s">
        <v>115</v>
      </c>
      <c r="H51" s="92">
        <v>12454.0</v>
      </c>
      <c r="I51" s="99">
        <v>450.0</v>
      </c>
      <c r="J51" s="94">
        <v>11.47</v>
      </c>
      <c r="K51" s="100">
        <v>2.92</v>
      </c>
      <c r="L51" s="100">
        <v>0.575</v>
      </c>
      <c r="M51" s="100">
        <v>0.595</v>
      </c>
      <c r="N51" s="101">
        <v>13.13</v>
      </c>
      <c r="O51" s="94">
        <v>6.59</v>
      </c>
      <c r="P51" s="101">
        <v>80.28</v>
      </c>
      <c r="Q51" s="89" t="s">
        <v>116</v>
      </c>
      <c r="R51" s="86">
        <f t="shared" si="1"/>
        <v>142847.38</v>
      </c>
      <c r="S51" s="86">
        <f t="shared" si="2"/>
        <v>36365.68</v>
      </c>
      <c r="T51" s="86">
        <f t="shared" si="3"/>
        <v>7161.05</v>
      </c>
      <c r="U51" s="86">
        <f t="shared" si="4"/>
        <v>7410.13</v>
      </c>
      <c r="V51" s="86">
        <f t="shared" si="5"/>
        <v>163521.02</v>
      </c>
      <c r="W51" s="86">
        <f t="shared" si="6"/>
        <v>82071.86</v>
      </c>
      <c r="X51" s="86">
        <f t="shared" si="7"/>
        <v>999807.12</v>
      </c>
    </row>
    <row r="52" ht="12.0" customHeight="1">
      <c r="A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2" s="87" t="str">
        <f>IFERROR(__xludf.DUMMYFUNCTION("IFERROR(IF(F52&lt;&gt;"""",""WHSE ""&amp;LEFT(F52,1),REGEXEXTRACT(E52,""-(?:\d{2}-)?([A-Z]+)"")),"""")
"),"WHSE B")</f>
        <v>WHSE B</v>
      </c>
      <c r="C52" s="88">
        <v>45362.0</v>
      </c>
      <c r="D52" s="89" t="s">
        <v>60</v>
      </c>
      <c r="E52" s="90" t="s">
        <v>113</v>
      </c>
      <c r="F52" s="90" t="s">
        <v>114</v>
      </c>
      <c r="G52" s="98" t="s">
        <v>74</v>
      </c>
      <c r="H52" s="92">
        <v>19402.0</v>
      </c>
      <c r="I52" s="99">
        <v>600.0</v>
      </c>
      <c r="J52" s="94">
        <v>12.4</v>
      </c>
      <c r="K52" s="100">
        <v>2.86</v>
      </c>
      <c r="L52" s="100">
        <v>0.562</v>
      </c>
      <c r="M52" s="100">
        <v>0.582</v>
      </c>
      <c r="N52" s="101">
        <v>12.71</v>
      </c>
      <c r="O52" s="94">
        <v>4.27</v>
      </c>
      <c r="P52" s="101">
        <v>83.02</v>
      </c>
      <c r="Q52" s="89" t="s">
        <v>117</v>
      </c>
      <c r="R52" s="86">
        <f t="shared" si="1"/>
        <v>240584.8</v>
      </c>
      <c r="S52" s="86">
        <f t="shared" si="2"/>
        <v>55489.72</v>
      </c>
      <c r="T52" s="86">
        <f t="shared" si="3"/>
        <v>10903.924</v>
      </c>
      <c r="U52" s="86">
        <f t="shared" si="4"/>
        <v>11291.964</v>
      </c>
      <c r="V52" s="86">
        <f t="shared" si="5"/>
        <v>246599.42</v>
      </c>
      <c r="W52" s="86">
        <f t="shared" si="6"/>
        <v>82846.54</v>
      </c>
      <c r="X52" s="86">
        <f t="shared" si="7"/>
        <v>1610754.04</v>
      </c>
    </row>
    <row r="53" ht="12.0" customHeight="1">
      <c r="A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3" s="87" t="str">
        <f>IFERROR(__xludf.DUMMYFUNCTION("IFERROR(IF(F53&lt;&gt;"""",""WHSE ""&amp;LEFT(F53,1),REGEXEXTRACT(E53,""-(?:\d{2}-)?([A-Z]+)"")),"""")
"),"WHSE B")</f>
        <v>WHSE B</v>
      </c>
      <c r="C53" s="88">
        <v>45366.0</v>
      </c>
      <c r="D53" s="89" t="s">
        <v>79</v>
      </c>
      <c r="E53" s="90" t="s">
        <v>118</v>
      </c>
      <c r="F53" s="90" t="s">
        <v>119</v>
      </c>
      <c r="G53" s="98" t="s">
        <v>120</v>
      </c>
      <c r="H53" s="92">
        <v>21105.0</v>
      </c>
      <c r="I53" s="99">
        <v>475.0</v>
      </c>
      <c r="J53" s="94">
        <v>10.54</v>
      </c>
      <c r="K53" s="100">
        <v>0.33</v>
      </c>
      <c r="L53" s="100">
        <v>0.595</v>
      </c>
      <c r="M53" s="100">
        <v>0.615</v>
      </c>
      <c r="N53" s="101">
        <v>12.74</v>
      </c>
      <c r="O53" s="94">
        <v>3.54</v>
      </c>
      <c r="P53" s="101">
        <v>83.72</v>
      </c>
      <c r="Q53" s="102"/>
      <c r="R53" s="103">
        <f t="shared" si="1"/>
        <v>222446.7</v>
      </c>
      <c r="S53" s="103">
        <f t="shared" si="2"/>
        <v>6964.65</v>
      </c>
      <c r="T53" s="103">
        <f t="shared" si="3"/>
        <v>12557.475</v>
      </c>
      <c r="U53" s="103">
        <f t="shared" si="4"/>
        <v>12979.575</v>
      </c>
      <c r="V53" s="103">
        <f t="shared" si="5"/>
        <v>268877.7</v>
      </c>
      <c r="W53" s="103">
        <f t="shared" si="6"/>
        <v>74711.7</v>
      </c>
      <c r="X53" s="103">
        <f t="shared" si="7"/>
        <v>1766910.6</v>
      </c>
    </row>
    <row r="54" ht="12.0" customHeight="1">
      <c r="A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4" s="87" t="str">
        <f>IFERROR(__xludf.DUMMYFUNCTION("IFERROR(IF(F54&lt;&gt;"""",""WHSE ""&amp;LEFT(F54,1),REGEXEXTRACT(E54,""-(?:\d{2}-)?([A-Z]+)"")),"""")
"),"WHSE B")</f>
        <v>WHSE B</v>
      </c>
      <c r="C54" s="88">
        <v>45369.0</v>
      </c>
      <c r="D54" s="89" t="s">
        <v>60</v>
      </c>
      <c r="E54" s="90" t="s">
        <v>113</v>
      </c>
      <c r="F54" s="90" t="s">
        <v>114</v>
      </c>
      <c r="G54" s="98" t="s">
        <v>74</v>
      </c>
      <c r="H54" s="92">
        <v>20060.0</v>
      </c>
      <c r="I54" s="99">
        <v>615.0</v>
      </c>
      <c r="J54" s="94">
        <v>11.8</v>
      </c>
      <c r="K54" s="100">
        <v>0.35</v>
      </c>
      <c r="L54" s="100">
        <v>0.568</v>
      </c>
      <c r="M54" s="100">
        <v>0.588</v>
      </c>
      <c r="N54" s="101">
        <v>11.6</v>
      </c>
      <c r="O54" s="94">
        <v>4.8</v>
      </c>
      <c r="P54" s="101">
        <v>83.6</v>
      </c>
      <c r="Q54" s="102"/>
      <c r="R54" s="103">
        <f t="shared" si="1"/>
        <v>236708</v>
      </c>
      <c r="S54" s="103">
        <f t="shared" si="2"/>
        <v>7021</v>
      </c>
      <c r="T54" s="103">
        <f t="shared" si="3"/>
        <v>11394.08</v>
      </c>
      <c r="U54" s="103">
        <f t="shared" si="4"/>
        <v>11795.28</v>
      </c>
      <c r="V54" s="103">
        <f t="shared" si="5"/>
        <v>232696</v>
      </c>
      <c r="W54" s="103">
        <f t="shared" si="6"/>
        <v>96288</v>
      </c>
      <c r="X54" s="103">
        <f t="shared" si="7"/>
        <v>1677016</v>
      </c>
    </row>
    <row r="55" ht="12.0" customHeight="1">
      <c r="A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5" s="87" t="str">
        <f>IFERROR(__xludf.DUMMYFUNCTION("IFERROR(IF(F55&lt;&gt;"""",""WHSE ""&amp;LEFT(F55,1),REGEXEXTRACT(E55,""-(?:\d{2}-)?([A-Z]+)"")),"""")
"),"WHSE B")</f>
        <v>WHSE B</v>
      </c>
      <c r="C55" s="88">
        <v>45370.0</v>
      </c>
      <c r="D55" s="89" t="s">
        <v>72</v>
      </c>
      <c r="E55" s="90" t="s">
        <v>110</v>
      </c>
      <c r="F55" s="90" t="s">
        <v>111</v>
      </c>
      <c r="G55" s="98" t="s">
        <v>73</v>
      </c>
      <c r="H55" s="92">
        <v>17265.0</v>
      </c>
      <c r="I55" s="99">
        <v>437.0</v>
      </c>
      <c r="J55" s="94">
        <v>11.54</v>
      </c>
      <c r="K55" s="100">
        <v>2.86</v>
      </c>
      <c r="L55" s="100">
        <v>0.575</v>
      </c>
      <c r="M55" s="100">
        <v>0.595</v>
      </c>
      <c r="N55" s="101">
        <v>12.57</v>
      </c>
      <c r="O55" s="94">
        <v>3.18</v>
      </c>
      <c r="P55" s="101">
        <v>84.25</v>
      </c>
      <c r="Q55" s="102"/>
      <c r="R55" s="103">
        <f t="shared" si="1"/>
        <v>199238.1</v>
      </c>
      <c r="S55" s="103">
        <f t="shared" si="2"/>
        <v>49377.9</v>
      </c>
      <c r="T55" s="103">
        <f t="shared" si="3"/>
        <v>9927.375</v>
      </c>
      <c r="U55" s="103">
        <f t="shared" si="4"/>
        <v>10272.675</v>
      </c>
      <c r="V55" s="103">
        <f t="shared" si="5"/>
        <v>217021.05</v>
      </c>
      <c r="W55" s="103">
        <f t="shared" si="6"/>
        <v>54902.7</v>
      </c>
      <c r="X55" s="103">
        <f t="shared" si="7"/>
        <v>1454576.25</v>
      </c>
    </row>
    <row r="56" ht="12.0" customHeight="1">
      <c r="A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6" s="87" t="str">
        <f>IFERROR(__xludf.DUMMYFUNCTION("IFERROR(IF(F56&lt;&gt;"""",""WHSE ""&amp;LEFT(F56,1),REGEXEXTRACT(E56,""-(?:\d{2}-)?([A-Z]+)"")),"""")
"),"WHSE B")</f>
        <v>WHSE B</v>
      </c>
      <c r="C56" s="88">
        <v>45372.0</v>
      </c>
      <c r="D56" s="89" t="s">
        <v>72</v>
      </c>
      <c r="E56" s="90" t="s">
        <v>110</v>
      </c>
      <c r="F56" s="90" t="s">
        <v>111</v>
      </c>
      <c r="G56" s="98" t="s">
        <v>77</v>
      </c>
      <c r="H56" s="92">
        <v>17250.0</v>
      </c>
      <c r="I56" s="99">
        <v>445.0</v>
      </c>
      <c r="J56" s="94">
        <v>11.94</v>
      </c>
      <c r="K56" s="100">
        <v>2.76</v>
      </c>
      <c r="L56" s="100">
        <v>0.575</v>
      </c>
      <c r="M56" s="100">
        <v>0.595</v>
      </c>
      <c r="N56" s="101">
        <v>12.4</v>
      </c>
      <c r="O56" s="94">
        <v>4.13</v>
      </c>
      <c r="P56" s="101">
        <v>83.47</v>
      </c>
      <c r="Q56" s="102"/>
      <c r="R56" s="103">
        <f t="shared" si="1"/>
        <v>205965</v>
      </c>
      <c r="S56" s="103">
        <f t="shared" si="2"/>
        <v>47610</v>
      </c>
      <c r="T56" s="103">
        <f t="shared" si="3"/>
        <v>9918.75</v>
      </c>
      <c r="U56" s="103">
        <f t="shared" si="4"/>
        <v>10263.75</v>
      </c>
      <c r="V56" s="103">
        <f t="shared" si="5"/>
        <v>213900</v>
      </c>
      <c r="W56" s="103">
        <f t="shared" si="6"/>
        <v>71242.5</v>
      </c>
      <c r="X56" s="103">
        <f t="shared" si="7"/>
        <v>1439857.5</v>
      </c>
    </row>
    <row r="57" ht="12.0" customHeight="1">
      <c r="A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7" s="87" t="str">
        <f>IFERROR(__xludf.DUMMYFUNCTION("IFERROR(IF(F57&lt;&gt;"""",""WHSE ""&amp;LEFT(F57,1),REGEXEXTRACT(E57,""-(?:\d{2}-)?([A-Z]+)"")),"""")
"),"WHSE B")</f>
        <v>WHSE B</v>
      </c>
      <c r="C57" s="88">
        <v>45373.0</v>
      </c>
      <c r="D57" s="89" t="s">
        <v>79</v>
      </c>
      <c r="E57" s="90" t="s">
        <v>118</v>
      </c>
      <c r="F57" s="90" t="s">
        <v>119</v>
      </c>
      <c r="G57" s="98" t="s">
        <v>121</v>
      </c>
      <c r="H57" s="92">
        <v>23470.0</v>
      </c>
      <c r="I57" s="99">
        <v>590.0</v>
      </c>
      <c r="J57" s="94">
        <v>10.67</v>
      </c>
      <c r="K57" s="100">
        <v>2.89</v>
      </c>
      <c r="L57" s="100">
        <v>2.84</v>
      </c>
      <c r="M57" s="100">
        <v>0.578</v>
      </c>
      <c r="N57" s="101">
        <v>12.15</v>
      </c>
      <c r="O57" s="94">
        <v>4.67</v>
      </c>
      <c r="P57" s="101">
        <v>83.18</v>
      </c>
      <c r="Q57" s="102"/>
      <c r="R57" s="103">
        <f t="shared" si="1"/>
        <v>250424.9</v>
      </c>
      <c r="S57" s="103">
        <f t="shared" si="2"/>
        <v>67828.3</v>
      </c>
      <c r="T57" s="103">
        <f t="shared" si="3"/>
        <v>66654.8</v>
      </c>
      <c r="U57" s="103">
        <f t="shared" si="4"/>
        <v>13565.66</v>
      </c>
      <c r="V57" s="103">
        <f t="shared" si="5"/>
        <v>285160.5</v>
      </c>
      <c r="W57" s="103">
        <f t="shared" si="6"/>
        <v>109604.9</v>
      </c>
      <c r="X57" s="103">
        <f t="shared" si="7"/>
        <v>1952234.6</v>
      </c>
    </row>
    <row r="58" ht="12.0" customHeight="1">
      <c r="A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8" s="87" t="str">
        <f>IFERROR(__xludf.DUMMYFUNCTION("IFERROR(IF(F58&lt;&gt;"""",""WHSE ""&amp;LEFT(F58,1),REGEXEXTRACT(E58,""-(?:\d{2}-)?([A-Z]+)"")),"""")
"),"WHSE B")</f>
        <v>WHSE B</v>
      </c>
      <c r="C58" s="88">
        <v>45373.0</v>
      </c>
      <c r="D58" s="89" t="s">
        <v>60</v>
      </c>
      <c r="E58" s="90" t="s">
        <v>122</v>
      </c>
      <c r="F58" s="90" t="s">
        <v>123</v>
      </c>
      <c r="G58" s="98" t="s">
        <v>74</v>
      </c>
      <c r="H58" s="92">
        <v>17148.0</v>
      </c>
      <c r="I58" s="99">
        <v>553.0</v>
      </c>
      <c r="J58" s="94">
        <v>15.74</v>
      </c>
      <c r="K58" s="100">
        <v>2.84</v>
      </c>
      <c r="L58" s="100">
        <v>2.89</v>
      </c>
      <c r="M58" s="100">
        <v>0.562</v>
      </c>
      <c r="N58" s="101">
        <v>12.29</v>
      </c>
      <c r="O58" s="94">
        <v>3.88</v>
      </c>
      <c r="P58" s="101">
        <v>83.83</v>
      </c>
      <c r="Q58" s="89" t="s">
        <v>124</v>
      </c>
      <c r="R58" s="86">
        <f t="shared" si="1"/>
        <v>269909.52</v>
      </c>
      <c r="S58" s="86">
        <f t="shared" si="2"/>
        <v>48700.32</v>
      </c>
      <c r="T58" s="86">
        <f t="shared" si="3"/>
        <v>49557.72</v>
      </c>
      <c r="U58" s="86">
        <f t="shared" si="4"/>
        <v>9637.176</v>
      </c>
      <c r="V58" s="86">
        <f t="shared" si="5"/>
        <v>210748.92</v>
      </c>
      <c r="W58" s="86">
        <f t="shared" si="6"/>
        <v>66534.24</v>
      </c>
      <c r="X58" s="86">
        <f t="shared" si="7"/>
        <v>1437516.84</v>
      </c>
    </row>
    <row r="59" ht="12.0" customHeight="1">
      <c r="A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9" s="87" t="str">
        <f>IFERROR(__xludf.DUMMYFUNCTION("IFERROR(IF(F59&lt;&gt;"""",""WHSE ""&amp;LEFT(F59,1),REGEXEXTRACT(E59,""-(?:\d{2}-)?([A-Z]+)"")),"""")
"),"WHSE B")</f>
        <v>WHSE B</v>
      </c>
      <c r="C59" s="88">
        <v>45378.0</v>
      </c>
      <c r="D59" s="89" t="s">
        <v>79</v>
      </c>
      <c r="E59" s="90" t="s">
        <v>118</v>
      </c>
      <c r="F59" s="90" t="s">
        <v>119</v>
      </c>
      <c r="G59" s="98" t="s">
        <v>109</v>
      </c>
      <c r="H59" s="92">
        <v>19600.0</v>
      </c>
      <c r="I59" s="99">
        <v>472.0</v>
      </c>
      <c r="J59" s="94">
        <v>10.0</v>
      </c>
      <c r="K59" s="100">
        <v>2.9</v>
      </c>
      <c r="L59" s="100">
        <v>0.578</v>
      </c>
      <c r="M59" s="100">
        <v>0.598</v>
      </c>
      <c r="N59" s="101">
        <v>12.19</v>
      </c>
      <c r="O59" s="94">
        <v>5.1</v>
      </c>
      <c r="P59" s="101">
        <v>82.71</v>
      </c>
      <c r="Q59" s="102"/>
      <c r="R59" s="103">
        <f t="shared" si="1"/>
        <v>196000</v>
      </c>
      <c r="S59" s="103">
        <f t="shared" si="2"/>
        <v>56840</v>
      </c>
      <c r="T59" s="103">
        <f t="shared" si="3"/>
        <v>11328.8</v>
      </c>
      <c r="U59" s="103">
        <f t="shared" si="4"/>
        <v>11720.8</v>
      </c>
      <c r="V59" s="103">
        <f t="shared" si="5"/>
        <v>238924</v>
      </c>
      <c r="W59" s="103">
        <f t="shared" si="6"/>
        <v>99960</v>
      </c>
      <c r="X59" s="103">
        <f t="shared" si="7"/>
        <v>1621116</v>
      </c>
    </row>
    <row r="60" ht="12.0" customHeight="1">
      <c r="A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0" s="87" t="str">
        <f>IFERROR(__xludf.DUMMYFUNCTION("IFERROR(IF(F60&lt;&gt;"""",""WHSE ""&amp;LEFT(F60,1),REGEXEXTRACT(E60,""-(?:\d{2}-)?([A-Z]+)"")),"""")
"),"WHSE B")</f>
        <v>WHSE B</v>
      </c>
      <c r="C60" s="88">
        <v>45378.0</v>
      </c>
      <c r="D60" s="89" t="s">
        <v>60</v>
      </c>
      <c r="E60" s="90" t="s">
        <v>122</v>
      </c>
      <c r="F60" s="90" t="s">
        <v>123</v>
      </c>
      <c r="G60" s="98" t="s">
        <v>74</v>
      </c>
      <c r="H60" s="92">
        <v>20740.0</v>
      </c>
      <c r="I60" s="99">
        <v>620.0</v>
      </c>
      <c r="J60" s="94">
        <v>12.07</v>
      </c>
      <c r="K60" s="100">
        <v>2.49</v>
      </c>
      <c r="L60" s="100">
        <v>0.562</v>
      </c>
      <c r="M60" s="100">
        <v>0.582</v>
      </c>
      <c r="N60" s="101">
        <v>13.27</v>
      </c>
      <c r="O60" s="94">
        <v>4.73</v>
      </c>
      <c r="P60" s="101">
        <v>82.0</v>
      </c>
      <c r="Q60" s="89" t="s">
        <v>125</v>
      </c>
      <c r="R60" s="86">
        <f t="shared" si="1"/>
        <v>250331.8</v>
      </c>
      <c r="S60" s="86">
        <f t="shared" si="2"/>
        <v>51642.6</v>
      </c>
      <c r="T60" s="86">
        <f t="shared" si="3"/>
        <v>11655.88</v>
      </c>
      <c r="U60" s="86">
        <f t="shared" si="4"/>
        <v>12070.68</v>
      </c>
      <c r="V60" s="86">
        <f t="shared" si="5"/>
        <v>275219.8</v>
      </c>
      <c r="W60" s="86">
        <f t="shared" si="6"/>
        <v>98100.2</v>
      </c>
      <c r="X60" s="86">
        <f t="shared" si="7"/>
        <v>1700680</v>
      </c>
    </row>
    <row r="61" ht="12.0" customHeight="1">
      <c r="A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1" s="87" t="str">
        <f>IFERROR(__xludf.DUMMYFUNCTION("IFERROR(IF(F61&lt;&gt;"""",""WHSE ""&amp;LEFT(F61,1),REGEXEXTRACT(E61,""-(?:\d{2}-)?([A-Z]+)"")),"""")
"),"WHSE B")</f>
        <v>WHSE B</v>
      </c>
      <c r="C61" s="88">
        <v>45383.0</v>
      </c>
      <c r="D61" s="89" t="s">
        <v>64</v>
      </c>
      <c r="E61" s="90" t="s">
        <v>113</v>
      </c>
      <c r="F61" s="90" t="s">
        <v>114</v>
      </c>
      <c r="G61" s="98" t="s">
        <v>126</v>
      </c>
      <c r="H61" s="92">
        <v>16185.0</v>
      </c>
      <c r="I61" s="99">
        <v>435.0</v>
      </c>
      <c r="J61" s="94">
        <v>11.14</v>
      </c>
      <c r="K61" s="100">
        <v>2.4</v>
      </c>
      <c r="L61" s="100">
        <v>0.575</v>
      </c>
      <c r="M61" s="100">
        <v>0.595</v>
      </c>
      <c r="N61" s="101">
        <v>12.67</v>
      </c>
      <c r="O61" s="94">
        <v>3.63</v>
      </c>
      <c r="P61" s="101">
        <v>83.7</v>
      </c>
      <c r="Q61" s="89" t="s">
        <v>127</v>
      </c>
      <c r="R61" s="86">
        <f t="shared" si="1"/>
        <v>180300.9</v>
      </c>
      <c r="S61" s="86">
        <f t="shared" si="2"/>
        <v>38844</v>
      </c>
      <c r="T61" s="86">
        <f t="shared" si="3"/>
        <v>9306.375</v>
      </c>
      <c r="U61" s="86">
        <f t="shared" si="4"/>
        <v>9630.075</v>
      </c>
      <c r="V61" s="86">
        <f t="shared" si="5"/>
        <v>205063.95</v>
      </c>
      <c r="W61" s="86">
        <f t="shared" si="6"/>
        <v>58751.55</v>
      </c>
      <c r="X61" s="86">
        <f t="shared" si="7"/>
        <v>1354684.5</v>
      </c>
    </row>
    <row r="62" ht="12.0" customHeight="1">
      <c r="A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2" s="87" t="str">
        <f>IFERROR(__xludf.DUMMYFUNCTION("IFERROR(IF(F62&lt;&gt;"""",""WHSE ""&amp;LEFT(F62,1),REGEXEXTRACT(E62,""-(?:\d{2}-)?([A-Z]+)"")),"""")
"),"WHSE B")</f>
        <v>WHSE B</v>
      </c>
      <c r="C62" s="88">
        <v>45384.0</v>
      </c>
      <c r="D62" s="89" t="s">
        <v>72</v>
      </c>
      <c r="E62" s="90" t="s">
        <v>110</v>
      </c>
      <c r="F62" s="90" t="s">
        <v>111</v>
      </c>
      <c r="G62" s="98" t="s">
        <v>73</v>
      </c>
      <c r="H62" s="92">
        <v>18184.0</v>
      </c>
      <c r="I62" s="99">
        <v>425.0</v>
      </c>
      <c r="J62" s="94">
        <v>11.38</v>
      </c>
      <c r="K62" s="100">
        <v>2.78</v>
      </c>
      <c r="L62" s="100">
        <v>0.578</v>
      </c>
      <c r="M62" s="100">
        <v>0.598</v>
      </c>
      <c r="N62" s="101">
        <v>12.81</v>
      </c>
      <c r="O62" s="94">
        <v>2.94</v>
      </c>
      <c r="P62" s="101">
        <v>84.25</v>
      </c>
      <c r="Q62" s="89" t="s">
        <v>128</v>
      </c>
      <c r="R62" s="86">
        <f t="shared" si="1"/>
        <v>206933.92</v>
      </c>
      <c r="S62" s="86">
        <f t="shared" si="2"/>
        <v>50551.52</v>
      </c>
      <c r="T62" s="86">
        <f t="shared" si="3"/>
        <v>10510.352</v>
      </c>
      <c r="U62" s="86">
        <f t="shared" si="4"/>
        <v>10874.032</v>
      </c>
      <c r="V62" s="86">
        <f t="shared" si="5"/>
        <v>232937.04</v>
      </c>
      <c r="W62" s="86">
        <f t="shared" si="6"/>
        <v>53460.96</v>
      </c>
      <c r="X62" s="86">
        <f t="shared" si="7"/>
        <v>1532002</v>
      </c>
    </row>
    <row r="63" ht="12.0" customHeight="1">
      <c r="A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3" s="87" t="str">
        <f>IFERROR(__xludf.DUMMYFUNCTION("IFERROR(IF(F63&lt;&gt;"""",""WHSE ""&amp;LEFT(F63,1),REGEXEXTRACT(E63,""-(?:\d{2}-)?([A-Z]+)"")),"""")
"),"WHSE B")</f>
        <v>WHSE B</v>
      </c>
      <c r="C63" s="88">
        <v>45385.0</v>
      </c>
      <c r="D63" s="89" t="s">
        <v>70</v>
      </c>
      <c r="E63" s="90" t="s">
        <v>122</v>
      </c>
      <c r="F63" s="90" t="s">
        <v>123</v>
      </c>
      <c r="G63" s="98" t="s">
        <v>129</v>
      </c>
      <c r="H63" s="92">
        <v>17954.0</v>
      </c>
      <c r="I63" s="99">
        <v>419.0</v>
      </c>
      <c r="J63" s="94">
        <v>13.27</v>
      </c>
      <c r="K63" s="100">
        <v>2.89</v>
      </c>
      <c r="L63" s="100">
        <v>0.588</v>
      </c>
      <c r="M63" s="100">
        <v>0.608</v>
      </c>
      <c r="N63" s="101">
        <v>12.13</v>
      </c>
      <c r="O63" s="94">
        <v>4.34</v>
      </c>
      <c r="P63" s="101">
        <v>83.53</v>
      </c>
      <c r="Q63" s="89" t="s">
        <v>130</v>
      </c>
      <c r="R63" s="86">
        <f t="shared" si="1"/>
        <v>238249.58</v>
      </c>
      <c r="S63" s="86">
        <f t="shared" si="2"/>
        <v>51887.06</v>
      </c>
      <c r="T63" s="86">
        <f t="shared" si="3"/>
        <v>10556.952</v>
      </c>
      <c r="U63" s="86">
        <f t="shared" si="4"/>
        <v>10916.032</v>
      </c>
      <c r="V63" s="86">
        <f t="shared" si="5"/>
        <v>217782.02</v>
      </c>
      <c r="W63" s="86">
        <f t="shared" si="6"/>
        <v>77920.36</v>
      </c>
      <c r="X63" s="86">
        <f t="shared" si="7"/>
        <v>1499697.62</v>
      </c>
    </row>
    <row r="64" ht="12.0" customHeight="1">
      <c r="A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4" s="87" t="str">
        <f>IFERROR(__xludf.DUMMYFUNCTION("IFERROR(IF(F64&lt;&gt;"""",""WHSE ""&amp;LEFT(F64,1),REGEXEXTRACT(E64,""-(?:\d{2}-)?([A-Z]+)"")),"""")
"),"WHSE B")</f>
        <v>WHSE B</v>
      </c>
      <c r="C64" s="88">
        <v>45386.0</v>
      </c>
      <c r="D64" s="89" t="s">
        <v>72</v>
      </c>
      <c r="E64" s="90" t="s">
        <v>131</v>
      </c>
      <c r="F64" s="90" t="s">
        <v>132</v>
      </c>
      <c r="G64" s="98" t="s">
        <v>77</v>
      </c>
      <c r="H64" s="92">
        <v>16035.0</v>
      </c>
      <c r="I64" s="99">
        <v>440.0</v>
      </c>
      <c r="J64" s="94">
        <v>11.2</v>
      </c>
      <c r="K64" s="100">
        <v>2.72</v>
      </c>
      <c r="L64" s="100">
        <v>0.581</v>
      </c>
      <c r="M64" s="100">
        <v>0.601</v>
      </c>
      <c r="N64" s="101">
        <v>13.4</v>
      </c>
      <c r="O64" s="94">
        <v>3.12</v>
      </c>
      <c r="P64" s="101">
        <v>83.48</v>
      </c>
      <c r="Q64" s="102"/>
      <c r="R64" s="103">
        <f t="shared" si="1"/>
        <v>179592</v>
      </c>
      <c r="S64" s="103">
        <f t="shared" si="2"/>
        <v>43615.2</v>
      </c>
      <c r="T64" s="103">
        <f t="shared" si="3"/>
        <v>9316.335</v>
      </c>
      <c r="U64" s="103">
        <f t="shared" si="4"/>
        <v>9637.035</v>
      </c>
      <c r="V64" s="103">
        <f t="shared" si="5"/>
        <v>214869</v>
      </c>
      <c r="W64" s="103">
        <f t="shared" si="6"/>
        <v>50029.2</v>
      </c>
      <c r="X64" s="103">
        <f t="shared" si="7"/>
        <v>1338601.8</v>
      </c>
    </row>
    <row r="65" ht="12.0" customHeight="1">
      <c r="A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5" s="87" t="str">
        <f>IFERROR(__xludf.DUMMYFUNCTION("IFERROR(IF(F65&lt;&gt;"""",""WHSE ""&amp;LEFT(F65,1),REGEXEXTRACT(E65,""-(?:\d{2}-)?([A-Z]+)"")),"""")
"),"WHSE B")</f>
        <v>WHSE B</v>
      </c>
      <c r="C65" s="88">
        <v>45387.0</v>
      </c>
      <c r="D65" s="89" t="s">
        <v>60</v>
      </c>
      <c r="E65" s="90" t="s">
        <v>122</v>
      </c>
      <c r="F65" s="90" t="s">
        <v>123</v>
      </c>
      <c r="G65" s="98" t="s">
        <v>74</v>
      </c>
      <c r="H65" s="92">
        <v>20597.0</v>
      </c>
      <c r="I65" s="99">
        <v>386.0</v>
      </c>
      <c r="J65" s="94">
        <v>13.32</v>
      </c>
      <c r="K65" s="100">
        <v>2.81</v>
      </c>
      <c r="L65" s="100">
        <v>0.56</v>
      </c>
      <c r="M65" s="100">
        <v>0.58</v>
      </c>
      <c r="N65" s="101">
        <v>11.14</v>
      </c>
      <c r="O65" s="94">
        <v>4.87</v>
      </c>
      <c r="P65" s="101">
        <v>83.99</v>
      </c>
      <c r="Q65" s="89" t="s">
        <v>133</v>
      </c>
      <c r="R65" s="86">
        <f t="shared" si="1"/>
        <v>274352.04</v>
      </c>
      <c r="S65" s="86">
        <f t="shared" si="2"/>
        <v>57877.57</v>
      </c>
      <c r="T65" s="86">
        <f t="shared" si="3"/>
        <v>11534.32</v>
      </c>
      <c r="U65" s="86">
        <f t="shared" si="4"/>
        <v>11946.26</v>
      </c>
      <c r="V65" s="86">
        <f t="shared" si="5"/>
        <v>229450.58</v>
      </c>
      <c r="W65" s="86">
        <f t="shared" si="6"/>
        <v>100307.39</v>
      </c>
      <c r="X65" s="86">
        <f t="shared" si="7"/>
        <v>1729942.03</v>
      </c>
    </row>
    <row r="66" ht="12.0" customHeight="1">
      <c r="A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6" s="87" t="str">
        <f>IFERROR(__xludf.DUMMYFUNCTION("IFERROR(IF(F66&lt;&gt;"""",""WHSE ""&amp;LEFT(F66,1),REGEXEXTRACT(E66,""-(?:\d{2}-)?([A-Z]+)"")),"""")
"),"WHSE B")</f>
        <v>WHSE B</v>
      </c>
      <c r="C66" s="88">
        <v>45388.0</v>
      </c>
      <c r="D66" s="89" t="s">
        <v>72</v>
      </c>
      <c r="E66" s="90" t="s">
        <v>131</v>
      </c>
      <c r="F66" s="90" t="s">
        <v>132</v>
      </c>
      <c r="G66" s="98" t="s">
        <v>73</v>
      </c>
      <c r="H66" s="92">
        <v>16580.0</v>
      </c>
      <c r="I66" s="99">
        <v>423.0</v>
      </c>
      <c r="J66" s="94">
        <v>8.74</v>
      </c>
      <c r="K66" s="100">
        <v>2.97</v>
      </c>
      <c r="L66" s="100">
        <v>0.571</v>
      </c>
      <c r="M66" s="100">
        <v>0.591</v>
      </c>
      <c r="N66" s="101">
        <v>14.26</v>
      </c>
      <c r="O66" s="94">
        <v>4.56</v>
      </c>
      <c r="P66" s="101">
        <v>81.18</v>
      </c>
      <c r="Q66" s="102"/>
      <c r="R66" s="103">
        <f t="shared" si="1"/>
        <v>144909.2</v>
      </c>
      <c r="S66" s="103">
        <f t="shared" si="2"/>
        <v>49242.6</v>
      </c>
      <c r="T66" s="103">
        <f t="shared" si="3"/>
        <v>9467.18</v>
      </c>
      <c r="U66" s="103">
        <f t="shared" si="4"/>
        <v>9798.78</v>
      </c>
      <c r="V66" s="103">
        <f t="shared" si="5"/>
        <v>236430.8</v>
      </c>
      <c r="W66" s="103">
        <f t="shared" si="6"/>
        <v>75604.8</v>
      </c>
      <c r="X66" s="103">
        <f t="shared" si="7"/>
        <v>1345964.4</v>
      </c>
    </row>
    <row r="67" ht="12.0" customHeight="1">
      <c r="A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7" s="87" t="str">
        <f>IFERROR(__xludf.DUMMYFUNCTION("IFERROR(IF(F67&lt;&gt;"""",""WHSE ""&amp;LEFT(F67,1),REGEXEXTRACT(E67,""-(?:\d{2}-)?([A-Z]+)"")),"""")
"),"WHSE B")</f>
        <v>WHSE B</v>
      </c>
      <c r="C67" s="88">
        <v>45393.0</v>
      </c>
      <c r="D67" s="89" t="s">
        <v>72</v>
      </c>
      <c r="E67" s="90" t="s">
        <v>131</v>
      </c>
      <c r="F67" s="90" t="s">
        <v>132</v>
      </c>
      <c r="G67" s="98" t="s">
        <v>73</v>
      </c>
      <c r="H67" s="92">
        <v>17969.0</v>
      </c>
      <c r="I67" s="99">
        <v>454.0</v>
      </c>
      <c r="J67" s="94">
        <v>13.87</v>
      </c>
      <c r="K67" s="100">
        <v>2.8</v>
      </c>
      <c r="L67" s="100">
        <v>0.575</v>
      </c>
      <c r="M67" s="100">
        <v>0.595</v>
      </c>
      <c r="N67" s="101">
        <v>12.37</v>
      </c>
      <c r="O67" s="94">
        <v>2.85</v>
      </c>
      <c r="P67" s="101">
        <v>84.78</v>
      </c>
      <c r="Q67" s="89" t="s">
        <v>134</v>
      </c>
      <c r="R67" s="86">
        <f t="shared" si="1"/>
        <v>249230.03</v>
      </c>
      <c r="S67" s="86">
        <f t="shared" si="2"/>
        <v>50313.2</v>
      </c>
      <c r="T67" s="86">
        <f t="shared" si="3"/>
        <v>10332.175</v>
      </c>
      <c r="U67" s="86">
        <f t="shared" si="4"/>
        <v>10691.555</v>
      </c>
      <c r="V67" s="86">
        <f t="shared" si="5"/>
        <v>222276.53</v>
      </c>
      <c r="W67" s="86">
        <f t="shared" si="6"/>
        <v>51211.65</v>
      </c>
      <c r="X67" s="86">
        <f t="shared" si="7"/>
        <v>1523411.82</v>
      </c>
    </row>
    <row r="68" ht="12.0" customHeight="1">
      <c r="A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8" s="87" t="str">
        <f>IFERROR(__xludf.DUMMYFUNCTION("IFERROR(IF(F68&lt;&gt;"""",""WHSE ""&amp;LEFT(F68,1),REGEXEXTRACT(E68,""-(?:\d{2}-)?([A-Z]+)"")),"""")
"),"WHSE B")</f>
        <v>WHSE B</v>
      </c>
      <c r="C68" s="88">
        <v>45394.0</v>
      </c>
      <c r="D68" s="89" t="s">
        <v>64</v>
      </c>
      <c r="E68" s="90" t="s">
        <v>135</v>
      </c>
      <c r="F68" s="90" t="s">
        <v>136</v>
      </c>
      <c r="G68" s="98" t="s">
        <v>65</v>
      </c>
      <c r="H68" s="92">
        <v>21260.0</v>
      </c>
      <c r="I68" s="99">
        <v>600.0</v>
      </c>
      <c r="J68" s="94">
        <v>11.94</v>
      </c>
      <c r="K68" s="100">
        <v>2.8</v>
      </c>
      <c r="L68" s="100">
        <v>0.571</v>
      </c>
      <c r="M68" s="100">
        <v>0.591</v>
      </c>
      <c r="N68" s="101">
        <v>11.98</v>
      </c>
      <c r="O68" s="94">
        <v>3.79</v>
      </c>
      <c r="P68" s="101">
        <v>84.23</v>
      </c>
      <c r="Q68" s="102"/>
      <c r="R68" s="103">
        <f t="shared" si="1"/>
        <v>253844.4</v>
      </c>
      <c r="S68" s="103">
        <f t="shared" si="2"/>
        <v>59528</v>
      </c>
      <c r="T68" s="103">
        <f t="shared" si="3"/>
        <v>12139.46</v>
      </c>
      <c r="U68" s="103">
        <f t="shared" si="4"/>
        <v>12564.66</v>
      </c>
      <c r="V68" s="103">
        <f t="shared" si="5"/>
        <v>254694.8</v>
      </c>
      <c r="W68" s="103">
        <f t="shared" si="6"/>
        <v>80575.4</v>
      </c>
      <c r="X68" s="103">
        <f t="shared" si="7"/>
        <v>1790729.8</v>
      </c>
    </row>
    <row r="69" ht="12.0" customHeight="1">
      <c r="A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9" s="87" t="str">
        <f>IFERROR(__xludf.DUMMYFUNCTION("IFERROR(IF(F69&lt;&gt;"""",""WHSE ""&amp;LEFT(F69,1),REGEXEXTRACT(E69,""-(?:\d{2}-)?([A-Z]+)"")),"""")
"),"WHSE B")</f>
        <v>WHSE B</v>
      </c>
      <c r="C69" s="88">
        <v>45394.0</v>
      </c>
      <c r="D69" s="89" t="s">
        <v>112</v>
      </c>
      <c r="E69" s="90" t="s">
        <v>135</v>
      </c>
      <c r="F69" s="90" t="s">
        <v>136</v>
      </c>
      <c r="G69" s="98" t="s">
        <v>115</v>
      </c>
      <c r="H69" s="92">
        <v>11510.0</v>
      </c>
      <c r="I69" s="99">
        <v>448.0</v>
      </c>
      <c r="J69" s="94">
        <v>11.2</v>
      </c>
      <c r="K69" s="100">
        <v>2.57</v>
      </c>
      <c r="L69" s="100">
        <v>0.578</v>
      </c>
      <c r="M69" s="100">
        <v>0.598</v>
      </c>
      <c r="N69" s="101">
        <v>12.15</v>
      </c>
      <c r="O69" s="94">
        <v>2.91</v>
      </c>
      <c r="P69" s="101">
        <v>84.94</v>
      </c>
      <c r="Q69" s="102"/>
      <c r="R69" s="103">
        <f t="shared" si="1"/>
        <v>128912</v>
      </c>
      <c r="S69" s="103">
        <f t="shared" si="2"/>
        <v>29580.7</v>
      </c>
      <c r="T69" s="103">
        <f t="shared" si="3"/>
        <v>6652.78</v>
      </c>
      <c r="U69" s="103">
        <f t="shared" si="4"/>
        <v>6882.98</v>
      </c>
      <c r="V69" s="103">
        <f t="shared" si="5"/>
        <v>139846.5</v>
      </c>
      <c r="W69" s="103">
        <f t="shared" si="6"/>
        <v>33494.1</v>
      </c>
      <c r="X69" s="103">
        <f t="shared" si="7"/>
        <v>977659.4</v>
      </c>
    </row>
    <row r="70" ht="12.0" customHeight="1">
      <c r="A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0" s="87" t="str">
        <f>IFERROR(__xludf.DUMMYFUNCTION("IFERROR(IF(F70&lt;&gt;"""",""WHSE ""&amp;LEFT(F70,1),REGEXEXTRACT(E70,""-(?:\d{2}-)?([A-Z]+)"")),"""")
"),"WHSE B")</f>
        <v>WHSE B</v>
      </c>
      <c r="C70" s="88">
        <v>45397.0</v>
      </c>
      <c r="D70" s="89" t="s">
        <v>79</v>
      </c>
      <c r="E70" s="90" t="s">
        <v>137</v>
      </c>
      <c r="F70" s="90" t="s">
        <v>138</v>
      </c>
      <c r="G70" s="98" t="s">
        <v>107</v>
      </c>
      <c r="H70" s="92">
        <v>19690.0</v>
      </c>
      <c r="I70" s="99">
        <v>460.0</v>
      </c>
      <c r="J70" s="94">
        <v>10.87</v>
      </c>
      <c r="K70" s="100">
        <v>2.67</v>
      </c>
      <c r="L70" s="100">
        <v>0.575</v>
      </c>
      <c r="M70" s="100">
        <v>0.595</v>
      </c>
      <c r="N70" s="101">
        <v>13.4</v>
      </c>
      <c r="O70" s="94">
        <v>4.72</v>
      </c>
      <c r="P70" s="101">
        <v>81.88</v>
      </c>
      <c r="Q70" s="102"/>
      <c r="R70" s="103">
        <f t="shared" si="1"/>
        <v>214030.3</v>
      </c>
      <c r="S70" s="103">
        <f t="shared" si="2"/>
        <v>52572.3</v>
      </c>
      <c r="T70" s="103">
        <f t="shared" si="3"/>
        <v>11321.75</v>
      </c>
      <c r="U70" s="103">
        <f t="shared" si="4"/>
        <v>11715.55</v>
      </c>
      <c r="V70" s="103">
        <f t="shared" si="5"/>
        <v>263846</v>
      </c>
      <c r="W70" s="103">
        <f t="shared" si="6"/>
        <v>92936.8</v>
      </c>
      <c r="X70" s="103">
        <f t="shared" si="7"/>
        <v>1612217.2</v>
      </c>
    </row>
    <row r="71" ht="12.0" customHeight="1">
      <c r="A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1" s="87" t="str">
        <f>IFERROR(__xludf.DUMMYFUNCTION("IFERROR(IF(F71&lt;&gt;"""",""WHSE ""&amp;LEFT(F71,1),REGEXEXTRACT(E71,""-(?:\d{2}-)?([A-Z]+)"")),"""")
"),"WHSE B")</f>
        <v>WHSE B</v>
      </c>
      <c r="C71" s="88">
        <v>45398.0</v>
      </c>
      <c r="D71" s="89" t="s">
        <v>79</v>
      </c>
      <c r="E71" s="90" t="s">
        <v>137</v>
      </c>
      <c r="F71" s="90" t="s">
        <v>138</v>
      </c>
      <c r="G71" s="98" t="s">
        <v>109</v>
      </c>
      <c r="H71" s="92">
        <v>19500.0</v>
      </c>
      <c r="I71" s="99">
        <v>467.0</v>
      </c>
      <c r="J71" s="94">
        <v>10.94</v>
      </c>
      <c r="K71" s="100">
        <v>2.95</v>
      </c>
      <c r="L71" s="100">
        <v>0.578</v>
      </c>
      <c r="M71" s="100">
        <v>0.598</v>
      </c>
      <c r="N71" s="101">
        <v>12.78</v>
      </c>
      <c r="O71" s="94">
        <v>4.29</v>
      </c>
      <c r="P71" s="101">
        <v>82.93</v>
      </c>
      <c r="Q71" s="102"/>
      <c r="R71" s="103">
        <f t="shared" si="1"/>
        <v>213330</v>
      </c>
      <c r="S71" s="103">
        <f t="shared" si="2"/>
        <v>57525</v>
      </c>
      <c r="T71" s="103">
        <f t="shared" si="3"/>
        <v>11271</v>
      </c>
      <c r="U71" s="103">
        <f t="shared" si="4"/>
        <v>11661</v>
      </c>
      <c r="V71" s="103">
        <f t="shared" si="5"/>
        <v>249210</v>
      </c>
      <c r="W71" s="103">
        <f t="shared" si="6"/>
        <v>83655</v>
      </c>
      <c r="X71" s="103">
        <f t="shared" si="7"/>
        <v>1617135</v>
      </c>
    </row>
    <row r="72" ht="12.0" customHeight="1">
      <c r="A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2" s="87" t="str">
        <f>IFERROR(__xludf.DUMMYFUNCTION("IFERROR(IF(F72&lt;&gt;"""",""WHSE ""&amp;LEFT(F72,1),REGEXEXTRACT(E72,""-(?:\d{2}-)?([A-Z]+)"")),"""")
"),"WHSE B")</f>
        <v>WHSE B</v>
      </c>
      <c r="C72" s="88">
        <v>45399.0</v>
      </c>
      <c r="D72" s="89" t="s">
        <v>72</v>
      </c>
      <c r="E72" s="90" t="s">
        <v>131</v>
      </c>
      <c r="F72" s="90" t="s">
        <v>132</v>
      </c>
      <c r="G72" s="98" t="s">
        <v>73</v>
      </c>
      <c r="H72" s="92">
        <v>18220.0</v>
      </c>
      <c r="I72" s="99">
        <v>444.0</v>
      </c>
      <c r="J72" s="94">
        <v>9.07</v>
      </c>
      <c r="K72" s="100">
        <v>2.77</v>
      </c>
      <c r="L72" s="100">
        <v>0.575</v>
      </c>
      <c r="M72" s="100">
        <v>0.595</v>
      </c>
      <c r="N72" s="101">
        <v>12.74</v>
      </c>
      <c r="O72" s="94">
        <v>3.4</v>
      </c>
      <c r="P72" s="101">
        <v>83.86</v>
      </c>
      <c r="Q72" s="102"/>
      <c r="R72" s="103">
        <f t="shared" si="1"/>
        <v>165255.4</v>
      </c>
      <c r="S72" s="103">
        <f t="shared" si="2"/>
        <v>50469.4</v>
      </c>
      <c r="T72" s="103">
        <f t="shared" si="3"/>
        <v>10476.5</v>
      </c>
      <c r="U72" s="103">
        <f t="shared" si="4"/>
        <v>10840.9</v>
      </c>
      <c r="V72" s="103">
        <f t="shared" si="5"/>
        <v>232122.8</v>
      </c>
      <c r="W72" s="103">
        <f t="shared" si="6"/>
        <v>61948</v>
      </c>
      <c r="X72" s="103">
        <f t="shared" si="7"/>
        <v>1527929.2</v>
      </c>
    </row>
    <row r="73" ht="12.0" customHeight="1">
      <c r="A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3" s="87" t="str">
        <f>IFERROR(__xludf.DUMMYFUNCTION("IFERROR(IF(F73&lt;&gt;"""",""WHSE ""&amp;LEFT(F73,1),REGEXEXTRACT(E73,""-(?:\d{2}-)?([A-Z]+)"")),"""")
"),"WHSE B")</f>
        <v>WHSE B</v>
      </c>
      <c r="C73" s="88">
        <v>45400.0</v>
      </c>
      <c r="D73" s="89" t="s">
        <v>79</v>
      </c>
      <c r="E73" s="90" t="s">
        <v>137</v>
      </c>
      <c r="F73" s="90" t="s">
        <v>138</v>
      </c>
      <c r="G73" s="98" t="s">
        <v>139</v>
      </c>
      <c r="H73" s="92">
        <v>21299.0</v>
      </c>
      <c r="I73" s="99">
        <v>480.0</v>
      </c>
      <c r="J73" s="94">
        <v>9.07</v>
      </c>
      <c r="K73" s="100">
        <v>2.78</v>
      </c>
      <c r="L73" s="100">
        <v>0.578</v>
      </c>
      <c r="M73" s="100">
        <v>0.598</v>
      </c>
      <c r="N73" s="101">
        <v>11.94</v>
      </c>
      <c r="O73" s="94">
        <v>5.13</v>
      </c>
      <c r="P73" s="101">
        <v>82.93</v>
      </c>
      <c r="Q73" s="102"/>
      <c r="R73" s="103">
        <f t="shared" si="1"/>
        <v>193181.93</v>
      </c>
      <c r="S73" s="103">
        <f t="shared" si="2"/>
        <v>59211.22</v>
      </c>
      <c r="T73" s="103">
        <f t="shared" si="3"/>
        <v>12310.822</v>
      </c>
      <c r="U73" s="103">
        <f t="shared" si="4"/>
        <v>12736.802</v>
      </c>
      <c r="V73" s="103">
        <f t="shared" si="5"/>
        <v>254310.06</v>
      </c>
      <c r="W73" s="103">
        <f t="shared" si="6"/>
        <v>109263.87</v>
      </c>
      <c r="X73" s="103">
        <f t="shared" si="7"/>
        <v>1766326.07</v>
      </c>
    </row>
    <row r="74" ht="12.0" customHeight="1">
      <c r="A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4" s="87" t="str">
        <f>IFERROR(__xludf.DUMMYFUNCTION("IFERROR(IF(F74&lt;&gt;"""",""WHSE ""&amp;LEFT(F74,1),REGEXEXTRACT(E74,""-(?:\d{2}-)?([A-Z]+)"")),"""")
"),"WHSE B")</f>
        <v>WHSE B</v>
      </c>
      <c r="C74" s="88">
        <v>45404.0</v>
      </c>
      <c r="D74" s="89" t="s">
        <v>79</v>
      </c>
      <c r="E74" s="90" t="s">
        <v>140</v>
      </c>
      <c r="F74" s="90" t="s">
        <v>141</v>
      </c>
      <c r="G74" s="98" t="s">
        <v>142</v>
      </c>
      <c r="H74" s="92">
        <v>19397.0</v>
      </c>
      <c r="I74" s="99">
        <v>490.0</v>
      </c>
      <c r="J74" s="94">
        <v>11.07</v>
      </c>
      <c r="K74" s="100">
        <v>2.76</v>
      </c>
      <c r="L74" s="100">
        <v>0.562</v>
      </c>
      <c r="M74" s="100">
        <v>0.582</v>
      </c>
      <c r="N74" s="101">
        <v>12.21</v>
      </c>
      <c r="O74" s="94">
        <v>4.27</v>
      </c>
      <c r="P74" s="101">
        <v>83.52</v>
      </c>
      <c r="Q74" s="89" t="s">
        <v>143</v>
      </c>
      <c r="R74" s="86">
        <f t="shared" si="1"/>
        <v>214724.79</v>
      </c>
      <c r="S74" s="86">
        <f t="shared" si="2"/>
        <v>53535.72</v>
      </c>
      <c r="T74" s="86">
        <f t="shared" si="3"/>
        <v>10901.114</v>
      </c>
      <c r="U74" s="86">
        <f t="shared" si="4"/>
        <v>11289.054</v>
      </c>
      <c r="V74" s="86">
        <f t="shared" si="5"/>
        <v>236837.37</v>
      </c>
      <c r="W74" s="86">
        <f t="shared" si="6"/>
        <v>82825.19</v>
      </c>
      <c r="X74" s="86">
        <f t="shared" si="7"/>
        <v>1620037.44</v>
      </c>
    </row>
    <row r="75" ht="12.0" customHeight="1">
      <c r="A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5" s="87" t="str">
        <f>IFERROR(__xludf.DUMMYFUNCTION("IFERROR(IF(F75&lt;&gt;"""",""WHSE ""&amp;LEFT(F75,1),REGEXEXTRACT(E75,""-(?:\d{2}-)?([A-Z]+)"")),"""")
"),"WHSE B")</f>
        <v>WHSE B</v>
      </c>
      <c r="C75" s="88">
        <v>45407.0</v>
      </c>
      <c r="D75" s="89" t="s">
        <v>79</v>
      </c>
      <c r="E75" s="90" t="s">
        <v>140</v>
      </c>
      <c r="F75" s="90" t="s">
        <v>141</v>
      </c>
      <c r="G75" s="98" t="s">
        <v>107</v>
      </c>
      <c r="H75" s="92">
        <v>20047.0</v>
      </c>
      <c r="I75" s="99">
        <v>513.0</v>
      </c>
      <c r="J75" s="94">
        <v>10.87</v>
      </c>
      <c r="K75" s="100">
        <v>2.88</v>
      </c>
      <c r="L75" s="100">
        <v>0.578</v>
      </c>
      <c r="M75" s="100">
        <v>0.598</v>
      </c>
      <c r="N75" s="101">
        <v>11.86</v>
      </c>
      <c r="O75" s="94">
        <v>2.04</v>
      </c>
      <c r="P75" s="101">
        <v>86.1</v>
      </c>
      <c r="Q75" s="89" t="s">
        <v>144</v>
      </c>
      <c r="R75" s="86">
        <f t="shared" si="1"/>
        <v>217910.89</v>
      </c>
      <c r="S75" s="86">
        <f t="shared" si="2"/>
        <v>57735.36</v>
      </c>
      <c r="T75" s="86">
        <f t="shared" si="3"/>
        <v>11587.166</v>
      </c>
      <c r="U75" s="86">
        <f t="shared" si="4"/>
        <v>11988.106</v>
      </c>
      <c r="V75" s="86">
        <f t="shared" si="5"/>
        <v>237757.42</v>
      </c>
      <c r="W75" s="86">
        <f t="shared" si="6"/>
        <v>40895.88</v>
      </c>
      <c r="X75" s="86">
        <f t="shared" si="7"/>
        <v>1726046.7</v>
      </c>
    </row>
    <row r="76" ht="12.0" customHeight="1">
      <c r="A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6" s="87" t="str">
        <f>IFERROR(__xludf.DUMMYFUNCTION("IFERROR(IF(F76&lt;&gt;"""",""WHSE ""&amp;LEFT(F76,1),REGEXEXTRACT(E76,""-(?:\d{2}-)?([A-Z]+)"")),"""")
"),"WHSE B")</f>
        <v>WHSE B</v>
      </c>
      <c r="C76" s="88">
        <v>45411.0</v>
      </c>
      <c r="D76" s="89" t="s">
        <v>64</v>
      </c>
      <c r="E76" s="90" t="s">
        <v>135</v>
      </c>
      <c r="F76" s="90" t="s">
        <v>136</v>
      </c>
      <c r="G76" s="98" t="s">
        <v>145</v>
      </c>
      <c r="H76" s="92">
        <v>17210.0</v>
      </c>
      <c r="I76" s="99">
        <v>523.0</v>
      </c>
      <c r="J76" s="94">
        <v>12.0</v>
      </c>
      <c r="K76" s="100">
        <v>2.5</v>
      </c>
      <c r="L76" s="100">
        <v>0.578</v>
      </c>
      <c r="M76" s="100">
        <v>0.598</v>
      </c>
      <c r="N76" s="101">
        <v>12.1</v>
      </c>
      <c r="O76" s="94">
        <v>3.45</v>
      </c>
      <c r="P76" s="101">
        <v>84.45</v>
      </c>
      <c r="Q76" s="102"/>
      <c r="R76" s="103">
        <f t="shared" si="1"/>
        <v>206520</v>
      </c>
      <c r="S76" s="103">
        <f t="shared" si="2"/>
        <v>43025</v>
      </c>
      <c r="T76" s="103">
        <f t="shared" si="3"/>
        <v>9947.38</v>
      </c>
      <c r="U76" s="103">
        <f t="shared" si="4"/>
        <v>10291.58</v>
      </c>
      <c r="V76" s="103">
        <f t="shared" si="5"/>
        <v>208241</v>
      </c>
      <c r="W76" s="103">
        <f t="shared" si="6"/>
        <v>59374.5</v>
      </c>
      <c r="X76" s="103">
        <f t="shared" si="7"/>
        <v>1453384.5</v>
      </c>
    </row>
    <row r="77" ht="12.0" customHeight="1">
      <c r="A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7" s="87" t="str">
        <f>IFERROR(__xludf.DUMMYFUNCTION("IFERROR(IF(F77&lt;&gt;"""",""WHSE ""&amp;LEFT(F77,1),REGEXEXTRACT(E77,""-(?:\d{2}-)?([A-Z]+)"")),"""")
"),"WHSE B")</f>
        <v>WHSE B</v>
      </c>
      <c r="C77" s="88">
        <v>45412.0</v>
      </c>
      <c r="D77" s="89" t="s">
        <v>79</v>
      </c>
      <c r="E77" s="90" t="s">
        <v>140</v>
      </c>
      <c r="F77" s="90" t="s">
        <v>141</v>
      </c>
      <c r="G77" s="98" t="s">
        <v>146</v>
      </c>
      <c r="H77" s="92">
        <v>18758.0</v>
      </c>
      <c r="I77" s="99">
        <v>459.0</v>
      </c>
      <c r="J77" s="94">
        <v>11.94</v>
      </c>
      <c r="K77" s="100">
        <v>2.98</v>
      </c>
      <c r="L77" s="100">
        <v>0.575</v>
      </c>
      <c r="M77" s="100">
        <v>0.595</v>
      </c>
      <c r="N77" s="101">
        <v>11.43</v>
      </c>
      <c r="O77" s="94">
        <v>5.95</v>
      </c>
      <c r="P77" s="101">
        <v>82.62</v>
      </c>
      <c r="Q77" s="89" t="s">
        <v>147</v>
      </c>
      <c r="R77" s="86">
        <f t="shared" si="1"/>
        <v>223970.52</v>
      </c>
      <c r="S77" s="86">
        <f t="shared" si="2"/>
        <v>55898.84</v>
      </c>
      <c r="T77" s="86">
        <f t="shared" si="3"/>
        <v>10785.85</v>
      </c>
      <c r="U77" s="86">
        <f t="shared" si="4"/>
        <v>11161.01</v>
      </c>
      <c r="V77" s="86">
        <f t="shared" si="5"/>
        <v>214403.94</v>
      </c>
      <c r="W77" s="86">
        <f t="shared" si="6"/>
        <v>111610.1</v>
      </c>
      <c r="X77" s="86">
        <f t="shared" si="7"/>
        <v>1549785.96</v>
      </c>
    </row>
    <row r="78" ht="12.0" customHeight="1">
      <c r="A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8" s="87" t="str">
        <f>IFERROR(__xludf.DUMMYFUNCTION("IFERROR(IF(F78&lt;&gt;"""",""WHSE ""&amp;LEFT(F78,1),REGEXEXTRACT(E78,""-(?:\d{2}-)?([A-Z]+)"")),"""")
"),"WHSE B")</f>
        <v>WHSE B</v>
      </c>
      <c r="C78" s="88">
        <v>45412.0</v>
      </c>
      <c r="D78" s="89" t="s">
        <v>72</v>
      </c>
      <c r="E78" s="90" t="s">
        <v>148</v>
      </c>
      <c r="F78" s="90" t="s">
        <v>149</v>
      </c>
      <c r="G78" s="98" t="s">
        <v>73</v>
      </c>
      <c r="H78" s="92">
        <v>17300.0</v>
      </c>
      <c r="I78" s="99">
        <v>440.0</v>
      </c>
      <c r="J78" s="94">
        <v>8.87</v>
      </c>
      <c r="K78" s="100">
        <v>2.3</v>
      </c>
      <c r="L78" s="100">
        <v>0.575</v>
      </c>
      <c r="M78" s="100">
        <v>0.595</v>
      </c>
      <c r="N78" s="101">
        <v>13.1</v>
      </c>
      <c r="O78" s="94">
        <v>3.78</v>
      </c>
      <c r="P78" s="101">
        <v>83.12</v>
      </c>
      <c r="Q78" s="102"/>
      <c r="R78" s="103">
        <f t="shared" si="1"/>
        <v>153451</v>
      </c>
      <c r="S78" s="103">
        <f t="shared" si="2"/>
        <v>39790</v>
      </c>
      <c r="T78" s="103">
        <f t="shared" si="3"/>
        <v>9947.5</v>
      </c>
      <c r="U78" s="103">
        <f t="shared" si="4"/>
        <v>10293.5</v>
      </c>
      <c r="V78" s="103">
        <f t="shared" si="5"/>
        <v>226630</v>
      </c>
      <c r="W78" s="103">
        <f t="shared" si="6"/>
        <v>65394</v>
      </c>
      <c r="X78" s="103">
        <f t="shared" si="7"/>
        <v>1437976</v>
      </c>
    </row>
    <row r="79" ht="12.0" customHeight="1">
      <c r="A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9" s="87" t="str">
        <f>IFERROR(__xludf.DUMMYFUNCTION("IFERROR(IF(F79&lt;&gt;"""",""WHSE ""&amp;LEFT(F79,1),REGEXEXTRACT(E79,""-(?:\d{2}-)?([A-Z]+)"")),"""")
"),"WHSE B")</f>
        <v>WHSE B</v>
      </c>
      <c r="C79" s="88">
        <v>45414.0</v>
      </c>
      <c r="D79" s="89" t="s">
        <v>60</v>
      </c>
      <c r="E79" s="90" t="s">
        <v>150</v>
      </c>
      <c r="F79" s="90" t="s">
        <v>151</v>
      </c>
      <c r="G79" s="98" t="s">
        <v>63</v>
      </c>
      <c r="H79" s="92">
        <v>19058.0</v>
      </c>
      <c r="I79" s="99">
        <v>454.0</v>
      </c>
      <c r="J79" s="94">
        <v>13.2</v>
      </c>
      <c r="K79" s="100">
        <v>2.6</v>
      </c>
      <c r="L79" s="100">
        <v>0.562</v>
      </c>
      <c r="M79" s="100">
        <v>0.582</v>
      </c>
      <c r="N79" s="101">
        <v>12.74</v>
      </c>
      <c r="O79" s="94">
        <v>3.52</v>
      </c>
      <c r="P79" s="101">
        <v>83.74</v>
      </c>
      <c r="Q79" s="89" t="s">
        <v>152</v>
      </c>
      <c r="R79" s="86">
        <f t="shared" si="1"/>
        <v>251565.6</v>
      </c>
      <c r="S79" s="86">
        <f t="shared" si="2"/>
        <v>49550.8</v>
      </c>
      <c r="T79" s="86">
        <f t="shared" si="3"/>
        <v>10710.596</v>
      </c>
      <c r="U79" s="86">
        <f t="shared" si="4"/>
        <v>11091.756</v>
      </c>
      <c r="V79" s="86">
        <f t="shared" si="5"/>
        <v>242798.92</v>
      </c>
      <c r="W79" s="86">
        <f t="shared" si="6"/>
        <v>67084.16</v>
      </c>
      <c r="X79" s="86">
        <f t="shared" si="7"/>
        <v>1595916.92</v>
      </c>
    </row>
    <row r="80" ht="12.0" customHeight="1">
      <c r="A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0" s="87" t="str">
        <f>IFERROR(__xludf.DUMMYFUNCTION("IFERROR(IF(F80&lt;&gt;"""",""WHSE ""&amp;LEFT(F80,1),REGEXEXTRACT(E80,""-(?:\d{2}-)?([A-Z]+)"")),"""")
"),"WHSE B")</f>
        <v>WHSE B</v>
      </c>
      <c r="C80" s="88">
        <v>45418.0</v>
      </c>
      <c r="D80" s="89" t="s">
        <v>72</v>
      </c>
      <c r="E80" s="90" t="s">
        <v>148</v>
      </c>
      <c r="F80" s="90" t="s">
        <v>149</v>
      </c>
      <c r="G80" s="98" t="s">
        <v>73</v>
      </c>
      <c r="H80" s="92">
        <v>16720.0</v>
      </c>
      <c r="I80" s="99">
        <v>440.0</v>
      </c>
      <c r="J80" s="94">
        <v>10.0</v>
      </c>
      <c r="K80" s="100">
        <v>2.77</v>
      </c>
      <c r="L80" s="100">
        <v>0.578</v>
      </c>
      <c r="M80" s="100">
        <v>0.598</v>
      </c>
      <c r="N80" s="101">
        <v>11.8</v>
      </c>
      <c r="O80" s="94">
        <v>3.26</v>
      </c>
      <c r="P80" s="101">
        <v>84.94</v>
      </c>
      <c r="Q80" s="89" t="s">
        <v>153</v>
      </c>
      <c r="R80" s="86">
        <f t="shared" si="1"/>
        <v>167200</v>
      </c>
      <c r="S80" s="86">
        <f t="shared" si="2"/>
        <v>46314.4</v>
      </c>
      <c r="T80" s="86">
        <f t="shared" si="3"/>
        <v>9664.16</v>
      </c>
      <c r="U80" s="86">
        <f t="shared" si="4"/>
        <v>9998.56</v>
      </c>
      <c r="V80" s="86">
        <f t="shared" si="5"/>
        <v>197296</v>
      </c>
      <c r="W80" s="86">
        <f t="shared" si="6"/>
        <v>54507.2</v>
      </c>
      <c r="X80" s="86">
        <f t="shared" si="7"/>
        <v>1420196.8</v>
      </c>
    </row>
    <row r="81" ht="12.0" customHeight="1">
      <c r="A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1" s="87" t="str">
        <f>IFERROR(__xludf.DUMMYFUNCTION("IFERROR(IF(F81&lt;&gt;"""",""WHSE ""&amp;LEFT(F81,1),REGEXEXTRACT(E81,""-(?:\d{2}-)?([A-Z]+)"")),"""")
"),"WHSE B")</f>
        <v>WHSE B</v>
      </c>
      <c r="C81" s="88">
        <v>45418.0</v>
      </c>
      <c r="D81" s="89" t="s">
        <v>60</v>
      </c>
      <c r="E81" s="90" t="s">
        <v>150</v>
      </c>
      <c r="F81" s="90" t="s">
        <v>151</v>
      </c>
      <c r="G81" s="98" t="s">
        <v>74</v>
      </c>
      <c r="H81" s="92">
        <v>19135.0</v>
      </c>
      <c r="I81" s="99">
        <v>767.0</v>
      </c>
      <c r="J81" s="94">
        <v>14.87</v>
      </c>
      <c r="K81" s="100">
        <v>2.88</v>
      </c>
      <c r="L81" s="100">
        <v>0.565</v>
      </c>
      <c r="M81" s="100">
        <v>0.585</v>
      </c>
      <c r="N81" s="101">
        <v>11.92</v>
      </c>
      <c r="O81" s="94">
        <v>4.27</v>
      </c>
      <c r="P81" s="101">
        <v>83.81</v>
      </c>
      <c r="Q81" s="89" t="s">
        <v>154</v>
      </c>
      <c r="R81" s="86">
        <f t="shared" si="1"/>
        <v>284537.45</v>
      </c>
      <c r="S81" s="86">
        <f t="shared" si="2"/>
        <v>55108.8</v>
      </c>
      <c r="T81" s="86">
        <f t="shared" si="3"/>
        <v>10811.275</v>
      </c>
      <c r="U81" s="86">
        <f t="shared" si="4"/>
        <v>11193.975</v>
      </c>
      <c r="V81" s="86">
        <f t="shared" si="5"/>
        <v>228089.2</v>
      </c>
      <c r="W81" s="86">
        <f t="shared" si="6"/>
        <v>81706.45</v>
      </c>
      <c r="X81" s="86">
        <f t="shared" si="7"/>
        <v>1603704.35</v>
      </c>
    </row>
    <row r="82" ht="12.0" customHeight="1">
      <c r="A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2" s="87" t="str">
        <f>IFERROR(__xludf.DUMMYFUNCTION("IFERROR(IF(F82&lt;&gt;"""",""WHSE ""&amp;LEFT(F82,1),REGEXEXTRACT(E82,""-(?:\d{2}-)?([A-Z]+)"")),"""")
"),"WHSE B")</f>
        <v>WHSE B</v>
      </c>
      <c r="C82" s="88">
        <v>45420.0</v>
      </c>
      <c r="D82" s="89" t="s">
        <v>72</v>
      </c>
      <c r="E82" s="90" t="s">
        <v>148</v>
      </c>
      <c r="F82" s="90" t="s">
        <v>149</v>
      </c>
      <c r="G82" s="98" t="s">
        <v>77</v>
      </c>
      <c r="H82" s="92">
        <v>17170.0</v>
      </c>
      <c r="I82" s="99">
        <v>476.0</v>
      </c>
      <c r="J82" s="94">
        <v>9.4</v>
      </c>
      <c r="K82" s="100">
        <v>2.3</v>
      </c>
      <c r="L82" s="100">
        <v>0.585</v>
      </c>
      <c r="M82" s="100">
        <v>0.605</v>
      </c>
      <c r="N82" s="101">
        <v>12.74</v>
      </c>
      <c r="O82" s="94">
        <v>2.56</v>
      </c>
      <c r="P82" s="101">
        <v>84.7</v>
      </c>
      <c r="Q82" s="89" t="s">
        <v>155</v>
      </c>
      <c r="R82" s="86">
        <f t="shared" si="1"/>
        <v>161398</v>
      </c>
      <c r="S82" s="86">
        <f t="shared" si="2"/>
        <v>39491</v>
      </c>
      <c r="T82" s="86">
        <f t="shared" si="3"/>
        <v>10044.45</v>
      </c>
      <c r="U82" s="86">
        <f t="shared" si="4"/>
        <v>10387.85</v>
      </c>
      <c r="V82" s="86">
        <f t="shared" si="5"/>
        <v>218745.8</v>
      </c>
      <c r="W82" s="86">
        <f t="shared" si="6"/>
        <v>43955.2</v>
      </c>
      <c r="X82" s="86">
        <f t="shared" si="7"/>
        <v>1454299</v>
      </c>
    </row>
    <row r="83" ht="12.0" customHeight="1">
      <c r="A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3" s="87" t="str">
        <f>IFERROR(__xludf.DUMMYFUNCTION("IFERROR(IF(F83&lt;&gt;"""",""WHSE ""&amp;LEFT(F83,1),REGEXEXTRACT(E83,""-(?:\d{2}-)?([A-Z]+)"")),"""")
"),"WHSE B")</f>
        <v>WHSE B</v>
      </c>
      <c r="C83" s="88">
        <v>45427.0</v>
      </c>
      <c r="D83" s="89" t="s">
        <v>156</v>
      </c>
      <c r="E83" s="90" t="s">
        <v>157</v>
      </c>
      <c r="F83" s="90" t="s">
        <v>158</v>
      </c>
      <c r="G83" s="98" t="s">
        <v>159</v>
      </c>
      <c r="H83" s="92">
        <v>21955.0</v>
      </c>
      <c r="I83" s="99">
        <v>610.0</v>
      </c>
      <c r="J83" s="94">
        <v>10.27</v>
      </c>
      <c r="K83" s="100">
        <v>2.9</v>
      </c>
      <c r="L83" s="100">
        <v>0.565</v>
      </c>
      <c r="M83" s="100">
        <v>0.585</v>
      </c>
      <c r="N83" s="101">
        <v>11.5</v>
      </c>
      <c r="O83" s="94">
        <v>2.72</v>
      </c>
      <c r="P83" s="101">
        <v>85.78</v>
      </c>
      <c r="Q83" s="102"/>
      <c r="R83" s="103">
        <f t="shared" si="1"/>
        <v>225477.85</v>
      </c>
      <c r="S83" s="103">
        <f t="shared" si="2"/>
        <v>63669.5</v>
      </c>
      <c r="T83" s="103">
        <f t="shared" si="3"/>
        <v>12404.575</v>
      </c>
      <c r="U83" s="103">
        <f t="shared" si="4"/>
        <v>12843.675</v>
      </c>
      <c r="V83" s="103">
        <f t="shared" si="5"/>
        <v>252482.5</v>
      </c>
      <c r="W83" s="103">
        <f t="shared" si="6"/>
        <v>59717.6</v>
      </c>
      <c r="X83" s="103">
        <f t="shared" si="7"/>
        <v>1883299.9</v>
      </c>
    </row>
    <row r="84" ht="12.0" customHeight="1">
      <c r="A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4" s="87" t="str">
        <f>IFERROR(__xludf.DUMMYFUNCTION("IFERROR(IF(F84&lt;&gt;"""",""WHSE ""&amp;LEFT(F84,1),REGEXEXTRACT(E84,""-(?:\d{2}-)?([A-Z]+)"")),"""")
"),"WHSE B")</f>
        <v>WHSE B</v>
      </c>
      <c r="C84" s="88">
        <v>45428.0</v>
      </c>
      <c r="D84" s="89" t="s">
        <v>88</v>
      </c>
      <c r="E84" s="90" t="s">
        <v>135</v>
      </c>
      <c r="F84" s="90" t="s">
        <v>136</v>
      </c>
      <c r="G84" s="98" t="s">
        <v>89</v>
      </c>
      <c r="H84" s="92">
        <v>3944.0</v>
      </c>
      <c r="I84" s="99">
        <v>101.0</v>
      </c>
      <c r="J84" s="94">
        <v>13.27</v>
      </c>
      <c r="K84" s="100">
        <v>1.14</v>
      </c>
      <c r="L84" s="100">
        <v>0.588</v>
      </c>
      <c r="M84" s="100">
        <v>0.608</v>
      </c>
      <c r="N84" s="101">
        <v>14.27</v>
      </c>
      <c r="O84" s="94">
        <v>2.35</v>
      </c>
      <c r="P84" s="101">
        <v>83.38</v>
      </c>
      <c r="Q84" s="89" t="s">
        <v>160</v>
      </c>
      <c r="R84" s="86">
        <f t="shared" si="1"/>
        <v>52336.88</v>
      </c>
      <c r="S84" s="86">
        <f t="shared" si="2"/>
        <v>4496.16</v>
      </c>
      <c r="T84" s="86">
        <f t="shared" si="3"/>
        <v>2319.072</v>
      </c>
      <c r="U84" s="86">
        <f t="shared" si="4"/>
        <v>2397.952</v>
      </c>
      <c r="V84" s="86">
        <f t="shared" si="5"/>
        <v>56280.88</v>
      </c>
      <c r="W84" s="86">
        <f t="shared" si="6"/>
        <v>9268.4</v>
      </c>
      <c r="X84" s="86">
        <f t="shared" si="7"/>
        <v>328850.72</v>
      </c>
    </row>
    <row r="85" ht="12.0" customHeight="1">
      <c r="A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5" s="87" t="str">
        <f>IFERROR(__xludf.DUMMYFUNCTION("IFERROR(IF(F85&lt;&gt;"""",""WHSE ""&amp;LEFT(F85,1),REGEXEXTRACT(E85,""-(?:\d{2}-)?([A-Z]+)"")),"""")
"),"WHSE B")</f>
        <v>WHSE B</v>
      </c>
      <c r="C85" s="88">
        <v>45430.0</v>
      </c>
      <c r="D85" s="89" t="s">
        <v>72</v>
      </c>
      <c r="E85" s="90" t="s">
        <v>161</v>
      </c>
      <c r="F85" s="90" t="s">
        <v>162</v>
      </c>
      <c r="G85" s="98" t="s">
        <v>73</v>
      </c>
      <c r="H85" s="92">
        <v>17095.0</v>
      </c>
      <c r="I85" s="99">
        <v>444.0</v>
      </c>
      <c r="J85" s="94">
        <v>10.2</v>
      </c>
      <c r="K85" s="100">
        <v>2.86</v>
      </c>
      <c r="L85" s="100">
        <v>0.578</v>
      </c>
      <c r="M85" s="100">
        <v>0.598</v>
      </c>
      <c r="N85" s="101">
        <v>11.57</v>
      </c>
      <c r="O85" s="94">
        <v>2.33</v>
      </c>
      <c r="P85" s="101">
        <v>86.1</v>
      </c>
      <c r="Q85" s="102"/>
      <c r="R85" s="103">
        <f t="shared" si="1"/>
        <v>174369</v>
      </c>
      <c r="S85" s="103">
        <f t="shared" si="2"/>
        <v>48891.7</v>
      </c>
      <c r="T85" s="103">
        <f t="shared" si="3"/>
        <v>9880.91</v>
      </c>
      <c r="U85" s="103">
        <f t="shared" si="4"/>
        <v>10222.81</v>
      </c>
      <c r="V85" s="103">
        <f t="shared" si="5"/>
        <v>197789.15</v>
      </c>
      <c r="W85" s="103">
        <f t="shared" si="6"/>
        <v>39831.35</v>
      </c>
      <c r="X85" s="103">
        <f t="shared" si="7"/>
        <v>1471879.5</v>
      </c>
    </row>
    <row r="86" ht="12.0" customHeight="1">
      <c r="A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6" s="87" t="str">
        <f>IFERROR(__xludf.DUMMYFUNCTION("IFERROR(IF(F86&lt;&gt;"""",""WHSE ""&amp;LEFT(F86,1),REGEXEXTRACT(E86,""-(?:\d{2}-)?([A-Z]+)"")),"""")
"),"WHSE B")</f>
        <v>WHSE B</v>
      </c>
      <c r="C86" s="88">
        <v>45430.0</v>
      </c>
      <c r="D86" s="89" t="s">
        <v>156</v>
      </c>
      <c r="E86" s="90" t="s">
        <v>157</v>
      </c>
      <c r="F86" s="90" t="s">
        <v>158</v>
      </c>
      <c r="G86" s="98" t="s">
        <v>163</v>
      </c>
      <c r="H86" s="92">
        <v>19850.0</v>
      </c>
      <c r="I86" s="99">
        <v>595.0</v>
      </c>
      <c r="J86" s="94">
        <v>9.94</v>
      </c>
      <c r="K86" s="100">
        <v>2.97</v>
      </c>
      <c r="L86" s="100">
        <v>0.571</v>
      </c>
      <c r="M86" s="100">
        <v>0.591</v>
      </c>
      <c r="N86" s="101">
        <v>11.72</v>
      </c>
      <c r="O86" s="94">
        <v>2.41</v>
      </c>
      <c r="P86" s="101">
        <v>85.87</v>
      </c>
      <c r="Q86" s="102"/>
      <c r="R86" s="103">
        <f t="shared" si="1"/>
        <v>197309</v>
      </c>
      <c r="S86" s="103">
        <f t="shared" si="2"/>
        <v>58954.5</v>
      </c>
      <c r="T86" s="103">
        <f t="shared" si="3"/>
        <v>11334.35</v>
      </c>
      <c r="U86" s="103">
        <f t="shared" si="4"/>
        <v>11731.35</v>
      </c>
      <c r="V86" s="103">
        <f t="shared" si="5"/>
        <v>232642</v>
      </c>
      <c r="W86" s="103">
        <f t="shared" si="6"/>
        <v>47838.5</v>
      </c>
      <c r="X86" s="103">
        <f t="shared" si="7"/>
        <v>1704519.5</v>
      </c>
    </row>
    <row r="87" ht="12.0" customHeight="1">
      <c r="A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7" s="87" t="str">
        <f>IFERROR(__xludf.DUMMYFUNCTION("IFERROR(IF(F87&lt;&gt;"""",""WHSE ""&amp;LEFT(F87,1),REGEXEXTRACT(E87,""-(?:\d{2}-)?([A-Z]+)"")),"""")
"),"WHSE B")</f>
        <v>WHSE B</v>
      </c>
      <c r="C87" s="88">
        <v>45436.0</v>
      </c>
      <c r="D87" s="89" t="s">
        <v>156</v>
      </c>
      <c r="E87" s="90" t="s">
        <v>157</v>
      </c>
      <c r="F87" s="90" t="s">
        <v>158</v>
      </c>
      <c r="G87" s="98" t="s">
        <v>164</v>
      </c>
      <c r="H87" s="92">
        <v>20700.0</v>
      </c>
      <c r="I87" s="99">
        <v>610.0</v>
      </c>
      <c r="J87" s="94">
        <v>9.87</v>
      </c>
      <c r="K87" s="100">
        <v>2.77</v>
      </c>
      <c r="L87" s="100">
        <v>0.575</v>
      </c>
      <c r="M87" s="100">
        <v>0.595</v>
      </c>
      <c r="N87" s="101">
        <v>11.75</v>
      </c>
      <c r="O87" s="94">
        <v>3.9</v>
      </c>
      <c r="P87" s="101">
        <v>84.35</v>
      </c>
      <c r="Q87" s="102"/>
      <c r="R87" s="103">
        <f t="shared" si="1"/>
        <v>204309</v>
      </c>
      <c r="S87" s="103">
        <f t="shared" si="2"/>
        <v>57339</v>
      </c>
      <c r="T87" s="103">
        <f t="shared" si="3"/>
        <v>11902.5</v>
      </c>
      <c r="U87" s="103">
        <f t="shared" si="4"/>
        <v>12316.5</v>
      </c>
      <c r="V87" s="103">
        <f t="shared" si="5"/>
        <v>243225</v>
      </c>
      <c r="W87" s="103">
        <f t="shared" si="6"/>
        <v>80730</v>
      </c>
      <c r="X87" s="103">
        <f t="shared" si="7"/>
        <v>1746045</v>
      </c>
    </row>
    <row r="88" ht="12.0" customHeight="1">
      <c r="A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8" s="87" t="str">
        <f>IFERROR(__xludf.DUMMYFUNCTION("IFERROR(IF(F88&lt;&gt;"""",""WHSE ""&amp;LEFT(F88,1),REGEXEXTRACT(E88,""-(?:\d{2}-)?([A-Z]+)"")),"""")
"),"WHSE B")</f>
        <v>WHSE B</v>
      </c>
      <c r="C88" s="88">
        <v>45440.0</v>
      </c>
      <c r="D88" s="89" t="s">
        <v>70</v>
      </c>
      <c r="E88" s="90" t="s">
        <v>150</v>
      </c>
      <c r="F88" s="90" t="s">
        <v>151</v>
      </c>
      <c r="G88" s="98" t="s">
        <v>165</v>
      </c>
      <c r="H88" s="92">
        <v>19938.0</v>
      </c>
      <c r="I88" s="99">
        <v>460.0</v>
      </c>
      <c r="J88" s="94">
        <v>14.0</v>
      </c>
      <c r="K88" s="100">
        <v>2.74</v>
      </c>
      <c r="L88" s="100">
        <v>0.588</v>
      </c>
      <c r="M88" s="100">
        <v>0.608</v>
      </c>
      <c r="N88" s="101">
        <v>12.66</v>
      </c>
      <c r="O88" s="94">
        <v>3.49</v>
      </c>
      <c r="P88" s="101">
        <v>83.85</v>
      </c>
      <c r="Q88" s="102"/>
      <c r="R88" s="103">
        <f t="shared" si="1"/>
        <v>279132</v>
      </c>
      <c r="S88" s="103">
        <f t="shared" si="2"/>
        <v>54630.12</v>
      </c>
      <c r="T88" s="103">
        <f t="shared" si="3"/>
        <v>11723.544</v>
      </c>
      <c r="U88" s="103">
        <f t="shared" si="4"/>
        <v>12122.304</v>
      </c>
      <c r="V88" s="103">
        <f t="shared" si="5"/>
        <v>252415.08</v>
      </c>
      <c r="W88" s="103">
        <f t="shared" si="6"/>
        <v>69583.62</v>
      </c>
      <c r="X88" s="103">
        <f t="shared" si="7"/>
        <v>1671801.3</v>
      </c>
    </row>
    <row r="89" ht="12.0" customHeight="1">
      <c r="A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9" s="87" t="str">
        <f>IFERROR(__xludf.DUMMYFUNCTION("IFERROR(IF(F89&lt;&gt;"""",""WHSE ""&amp;LEFT(F89,1),REGEXEXTRACT(E89,""-(?:\d{2}-)?([A-Z]+)"")),"""")
"),"WHSE B")</f>
        <v>WHSE B</v>
      </c>
      <c r="C89" s="88">
        <v>45443.0</v>
      </c>
      <c r="D89" s="89" t="s">
        <v>156</v>
      </c>
      <c r="E89" s="90" t="s">
        <v>166</v>
      </c>
      <c r="F89" s="90" t="s">
        <v>167</v>
      </c>
      <c r="G89" s="98" t="s">
        <v>163</v>
      </c>
      <c r="H89" s="92">
        <v>19975.0</v>
      </c>
      <c r="I89" s="99">
        <v>580.0</v>
      </c>
      <c r="J89" s="94">
        <v>9.8</v>
      </c>
      <c r="K89" s="100">
        <v>2.97</v>
      </c>
      <c r="L89" s="100">
        <v>0.568</v>
      </c>
      <c r="M89" s="100">
        <v>0.588</v>
      </c>
      <c r="N89" s="101">
        <v>12.37</v>
      </c>
      <c r="O89" s="94">
        <v>2.85</v>
      </c>
      <c r="P89" s="101">
        <v>84.78</v>
      </c>
      <c r="Q89" s="102"/>
      <c r="R89" s="103">
        <f t="shared" si="1"/>
        <v>195755</v>
      </c>
      <c r="S89" s="103">
        <f t="shared" si="2"/>
        <v>59325.75</v>
      </c>
      <c r="T89" s="103">
        <f t="shared" si="3"/>
        <v>11345.8</v>
      </c>
      <c r="U89" s="103">
        <f t="shared" si="4"/>
        <v>11745.3</v>
      </c>
      <c r="V89" s="103">
        <f t="shared" si="5"/>
        <v>247090.75</v>
      </c>
      <c r="W89" s="103">
        <f t="shared" si="6"/>
        <v>56928.75</v>
      </c>
      <c r="X89" s="103">
        <f t="shared" si="7"/>
        <v>1693480.5</v>
      </c>
    </row>
    <row r="90" ht="12.0" customHeight="1">
      <c r="A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0" s="87" t="str">
        <f>IFERROR(__xludf.DUMMYFUNCTION("IFERROR(IF(F90&lt;&gt;"""",""WHSE ""&amp;LEFT(F90,1),REGEXEXTRACT(E90,""-(?:\d{2}-)?([A-Z]+)"")),"""")
"),"WHSE B")</f>
        <v>WHSE B</v>
      </c>
      <c r="C90" s="88">
        <v>45448.0</v>
      </c>
      <c r="D90" s="89" t="s">
        <v>156</v>
      </c>
      <c r="E90" s="90" t="s">
        <v>166</v>
      </c>
      <c r="F90" s="90" t="s">
        <v>167</v>
      </c>
      <c r="G90" s="98" t="s">
        <v>168</v>
      </c>
      <c r="H90" s="92">
        <v>20435.0</v>
      </c>
      <c r="I90" s="99">
        <v>550.0</v>
      </c>
      <c r="J90" s="94">
        <v>9.2</v>
      </c>
      <c r="K90" s="100">
        <v>2.86</v>
      </c>
      <c r="L90" s="100">
        <v>0.568</v>
      </c>
      <c r="M90" s="100">
        <v>0.588</v>
      </c>
      <c r="N90" s="101">
        <v>11.53</v>
      </c>
      <c r="O90" s="94">
        <v>2.17</v>
      </c>
      <c r="P90" s="101">
        <v>86.3</v>
      </c>
      <c r="Q90" s="89" t="s">
        <v>169</v>
      </c>
      <c r="R90" s="86">
        <f t="shared" si="1"/>
        <v>188002</v>
      </c>
      <c r="S90" s="86">
        <f t="shared" si="2"/>
        <v>58444.1</v>
      </c>
      <c r="T90" s="86">
        <f t="shared" si="3"/>
        <v>11607.08</v>
      </c>
      <c r="U90" s="86">
        <f t="shared" si="4"/>
        <v>12015.78</v>
      </c>
      <c r="V90" s="86">
        <f t="shared" si="5"/>
        <v>235615.55</v>
      </c>
      <c r="W90" s="86">
        <f t="shared" si="6"/>
        <v>44343.95</v>
      </c>
      <c r="X90" s="86">
        <f t="shared" si="7"/>
        <v>1763540.5</v>
      </c>
    </row>
    <row r="91" ht="12.0" customHeight="1">
      <c r="A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1" s="87" t="str">
        <f>IFERROR(__xludf.DUMMYFUNCTION("IFERROR(IF(F91&lt;&gt;"""",""WHSE ""&amp;LEFT(F91,1),REGEXEXTRACT(E91,""-(?:\d{2}-)?([A-Z]+)"")),"""")
"),"WHSE B")</f>
        <v>WHSE B</v>
      </c>
      <c r="C91" s="88">
        <v>45456.0</v>
      </c>
      <c r="D91" s="89" t="s">
        <v>72</v>
      </c>
      <c r="E91" s="90" t="s">
        <v>148</v>
      </c>
      <c r="F91" s="90" t="s">
        <v>149</v>
      </c>
      <c r="G91" s="98" t="s">
        <v>73</v>
      </c>
      <c r="H91" s="92">
        <v>17960.0</v>
      </c>
      <c r="I91" s="99">
        <v>430.0</v>
      </c>
      <c r="J91" s="94">
        <v>10.94</v>
      </c>
      <c r="K91" s="100">
        <v>2.7</v>
      </c>
      <c r="L91" s="100">
        <v>0.575</v>
      </c>
      <c r="M91" s="100">
        <v>0.595</v>
      </c>
      <c r="N91" s="101">
        <v>12.02</v>
      </c>
      <c r="O91" s="94">
        <v>2.06</v>
      </c>
      <c r="P91" s="101">
        <v>85.92</v>
      </c>
      <c r="Q91" s="89" t="s">
        <v>155</v>
      </c>
      <c r="R91" s="86">
        <f t="shared" si="1"/>
        <v>196482.4</v>
      </c>
      <c r="S91" s="86">
        <f t="shared" si="2"/>
        <v>48492</v>
      </c>
      <c r="T91" s="86">
        <f t="shared" si="3"/>
        <v>10327</v>
      </c>
      <c r="U91" s="86">
        <f t="shared" si="4"/>
        <v>10686.2</v>
      </c>
      <c r="V91" s="86">
        <f t="shared" si="5"/>
        <v>215879.2</v>
      </c>
      <c r="W91" s="86">
        <f t="shared" si="6"/>
        <v>36997.6</v>
      </c>
      <c r="X91" s="86">
        <f t="shared" si="7"/>
        <v>1543123.2</v>
      </c>
    </row>
    <row r="92" ht="12.0" customHeight="1">
      <c r="A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2" s="87" t="str">
        <f>IFERROR(__xludf.DUMMYFUNCTION("IFERROR(IF(F92&lt;&gt;"""",""WHSE ""&amp;LEFT(F92,1),REGEXEXTRACT(E92,""-(?:\d{2}-)?([A-Z]+)"")),"""")
"),"WHSE B")</f>
        <v>WHSE B</v>
      </c>
      <c r="C92" s="88">
        <v>45457.0</v>
      </c>
      <c r="D92" s="89" t="s">
        <v>156</v>
      </c>
      <c r="E92" s="90" t="s">
        <v>166</v>
      </c>
      <c r="F92" s="90" t="s">
        <v>167</v>
      </c>
      <c r="G92" s="98" t="s">
        <v>170</v>
      </c>
      <c r="H92" s="92">
        <v>21945.0</v>
      </c>
      <c r="I92" s="99">
        <v>550.0</v>
      </c>
      <c r="J92" s="94">
        <v>9.27</v>
      </c>
      <c r="K92" s="100">
        <v>2.74</v>
      </c>
      <c r="L92" s="100">
        <v>0.571</v>
      </c>
      <c r="M92" s="100">
        <v>0.591</v>
      </c>
      <c r="N92" s="101">
        <v>10.8</v>
      </c>
      <c r="O92" s="94">
        <v>4.7</v>
      </c>
      <c r="P92" s="101">
        <v>84.5</v>
      </c>
      <c r="Q92" s="89" t="s">
        <v>169</v>
      </c>
      <c r="R92" s="86">
        <f t="shared" si="1"/>
        <v>203430.15</v>
      </c>
      <c r="S92" s="86">
        <f t="shared" si="2"/>
        <v>60129.3</v>
      </c>
      <c r="T92" s="86">
        <f t="shared" si="3"/>
        <v>12530.595</v>
      </c>
      <c r="U92" s="86">
        <f t="shared" si="4"/>
        <v>12969.495</v>
      </c>
      <c r="V92" s="86">
        <f t="shared" si="5"/>
        <v>237006</v>
      </c>
      <c r="W92" s="86">
        <f t="shared" si="6"/>
        <v>103141.5</v>
      </c>
      <c r="X92" s="86">
        <f t="shared" si="7"/>
        <v>1854352.5</v>
      </c>
    </row>
    <row r="93" ht="12.0" customHeight="1">
      <c r="A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3" s="87" t="str">
        <f>IFERROR(__xludf.DUMMYFUNCTION("IFERROR(IF(F93&lt;&gt;"""",""WHSE ""&amp;LEFT(F93,1),REGEXEXTRACT(E93,""-(?:\d{2}-)?([A-Z]+)"")),"""")
"),"WHSE B")</f>
        <v>WHSE B</v>
      </c>
      <c r="C93" s="88">
        <v>45484.0</v>
      </c>
      <c r="D93" s="89" t="s">
        <v>72</v>
      </c>
      <c r="E93" s="90" t="s">
        <v>161</v>
      </c>
      <c r="F93" s="90" t="s">
        <v>162</v>
      </c>
      <c r="G93" s="98" t="s">
        <v>73</v>
      </c>
      <c r="H93" s="92">
        <v>18550.0</v>
      </c>
      <c r="I93" s="99">
        <v>444.0</v>
      </c>
      <c r="J93" s="94">
        <v>12.0</v>
      </c>
      <c r="K93" s="100">
        <v>2.66</v>
      </c>
      <c r="L93" s="100">
        <v>0.575</v>
      </c>
      <c r="M93" s="100">
        <v>0.595</v>
      </c>
      <c r="N93" s="101">
        <v>11.69</v>
      </c>
      <c r="O93" s="94">
        <v>2.83</v>
      </c>
      <c r="P93" s="101">
        <v>85.48</v>
      </c>
      <c r="Q93" s="89" t="s">
        <v>171</v>
      </c>
      <c r="R93" s="86">
        <f t="shared" si="1"/>
        <v>222600</v>
      </c>
      <c r="S93" s="86">
        <f t="shared" si="2"/>
        <v>49343</v>
      </c>
      <c r="T93" s="86">
        <f t="shared" si="3"/>
        <v>10666.25</v>
      </c>
      <c r="U93" s="86">
        <f t="shared" si="4"/>
        <v>11037.25</v>
      </c>
      <c r="V93" s="86">
        <f t="shared" si="5"/>
        <v>216849.5</v>
      </c>
      <c r="W93" s="86">
        <f t="shared" si="6"/>
        <v>52496.5</v>
      </c>
      <c r="X93" s="86">
        <f t="shared" si="7"/>
        <v>1585654</v>
      </c>
    </row>
    <row r="94" ht="12.0" customHeight="1">
      <c r="A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4" s="87" t="str">
        <f>IFERROR(__xludf.DUMMYFUNCTION("IFERROR(IF(F94&lt;&gt;"""",""WHSE ""&amp;LEFT(F94,1),REGEXEXTRACT(E94,""-(?:\d{2}-)?([A-Z]+)"")),"""")
"),"WHSE B")</f>
        <v>WHSE B</v>
      </c>
      <c r="C94" s="88">
        <v>45489.0</v>
      </c>
      <c r="D94" s="89" t="s">
        <v>72</v>
      </c>
      <c r="E94" s="90" t="s">
        <v>161</v>
      </c>
      <c r="F94" s="90" t="s">
        <v>162</v>
      </c>
      <c r="G94" s="98" t="s">
        <v>73</v>
      </c>
      <c r="H94" s="92">
        <v>17785.0</v>
      </c>
      <c r="I94" s="99">
        <v>456.0</v>
      </c>
      <c r="J94" s="94">
        <v>11.74</v>
      </c>
      <c r="K94" s="100">
        <v>2.5</v>
      </c>
      <c r="L94" s="100">
        <v>0.575</v>
      </c>
      <c r="M94" s="100">
        <v>0.595</v>
      </c>
      <c r="N94" s="101">
        <v>12.63</v>
      </c>
      <c r="O94" s="94">
        <v>4.13</v>
      </c>
      <c r="P94" s="101">
        <v>83.24</v>
      </c>
      <c r="Q94" s="102"/>
      <c r="R94" s="103">
        <f t="shared" si="1"/>
        <v>208795.9</v>
      </c>
      <c r="S94" s="103">
        <f t="shared" si="2"/>
        <v>44462.5</v>
      </c>
      <c r="T94" s="103">
        <f t="shared" si="3"/>
        <v>10226.375</v>
      </c>
      <c r="U94" s="103">
        <f t="shared" si="4"/>
        <v>10582.075</v>
      </c>
      <c r="V94" s="103">
        <f t="shared" si="5"/>
        <v>224624.55</v>
      </c>
      <c r="W94" s="103">
        <f t="shared" si="6"/>
        <v>73452.05</v>
      </c>
      <c r="X94" s="103">
        <f t="shared" si="7"/>
        <v>1480423.4</v>
      </c>
    </row>
    <row r="95" ht="12.0" customHeight="1">
      <c r="A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5" s="87" t="str">
        <f>IFERROR(__xludf.DUMMYFUNCTION("IFERROR(IF(F95&lt;&gt;"""",""WHSE ""&amp;LEFT(F95,1),REGEXEXTRACT(E95,""-(?:\d{2}-)?([A-Z]+)"")),"""")
"),"WHSE B")</f>
        <v>WHSE B</v>
      </c>
      <c r="C95" s="88">
        <v>45498.0</v>
      </c>
      <c r="D95" s="89" t="s">
        <v>72</v>
      </c>
      <c r="E95" s="90" t="s">
        <v>161</v>
      </c>
      <c r="F95" s="90" t="s">
        <v>162</v>
      </c>
      <c r="G95" s="98" t="s">
        <v>73</v>
      </c>
      <c r="H95" s="92">
        <v>17935.0</v>
      </c>
      <c r="I95" s="99">
        <v>525.0</v>
      </c>
      <c r="J95" s="94">
        <v>11.94</v>
      </c>
      <c r="K95" s="100">
        <v>2.47</v>
      </c>
      <c r="L95" s="100">
        <v>0.578</v>
      </c>
      <c r="M95" s="100">
        <v>0.598</v>
      </c>
      <c r="N95" s="101">
        <v>12.17</v>
      </c>
      <c r="O95" s="94">
        <v>2.35</v>
      </c>
      <c r="P95" s="101">
        <v>85.48</v>
      </c>
      <c r="Q95" s="89" t="s">
        <v>171</v>
      </c>
      <c r="R95" s="86">
        <f t="shared" si="1"/>
        <v>214143.9</v>
      </c>
      <c r="S95" s="86">
        <f t="shared" si="2"/>
        <v>44299.45</v>
      </c>
      <c r="T95" s="86">
        <f t="shared" si="3"/>
        <v>10366.43</v>
      </c>
      <c r="U95" s="86">
        <f t="shared" si="4"/>
        <v>10725.13</v>
      </c>
      <c r="V95" s="86">
        <f t="shared" si="5"/>
        <v>218268.95</v>
      </c>
      <c r="W95" s="86">
        <f t="shared" si="6"/>
        <v>42147.25</v>
      </c>
      <c r="X95" s="86">
        <f t="shared" si="7"/>
        <v>1533083.8</v>
      </c>
    </row>
    <row r="96" ht="12.0" customHeight="1">
      <c r="A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6" s="87" t="str">
        <f>IFERROR(__xludf.DUMMYFUNCTION("IFERROR(IF(F96&lt;&gt;"""",""WHSE ""&amp;LEFT(F96,1),REGEXEXTRACT(E96,""-(?:\d{2}-)?([A-Z]+)"")),"""")
"),"WHSE B")</f>
        <v>WHSE B</v>
      </c>
      <c r="C96" s="88">
        <v>45505.0</v>
      </c>
      <c r="D96" s="89" t="s">
        <v>72</v>
      </c>
      <c r="E96" s="90" t="s">
        <v>172</v>
      </c>
      <c r="F96" s="90" t="s">
        <v>173</v>
      </c>
      <c r="G96" s="98" t="s">
        <v>73</v>
      </c>
      <c r="H96" s="92">
        <v>18675.0</v>
      </c>
      <c r="I96" s="99">
        <v>550.0</v>
      </c>
      <c r="J96" s="94">
        <v>10.74</v>
      </c>
      <c r="K96" s="100">
        <v>2.85</v>
      </c>
      <c r="L96" s="100">
        <v>0.578</v>
      </c>
      <c r="M96" s="100">
        <v>0.598</v>
      </c>
      <c r="N96" s="101">
        <v>10.78</v>
      </c>
      <c r="O96" s="94">
        <v>1.5</v>
      </c>
      <c r="P96" s="101">
        <v>87.72</v>
      </c>
      <c r="Q96" s="102"/>
      <c r="R96" s="103">
        <f t="shared" si="1"/>
        <v>200569.5</v>
      </c>
      <c r="S96" s="103">
        <f t="shared" si="2"/>
        <v>53223.75</v>
      </c>
      <c r="T96" s="103">
        <f t="shared" si="3"/>
        <v>10794.15</v>
      </c>
      <c r="U96" s="103">
        <f t="shared" si="4"/>
        <v>11167.65</v>
      </c>
      <c r="V96" s="103">
        <f t="shared" si="5"/>
        <v>201316.5</v>
      </c>
      <c r="W96" s="103">
        <f t="shared" si="6"/>
        <v>28012.5</v>
      </c>
      <c r="X96" s="103">
        <f t="shared" si="7"/>
        <v>1638171</v>
      </c>
    </row>
    <row r="97" ht="12.0" customHeight="1">
      <c r="A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7" s="87" t="str">
        <f>IFERROR(__xludf.DUMMYFUNCTION("IFERROR(IF(F97&lt;&gt;"""",""WHSE ""&amp;LEFT(F97,1),REGEXEXTRACT(E97,""-(?:\d{2}-)?([A-Z]+)"")),"""")
"),"WHSE B")</f>
        <v>WHSE B</v>
      </c>
      <c r="C97" s="88">
        <v>45507.0</v>
      </c>
      <c r="D97" s="89" t="s">
        <v>72</v>
      </c>
      <c r="E97" s="90" t="s">
        <v>172</v>
      </c>
      <c r="F97" s="90" t="s">
        <v>173</v>
      </c>
      <c r="G97" s="98" t="s">
        <v>73</v>
      </c>
      <c r="H97" s="92">
        <v>18305.0</v>
      </c>
      <c r="I97" s="99">
        <v>468.0</v>
      </c>
      <c r="J97" s="94">
        <v>8.87</v>
      </c>
      <c r="K97" s="100">
        <v>2.78</v>
      </c>
      <c r="L97" s="100">
        <v>0.578</v>
      </c>
      <c r="M97" s="100">
        <v>0.598</v>
      </c>
      <c r="N97" s="101">
        <v>11.5</v>
      </c>
      <c r="O97" s="94">
        <v>3.38</v>
      </c>
      <c r="P97" s="101">
        <v>85.12</v>
      </c>
      <c r="Q97" s="102"/>
      <c r="R97" s="103">
        <f t="shared" si="1"/>
        <v>162365.35</v>
      </c>
      <c r="S97" s="103">
        <f t="shared" si="2"/>
        <v>50887.9</v>
      </c>
      <c r="T97" s="103">
        <f t="shared" si="3"/>
        <v>10580.29</v>
      </c>
      <c r="U97" s="103">
        <f t="shared" si="4"/>
        <v>10946.39</v>
      </c>
      <c r="V97" s="103">
        <f t="shared" si="5"/>
        <v>210507.5</v>
      </c>
      <c r="W97" s="103">
        <f t="shared" si="6"/>
        <v>61870.9</v>
      </c>
      <c r="X97" s="103">
        <f t="shared" si="7"/>
        <v>1558121.6</v>
      </c>
    </row>
    <row r="98" ht="12.0" customHeight="1">
      <c r="A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" s="87" t="str">
        <f>IFERROR(__xludf.DUMMYFUNCTION("IFERROR(IF(F98&lt;&gt;"""",""WHSE ""&amp;LEFT(F98,1),REGEXEXTRACT(E98,""-(?:\d{2}-)?([A-Z]+)"")),"""")
"),"WHSE B")</f>
        <v>WHSE B</v>
      </c>
      <c r="C98" s="88">
        <v>45510.0</v>
      </c>
      <c r="D98" s="89" t="s">
        <v>72</v>
      </c>
      <c r="E98" s="90" t="s">
        <v>172</v>
      </c>
      <c r="F98" s="90" t="s">
        <v>173</v>
      </c>
      <c r="G98" s="98" t="s">
        <v>73</v>
      </c>
      <c r="H98" s="92">
        <v>17790.0</v>
      </c>
      <c r="I98" s="99">
        <v>508.0</v>
      </c>
      <c r="J98" s="94">
        <v>10.94</v>
      </c>
      <c r="K98" s="100">
        <v>2.46</v>
      </c>
      <c r="L98" s="100">
        <v>0.578</v>
      </c>
      <c r="M98" s="100">
        <v>0.598</v>
      </c>
      <c r="N98" s="101">
        <v>9.84</v>
      </c>
      <c r="O98" s="94">
        <v>1.52</v>
      </c>
      <c r="P98" s="101">
        <v>88.64</v>
      </c>
      <c r="Q98" s="102"/>
      <c r="R98" s="103">
        <f t="shared" si="1"/>
        <v>194622.6</v>
      </c>
      <c r="S98" s="103">
        <f t="shared" si="2"/>
        <v>43763.4</v>
      </c>
      <c r="T98" s="103">
        <f t="shared" si="3"/>
        <v>10282.62</v>
      </c>
      <c r="U98" s="103">
        <f t="shared" si="4"/>
        <v>10638.42</v>
      </c>
      <c r="V98" s="103">
        <f t="shared" si="5"/>
        <v>175053.6</v>
      </c>
      <c r="W98" s="103">
        <f t="shared" si="6"/>
        <v>27040.8</v>
      </c>
      <c r="X98" s="103">
        <f t="shared" si="7"/>
        <v>1576905.6</v>
      </c>
    </row>
    <row r="99" ht="12.0" customHeight="1">
      <c r="A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9" s="87" t="str">
        <f>IFERROR(__xludf.DUMMYFUNCTION("IFERROR(IF(F99&lt;&gt;"""",""WHSE ""&amp;LEFT(F99,1),REGEXEXTRACT(E99,""-(?:\d{2}-)?([A-Z]+)"")),"""")
"),"WHSE B")</f>
        <v>WHSE B</v>
      </c>
      <c r="C99" s="88">
        <v>45513.0</v>
      </c>
      <c r="D99" s="89" t="s">
        <v>72</v>
      </c>
      <c r="E99" s="90" t="s">
        <v>174</v>
      </c>
      <c r="F99" s="90" t="s">
        <v>175</v>
      </c>
      <c r="G99" s="98" t="s">
        <v>73</v>
      </c>
      <c r="H99" s="92">
        <v>17730.0</v>
      </c>
      <c r="I99" s="99">
        <v>464.0</v>
      </c>
      <c r="J99" s="94">
        <v>10.14</v>
      </c>
      <c r="K99" s="100">
        <v>2.87</v>
      </c>
      <c r="L99" s="100">
        <v>0.575</v>
      </c>
      <c r="M99" s="100">
        <v>0.595</v>
      </c>
      <c r="N99" s="101">
        <v>11.93</v>
      </c>
      <c r="O99" s="94">
        <v>2.13</v>
      </c>
      <c r="P99" s="101">
        <v>85.94</v>
      </c>
      <c r="Q99" s="102"/>
      <c r="R99" s="103">
        <f t="shared" si="1"/>
        <v>179782.2</v>
      </c>
      <c r="S99" s="103">
        <f t="shared" si="2"/>
        <v>50885.1</v>
      </c>
      <c r="T99" s="103">
        <f t="shared" si="3"/>
        <v>10194.75</v>
      </c>
      <c r="U99" s="103">
        <f t="shared" si="4"/>
        <v>10549.35</v>
      </c>
      <c r="V99" s="103">
        <f t="shared" si="5"/>
        <v>211518.9</v>
      </c>
      <c r="W99" s="103">
        <f t="shared" si="6"/>
        <v>37764.9</v>
      </c>
      <c r="X99" s="103">
        <f t="shared" si="7"/>
        <v>1523716.2</v>
      </c>
    </row>
    <row r="100" ht="12.0" customHeight="1">
      <c r="A1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0" s="87" t="str">
        <f>IFERROR(__xludf.DUMMYFUNCTION("IFERROR(IF(F100&lt;&gt;"""",""WHSE ""&amp;LEFT(F100,1),REGEXEXTRACT(E100,""-(?:\d{2}-)?([A-Z]+)"")),"""")
"),"WHSE B")</f>
        <v>WHSE B</v>
      </c>
      <c r="C100" s="88">
        <v>45514.0</v>
      </c>
      <c r="D100" s="89" t="s">
        <v>72</v>
      </c>
      <c r="E100" s="90" t="s">
        <v>174</v>
      </c>
      <c r="F100" s="90" t="s">
        <v>175</v>
      </c>
      <c r="G100" s="98" t="s">
        <v>73</v>
      </c>
      <c r="H100" s="92">
        <v>17850.0</v>
      </c>
      <c r="I100" s="99">
        <v>444.0</v>
      </c>
      <c r="J100" s="94">
        <v>11.0</v>
      </c>
      <c r="K100" s="100">
        <v>2.68</v>
      </c>
      <c r="L100" s="100">
        <v>0.575</v>
      </c>
      <c r="M100" s="100">
        <v>0.595</v>
      </c>
      <c r="N100" s="101">
        <v>12.31</v>
      </c>
      <c r="O100" s="94">
        <v>3.55</v>
      </c>
      <c r="P100" s="101">
        <v>84.14</v>
      </c>
      <c r="Q100" s="102"/>
      <c r="R100" s="103">
        <f t="shared" si="1"/>
        <v>196350</v>
      </c>
      <c r="S100" s="103">
        <f t="shared" si="2"/>
        <v>47838</v>
      </c>
      <c r="T100" s="103">
        <f t="shared" si="3"/>
        <v>10263.75</v>
      </c>
      <c r="U100" s="103">
        <f t="shared" si="4"/>
        <v>10620.75</v>
      </c>
      <c r="V100" s="103">
        <f t="shared" si="5"/>
        <v>219733.5</v>
      </c>
      <c r="W100" s="103">
        <f t="shared" si="6"/>
        <v>63367.5</v>
      </c>
      <c r="X100" s="103">
        <f t="shared" si="7"/>
        <v>1501899</v>
      </c>
    </row>
    <row r="101" ht="12.0" customHeight="1">
      <c r="A1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1" s="87" t="str">
        <f>IFERROR(__xludf.DUMMYFUNCTION("IFERROR(IF(F101&lt;&gt;"""",""WHSE ""&amp;LEFT(F101,1),REGEXEXTRACT(E101,""-(?:\d{2}-)?([A-Z]+)"")),"""")
"),"WHSE B")</f>
        <v>WHSE B</v>
      </c>
      <c r="C101" s="88">
        <v>45518.0</v>
      </c>
      <c r="D101" s="89" t="s">
        <v>72</v>
      </c>
      <c r="E101" s="90" t="s">
        <v>174</v>
      </c>
      <c r="F101" s="90" t="s">
        <v>175</v>
      </c>
      <c r="G101" s="98" t="s">
        <v>73</v>
      </c>
      <c r="H101" s="92">
        <v>18120.0</v>
      </c>
      <c r="I101" s="99">
        <v>456.0</v>
      </c>
      <c r="J101" s="94">
        <v>11.34</v>
      </c>
      <c r="K101" s="100">
        <v>2.54</v>
      </c>
      <c r="L101" s="100">
        <v>0.578</v>
      </c>
      <c r="M101" s="100">
        <v>0.598</v>
      </c>
      <c r="N101" s="101">
        <v>11.19</v>
      </c>
      <c r="O101" s="94">
        <v>3.75</v>
      </c>
      <c r="P101" s="101">
        <v>85.06</v>
      </c>
      <c r="Q101" s="102"/>
      <c r="R101" s="103">
        <f t="shared" si="1"/>
        <v>205480.8</v>
      </c>
      <c r="S101" s="103">
        <f t="shared" si="2"/>
        <v>46024.8</v>
      </c>
      <c r="T101" s="103">
        <f t="shared" si="3"/>
        <v>10473.36</v>
      </c>
      <c r="U101" s="103">
        <f t="shared" si="4"/>
        <v>10835.76</v>
      </c>
      <c r="V101" s="103">
        <f t="shared" si="5"/>
        <v>202762.8</v>
      </c>
      <c r="W101" s="103">
        <f t="shared" si="6"/>
        <v>67950</v>
      </c>
      <c r="X101" s="103">
        <f t="shared" si="7"/>
        <v>1541287.2</v>
      </c>
    </row>
    <row r="102" ht="12.0" customHeight="1">
      <c r="A1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2" s="87" t="str">
        <f>IFERROR(__xludf.DUMMYFUNCTION("IFERROR(IF(F102&lt;&gt;"""",""WHSE ""&amp;LEFT(F102,1),REGEXEXTRACT(E102,""-(?:\d{2}-)?([A-Z]+)"")),"""")
"),"WHSE B")</f>
        <v>WHSE B</v>
      </c>
      <c r="C102" s="88">
        <v>45523.0</v>
      </c>
      <c r="D102" s="89" t="s">
        <v>72</v>
      </c>
      <c r="E102" s="90" t="s">
        <v>174</v>
      </c>
      <c r="F102" s="90" t="s">
        <v>175</v>
      </c>
      <c r="G102" s="98" t="s">
        <v>73</v>
      </c>
      <c r="H102" s="92">
        <v>18145.0</v>
      </c>
      <c r="I102" s="99">
        <v>456.0</v>
      </c>
      <c r="J102" s="94">
        <v>10.94</v>
      </c>
      <c r="K102" s="100">
        <v>2.77</v>
      </c>
      <c r="L102" s="100">
        <v>0.575</v>
      </c>
      <c r="M102" s="100">
        <v>0.595</v>
      </c>
      <c r="N102" s="101">
        <v>10.79</v>
      </c>
      <c r="O102" s="94">
        <v>1.41</v>
      </c>
      <c r="P102" s="101">
        <v>87.8</v>
      </c>
      <c r="Q102" s="102"/>
      <c r="R102" s="103">
        <f t="shared" si="1"/>
        <v>198506.3</v>
      </c>
      <c r="S102" s="103">
        <f t="shared" si="2"/>
        <v>50261.65</v>
      </c>
      <c r="T102" s="103">
        <f t="shared" si="3"/>
        <v>10433.375</v>
      </c>
      <c r="U102" s="103">
        <f t="shared" si="4"/>
        <v>10796.275</v>
      </c>
      <c r="V102" s="103">
        <f t="shared" si="5"/>
        <v>195784.55</v>
      </c>
      <c r="W102" s="103">
        <f t="shared" si="6"/>
        <v>25584.45</v>
      </c>
      <c r="X102" s="103">
        <f t="shared" si="7"/>
        <v>1593131</v>
      </c>
    </row>
    <row r="103" ht="12.0" customHeight="1">
      <c r="A1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3" s="87" t="str">
        <f>IFERROR(__xludf.DUMMYFUNCTION("IFERROR(IF(F103&lt;&gt;"""",""WHSE ""&amp;LEFT(F103,1),REGEXEXTRACT(E103,""-(?:\d{2}-)?([A-Z]+)"")),"""")
"),"WHSE A")</f>
        <v>WHSE A</v>
      </c>
      <c r="C103" s="88">
        <v>45524.0</v>
      </c>
      <c r="D103" s="89" t="s">
        <v>72</v>
      </c>
      <c r="E103" s="90" t="s">
        <v>176</v>
      </c>
      <c r="F103" s="90" t="s">
        <v>177</v>
      </c>
      <c r="G103" s="98" t="s">
        <v>73</v>
      </c>
      <c r="H103" s="92">
        <v>18135.0</v>
      </c>
      <c r="I103" s="99">
        <v>456.0</v>
      </c>
      <c r="J103" s="94">
        <v>9.67</v>
      </c>
      <c r="K103" s="100">
        <v>2.77</v>
      </c>
      <c r="L103" s="100">
        <v>0.578</v>
      </c>
      <c r="M103" s="100">
        <v>0.598</v>
      </c>
      <c r="N103" s="101">
        <v>10.65</v>
      </c>
      <c r="O103" s="94">
        <v>1.27</v>
      </c>
      <c r="P103" s="101">
        <v>88.08</v>
      </c>
      <c r="Q103" s="102"/>
      <c r="R103" s="103">
        <f t="shared" si="1"/>
        <v>175365.45</v>
      </c>
      <c r="S103" s="103">
        <f t="shared" si="2"/>
        <v>50233.95</v>
      </c>
      <c r="T103" s="103">
        <f t="shared" si="3"/>
        <v>10482.03</v>
      </c>
      <c r="U103" s="103">
        <f t="shared" si="4"/>
        <v>10844.73</v>
      </c>
      <c r="V103" s="103">
        <f t="shared" si="5"/>
        <v>193137.75</v>
      </c>
      <c r="W103" s="103">
        <f t="shared" si="6"/>
        <v>23031.45</v>
      </c>
      <c r="X103" s="103">
        <f t="shared" si="7"/>
        <v>1597330.8</v>
      </c>
    </row>
    <row r="104" ht="12.0" customHeight="1">
      <c r="A1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4" s="87" t="str">
        <f>IFERROR(__xludf.DUMMYFUNCTION("IFERROR(IF(F104&lt;&gt;"""",""WHSE ""&amp;LEFT(F104,1),REGEXEXTRACT(E104,""-(?:\d{2}-)?([A-Z]+)"")),"""")
"),"WHSE A")</f>
        <v>WHSE A</v>
      </c>
      <c r="C104" s="88">
        <v>45526.0</v>
      </c>
      <c r="D104" s="89" t="s">
        <v>72</v>
      </c>
      <c r="E104" s="90" t="s">
        <v>176</v>
      </c>
      <c r="F104" s="90" t="s">
        <v>177</v>
      </c>
      <c r="G104" s="98" t="s">
        <v>73</v>
      </c>
      <c r="H104" s="92">
        <v>18080.0</v>
      </c>
      <c r="I104" s="99">
        <v>455.0</v>
      </c>
      <c r="J104" s="94">
        <v>11.94</v>
      </c>
      <c r="K104" s="100">
        <v>2.68</v>
      </c>
      <c r="L104" s="100">
        <v>0.578</v>
      </c>
      <c r="M104" s="100">
        <v>0.598</v>
      </c>
      <c r="N104" s="101">
        <v>12.29</v>
      </c>
      <c r="O104" s="94">
        <v>2.34</v>
      </c>
      <c r="P104" s="101">
        <v>85.37</v>
      </c>
      <c r="Q104" s="102"/>
      <c r="R104" s="103">
        <f t="shared" si="1"/>
        <v>215875.2</v>
      </c>
      <c r="S104" s="103">
        <f t="shared" si="2"/>
        <v>48454.4</v>
      </c>
      <c r="T104" s="103">
        <f t="shared" si="3"/>
        <v>10450.24</v>
      </c>
      <c r="U104" s="103">
        <f t="shared" si="4"/>
        <v>10811.84</v>
      </c>
      <c r="V104" s="103">
        <f t="shared" si="5"/>
        <v>222203.2</v>
      </c>
      <c r="W104" s="103">
        <f t="shared" si="6"/>
        <v>42307.2</v>
      </c>
      <c r="X104" s="103">
        <f t="shared" si="7"/>
        <v>1543489.6</v>
      </c>
    </row>
    <row r="105" ht="12.0" customHeight="1">
      <c r="A1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5" s="87" t="str">
        <f>IFERROR(__xludf.DUMMYFUNCTION("IFERROR(IF(F105&lt;&gt;"""",""WHSE ""&amp;LEFT(F105,1),REGEXEXTRACT(E105,""-(?:\d{2}-)?([A-Z]+)"")),"""")
"),"WHSE A")</f>
        <v>WHSE A</v>
      </c>
      <c r="C105" s="88">
        <v>45527.0</v>
      </c>
      <c r="D105" s="89" t="s">
        <v>72</v>
      </c>
      <c r="E105" s="90" t="s">
        <v>176</v>
      </c>
      <c r="F105" s="90" t="s">
        <v>177</v>
      </c>
      <c r="G105" s="98" t="s">
        <v>73</v>
      </c>
      <c r="H105" s="92">
        <v>16720.0</v>
      </c>
      <c r="I105" s="99">
        <v>440.0</v>
      </c>
      <c r="J105" s="94">
        <v>10.6</v>
      </c>
      <c r="K105" s="100">
        <v>2.86</v>
      </c>
      <c r="L105" s="100">
        <v>0.575</v>
      </c>
      <c r="M105" s="100">
        <v>0.595</v>
      </c>
      <c r="N105" s="101">
        <v>11.75</v>
      </c>
      <c r="O105" s="94">
        <v>3.15</v>
      </c>
      <c r="P105" s="101">
        <v>85.1</v>
      </c>
      <c r="Q105" s="102"/>
      <c r="R105" s="103">
        <f t="shared" si="1"/>
        <v>177232</v>
      </c>
      <c r="S105" s="103">
        <f t="shared" si="2"/>
        <v>47819.2</v>
      </c>
      <c r="T105" s="103">
        <f t="shared" si="3"/>
        <v>9614</v>
      </c>
      <c r="U105" s="103">
        <f t="shared" si="4"/>
        <v>9948.4</v>
      </c>
      <c r="V105" s="103">
        <f t="shared" si="5"/>
        <v>196460</v>
      </c>
      <c r="W105" s="103">
        <f t="shared" si="6"/>
        <v>52668</v>
      </c>
      <c r="X105" s="103">
        <f t="shared" si="7"/>
        <v>1422872</v>
      </c>
    </row>
    <row r="106" ht="12.0" customHeight="1">
      <c r="A1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" s="87" t="str">
        <f>IFERROR(__xludf.DUMMYFUNCTION("IFERROR(IF(F106&lt;&gt;"""",""WHSE ""&amp;LEFT(F106,1),REGEXEXTRACT(E106,""-(?:\d{2}-)?([A-Z]+)"")),"""")
"),"WHSE A")</f>
        <v>WHSE A</v>
      </c>
      <c r="C106" s="88">
        <v>45532.0</v>
      </c>
      <c r="D106" s="89" t="s">
        <v>72</v>
      </c>
      <c r="E106" s="90" t="s">
        <v>176</v>
      </c>
      <c r="F106" s="90" t="s">
        <v>177</v>
      </c>
      <c r="G106" s="98" t="s">
        <v>73</v>
      </c>
      <c r="H106" s="92">
        <v>18175.0</v>
      </c>
      <c r="I106" s="99">
        <v>425.0</v>
      </c>
      <c r="J106" s="94">
        <v>11.87</v>
      </c>
      <c r="K106" s="100">
        <v>2.7</v>
      </c>
      <c r="L106" s="100">
        <v>0.575</v>
      </c>
      <c r="M106" s="100">
        <v>0.595</v>
      </c>
      <c r="N106" s="101">
        <v>12.37</v>
      </c>
      <c r="O106" s="94">
        <v>3.71</v>
      </c>
      <c r="P106" s="101">
        <v>83.92</v>
      </c>
      <c r="Q106" s="102"/>
      <c r="R106" s="103">
        <f t="shared" si="1"/>
        <v>215737.25</v>
      </c>
      <c r="S106" s="103">
        <f t="shared" si="2"/>
        <v>49072.5</v>
      </c>
      <c r="T106" s="103">
        <f t="shared" si="3"/>
        <v>10450.625</v>
      </c>
      <c r="U106" s="103">
        <f t="shared" si="4"/>
        <v>10814.125</v>
      </c>
      <c r="V106" s="103">
        <f t="shared" si="5"/>
        <v>224824.75</v>
      </c>
      <c r="W106" s="103">
        <f t="shared" si="6"/>
        <v>67429.25</v>
      </c>
      <c r="X106" s="103">
        <f t="shared" si="7"/>
        <v>1525246</v>
      </c>
    </row>
    <row r="107" ht="12.0" customHeight="1">
      <c r="A1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" s="87" t="str">
        <f>IFERROR(__xludf.DUMMYFUNCTION("IFERROR(IF(F107&lt;&gt;"""",""WHSE ""&amp;LEFT(F107,1),REGEXEXTRACT(E107,""-(?:\d{2}-)?([A-Z]+)"")),"""")
"),"WHSE A")</f>
        <v>WHSE A</v>
      </c>
      <c r="C107" s="88">
        <v>45534.0</v>
      </c>
      <c r="D107" s="89" t="s">
        <v>72</v>
      </c>
      <c r="E107" s="90" t="s">
        <v>178</v>
      </c>
      <c r="F107" s="90" t="s">
        <v>179</v>
      </c>
      <c r="G107" s="98" t="s">
        <v>73</v>
      </c>
      <c r="H107" s="92">
        <v>18180.0</v>
      </c>
      <c r="I107" s="99">
        <v>445.0</v>
      </c>
      <c r="J107" s="94">
        <v>11.2</v>
      </c>
      <c r="K107" s="100">
        <v>2.77</v>
      </c>
      <c r="L107" s="100">
        <v>0.575</v>
      </c>
      <c r="M107" s="100">
        <v>0.595</v>
      </c>
      <c r="N107" s="101">
        <v>13.0</v>
      </c>
      <c r="O107" s="94">
        <v>1.79</v>
      </c>
      <c r="P107" s="101">
        <v>85.21</v>
      </c>
      <c r="Q107" s="102"/>
      <c r="R107" s="103">
        <f t="shared" si="1"/>
        <v>203616</v>
      </c>
      <c r="S107" s="103">
        <f t="shared" si="2"/>
        <v>50358.6</v>
      </c>
      <c r="T107" s="103">
        <f t="shared" si="3"/>
        <v>10453.5</v>
      </c>
      <c r="U107" s="103">
        <f t="shared" si="4"/>
        <v>10817.1</v>
      </c>
      <c r="V107" s="103">
        <f t="shared" si="5"/>
        <v>236340</v>
      </c>
      <c r="W107" s="103">
        <f t="shared" si="6"/>
        <v>32542.2</v>
      </c>
      <c r="X107" s="103">
        <f t="shared" si="7"/>
        <v>1549117.8</v>
      </c>
    </row>
    <row r="108" ht="12.0" customHeight="1">
      <c r="A1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" s="87" t="str">
        <f>IFERROR(__xludf.DUMMYFUNCTION("IFERROR(IF(F108&lt;&gt;"""",""WHSE ""&amp;LEFT(F108,1),REGEXEXTRACT(E108,""-(?:\d{2}-)?([A-Z]+)"")),"""")
"),"WHSE A")</f>
        <v>WHSE A</v>
      </c>
      <c r="C108" s="88">
        <v>45535.0</v>
      </c>
      <c r="D108" s="89" t="s">
        <v>72</v>
      </c>
      <c r="E108" s="90" t="s">
        <v>178</v>
      </c>
      <c r="F108" s="90" t="s">
        <v>179</v>
      </c>
      <c r="G108" s="98" t="s">
        <v>73</v>
      </c>
      <c r="H108" s="92">
        <v>17115.0</v>
      </c>
      <c r="I108" s="99">
        <v>435.0</v>
      </c>
      <c r="J108" s="94">
        <v>9.94</v>
      </c>
      <c r="K108" s="100">
        <v>2.6</v>
      </c>
      <c r="L108" s="100">
        <v>0.578</v>
      </c>
      <c r="M108" s="100">
        <v>0.598</v>
      </c>
      <c r="N108" s="101">
        <v>12.1</v>
      </c>
      <c r="O108" s="94">
        <v>2.49</v>
      </c>
      <c r="P108" s="101">
        <v>85.41</v>
      </c>
      <c r="Q108" s="102"/>
      <c r="R108" s="103">
        <f t="shared" si="1"/>
        <v>170123.1</v>
      </c>
      <c r="S108" s="103">
        <f t="shared" si="2"/>
        <v>44499</v>
      </c>
      <c r="T108" s="103">
        <f t="shared" si="3"/>
        <v>9892.47</v>
      </c>
      <c r="U108" s="103">
        <f t="shared" si="4"/>
        <v>10234.77</v>
      </c>
      <c r="V108" s="103">
        <f t="shared" si="5"/>
        <v>207091.5</v>
      </c>
      <c r="W108" s="103">
        <f t="shared" si="6"/>
        <v>42616.35</v>
      </c>
      <c r="X108" s="103">
        <f t="shared" si="7"/>
        <v>1461792.15</v>
      </c>
    </row>
    <row r="109" ht="12.0" customHeight="1">
      <c r="A1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9" s="87" t="str">
        <f>IFERROR(__xludf.DUMMYFUNCTION("IFERROR(IF(F109&lt;&gt;"""",""WHSE ""&amp;LEFT(F109,1),REGEXEXTRACT(E109,""-(?:\d{2}-)?([A-Z]+)"")),"""")
"),"WHSE A")</f>
        <v>WHSE A</v>
      </c>
      <c r="C109" s="88">
        <v>45538.0</v>
      </c>
      <c r="D109" s="89" t="s">
        <v>72</v>
      </c>
      <c r="E109" s="90" t="s">
        <v>178</v>
      </c>
      <c r="F109" s="90" t="s">
        <v>179</v>
      </c>
      <c r="G109" s="98" t="s">
        <v>73</v>
      </c>
      <c r="H109" s="92">
        <v>17125.0</v>
      </c>
      <c r="I109" s="99">
        <v>460.0</v>
      </c>
      <c r="J109" s="94">
        <v>11.74</v>
      </c>
      <c r="K109" s="100">
        <v>2.49</v>
      </c>
      <c r="L109" s="100">
        <v>0.575</v>
      </c>
      <c r="M109" s="100">
        <v>0.595</v>
      </c>
      <c r="N109" s="101">
        <v>12.29</v>
      </c>
      <c r="O109" s="94">
        <v>3.78</v>
      </c>
      <c r="P109" s="101">
        <v>83.93</v>
      </c>
      <c r="Q109" s="89" t="s">
        <v>180</v>
      </c>
      <c r="R109" s="86">
        <f t="shared" si="1"/>
        <v>201047.5</v>
      </c>
      <c r="S109" s="86">
        <f t="shared" si="2"/>
        <v>42641.25</v>
      </c>
      <c r="T109" s="86">
        <f t="shared" si="3"/>
        <v>9846.875</v>
      </c>
      <c r="U109" s="86">
        <f t="shared" si="4"/>
        <v>10189.375</v>
      </c>
      <c r="V109" s="86">
        <f t="shared" si="5"/>
        <v>210466.25</v>
      </c>
      <c r="W109" s="86">
        <f t="shared" si="6"/>
        <v>64732.5</v>
      </c>
      <c r="X109" s="86">
        <f t="shared" si="7"/>
        <v>1437301.25</v>
      </c>
    </row>
    <row r="110" ht="12.0" customHeight="1">
      <c r="A1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" s="87" t="str">
        <f>IFERROR(__xludf.DUMMYFUNCTION("IFERROR(IF(F110&lt;&gt;"""",""WHSE ""&amp;LEFT(F110,1),REGEXEXTRACT(E110,""-(?:\d{2}-)?([A-Z]+)"")),"""")
"),"WHSE A")</f>
        <v>WHSE A</v>
      </c>
      <c r="C110" s="88">
        <v>45540.0</v>
      </c>
      <c r="D110" s="89" t="s">
        <v>72</v>
      </c>
      <c r="E110" s="90" t="s">
        <v>178</v>
      </c>
      <c r="F110" s="90" t="s">
        <v>179</v>
      </c>
      <c r="G110" s="98" t="s">
        <v>73</v>
      </c>
      <c r="H110" s="92">
        <v>18190.0</v>
      </c>
      <c r="I110" s="99">
        <v>458.0</v>
      </c>
      <c r="J110" s="94">
        <v>11.94</v>
      </c>
      <c r="K110" s="100">
        <v>2.68</v>
      </c>
      <c r="L110" s="100">
        <v>0.575</v>
      </c>
      <c r="M110" s="100">
        <v>0.595</v>
      </c>
      <c r="N110" s="101">
        <v>13.18</v>
      </c>
      <c r="O110" s="94">
        <v>2.74</v>
      </c>
      <c r="P110" s="101">
        <v>84.08</v>
      </c>
      <c r="Q110" s="89" t="s">
        <v>180</v>
      </c>
      <c r="R110" s="86">
        <f t="shared" si="1"/>
        <v>217188.6</v>
      </c>
      <c r="S110" s="86">
        <f t="shared" si="2"/>
        <v>48749.2</v>
      </c>
      <c r="T110" s="86">
        <f t="shared" si="3"/>
        <v>10459.25</v>
      </c>
      <c r="U110" s="86">
        <f t="shared" si="4"/>
        <v>10823.05</v>
      </c>
      <c r="V110" s="86">
        <f t="shared" si="5"/>
        <v>239744.2</v>
      </c>
      <c r="W110" s="86">
        <f t="shared" si="6"/>
        <v>49840.6</v>
      </c>
      <c r="X110" s="86">
        <f t="shared" si="7"/>
        <v>1529415.2</v>
      </c>
    </row>
    <row r="111" ht="12.0" customHeight="1">
      <c r="A1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1" s="87" t="str">
        <f>IFERROR(__xludf.DUMMYFUNCTION("IFERROR(IF(F111&lt;&gt;"""",""WHSE ""&amp;LEFT(F111,1),REGEXEXTRACT(E111,""-(?:\d{2}-)?([A-Z]+)"")),"""")
"),"WHSE A")</f>
        <v>WHSE A</v>
      </c>
      <c r="C111" s="88">
        <v>45542.0</v>
      </c>
      <c r="D111" s="89" t="s">
        <v>72</v>
      </c>
      <c r="E111" s="90" t="s">
        <v>181</v>
      </c>
      <c r="F111" s="90" t="s">
        <v>182</v>
      </c>
      <c r="G111" s="98" t="s">
        <v>73</v>
      </c>
      <c r="H111" s="92">
        <v>18635.0</v>
      </c>
      <c r="I111" s="99">
        <v>446.0</v>
      </c>
      <c r="J111" s="94">
        <v>12.0</v>
      </c>
      <c r="K111" s="100">
        <v>2.84</v>
      </c>
      <c r="L111" s="100">
        <v>0.578</v>
      </c>
      <c r="M111" s="100">
        <v>0.598</v>
      </c>
      <c r="N111" s="101">
        <v>12.3</v>
      </c>
      <c r="O111" s="94">
        <v>2.97</v>
      </c>
      <c r="P111" s="101">
        <v>84.73</v>
      </c>
      <c r="Q111" s="102"/>
      <c r="R111" s="103">
        <f t="shared" si="1"/>
        <v>223620</v>
      </c>
      <c r="S111" s="103">
        <f t="shared" si="2"/>
        <v>52923.4</v>
      </c>
      <c r="T111" s="103">
        <f t="shared" si="3"/>
        <v>10771.03</v>
      </c>
      <c r="U111" s="103">
        <f t="shared" si="4"/>
        <v>11143.73</v>
      </c>
      <c r="V111" s="103">
        <f t="shared" si="5"/>
        <v>229210.5</v>
      </c>
      <c r="W111" s="103">
        <f t="shared" si="6"/>
        <v>55345.95</v>
      </c>
      <c r="X111" s="103">
        <f t="shared" si="7"/>
        <v>1578943.55</v>
      </c>
    </row>
    <row r="112" ht="12.0" customHeight="1">
      <c r="A1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2" s="87" t="str">
        <f>IFERROR(__xludf.DUMMYFUNCTION("IFERROR(IF(F112&lt;&gt;"""",""WHSE ""&amp;LEFT(F112,1),REGEXEXTRACT(E112,""-(?:\d{2}-)?([A-Z]+)"")),"""")
"),"WHSE A")</f>
        <v>WHSE A</v>
      </c>
      <c r="C112" s="88">
        <v>45548.0</v>
      </c>
      <c r="D112" s="89" t="s">
        <v>72</v>
      </c>
      <c r="E112" s="90" t="s">
        <v>181</v>
      </c>
      <c r="F112" s="90" t="s">
        <v>182</v>
      </c>
      <c r="G112" s="98" t="s">
        <v>73</v>
      </c>
      <c r="H112" s="92">
        <v>15995.0</v>
      </c>
      <c r="I112" s="99">
        <v>409.0</v>
      </c>
      <c r="J112" s="94">
        <v>10.87</v>
      </c>
      <c r="K112" s="100">
        <v>2.87</v>
      </c>
      <c r="L112" s="100">
        <v>0.575</v>
      </c>
      <c r="M112" s="100">
        <v>0.595</v>
      </c>
      <c r="N112" s="101">
        <v>11.55</v>
      </c>
      <c r="O112" s="94">
        <v>3.45</v>
      </c>
      <c r="P112" s="101">
        <v>85.0</v>
      </c>
      <c r="Q112" s="102"/>
      <c r="R112" s="103">
        <f t="shared" si="1"/>
        <v>173865.65</v>
      </c>
      <c r="S112" s="103">
        <f t="shared" si="2"/>
        <v>45905.65</v>
      </c>
      <c r="T112" s="103">
        <f t="shared" si="3"/>
        <v>9197.125</v>
      </c>
      <c r="U112" s="103">
        <f t="shared" si="4"/>
        <v>9517.025</v>
      </c>
      <c r="V112" s="103">
        <f t="shared" si="5"/>
        <v>184742.25</v>
      </c>
      <c r="W112" s="103">
        <f t="shared" si="6"/>
        <v>55182.75</v>
      </c>
      <c r="X112" s="103">
        <f t="shared" si="7"/>
        <v>1359575</v>
      </c>
    </row>
    <row r="113" ht="12.0" customHeight="1">
      <c r="A1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" s="87" t="str">
        <f>IFERROR(__xludf.DUMMYFUNCTION("IFERROR(IF(F113&lt;&gt;"""",""WHSE ""&amp;LEFT(F113,1),REGEXEXTRACT(E113,""-(?:\d{2}-)?([A-Z]+)"")),"""")
"),"WHSE A")</f>
        <v>WHSE A</v>
      </c>
      <c r="C113" s="88">
        <v>45552.0</v>
      </c>
      <c r="D113" s="89" t="s">
        <v>72</v>
      </c>
      <c r="E113" s="90" t="s">
        <v>181</v>
      </c>
      <c r="F113" s="90" t="s">
        <v>182</v>
      </c>
      <c r="G113" s="98" t="s">
        <v>73</v>
      </c>
      <c r="H113" s="92">
        <v>17635.0</v>
      </c>
      <c r="I113" s="99">
        <v>453.0</v>
      </c>
      <c r="J113" s="94">
        <v>11.07</v>
      </c>
      <c r="K113" s="100">
        <v>2.77</v>
      </c>
      <c r="L113" s="100">
        <v>0.578</v>
      </c>
      <c r="M113" s="100">
        <v>0.598</v>
      </c>
      <c r="N113" s="101">
        <v>12.0</v>
      </c>
      <c r="O113" s="94">
        <v>1.54</v>
      </c>
      <c r="P113" s="101">
        <v>86.46</v>
      </c>
      <c r="Q113" s="102"/>
      <c r="R113" s="103">
        <f t="shared" si="1"/>
        <v>195219.45</v>
      </c>
      <c r="S113" s="103">
        <f t="shared" si="2"/>
        <v>48848.95</v>
      </c>
      <c r="T113" s="103">
        <f t="shared" si="3"/>
        <v>10193.03</v>
      </c>
      <c r="U113" s="103">
        <f t="shared" si="4"/>
        <v>10545.73</v>
      </c>
      <c r="V113" s="103">
        <f t="shared" si="5"/>
        <v>211620</v>
      </c>
      <c r="W113" s="103">
        <f t="shared" si="6"/>
        <v>27157.9</v>
      </c>
      <c r="X113" s="103">
        <f t="shared" si="7"/>
        <v>1524722.1</v>
      </c>
    </row>
    <row r="114" ht="12.0" customHeight="1">
      <c r="A1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" s="87" t="str">
        <f>IFERROR(__xludf.DUMMYFUNCTION("IFERROR(IF(F114&lt;&gt;"""",""WHSE ""&amp;LEFT(F114,1),REGEXEXTRACT(E114,""-(?:\d{2}-)?([A-Z]+)"")),"""")
"),"WHSE A")</f>
        <v>WHSE A</v>
      </c>
      <c r="C114" s="88">
        <v>45556.0</v>
      </c>
      <c r="D114" s="89" t="s">
        <v>72</v>
      </c>
      <c r="E114" s="90" t="s">
        <v>181</v>
      </c>
      <c r="F114" s="90" t="s">
        <v>182</v>
      </c>
      <c r="G114" s="98" t="s">
        <v>73</v>
      </c>
      <c r="H114" s="92">
        <v>17790.0</v>
      </c>
      <c r="I114" s="99">
        <v>457.0</v>
      </c>
      <c r="J114" s="94">
        <v>10.14</v>
      </c>
      <c r="K114" s="100">
        <v>2.68</v>
      </c>
      <c r="L114" s="100">
        <v>0.578</v>
      </c>
      <c r="M114" s="100">
        <v>0.598</v>
      </c>
      <c r="N114" s="101">
        <v>12.14</v>
      </c>
      <c r="O114" s="94">
        <v>3.35</v>
      </c>
      <c r="P114" s="101">
        <v>84.51</v>
      </c>
      <c r="Q114" s="102"/>
      <c r="R114" s="103">
        <f t="shared" si="1"/>
        <v>180390.6</v>
      </c>
      <c r="S114" s="103">
        <f t="shared" si="2"/>
        <v>47677.2</v>
      </c>
      <c r="T114" s="103">
        <f t="shared" si="3"/>
        <v>10282.62</v>
      </c>
      <c r="U114" s="103">
        <f t="shared" si="4"/>
        <v>10638.42</v>
      </c>
      <c r="V114" s="103">
        <f t="shared" si="5"/>
        <v>215970.6</v>
      </c>
      <c r="W114" s="103">
        <f t="shared" si="6"/>
        <v>59596.5</v>
      </c>
      <c r="X114" s="103">
        <f t="shared" si="7"/>
        <v>1503432.9</v>
      </c>
    </row>
    <row r="115" ht="12.0" customHeight="1">
      <c r="A1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" s="87" t="str">
        <f>IFERROR(__xludf.DUMMYFUNCTION("IFERROR(IF(F115&lt;&gt;"""",""WHSE ""&amp;LEFT(F115,1),REGEXEXTRACT(E115,""-(?:\d{2}-)?([A-Z]+)"")),"""")
"),"WHSE A")</f>
        <v>WHSE A</v>
      </c>
      <c r="C115" s="88">
        <v>45556.0</v>
      </c>
      <c r="D115" s="89" t="s">
        <v>72</v>
      </c>
      <c r="E115" s="90" t="s">
        <v>183</v>
      </c>
      <c r="F115" s="90" t="s">
        <v>184</v>
      </c>
      <c r="G115" s="98" t="s">
        <v>77</v>
      </c>
      <c r="H115" s="92">
        <v>16920.0</v>
      </c>
      <c r="I115" s="99">
        <v>497.0</v>
      </c>
      <c r="J115" s="94">
        <v>10.74</v>
      </c>
      <c r="K115" s="100">
        <v>2.94</v>
      </c>
      <c r="L115" s="100">
        <v>0.575</v>
      </c>
      <c r="M115" s="100">
        <v>0.595</v>
      </c>
      <c r="N115" s="101">
        <v>11.56</v>
      </c>
      <c r="O115" s="94">
        <v>3.19</v>
      </c>
      <c r="P115" s="101">
        <v>85.25</v>
      </c>
      <c r="Q115" s="102"/>
      <c r="R115" s="103">
        <f t="shared" si="1"/>
        <v>181720.8</v>
      </c>
      <c r="S115" s="103">
        <f t="shared" si="2"/>
        <v>49744.8</v>
      </c>
      <c r="T115" s="103">
        <f t="shared" si="3"/>
        <v>9729</v>
      </c>
      <c r="U115" s="103">
        <f t="shared" si="4"/>
        <v>10067.4</v>
      </c>
      <c r="V115" s="103">
        <f t="shared" si="5"/>
        <v>195595.2</v>
      </c>
      <c r="W115" s="103">
        <f t="shared" si="6"/>
        <v>53974.8</v>
      </c>
      <c r="X115" s="103">
        <f t="shared" si="7"/>
        <v>1442430</v>
      </c>
    </row>
    <row r="116" ht="12.0" customHeight="1">
      <c r="A1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6" s="87" t="str">
        <f>IFERROR(__xludf.DUMMYFUNCTION("IFERROR(IF(F116&lt;&gt;"""",""WHSE ""&amp;LEFT(F116,1),REGEXEXTRACT(E116,""-(?:\d{2}-)?([A-Z]+)"")),"""")
"),"WHSE A")</f>
        <v>WHSE A</v>
      </c>
      <c r="C116" s="88">
        <v>45559.0</v>
      </c>
      <c r="D116" s="89" t="s">
        <v>72</v>
      </c>
      <c r="E116" s="90" t="s">
        <v>183</v>
      </c>
      <c r="F116" s="90" t="s">
        <v>184</v>
      </c>
      <c r="G116" s="98" t="s">
        <v>73</v>
      </c>
      <c r="H116" s="92">
        <v>17750.0</v>
      </c>
      <c r="I116" s="99">
        <v>447.0</v>
      </c>
      <c r="J116" s="94">
        <v>11.67</v>
      </c>
      <c r="K116" s="100">
        <v>2.71</v>
      </c>
      <c r="L116" s="100">
        <v>0.575</v>
      </c>
      <c r="M116" s="100">
        <v>0.595</v>
      </c>
      <c r="N116" s="101">
        <v>13.09</v>
      </c>
      <c r="O116" s="94">
        <v>2.78</v>
      </c>
      <c r="P116" s="101">
        <v>84.13</v>
      </c>
      <c r="Q116" s="102"/>
      <c r="R116" s="103">
        <f t="shared" si="1"/>
        <v>207142.5</v>
      </c>
      <c r="S116" s="103">
        <f t="shared" si="2"/>
        <v>48102.5</v>
      </c>
      <c r="T116" s="103">
        <f t="shared" si="3"/>
        <v>10206.25</v>
      </c>
      <c r="U116" s="103">
        <f t="shared" si="4"/>
        <v>10561.25</v>
      </c>
      <c r="V116" s="103">
        <f t="shared" si="5"/>
        <v>232347.5</v>
      </c>
      <c r="W116" s="103">
        <f t="shared" si="6"/>
        <v>49345</v>
      </c>
      <c r="X116" s="103">
        <f t="shared" si="7"/>
        <v>1493307.5</v>
      </c>
    </row>
    <row r="117" ht="12.0" customHeight="1">
      <c r="A1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" s="87" t="str">
        <f>IFERROR(__xludf.DUMMYFUNCTION("IFERROR(IF(F117&lt;&gt;"""",""WHSE ""&amp;LEFT(F117,1),REGEXEXTRACT(E117,""-(?:\d{2}-)?([A-Z]+)"")),"""")
"),"WHSE A")</f>
        <v>WHSE A</v>
      </c>
      <c r="C117" s="88">
        <v>45562.0</v>
      </c>
      <c r="D117" s="89" t="s">
        <v>72</v>
      </c>
      <c r="E117" s="90" t="s">
        <v>183</v>
      </c>
      <c r="F117" s="90" t="s">
        <v>184</v>
      </c>
      <c r="G117" s="98" t="s">
        <v>73</v>
      </c>
      <c r="H117" s="92">
        <v>17685.0</v>
      </c>
      <c r="I117" s="99">
        <v>480.0</v>
      </c>
      <c r="J117" s="94">
        <v>11.27</v>
      </c>
      <c r="K117" s="100">
        <v>2.77</v>
      </c>
      <c r="L117" s="100">
        <v>0.578</v>
      </c>
      <c r="M117" s="100">
        <v>0.598</v>
      </c>
      <c r="N117" s="101">
        <v>11.56</v>
      </c>
      <c r="O117" s="94">
        <v>3.25</v>
      </c>
      <c r="P117" s="101">
        <v>85.19</v>
      </c>
      <c r="Q117" s="102"/>
      <c r="R117" s="103">
        <f t="shared" si="1"/>
        <v>199309.95</v>
      </c>
      <c r="S117" s="103">
        <f t="shared" si="2"/>
        <v>48987.45</v>
      </c>
      <c r="T117" s="103">
        <f t="shared" si="3"/>
        <v>10221.93</v>
      </c>
      <c r="U117" s="103">
        <f t="shared" si="4"/>
        <v>10575.63</v>
      </c>
      <c r="V117" s="103">
        <f t="shared" si="5"/>
        <v>204438.6</v>
      </c>
      <c r="W117" s="103">
        <f t="shared" si="6"/>
        <v>57476.25</v>
      </c>
      <c r="X117" s="103">
        <f t="shared" si="7"/>
        <v>1506585.15</v>
      </c>
    </row>
    <row r="118" ht="12.0" customHeight="1">
      <c r="A1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" s="87" t="str">
        <f>IFERROR(__xludf.DUMMYFUNCTION("IFERROR(IF(F118&lt;&gt;"""",""WHSE ""&amp;LEFT(F118,1),REGEXEXTRACT(E118,""-(?:\d{2}-)?([A-Z]+)"")),"""")
"),"WHSE A")</f>
        <v>WHSE A</v>
      </c>
      <c r="C118" s="88">
        <v>45562.0</v>
      </c>
      <c r="D118" s="89" t="s">
        <v>72</v>
      </c>
      <c r="E118" s="90" t="s">
        <v>185</v>
      </c>
      <c r="F118" s="90" t="s">
        <v>186</v>
      </c>
      <c r="G118" s="98" t="s">
        <v>77</v>
      </c>
      <c r="H118" s="92">
        <v>17870.0</v>
      </c>
      <c r="I118" s="99">
        <v>454.0</v>
      </c>
      <c r="J118" s="94">
        <v>11.47</v>
      </c>
      <c r="K118" s="100">
        <v>2.58</v>
      </c>
      <c r="L118" s="100">
        <v>0.575</v>
      </c>
      <c r="M118" s="100">
        <v>0.595</v>
      </c>
      <c r="N118" s="101">
        <v>12.16</v>
      </c>
      <c r="O118" s="94">
        <v>2.58</v>
      </c>
      <c r="P118" s="101">
        <v>85.26</v>
      </c>
      <c r="Q118" s="102"/>
      <c r="R118" s="103">
        <f t="shared" si="1"/>
        <v>204968.9</v>
      </c>
      <c r="S118" s="103">
        <f t="shared" si="2"/>
        <v>46104.6</v>
      </c>
      <c r="T118" s="103">
        <f t="shared" si="3"/>
        <v>10275.25</v>
      </c>
      <c r="U118" s="103">
        <f t="shared" si="4"/>
        <v>10632.65</v>
      </c>
      <c r="V118" s="103">
        <f t="shared" si="5"/>
        <v>217299.2</v>
      </c>
      <c r="W118" s="103">
        <f t="shared" si="6"/>
        <v>46104.6</v>
      </c>
      <c r="X118" s="103">
        <f t="shared" si="7"/>
        <v>1523596.2</v>
      </c>
    </row>
    <row r="119" ht="12.0" customHeight="1">
      <c r="A1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" s="87" t="str">
        <f>IFERROR(__xludf.DUMMYFUNCTION("IFERROR(IF(F119&lt;&gt;"""",""WHSE ""&amp;LEFT(F119,1),REGEXEXTRACT(E119,""-(?:\d{2}-)?([A-Z]+)"")),"""")
"),"WHSE A")</f>
        <v>WHSE A</v>
      </c>
      <c r="C119" s="88">
        <v>45563.0</v>
      </c>
      <c r="D119" s="89" t="s">
        <v>72</v>
      </c>
      <c r="E119" s="90" t="s">
        <v>185</v>
      </c>
      <c r="F119" s="90" t="s">
        <v>186</v>
      </c>
      <c r="G119" s="98" t="s">
        <v>73</v>
      </c>
      <c r="H119" s="92">
        <v>18180.0</v>
      </c>
      <c r="I119" s="99">
        <v>444.0</v>
      </c>
      <c r="J119" s="94">
        <v>12.0</v>
      </c>
      <c r="K119" s="100">
        <v>2.74</v>
      </c>
      <c r="L119" s="100">
        <v>0.578</v>
      </c>
      <c r="M119" s="100">
        <v>0.598</v>
      </c>
      <c r="N119" s="101">
        <v>12.28</v>
      </c>
      <c r="O119" s="94">
        <v>3.79</v>
      </c>
      <c r="P119" s="101">
        <v>83.93</v>
      </c>
      <c r="Q119" s="102"/>
      <c r="R119" s="103">
        <f t="shared" si="1"/>
        <v>218160</v>
      </c>
      <c r="S119" s="103">
        <f t="shared" si="2"/>
        <v>49813.2</v>
      </c>
      <c r="T119" s="103">
        <f t="shared" si="3"/>
        <v>10508.04</v>
      </c>
      <c r="U119" s="103">
        <f t="shared" si="4"/>
        <v>10871.64</v>
      </c>
      <c r="V119" s="103">
        <f t="shared" si="5"/>
        <v>223250.4</v>
      </c>
      <c r="W119" s="103">
        <f t="shared" si="6"/>
        <v>68902.2</v>
      </c>
      <c r="X119" s="103">
        <f t="shared" si="7"/>
        <v>1525847.4</v>
      </c>
    </row>
    <row r="120" ht="12.0" customHeight="1">
      <c r="A1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" s="87" t="str">
        <f>IFERROR(__xludf.DUMMYFUNCTION("IFERROR(IF(F120&lt;&gt;"""",""WHSE ""&amp;LEFT(F120,1),REGEXEXTRACT(E120,""-(?:\d{2}-)?([A-Z]+)"")),"""")
"),"WHSE A")</f>
        <v>WHSE A</v>
      </c>
      <c r="C120" s="88">
        <v>45566.0</v>
      </c>
      <c r="D120" s="89" t="s">
        <v>187</v>
      </c>
      <c r="E120" s="90" t="s">
        <v>183</v>
      </c>
      <c r="F120" s="90" t="s">
        <v>184</v>
      </c>
      <c r="G120" s="98" t="s">
        <v>77</v>
      </c>
      <c r="H120" s="92">
        <v>18265.0</v>
      </c>
      <c r="I120" s="99">
        <v>455.0</v>
      </c>
      <c r="J120" s="94">
        <v>11.6</v>
      </c>
      <c r="K120" s="100">
        <v>2.31</v>
      </c>
      <c r="L120" s="100">
        <v>0.578</v>
      </c>
      <c r="M120" s="100">
        <v>0.598</v>
      </c>
      <c r="N120" s="101">
        <v>12.43</v>
      </c>
      <c r="O120" s="94">
        <v>2.2</v>
      </c>
      <c r="P120" s="101">
        <v>85.37</v>
      </c>
      <c r="Q120" s="89" t="s">
        <v>188</v>
      </c>
      <c r="R120" s="86">
        <f t="shared" si="1"/>
        <v>211874</v>
      </c>
      <c r="S120" s="86">
        <f t="shared" si="2"/>
        <v>42192.15</v>
      </c>
      <c r="T120" s="86">
        <f t="shared" si="3"/>
        <v>10557.17</v>
      </c>
      <c r="U120" s="86">
        <f t="shared" si="4"/>
        <v>10922.47</v>
      </c>
      <c r="V120" s="86">
        <f t="shared" si="5"/>
        <v>227033.95</v>
      </c>
      <c r="W120" s="86">
        <f t="shared" si="6"/>
        <v>40183</v>
      </c>
      <c r="X120" s="86">
        <f t="shared" si="7"/>
        <v>1559283.05</v>
      </c>
    </row>
    <row r="121" ht="12.0" customHeight="1">
      <c r="A1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" s="87" t="str">
        <f>IFERROR(__xludf.DUMMYFUNCTION("IFERROR(IF(F121&lt;&gt;"""",""WHSE ""&amp;LEFT(F121,1),REGEXEXTRACT(E121,""-(?:\d{2}-)?([A-Z]+)"")),"""")
"),"WHSE A")</f>
        <v>WHSE A</v>
      </c>
      <c r="C121" s="88">
        <v>45567.0</v>
      </c>
      <c r="D121" s="89" t="s">
        <v>187</v>
      </c>
      <c r="E121" s="90" t="s">
        <v>185</v>
      </c>
      <c r="F121" s="90" t="s">
        <v>186</v>
      </c>
      <c r="G121" s="98" t="s">
        <v>73</v>
      </c>
      <c r="H121" s="92">
        <v>17120.0</v>
      </c>
      <c r="I121" s="99">
        <v>437.0</v>
      </c>
      <c r="J121" s="94">
        <v>11.94</v>
      </c>
      <c r="K121" s="100">
        <v>2.6</v>
      </c>
      <c r="L121" s="100">
        <v>0.575</v>
      </c>
      <c r="M121" s="100">
        <v>0.595</v>
      </c>
      <c r="N121" s="101">
        <v>11.57</v>
      </c>
      <c r="O121" s="94">
        <v>2.66</v>
      </c>
      <c r="P121" s="101">
        <v>85.77</v>
      </c>
      <c r="Q121" s="89" t="s">
        <v>189</v>
      </c>
      <c r="R121" s="86">
        <f t="shared" si="1"/>
        <v>204412.8</v>
      </c>
      <c r="S121" s="86">
        <f t="shared" si="2"/>
        <v>44512</v>
      </c>
      <c r="T121" s="86">
        <f t="shared" si="3"/>
        <v>9844</v>
      </c>
      <c r="U121" s="86">
        <f t="shared" si="4"/>
        <v>10186.4</v>
      </c>
      <c r="V121" s="86">
        <f t="shared" si="5"/>
        <v>198078.4</v>
      </c>
      <c r="W121" s="86">
        <f t="shared" si="6"/>
        <v>45539.2</v>
      </c>
      <c r="X121" s="86">
        <f t="shared" si="7"/>
        <v>1468382.4</v>
      </c>
    </row>
    <row r="122" ht="12.0" customHeight="1">
      <c r="A1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" s="87" t="str">
        <f>IFERROR(__xludf.DUMMYFUNCTION("IFERROR(IF(F122&lt;&gt;"""",""WHSE ""&amp;LEFT(F122,1),REGEXEXTRACT(E122,""-(?:\d{2}-)?([A-Z]+)"")),"""")
"),"WHSE A")</f>
        <v>WHSE A</v>
      </c>
      <c r="C122" s="88">
        <v>45569.0</v>
      </c>
      <c r="D122" s="89" t="s">
        <v>187</v>
      </c>
      <c r="E122" s="90" t="s">
        <v>190</v>
      </c>
      <c r="F122" s="90" t="s">
        <v>191</v>
      </c>
      <c r="G122" s="98" t="s">
        <v>73</v>
      </c>
      <c r="H122" s="92">
        <v>18385.0</v>
      </c>
      <c r="I122" s="99">
        <v>470.0</v>
      </c>
      <c r="J122" s="94">
        <v>11.74</v>
      </c>
      <c r="K122" s="100">
        <v>2.58</v>
      </c>
      <c r="L122" s="100">
        <v>0.575</v>
      </c>
      <c r="M122" s="100">
        <v>0.595</v>
      </c>
      <c r="N122" s="101">
        <v>13.1</v>
      </c>
      <c r="O122" s="94">
        <v>2.89</v>
      </c>
      <c r="P122" s="101">
        <v>84.01</v>
      </c>
      <c r="Q122" s="102"/>
      <c r="R122" s="103">
        <f t="shared" si="1"/>
        <v>215839.9</v>
      </c>
      <c r="S122" s="103">
        <f t="shared" si="2"/>
        <v>47433.3</v>
      </c>
      <c r="T122" s="103">
        <f t="shared" si="3"/>
        <v>10571.375</v>
      </c>
      <c r="U122" s="103">
        <f t="shared" si="4"/>
        <v>10939.075</v>
      </c>
      <c r="V122" s="103">
        <f t="shared" si="5"/>
        <v>240843.5</v>
      </c>
      <c r="W122" s="103">
        <f t="shared" si="6"/>
        <v>53132.65</v>
      </c>
      <c r="X122" s="103">
        <f t="shared" si="7"/>
        <v>1544523.85</v>
      </c>
    </row>
    <row r="123" ht="12.0" customHeight="1">
      <c r="A1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" s="87" t="str">
        <f>IFERROR(__xludf.DUMMYFUNCTION("IFERROR(IF(F123&lt;&gt;"""",""WHSE ""&amp;LEFT(F123,1),REGEXEXTRACT(E123,""-(?:\d{2}-)?([A-Z]+)"")),"""")
"),"WHSE A")</f>
        <v>WHSE A</v>
      </c>
      <c r="C123" s="88">
        <v>45574.0</v>
      </c>
      <c r="D123" s="89" t="s">
        <v>187</v>
      </c>
      <c r="E123" s="90" t="s">
        <v>190</v>
      </c>
      <c r="F123" s="90" t="s">
        <v>191</v>
      </c>
      <c r="G123" s="98" t="s">
        <v>73</v>
      </c>
      <c r="H123" s="92">
        <v>18955.0</v>
      </c>
      <c r="I123" s="99">
        <v>457.0</v>
      </c>
      <c r="J123" s="94">
        <v>12.0</v>
      </c>
      <c r="K123" s="100">
        <v>2.2</v>
      </c>
      <c r="L123" s="100">
        <v>0.578</v>
      </c>
      <c r="M123" s="100">
        <v>0.598</v>
      </c>
      <c r="N123" s="101">
        <v>13.31</v>
      </c>
      <c r="O123" s="94">
        <v>2.65</v>
      </c>
      <c r="P123" s="101">
        <v>84.04</v>
      </c>
      <c r="Q123" s="102"/>
      <c r="R123" s="103">
        <f t="shared" si="1"/>
        <v>227460</v>
      </c>
      <c r="S123" s="103">
        <f t="shared" si="2"/>
        <v>41701</v>
      </c>
      <c r="T123" s="103">
        <f t="shared" si="3"/>
        <v>10955.99</v>
      </c>
      <c r="U123" s="103">
        <f t="shared" si="4"/>
        <v>11335.09</v>
      </c>
      <c r="V123" s="103">
        <f t="shared" si="5"/>
        <v>252291.05</v>
      </c>
      <c r="W123" s="103">
        <f t="shared" si="6"/>
        <v>50230.75</v>
      </c>
      <c r="X123" s="103">
        <f t="shared" si="7"/>
        <v>1592978.2</v>
      </c>
    </row>
    <row r="124" ht="12.0" customHeight="1">
      <c r="A1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" s="87" t="str">
        <f>IFERROR(__xludf.DUMMYFUNCTION("IFERROR(IF(F124&lt;&gt;"""",""WHSE ""&amp;LEFT(F124,1),REGEXEXTRACT(E124,""-(?:\d{2}-)?([A-Z]+)"")),"""")
"),"WHSE A")</f>
        <v>WHSE A</v>
      </c>
      <c r="C124" s="88">
        <v>45584.0</v>
      </c>
      <c r="D124" s="89" t="s">
        <v>187</v>
      </c>
      <c r="E124" s="90" t="s">
        <v>192</v>
      </c>
      <c r="F124" s="90" t="s">
        <v>193</v>
      </c>
      <c r="G124" s="98" t="s">
        <v>73</v>
      </c>
      <c r="H124" s="92">
        <v>18370.0</v>
      </c>
      <c r="I124" s="99">
        <v>436.0</v>
      </c>
      <c r="J124" s="94">
        <v>11.94</v>
      </c>
      <c r="K124" s="100">
        <v>2.86</v>
      </c>
      <c r="L124" s="100">
        <v>0.575</v>
      </c>
      <c r="M124" s="100">
        <v>0.595</v>
      </c>
      <c r="N124" s="101">
        <v>13.06</v>
      </c>
      <c r="O124" s="94">
        <v>2.84</v>
      </c>
      <c r="P124" s="101">
        <v>84.1</v>
      </c>
      <c r="Q124" s="102"/>
      <c r="R124" s="103">
        <f t="shared" si="1"/>
        <v>219337.8</v>
      </c>
      <c r="S124" s="103">
        <f t="shared" si="2"/>
        <v>52538.2</v>
      </c>
      <c r="T124" s="103">
        <f t="shared" si="3"/>
        <v>10562.75</v>
      </c>
      <c r="U124" s="103">
        <f t="shared" si="4"/>
        <v>10930.15</v>
      </c>
      <c r="V124" s="103">
        <f t="shared" si="5"/>
        <v>239912.2</v>
      </c>
      <c r="W124" s="103">
        <f t="shared" si="6"/>
        <v>52170.8</v>
      </c>
      <c r="X124" s="103">
        <f t="shared" si="7"/>
        <v>1544917</v>
      </c>
    </row>
    <row r="125" ht="12.0" customHeight="1">
      <c r="A1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" s="87" t="str">
        <f>IFERROR(__xludf.DUMMYFUNCTION("IFERROR(IF(F125&lt;&gt;"""",""WHSE ""&amp;LEFT(F125,1),REGEXEXTRACT(E125,""-(?:\d{2}-)?([A-Z]+)"")),"""")
"),"WHSE A")</f>
        <v>WHSE A</v>
      </c>
      <c r="C125" s="88">
        <v>45588.0</v>
      </c>
      <c r="D125" s="89" t="s">
        <v>187</v>
      </c>
      <c r="E125" s="90" t="s">
        <v>192</v>
      </c>
      <c r="F125" s="90" t="s">
        <v>193</v>
      </c>
      <c r="G125" s="98" t="s">
        <v>73</v>
      </c>
      <c r="H125" s="92">
        <v>17585.0</v>
      </c>
      <c r="I125" s="99">
        <v>453.0</v>
      </c>
      <c r="J125" s="94">
        <v>11.34</v>
      </c>
      <c r="K125" s="100">
        <v>2.77</v>
      </c>
      <c r="L125" s="100">
        <v>0.575</v>
      </c>
      <c r="M125" s="100">
        <v>0.595</v>
      </c>
      <c r="N125" s="101">
        <v>11.89</v>
      </c>
      <c r="O125" s="94">
        <v>2.97</v>
      </c>
      <c r="P125" s="101">
        <v>85.14</v>
      </c>
      <c r="Q125" s="102"/>
      <c r="R125" s="103">
        <f t="shared" si="1"/>
        <v>199413.9</v>
      </c>
      <c r="S125" s="103">
        <f t="shared" si="2"/>
        <v>48710.45</v>
      </c>
      <c r="T125" s="103">
        <f t="shared" si="3"/>
        <v>10111.375</v>
      </c>
      <c r="U125" s="103">
        <f t="shared" si="4"/>
        <v>10463.075</v>
      </c>
      <c r="V125" s="103">
        <f t="shared" si="5"/>
        <v>209085.65</v>
      </c>
      <c r="W125" s="103">
        <f t="shared" si="6"/>
        <v>52227.45</v>
      </c>
      <c r="X125" s="103">
        <f t="shared" si="7"/>
        <v>1497186.9</v>
      </c>
    </row>
    <row r="126" ht="12.0" customHeight="1">
      <c r="A1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" s="87" t="str">
        <f>IFERROR(__xludf.DUMMYFUNCTION("IFERROR(IF(F126&lt;&gt;"""",""WHSE ""&amp;LEFT(F126,1),REGEXEXTRACT(E126,""-(?:\d{2}-)?([A-Z]+)"")),"""")
"),"WHSE A")</f>
        <v>WHSE A</v>
      </c>
      <c r="C126" s="88">
        <v>45601.0</v>
      </c>
      <c r="D126" s="89" t="s">
        <v>72</v>
      </c>
      <c r="E126" s="90" t="s">
        <v>192</v>
      </c>
      <c r="F126" s="90" t="s">
        <v>193</v>
      </c>
      <c r="G126" s="98" t="s">
        <v>73</v>
      </c>
      <c r="H126" s="92">
        <v>19260.0</v>
      </c>
      <c r="I126" s="99">
        <v>443.0</v>
      </c>
      <c r="J126" s="94">
        <v>11.87</v>
      </c>
      <c r="K126" s="100">
        <v>2.64</v>
      </c>
      <c r="L126" s="100">
        <v>0.571</v>
      </c>
      <c r="M126" s="100">
        <v>0.591</v>
      </c>
      <c r="N126" s="101">
        <v>11.37</v>
      </c>
      <c r="O126" s="94">
        <v>1.87</v>
      </c>
      <c r="P126" s="101">
        <v>86.76</v>
      </c>
      <c r="Q126" s="89" t="s">
        <v>194</v>
      </c>
      <c r="R126" s="86">
        <f t="shared" si="1"/>
        <v>228616.2</v>
      </c>
      <c r="S126" s="86">
        <f t="shared" si="2"/>
        <v>50846.4</v>
      </c>
      <c r="T126" s="86">
        <f t="shared" si="3"/>
        <v>10997.46</v>
      </c>
      <c r="U126" s="86">
        <f t="shared" si="4"/>
        <v>11382.66</v>
      </c>
      <c r="V126" s="86">
        <f t="shared" si="5"/>
        <v>218986.2</v>
      </c>
      <c r="W126" s="86">
        <f t="shared" si="6"/>
        <v>36016.2</v>
      </c>
      <c r="X126" s="86">
        <f t="shared" si="7"/>
        <v>1670997.6</v>
      </c>
    </row>
    <row r="127" ht="12.0" customHeight="1">
      <c r="A1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" s="87" t="str">
        <f>IFERROR(__xludf.DUMMYFUNCTION("IFERROR(IF(F127&lt;&gt;"""",""WHSE ""&amp;LEFT(F127,1),REGEXEXTRACT(E127,""-(?:\d{2}-)?([A-Z]+)"")),"""")
"),"WHSE A")</f>
        <v>WHSE A</v>
      </c>
      <c r="C127" s="88">
        <v>45602.0</v>
      </c>
      <c r="D127" s="89" t="s">
        <v>72</v>
      </c>
      <c r="E127" s="90" t="s">
        <v>195</v>
      </c>
      <c r="F127" s="90" t="s">
        <v>196</v>
      </c>
      <c r="G127" s="98" t="s">
        <v>73</v>
      </c>
      <c r="H127" s="92">
        <v>18268.0</v>
      </c>
      <c r="I127" s="99">
        <v>442.0</v>
      </c>
      <c r="J127" s="94">
        <v>12.34</v>
      </c>
      <c r="K127" s="100">
        <v>2.69</v>
      </c>
      <c r="L127" s="100">
        <v>0.571</v>
      </c>
      <c r="M127" s="100">
        <v>0.591</v>
      </c>
      <c r="N127" s="101">
        <v>12.31</v>
      </c>
      <c r="O127" s="94">
        <v>2.69</v>
      </c>
      <c r="P127" s="101">
        <v>85.0</v>
      </c>
      <c r="Q127" s="89" t="s">
        <v>197</v>
      </c>
      <c r="R127" s="86">
        <f t="shared" si="1"/>
        <v>225427.12</v>
      </c>
      <c r="S127" s="86">
        <f t="shared" si="2"/>
        <v>49140.92</v>
      </c>
      <c r="T127" s="86">
        <f t="shared" si="3"/>
        <v>10431.028</v>
      </c>
      <c r="U127" s="86">
        <f t="shared" si="4"/>
        <v>10796.388</v>
      </c>
      <c r="V127" s="86">
        <f t="shared" si="5"/>
        <v>224879.08</v>
      </c>
      <c r="W127" s="86">
        <f t="shared" si="6"/>
        <v>49140.92</v>
      </c>
      <c r="X127" s="86">
        <f t="shared" si="7"/>
        <v>1552780</v>
      </c>
    </row>
    <row r="128" ht="12.0" customHeight="1">
      <c r="A1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" s="87" t="str">
        <f>IFERROR(__xludf.DUMMYFUNCTION("IFERROR(IF(F128&lt;&gt;"""",""WHSE ""&amp;LEFT(F128,1),REGEXEXTRACT(E128,""-(?:\d{2}-)?([A-Z]+)"")),"""")
"),"WHSE A")</f>
        <v>WHSE A</v>
      </c>
      <c r="C128" s="88">
        <v>45604.0</v>
      </c>
      <c r="D128" s="89" t="s">
        <v>72</v>
      </c>
      <c r="E128" s="90" t="s">
        <v>195</v>
      </c>
      <c r="F128" s="90" t="s">
        <v>196</v>
      </c>
      <c r="G128" s="98" t="s">
        <v>77</v>
      </c>
      <c r="H128" s="92">
        <v>18378.0</v>
      </c>
      <c r="I128" s="99">
        <v>443.0</v>
      </c>
      <c r="J128" s="94">
        <v>12.2</v>
      </c>
      <c r="K128" s="100">
        <v>2.74</v>
      </c>
      <c r="L128" s="100">
        <v>0.575</v>
      </c>
      <c r="M128" s="100">
        <v>0.595</v>
      </c>
      <c r="N128" s="101">
        <v>11.91</v>
      </c>
      <c r="O128" s="94">
        <v>3.1</v>
      </c>
      <c r="P128" s="101">
        <v>84.99</v>
      </c>
      <c r="Q128" s="89" t="s">
        <v>198</v>
      </c>
      <c r="R128" s="86">
        <f t="shared" si="1"/>
        <v>224211.6</v>
      </c>
      <c r="S128" s="86">
        <f t="shared" si="2"/>
        <v>50355.72</v>
      </c>
      <c r="T128" s="86">
        <f t="shared" si="3"/>
        <v>10567.35</v>
      </c>
      <c r="U128" s="86">
        <f t="shared" si="4"/>
        <v>10934.91</v>
      </c>
      <c r="V128" s="86">
        <f t="shared" si="5"/>
        <v>218881.98</v>
      </c>
      <c r="W128" s="86">
        <f t="shared" si="6"/>
        <v>56971.8</v>
      </c>
      <c r="X128" s="86">
        <f t="shared" si="7"/>
        <v>1561946.22</v>
      </c>
    </row>
    <row r="129" ht="12.0" customHeight="1">
      <c r="A1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" s="87" t="str">
        <f>IFERROR(__xludf.DUMMYFUNCTION("IFERROR(IF(F129&lt;&gt;"""",""WHSE ""&amp;LEFT(F129,1),REGEXEXTRACT(E129,""-(?:\d{2}-)?([A-Z]+)"")),"""")
"),"WHSE A")</f>
        <v>WHSE A</v>
      </c>
      <c r="C129" s="88">
        <v>45608.0</v>
      </c>
      <c r="D129" s="89" t="s">
        <v>72</v>
      </c>
      <c r="E129" s="90" t="s">
        <v>195</v>
      </c>
      <c r="F129" s="90" t="s">
        <v>196</v>
      </c>
      <c r="G129" s="98" t="s">
        <v>73</v>
      </c>
      <c r="H129" s="92">
        <v>17910.0</v>
      </c>
      <c r="I129" s="99">
        <v>437.0</v>
      </c>
      <c r="J129" s="94">
        <v>12.0</v>
      </c>
      <c r="K129" s="100">
        <v>2.73</v>
      </c>
      <c r="L129" s="100">
        <v>0.575</v>
      </c>
      <c r="M129" s="100">
        <v>0.595</v>
      </c>
      <c r="N129" s="101">
        <v>11.63</v>
      </c>
      <c r="O129" s="94">
        <v>4.19</v>
      </c>
      <c r="P129" s="101">
        <v>84.18</v>
      </c>
      <c r="Q129" s="102"/>
      <c r="R129" s="103">
        <f t="shared" si="1"/>
        <v>214920</v>
      </c>
      <c r="S129" s="103">
        <f t="shared" si="2"/>
        <v>48894.3</v>
      </c>
      <c r="T129" s="103">
        <f t="shared" si="3"/>
        <v>10298.25</v>
      </c>
      <c r="U129" s="103">
        <f t="shared" si="4"/>
        <v>10656.45</v>
      </c>
      <c r="V129" s="103">
        <f t="shared" si="5"/>
        <v>208293.3</v>
      </c>
      <c r="W129" s="103">
        <f t="shared" si="6"/>
        <v>75042.9</v>
      </c>
      <c r="X129" s="103">
        <f t="shared" si="7"/>
        <v>1507663.8</v>
      </c>
    </row>
    <row r="130" ht="12.0" customHeight="1">
      <c r="A1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" s="87" t="str">
        <f>IFERROR(__xludf.DUMMYFUNCTION("IFERROR(IF(F130&lt;&gt;"""",""WHSE ""&amp;LEFT(F130,1),REGEXEXTRACT(E130,""-(?:\d{2}-)?([A-Z]+)"")),"""")
"),"WHSE A")</f>
        <v>WHSE A</v>
      </c>
      <c r="C130" s="88">
        <v>45608.0</v>
      </c>
      <c r="D130" s="89" t="s">
        <v>72</v>
      </c>
      <c r="E130" s="90" t="s">
        <v>190</v>
      </c>
      <c r="F130" s="90" t="s">
        <v>191</v>
      </c>
      <c r="G130" s="98" t="s">
        <v>77</v>
      </c>
      <c r="H130" s="92">
        <v>16795.0</v>
      </c>
      <c r="I130" s="99">
        <v>425.0</v>
      </c>
      <c r="J130" s="94">
        <v>11.74</v>
      </c>
      <c r="K130" s="100">
        <v>2.68</v>
      </c>
      <c r="L130" s="100">
        <v>0.578</v>
      </c>
      <c r="M130" s="100">
        <v>0.598</v>
      </c>
      <c r="N130" s="101">
        <v>12.21</v>
      </c>
      <c r="O130" s="94">
        <v>3.57</v>
      </c>
      <c r="P130" s="101">
        <v>84.22</v>
      </c>
      <c r="Q130" s="89" t="s">
        <v>199</v>
      </c>
      <c r="R130" s="86">
        <f t="shared" si="1"/>
        <v>197173.3</v>
      </c>
      <c r="S130" s="86">
        <f t="shared" si="2"/>
        <v>45010.6</v>
      </c>
      <c r="T130" s="86">
        <f t="shared" si="3"/>
        <v>9707.51</v>
      </c>
      <c r="U130" s="86">
        <f t="shared" si="4"/>
        <v>10043.41</v>
      </c>
      <c r="V130" s="86">
        <f t="shared" si="5"/>
        <v>205066.95</v>
      </c>
      <c r="W130" s="86">
        <f t="shared" si="6"/>
        <v>59958.15</v>
      </c>
      <c r="X130" s="86">
        <f t="shared" si="7"/>
        <v>1414474.9</v>
      </c>
    </row>
    <row r="131" ht="12.0" customHeight="1">
      <c r="A1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31" s="87" t="str">
        <f>IFERROR(__xludf.DUMMYFUNCTION("IFERROR(IF(F131&lt;&gt;"""",""WHSE ""&amp;LEFT(F131,1),REGEXEXTRACT(E131,""-(?:\d{2}-)?([A-Z]+)"")),"""")
"),"WHSE A")</f>
        <v>WHSE A</v>
      </c>
      <c r="C131" s="88">
        <v>45609.0</v>
      </c>
      <c r="D131" s="89" t="s">
        <v>79</v>
      </c>
      <c r="E131" s="90" t="s">
        <v>200</v>
      </c>
      <c r="F131" s="90" t="s">
        <v>201</v>
      </c>
      <c r="G131" s="98" t="s">
        <v>202</v>
      </c>
      <c r="H131" s="92">
        <v>29080.0</v>
      </c>
      <c r="I131" s="99">
        <v>475.0</v>
      </c>
      <c r="J131" s="94">
        <v>35.0</v>
      </c>
      <c r="K131" s="100">
        <v>2.87</v>
      </c>
      <c r="L131" s="100">
        <v>0.585</v>
      </c>
      <c r="M131" s="100">
        <v>0.605</v>
      </c>
      <c r="N131" s="101">
        <v>17.32</v>
      </c>
      <c r="O131" s="94">
        <v>6.02</v>
      </c>
      <c r="P131" s="101">
        <v>76.66</v>
      </c>
      <c r="Q131" s="89" t="s">
        <v>203</v>
      </c>
      <c r="R131" s="86">
        <f t="shared" si="1"/>
        <v>1017800</v>
      </c>
      <c r="S131" s="86">
        <f t="shared" si="2"/>
        <v>83459.6</v>
      </c>
      <c r="T131" s="86">
        <f t="shared" si="3"/>
        <v>17011.8</v>
      </c>
      <c r="U131" s="86">
        <f t="shared" si="4"/>
        <v>17593.4</v>
      </c>
      <c r="V131" s="86">
        <f t="shared" si="5"/>
        <v>503665.6</v>
      </c>
      <c r="W131" s="86">
        <f t="shared" si="6"/>
        <v>175061.6</v>
      </c>
      <c r="X131" s="86">
        <f t="shared" si="7"/>
        <v>2229272.8</v>
      </c>
    </row>
    <row r="132" ht="12.0" customHeight="1">
      <c r="A1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" s="87" t="str">
        <f>IFERROR(__xludf.DUMMYFUNCTION("IFERROR(IF(F132&lt;&gt;"""",""WHSE ""&amp;LEFT(F132,1),REGEXEXTRACT(E132,""-(?:\d{2}-)?([A-Z]+)"")),"""")
"),"WHSE A")</f>
        <v>WHSE A</v>
      </c>
      <c r="C132" s="88">
        <v>45610.0</v>
      </c>
      <c r="D132" s="89" t="s">
        <v>72</v>
      </c>
      <c r="E132" s="90" t="s">
        <v>195</v>
      </c>
      <c r="F132" s="90" t="s">
        <v>196</v>
      </c>
      <c r="G132" s="98" t="s">
        <v>77</v>
      </c>
      <c r="H132" s="92">
        <v>18105.0</v>
      </c>
      <c r="I132" s="99">
        <v>434.0</v>
      </c>
      <c r="J132" s="94">
        <v>12.0</v>
      </c>
      <c r="K132" s="100">
        <v>2.48</v>
      </c>
      <c r="L132" s="100">
        <v>0.571</v>
      </c>
      <c r="M132" s="100">
        <v>0.591</v>
      </c>
      <c r="N132" s="101">
        <v>11.77</v>
      </c>
      <c r="O132" s="94">
        <v>1.47</v>
      </c>
      <c r="P132" s="101">
        <v>86.76</v>
      </c>
      <c r="Q132" s="89" t="s">
        <v>204</v>
      </c>
      <c r="R132" s="86">
        <f t="shared" si="1"/>
        <v>217260</v>
      </c>
      <c r="S132" s="86">
        <f t="shared" si="2"/>
        <v>44900.4</v>
      </c>
      <c r="T132" s="86">
        <f t="shared" si="3"/>
        <v>10337.955</v>
      </c>
      <c r="U132" s="86">
        <f t="shared" si="4"/>
        <v>10700.055</v>
      </c>
      <c r="V132" s="86">
        <f t="shared" si="5"/>
        <v>213095.85</v>
      </c>
      <c r="W132" s="86">
        <f t="shared" si="6"/>
        <v>26614.35</v>
      </c>
      <c r="X132" s="86">
        <f t="shared" si="7"/>
        <v>1570789.8</v>
      </c>
    </row>
    <row r="133" ht="12.0" customHeight="1">
      <c r="A1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33" s="87" t="str">
        <f>IFERROR(__xludf.DUMMYFUNCTION("IFERROR(IF(F133&lt;&gt;"""",""WHSE ""&amp;LEFT(F133,1),REGEXEXTRACT(E133,""-(?:\d{2}-)?([A-Z]+)"")),"""")
"),"WHSE A")</f>
        <v>WHSE A</v>
      </c>
      <c r="C133" s="88">
        <v>45611.0</v>
      </c>
      <c r="D133" s="89" t="s">
        <v>79</v>
      </c>
      <c r="E133" s="90" t="s">
        <v>200</v>
      </c>
      <c r="F133" s="90" t="s">
        <v>201</v>
      </c>
      <c r="G133" s="98" t="s">
        <v>205</v>
      </c>
      <c r="H133" s="92">
        <v>25570.0</v>
      </c>
      <c r="I133" s="99">
        <v>502.0</v>
      </c>
      <c r="J133" s="94">
        <v>36.67</v>
      </c>
      <c r="K133" s="100">
        <v>9.88</v>
      </c>
      <c r="L133" s="100">
        <v>0.581</v>
      </c>
      <c r="M133" s="100">
        <v>0.601</v>
      </c>
      <c r="N133" s="101">
        <v>14.42</v>
      </c>
      <c r="O133" s="94">
        <v>7.8</v>
      </c>
      <c r="P133" s="101">
        <v>77.78</v>
      </c>
      <c r="Q133" s="89" t="s">
        <v>206</v>
      </c>
      <c r="R133" s="86">
        <f t="shared" si="1"/>
        <v>937651.9</v>
      </c>
      <c r="S133" s="86">
        <f t="shared" si="2"/>
        <v>252631.6</v>
      </c>
      <c r="T133" s="86">
        <f t="shared" si="3"/>
        <v>14856.17</v>
      </c>
      <c r="U133" s="86">
        <f t="shared" si="4"/>
        <v>15367.57</v>
      </c>
      <c r="V133" s="86">
        <f t="shared" si="5"/>
        <v>368719.4</v>
      </c>
      <c r="W133" s="86">
        <f t="shared" si="6"/>
        <v>199446</v>
      </c>
      <c r="X133" s="86">
        <f t="shared" si="7"/>
        <v>1988834.6</v>
      </c>
    </row>
    <row r="134" ht="12.0" customHeight="1">
      <c r="A1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34" s="87" t="str">
        <f>IFERROR(__xludf.DUMMYFUNCTION("IFERROR(IF(F134&lt;&gt;"""",""WHSE ""&amp;LEFT(F134,1),REGEXEXTRACT(E134,""-(?:\d{2}-)?([A-Z]+)"")),"""")
"),"WHSE A")</f>
        <v>WHSE A</v>
      </c>
      <c r="C134" s="88">
        <v>45611.0</v>
      </c>
      <c r="D134" s="89" t="s">
        <v>79</v>
      </c>
      <c r="E134" s="90" t="s">
        <v>200</v>
      </c>
      <c r="F134" s="90" t="s">
        <v>201</v>
      </c>
      <c r="G134" s="98" t="s">
        <v>77</v>
      </c>
      <c r="H134" s="92">
        <v>8613.0</v>
      </c>
      <c r="I134" s="99">
        <v>160.0</v>
      </c>
      <c r="J134" s="94">
        <v>36.67</v>
      </c>
      <c r="K134" s="100">
        <v>9.88</v>
      </c>
      <c r="L134" s="100">
        <v>0.581</v>
      </c>
      <c r="M134" s="100">
        <v>0.601</v>
      </c>
      <c r="N134" s="101">
        <v>14.42</v>
      </c>
      <c r="O134" s="94">
        <v>7.8</v>
      </c>
      <c r="P134" s="101">
        <v>77.78</v>
      </c>
      <c r="Q134" s="102"/>
      <c r="R134" s="103">
        <f t="shared" si="1"/>
        <v>315838.71</v>
      </c>
      <c r="S134" s="103">
        <f t="shared" si="2"/>
        <v>85096.44</v>
      </c>
      <c r="T134" s="103">
        <f t="shared" si="3"/>
        <v>5004.153</v>
      </c>
      <c r="U134" s="103">
        <f t="shared" si="4"/>
        <v>5176.413</v>
      </c>
      <c r="V134" s="103">
        <f t="shared" si="5"/>
        <v>124199.46</v>
      </c>
      <c r="W134" s="103">
        <f t="shared" si="6"/>
        <v>67181.4</v>
      </c>
      <c r="X134" s="103">
        <f t="shared" si="7"/>
        <v>669919.14</v>
      </c>
    </row>
    <row r="135" ht="12.0" customHeight="1">
      <c r="A1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35" s="87" t="str">
        <f>IFERROR(__xludf.DUMMYFUNCTION("IFERROR(IF(F135&lt;&gt;"""",""WHSE ""&amp;LEFT(F135,1),REGEXEXTRACT(E135,""-(?:\d{2}-)?([A-Z]+)"")),"""")
"),"WHSE A")</f>
        <v>WHSE A</v>
      </c>
      <c r="C135" s="88">
        <v>45612.0</v>
      </c>
      <c r="D135" s="89" t="s">
        <v>79</v>
      </c>
      <c r="E135" s="90" t="s">
        <v>207</v>
      </c>
      <c r="F135" s="90" t="s">
        <v>208</v>
      </c>
      <c r="G135" s="98" t="s">
        <v>209</v>
      </c>
      <c r="H135" s="92">
        <v>30611.0</v>
      </c>
      <c r="I135" s="99">
        <v>547.0</v>
      </c>
      <c r="J135" s="94">
        <v>37.2</v>
      </c>
      <c r="K135" s="100">
        <v>4.38</v>
      </c>
      <c r="L135" s="100">
        <v>0.588</v>
      </c>
      <c r="M135" s="100">
        <v>0.608</v>
      </c>
      <c r="N135" s="101">
        <v>20.66</v>
      </c>
      <c r="O135" s="94">
        <v>10.23</v>
      </c>
      <c r="P135" s="101">
        <v>69.11</v>
      </c>
      <c r="Q135" s="102"/>
      <c r="R135" s="103">
        <f t="shared" si="1"/>
        <v>1138729.2</v>
      </c>
      <c r="S135" s="103">
        <f t="shared" si="2"/>
        <v>134076.18</v>
      </c>
      <c r="T135" s="103">
        <f t="shared" si="3"/>
        <v>17999.268</v>
      </c>
      <c r="U135" s="103">
        <f t="shared" si="4"/>
        <v>18611.488</v>
      </c>
      <c r="V135" s="103">
        <f t="shared" si="5"/>
        <v>632423.26</v>
      </c>
      <c r="W135" s="103">
        <f t="shared" si="6"/>
        <v>313150.53</v>
      </c>
      <c r="X135" s="103">
        <f t="shared" si="7"/>
        <v>2115526.21</v>
      </c>
    </row>
    <row r="136" ht="12.0" customHeight="1">
      <c r="A1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" s="87" t="str">
        <f>IFERROR(__xludf.DUMMYFUNCTION("IFERROR(IF(F136&lt;&gt;"""",""WHSE ""&amp;LEFT(F136,1),REGEXEXTRACT(E136,""-(?:\d{2}-)?([A-Z]+)"")),"""")
"),"WHSE A")</f>
        <v>WHSE A</v>
      </c>
      <c r="C136" s="88">
        <v>45614.0</v>
      </c>
      <c r="D136" s="89" t="s">
        <v>72</v>
      </c>
      <c r="E136" s="90" t="s">
        <v>210</v>
      </c>
      <c r="F136" s="90" t="s">
        <v>211</v>
      </c>
      <c r="G136" s="98" t="s">
        <v>77</v>
      </c>
      <c r="H136" s="92">
        <v>17630.0</v>
      </c>
      <c r="I136" s="99">
        <v>444.0</v>
      </c>
      <c r="J136" s="94">
        <v>11.27</v>
      </c>
      <c r="K136" s="100">
        <v>2.28</v>
      </c>
      <c r="L136" s="100">
        <v>0.571</v>
      </c>
      <c r="M136" s="100">
        <v>0.591</v>
      </c>
      <c r="N136" s="101">
        <v>11.27</v>
      </c>
      <c r="O136" s="94">
        <v>1.98</v>
      </c>
      <c r="P136" s="101">
        <v>86.75</v>
      </c>
      <c r="Q136" s="102"/>
      <c r="R136" s="103">
        <f t="shared" si="1"/>
        <v>198690.1</v>
      </c>
      <c r="S136" s="103">
        <f t="shared" si="2"/>
        <v>40196.4</v>
      </c>
      <c r="T136" s="103">
        <f t="shared" si="3"/>
        <v>10066.73</v>
      </c>
      <c r="U136" s="103">
        <f t="shared" si="4"/>
        <v>10419.33</v>
      </c>
      <c r="V136" s="103">
        <f t="shared" si="5"/>
        <v>198690.1</v>
      </c>
      <c r="W136" s="103">
        <f t="shared" si="6"/>
        <v>34907.4</v>
      </c>
      <c r="X136" s="103">
        <f t="shared" si="7"/>
        <v>1529402.5</v>
      </c>
    </row>
    <row r="137" ht="12.0" customHeight="1">
      <c r="A1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" s="87" t="str">
        <f>IFERROR(__xludf.DUMMYFUNCTION("IFERROR(IF(F137&lt;&gt;"""",""WHSE ""&amp;LEFT(F137,1),REGEXEXTRACT(E137,""-(?:\d{2}-)?([A-Z]+)"")),"""")
"),"WHSE A")</f>
        <v>WHSE A</v>
      </c>
      <c r="C137" s="88">
        <v>45616.0</v>
      </c>
      <c r="D137" s="89" t="s">
        <v>72</v>
      </c>
      <c r="E137" s="90" t="s">
        <v>210</v>
      </c>
      <c r="F137" s="90" t="s">
        <v>211</v>
      </c>
      <c r="G137" s="98" t="s">
        <v>73</v>
      </c>
      <c r="H137" s="92">
        <v>17545.0</v>
      </c>
      <c r="I137" s="99">
        <v>428.0</v>
      </c>
      <c r="J137" s="94">
        <v>11.47</v>
      </c>
      <c r="K137" s="100">
        <v>2.58</v>
      </c>
      <c r="L137" s="100">
        <v>0.575</v>
      </c>
      <c r="M137" s="100">
        <v>0.595</v>
      </c>
      <c r="N137" s="101">
        <v>12.48</v>
      </c>
      <c r="O137" s="94">
        <v>2.56</v>
      </c>
      <c r="P137" s="101">
        <v>84.96</v>
      </c>
      <c r="Q137" s="102"/>
      <c r="R137" s="103">
        <f t="shared" si="1"/>
        <v>201241.15</v>
      </c>
      <c r="S137" s="103">
        <f t="shared" si="2"/>
        <v>45266.1</v>
      </c>
      <c r="T137" s="103">
        <f t="shared" si="3"/>
        <v>10088.375</v>
      </c>
      <c r="U137" s="103">
        <f t="shared" si="4"/>
        <v>10439.275</v>
      </c>
      <c r="V137" s="103">
        <f t="shared" si="5"/>
        <v>218961.6</v>
      </c>
      <c r="W137" s="103">
        <f t="shared" si="6"/>
        <v>44915.2</v>
      </c>
      <c r="X137" s="103">
        <f t="shared" si="7"/>
        <v>1490623.2</v>
      </c>
    </row>
    <row r="138" ht="12.0" customHeight="1">
      <c r="A1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" s="87" t="str">
        <f>IFERROR(__xludf.DUMMYFUNCTION("IFERROR(IF(F138&lt;&gt;"""",""WHSE ""&amp;LEFT(F138,1),REGEXEXTRACT(E138,""-(?:\d{2}-)?([A-Z]+)"")),"""")
"),"WHSE A")</f>
        <v>WHSE A</v>
      </c>
      <c r="C138" s="88">
        <v>45618.0</v>
      </c>
      <c r="D138" s="89" t="s">
        <v>72</v>
      </c>
      <c r="E138" s="90" t="s">
        <v>210</v>
      </c>
      <c r="F138" s="90" t="s">
        <v>211</v>
      </c>
      <c r="G138" s="98" t="s">
        <v>77</v>
      </c>
      <c r="H138" s="92">
        <v>18380.0</v>
      </c>
      <c r="I138" s="99">
        <v>447.0</v>
      </c>
      <c r="J138" s="94">
        <v>12.0</v>
      </c>
      <c r="K138" s="100">
        <v>2.94</v>
      </c>
      <c r="L138" s="100">
        <v>0.578</v>
      </c>
      <c r="M138" s="100">
        <v>0.598</v>
      </c>
      <c r="N138" s="101">
        <v>11.94</v>
      </c>
      <c r="O138" s="94">
        <v>3.79</v>
      </c>
      <c r="P138" s="101">
        <v>84.27</v>
      </c>
      <c r="Q138" s="102"/>
      <c r="R138" s="103">
        <f t="shared" si="1"/>
        <v>220560</v>
      </c>
      <c r="S138" s="103">
        <f t="shared" si="2"/>
        <v>54037.2</v>
      </c>
      <c r="T138" s="103">
        <f t="shared" si="3"/>
        <v>10623.64</v>
      </c>
      <c r="U138" s="103">
        <f t="shared" si="4"/>
        <v>10991.24</v>
      </c>
      <c r="V138" s="103">
        <f t="shared" si="5"/>
        <v>219457.2</v>
      </c>
      <c r="W138" s="103">
        <f t="shared" si="6"/>
        <v>69660.2</v>
      </c>
      <c r="X138" s="103">
        <f t="shared" si="7"/>
        <v>1548882.6</v>
      </c>
    </row>
    <row r="139" ht="12.0" customHeight="1">
      <c r="A1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39" s="87" t="str">
        <f>IFERROR(__xludf.DUMMYFUNCTION("IFERROR(IF(F139&lt;&gt;"""",""WHSE ""&amp;LEFT(F139,1),REGEXEXTRACT(E139,""-(?:\d{2}-)?([A-Z]+)"")),"""")
"),"WHSE A")</f>
        <v>WHSE A</v>
      </c>
      <c r="C139" s="88">
        <v>45618.0</v>
      </c>
      <c r="D139" s="89" t="s">
        <v>79</v>
      </c>
      <c r="E139" s="90" t="s">
        <v>207</v>
      </c>
      <c r="F139" s="90" t="s">
        <v>208</v>
      </c>
      <c r="G139" s="98" t="s">
        <v>212</v>
      </c>
      <c r="H139" s="92">
        <v>29571.0</v>
      </c>
      <c r="I139" s="99">
        <v>568.0</v>
      </c>
      <c r="J139" s="94">
        <v>37.07</v>
      </c>
      <c r="K139" s="100">
        <v>3.68</v>
      </c>
      <c r="L139" s="100">
        <v>0.585</v>
      </c>
      <c r="M139" s="100">
        <v>0.605</v>
      </c>
      <c r="N139" s="101">
        <v>11.87</v>
      </c>
      <c r="O139" s="94">
        <v>9.61</v>
      </c>
      <c r="P139" s="101">
        <v>78.52</v>
      </c>
      <c r="Q139" s="89" t="s">
        <v>213</v>
      </c>
      <c r="R139" s="86">
        <f t="shared" si="1"/>
        <v>1096196.97</v>
      </c>
      <c r="S139" s="86">
        <f t="shared" si="2"/>
        <v>108821.28</v>
      </c>
      <c r="T139" s="86">
        <f t="shared" si="3"/>
        <v>17299.035</v>
      </c>
      <c r="U139" s="86">
        <f t="shared" si="4"/>
        <v>17890.455</v>
      </c>
      <c r="V139" s="86">
        <f t="shared" si="5"/>
        <v>351007.77</v>
      </c>
      <c r="W139" s="86">
        <f t="shared" si="6"/>
        <v>284177.31</v>
      </c>
      <c r="X139" s="86">
        <f t="shared" si="7"/>
        <v>2321914.92</v>
      </c>
    </row>
    <row r="140" ht="12.0" customHeight="1">
      <c r="A1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" s="87" t="str">
        <f>IFERROR(__xludf.DUMMYFUNCTION("IFERROR(IF(F140&lt;&gt;"""",""WHSE ""&amp;LEFT(F140,1),REGEXEXTRACT(E140,""-(?:\d{2}-)?([A-Z]+)"")),"""")
"),"WHSE A")</f>
        <v>WHSE A</v>
      </c>
      <c r="C140" s="88">
        <v>45621.0</v>
      </c>
      <c r="D140" s="89" t="s">
        <v>72</v>
      </c>
      <c r="E140" s="90" t="s">
        <v>214</v>
      </c>
      <c r="F140" s="90" t="s">
        <v>215</v>
      </c>
      <c r="G140" s="98" t="s">
        <v>73</v>
      </c>
      <c r="H140" s="92">
        <v>18150.0</v>
      </c>
      <c r="I140" s="99">
        <v>472.0</v>
      </c>
      <c r="J140" s="94">
        <v>10.8</v>
      </c>
      <c r="K140" s="100">
        <v>2.47</v>
      </c>
      <c r="L140" s="100">
        <v>0.575</v>
      </c>
      <c r="M140" s="100">
        <v>0.595</v>
      </c>
      <c r="N140" s="101">
        <v>12.7</v>
      </c>
      <c r="O140" s="94">
        <v>1.59</v>
      </c>
      <c r="P140" s="101">
        <v>85.71</v>
      </c>
      <c r="Q140" s="102"/>
      <c r="R140" s="103">
        <f t="shared" si="1"/>
        <v>196020</v>
      </c>
      <c r="S140" s="103">
        <f t="shared" si="2"/>
        <v>44830.5</v>
      </c>
      <c r="T140" s="103">
        <f t="shared" si="3"/>
        <v>10436.25</v>
      </c>
      <c r="U140" s="103">
        <f t="shared" si="4"/>
        <v>10799.25</v>
      </c>
      <c r="V140" s="103">
        <f t="shared" si="5"/>
        <v>230505</v>
      </c>
      <c r="W140" s="103">
        <f t="shared" si="6"/>
        <v>28858.5</v>
      </c>
      <c r="X140" s="103">
        <f t="shared" si="7"/>
        <v>1555636.5</v>
      </c>
    </row>
    <row r="141" ht="12.0" customHeight="1">
      <c r="A1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41" s="87" t="str">
        <f>IFERROR(__xludf.DUMMYFUNCTION("IFERROR(IF(F141&lt;&gt;"""",""WHSE ""&amp;LEFT(F141,1),REGEXEXTRACT(E141,""-(?:\d{2}-)?([A-Z]+)"")),"""")
"),"WHSE A")</f>
        <v>WHSE A</v>
      </c>
      <c r="C141" s="88">
        <v>45622.0</v>
      </c>
      <c r="D141" s="89" t="s">
        <v>79</v>
      </c>
      <c r="E141" s="90" t="s">
        <v>216</v>
      </c>
      <c r="F141" s="90" t="s">
        <v>217</v>
      </c>
      <c r="G141" s="98" t="s">
        <v>218</v>
      </c>
      <c r="H141" s="92">
        <v>27242.0</v>
      </c>
      <c r="I141" s="99">
        <v>515.0</v>
      </c>
      <c r="J141" s="94">
        <v>38.6</v>
      </c>
      <c r="K141" s="100">
        <v>5.1</v>
      </c>
      <c r="L141" s="100">
        <v>0.578</v>
      </c>
      <c r="M141" s="100">
        <v>0.598</v>
      </c>
      <c r="N141" s="101">
        <v>15.35</v>
      </c>
      <c r="O141" s="94">
        <v>10.62</v>
      </c>
      <c r="P141" s="101">
        <v>74.03</v>
      </c>
      <c r="Q141" s="89" t="s">
        <v>219</v>
      </c>
      <c r="R141" s="86">
        <f t="shared" si="1"/>
        <v>1051541.2</v>
      </c>
      <c r="S141" s="86">
        <f t="shared" si="2"/>
        <v>138934.2</v>
      </c>
      <c r="T141" s="86">
        <f t="shared" si="3"/>
        <v>15745.876</v>
      </c>
      <c r="U141" s="86">
        <f t="shared" si="4"/>
        <v>16290.716</v>
      </c>
      <c r="V141" s="86">
        <f t="shared" si="5"/>
        <v>418164.7</v>
      </c>
      <c r="W141" s="86">
        <f t="shared" si="6"/>
        <v>289310.04</v>
      </c>
      <c r="X141" s="86">
        <f t="shared" si="7"/>
        <v>2016725.26</v>
      </c>
    </row>
    <row r="142" ht="12.0" customHeight="1">
      <c r="A1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42" s="87" t="str">
        <f>IFERROR(__xludf.DUMMYFUNCTION("IFERROR(IF(F142&lt;&gt;"""",""WHSE ""&amp;LEFT(F142,1),REGEXEXTRACT(E142,""-(?:\d{2}-)?([A-Z]+)"")),"""")
"),"WHSE A")</f>
        <v>WHSE A</v>
      </c>
      <c r="C142" s="88">
        <v>45622.0</v>
      </c>
      <c r="D142" s="89" t="s">
        <v>79</v>
      </c>
      <c r="E142" s="90" t="s">
        <v>216</v>
      </c>
      <c r="F142" s="90" t="s">
        <v>217</v>
      </c>
      <c r="G142" s="98" t="s">
        <v>220</v>
      </c>
      <c r="H142" s="92">
        <v>36069.0</v>
      </c>
      <c r="I142" s="99">
        <v>810.0</v>
      </c>
      <c r="J142" s="94">
        <v>39.14</v>
      </c>
      <c r="K142" s="100">
        <v>4.78</v>
      </c>
      <c r="L142" s="100">
        <v>0.581</v>
      </c>
      <c r="M142" s="100">
        <v>0.601</v>
      </c>
      <c r="N142" s="101">
        <v>14.8</v>
      </c>
      <c r="O142" s="94">
        <v>9.0</v>
      </c>
      <c r="P142" s="101">
        <v>76.2</v>
      </c>
      <c r="Q142" s="89" t="s">
        <v>221</v>
      </c>
      <c r="R142" s="86">
        <f t="shared" si="1"/>
        <v>1411740.66</v>
      </c>
      <c r="S142" s="86">
        <f t="shared" si="2"/>
        <v>172409.82</v>
      </c>
      <c r="T142" s="86">
        <f t="shared" si="3"/>
        <v>20956.089</v>
      </c>
      <c r="U142" s="86">
        <f t="shared" si="4"/>
        <v>21677.469</v>
      </c>
      <c r="V142" s="86">
        <f t="shared" si="5"/>
        <v>533821.2</v>
      </c>
      <c r="W142" s="86">
        <f t="shared" si="6"/>
        <v>324621</v>
      </c>
      <c r="X142" s="86">
        <f t="shared" si="7"/>
        <v>2748457.8</v>
      </c>
    </row>
    <row r="143" ht="12.0" customHeight="1">
      <c r="A1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3" s="87" t="str">
        <f>IFERROR(__xludf.DUMMYFUNCTION("IFERROR(IF(F143&lt;&gt;"""",""WHSE ""&amp;LEFT(F143,1),REGEXEXTRACT(E143,""-(?:\d{2}-)?([A-Z]+)"")),"""")
"),"WHSE A")</f>
        <v>WHSE A</v>
      </c>
      <c r="C143" s="88">
        <v>45623.0</v>
      </c>
      <c r="D143" s="89" t="s">
        <v>72</v>
      </c>
      <c r="E143" s="90" t="s">
        <v>214</v>
      </c>
      <c r="F143" s="90" t="s">
        <v>215</v>
      </c>
      <c r="G143" s="98" t="s">
        <v>73</v>
      </c>
      <c r="H143" s="92">
        <v>18245.0</v>
      </c>
      <c r="I143" s="99">
        <v>453.0</v>
      </c>
      <c r="J143" s="94">
        <v>11.74</v>
      </c>
      <c r="K143" s="100">
        <v>2.17</v>
      </c>
      <c r="L143" s="100">
        <v>0.571</v>
      </c>
      <c r="M143" s="100">
        <v>0.591</v>
      </c>
      <c r="N143" s="101">
        <v>12.9</v>
      </c>
      <c r="O143" s="94">
        <v>1.23</v>
      </c>
      <c r="P143" s="101">
        <v>85.87</v>
      </c>
      <c r="Q143" s="102"/>
      <c r="R143" s="103">
        <f t="shared" si="1"/>
        <v>214196.3</v>
      </c>
      <c r="S143" s="103">
        <f t="shared" si="2"/>
        <v>39591.65</v>
      </c>
      <c r="T143" s="103">
        <f t="shared" si="3"/>
        <v>10417.895</v>
      </c>
      <c r="U143" s="103">
        <f t="shared" si="4"/>
        <v>10782.795</v>
      </c>
      <c r="V143" s="103">
        <f t="shared" si="5"/>
        <v>235360.5</v>
      </c>
      <c r="W143" s="103">
        <f t="shared" si="6"/>
        <v>22441.35</v>
      </c>
      <c r="X143" s="103">
        <f t="shared" si="7"/>
        <v>1566698.15</v>
      </c>
    </row>
    <row r="144" ht="12.0" customHeight="1">
      <c r="A1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4" s="87" t="str">
        <f>IFERROR(__xludf.DUMMYFUNCTION("IFERROR(IF(F144&lt;&gt;"""",""WHSE ""&amp;LEFT(F144,1),REGEXEXTRACT(E144,""-(?:\d{2}-)?([A-Z]+)"")),"""")
"),"WHSE A")</f>
        <v>WHSE A</v>
      </c>
      <c r="C144" s="88">
        <v>45624.0</v>
      </c>
      <c r="D144" s="89" t="s">
        <v>72</v>
      </c>
      <c r="E144" s="90" t="s">
        <v>214</v>
      </c>
      <c r="F144" s="90" t="s">
        <v>215</v>
      </c>
      <c r="G144" s="98" t="s">
        <v>73</v>
      </c>
      <c r="H144" s="92">
        <v>18960.0</v>
      </c>
      <c r="I144" s="99">
        <v>447.0</v>
      </c>
      <c r="J144" s="94">
        <v>11.87</v>
      </c>
      <c r="K144" s="100">
        <v>2.49</v>
      </c>
      <c r="L144" s="100">
        <v>0.575</v>
      </c>
      <c r="M144" s="100">
        <v>0.595</v>
      </c>
      <c r="N144" s="101">
        <v>13.79</v>
      </c>
      <c r="O144" s="94">
        <v>2.58</v>
      </c>
      <c r="P144" s="101">
        <v>83.63</v>
      </c>
      <c r="Q144" s="102"/>
      <c r="R144" s="103">
        <f t="shared" si="1"/>
        <v>225055.2</v>
      </c>
      <c r="S144" s="103">
        <f t="shared" si="2"/>
        <v>47210.4</v>
      </c>
      <c r="T144" s="103">
        <f t="shared" si="3"/>
        <v>10902</v>
      </c>
      <c r="U144" s="103">
        <f t="shared" si="4"/>
        <v>11281.2</v>
      </c>
      <c r="V144" s="103">
        <f t="shared" si="5"/>
        <v>261458.4</v>
      </c>
      <c r="W144" s="103">
        <f t="shared" si="6"/>
        <v>48916.8</v>
      </c>
      <c r="X144" s="103">
        <f t="shared" si="7"/>
        <v>1585624.8</v>
      </c>
    </row>
    <row r="145" ht="12.0" customHeight="1">
      <c r="A1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5" s="87" t="str">
        <f>IFERROR(__xludf.DUMMYFUNCTION("IFERROR(IF(F145&lt;&gt;"""",""WHSE ""&amp;LEFT(F145,1),REGEXEXTRACT(E145,""-(?:\d{2}-)?([A-Z]+)"")),"""")
"),"WHSE A")</f>
        <v>WHSE A</v>
      </c>
      <c r="C145" s="88">
        <v>45625.0</v>
      </c>
      <c r="D145" s="89" t="s">
        <v>72</v>
      </c>
      <c r="E145" s="90" t="s">
        <v>214</v>
      </c>
      <c r="F145" s="90" t="s">
        <v>215</v>
      </c>
      <c r="G145" s="98" t="s">
        <v>77</v>
      </c>
      <c r="H145" s="92">
        <v>18060.0</v>
      </c>
      <c r="I145" s="99">
        <v>461.0</v>
      </c>
      <c r="J145" s="94">
        <v>11.87</v>
      </c>
      <c r="K145" s="100">
        <v>2.64</v>
      </c>
      <c r="L145" s="100">
        <v>0.575</v>
      </c>
      <c r="M145" s="100">
        <v>0.595</v>
      </c>
      <c r="N145" s="101">
        <v>14.26</v>
      </c>
      <c r="O145" s="94">
        <v>2.79</v>
      </c>
      <c r="P145" s="101">
        <v>82.95</v>
      </c>
      <c r="Q145" s="102"/>
      <c r="R145" s="103">
        <f t="shared" si="1"/>
        <v>214372.2</v>
      </c>
      <c r="S145" s="103">
        <f t="shared" si="2"/>
        <v>47678.4</v>
      </c>
      <c r="T145" s="103">
        <f t="shared" si="3"/>
        <v>10384.5</v>
      </c>
      <c r="U145" s="103">
        <f t="shared" si="4"/>
        <v>10745.7</v>
      </c>
      <c r="V145" s="103">
        <f t="shared" si="5"/>
        <v>257535.6</v>
      </c>
      <c r="W145" s="103">
        <f t="shared" si="6"/>
        <v>50387.4</v>
      </c>
      <c r="X145" s="103">
        <f t="shared" si="7"/>
        <v>1498077</v>
      </c>
    </row>
    <row r="146" ht="12.0" customHeight="1">
      <c r="A1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6" s="87" t="str">
        <f>IFERROR(__xludf.DUMMYFUNCTION("IFERROR(IF(F146&lt;&gt;"""",""WHSE ""&amp;LEFT(F146,1),REGEXEXTRACT(E146,""-(?:\d{2}-)?([A-Z]+)"")),"""")
"),"WHSE A")</f>
        <v>WHSE A</v>
      </c>
      <c r="C146" s="88">
        <v>45629.0</v>
      </c>
      <c r="D146" s="89" t="s">
        <v>72</v>
      </c>
      <c r="E146" s="90" t="s">
        <v>222</v>
      </c>
      <c r="F146" s="90" t="s">
        <v>223</v>
      </c>
      <c r="G146" s="98" t="s">
        <v>73</v>
      </c>
      <c r="H146" s="92">
        <v>18905.0</v>
      </c>
      <c r="I146" s="99">
        <v>470.0</v>
      </c>
      <c r="J146" s="94">
        <v>11.67</v>
      </c>
      <c r="K146" s="100">
        <v>2.37</v>
      </c>
      <c r="L146" s="100">
        <v>0.571</v>
      </c>
      <c r="M146" s="100">
        <v>0.591</v>
      </c>
      <c r="N146" s="101">
        <v>14.11</v>
      </c>
      <c r="O146" s="94">
        <v>2.54</v>
      </c>
      <c r="P146" s="101">
        <v>83.35</v>
      </c>
      <c r="Q146" s="102"/>
      <c r="R146" s="103">
        <f t="shared" si="1"/>
        <v>220621.35</v>
      </c>
      <c r="S146" s="103">
        <f t="shared" si="2"/>
        <v>44804.85</v>
      </c>
      <c r="T146" s="103">
        <f t="shared" si="3"/>
        <v>10794.755</v>
      </c>
      <c r="U146" s="103">
        <f t="shared" si="4"/>
        <v>11172.855</v>
      </c>
      <c r="V146" s="103">
        <f t="shared" si="5"/>
        <v>266749.55</v>
      </c>
      <c r="W146" s="103">
        <f t="shared" si="6"/>
        <v>48018.7</v>
      </c>
      <c r="X146" s="103">
        <f t="shared" si="7"/>
        <v>1575731.75</v>
      </c>
    </row>
    <row r="147" ht="12.0" customHeight="1">
      <c r="A1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7" s="87" t="str">
        <f>IFERROR(__xludf.DUMMYFUNCTION("IFERROR(IF(F147&lt;&gt;"""",""WHSE ""&amp;LEFT(F147,1),REGEXEXTRACT(E147,""-(?:\d{2}-)?([A-Z]+)"")),"""")
"),"WHSE A")</f>
        <v>WHSE A</v>
      </c>
      <c r="C147" s="88">
        <v>45630.0</v>
      </c>
      <c r="D147" s="89" t="s">
        <v>72</v>
      </c>
      <c r="E147" s="90" t="s">
        <v>222</v>
      </c>
      <c r="F147" s="90" t="s">
        <v>223</v>
      </c>
      <c r="G147" s="98" t="s">
        <v>77</v>
      </c>
      <c r="H147" s="92">
        <v>15885.0</v>
      </c>
      <c r="I147" s="99">
        <v>432.0</v>
      </c>
      <c r="J147" s="94">
        <v>11.34</v>
      </c>
      <c r="K147" s="100">
        <v>2.72</v>
      </c>
      <c r="L147" s="100">
        <v>0.575</v>
      </c>
      <c r="M147" s="100">
        <v>0.595</v>
      </c>
      <c r="N147" s="101">
        <v>12.34</v>
      </c>
      <c r="O147" s="94">
        <v>1.63</v>
      </c>
      <c r="P147" s="101">
        <v>86.03</v>
      </c>
      <c r="Q147" s="102"/>
      <c r="R147" s="103">
        <f t="shared" si="1"/>
        <v>180135.9</v>
      </c>
      <c r="S147" s="103">
        <f t="shared" si="2"/>
        <v>43207.2</v>
      </c>
      <c r="T147" s="103">
        <f t="shared" si="3"/>
        <v>9133.875</v>
      </c>
      <c r="U147" s="103">
        <f t="shared" si="4"/>
        <v>9451.575</v>
      </c>
      <c r="V147" s="103">
        <f t="shared" si="5"/>
        <v>196020.9</v>
      </c>
      <c r="W147" s="103">
        <f t="shared" si="6"/>
        <v>25892.55</v>
      </c>
      <c r="X147" s="103">
        <f t="shared" si="7"/>
        <v>1366586.55</v>
      </c>
    </row>
    <row r="148" ht="12.0" customHeight="1">
      <c r="A1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8" s="87" t="str">
        <f>IFERROR(__xludf.DUMMYFUNCTION("IFERROR(IF(F148&lt;&gt;"""",""WHSE ""&amp;LEFT(F148,1),REGEXEXTRACT(E148,""-(?:\d{2}-)?([A-Z]+)"")),"""")
"),"WHSE A")</f>
        <v>WHSE A</v>
      </c>
      <c r="C148" s="88">
        <v>45633.0</v>
      </c>
      <c r="D148" s="89" t="s">
        <v>72</v>
      </c>
      <c r="E148" s="90" t="s">
        <v>222</v>
      </c>
      <c r="F148" s="90" t="s">
        <v>223</v>
      </c>
      <c r="G148" s="98" t="s">
        <v>73</v>
      </c>
      <c r="H148" s="92">
        <v>19125.0</v>
      </c>
      <c r="I148" s="99">
        <v>491.0</v>
      </c>
      <c r="J148" s="94">
        <v>12.0</v>
      </c>
      <c r="K148" s="100">
        <v>2.16</v>
      </c>
      <c r="L148" s="100">
        <v>0.575</v>
      </c>
      <c r="M148" s="100">
        <v>0.595</v>
      </c>
      <c r="N148" s="101">
        <v>12.6</v>
      </c>
      <c r="O148" s="94">
        <v>1.55</v>
      </c>
      <c r="P148" s="101">
        <v>85.85</v>
      </c>
      <c r="Q148" s="102"/>
      <c r="R148" s="103">
        <f t="shared" si="1"/>
        <v>229500</v>
      </c>
      <c r="S148" s="103">
        <f t="shared" si="2"/>
        <v>41310</v>
      </c>
      <c r="T148" s="103">
        <f t="shared" si="3"/>
        <v>10996.875</v>
      </c>
      <c r="U148" s="103">
        <f t="shared" si="4"/>
        <v>11379.375</v>
      </c>
      <c r="V148" s="103">
        <f t="shared" si="5"/>
        <v>240975</v>
      </c>
      <c r="W148" s="103">
        <f t="shared" si="6"/>
        <v>29643.75</v>
      </c>
      <c r="X148" s="103">
        <f t="shared" si="7"/>
        <v>1641881.25</v>
      </c>
    </row>
    <row r="149" ht="12.0" customHeight="1">
      <c r="A1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9" s="87" t="str">
        <f>IFERROR(__xludf.DUMMYFUNCTION("IFERROR(IF(F149&lt;&gt;"""",""WHSE ""&amp;LEFT(F149,1),REGEXEXTRACT(E149,""-(?:\d{2}-)?([A-Z]+)"")),"""")
"),"WHSE A")</f>
        <v>WHSE A</v>
      </c>
      <c r="C149" s="88">
        <v>45635.0</v>
      </c>
      <c r="D149" s="89" t="s">
        <v>72</v>
      </c>
      <c r="E149" s="90" t="s">
        <v>224</v>
      </c>
      <c r="F149" s="90" t="s">
        <v>225</v>
      </c>
      <c r="G149" s="98" t="s">
        <v>77</v>
      </c>
      <c r="H149" s="92">
        <v>18375.0</v>
      </c>
      <c r="I149" s="99">
        <v>480.0</v>
      </c>
      <c r="J149" s="94">
        <v>11.34</v>
      </c>
      <c r="K149" s="100">
        <v>2.71</v>
      </c>
      <c r="L149" s="100">
        <v>0.571</v>
      </c>
      <c r="M149" s="100">
        <v>0.591</v>
      </c>
      <c r="N149" s="101">
        <v>12.4</v>
      </c>
      <c r="O149" s="94">
        <v>1.27</v>
      </c>
      <c r="P149" s="101">
        <v>86.33</v>
      </c>
      <c r="Q149" s="102"/>
      <c r="R149" s="103">
        <f t="shared" si="1"/>
        <v>208372.5</v>
      </c>
      <c r="S149" s="103">
        <f t="shared" si="2"/>
        <v>49796.25</v>
      </c>
      <c r="T149" s="103">
        <f t="shared" si="3"/>
        <v>10492.125</v>
      </c>
      <c r="U149" s="103">
        <f t="shared" si="4"/>
        <v>10859.625</v>
      </c>
      <c r="V149" s="103">
        <f t="shared" si="5"/>
        <v>227850</v>
      </c>
      <c r="W149" s="103">
        <f t="shared" si="6"/>
        <v>23336.25</v>
      </c>
      <c r="X149" s="103">
        <f t="shared" si="7"/>
        <v>1586313.75</v>
      </c>
    </row>
    <row r="150" ht="12.0" customHeight="1">
      <c r="A1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0" s="87" t="str">
        <f>IFERROR(__xludf.DUMMYFUNCTION("IFERROR(IF(F150&lt;&gt;"""",""WHSE ""&amp;LEFT(F150,1),REGEXEXTRACT(E150,""-(?:\d{2}-)?([A-Z]+)"")),"""")
"),"WHSE A")</f>
        <v>WHSE A</v>
      </c>
      <c r="C150" s="88">
        <v>45636.0</v>
      </c>
      <c r="D150" s="89" t="s">
        <v>72</v>
      </c>
      <c r="E150" s="90" t="s">
        <v>224</v>
      </c>
      <c r="F150" s="90" t="s">
        <v>225</v>
      </c>
      <c r="G150" s="98" t="s">
        <v>73</v>
      </c>
      <c r="H150" s="92">
        <v>17860.0</v>
      </c>
      <c r="I150" s="99">
        <v>434.0</v>
      </c>
      <c r="J150" s="94">
        <v>11.54</v>
      </c>
      <c r="K150" s="100">
        <v>2.68</v>
      </c>
      <c r="L150" s="100">
        <v>0.575</v>
      </c>
      <c r="M150" s="100">
        <v>0.595</v>
      </c>
      <c r="N150" s="101">
        <v>13.52</v>
      </c>
      <c r="O150" s="94">
        <v>2.43</v>
      </c>
      <c r="P150" s="101">
        <v>84.05</v>
      </c>
      <c r="Q150" s="102"/>
      <c r="R150" s="103">
        <f t="shared" si="1"/>
        <v>206104.4</v>
      </c>
      <c r="S150" s="103">
        <f t="shared" si="2"/>
        <v>47864.8</v>
      </c>
      <c r="T150" s="103">
        <f t="shared" si="3"/>
        <v>10269.5</v>
      </c>
      <c r="U150" s="103">
        <f t="shared" si="4"/>
        <v>10626.7</v>
      </c>
      <c r="V150" s="103">
        <f t="shared" si="5"/>
        <v>241467.2</v>
      </c>
      <c r="W150" s="103">
        <f t="shared" si="6"/>
        <v>43399.8</v>
      </c>
      <c r="X150" s="103">
        <f t="shared" si="7"/>
        <v>1501133</v>
      </c>
    </row>
    <row r="151" ht="12.0" customHeight="1">
      <c r="A1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1" s="87" t="str">
        <f>IFERROR(__xludf.DUMMYFUNCTION("IFERROR(IF(F151&lt;&gt;"""",""WHSE ""&amp;LEFT(F151,1),REGEXEXTRACT(E151,""-(?:\d{2}-)?([A-Z]+)"")),"""")
"),"WHSE A")</f>
        <v>WHSE A</v>
      </c>
      <c r="C151" s="88">
        <v>45637.0</v>
      </c>
      <c r="D151" s="89" t="s">
        <v>72</v>
      </c>
      <c r="E151" s="90" t="s">
        <v>224</v>
      </c>
      <c r="F151" s="90" t="s">
        <v>225</v>
      </c>
      <c r="G151" s="98" t="s">
        <v>77</v>
      </c>
      <c r="H151" s="92">
        <v>17835.0</v>
      </c>
      <c r="I151" s="99">
        <v>423.0</v>
      </c>
      <c r="J151" s="94">
        <v>11.6</v>
      </c>
      <c r="K151" s="100">
        <v>2.31</v>
      </c>
      <c r="L151" s="100">
        <v>0.578</v>
      </c>
      <c r="M151" s="100">
        <v>0.598</v>
      </c>
      <c r="N151" s="101">
        <v>12.07</v>
      </c>
      <c r="O151" s="94">
        <v>1.63</v>
      </c>
      <c r="P151" s="101">
        <v>86.3</v>
      </c>
      <c r="Q151" s="102"/>
      <c r="R151" s="103">
        <f t="shared" si="1"/>
        <v>206886</v>
      </c>
      <c r="S151" s="103">
        <f t="shared" si="2"/>
        <v>41198.85</v>
      </c>
      <c r="T151" s="103">
        <f t="shared" si="3"/>
        <v>10308.63</v>
      </c>
      <c r="U151" s="103">
        <f t="shared" si="4"/>
        <v>10665.33</v>
      </c>
      <c r="V151" s="103">
        <f t="shared" si="5"/>
        <v>215268.45</v>
      </c>
      <c r="W151" s="103">
        <f t="shared" si="6"/>
        <v>29071.05</v>
      </c>
      <c r="X151" s="103">
        <f t="shared" si="7"/>
        <v>1539160.5</v>
      </c>
    </row>
    <row r="152" ht="12.0" customHeight="1">
      <c r="A1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2" s="87" t="str">
        <f>IFERROR(__xludf.DUMMYFUNCTION("IFERROR(IF(F152&lt;&gt;"""",""WHSE ""&amp;LEFT(F152,1),REGEXEXTRACT(E152,""-(?:\d{2}-)?([A-Z]+)"")),"""")
"),"")</f>
        <v/>
      </c>
      <c r="C152" s="88">
        <v>45664.0</v>
      </c>
      <c r="D152" s="89" t="s">
        <v>72</v>
      </c>
      <c r="E152" s="90" t="s">
        <v>226</v>
      </c>
      <c r="F152" s="104"/>
      <c r="G152" s="98" t="s">
        <v>77</v>
      </c>
      <c r="H152" s="92">
        <v>17573.0</v>
      </c>
      <c r="I152" s="99">
        <v>443.0</v>
      </c>
      <c r="J152" s="94">
        <v>11.8</v>
      </c>
      <c r="K152" s="100">
        <v>2.86</v>
      </c>
      <c r="L152" s="100">
        <v>0.575</v>
      </c>
      <c r="M152" s="100">
        <v>0.595</v>
      </c>
      <c r="N152" s="101">
        <v>12.39</v>
      </c>
      <c r="O152" s="94">
        <v>2.24</v>
      </c>
      <c r="P152" s="101">
        <v>85.37</v>
      </c>
      <c r="Q152" s="89" t="s">
        <v>227</v>
      </c>
      <c r="R152" s="86">
        <f t="shared" si="1"/>
        <v>207361.4</v>
      </c>
      <c r="S152" s="86">
        <f t="shared" si="2"/>
        <v>50258.78</v>
      </c>
      <c r="T152" s="86">
        <f t="shared" si="3"/>
        <v>10104.475</v>
      </c>
      <c r="U152" s="86">
        <f t="shared" si="4"/>
        <v>10455.935</v>
      </c>
      <c r="V152" s="86">
        <f t="shared" si="5"/>
        <v>217729.47</v>
      </c>
      <c r="W152" s="86">
        <f t="shared" si="6"/>
        <v>39363.52</v>
      </c>
      <c r="X152" s="86">
        <f t="shared" si="7"/>
        <v>1500207.01</v>
      </c>
    </row>
    <row r="153" ht="12.0" customHeight="1">
      <c r="A1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3" s="87" t="str">
        <f>IFERROR(__xludf.DUMMYFUNCTION("IFERROR(IF(F153&lt;&gt;"""",""WHSE ""&amp;LEFT(F153,1),REGEXEXTRACT(E153,""-(?:\d{2}-)?([A-Z]+)"")),"""")
"),"")</f>
        <v/>
      </c>
      <c r="C153" s="88">
        <v>45668.0</v>
      </c>
      <c r="D153" s="89" t="s">
        <v>72</v>
      </c>
      <c r="E153" s="90" t="s">
        <v>228</v>
      </c>
      <c r="F153" s="104"/>
      <c r="G153" s="98" t="s">
        <v>77</v>
      </c>
      <c r="H153" s="92">
        <v>17995.0</v>
      </c>
      <c r="I153" s="99">
        <v>415.0</v>
      </c>
      <c r="J153" s="94">
        <v>12.0</v>
      </c>
      <c r="K153" s="100">
        <v>2.47</v>
      </c>
      <c r="L153" s="100">
        <v>0.575</v>
      </c>
      <c r="M153" s="100">
        <v>0.595</v>
      </c>
      <c r="N153" s="101">
        <v>12.07</v>
      </c>
      <c r="O153" s="94">
        <v>3.47</v>
      </c>
      <c r="P153" s="101">
        <v>84.46</v>
      </c>
      <c r="Q153" s="89" t="s">
        <v>229</v>
      </c>
      <c r="R153" s="86">
        <f t="shared" si="1"/>
        <v>215940</v>
      </c>
      <c r="S153" s="86">
        <f t="shared" si="2"/>
        <v>44447.65</v>
      </c>
      <c r="T153" s="86">
        <f t="shared" si="3"/>
        <v>10347.125</v>
      </c>
      <c r="U153" s="86">
        <f t="shared" si="4"/>
        <v>10707.025</v>
      </c>
      <c r="V153" s="86">
        <f t="shared" si="5"/>
        <v>217199.65</v>
      </c>
      <c r="W153" s="86">
        <f t="shared" si="6"/>
        <v>62442.65</v>
      </c>
      <c r="X153" s="86">
        <f t="shared" si="7"/>
        <v>1519857.7</v>
      </c>
    </row>
    <row r="154" ht="12.0" customHeight="1">
      <c r="A1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4" s="87" t="str">
        <f>IFERROR(__xludf.DUMMYFUNCTION("IFERROR(IF(F154&lt;&gt;"""",""WHSE ""&amp;LEFT(F154,1),REGEXEXTRACT(E154,""-(?:\d{2}-)?([A-Z]+)"")),"""")
"),"")</f>
        <v/>
      </c>
      <c r="C154" s="88">
        <v>45673.0</v>
      </c>
      <c r="D154" s="89" t="s">
        <v>72</v>
      </c>
      <c r="E154" s="90" t="s">
        <v>230</v>
      </c>
      <c r="F154" s="104"/>
      <c r="G154" s="98" t="s">
        <v>73</v>
      </c>
      <c r="H154" s="92">
        <v>18440.0</v>
      </c>
      <c r="I154" s="99">
        <v>413.0</v>
      </c>
      <c r="J154" s="94">
        <v>11.94</v>
      </c>
      <c r="K154" s="100">
        <v>2.68</v>
      </c>
      <c r="L154" s="100">
        <v>0.575</v>
      </c>
      <c r="M154" s="100">
        <v>0.595</v>
      </c>
      <c r="N154" s="101">
        <v>12.14</v>
      </c>
      <c r="O154" s="94">
        <v>3.76</v>
      </c>
      <c r="P154" s="101">
        <v>84.1</v>
      </c>
      <c r="Q154" s="89" t="s">
        <v>229</v>
      </c>
      <c r="R154" s="86">
        <f t="shared" si="1"/>
        <v>220173.6</v>
      </c>
      <c r="S154" s="86">
        <f t="shared" si="2"/>
        <v>49419.2</v>
      </c>
      <c r="T154" s="86">
        <f t="shared" si="3"/>
        <v>10603</v>
      </c>
      <c r="U154" s="86">
        <f t="shared" si="4"/>
        <v>10971.8</v>
      </c>
      <c r="V154" s="86">
        <f t="shared" si="5"/>
        <v>223861.6</v>
      </c>
      <c r="W154" s="86">
        <f t="shared" si="6"/>
        <v>69334.4</v>
      </c>
      <c r="X154" s="86">
        <f t="shared" si="7"/>
        <v>1550804</v>
      </c>
    </row>
    <row r="155" ht="12.0" customHeight="1">
      <c r="A1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5" s="87" t="str">
        <f>IFERROR(__xludf.DUMMYFUNCTION("IFERROR(IF(F155&lt;&gt;"""",""WHSE ""&amp;LEFT(F155,1),REGEXEXTRACT(E155,""-(?:\d{2}-)?([A-Z]+)"")),"""")
"),"")</f>
        <v/>
      </c>
      <c r="C155" s="88">
        <v>45680.0</v>
      </c>
      <c r="D155" s="89" t="s">
        <v>72</v>
      </c>
      <c r="E155" s="90" t="s">
        <v>231</v>
      </c>
      <c r="F155" s="104"/>
      <c r="G155" s="98" t="s">
        <v>73</v>
      </c>
      <c r="H155" s="92">
        <v>17375.0</v>
      </c>
      <c r="I155" s="99">
        <v>482.0</v>
      </c>
      <c r="J155" s="94">
        <v>11.74</v>
      </c>
      <c r="K155" s="100">
        <v>2.54</v>
      </c>
      <c r="L155" s="100">
        <v>0.568</v>
      </c>
      <c r="M155" s="100">
        <v>0.588</v>
      </c>
      <c r="N155" s="101">
        <v>11.84</v>
      </c>
      <c r="O155" s="94">
        <v>4.02</v>
      </c>
      <c r="P155" s="101">
        <v>84.14</v>
      </c>
      <c r="Q155" s="89" t="s">
        <v>229</v>
      </c>
      <c r="R155" s="86">
        <f t="shared" si="1"/>
        <v>203982.5</v>
      </c>
      <c r="S155" s="86">
        <f t="shared" si="2"/>
        <v>44132.5</v>
      </c>
      <c r="T155" s="86">
        <f t="shared" si="3"/>
        <v>9869</v>
      </c>
      <c r="U155" s="86">
        <f t="shared" si="4"/>
        <v>10216.5</v>
      </c>
      <c r="V155" s="86">
        <f t="shared" si="5"/>
        <v>205720</v>
      </c>
      <c r="W155" s="86">
        <f t="shared" si="6"/>
        <v>69847.5</v>
      </c>
      <c r="X155" s="86">
        <f t="shared" si="7"/>
        <v>1461932.5</v>
      </c>
    </row>
    <row r="156" ht="12.0" customHeight="1">
      <c r="A1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6" s="87" t="str">
        <f>IFERROR(__xludf.DUMMYFUNCTION("IFERROR(IF(F156&lt;&gt;"""",""WHSE ""&amp;LEFT(F156,1),REGEXEXTRACT(E156,""-(?:\d{2}-)?([A-Z]+)"")),"""")
"),"WHSE C")</f>
        <v>WHSE C</v>
      </c>
      <c r="C156" s="88">
        <v>45777.0</v>
      </c>
      <c r="D156" s="89" t="s">
        <v>232</v>
      </c>
      <c r="E156" s="90" t="s">
        <v>233</v>
      </c>
      <c r="F156" s="90" t="s">
        <v>234</v>
      </c>
      <c r="G156" s="98" t="s">
        <v>235</v>
      </c>
      <c r="H156" s="92">
        <v>11705.0</v>
      </c>
      <c r="I156" s="99">
        <v>378.0</v>
      </c>
      <c r="J156" s="94">
        <v>8.54</v>
      </c>
      <c r="K156" s="100">
        <v>2.14</v>
      </c>
      <c r="L156" s="100">
        <v>0.575</v>
      </c>
      <c r="M156" s="100">
        <v>0.595</v>
      </c>
      <c r="N156" s="101">
        <v>15.95</v>
      </c>
      <c r="O156" s="94">
        <v>4.24</v>
      </c>
      <c r="P156" s="101">
        <v>79.81</v>
      </c>
      <c r="Q156" s="102"/>
      <c r="R156" s="103">
        <f t="shared" si="1"/>
        <v>99960.7</v>
      </c>
      <c r="S156" s="103">
        <f t="shared" si="2"/>
        <v>25048.7</v>
      </c>
      <c r="T156" s="103">
        <f t="shared" si="3"/>
        <v>6730.375</v>
      </c>
      <c r="U156" s="103">
        <f t="shared" si="4"/>
        <v>6964.475</v>
      </c>
      <c r="V156" s="103">
        <f t="shared" si="5"/>
        <v>186694.75</v>
      </c>
      <c r="W156" s="103">
        <f t="shared" si="6"/>
        <v>49629.2</v>
      </c>
      <c r="X156" s="103">
        <f t="shared" si="7"/>
        <v>934176.05</v>
      </c>
    </row>
    <row r="157" ht="12.0" customHeight="1">
      <c r="A1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7" s="87" t="str">
        <f>IFERROR(__xludf.DUMMYFUNCTION("IFERROR(IF(F157&lt;&gt;"""",""WHSE ""&amp;LEFT(F157,1),REGEXEXTRACT(E157,""-(?:\d{2}-)?([A-Z]+)"")),"""")
"),"WHSE C")</f>
        <v>WHSE C</v>
      </c>
      <c r="C157" s="88">
        <v>45780.0</v>
      </c>
      <c r="D157" s="89" t="s">
        <v>232</v>
      </c>
      <c r="E157" s="90" t="s">
        <v>233</v>
      </c>
      <c r="F157" s="90" t="s">
        <v>234</v>
      </c>
      <c r="G157" s="98" t="s">
        <v>235</v>
      </c>
      <c r="H157" s="92">
        <v>11210.0</v>
      </c>
      <c r="I157" s="99">
        <v>431.0</v>
      </c>
      <c r="J157" s="94">
        <v>6.4</v>
      </c>
      <c r="K157" s="100">
        <v>2.34</v>
      </c>
      <c r="L157" s="100">
        <v>0.581</v>
      </c>
      <c r="M157" s="100">
        <v>0.601</v>
      </c>
      <c r="N157" s="101">
        <v>12.89</v>
      </c>
      <c r="O157" s="94">
        <v>3.36</v>
      </c>
      <c r="P157" s="101">
        <v>83.75</v>
      </c>
      <c r="Q157" s="89" t="s">
        <v>236</v>
      </c>
      <c r="R157" s="86">
        <f t="shared" si="1"/>
        <v>71744</v>
      </c>
      <c r="S157" s="86">
        <f t="shared" si="2"/>
        <v>26231.4</v>
      </c>
      <c r="T157" s="86">
        <f t="shared" si="3"/>
        <v>6513.01</v>
      </c>
      <c r="U157" s="86">
        <f t="shared" si="4"/>
        <v>6737.21</v>
      </c>
      <c r="V157" s="86">
        <f t="shared" si="5"/>
        <v>144496.9</v>
      </c>
      <c r="W157" s="86">
        <f t="shared" si="6"/>
        <v>37665.6</v>
      </c>
      <c r="X157" s="86">
        <f t="shared" si="7"/>
        <v>938837.5</v>
      </c>
    </row>
    <row r="158" ht="12.0" customHeight="1">
      <c r="A1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58" s="87" t="str">
        <f>IFERROR(__xludf.DUMMYFUNCTION("IFERROR(IF(F158&lt;&gt;"""",""WHSE ""&amp;LEFT(F158,1),REGEXEXTRACT(E158,""-(?:\d{2}-)?([A-Z]+)"")),"""")
"),"WHSE C")</f>
        <v>WHSE C</v>
      </c>
      <c r="C158" s="88">
        <v>45786.0</v>
      </c>
      <c r="D158" s="89" t="s">
        <v>232</v>
      </c>
      <c r="E158" s="90" t="s">
        <v>233</v>
      </c>
      <c r="F158" s="90" t="s">
        <v>234</v>
      </c>
      <c r="G158" s="98" t="s">
        <v>235</v>
      </c>
      <c r="H158" s="92">
        <v>11950.0</v>
      </c>
      <c r="I158" s="99">
        <v>386.0</v>
      </c>
      <c r="J158" s="94">
        <v>7.54</v>
      </c>
      <c r="K158" s="100">
        <v>2.52</v>
      </c>
      <c r="L158" s="100">
        <v>0.585</v>
      </c>
      <c r="M158" s="100">
        <v>0.605</v>
      </c>
      <c r="N158" s="101">
        <v>14.6</v>
      </c>
      <c r="O158" s="94">
        <v>3.77</v>
      </c>
      <c r="P158" s="101">
        <v>81.63</v>
      </c>
      <c r="Q158" s="89" t="s">
        <v>236</v>
      </c>
      <c r="R158" s="86">
        <f t="shared" si="1"/>
        <v>90103</v>
      </c>
      <c r="S158" s="86">
        <f t="shared" si="2"/>
        <v>30114</v>
      </c>
      <c r="T158" s="86">
        <f t="shared" si="3"/>
        <v>6990.75</v>
      </c>
      <c r="U158" s="86">
        <f t="shared" si="4"/>
        <v>7229.75</v>
      </c>
      <c r="V158" s="86">
        <f t="shared" si="5"/>
        <v>174470</v>
      </c>
      <c r="W158" s="86">
        <f t="shared" si="6"/>
        <v>45051.5</v>
      </c>
      <c r="X158" s="86">
        <f t="shared" si="7"/>
        <v>975478.5</v>
      </c>
    </row>
    <row r="159" ht="12.0" customHeight="1">
      <c r="A1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59" s="87" t="str">
        <f>IFERROR(__xludf.DUMMYFUNCTION("IFERROR(IF(F159&lt;&gt;"""",""WHSE ""&amp;LEFT(F159,1),REGEXEXTRACT(E159,""-(?:\d{2}-)?([A-Z]+)"")),"""")
"),"WHSE C")</f>
        <v>WHSE C</v>
      </c>
      <c r="C159" s="88">
        <v>45787.0</v>
      </c>
      <c r="D159" s="89" t="s">
        <v>232</v>
      </c>
      <c r="E159" s="90" t="s">
        <v>237</v>
      </c>
      <c r="F159" s="90" t="s">
        <v>238</v>
      </c>
      <c r="G159" s="98" t="s">
        <v>235</v>
      </c>
      <c r="H159" s="92">
        <v>11150.0</v>
      </c>
      <c r="I159" s="99">
        <v>438.0</v>
      </c>
      <c r="J159" s="94">
        <v>7.27</v>
      </c>
      <c r="K159" s="100">
        <v>2.54</v>
      </c>
      <c r="L159" s="100">
        <v>0.581</v>
      </c>
      <c r="M159" s="100">
        <v>0.601</v>
      </c>
      <c r="N159" s="101">
        <v>11.47</v>
      </c>
      <c r="O159" s="94">
        <v>3.32</v>
      </c>
      <c r="P159" s="101">
        <v>85.21</v>
      </c>
      <c r="Q159" s="102"/>
      <c r="R159" s="103">
        <f t="shared" si="1"/>
        <v>81060.5</v>
      </c>
      <c r="S159" s="103">
        <f t="shared" si="2"/>
        <v>28321</v>
      </c>
      <c r="T159" s="103">
        <f t="shared" si="3"/>
        <v>6478.15</v>
      </c>
      <c r="U159" s="103">
        <f t="shared" si="4"/>
        <v>6701.15</v>
      </c>
      <c r="V159" s="103">
        <f t="shared" si="5"/>
        <v>127890.5</v>
      </c>
      <c r="W159" s="103">
        <f t="shared" si="6"/>
        <v>37018</v>
      </c>
      <c r="X159" s="103">
        <f t="shared" si="7"/>
        <v>950091.5</v>
      </c>
    </row>
    <row r="160" ht="12.0" customHeight="1">
      <c r="A1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60" s="87" t="str">
        <f>IFERROR(__xludf.DUMMYFUNCTION("IFERROR(IF(F160&lt;&gt;"""",""WHSE ""&amp;LEFT(F160,1),REGEXEXTRACT(E160,""-(?:\d{2}-)?([A-Z]+)"")),"""")
"),"WHSE C")</f>
        <v>WHSE C</v>
      </c>
      <c r="C160" s="88">
        <v>45793.0</v>
      </c>
      <c r="D160" s="89" t="s">
        <v>232</v>
      </c>
      <c r="E160" s="90" t="s">
        <v>237</v>
      </c>
      <c r="F160" s="90" t="s">
        <v>238</v>
      </c>
      <c r="G160" s="98" t="s">
        <v>239</v>
      </c>
      <c r="H160" s="92">
        <v>12500.0</v>
      </c>
      <c r="I160" s="99">
        <v>364.0</v>
      </c>
      <c r="J160" s="94">
        <v>7.47</v>
      </c>
      <c r="K160" s="100">
        <v>2.8</v>
      </c>
      <c r="L160" s="100">
        <v>0.581</v>
      </c>
      <c r="M160" s="100">
        <v>0.601</v>
      </c>
      <c r="N160" s="101">
        <v>13.07</v>
      </c>
      <c r="O160" s="94">
        <v>2.99</v>
      </c>
      <c r="P160" s="101">
        <v>83.94</v>
      </c>
      <c r="Q160" s="102"/>
      <c r="R160" s="103">
        <f t="shared" si="1"/>
        <v>93375</v>
      </c>
      <c r="S160" s="103">
        <f t="shared" si="2"/>
        <v>35000</v>
      </c>
      <c r="T160" s="103">
        <f t="shared" si="3"/>
        <v>7262.5</v>
      </c>
      <c r="U160" s="103">
        <f t="shared" si="4"/>
        <v>7512.5</v>
      </c>
      <c r="V160" s="103">
        <f t="shared" si="5"/>
        <v>163375</v>
      </c>
      <c r="W160" s="103">
        <f t="shared" si="6"/>
        <v>37375</v>
      </c>
      <c r="X160" s="103">
        <f t="shared" si="7"/>
        <v>1049250</v>
      </c>
    </row>
    <row r="161" ht="12.0" customHeight="1">
      <c r="A1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61" s="87" t="str">
        <f>IFERROR(__xludf.DUMMYFUNCTION("IFERROR(IF(F161&lt;&gt;"""",""WHSE ""&amp;LEFT(F161,1),REGEXEXTRACT(E161,""-(?:\d{2}-)?([A-Z]+)"")),"""")
"),"WHSE C")</f>
        <v>WHSE C</v>
      </c>
      <c r="C161" s="88">
        <v>45798.0</v>
      </c>
      <c r="D161" s="89" t="s">
        <v>232</v>
      </c>
      <c r="E161" s="90" t="s">
        <v>237</v>
      </c>
      <c r="F161" s="90" t="s">
        <v>238</v>
      </c>
      <c r="G161" s="98" t="s">
        <v>235</v>
      </c>
      <c r="H161" s="92">
        <v>11850.0</v>
      </c>
      <c r="I161" s="99">
        <v>409.0</v>
      </c>
      <c r="J161" s="94">
        <v>8.47</v>
      </c>
      <c r="K161" s="100">
        <v>2.34</v>
      </c>
      <c r="L161" s="100">
        <v>0.581</v>
      </c>
      <c r="M161" s="100">
        <v>0.601</v>
      </c>
      <c r="N161" s="101">
        <v>13.43</v>
      </c>
      <c r="O161" s="94">
        <v>2.67</v>
      </c>
      <c r="P161" s="101">
        <v>83.9</v>
      </c>
      <c r="Q161" s="102"/>
      <c r="R161" s="103">
        <f t="shared" si="1"/>
        <v>100369.5</v>
      </c>
      <c r="S161" s="103">
        <f t="shared" si="2"/>
        <v>27729</v>
      </c>
      <c r="T161" s="103">
        <f t="shared" si="3"/>
        <v>6884.85</v>
      </c>
      <c r="U161" s="103">
        <f t="shared" si="4"/>
        <v>7121.85</v>
      </c>
      <c r="V161" s="103">
        <f t="shared" si="5"/>
        <v>159145.5</v>
      </c>
      <c r="W161" s="103">
        <f t="shared" si="6"/>
        <v>31639.5</v>
      </c>
      <c r="X161" s="103">
        <f t="shared" si="7"/>
        <v>994215</v>
      </c>
    </row>
    <row r="162" ht="12.0" customHeight="1">
      <c r="A1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62" s="87" t="str">
        <f>IFERROR(__xludf.DUMMYFUNCTION("IFERROR(IF(F162&lt;&gt;"""",""WHSE ""&amp;LEFT(F162,1),REGEXEXTRACT(E162,""-(?:\d{2}-)?([A-Z]+)"")),"""")
"),"WHSE C")</f>
        <v>WHSE C</v>
      </c>
      <c r="C162" s="88">
        <v>45800.0</v>
      </c>
      <c r="D162" s="89" t="s">
        <v>232</v>
      </c>
      <c r="E162" s="90" t="s">
        <v>233</v>
      </c>
      <c r="F162" s="90" t="s">
        <v>234</v>
      </c>
      <c r="G162" s="98" t="s">
        <v>235</v>
      </c>
      <c r="H162" s="92">
        <v>11470.0</v>
      </c>
      <c r="I162" s="99">
        <v>353.0</v>
      </c>
      <c r="J162" s="94">
        <v>8.07</v>
      </c>
      <c r="K162" s="100">
        <v>2.8</v>
      </c>
      <c r="L162" s="100">
        <v>0.585</v>
      </c>
      <c r="M162" s="100">
        <v>0.605</v>
      </c>
      <c r="N162" s="101">
        <v>14.14</v>
      </c>
      <c r="O162" s="94">
        <v>2.86</v>
      </c>
      <c r="P162" s="101">
        <v>83.0</v>
      </c>
      <c r="Q162" s="89" t="s">
        <v>236</v>
      </c>
      <c r="R162" s="86">
        <f t="shared" si="1"/>
        <v>92562.9</v>
      </c>
      <c r="S162" s="86">
        <f t="shared" si="2"/>
        <v>32116</v>
      </c>
      <c r="T162" s="86">
        <f t="shared" si="3"/>
        <v>6709.95</v>
      </c>
      <c r="U162" s="86">
        <f t="shared" si="4"/>
        <v>6939.35</v>
      </c>
      <c r="V162" s="86">
        <f t="shared" si="5"/>
        <v>162185.8</v>
      </c>
      <c r="W162" s="86">
        <f t="shared" si="6"/>
        <v>32804.2</v>
      </c>
      <c r="X162" s="86">
        <f t="shared" si="7"/>
        <v>952010</v>
      </c>
    </row>
    <row r="163" ht="12.0" customHeight="1">
      <c r="A1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63" s="87" t="str">
        <f>IFERROR(__xludf.DUMMYFUNCTION("IFERROR(IF(F163&lt;&gt;"""",""WHSE ""&amp;LEFT(F163,1),REGEXEXTRACT(E163,""-(?:\d{2}-)?([A-Z]+)"")),"""")
"),"WHSE C")</f>
        <v>WHSE C</v>
      </c>
      <c r="C163" s="88">
        <v>45803.0</v>
      </c>
      <c r="D163" s="89" t="s">
        <v>232</v>
      </c>
      <c r="E163" s="90" t="s">
        <v>237</v>
      </c>
      <c r="F163" s="90" t="s">
        <v>238</v>
      </c>
      <c r="G163" s="98" t="s">
        <v>235</v>
      </c>
      <c r="H163" s="92">
        <v>11530.0</v>
      </c>
      <c r="I163" s="99">
        <v>375.0</v>
      </c>
      <c r="J163" s="94">
        <v>8.2</v>
      </c>
      <c r="K163" s="100">
        <v>2.27</v>
      </c>
      <c r="L163" s="100">
        <v>0.578</v>
      </c>
      <c r="M163" s="100">
        <v>0.598</v>
      </c>
      <c r="N163" s="101">
        <v>14.96</v>
      </c>
      <c r="O163" s="94">
        <v>4.55</v>
      </c>
      <c r="P163" s="101">
        <v>80.49</v>
      </c>
      <c r="Q163" s="102"/>
      <c r="R163" s="103">
        <f t="shared" si="1"/>
        <v>94546</v>
      </c>
      <c r="S163" s="103">
        <f t="shared" si="2"/>
        <v>26173.1</v>
      </c>
      <c r="T163" s="103">
        <f t="shared" si="3"/>
        <v>6664.34</v>
      </c>
      <c r="U163" s="103">
        <f t="shared" si="4"/>
        <v>6894.94</v>
      </c>
      <c r="V163" s="103">
        <f t="shared" si="5"/>
        <v>172488.8</v>
      </c>
      <c r="W163" s="103">
        <f t="shared" si="6"/>
        <v>52461.5</v>
      </c>
      <c r="X163" s="103">
        <f t="shared" si="7"/>
        <v>928049.7</v>
      </c>
    </row>
    <row r="164" ht="12.0" customHeight="1">
      <c r="A1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64" s="87" t="str">
        <f>IFERROR(__xludf.DUMMYFUNCTION("IFERROR(IF(F164&lt;&gt;"""",""WHSE ""&amp;LEFT(F164,1),REGEXEXTRACT(E164,""-(?:\d{2}-)?([A-Z]+)"")),"""")
"),"WHSE C")</f>
        <v>WHSE C</v>
      </c>
      <c r="C164" s="88">
        <v>45808.0</v>
      </c>
      <c r="D164" s="89" t="s">
        <v>232</v>
      </c>
      <c r="E164" s="90" t="s">
        <v>240</v>
      </c>
      <c r="F164" s="90" t="s">
        <v>241</v>
      </c>
      <c r="G164" s="98" t="s">
        <v>77</v>
      </c>
      <c r="H164" s="92">
        <v>20220.0</v>
      </c>
      <c r="I164" s="99">
        <v>568.0</v>
      </c>
      <c r="J164" s="94">
        <v>9.27</v>
      </c>
      <c r="K164" s="100">
        <v>2.34</v>
      </c>
      <c r="L164" s="100">
        <v>0.585</v>
      </c>
      <c r="M164" s="100">
        <v>0.605</v>
      </c>
      <c r="N164" s="101">
        <v>14.34</v>
      </c>
      <c r="O164" s="94">
        <v>3.87</v>
      </c>
      <c r="P164" s="101">
        <v>81.79</v>
      </c>
      <c r="Q164" s="102"/>
      <c r="R164" s="103">
        <f t="shared" si="1"/>
        <v>187439.4</v>
      </c>
      <c r="S164" s="103">
        <f t="shared" si="2"/>
        <v>47314.8</v>
      </c>
      <c r="T164" s="103">
        <f t="shared" si="3"/>
        <v>11828.7</v>
      </c>
      <c r="U164" s="103">
        <f t="shared" si="4"/>
        <v>12233.1</v>
      </c>
      <c r="V164" s="103">
        <f t="shared" si="5"/>
        <v>289954.8</v>
      </c>
      <c r="W164" s="103">
        <f t="shared" si="6"/>
        <v>78251.4</v>
      </c>
      <c r="X164" s="103">
        <f t="shared" si="7"/>
        <v>1653793.8</v>
      </c>
    </row>
    <row r="165" ht="12.0" customHeight="1">
      <c r="A1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65" s="87" t="str">
        <f>IFERROR(__xludf.DUMMYFUNCTION("IFERROR(IF(F165&lt;&gt;"""",""WHSE ""&amp;LEFT(F165,1),REGEXEXTRACT(E165,""-(?:\d{2}-)?([A-Z]+)"")),"""")
"),"WHSE C")</f>
        <v>WHSE C</v>
      </c>
      <c r="C165" s="88">
        <v>45812.0</v>
      </c>
      <c r="D165" s="89" t="s">
        <v>232</v>
      </c>
      <c r="E165" s="90" t="s">
        <v>240</v>
      </c>
      <c r="F165" s="90" t="s">
        <v>241</v>
      </c>
      <c r="G165" s="98" t="s">
        <v>77</v>
      </c>
      <c r="H165" s="92">
        <v>17330.0</v>
      </c>
      <c r="I165" s="99">
        <v>437.0</v>
      </c>
      <c r="J165" s="94">
        <v>8.87</v>
      </c>
      <c r="K165" s="100">
        <v>2.54</v>
      </c>
      <c r="L165" s="100">
        <v>0.581</v>
      </c>
      <c r="M165" s="100">
        <v>0.601</v>
      </c>
      <c r="N165" s="101">
        <v>12.45</v>
      </c>
      <c r="O165" s="94">
        <v>3.85</v>
      </c>
      <c r="P165" s="101">
        <v>83.7</v>
      </c>
      <c r="Q165" s="89" t="s">
        <v>242</v>
      </c>
      <c r="R165" s="86">
        <f t="shared" si="1"/>
        <v>153717.1</v>
      </c>
      <c r="S165" s="86">
        <f t="shared" si="2"/>
        <v>44018.2</v>
      </c>
      <c r="T165" s="86">
        <f t="shared" si="3"/>
        <v>10068.73</v>
      </c>
      <c r="U165" s="86">
        <f t="shared" si="4"/>
        <v>10415.33</v>
      </c>
      <c r="V165" s="86">
        <f t="shared" si="5"/>
        <v>215758.5</v>
      </c>
      <c r="W165" s="86">
        <f t="shared" si="6"/>
        <v>66720.5</v>
      </c>
      <c r="X165" s="86">
        <f t="shared" si="7"/>
        <v>1450521</v>
      </c>
    </row>
    <row r="166" ht="12.0" customHeight="1">
      <c r="A1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66" s="87" t="str">
        <f>IFERROR(__xludf.DUMMYFUNCTION("IFERROR(IF(F166&lt;&gt;"""",""WHSE ""&amp;LEFT(F166,1),REGEXEXTRACT(E166,""-(?:\d{2}-)?([A-Z]+)"")),"""")
"),"WHSE C")</f>
        <v>WHSE C</v>
      </c>
      <c r="C166" s="88">
        <v>45817.0</v>
      </c>
      <c r="D166" s="89" t="s">
        <v>232</v>
      </c>
      <c r="E166" s="90" t="s">
        <v>240</v>
      </c>
      <c r="F166" s="90" t="s">
        <v>241</v>
      </c>
      <c r="G166" s="98" t="s">
        <v>235</v>
      </c>
      <c r="H166" s="92">
        <v>10230.0</v>
      </c>
      <c r="I166" s="99">
        <v>360.0</v>
      </c>
      <c r="J166" s="94">
        <v>9.8</v>
      </c>
      <c r="K166" s="100">
        <v>2.34</v>
      </c>
      <c r="L166" s="100">
        <v>0.585</v>
      </c>
      <c r="M166" s="100">
        <v>0.605</v>
      </c>
      <c r="N166" s="101">
        <v>9.87</v>
      </c>
      <c r="O166" s="94">
        <v>4.23</v>
      </c>
      <c r="P166" s="101">
        <v>85.9</v>
      </c>
      <c r="Q166" s="89" t="s">
        <v>242</v>
      </c>
      <c r="R166" s="86">
        <f t="shared" si="1"/>
        <v>100254</v>
      </c>
      <c r="S166" s="86">
        <f t="shared" si="2"/>
        <v>23938.2</v>
      </c>
      <c r="T166" s="86">
        <f t="shared" si="3"/>
        <v>5984.55</v>
      </c>
      <c r="U166" s="86">
        <f t="shared" si="4"/>
        <v>6189.15</v>
      </c>
      <c r="V166" s="86">
        <f t="shared" si="5"/>
        <v>100970.1</v>
      </c>
      <c r="W166" s="86">
        <f t="shared" si="6"/>
        <v>43272.9</v>
      </c>
      <c r="X166" s="86">
        <f t="shared" si="7"/>
        <v>878757</v>
      </c>
    </row>
    <row r="167" ht="12.0" customHeight="1">
      <c r="A1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67" s="87" t="str">
        <f>IFERROR(__xludf.DUMMYFUNCTION("IFERROR(IF(F167&lt;&gt;"""",""WHSE ""&amp;LEFT(F167,1),REGEXEXTRACT(E167,""-(?:\d{2}-)?([A-Z]+)"")),"""")
"),"WHSE C")</f>
        <v>WHSE C</v>
      </c>
      <c r="C167" s="88">
        <v>45819.0</v>
      </c>
      <c r="D167" s="89" t="s">
        <v>232</v>
      </c>
      <c r="E167" s="90" t="s">
        <v>243</v>
      </c>
      <c r="F167" s="90" t="s">
        <v>244</v>
      </c>
      <c r="G167" s="98" t="s">
        <v>77</v>
      </c>
      <c r="H167" s="92">
        <v>17190.0</v>
      </c>
      <c r="I167" s="99">
        <v>592.0</v>
      </c>
      <c r="J167" s="94">
        <v>8.6</v>
      </c>
      <c r="K167" s="100">
        <v>2.4</v>
      </c>
      <c r="L167" s="100">
        <v>0.585</v>
      </c>
      <c r="M167" s="100">
        <v>0.605</v>
      </c>
      <c r="N167" s="101">
        <v>13.17</v>
      </c>
      <c r="O167" s="94">
        <v>2.96</v>
      </c>
      <c r="P167" s="101">
        <v>83.87</v>
      </c>
      <c r="Q167" s="102"/>
      <c r="R167" s="103">
        <f t="shared" si="1"/>
        <v>147834</v>
      </c>
      <c r="S167" s="103">
        <f t="shared" si="2"/>
        <v>41256</v>
      </c>
      <c r="T167" s="103">
        <f t="shared" si="3"/>
        <v>10056.15</v>
      </c>
      <c r="U167" s="103">
        <f t="shared" si="4"/>
        <v>10399.95</v>
      </c>
      <c r="V167" s="103">
        <f t="shared" si="5"/>
        <v>226392.3</v>
      </c>
      <c r="W167" s="103">
        <f t="shared" si="6"/>
        <v>50882.4</v>
      </c>
      <c r="X167" s="103">
        <f t="shared" si="7"/>
        <v>1441725.3</v>
      </c>
    </row>
    <row r="168" ht="12.0" customHeight="1">
      <c r="A1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68" s="87" t="str">
        <f>IFERROR(__xludf.DUMMYFUNCTION("IFERROR(IF(F168&lt;&gt;"""",""WHSE ""&amp;LEFT(F168,1),REGEXEXTRACT(E168,""-(?:\d{2}-)?([A-Z]+)"")),"""")
"),"WHSE C")</f>
        <v>WHSE C</v>
      </c>
      <c r="C168" s="88">
        <v>45822.0</v>
      </c>
      <c r="D168" s="89" t="s">
        <v>232</v>
      </c>
      <c r="E168" s="90" t="s">
        <v>243</v>
      </c>
      <c r="F168" s="90" t="s">
        <v>244</v>
      </c>
      <c r="G168" s="98" t="s">
        <v>235</v>
      </c>
      <c r="H168" s="92">
        <v>11360.0</v>
      </c>
      <c r="I168" s="99">
        <v>360.0</v>
      </c>
      <c r="J168" s="94">
        <v>9.1</v>
      </c>
      <c r="K168" s="100">
        <v>2.6</v>
      </c>
      <c r="L168" s="100">
        <v>0.57</v>
      </c>
      <c r="M168" s="100">
        <v>0.59</v>
      </c>
      <c r="N168" s="101">
        <v>13.59</v>
      </c>
      <c r="O168" s="94">
        <v>3.34</v>
      </c>
      <c r="P168" s="101">
        <v>83.07</v>
      </c>
      <c r="Q168" s="102"/>
      <c r="R168" s="103">
        <f t="shared" si="1"/>
        <v>103376</v>
      </c>
      <c r="S168" s="103">
        <f t="shared" si="2"/>
        <v>29536</v>
      </c>
      <c r="T168" s="103">
        <f t="shared" si="3"/>
        <v>6475.2</v>
      </c>
      <c r="U168" s="103">
        <f t="shared" si="4"/>
        <v>6702.4</v>
      </c>
      <c r="V168" s="103">
        <f t="shared" si="5"/>
        <v>154382.4</v>
      </c>
      <c r="W168" s="103">
        <f t="shared" si="6"/>
        <v>37942.4</v>
      </c>
      <c r="X168" s="103">
        <f t="shared" si="7"/>
        <v>943675.2</v>
      </c>
    </row>
    <row r="169" ht="12.0" customHeight="1">
      <c r="A1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69" s="87" t="str">
        <f>IFERROR(__xludf.DUMMYFUNCTION("IFERROR(IF(F169&lt;&gt;"""",""WHSE ""&amp;LEFT(F169,1),REGEXEXTRACT(E169,""-(?:\d{2}-)?([A-Z]+)"")),"""")
"),"WHSE C")</f>
        <v>WHSE C</v>
      </c>
      <c r="C169" s="88">
        <v>45824.0</v>
      </c>
      <c r="D169" s="89" t="s">
        <v>232</v>
      </c>
      <c r="E169" s="90" t="s">
        <v>243</v>
      </c>
      <c r="F169" s="90" t="s">
        <v>244</v>
      </c>
      <c r="G169" s="98" t="s">
        <v>235</v>
      </c>
      <c r="H169" s="92">
        <v>10700.0</v>
      </c>
      <c r="I169" s="99">
        <v>360.0</v>
      </c>
      <c r="J169" s="94">
        <v>9.8</v>
      </c>
      <c r="K169" s="100">
        <v>3.94</v>
      </c>
      <c r="L169" s="100">
        <v>0.549</v>
      </c>
      <c r="M169" s="100">
        <v>0.569</v>
      </c>
      <c r="N169" s="101">
        <v>14.96</v>
      </c>
      <c r="O169" s="94">
        <v>8.5</v>
      </c>
      <c r="P169" s="101">
        <v>76.54</v>
      </c>
      <c r="Q169" s="102"/>
      <c r="R169" s="103">
        <f t="shared" si="1"/>
        <v>104860</v>
      </c>
      <c r="S169" s="103">
        <f t="shared" si="2"/>
        <v>42158</v>
      </c>
      <c r="T169" s="103">
        <f t="shared" si="3"/>
        <v>5874.3</v>
      </c>
      <c r="U169" s="103">
        <f t="shared" si="4"/>
        <v>6088.3</v>
      </c>
      <c r="V169" s="103">
        <f t="shared" si="5"/>
        <v>160072</v>
      </c>
      <c r="W169" s="103">
        <f t="shared" si="6"/>
        <v>90950</v>
      </c>
      <c r="X169" s="103">
        <f t="shared" si="7"/>
        <v>818978</v>
      </c>
    </row>
    <row r="170" ht="12.0" customHeight="1">
      <c r="A1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0" s="87" t="str">
        <f>IFERROR(__xludf.DUMMYFUNCTION("IFERROR(IF(F170&lt;&gt;"""",""WHSE ""&amp;LEFT(F170,1),REGEXEXTRACT(E170,""-(?:\d{2}-)?([A-Z]+)"")),"""")
"),"WHSE C")</f>
        <v>WHSE C</v>
      </c>
      <c r="C170" s="88">
        <v>45826.0</v>
      </c>
      <c r="D170" s="89" t="s">
        <v>232</v>
      </c>
      <c r="E170" s="90" t="s">
        <v>243</v>
      </c>
      <c r="F170" s="90" t="s">
        <v>244</v>
      </c>
      <c r="G170" s="98" t="s">
        <v>77</v>
      </c>
      <c r="H170" s="92">
        <v>18890.0</v>
      </c>
      <c r="I170" s="99">
        <v>570.0</v>
      </c>
      <c r="J170" s="94">
        <v>11.74</v>
      </c>
      <c r="K170" s="100">
        <v>3.6</v>
      </c>
      <c r="L170" s="100">
        <v>0.552</v>
      </c>
      <c r="M170" s="100">
        <v>0.572</v>
      </c>
      <c r="N170" s="101">
        <v>11.8</v>
      </c>
      <c r="O170" s="94">
        <v>14.58</v>
      </c>
      <c r="P170" s="101">
        <v>73.62</v>
      </c>
      <c r="Q170" s="102"/>
      <c r="R170" s="103">
        <f t="shared" si="1"/>
        <v>221768.6</v>
      </c>
      <c r="S170" s="103">
        <f t="shared" si="2"/>
        <v>68004</v>
      </c>
      <c r="T170" s="103">
        <f t="shared" si="3"/>
        <v>10427.28</v>
      </c>
      <c r="U170" s="103">
        <f t="shared" si="4"/>
        <v>10805.08</v>
      </c>
      <c r="V170" s="103">
        <f t="shared" si="5"/>
        <v>222902</v>
      </c>
      <c r="W170" s="103">
        <f t="shared" si="6"/>
        <v>275416.2</v>
      </c>
      <c r="X170" s="103">
        <f t="shared" si="7"/>
        <v>1390681.8</v>
      </c>
    </row>
    <row r="171" ht="12.0" customHeight="1">
      <c r="A1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1" s="87" t="str">
        <f>IFERROR(__xludf.DUMMYFUNCTION("IFERROR(IF(F171&lt;&gt;"""",""WHSE ""&amp;LEFT(F171,1),REGEXEXTRACT(E171,""-(?:\d{2}-)?([A-Z]+)"")),"""")
"),"WHSE C")</f>
        <v>WHSE C</v>
      </c>
      <c r="C171" s="88">
        <v>45827.0</v>
      </c>
      <c r="D171" s="89" t="s">
        <v>232</v>
      </c>
      <c r="E171" s="90" t="s">
        <v>245</v>
      </c>
      <c r="F171" s="90" t="s">
        <v>246</v>
      </c>
      <c r="G171" s="98" t="s">
        <v>235</v>
      </c>
      <c r="H171" s="92">
        <v>11390.0</v>
      </c>
      <c r="I171" s="99">
        <v>370.0</v>
      </c>
      <c r="J171" s="94">
        <v>12.2</v>
      </c>
      <c r="K171" s="100">
        <v>2.74</v>
      </c>
      <c r="L171" s="100">
        <v>0.568</v>
      </c>
      <c r="M171" s="100">
        <v>0.588</v>
      </c>
      <c r="N171" s="101">
        <v>13.16</v>
      </c>
      <c r="O171" s="94">
        <v>5.12</v>
      </c>
      <c r="P171" s="101">
        <v>81.72</v>
      </c>
      <c r="Q171" s="102"/>
      <c r="R171" s="103">
        <f t="shared" si="1"/>
        <v>138958</v>
      </c>
      <c r="S171" s="103">
        <f t="shared" si="2"/>
        <v>31208.6</v>
      </c>
      <c r="T171" s="103">
        <f t="shared" si="3"/>
        <v>6469.52</v>
      </c>
      <c r="U171" s="103">
        <f t="shared" si="4"/>
        <v>6697.32</v>
      </c>
      <c r="V171" s="103">
        <f t="shared" si="5"/>
        <v>149892.4</v>
      </c>
      <c r="W171" s="103">
        <f t="shared" si="6"/>
        <v>58316.8</v>
      </c>
      <c r="X171" s="103">
        <f t="shared" si="7"/>
        <v>930790.8</v>
      </c>
    </row>
    <row r="172" ht="12.0" customHeight="1">
      <c r="A1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2" s="87" t="str">
        <f>IFERROR(__xludf.DUMMYFUNCTION("IFERROR(IF(F172&lt;&gt;"""",""WHSE ""&amp;LEFT(F172,1),REGEXEXTRACT(E172,""-(?:\d{2}-)?([A-Z]+)"")),"""")
"),"WHSE C")</f>
        <v>WHSE C</v>
      </c>
      <c r="C172" s="88">
        <v>45828.0</v>
      </c>
      <c r="D172" s="89" t="s">
        <v>232</v>
      </c>
      <c r="E172" s="90" t="s">
        <v>245</v>
      </c>
      <c r="F172" s="90" t="s">
        <v>246</v>
      </c>
      <c r="G172" s="98" t="s">
        <v>77</v>
      </c>
      <c r="H172" s="92">
        <v>19320.0</v>
      </c>
      <c r="I172" s="99">
        <v>503.0</v>
      </c>
      <c r="J172" s="94">
        <v>11.2</v>
      </c>
      <c r="K172" s="100">
        <v>3.47</v>
      </c>
      <c r="L172" s="100">
        <v>0.578</v>
      </c>
      <c r="M172" s="100">
        <v>0.598</v>
      </c>
      <c r="N172" s="101">
        <v>12.47</v>
      </c>
      <c r="O172" s="94">
        <v>7.35</v>
      </c>
      <c r="P172" s="101">
        <v>80.18</v>
      </c>
      <c r="Q172" s="102"/>
      <c r="R172" s="103">
        <f t="shared" si="1"/>
        <v>216384</v>
      </c>
      <c r="S172" s="103">
        <f t="shared" si="2"/>
        <v>67040.4</v>
      </c>
      <c r="T172" s="103">
        <f t="shared" si="3"/>
        <v>11166.96</v>
      </c>
      <c r="U172" s="103">
        <f t="shared" si="4"/>
        <v>11553.36</v>
      </c>
      <c r="V172" s="103">
        <f t="shared" si="5"/>
        <v>240920.4</v>
      </c>
      <c r="W172" s="103">
        <f t="shared" si="6"/>
        <v>142002</v>
      </c>
      <c r="X172" s="103">
        <f t="shared" si="7"/>
        <v>1549077.6</v>
      </c>
    </row>
    <row r="173" ht="12.0" customHeight="1">
      <c r="A1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3" s="87" t="str">
        <f>IFERROR(__xludf.DUMMYFUNCTION("IFERROR(IF(F173&lt;&gt;"""",""WHSE ""&amp;LEFT(F173,1),REGEXEXTRACT(E173,""-(?:\d{2}-)?([A-Z]+)"")),"""")
"),"WHSE C")</f>
        <v>WHSE C</v>
      </c>
      <c r="C173" s="88">
        <v>45829.0</v>
      </c>
      <c r="D173" s="89" t="s">
        <v>232</v>
      </c>
      <c r="E173" s="90" t="s">
        <v>245</v>
      </c>
      <c r="F173" s="90" t="s">
        <v>246</v>
      </c>
      <c r="G173" s="98" t="s">
        <v>235</v>
      </c>
      <c r="H173" s="92">
        <v>11160.0</v>
      </c>
      <c r="I173" s="99">
        <v>334.0</v>
      </c>
      <c r="J173" s="94">
        <v>8.27</v>
      </c>
      <c r="K173" s="100">
        <v>3.8</v>
      </c>
      <c r="L173" s="100">
        <v>0.588</v>
      </c>
      <c r="M173" s="100">
        <v>0.608</v>
      </c>
      <c r="N173" s="101">
        <v>18.71</v>
      </c>
      <c r="O173" s="94">
        <v>10.14</v>
      </c>
      <c r="P173" s="101">
        <v>71.15</v>
      </c>
      <c r="Q173" s="102"/>
      <c r="R173" s="103">
        <f t="shared" si="1"/>
        <v>92293.2</v>
      </c>
      <c r="S173" s="103">
        <f t="shared" si="2"/>
        <v>42408</v>
      </c>
      <c r="T173" s="103">
        <f t="shared" si="3"/>
        <v>6562.08</v>
      </c>
      <c r="U173" s="103">
        <f t="shared" si="4"/>
        <v>6785.28</v>
      </c>
      <c r="V173" s="103">
        <f t="shared" si="5"/>
        <v>208803.6</v>
      </c>
      <c r="W173" s="103">
        <f t="shared" si="6"/>
        <v>113162.4</v>
      </c>
      <c r="X173" s="103">
        <f t="shared" si="7"/>
        <v>794034</v>
      </c>
    </row>
    <row r="174" ht="12.0" customHeight="1">
      <c r="A1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4" s="87" t="str">
        <f>IFERROR(__xludf.DUMMYFUNCTION("IFERROR(IF(F174&lt;&gt;"""",""WHSE ""&amp;LEFT(F174,1),REGEXEXTRACT(E174,""-(?:\d{2}-)?([A-Z]+)"")),"""")
"),"WHSE C")</f>
        <v>WHSE C</v>
      </c>
      <c r="C174" s="88">
        <v>45833.0</v>
      </c>
      <c r="D174" s="89" t="s">
        <v>232</v>
      </c>
      <c r="E174" s="90" t="s">
        <v>245</v>
      </c>
      <c r="F174" s="90" t="s">
        <v>246</v>
      </c>
      <c r="G174" s="98" t="s">
        <v>235</v>
      </c>
      <c r="H174" s="92">
        <v>14050.0</v>
      </c>
      <c r="I174" s="99">
        <v>341.0</v>
      </c>
      <c r="J174" s="94">
        <v>10.34</v>
      </c>
      <c r="K174" s="100">
        <v>2.54</v>
      </c>
      <c r="L174" s="100">
        <v>0.581</v>
      </c>
      <c r="M174" s="100">
        <v>0.601</v>
      </c>
      <c r="N174" s="101">
        <v>14.22</v>
      </c>
      <c r="O174" s="94">
        <v>6.49</v>
      </c>
      <c r="P174" s="101">
        <v>79.29</v>
      </c>
      <c r="Q174" s="102"/>
      <c r="R174" s="103">
        <f t="shared" si="1"/>
        <v>145277</v>
      </c>
      <c r="S174" s="103">
        <f t="shared" si="2"/>
        <v>35687</v>
      </c>
      <c r="T174" s="103">
        <f t="shared" si="3"/>
        <v>8163.05</v>
      </c>
      <c r="U174" s="103">
        <f t="shared" si="4"/>
        <v>8444.05</v>
      </c>
      <c r="V174" s="103">
        <f t="shared" si="5"/>
        <v>199791</v>
      </c>
      <c r="W174" s="103">
        <f t="shared" si="6"/>
        <v>91184.5</v>
      </c>
      <c r="X174" s="103">
        <f t="shared" si="7"/>
        <v>1114024.5</v>
      </c>
    </row>
    <row r="175" ht="12.0" customHeight="1">
      <c r="A1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5" s="87" t="str">
        <f>IFERROR(__xludf.DUMMYFUNCTION("IFERROR(IF(F175&lt;&gt;"""",""WHSE ""&amp;LEFT(F175,1),REGEXEXTRACT(E175,""-(?:\d{2}-)?([A-Z]+)"")),"""")
"),"WHSE C")</f>
        <v>WHSE C</v>
      </c>
      <c r="C175" s="88">
        <v>45840.0</v>
      </c>
      <c r="D175" s="89" t="s">
        <v>232</v>
      </c>
      <c r="E175" s="90" t="s">
        <v>247</v>
      </c>
      <c r="F175" s="90" t="s">
        <v>248</v>
      </c>
      <c r="G175" s="98" t="s">
        <v>235</v>
      </c>
      <c r="H175" s="92">
        <v>11450.0</v>
      </c>
      <c r="I175" s="99">
        <v>313.0</v>
      </c>
      <c r="J175" s="94">
        <v>12.07</v>
      </c>
      <c r="K175" s="100">
        <v>3.6</v>
      </c>
      <c r="L175" s="100">
        <v>0.581</v>
      </c>
      <c r="M175" s="100">
        <v>0.601</v>
      </c>
      <c r="N175" s="101">
        <v>13.14</v>
      </c>
      <c r="O175" s="94">
        <v>3.14</v>
      </c>
      <c r="P175" s="101">
        <v>83.72</v>
      </c>
      <c r="Q175" s="102"/>
      <c r="R175" s="103">
        <f t="shared" si="1"/>
        <v>138201.5</v>
      </c>
      <c r="S175" s="103">
        <f t="shared" si="2"/>
        <v>41220</v>
      </c>
      <c r="T175" s="103">
        <f t="shared" si="3"/>
        <v>6652.45</v>
      </c>
      <c r="U175" s="103">
        <f t="shared" si="4"/>
        <v>6881.45</v>
      </c>
      <c r="V175" s="103">
        <f t="shared" si="5"/>
        <v>150453</v>
      </c>
      <c r="W175" s="103">
        <f t="shared" si="6"/>
        <v>35953</v>
      </c>
      <c r="X175" s="103">
        <f t="shared" si="7"/>
        <v>958594</v>
      </c>
    </row>
    <row r="176" ht="12.0" customHeight="1">
      <c r="A1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6" s="87" t="str">
        <f>IFERROR(__xludf.DUMMYFUNCTION("IFERROR(IF(F176&lt;&gt;"""",""WHSE ""&amp;LEFT(F176,1),REGEXEXTRACT(E176,""-(?:\d{2}-)?([A-Z]+)"")),"""")
"),"WHSE C")</f>
        <v>WHSE C</v>
      </c>
      <c r="C176" s="88">
        <v>45841.0</v>
      </c>
      <c r="D176" s="89" t="s">
        <v>232</v>
      </c>
      <c r="E176" s="90" t="s">
        <v>247</v>
      </c>
      <c r="F176" s="90" t="s">
        <v>248</v>
      </c>
      <c r="G176" s="98" t="s">
        <v>235</v>
      </c>
      <c r="H176" s="92">
        <v>13560.0</v>
      </c>
      <c r="I176" s="99">
        <v>338.0</v>
      </c>
      <c r="J176" s="94">
        <v>9.34</v>
      </c>
      <c r="K176" s="100">
        <v>3.74</v>
      </c>
      <c r="L176" s="100">
        <v>0.585</v>
      </c>
      <c r="M176" s="100">
        <v>0.605</v>
      </c>
      <c r="N176" s="101">
        <v>12.92</v>
      </c>
      <c r="O176" s="94">
        <v>4.67</v>
      </c>
      <c r="P176" s="101">
        <v>82.41</v>
      </c>
      <c r="Q176" s="102"/>
      <c r="R176" s="103">
        <f t="shared" si="1"/>
        <v>126650.4</v>
      </c>
      <c r="S176" s="103">
        <f t="shared" si="2"/>
        <v>50714.4</v>
      </c>
      <c r="T176" s="103">
        <f t="shared" si="3"/>
        <v>7932.6</v>
      </c>
      <c r="U176" s="103">
        <f t="shared" si="4"/>
        <v>8203.8</v>
      </c>
      <c r="V176" s="103">
        <f t="shared" si="5"/>
        <v>175195.2</v>
      </c>
      <c r="W176" s="103">
        <f t="shared" si="6"/>
        <v>63325.2</v>
      </c>
      <c r="X176" s="103">
        <f t="shared" si="7"/>
        <v>1117479.6</v>
      </c>
    </row>
    <row r="177" ht="12.0" customHeight="1">
      <c r="A1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7" s="87" t="str">
        <f>IFERROR(__xludf.DUMMYFUNCTION("IFERROR(IF(F177&lt;&gt;"""",""WHSE ""&amp;LEFT(F177,1),REGEXEXTRACT(E177,""-(?:\d{2}-)?([A-Z]+)"")),"""")
"),"WHSE C")</f>
        <v>WHSE C</v>
      </c>
      <c r="C177" s="88">
        <v>45842.0</v>
      </c>
      <c r="D177" s="89" t="s">
        <v>232</v>
      </c>
      <c r="E177" s="90" t="s">
        <v>247</v>
      </c>
      <c r="F177" s="90" t="s">
        <v>248</v>
      </c>
      <c r="G177" s="98" t="s">
        <v>77</v>
      </c>
      <c r="H177" s="92">
        <v>15130.0</v>
      </c>
      <c r="I177" s="99">
        <v>578.0</v>
      </c>
      <c r="J177" s="94">
        <v>8.2</v>
      </c>
      <c r="K177" s="100">
        <v>3.54</v>
      </c>
      <c r="L177" s="100">
        <v>0.581</v>
      </c>
      <c r="M177" s="100">
        <v>0.601</v>
      </c>
      <c r="N177" s="101">
        <v>13.25</v>
      </c>
      <c r="O177" s="94">
        <v>3.44</v>
      </c>
      <c r="P177" s="101">
        <v>83.31</v>
      </c>
      <c r="Q177" s="102"/>
      <c r="R177" s="103">
        <f t="shared" si="1"/>
        <v>124066</v>
      </c>
      <c r="S177" s="103">
        <f t="shared" si="2"/>
        <v>53560.2</v>
      </c>
      <c r="T177" s="103">
        <f t="shared" si="3"/>
        <v>8790.53</v>
      </c>
      <c r="U177" s="103">
        <f t="shared" si="4"/>
        <v>9093.13</v>
      </c>
      <c r="V177" s="103">
        <f t="shared" si="5"/>
        <v>200472.5</v>
      </c>
      <c r="W177" s="103">
        <f t="shared" si="6"/>
        <v>52047.2</v>
      </c>
      <c r="X177" s="103">
        <f t="shared" si="7"/>
        <v>1260480.3</v>
      </c>
    </row>
    <row r="178" ht="12.0" customHeight="1">
      <c r="A1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78" s="87" t="str">
        <f>IFERROR(__xludf.DUMMYFUNCTION("IFERROR(IF(F178&lt;&gt;"""",""WHSE ""&amp;LEFT(F178,1),REGEXEXTRACT(E178,""-(?:\d{2}-)?([A-Z]+)"")),"""")
"),"WHSE C")</f>
        <v>WHSE C</v>
      </c>
      <c r="C178" s="88">
        <v>45843.0</v>
      </c>
      <c r="D178" s="89" t="s">
        <v>232</v>
      </c>
      <c r="E178" s="90" t="s">
        <v>247</v>
      </c>
      <c r="F178" s="90" t="s">
        <v>248</v>
      </c>
      <c r="G178" s="98" t="s">
        <v>235</v>
      </c>
      <c r="H178" s="92">
        <v>12100.0</v>
      </c>
      <c r="I178" s="99">
        <v>333.0</v>
      </c>
      <c r="J178" s="94">
        <v>7.54</v>
      </c>
      <c r="K178" s="100">
        <v>3.34</v>
      </c>
      <c r="L178" s="100">
        <v>0.581</v>
      </c>
      <c r="M178" s="100">
        <v>0.601</v>
      </c>
      <c r="N178" s="101">
        <v>13.6</v>
      </c>
      <c r="O178" s="94">
        <v>2.94</v>
      </c>
      <c r="P178" s="101">
        <v>83.46</v>
      </c>
      <c r="Q178" s="102"/>
      <c r="R178" s="103">
        <f t="shared" si="1"/>
        <v>91234</v>
      </c>
      <c r="S178" s="103">
        <f t="shared" si="2"/>
        <v>40414</v>
      </c>
      <c r="T178" s="103">
        <f t="shared" si="3"/>
        <v>7030.1</v>
      </c>
      <c r="U178" s="103">
        <f t="shared" si="4"/>
        <v>7272.1</v>
      </c>
      <c r="V178" s="103">
        <f t="shared" si="5"/>
        <v>164560</v>
      </c>
      <c r="W178" s="103">
        <f t="shared" si="6"/>
        <v>35574</v>
      </c>
      <c r="X178" s="103">
        <f t="shared" si="7"/>
        <v>1009866</v>
      </c>
    </row>
    <row r="179" ht="12.0" customHeight="1">
      <c r="A1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79" s="87" t="str">
        <f>IFERROR(__xludf.DUMMYFUNCTION("IFERROR(IF(F179&lt;&gt;"""",""WHSE ""&amp;LEFT(F179,1),REGEXEXTRACT(E179,""-(?:\d{2}-)?([A-Z]+)"")),"""")
"),"WHSE C")</f>
        <v>WHSE C</v>
      </c>
      <c r="C179" s="88">
        <v>45848.0</v>
      </c>
      <c r="D179" s="89" t="s">
        <v>232</v>
      </c>
      <c r="E179" s="90" t="s">
        <v>249</v>
      </c>
      <c r="F179" s="90" t="s">
        <v>250</v>
      </c>
      <c r="G179" s="98" t="s">
        <v>235</v>
      </c>
      <c r="H179" s="92">
        <v>10910.0</v>
      </c>
      <c r="I179" s="99">
        <v>345.0</v>
      </c>
      <c r="J179" s="94">
        <v>7.0</v>
      </c>
      <c r="K179" s="100">
        <v>3.27</v>
      </c>
      <c r="L179" s="100">
        <v>0.581</v>
      </c>
      <c r="M179" s="100">
        <v>0.601</v>
      </c>
      <c r="N179" s="101">
        <v>14.59</v>
      </c>
      <c r="O179" s="94">
        <v>2.94</v>
      </c>
      <c r="P179" s="101">
        <v>82.47</v>
      </c>
      <c r="Q179" s="102"/>
      <c r="R179" s="103">
        <f t="shared" si="1"/>
        <v>76370</v>
      </c>
      <c r="S179" s="103">
        <f t="shared" si="2"/>
        <v>35675.7</v>
      </c>
      <c r="T179" s="103">
        <f t="shared" si="3"/>
        <v>6338.71</v>
      </c>
      <c r="U179" s="103">
        <f t="shared" si="4"/>
        <v>6556.91</v>
      </c>
      <c r="V179" s="103">
        <f t="shared" si="5"/>
        <v>159176.9</v>
      </c>
      <c r="W179" s="103">
        <f t="shared" si="6"/>
        <v>32075.4</v>
      </c>
      <c r="X179" s="103">
        <f t="shared" si="7"/>
        <v>899747.7</v>
      </c>
    </row>
    <row r="180" ht="12.0" customHeight="1">
      <c r="A1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80" s="87" t="str">
        <f>IFERROR(__xludf.DUMMYFUNCTION("IFERROR(IF(F180&lt;&gt;"""",""WHSE ""&amp;LEFT(F180,1),REGEXEXTRACT(E180,""-(?:\d{2}-)?([A-Z]+)"")),"""")
"),"WHSE C")</f>
        <v>WHSE C</v>
      </c>
      <c r="C180" s="88">
        <v>45853.0</v>
      </c>
      <c r="D180" s="89" t="s">
        <v>232</v>
      </c>
      <c r="E180" s="90" t="s">
        <v>249</v>
      </c>
      <c r="F180" s="90" t="s">
        <v>250</v>
      </c>
      <c r="G180" s="98" t="s">
        <v>235</v>
      </c>
      <c r="H180" s="92">
        <v>12040.0</v>
      </c>
      <c r="I180" s="99">
        <v>367.0</v>
      </c>
      <c r="J180" s="94">
        <v>8.07</v>
      </c>
      <c r="K180" s="100">
        <v>3.6</v>
      </c>
      <c r="L180" s="100">
        <v>0.581</v>
      </c>
      <c r="M180" s="100">
        <v>0.601</v>
      </c>
      <c r="N180" s="101">
        <v>13.74</v>
      </c>
      <c r="O180" s="94">
        <v>4.85</v>
      </c>
      <c r="P180" s="101">
        <v>81.41</v>
      </c>
      <c r="Q180" s="102"/>
      <c r="R180" s="103">
        <f t="shared" si="1"/>
        <v>97162.8</v>
      </c>
      <c r="S180" s="103">
        <f t="shared" si="2"/>
        <v>43344</v>
      </c>
      <c r="T180" s="103">
        <f t="shared" si="3"/>
        <v>6995.24</v>
      </c>
      <c r="U180" s="103">
        <f t="shared" si="4"/>
        <v>7236.04</v>
      </c>
      <c r="V180" s="103">
        <f t="shared" si="5"/>
        <v>165429.6</v>
      </c>
      <c r="W180" s="103">
        <f t="shared" si="6"/>
        <v>58394</v>
      </c>
      <c r="X180" s="103">
        <f t="shared" si="7"/>
        <v>980176.4</v>
      </c>
    </row>
    <row r="181" ht="12.0" customHeight="1">
      <c r="A1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81" s="87" t="str">
        <f>IFERROR(__xludf.DUMMYFUNCTION("IFERROR(IF(F181&lt;&gt;"""",""WHSE ""&amp;LEFT(F181,1),REGEXEXTRACT(E181,""-(?:\d{2}-)?([A-Z]+)"")),"""")
"),"WHSE C")</f>
        <v>WHSE C</v>
      </c>
      <c r="C181" s="88">
        <v>45855.0</v>
      </c>
      <c r="D181" s="89" t="s">
        <v>232</v>
      </c>
      <c r="E181" s="90" t="s">
        <v>249</v>
      </c>
      <c r="F181" s="90" t="s">
        <v>250</v>
      </c>
      <c r="G181" s="98" t="s">
        <v>235</v>
      </c>
      <c r="H181" s="92">
        <v>11880.0</v>
      </c>
      <c r="I181" s="99">
        <v>382.0</v>
      </c>
      <c r="J181" s="94">
        <v>7.2</v>
      </c>
      <c r="K181" s="100">
        <v>3.34</v>
      </c>
      <c r="L181" s="100">
        <v>0.581</v>
      </c>
      <c r="M181" s="100">
        <v>0.601</v>
      </c>
      <c r="N181" s="101">
        <v>13.67</v>
      </c>
      <c r="O181" s="94">
        <v>3.2</v>
      </c>
      <c r="P181" s="101">
        <v>83.13</v>
      </c>
      <c r="Q181" s="102"/>
      <c r="R181" s="103">
        <f t="shared" si="1"/>
        <v>85536</v>
      </c>
      <c r="S181" s="103">
        <f t="shared" si="2"/>
        <v>39679.2</v>
      </c>
      <c r="T181" s="103">
        <f t="shared" si="3"/>
        <v>6902.28</v>
      </c>
      <c r="U181" s="103">
        <f t="shared" si="4"/>
        <v>7139.88</v>
      </c>
      <c r="V181" s="103">
        <f t="shared" si="5"/>
        <v>162399.6</v>
      </c>
      <c r="W181" s="103">
        <f t="shared" si="6"/>
        <v>38016</v>
      </c>
      <c r="X181" s="103">
        <f t="shared" si="7"/>
        <v>987584.4</v>
      </c>
    </row>
    <row r="182" ht="12.0" customHeight="1">
      <c r="A1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82" s="87" t="str">
        <f>IFERROR(__xludf.DUMMYFUNCTION("IFERROR(IF(F182&lt;&gt;"""",""WHSE ""&amp;LEFT(F182,1),REGEXEXTRACT(E182,""-(?:\d{2}-)?([A-Z]+)"")),"""")
"),"WHSE C")</f>
        <v>WHSE C</v>
      </c>
      <c r="C182" s="88">
        <v>45859.0</v>
      </c>
      <c r="D182" s="89" t="s">
        <v>232</v>
      </c>
      <c r="E182" s="90" t="s">
        <v>249</v>
      </c>
      <c r="F182" s="90" t="s">
        <v>250</v>
      </c>
      <c r="G182" s="98" t="s">
        <v>235</v>
      </c>
      <c r="H182" s="92">
        <v>12225.0</v>
      </c>
      <c r="I182" s="99">
        <v>369.0</v>
      </c>
      <c r="J182" s="94">
        <v>8.14</v>
      </c>
      <c r="K182" s="100">
        <v>3.34</v>
      </c>
      <c r="L182" s="100">
        <v>0.581</v>
      </c>
      <c r="M182" s="100">
        <v>0.601</v>
      </c>
      <c r="N182" s="101">
        <v>14.14</v>
      </c>
      <c r="O182" s="94">
        <v>3.09</v>
      </c>
      <c r="P182" s="101">
        <v>82.77</v>
      </c>
      <c r="Q182" s="102"/>
      <c r="R182" s="103">
        <f t="shared" si="1"/>
        <v>99511.5</v>
      </c>
      <c r="S182" s="103">
        <f t="shared" si="2"/>
        <v>40831.5</v>
      </c>
      <c r="T182" s="103">
        <f t="shared" si="3"/>
        <v>7102.725</v>
      </c>
      <c r="U182" s="103">
        <f t="shared" si="4"/>
        <v>7347.225</v>
      </c>
      <c r="V182" s="103">
        <f t="shared" si="5"/>
        <v>172861.5</v>
      </c>
      <c r="W182" s="103">
        <f t="shared" si="6"/>
        <v>37775.25</v>
      </c>
      <c r="X182" s="103">
        <f t="shared" si="7"/>
        <v>1011863.25</v>
      </c>
    </row>
    <row r="183" ht="12.0" customHeight="1">
      <c r="A1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83" s="87" t="str">
        <f>IFERROR(__xludf.DUMMYFUNCTION("IFERROR(IF(F183&lt;&gt;"""",""WHSE ""&amp;LEFT(F183,1),REGEXEXTRACT(E183,""-(?:\d{2}-)?([A-Z]+)"")),"""")
"),"WHSE C")</f>
        <v>WHSE C</v>
      </c>
      <c r="C183" s="88">
        <v>45861.0</v>
      </c>
      <c r="D183" s="89" t="s">
        <v>232</v>
      </c>
      <c r="E183" s="90" t="s">
        <v>249</v>
      </c>
      <c r="F183" s="90" t="s">
        <v>250</v>
      </c>
      <c r="G183" s="98" t="s">
        <v>235</v>
      </c>
      <c r="H183" s="92">
        <v>11980.0</v>
      </c>
      <c r="I183" s="99">
        <v>376.0</v>
      </c>
      <c r="J183" s="94">
        <v>8.54</v>
      </c>
      <c r="K183" s="100">
        <v>3.6</v>
      </c>
      <c r="L183" s="100">
        <v>0.585</v>
      </c>
      <c r="M183" s="100">
        <v>0.605</v>
      </c>
      <c r="N183" s="101">
        <v>11.25</v>
      </c>
      <c r="O183" s="94">
        <v>3.81</v>
      </c>
      <c r="P183" s="101">
        <v>84.94</v>
      </c>
      <c r="Q183" s="102"/>
      <c r="R183" s="103">
        <f t="shared" si="1"/>
        <v>102309.2</v>
      </c>
      <c r="S183" s="103">
        <f t="shared" si="2"/>
        <v>43128</v>
      </c>
      <c r="T183" s="103">
        <f t="shared" si="3"/>
        <v>7008.3</v>
      </c>
      <c r="U183" s="103">
        <f t="shared" si="4"/>
        <v>7247.9</v>
      </c>
      <c r="V183" s="103">
        <f t="shared" si="5"/>
        <v>134775</v>
      </c>
      <c r="W183" s="103">
        <f t="shared" si="6"/>
        <v>45643.8</v>
      </c>
      <c r="X183" s="103">
        <f t="shared" si="7"/>
        <v>1017581.2</v>
      </c>
    </row>
    <row r="184" ht="12.0" customHeight="1">
      <c r="A1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184" s="87" t="str">
        <f>IFERROR(__xludf.DUMMYFUNCTION("IFERROR(IF(F184&lt;&gt;"""",""WHSE ""&amp;LEFT(F184,1),REGEXEXTRACT(E184,""-(?:\d{2}-)?([A-Z]+)"")),"""")
"),"WHSE C")</f>
        <v>WHSE C</v>
      </c>
      <c r="C184" s="88">
        <v>45862.0</v>
      </c>
      <c r="D184" s="89" t="s">
        <v>232</v>
      </c>
      <c r="E184" s="90" t="s">
        <v>251</v>
      </c>
      <c r="F184" s="90" t="s">
        <v>252</v>
      </c>
      <c r="G184" s="98" t="s">
        <v>235</v>
      </c>
      <c r="H184" s="92">
        <v>13010.0</v>
      </c>
      <c r="I184" s="99">
        <v>375.0</v>
      </c>
      <c r="J184" s="94">
        <v>9.34</v>
      </c>
      <c r="K184" s="100">
        <v>3.74</v>
      </c>
      <c r="L184" s="100">
        <v>0.581</v>
      </c>
      <c r="M184" s="100">
        <v>0.601</v>
      </c>
      <c r="N184" s="101">
        <v>13.14</v>
      </c>
      <c r="O184" s="94">
        <v>3.68</v>
      </c>
      <c r="P184" s="101">
        <v>83.18</v>
      </c>
      <c r="Q184" s="102"/>
      <c r="R184" s="103">
        <f t="shared" si="1"/>
        <v>121513.4</v>
      </c>
      <c r="S184" s="103">
        <f t="shared" si="2"/>
        <v>48657.4</v>
      </c>
      <c r="T184" s="103">
        <f t="shared" si="3"/>
        <v>7558.81</v>
      </c>
      <c r="U184" s="103">
        <f t="shared" si="4"/>
        <v>7819.01</v>
      </c>
      <c r="V184" s="103">
        <f t="shared" si="5"/>
        <v>170951.4</v>
      </c>
      <c r="W184" s="103">
        <f t="shared" si="6"/>
        <v>47876.8</v>
      </c>
      <c r="X184" s="103">
        <f t="shared" si="7"/>
        <v>1082171.8</v>
      </c>
    </row>
    <row r="185" ht="12.0" customHeight="1">
      <c r="A1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185" s="87" t="str">
        <f>IFERROR(__xludf.DUMMYFUNCTION("IFERROR(IF(F185&lt;&gt;"""",""WHSE ""&amp;LEFT(F185,1),REGEXEXTRACT(E185,""-(?:\d{2}-)?([A-Z]+)"")),"""")
"),"WHSE C")</f>
        <v>WHSE C</v>
      </c>
      <c r="C185" s="88">
        <v>45866.0</v>
      </c>
      <c r="D185" s="89" t="s">
        <v>232</v>
      </c>
      <c r="E185" s="90" t="s">
        <v>251</v>
      </c>
      <c r="F185" s="90" t="s">
        <v>252</v>
      </c>
      <c r="G185" s="98" t="s">
        <v>235</v>
      </c>
      <c r="H185" s="92">
        <v>12405.0</v>
      </c>
      <c r="I185" s="99">
        <v>346.0</v>
      </c>
      <c r="J185" s="94">
        <v>11.14</v>
      </c>
      <c r="K185" s="100">
        <v>3.34</v>
      </c>
      <c r="L185" s="100">
        <v>0.581</v>
      </c>
      <c r="M185" s="100">
        <v>0.601</v>
      </c>
      <c r="N185" s="101">
        <v>12.48</v>
      </c>
      <c r="O185" s="94">
        <v>3.04</v>
      </c>
      <c r="P185" s="101">
        <v>84.48</v>
      </c>
      <c r="Q185" s="102"/>
      <c r="R185" s="103">
        <f t="shared" si="1"/>
        <v>138191.7</v>
      </c>
      <c r="S185" s="103">
        <f t="shared" si="2"/>
        <v>41432.7</v>
      </c>
      <c r="T185" s="103">
        <f t="shared" si="3"/>
        <v>7207.305</v>
      </c>
      <c r="U185" s="103">
        <f t="shared" si="4"/>
        <v>7455.405</v>
      </c>
      <c r="V185" s="103">
        <f t="shared" si="5"/>
        <v>154814.4</v>
      </c>
      <c r="W185" s="103">
        <f t="shared" si="6"/>
        <v>37711.2</v>
      </c>
      <c r="X185" s="103">
        <f t="shared" si="7"/>
        <v>1047974.4</v>
      </c>
    </row>
    <row r="186" ht="12.0" customHeight="1">
      <c r="A1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186" s="87" t="str">
        <f>IFERROR(__xludf.DUMMYFUNCTION("IFERROR(IF(F186&lt;&gt;"""",""WHSE ""&amp;LEFT(F186,1),REGEXEXTRACT(E186,""-(?:\d{2}-)?([A-Z]+)"")),"""")
"),"WHSE C")</f>
        <v>WHSE C</v>
      </c>
      <c r="C186" s="88">
        <v>45869.0</v>
      </c>
      <c r="D186" s="89" t="s">
        <v>232</v>
      </c>
      <c r="E186" s="90" t="s">
        <v>251</v>
      </c>
      <c r="F186" s="90" t="s">
        <v>252</v>
      </c>
      <c r="G186" s="98" t="s">
        <v>235</v>
      </c>
      <c r="H186" s="92">
        <v>11705.0</v>
      </c>
      <c r="I186" s="99">
        <v>360.0</v>
      </c>
      <c r="J186" s="94">
        <v>9.27</v>
      </c>
      <c r="K186" s="100">
        <v>3.34</v>
      </c>
      <c r="L186" s="100">
        <v>0.585</v>
      </c>
      <c r="M186" s="100">
        <v>0.605</v>
      </c>
      <c r="N186" s="101">
        <v>12.86</v>
      </c>
      <c r="O186" s="94">
        <v>2.74</v>
      </c>
      <c r="P186" s="101">
        <v>84.4</v>
      </c>
      <c r="Q186" s="102"/>
      <c r="R186" s="103">
        <f t="shared" si="1"/>
        <v>108505.35</v>
      </c>
      <c r="S186" s="103">
        <f t="shared" si="2"/>
        <v>39094.7</v>
      </c>
      <c r="T186" s="103">
        <f t="shared" si="3"/>
        <v>6847.425</v>
      </c>
      <c r="U186" s="103">
        <f t="shared" si="4"/>
        <v>7081.525</v>
      </c>
      <c r="V186" s="103">
        <f t="shared" si="5"/>
        <v>150526.3</v>
      </c>
      <c r="W186" s="103">
        <f t="shared" si="6"/>
        <v>32071.7</v>
      </c>
      <c r="X186" s="103">
        <f t="shared" si="7"/>
        <v>987902</v>
      </c>
    </row>
    <row r="187" ht="12.0" customHeight="1">
      <c r="A1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187" s="87" t="str">
        <f>IFERROR(__xludf.DUMMYFUNCTION("IFERROR(IF(F187&lt;&gt;"""",""WHSE ""&amp;LEFT(F187,1),REGEXEXTRACT(E187,""-(?:\d{2}-)?([A-Z]+)"")),"""")
"),"WHSE C")</f>
        <v>WHSE C</v>
      </c>
      <c r="C187" s="88">
        <v>45874.0</v>
      </c>
      <c r="D187" s="89" t="s">
        <v>232</v>
      </c>
      <c r="E187" s="90" t="s">
        <v>251</v>
      </c>
      <c r="F187" s="90" t="s">
        <v>252</v>
      </c>
      <c r="G187" s="98" t="s">
        <v>235</v>
      </c>
      <c r="H187" s="92">
        <v>10115.0</v>
      </c>
      <c r="I187" s="99">
        <v>323.0</v>
      </c>
      <c r="J187" s="94">
        <v>8.74</v>
      </c>
      <c r="K187" s="100">
        <v>3.4</v>
      </c>
      <c r="L187" s="100">
        <v>0.581</v>
      </c>
      <c r="M187" s="100">
        <v>0.601</v>
      </c>
      <c r="N187" s="101">
        <v>13.58</v>
      </c>
      <c r="O187" s="94">
        <v>3.68</v>
      </c>
      <c r="P187" s="101">
        <v>82.74</v>
      </c>
      <c r="Q187" s="89" t="s">
        <v>253</v>
      </c>
      <c r="R187" s="86">
        <f t="shared" si="1"/>
        <v>88405.1</v>
      </c>
      <c r="S187" s="86">
        <f t="shared" si="2"/>
        <v>34391</v>
      </c>
      <c r="T187" s="86">
        <f t="shared" si="3"/>
        <v>5876.815</v>
      </c>
      <c r="U187" s="86">
        <f t="shared" si="4"/>
        <v>6079.115</v>
      </c>
      <c r="V187" s="86">
        <f t="shared" si="5"/>
        <v>137361.7</v>
      </c>
      <c r="W187" s="86">
        <f t="shared" si="6"/>
        <v>37223.2</v>
      </c>
      <c r="X187" s="86">
        <f t="shared" si="7"/>
        <v>836915.1</v>
      </c>
    </row>
    <row r="188" ht="12.0" customHeight="1">
      <c r="A1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188" s="87" t="str">
        <f>IFERROR(__xludf.DUMMYFUNCTION("IFERROR(IF(F188&lt;&gt;"""",""WHSE ""&amp;LEFT(F188,1),REGEXEXTRACT(E188,""-(?:\d{2}-)?([A-Z]+)"")),"""")
"),"WHSE C")</f>
        <v>WHSE C</v>
      </c>
      <c r="C188" s="88">
        <v>45874.0</v>
      </c>
      <c r="D188" s="89" t="s">
        <v>254</v>
      </c>
      <c r="E188" s="90" t="s">
        <v>251</v>
      </c>
      <c r="F188" s="90" t="s">
        <v>252</v>
      </c>
      <c r="G188" s="98" t="s">
        <v>255</v>
      </c>
      <c r="H188" s="92">
        <v>12130.0</v>
      </c>
      <c r="I188" s="99">
        <v>326.0</v>
      </c>
      <c r="J188" s="94">
        <v>9.34</v>
      </c>
      <c r="K188" s="100">
        <v>2.94</v>
      </c>
      <c r="L188" s="100">
        <v>0.575</v>
      </c>
      <c r="M188" s="100">
        <v>0.595</v>
      </c>
      <c r="N188" s="101">
        <v>11.4</v>
      </c>
      <c r="O188" s="94">
        <v>2.77</v>
      </c>
      <c r="P188" s="101">
        <v>85.83</v>
      </c>
      <c r="Q188" s="89" t="s">
        <v>253</v>
      </c>
      <c r="R188" s="86">
        <f t="shared" si="1"/>
        <v>113294.2</v>
      </c>
      <c r="S188" s="86">
        <f t="shared" si="2"/>
        <v>35662.2</v>
      </c>
      <c r="T188" s="86">
        <f t="shared" si="3"/>
        <v>6974.75</v>
      </c>
      <c r="U188" s="86">
        <f t="shared" si="4"/>
        <v>7217.35</v>
      </c>
      <c r="V188" s="86">
        <f t="shared" si="5"/>
        <v>138282</v>
      </c>
      <c r="W188" s="86">
        <f t="shared" si="6"/>
        <v>33600.1</v>
      </c>
      <c r="X188" s="86">
        <f t="shared" si="7"/>
        <v>1041117.9</v>
      </c>
    </row>
    <row r="189" ht="12.0" customHeight="1">
      <c r="A1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89" s="87" t="str">
        <f>IFERROR(__xludf.DUMMYFUNCTION("IFERROR(IF(F189&lt;&gt;"""",""WHSE ""&amp;LEFT(F189,1),REGEXEXTRACT(E189,""-(?:\d{2}-)?([A-Z]+)"")),"""")
"),"WHSE A")</f>
        <v>WHSE A</v>
      </c>
      <c r="C189" s="88">
        <v>45876.0</v>
      </c>
      <c r="D189" s="89" t="s">
        <v>72</v>
      </c>
      <c r="E189" s="90" t="s">
        <v>256</v>
      </c>
      <c r="F189" s="90" t="s">
        <v>257</v>
      </c>
      <c r="G189" s="98" t="s">
        <v>77</v>
      </c>
      <c r="H189" s="92">
        <v>16580.0</v>
      </c>
      <c r="I189" s="99">
        <v>443.0</v>
      </c>
      <c r="J189" s="94">
        <v>11.54</v>
      </c>
      <c r="K189" s="100">
        <v>2.87</v>
      </c>
      <c r="L189" s="100">
        <v>0.578</v>
      </c>
      <c r="M189" s="100">
        <v>0.598</v>
      </c>
      <c r="N189" s="101">
        <v>12.42</v>
      </c>
      <c r="O189" s="94">
        <v>3.09</v>
      </c>
      <c r="P189" s="101">
        <v>84.49</v>
      </c>
      <c r="Q189" s="102"/>
      <c r="R189" s="103">
        <f t="shared" si="1"/>
        <v>191333.2</v>
      </c>
      <c r="S189" s="103">
        <f t="shared" si="2"/>
        <v>47584.6</v>
      </c>
      <c r="T189" s="103">
        <f t="shared" si="3"/>
        <v>9583.24</v>
      </c>
      <c r="U189" s="103">
        <f t="shared" si="4"/>
        <v>9914.84</v>
      </c>
      <c r="V189" s="103">
        <f t="shared" si="5"/>
        <v>205923.6</v>
      </c>
      <c r="W189" s="103">
        <f t="shared" si="6"/>
        <v>51232.2</v>
      </c>
      <c r="X189" s="103">
        <f t="shared" si="7"/>
        <v>1400844.2</v>
      </c>
    </row>
    <row r="190" ht="12.0" customHeight="1">
      <c r="A1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0" s="87" t="str">
        <f>IFERROR(__xludf.DUMMYFUNCTION("IFERROR(IF(F190&lt;&gt;"""",""WHSE ""&amp;LEFT(F190,1),REGEXEXTRACT(E190,""-(?:\d{2}-)?([A-Z]+)"")),"""")
"),"WHSE C")</f>
        <v>WHSE C</v>
      </c>
      <c r="C190" s="88">
        <v>45876.0</v>
      </c>
      <c r="D190" s="89" t="s">
        <v>232</v>
      </c>
      <c r="E190" s="90" t="s">
        <v>258</v>
      </c>
      <c r="F190" s="90" t="s">
        <v>259</v>
      </c>
      <c r="G190" s="98" t="s">
        <v>235</v>
      </c>
      <c r="H190" s="92">
        <v>11085.0</v>
      </c>
      <c r="I190" s="99">
        <v>265.0</v>
      </c>
      <c r="J190" s="94">
        <v>9.34</v>
      </c>
      <c r="K190" s="100">
        <v>3.34</v>
      </c>
      <c r="L190" s="100">
        <v>0.585</v>
      </c>
      <c r="M190" s="100">
        <v>0.605</v>
      </c>
      <c r="N190" s="101">
        <v>13.76</v>
      </c>
      <c r="O190" s="94">
        <v>3.64</v>
      </c>
      <c r="P190" s="101">
        <v>82.6</v>
      </c>
      <c r="Q190" s="102"/>
      <c r="R190" s="103">
        <f t="shared" si="1"/>
        <v>103533.9</v>
      </c>
      <c r="S190" s="103">
        <f t="shared" si="2"/>
        <v>37023.9</v>
      </c>
      <c r="T190" s="103">
        <f t="shared" si="3"/>
        <v>6484.725</v>
      </c>
      <c r="U190" s="103">
        <f t="shared" si="4"/>
        <v>6706.425</v>
      </c>
      <c r="V190" s="103">
        <f t="shared" si="5"/>
        <v>152529.6</v>
      </c>
      <c r="W190" s="103">
        <f t="shared" si="6"/>
        <v>40349.4</v>
      </c>
      <c r="X190" s="103">
        <f t="shared" si="7"/>
        <v>915621</v>
      </c>
    </row>
    <row r="191" ht="12.0" customHeight="1">
      <c r="A1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1" s="87" t="str">
        <f>IFERROR(__xludf.DUMMYFUNCTION("IFERROR(IF(F191&lt;&gt;"""",""WHSE ""&amp;LEFT(F191,1),REGEXEXTRACT(E191,""-(?:\d{2}-)?([A-Z]+)"")),"""")
"),"WHSE C")</f>
        <v>WHSE C</v>
      </c>
      <c r="C191" s="88">
        <v>45877.0</v>
      </c>
      <c r="D191" s="89" t="s">
        <v>232</v>
      </c>
      <c r="E191" s="90" t="s">
        <v>258</v>
      </c>
      <c r="F191" s="90" t="s">
        <v>259</v>
      </c>
      <c r="G191" s="98" t="s">
        <v>235</v>
      </c>
      <c r="H191" s="92">
        <v>10940.0</v>
      </c>
      <c r="I191" s="99">
        <v>352.0</v>
      </c>
      <c r="J191" s="94">
        <v>9.07</v>
      </c>
      <c r="K191" s="100">
        <v>3.4</v>
      </c>
      <c r="L191" s="100">
        <v>0.581</v>
      </c>
      <c r="M191" s="100">
        <v>0.601</v>
      </c>
      <c r="N191" s="101">
        <v>13.44</v>
      </c>
      <c r="O191" s="94">
        <v>3.27</v>
      </c>
      <c r="P191" s="101">
        <v>83.29</v>
      </c>
      <c r="Q191" s="102"/>
      <c r="R191" s="103">
        <f t="shared" si="1"/>
        <v>99225.8</v>
      </c>
      <c r="S191" s="103">
        <f t="shared" si="2"/>
        <v>37196</v>
      </c>
      <c r="T191" s="103">
        <f t="shared" si="3"/>
        <v>6356.14</v>
      </c>
      <c r="U191" s="103">
        <f t="shared" si="4"/>
        <v>6574.94</v>
      </c>
      <c r="V191" s="103">
        <f t="shared" si="5"/>
        <v>147033.6</v>
      </c>
      <c r="W191" s="103">
        <f t="shared" si="6"/>
        <v>35773.8</v>
      </c>
      <c r="X191" s="103">
        <f t="shared" si="7"/>
        <v>911192.6</v>
      </c>
    </row>
    <row r="192" ht="12.0" customHeight="1">
      <c r="A1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2" s="87" t="str">
        <f>IFERROR(__xludf.DUMMYFUNCTION("IFERROR(IF(F192&lt;&gt;"""",""WHSE ""&amp;LEFT(F192,1),REGEXEXTRACT(E192,""-(?:\d{2}-)?([A-Z]+)"")),"""")
"),"WHSE C")</f>
        <v>WHSE C</v>
      </c>
      <c r="C192" s="88">
        <v>45877.0</v>
      </c>
      <c r="D192" s="89" t="s">
        <v>254</v>
      </c>
      <c r="E192" s="90" t="s">
        <v>258</v>
      </c>
      <c r="F192" s="90" t="s">
        <v>259</v>
      </c>
      <c r="G192" s="98" t="s">
        <v>255</v>
      </c>
      <c r="H192" s="92">
        <v>10560.0</v>
      </c>
      <c r="I192" s="99">
        <v>285.0</v>
      </c>
      <c r="J192" s="94">
        <v>10.27</v>
      </c>
      <c r="K192" s="100">
        <v>3.8</v>
      </c>
      <c r="L192" s="100">
        <v>0.585</v>
      </c>
      <c r="M192" s="100">
        <v>0.605</v>
      </c>
      <c r="N192" s="101">
        <v>12.25</v>
      </c>
      <c r="O192" s="94">
        <v>2.94</v>
      </c>
      <c r="P192" s="101">
        <v>84.81</v>
      </c>
      <c r="Q192" s="102"/>
      <c r="R192" s="103">
        <f t="shared" si="1"/>
        <v>108451.2</v>
      </c>
      <c r="S192" s="103">
        <f t="shared" si="2"/>
        <v>40128</v>
      </c>
      <c r="T192" s="103">
        <f t="shared" si="3"/>
        <v>6177.6</v>
      </c>
      <c r="U192" s="103">
        <f t="shared" si="4"/>
        <v>6388.8</v>
      </c>
      <c r="V192" s="103">
        <f t="shared" si="5"/>
        <v>129360</v>
      </c>
      <c r="W192" s="103">
        <f t="shared" si="6"/>
        <v>31046.4</v>
      </c>
      <c r="X192" s="103">
        <f t="shared" si="7"/>
        <v>895593.6</v>
      </c>
    </row>
    <row r="193" ht="12.0" customHeight="1">
      <c r="A1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3" s="87" t="str">
        <f>IFERROR(__xludf.DUMMYFUNCTION("IFERROR(IF(F193&lt;&gt;"""",""WHSE ""&amp;LEFT(F193,1),REGEXEXTRACT(E193,""-(?:\d{2}-)?([A-Z]+)"")),"""")
"),"WHSE C")</f>
        <v>WHSE C</v>
      </c>
      <c r="C193" s="88">
        <v>45880.0</v>
      </c>
      <c r="D193" s="89" t="s">
        <v>232</v>
      </c>
      <c r="E193" s="90" t="s">
        <v>258</v>
      </c>
      <c r="F193" s="90" t="s">
        <v>259</v>
      </c>
      <c r="G193" s="98" t="s">
        <v>235</v>
      </c>
      <c r="H193" s="92">
        <v>10875.0</v>
      </c>
      <c r="I193" s="99">
        <v>297.0</v>
      </c>
      <c r="J193" s="94">
        <v>9.8</v>
      </c>
      <c r="K193" s="100">
        <v>3.6</v>
      </c>
      <c r="L193" s="100">
        <v>0.581</v>
      </c>
      <c r="M193" s="100">
        <v>0.601</v>
      </c>
      <c r="N193" s="101">
        <v>12.46</v>
      </c>
      <c r="O193" s="94">
        <v>2.87</v>
      </c>
      <c r="P193" s="101">
        <v>84.67</v>
      </c>
      <c r="Q193" s="102"/>
      <c r="R193" s="103">
        <f t="shared" si="1"/>
        <v>106575</v>
      </c>
      <c r="S193" s="103">
        <f t="shared" si="2"/>
        <v>39150</v>
      </c>
      <c r="T193" s="103">
        <f t="shared" si="3"/>
        <v>6318.375</v>
      </c>
      <c r="U193" s="103">
        <f t="shared" si="4"/>
        <v>6535.875</v>
      </c>
      <c r="V193" s="103">
        <f t="shared" si="5"/>
        <v>135502.5</v>
      </c>
      <c r="W193" s="103">
        <f t="shared" si="6"/>
        <v>31211.25</v>
      </c>
      <c r="X193" s="103">
        <f t="shared" si="7"/>
        <v>920786.25</v>
      </c>
    </row>
    <row r="194" ht="12.0" customHeight="1">
      <c r="A1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4" s="87" t="str">
        <f>IFERROR(__xludf.DUMMYFUNCTION("IFERROR(IF(F194&lt;&gt;"""",""WHSE ""&amp;LEFT(F194,1),REGEXEXTRACT(E194,""-(?:\d{2}-)?([A-Z]+)"")),"""")
"),"WHSE C")</f>
        <v>WHSE C</v>
      </c>
      <c r="C194" s="88">
        <v>45881.0</v>
      </c>
      <c r="D194" s="89" t="s">
        <v>254</v>
      </c>
      <c r="E194" s="90" t="s">
        <v>260</v>
      </c>
      <c r="F194" s="90" t="s">
        <v>261</v>
      </c>
      <c r="G194" s="98" t="s">
        <v>255</v>
      </c>
      <c r="H194" s="92">
        <v>14345.0</v>
      </c>
      <c r="I194" s="99">
        <v>412.0</v>
      </c>
      <c r="J194" s="94">
        <v>9.74</v>
      </c>
      <c r="K194" s="100">
        <v>2.87</v>
      </c>
      <c r="L194" s="100">
        <v>0.578</v>
      </c>
      <c r="M194" s="100">
        <v>0.598</v>
      </c>
      <c r="N194" s="101">
        <v>12.39</v>
      </c>
      <c r="O194" s="94">
        <v>2.88</v>
      </c>
      <c r="P194" s="101">
        <v>84.73</v>
      </c>
      <c r="Q194" s="102"/>
      <c r="R194" s="103">
        <f t="shared" si="1"/>
        <v>139720.3</v>
      </c>
      <c r="S194" s="103">
        <f t="shared" si="2"/>
        <v>41170.15</v>
      </c>
      <c r="T194" s="103">
        <f t="shared" si="3"/>
        <v>8291.41</v>
      </c>
      <c r="U194" s="103">
        <f t="shared" si="4"/>
        <v>8578.31</v>
      </c>
      <c r="V194" s="103">
        <f t="shared" si="5"/>
        <v>177734.55</v>
      </c>
      <c r="W194" s="103">
        <f t="shared" si="6"/>
        <v>41313.6</v>
      </c>
      <c r="X194" s="103">
        <f t="shared" si="7"/>
        <v>1215451.85</v>
      </c>
    </row>
    <row r="195" ht="12.0" customHeight="1">
      <c r="A1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5" s="87" t="str">
        <f>IFERROR(__xludf.DUMMYFUNCTION("IFERROR(IF(F195&lt;&gt;"""",""WHSE ""&amp;LEFT(F195,1),REGEXEXTRACT(E195,""-(?:\d{2}-)?([A-Z]+)"")),"""")
"),"WHSE C")</f>
        <v>WHSE C</v>
      </c>
      <c r="C195" s="88">
        <v>45881.0</v>
      </c>
      <c r="D195" s="89" t="s">
        <v>232</v>
      </c>
      <c r="E195" s="90" t="s">
        <v>258</v>
      </c>
      <c r="F195" s="90" t="s">
        <v>259</v>
      </c>
      <c r="G195" s="98" t="s">
        <v>235</v>
      </c>
      <c r="H195" s="92">
        <v>9885.0</v>
      </c>
      <c r="I195" s="99">
        <v>385.0</v>
      </c>
      <c r="J195" s="94">
        <v>9.34</v>
      </c>
      <c r="K195" s="100">
        <v>3.47</v>
      </c>
      <c r="L195" s="100">
        <v>0.585</v>
      </c>
      <c r="M195" s="100">
        <v>0.605</v>
      </c>
      <c r="N195" s="101">
        <v>13.59</v>
      </c>
      <c r="O195" s="94">
        <v>3.29</v>
      </c>
      <c r="P195" s="101">
        <v>83.12</v>
      </c>
      <c r="Q195" s="102"/>
      <c r="R195" s="103">
        <f t="shared" si="1"/>
        <v>92325.9</v>
      </c>
      <c r="S195" s="103">
        <f t="shared" si="2"/>
        <v>34300.95</v>
      </c>
      <c r="T195" s="103">
        <f t="shared" si="3"/>
        <v>5782.725</v>
      </c>
      <c r="U195" s="103">
        <f t="shared" si="4"/>
        <v>5980.425</v>
      </c>
      <c r="V195" s="103">
        <f t="shared" si="5"/>
        <v>134337.15</v>
      </c>
      <c r="W195" s="103">
        <f t="shared" si="6"/>
        <v>32521.65</v>
      </c>
      <c r="X195" s="103">
        <f t="shared" si="7"/>
        <v>821641.2</v>
      </c>
    </row>
    <row r="196" ht="12.0" customHeight="1">
      <c r="A1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6" s="87" t="str">
        <f>IFERROR(__xludf.DUMMYFUNCTION("IFERROR(IF(F196&lt;&gt;"""",""WHSE ""&amp;LEFT(F196,1),REGEXEXTRACT(E196,""-(?:\d{2}-)?([A-Z]+)"")),"""")
"),"WHSE C")</f>
        <v>WHSE C</v>
      </c>
      <c r="C196" s="88">
        <v>45881.0</v>
      </c>
      <c r="D196" s="89" t="s">
        <v>232</v>
      </c>
      <c r="E196" s="90" t="s">
        <v>260</v>
      </c>
      <c r="F196" s="90" t="s">
        <v>261</v>
      </c>
      <c r="G196" s="98" t="s">
        <v>262</v>
      </c>
      <c r="H196" s="92">
        <v>20830.0</v>
      </c>
      <c r="I196" s="99">
        <v>582.0</v>
      </c>
      <c r="J196" s="94">
        <v>9.4</v>
      </c>
      <c r="K196" s="100">
        <v>3.6</v>
      </c>
      <c r="L196" s="100">
        <v>0.581</v>
      </c>
      <c r="M196" s="100">
        <v>0.601</v>
      </c>
      <c r="N196" s="101">
        <v>11.39</v>
      </c>
      <c r="O196" s="94">
        <v>4.79</v>
      </c>
      <c r="P196" s="101">
        <v>83.82</v>
      </c>
      <c r="Q196" s="102"/>
      <c r="R196" s="103">
        <f t="shared" si="1"/>
        <v>195802</v>
      </c>
      <c r="S196" s="103">
        <f t="shared" si="2"/>
        <v>74988</v>
      </c>
      <c r="T196" s="103">
        <f t="shared" si="3"/>
        <v>12102.23</v>
      </c>
      <c r="U196" s="103">
        <f t="shared" si="4"/>
        <v>12518.83</v>
      </c>
      <c r="V196" s="103">
        <f t="shared" si="5"/>
        <v>237253.7</v>
      </c>
      <c r="W196" s="103">
        <f t="shared" si="6"/>
        <v>99775.7</v>
      </c>
      <c r="X196" s="103">
        <f t="shared" si="7"/>
        <v>1745970.6</v>
      </c>
    </row>
    <row r="197" ht="12.0" customHeight="1">
      <c r="A1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97" s="87" t="str">
        <f>IFERROR(__xludf.DUMMYFUNCTION("IFERROR(IF(F197&lt;&gt;"""",""WHSE ""&amp;LEFT(F197,1),REGEXEXTRACT(E197,""-(?:\d{2}-)?([A-Z]+)"")),"""")
"),"WHSE A")</f>
        <v>WHSE A</v>
      </c>
      <c r="C197" s="88">
        <v>45882.0</v>
      </c>
      <c r="D197" s="89" t="s">
        <v>72</v>
      </c>
      <c r="E197" s="90" t="s">
        <v>256</v>
      </c>
      <c r="F197" s="90" t="s">
        <v>257</v>
      </c>
      <c r="G197" s="98" t="s">
        <v>73</v>
      </c>
      <c r="H197" s="92">
        <v>16885.0</v>
      </c>
      <c r="I197" s="99">
        <v>419.0</v>
      </c>
      <c r="J197" s="94">
        <v>11.54</v>
      </c>
      <c r="K197" s="100">
        <v>2.74</v>
      </c>
      <c r="L197" s="100">
        <v>0.575</v>
      </c>
      <c r="M197" s="100">
        <v>0.595</v>
      </c>
      <c r="N197" s="101">
        <v>12.25</v>
      </c>
      <c r="O197" s="94">
        <v>2.98</v>
      </c>
      <c r="P197" s="101">
        <v>84.77</v>
      </c>
      <c r="Q197" s="102"/>
      <c r="R197" s="103">
        <f t="shared" si="1"/>
        <v>194852.9</v>
      </c>
      <c r="S197" s="103">
        <f t="shared" si="2"/>
        <v>46264.9</v>
      </c>
      <c r="T197" s="103">
        <f t="shared" si="3"/>
        <v>9708.875</v>
      </c>
      <c r="U197" s="103">
        <f t="shared" si="4"/>
        <v>10046.575</v>
      </c>
      <c r="V197" s="103">
        <f t="shared" si="5"/>
        <v>206841.25</v>
      </c>
      <c r="W197" s="103">
        <f t="shared" si="6"/>
        <v>50317.3</v>
      </c>
      <c r="X197" s="103">
        <f t="shared" si="7"/>
        <v>1431341.45</v>
      </c>
    </row>
    <row r="198" ht="12.0" customHeight="1">
      <c r="A1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8" s="87" t="str">
        <f>IFERROR(__xludf.DUMMYFUNCTION("IFERROR(IF(F198&lt;&gt;"""",""WHSE ""&amp;LEFT(F198,1),REGEXEXTRACT(E198,""-(?:\d{2}-)?([A-Z]+)"")),"""")
"),"WHSE C")</f>
        <v>WHSE C</v>
      </c>
      <c r="C198" s="88">
        <v>45883.0</v>
      </c>
      <c r="D198" s="89" t="s">
        <v>232</v>
      </c>
      <c r="E198" s="90" t="s">
        <v>263</v>
      </c>
      <c r="F198" s="90" t="s">
        <v>264</v>
      </c>
      <c r="G198" s="98" t="s">
        <v>235</v>
      </c>
      <c r="H198" s="92">
        <v>10750.0</v>
      </c>
      <c r="I198" s="99">
        <v>343.0</v>
      </c>
      <c r="J198" s="94">
        <v>10.87</v>
      </c>
      <c r="K198" s="100">
        <v>3.54</v>
      </c>
      <c r="L198" s="100">
        <v>0.578</v>
      </c>
      <c r="M198" s="100">
        <v>0.598</v>
      </c>
      <c r="N198" s="101">
        <v>12.56</v>
      </c>
      <c r="O198" s="94">
        <v>3.78</v>
      </c>
      <c r="P198" s="101">
        <v>83.66</v>
      </c>
      <c r="Q198" s="102"/>
      <c r="R198" s="103">
        <f t="shared" si="1"/>
        <v>116852.5</v>
      </c>
      <c r="S198" s="103">
        <f t="shared" si="2"/>
        <v>38055</v>
      </c>
      <c r="T198" s="103">
        <f t="shared" si="3"/>
        <v>6213.5</v>
      </c>
      <c r="U198" s="103">
        <f t="shared" si="4"/>
        <v>6428.5</v>
      </c>
      <c r="V198" s="103">
        <f t="shared" si="5"/>
        <v>135020</v>
      </c>
      <c r="W198" s="103">
        <f t="shared" si="6"/>
        <v>40635</v>
      </c>
      <c r="X198" s="103">
        <f t="shared" si="7"/>
        <v>899345</v>
      </c>
    </row>
    <row r="199" ht="12.0" customHeight="1">
      <c r="A1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99" s="87" t="str">
        <f>IFERROR(__xludf.DUMMYFUNCTION("IFERROR(IF(F199&lt;&gt;"""",""WHSE ""&amp;LEFT(F199,1),REGEXEXTRACT(E199,""-(?:\d{2}-)?([A-Z]+)"")),"""")
"),"WHSE C")</f>
        <v>WHSE C</v>
      </c>
      <c r="C199" s="88">
        <v>45883.0</v>
      </c>
      <c r="D199" s="89" t="s">
        <v>232</v>
      </c>
      <c r="E199" s="90" t="s">
        <v>263</v>
      </c>
      <c r="F199" s="90" t="s">
        <v>264</v>
      </c>
      <c r="G199" s="98" t="s">
        <v>262</v>
      </c>
      <c r="H199" s="92">
        <v>20745.0</v>
      </c>
      <c r="I199" s="99">
        <v>706.0</v>
      </c>
      <c r="J199" s="94">
        <v>9.27</v>
      </c>
      <c r="K199" s="100">
        <v>3.6</v>
      </c>
      <c r="L199" s="100">
        <v>0.578</v>
      </c>
      <c r="M199" s="100">
        <v>0.598</v>
      </c>
      <c r="N199" s="101">
        <v>12.4</v>
      </c>
      <c r="O199" s="94">
        <v>3.78</v>
      </c>
      <c r="P199" s="101">
        <v>83.82</v>
      </c>
      <c r="Q199" s="102"/>
      <c r="R199" s="103">
        <f t="shared" si="1"/>
        <v>192306.15</v>
      </c>
      <c r="S199" s="103">
        <f t="shared" si="2"/>
        <v>74682</v>
      </c>
      <c r="T199" s="103">
        <f t="shared" si="3"/>
        <v>11990.61</v>
      </c>
      <c r="U199" s="103">
        <f t="shared" si="4"/>
        <v>12405.51</v>
      </c>
      <c r="V199" s="103">
        <f t="shared" si="5"/>
        <v>257238</v>
      </c>
      <c r="W199" s="103">
        <f t="shared" si="6"/>
        <v>78416.1</v>
      </c>
      <c r="X199" s="103">
        <f t="shared" si="7"/>
        <v>1738845.9</v>
      </c>
    </row>
    <row r="200" ht="12.0" customHeight="1">
      <c r="A2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00" s="87" t="str">
        <f>IFERROR(__xludf.DUMMYFUNCTION("IFERROR(IF(F200&lt;&gt;"""",""WHSE ""&amp;LEFT(F200,1),REGEXEXTRACT(E200,""-(?:\d{2}-)?([A-Z]+)"")),"""")
"),"WHSE A")</f>
        <v>WHSE A</v>
      </c>
      <c r="C200" s="88">
        <v>45884.0</v>
      </c>
      <c r="D200" s="89" t="s">
        <v>72</v>
      </c>
      <c r="E200" s="90" t="s">
        <v>256</v>
      </c>
      <c r="F200" s="90" t="s">
        <v>257</v>
      </c>
      <c r="G200" s="98" t="s">
        <v>73</v>
      </c>
      <c r="H200" s="92">
        <v>18350.0</v>
      </c>
      <c r="I200" s="99">
        <v>417.0</v>
      </c>
      <c r="J200" s="94">
        <v>11.8</v>
      </c>
      <c r="K200" s="100">
        <v>2.94</v>
      </c>
      <c r="L200" s="100">
        <v>0.568</v>
      </c>
      <c r="M200" s="100">
        <v>0.588</v>
      </c>
      <c r="N200" s="101">
        <v>13.24</v>
      </c>
      <c r="O200" s="94">
        <v>3.59</v>
      </c>
      <c r="P200" s="101">
        <v>83.17</v>
      </c>
      <c r="Q200" s="102"/>
      <c r="R200" s="103">
        <f t="shared" si="1"/>
        <v>216530</v>
      </c>
      <c r="S200" s="103">
        <f t="shared" si="2"/>
        <v>53949</v>
      </c>
      <c r="T200" s="103">
        <f t="shared" si="3"/>
        <v>10422.8</v>
      </c>
      <c r="U200" s="103">
        <f t="shared" si="4"/>
        <v>10789.8</v>
      </c>
      <c r="V200" s="103">
        <f t="shared" si="5"/>
        <v>242954</v>
      </c>
      <c r="W200" s="103">
        <f t="shared" si="6"/>
        <v>65876.5</v>
      </c>
      <c r="X200" s="103">
        <f t="shared" si="7"/>
        <v>1526169.5</v>
      </c>
    </row>
    <row r="201" ht="12.0" customHeight="1">
      <c r="A2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1" s="87" t="str">
        <f>IFERROR(__xludf.DUMMYFUNCTION("IFERROR(IF(F201&lt;&gt;"""",""WHSE ""&amp;LEFT(F201,1),REGEXEXTRACT(E201,""-(?:\d{2}-)?([A-Z]+)"")),"""")
"),"WHSE C")</f>
        <v>WHSE C</v>
      </c>
      <c r="C201" s="88">
        <v>45888.0</v>
      </c>
      <c r="D201" s="89" t="s">
        <v>232</v>
      </c>
      <c r="E201" s="90" t="s">
        <v>263</v>
      </c>
      <c r="F201" s="90" t="s">
        <v>264</v>
      </c>
      <c r="G201" s="98" t="s">
        <v>262</v>
      </c>
      <c r="H201" s="92">
        <v>23455.0</v>
      </c>
      <c r="I201" s="99">
        <v>527.0</v>
      </c>
      <c r="J201" s="94">
        <v>11.4</v>
      </c>
      <c r="K201" s="100">
        <v>3.8</v>
      </c>
      <c r="L201" s="100">
        <v>0.546</v>
      </c>
      <c r="M201" s="100">
        <v>0.566</v>
      </c>
      <c r="N201" s="101">
        <v>10.61</v>
      </c>
      <c r="O201" s="94">
        <v>7.04</v>
      </c>
      <c r="P201" s="101">
        <v>82.35</v>
      </c>
      <c r="Q201" s="102"/>
      <c r="R201" s="103">
        <f t="shared" si="1"/>
        <v>267387</v>
      </c>
      <c r="S201" s="103">
        <f t="shared" si="2"/>
        <v>89129</v>
      </c>
      <c r="T201" s="103">
        <f t="shared" si="3"/>
        <v>12806.43</v>
      </c>
      <c r="U201" s="103">
        <f t="shared" si="4"/>
        <v>13275.53</v>
      </c>
      <c r="V201" s="103">
        <f t="shared" si="5"/>
        <v>248857.55</v>
      </c>
      <c r="W201" s="103">
        <f t="shared" si="6"/>
        <v>165123.2</v>
      </c>
      <c r="X201" s="103">
        <f t="shared" si="7"/>
        <v>1931519.25</v>
      </c>
    </row>
    <row r="202" ht="12.0" customHeight="1">
      <c r="A2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2" s="87" t="str">
        <f>IFERROR(__xludf.DUMMYFUNCTION("IFERROR(IF(F202&lt;&gt;"""",""WHSE ""&amp;LEFT(F202,1),REGEXEXTRACT(E202,""-(?:\d{2}-)?([A-Z]+)"")),"""")
"),"WHSE C")</f>
        <v>WHSE C</v>
      </c>
      <c r="C202" s="88">
        <v>45888.0</v>
      </c>
      <c r="D202" s="89" t="s">
        <v>265</v>
      </c>
      <c r="E202" s="90" t="s">
        <v>260</v>
      </c>
      <c r="F202" s="90" t="s">
        <v>261</v>
      </c>
      <c r="G202" s="98" t="s">
        <v>255</v>
      </c>
      <c r="H202" s="92">
        <v>9965.0</v>
      </c>
      <c r="I202" s="99">
        <v>327.0</v>
      </c>
      <c r="J202" s="94">
        <v>9.14</v>
      </c>
      <c r="K202" s="100">
        <v>3.54</v>
      </c>
      <c r="L202" s="100">
        <v>0.571</v>
      </c>
      <c r="M202" s="100">
        <v>0.591</v>
      </c>
      <c r="N202" s="101">
        <v>13.79</v>
      </c>
      <c r="O202" s="94">
        <v>2.43</v>
      </c>
      <c r="P202" s="101">
        <v>83.78</v>
      </c>
      <c r="Q202" s="102"/>
      <c r="R202" s="103">
        <f t="shared" si="1"/>
        <v>91080.1</v>
      </c>
      <c r="S202" s="103">
        <f t="shared" si="2"/>
        <v>35276.1</v>
      </c>
      <c r="T202" s="103">
        <f t="shared" si="3"/>
        <v>5690.015</v>
      </c>
      <c r="U202" s="103">
        <f t="shared" si="4"/>
        <v>5889.315</v>
      </c>
      <c r="V202" s="103">
        <f t="shared" si="5"/>
        <v>137417.35</v>
      </c>
      <c r="W202" s="103">
        <f t="shared" si="6"/>
        <v>24214.95</v>
      </c>
      <c r="X202" s="103">
        <f t="shared" si="7"/>
        <v>834867.7</v>
      </c>
    </row>
    <row r="203" ht="12.0" customHeight="1">
      <c r="A2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3" s="87" t="str">
        <f>IFERROR(__xludf.DUMMYFUNCTION("IFERROR(IF(F203&lt;&gt;"""",""WHSE ""&amp;LEFT(F203,1),REGEXEXTRACT(E203,""-(?:\d{2}-)?([A-Z]+)"")),"""")
"),"WHSE C")</f>
        <v>WHSE C</v>
      </c>
      <c r="C203" s="88">
        <v>45892.0</v>
      </c>
      <c r="D203" s="89" t="s">
        <v>232</v>
      </c>
      <c r="E203" s="90" t="s">
        <v>266</v>
      </c>
      <c r="F203" s="90" t="s">
        <v>267</v>
      </c>
      <c r="G203" s="98" t="s">
        <v>235</v>
      </c>
      <c r="H203" s="92">
        <v>10870.0</v>
      </c>
      <c r="I203" s="99">
        <v>353.0</v>
      </c>
      <c r="J203" s="94">
        <v>11.27</v>
      </c>
      <c r="K203" s="100">
        <v>3.87</v>
      </c>
      <c r="L203" s="100">
        <v>0.581</v>
      </c>
      <c r="M203" s="100">
        <v>0.601</v>
      </c>
      <c r="N203" s="101">
        <v>12.42</v>
      </c>
      <c r="O203" s="94">
        <v>6.3</v>
      </c>
      <c r="P203" s="101">
        <v>81.28</v>
      </c>
      <c r="Q203" s="102"/>
      <c r="R203" s="103">
        <f t="shared" si="1"/>
        <v>122504.9</v>
      </c>
      <c r="S203" s="103">
        <f t="shared" si="2"/>
        <v>42066.9</v>
      </c>
      <c r="T203" s="103">
        <f t="shared" si="3"/>
        <v>6315.47</v>
      </c>
      <c r="U203" s="103">
        <f t="shared" si="4"/>
        <v>6532.87</v>
      </c>
      <c r="V203" s="103">
        <f t="shared" si="5"/>
        <v>135005.4</v>
      </c>
      <c r="W203" s="103">
        <f t="shared" si="6"/>
        <v>68481</v>
      </c>
      <c r="X203" s="103">
        <f t="shared" si="7"/>
        <v>883513.6</v>
      </c>
    </row>
    <row r="204" ht="12.0" customHeight="1">
      <c r="A2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4" s="87" t="str">
        <f>IFERROR(__xludf.DUMMYFUNCTION("IFERROR(IF(F204&lt;&gt;"""",""WHSE ""&amp;LEFT(F204,1),REGEXEXTRACT(E204,""-(?:\d{2}-)?([A-Z]+)"")),"""")
"),"WHSE C")</f>
        <v>WHSE C</v>
      </c>
      <c r="C204" s="88">
        <v>45892.0</v>
      </c>
      <c r="D204" s="89" t="s">
        <v>232</v>
      </c>
      <c r="E204" s="90" t="s">
        <v>266</v>
      </c>
      <c r="F204" s="90" t="s">
        <v>267</v>
      </c>
      <c r="G204" s="98" t="s">
        <v>77</v>
      </c>
      <c r="H204" s="92">
        <v>17780.0</v>
      </c>
      <c r="I204" s="99">
        <v>504.0</v>
      </c>
      <c r="J204" s="94">
        <v>9.74</v>
      </c>
      <c r="K204" s="100">
        <v>3.6</v>
      </c>
      <c r="L204" s="100">
        <v>0.571</v>
      </c>
      <c r="M204" s="100">
        <v>0.591</v>
      </c>
      <c r="N204" s="101">
        <v>13.36</v>
      </c>
      <c r="O204" s="94">
        <v>2.88</v>
      </c>
      <c r="P204" s="101">
        <v>83.76</v>
      </c>
      <c r="Q204" s="102"/>
      <c r="R204" s="103">
        <f t="shared" si="1"/>
        <v>173177.2</v>
      </c>
      <c r="S204" s="103">
        <f t="shared" si="2"/>
        <v>64008</v>
      </c>
      <c r="T204" s="103">
        <f t="shared" si="3"/>
        <v>10152.38</v>
      </c>
      <c r="U204" s="103">
        <f t="shared" si="4"/>
        <v>10507.98</v>
      </c>
      <c r="V204" s="103">
        <f t="shared" si="5"/>
        <v>237540.8</v>
      </c>
      <c r="W204" s="103">
        <f t="shared" si="6"/>
        <v>51206.4</v>
      </c>
      <c r="X204" s="103">
        <f t="shared" si="7"/>
        <v>1489252.8</v>
      </c>
    </row>
    <row r="205" ht="12.0" customHeight="1">
      <c r="A2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5" s="87" t="str">
        <f>IFERROR(__xludf.DUMMYFUNCTION("IFERROR(IF(F205&lt;&gt;"""",""WHSE ""&amp;LEFT(F205,1),REGEXEXTRACT(E205,""-(?:\d{2}-)?([A-Z]+)"")),"""")
"),"WHSE C")</f>
        <v>WHSE C</v>
      </c>
      <c r="C205" s="88">
        <v>45895.0</v>
      </c>
      <c r="D205" s="89" t="s">
        <v>232</v>
      </c>
      <c r="E205" s="90" t="s">
        <v>266</v>
      </c>
      <c r="F205" s="90" t="s">
        <v>267</v>
      </c>
      <c r="G205" s="98" t="s">
        <v>235</v>
      </c>
      <c r="H205" s="92">
        <v>12355.0</v>
      </c>
      <c r="I205" s="99">
        <v>358.0</v>
      </c>
      <c r="J205" s="94">
        <v>11.4</v>
      </c>
      <c r="K205" s="100">
        <v>3.94</v>
      </c>
      <c r="L205" s="100">
        <v>0.581</v>
      </c>
      <c r="M205" s="100">
        <v>0.601</v>
      </c>
      <c r="N205" s="101">
        <v>12.47</v>
      </c>
      <c r="O205" s="94">
        <v>3.7</v>
      </c>
      <c r="P205" s="101">
        <v>83.83</v>
      </c>
      <c r="Q205" s="102"/>
      <c r="R205" s="103">
        <f t="shared" si="1"/>
        <v>140847</v>
      </c>
      <c r="S205" s="103">
        <f t="shared" si="2"/>
        <v>48678.7</v>
      </c>
      <c r="T205" s="103">
        <f t="shared" si="3"/>
        <v>7178.255</v>
      </c>
      <c r="U205" s="103">
        <f t="shared" si="4"/>
        <v>7425.355</v>
      </c>
      <c r="V205" s="103">
        <f t="shared" si="5"/>
        <v>154066.85</v>
      </c>
      <c r="W205" s="103">
        <f t="shared" si="6"/>
        <v>45713.5</v>
      </c>
      <c r="X205" s="103">
        <f t="shared" si="7"/>
        <v>1035719.65</v>
      </c>
    </row>
    <row r="206" ht="12.0" customHeight="1">
      <c r="A2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6" s="87" t="str">
        <f>IFERROR(__xludf.DUMMYFUNCTION("IFERROR(IF(F206&lt;&gt;"""",""WHSE ""&amp;LEFT(F206,1),REGEXEXTRACT(E206,""-(?:\d{2}-)?([A-Z]+)"")),"""")
"),"WHSE C")</f>
        <v>WHSE C</v>
      </c>
      <c r="C206" s="88">
        <v>45896.0</v>
      </c>
      <c r="D206" s="89" t="s">
        <v>232</v>
      </c>
      <c r="E206" s="90" t="s">
        <v>268</v>
      </c>
      <c r="F206" s="90" t="s">
        <v>269</v>
      </c>
      <c r="G206" s="98" t="s">
        <v>77</v>
      </c>
      <c r="H206" s="92">
        <v>17210.0</v>
      </c>
      <c r="I206" s="99">
        <v>450.0</v>
      </c>
      <c r="J206" s="94">
        <v>9.8</v>
      </c>
      <c r="K206" s="100">
        <v>3.6</v>
      </c>
      <c r="L206" s="100">
        <v>0.578</v>
      </c>
      <c r="M206" s="100">
        <v>0.598</v>
      </c>
      <c r="N206" s="101">
        <v>13.7</v>
      </c>
      <c r="O206" s="94">
        <v>3.17</v>
      </c>
      <c r="P206" s="101">
        <v>83.13</v>
      </c>
      <c r="Q206" s="102"/>
      <c r="R206" s="103">
        <f t="shared" si="1"/>
        <v>168658</v>
      </c>
      <c r="S206" s="103">
        <f t="shared" si="2"/>
        <v>61956</v>
      </c>
      <c r="T206" s="103">
        <f t="shared" si="3"/>
        <v>9947.38</v>
      </c>
      <c r="U206" s="103">
        <f t="shared" si="4"/>
        <v>10291.58</v>
      </c>
      <c r="V206" s="103">
        <f t="shared" si="5"/>
        <v>235777</v>
      </c>
      <c r="W206" s="103">
        <f t="shared" si="6"/>
        <v>54555.7</v>
      </c>
      <c r="X206" s="103">
        <f t="shared" si="7"/>
        <v>1430667.3</v>
      </c>
    </row>
    <row r="207" ht="12.0" customHeight="1">
      <c r="A2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7" s="87" t="str">
        <f>IFERROR(__xludf.DUMMYFUNCTION("IFERROR(IF(F207&lt;&gt;"""",""WHSE ""&amp;LEFT(F207,1),REGEXEXTRACT(E207,""-(?:\d{2}-)?([A-Z]+)"")),"""")
"),"WHSE C")</f>
        <v>WHSE C</v>
      </c>
      <c r="C207" s="88">
        <v>45897.0</v>
      </c>
      <c r="D207" s="89" t="s">
        <v>232</v>
      </c>
      <c r="E207" s="90" t="s">
        <v>268</v>
      </c>
      <c r="F207" s="90" t="s">
        <v>269</v>
      </c>
      <c r="G207" s="98" t="s">
        <v>235</v>
      </c>
      <c r="H207" s="92">
        <v>10940.0</v>
      </c>
      <c r="I207" s="99">
        <v>362.0</v>
      </c>
      <c r="J207" s="94">
        <v>9.47</v>
      </c>
      <c r="K207" s="100">
        <v>3.74</v>
      </c>
      <c r="L207" s="100">
        <v>0.578</v>
      </c>
      <c r="M207" s="100">
        <v>0.598</v>
      </c>
      <c r="N207" s="101">
        <v>14.39</v>
      </c>
      <c r="O207" s="94">
        <v>3.19</v>
      </c>
      <c r="P207" s="101">
        <v>82.42</v>
      </c>
      <c r="Q207" s="102"/>
      <c r="R207" s="103">
        <f t="shared" si="1"/>
        <v>103601.8</v>
      </c>
      <c r="S207" s="103">
        <f t="shared" si="2"/>
        <v>40915.6</v>
      </c>
      <c r="T207" s="103">
        <f t="shared" si="3"/>
        <v>6323.32</v>
      </c>
      <c r="U207" s="103">
        <f t="shared" si="4"/>
        <v>6542.12</v>
      </c>
      <c r="V207" s="103">
        <f t="shared" si="5"/>
        <v>157426.6</v>
      </c>
      <c r="W207" s="103">
        <f t="shared" si="6"/>
        <v>34898.6</v>
      </c>
      <c r="X207" s="103">
        <f t="shared" si="7"/>
        <v>901674.8</v>
      </c>
    </row>
    <row r="208" ht="12.0" customHeight="1">
      <c r="A2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8" s="87" t="str">
        <f>IFERROR(__xludf.DUMMYFUNCTION("IFERROR(IF(F208&lt;&gt;"""",""WHSE ""&amp;LEFT(F208,1),REGEXEXTRACT(E208,""-(?:\d{2}-)?([A-Z]+)"")),"""")
"),"WHSE C")</f>
        <v>WHSE C</v>
      </c>
      <c r="C208" s="88">
        <v>45897.0</v>
      </c>
      <c r="D208" s="89" t="s">
        <v>265</v>
      </c>
      <c r="E208" s="90" t="s">
        <v>268</v>
      </c>
      <c r="F208" s="90" t="s">
        <v>269</v>
      </c>
      <c r="G208" s="98" t="s">
        <v>255</v>
      </c>
      <c r="H208" s="92">
        <v>22125.0</v>
      </c>
      <c r="I208" s="99">
        <v>531.0</v>
      </c>
      <c r="J208" s="94">
        <v>11.94</v>
      </c>
      <c r="K208" s="100">
        <v>2.8</v>
      </c>
      <c r="L208" s="100">
        <v>0.575</v>
      </c>
      <c r="M208" s="100">
        <v>0.595</v>
      </c>
      <c r="N208" s="101">
        <v>12.65</v>
      </c>
      <c r="O208" s="94">
        <v>3.67</v>
      </c>
      <c r="P208" s="101">
        <v>83.68</v>
      </c>
      <c r="Q208" s="102"/>
      <c r="R208" s="103">
        <f t="shared" si="1"/>
        <v>264172.5</v>
      </c>
      <c r="S208" s="103">
        <f t="shared" si="2"/>
        <v>61950</v>
      </c>
      <c r="T208" s="103">
        <f t="shared" si="3"/>
        <v>12721.875</v>
      </c>
      <c r="U208" s="103">
        <f t="shared" si="4"/>
        <v>13164.375</v>
      </c>
      <c r="V208" s="103">
        <f t="shared" si="5"/>
        <v>279881.25</v>
      </c>
      <c r="W208" s="103">
        <f t="shared" si="6"/>
        <v>81198.75</v>
      </c>
      <c r="X208" s="103">
        <f t="shared" si="7"/>
        <v>1851420</v>
      </c>
    </row>
    <row r="209" ht="12.0" customHeight="1">
      <c r="A2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09" s="87" t="str">
        <f>IFERROR(__xludf.DUMMYFUNCTION("IFERROR(IF(F209&lt;&gt;"""",""WHSE ""&amp;LEFT(F209,1),REGEXEXTRACT(E209,""-(?:\d{2}-)?([A-Z]+)"")),"""")
"),"WHSE C")</f>
        <v>WHSE C</v>
      </c>
      <c r="C209" s="88">
        <v>45898.0</v>
      </c>
      <c r="D209" s="89" t="s">
        <v>232</v>
      </c>
      <c r="E209" s="90" t="s">
        <v>270</v>
      </c>
      <c r="F209" s="90" t="s">
        <v>271</v>
      </c>
      <c r="G209" s="98" t="s">
        <v>272</v>
      </c>
      <c r="H209" s="92">
        <v>19260.0</v>
      </c>
      <c r="I209" s="99">
        <v>645.0</v>
      </c>
      <c r="J209" s="94">
        <v>10.87</v>
      </c>
      <c r="K209" s="100">
        <v>2.87</v>
      </c>
      <c r="L209" s="100">
        <v>0.571</v>
      </c>
      <c r="M209" s="100">
        <v>0.591</v>
      </c>
      <c r="N209" s="101">
        <v>10.58</v>
      </c>
      <c r="O209" s="94">
        <v>6.76</v>
      </c>
      <c r="P209" s="101">
        <v>82.66</v>
      </c>
      <c r="Q209" s="102"/>
      <c r="R209" s="103">
        <f t="shared" si="1"/>
        <v>209356.2</v>
      </c>
      <c r="S209" s="103">
        <f t="shared" si="2"/>
        <v>55276.2</v>
      </c>
      <c r="T209" s="103">
        <f t="shared" si="3"/>
        <v>10997.46</v>
      </c>
      <c r="U209" s="103">
        <f t="shared" si="4"/>
        <v>11382.66</v>
      </c>
      <c r="V209" s="103">
        <f t="shared" si="5"/>
        <v>203770.8</v>
      </c>
      <c r="W209" s="103">
        <f t="shared" si="6"/>
        <v>130197.6</v>
      </c>
      <c r="X209" s="103">
        <f t="shared" si="7"/>
        <v>1592031.6</v>
      </c>
    </row>
    <row r="210" ht="12.0" customHeight="1">
      <c r="A2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10" s="87" t="str">
        <f>IFERROR(__xludf.DUMMYFUNCTION("IFERROR(IF(F210&lt;&gt;"""",""WHSE ""&amp;LEFT(F210,1),REGEXEXTRACT(E210,""-(?:\d{2}-)?([A-Z]+)"")),"""")
"),"WHSE C")</f>
        <v>WHSE C</v>
      </c>
      <c r="C210" s="88">
        <v>45901.0</v>
      </c>
      <c r="D210" s="89" t="s">
        <v>232</v>
      </c>
      <c r="E210" s="90" t="s">
        <v>268</v>
      </c>
      <c r="F210" s="90" t="s">
        <v>269</v>
      </c>
      <c r="G210" s="98" t="s">
        <v>235</v>
      </c>
      <c r="H210" s="92">
        <v>11030.0</v>
      </c>
      <c r="I210" s="99">
        <v>332.0</v>
      </c>
      <c r="J210" s="94">
        <v>10.54</v>
      </c>
      <c r="K210" s="100">
        <v>3.87</v>
      </c>
      <c r="L210" s="100">
        <v>0.578</v>
      </c>
      <c r="M210" s="100">
        <v>0.598</v>
      </c>
      <c r="N210" s="101">
        <v>14.4</v>
      </c>
      <c r="O210" s="94">
        <v>2.84</v>
      </c>
      <c r="P210" s="101">
        <v>82.76</v>
      </c>
      <c r="Q210" s="89" t="s">
        <v>273</v>
      </c>
      <c r="R210" s="86">
        <f t="shared" si="1"/>
        <v>116256.2</v>
      </c>
      <c r="S210" s="86">
        <f t="shared" si="2"/>
        <v>42686.1</v>
      </c>
      <c r="T210" s="86">
        <f t="shared" si="3"/>
        <v>6375.34</v>
      </c>
      <c r="U210" s="86">
        <f t="shared" si="4"/>
        <v>6595.94</v>
      </c>
      <c r="V210" s="86">
        <f t="shared" si="5"/>
        <v>158832</v>
      </c>
      <c r="W210" s="86">
        <f t="shared" si="6"/>
        <v>31325.2</v>
      </c>
      <c r="X210" s="86">
        <f t="shared" si="7"/>
        <v>912842.8</v>
      </c>
    </row>
    <row r="211" ht="12.0" customHeight="1">
      <c r="A2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11" s="87" t="str">
        <f>IFERROR(__xludf.DUMMYFUNCTION("IFERROR(IF(F211&lt;&gt;"""",""WHSE ""&amp;LEFT(F211,1),REGEXEXTRACT(E211,""-(?:\d{2}-)?([A-Z]+)"")),"""")
"),"WHSE C")</f>
        <v>WHSE C</v>
      </c>
      <c r="C211" s="88">
        <v>45902.0</v>
      </c>
      <c r="D211" s="89" t="s">
        <v>232</v>
      </c>
      <c r="E211" s="90" t="s">
        <v>270</v>
      </c>
      <c r="F211" s="90" t="s">
        <v>271</v>
      </c>
      <c r="G211" s="98" t="s">
        <v>235</v>
      </c>
      <c r="H211" s="92">
        <v>11860.0</v>
      </c>
      <c r="I211" s="99">
        <v>312.0</v>
      </c>
      <c r="J211" s="94">
        <v>11.2</v>
      </c>
      <c r="K211" s="100">
        <v>4.47</v>
      </c>
      <c r="L211" s="100">
        <v>0.578</v>
      </c>
      <c r="M211" s="100">
        <v>0.598</v>
      </c>
      <c r="N211" s="101">
        <v>12.6</v>
      </c>
      <c r="O211" s="94">
        <v>3.46</v>
      </c>
      <c r="P211" s="101">
        <v>83.94</v>
      </c>
      <c r="Q211" s="89" t="s">
        <v>274</v>
      </c>
      <c r="R211" s="86">
        <f t="shared" si="1"/>
        <v>132832</v>
      </c>
      <c r="S211" s="86">
        <f t="shared" si="2"/>
        <v>53014.2</v>
      </c>
      <c r="T211" s="86">
        <f t="shared" si="3"/>
        <v>6855.08</v>
      </c>
      <c r="U211" s="86">
        <f t="shared" si="4"/>
        <v>7092.28</v>
      </c>
      <c r="V211" s="86">
        <f t="shared" si="5"/>
        <v>149436</v>
      </c>
      <c r="W211" s="86">
        <f t="shared" si="6"/>
        <v>41035.6</v>
      </c>
      <c r="X211" s="86">
        <f t="shared" si="7"/>
        <v>995528.4</v>
      </c>
    </row>
    <row r="212" ht="12.0" customHeight="1">
      <c r="A2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12" s="87" t="str">
        <f>IFERROR(__xludf.DUMMYFUNCTION("IFERROR(IF(F212&lt;&gt;"""",""WHSE ""&amp;LEFT(F212,1),REGEXEXTRACT(E212,""-(?:\d{2}-)?([A-Z]+)"")),"""")
"),"WHSE C")</f>
        <v>WHSE C</v>
      </c>
      <c r="C212" s="88">
        <v>45903.0</v>
      </c>
      <c r="D212" s="89" t="s">
        <v>232</v>
      </c>
      <c r="E212" s="90" t="s">
        <v>270</v>
      </c>
      <c r="F212" s="90" t="s">
        <v>271</v>
      </c>
      <c r="G212" s="98" t="s">
        <v>235</v>
      </c>
      <c r="H212" s="92">
        <v>11615.0</v>
      </c>
      <c r="I212" s="99">
        <v>385.0</v>
      </c>
      <c r="J212" s="94">
        <v>10.94</v>
      </c>
      <c r="K212" s="100">
        <v>4.8</v>
      </c>
      <c r="L212" s="100">
        <v>0.581</v>
      </c>
      <c r="M212" s="100">
        <v>0.601</v>
      </c>
      <c r="N212" s="101">
        <v>14.11</v>
      </c>
      <c r="O212" s="94">
        <v>3.59</v>
      </c>
      <c r="P212" s="101">
        <v>82.3</v>
      </c>
      <c r="Q212" s="89" t="s">
        <v>274</v>
      </c>
      <c r="R212" s="86">
        <f t="shared" si="1"/>
        <v>127068.1</v>
      </c>
      <c r="S212" s="86">
        <f t="shared" si="2"/>
        <v>55752</v>
      </c>
      <c r="T212" s="86">
        <f t="shared" si="3"/>
        <v>6748.315</v>
      </c>
      <c r="U212" s="86">
        <f t="shared" si="4"/>
        <v>6980.615</v>
      </c>
      <c r="V212" s="86">
        <f t="shared" si="5"/>
        <v>163887.65</v>
      </c>
      <c r="W212" s="86">
        <f t="shared" si="6"/>
        <v>41697.85</v>
      </c>
      <c r="X212" s="86">
        <f t="shared" si="7"/>
        <v>955914.5</v>
      </c>
    </row>
    <row r="213" ht="12.0" customHeight="1">
      <c r="A2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13" s="87" t="str">
        <f>IFERROR(__xludf.DUMMYFUNCTION("IFERROR(IF(F213&lt;&gt;"""",""WHSE ""&amp;LEFT(F213,1),REGEXEXTRACT(E213,""-(?:\d{2}-)?([A-Z]+)"")),"""")
"),"WHSE C")</f>
        <v>WHSE C</v>
      </c>
      <c r="C213" s="88">
        <v>45904.0</v>
      </c>
      <c r="D213" s="89" t="s">
        <v>265</v>
      </c>
      <c r="E213" s="90" t="s">
        <v>270</v>
      </c>
      <c r="F213" s="90" t="s">
        <v>271</v>
      </c>
      <c r="G213" s="98" t="s">
        <v>255</v>
      </c>
      <c r="H213" s="92">
        <v>11770.0</v>
      </c>
      <c r="I213" s="99">
        <v>321.0</v>
      </c>
      <c r="J213" s="94">
        <v>10.94</v>
      </c>
      <c r="K213" s="100">
        <v>3.27</v>
      </c>
      <c r="L213" s="100">
        <v>0.571</v>
      </c>
      <c r="M213" s="100">
        <v>0.591</v>
      </c>
      <c r="N213" s="101">
        <v>13.59</v>
      </c>
      <c r="O213" s="94">
        <v>3.68</v>
      </c>
      <c r="P213" s="101">
        <v>82.73</v>
      </c>
      <c r="Q213" s="89" t="s">
        <v>274</v>
      </c>
      <c r="R213" s="86">
        <f t="shared" si="1"/>
        <v>128763.8</v>
      </c>
      <c r="S213" s="86">
        <f t="shared" si="2"/>
        <v>38487.9</v>
      </c>
      <c r="T213" s="86">
        <f t="shared" si="3"/>
        <v>6720.67</v>
      </c>
      <c r="U213" s="86">
        <f t="shared" si="4"/>
        <v>6956.07</v>
      </c>
      <c r="V213" s="86">
        <f t="shared" si="5"/>
        <v>159954.3</v>
      </c>
      <c r="W213" s="86">
        <f t="shared" si="6"/>
        <v>43313.6</v>
      </c>
      <c r="X213" s="86">
        <f t="shared" si="7"/>
        <v>973732.1</v>
      </c>
    </row>
    <row r="214" ht="12.0" customHeight="1">
      <c r="A2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14" s="87" t="str">
        <f>IFERROR(__xludf.DUMMYFUNCTION("IFERROR(IF(F214&lt;&gt;"""",""WHSE ""&amp;LEFT(F214,1),REGEXEXTRACT(E214,""-(?:\d{2}-)?([A-Z]+)"")),"""")
"),"WHSE C")</f>
        <v>WHSE C</v>
      </c>
      <c r="C214" s="88">
        <v>45905.0</v>
      </c>
      <c r="D214" s="89" t="s">
        <v>232</v>
      </c>
      <c r="E214" s="90" t="s">
        <v>275</v>
      </c>
      <c r="F214" s="90" t="s">
        <v>276</v>
      </c>
      <c r="G214" s="98" t="s">
        <v>272</v>
      </c>
      <c r="H214" s="92">
        <v>21160.0</v>
      </c>
      <c r="I214" s="99">
        <v>671.0</v>
      </c>
      <c r="J214" s="94">
        <v>8.2</v>
      </c>
      <c r="K214" s="100">
        <v>2.8</v>
      </c>
      <c r="L214" s="100">
        <v>0.581</v>
      </c>
      <c r="M214" s="100">
        <v>0.601</v>
      </c>
      <c r="N214" s="101">
        <v>14.04</v>
      </c>
      <c r="O214" s="94">
        <v>3.02</v>
      </c>
      <c r="P214" s="101">
        <v>82.94</v>
      </c>
      <c r="Q214" s="102"/>
      <c r="R214" s="103">
        <f t="shared" si="1"/>
        <v>173512</v>
      </c>
      <c r="S214" s="103">
        <f t="shared" si="2"/>
        <v>59248</v>
      </c>
      <c r="T214" s="103">
        <f t="shared" si="3"/>
        <v>12293.96</v>
      </c>
      <c r="U214" s="103">
        <f t="shared" si="4"/>
        <v>12717.16</v>
      </c>
      <c r="V214" s="103">
        <f t="shared" si="5"/>
        <v>297086.4</v>
      </c>
      <c r="W214" s="103">
        <f t="shared" si="6"/>
        <v>63903.2</v>
      </c>
      <c r="X214" s="103">
        <f t="shared" si="7"/>
        <v>1755010.4</v>
      </c>
    </row>
    <row r="215" ht="12.0" customHeight="1">
      <c r="A2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15" s="87" t="str">
        <f>IFERROR(__xludf.DUMMYFUNCTION("IFERROR(IF(F215&lt;&gt;"""",""WHSE ""&amp;LEFT(F215,1),REGEXEXTRACT(E215,""-(?:\d{2}-)?([A-Z]+)"")),"""")
"),"WHSE C")</f>
        <v>WHSE C</v>
      </c>
      <c r="C215" s="88">
        <v>45905.0</v>
      </c>
      <c r="D215" s="89" t="s">
        <v>277</v>
      </c>
      <c r="E215" s="90" t="s">
        <v>275</v>
      </c>
      <c r="F215" s="90" t="s">
        <v>276</v>
      </c>
      <c r="G215" s="98" t="s">
        <v>278</v>
      </c>
      <c r="H215" s="92">
        <v>5370.0</v>
      </c>
      <c r="I215" s="99">
        <v>225.0</v>
      </c>
      <c r="J215" s="94">
        <v>9.8</v>
      </c>
      <c r="K215" s="100">
        <v>3.16</v>
      </c>
      <c r="L215" s="100">
        <v>0.585</v>
      </c>
      <c r="M215" s="100">
        <v>0.605</v>
      </c>
      <c r="N215" s="101">
        <v>12.46</v>
      </c>
      <c r="O215" s="94">
        <v>4.38</v>
      </c>
      <c r="P215" s="101">
        <v>83.16</v>
      </c>
      <c r="Q215" s="102"/>
      <c r="R215" s="103">
        <f t="shared" si="1"/>
        <v>52626</v>
      </c>
      <c r="S215" s="103">
        <f t="shared" si="2"/>
        <v>16969.2</v>
      </c>
      <c r="T215" s="103">
        <f t="shared" si="3"/>
        <v>3141.45</v>
      </c>
      <c r="U215" s="103">
        <f t="shared" si="4"/>
        <v>3248.85</v>
      </c>
      <c r="V215" s="103">
        <f t="shared" si="5"/>
        <v>66910.2</v>
      </c>
      <c r="W215" s="103">
        <f t="shared" si="6"/>
        <v>23520.6</v>
      </c>
      <c r="X215" s="103">
        <f t="shared" si="7"/>
        <v>446569.2</v>
      </c>
    </row>
    <row r="216" ht="12.0" customHeight="1">
      <c r="A2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16" s="87" t="str">
        <f>IFERROR(__xludf.DUMMYFUNCTION("IFERROR(IF(F216&lt;&gt;"""",""WHSE ""&amp;LEFT(F216,1),REGEXEXTRACT(E216,""-(?:\d{2}-)?([A-Z]+)"")),"""")
"),"WHSE D")</f>
        <v>WHSE D</v>
      </c>
      <c r="C216" s="88">
        <v>45908.0</v>
      </c>
      <c r="D216" s="89" t="s">
        <v>279</v>
      </c>
      <c r="E216" s="90" t="s">
        <v>280</v>
      </c>
      <c r="F216" s="90" t="s">
        <v>281</v>
      </c>
      <c r="G216" s="105" t="s">
        <v>282</v>
      </c>
      <c r="H216" s="92">
        <v>6366.0</v>
      </c>
      <c r="I216" s="99">
        <v>133.0</v>
      </c>
      <c r="J216" s="94">
        <v>13.2</v>
      </c>
      <c r="K216" s="100">
        <v>2.74</v>
      </c>
      <c r="L216" s="100">
        <v>0.585</v>
      </c>
      <c r="M216" s="100">
        <v>0.605</v>
      </c>
      <c r="N216" s="101">
        <v>14.81</v>
      </c>
      <c r="O216" s="94">
        <v>4.08</v>
      </c>
      <c r="P216" s="101">
        <v>81.11</v>
      </c>
      <c r="Q216" s="89" t="s">
        <v>283</v>
      </c>
      <c r="R216" s="86">
        <f t="shared" si="1"/>
        <v>84031.2</v>
      </c>
      <c r="S216" s="86">
        <f t="shared" si="2"/>
        <v>17442.84</v>
      </c>
      <c r="T216" s="86">
        <f t="shared" si="3"/>
        <v>3724.11</v>
      </c>
      <c r="U216" s="86">
        <f t="shared" si="4"/>
        <v>3851.43</v>
      </c>
      <c r="V216" s="86">
        <f t="shared" si="5"/>
        <v>94280.46</v>
      </c>
      <c r="W216" s="86">
        <f t="shared" si="6"/>
        <v>25973.28</v>
      </c>
      <c r="X216" s="86">
        <f t="shared" si="7"/>
        <v>516346.26</v>
      </c>
    </row>
    <row r="217" ht="12.0" customHeight="1">
      <c r="A2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17" s="87" t="str">
        <f>IFERROR(__xludf.DUMMYFUNCTION("IFERROR(IF(F217&lt;&gt;"""",""WHSE ""&amp;LEFT(F217,1),REGEXEXTRACT(E217,""-(?:\d{2}-)?([A-Z]+)"")),"""")
"),"WHSE C")</f>
        <v>WHSE C</v>
      </c>
      <c r="C217" s="88">
        <v>45909.0</v>
      </c>
      <c r="D217" s="89" t="s">
        <v>232</v>
      </c>
      <c r="E217" s="90" t="s">
        <v>275</v>
      </c>
      <c r="F217" s="90" t="s">
        <v>276</v>
      </c>
      <c r="G217" s="98" t="s">
        <v>235</v>
      </c>
      <c r="H217" s="92">
        <v>12155.0</v>
      </c>
      <c r="I217" s="99">
        <v>333.0</v>
      </c>
      <c r="J217" s="94">
        <v>10.8</v>
      </c>
      <c r="K217" s="100">
        <v>3.6</v>
      </c>
      <c r="L217" s="100">
        <v>0.581</v>
      </c>
      <c r="M217" s="100">
        <v>0.601</v>
      </c>
      <c r="N217" s="101">
        <v>13.42</v>
      </c>
      <c r="O217" s="94">
        <v>2.77</v>
      </c>
      <c r="P217" s="101">
        <v>83.81</v>
      </c>
      <c r="Q217" s="102"/>
      <c r="R217" s="103">
        <f t="shared" si="1"/>
        <v>131274</v>
      </c>
      <c r="S217" s="103">
        <f t="shared" si="2"/>
        <v>43758</v>
      </c>
      <c r="T217" s="103">
        <f t="shared" si="3"/>
        <v>7062.055</v>
      </c>
      <c r="U217" s="103">
        <f t="shared" si="4"/>
        <v>7305.155</v>
      </c>
      <c r="V217" s="103">
        <f t="shared" si="5"/>
        <v>163120.1</v>
      </c>
      <c r="W217" s="103">
        <f t="shared" si="6"/>
        <v>33669.35</v>
      </c>
      <c r="X217" s="103">
        <f t="shared" si="7"/>
        <v>1018710.55</v>
      </c>
    </row>
    <row r="218" ht="12.0" customHeight="1">
      <c r="A2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18" s="87" t="str">
        <f>IFERROR(__xludf.DUMMYFUNCTION("IFERROR(IF(F218&lt;&gt;"""",""WHSE ""&amp;LEFT(F218,1),REGEXEXTRACT(E218,""-(?:\d{2}-)?([A-Z]+)"")),"""")
"),"WHSE C")</f>
        <v>WHSE C</v>
      </c>
      <c r="C218" s="88">
        <v>45909.0</v>
      </c>
      <c r="D218" s="89" t="s">
        <v>232</v>
      </c>
      <c r="E218" s="90" t="s">
        <v>275</v>
      </c>
      <c r="F218" s="90" t="s">
        <v>276</v>
      </c>
      <c r="G218" s="98" t="s">
        <v>272</v>
      </c>
      <c r="H218" s="92">
        <v>23925.0</v>
      </c>
      <c r="I218" s="99">
        <v>494.0</v>
      </c>
      <c r="J218" s="94">
        <v>12.94</v>
      </c>
      <c r="K218" s="100">
        <v>4.47</v>
      </c>
      <c r="L218" s="100">
        <v>0.565</v>
      </c>
      <c r="M218" s="100">
        <v>0.585</v>
      </c>
      <c r="N218" s="101">
        <v>12.39</v>
      </c>
      <c r="O218" s="94">
        <v>4.81</v>
      </c>
      <c r="P218" s="101">
        <v>82.8</v>
      </c>
      <c r="Q218" s="102"/>
      <c r="R218" s="103">
        <f t="shared" si="1"/>
        <v>309589.5</v>
      </c>
      <c r="S218" s="103">
        <f t="shared" si="2"/>
        <v>106944.75</v>
      </c>
      <c r="T218" s="103">
        <f t="shared" si="3"/>
        <v>13517.625</v>
      </c>
      <c r="U218" s="103">
        <f t="shared" si="4"/>
        <v>13996.125</v>
      </c>
      <c r="V218" s="103">
        <f t="shared" si="5"/>
        <v>296430.75</v>
      </c>
      <c r="W218" s="103">
        <f t="shared" si="6"/>
        <v>115079.25</v>
      </c>
      <c r="X218" s="103">
        <f t="shared" si="7"/>
        <v>1980990</v>
      </c>
    </row>
    <row r="219" ht="12.0" customHeight="1">
      <c r="A2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19" s="87" t="str">
        <f>IFERROR(__xludf.DUMMYFUNCTION("IFERROR(IF(F219&lt;&gt;"""",""WHSE ""&amp;LEFT(F219,1),REGEXEXTRACT(E219,""-(?:\d{2}-)?([A-Z]+)"")),"""")
"),"WHSE A")</f>
        <v>WHSE A</v>
      </c>
      <c r="C219" s="88">
        <v>45910.0</v>
      </c>
      <c r="D219" s="89" t="s">
        <v>72</v>
      </c>
      <c r="E219" s="90" t="s">
        <v>284</v>
      </c>
      <c r="F219" s="90" t="s">
        <v>285</v>
      </c>
      <c r="G219" s="98" t="s">
        <v>73</v>
      </c>
      <c r="H219" s="92">
        <v>19845.0</v>
      </c>
      <c r="I219" s="99">
        <v>456.0</v>
      </c>
      <c r="J219" s="94">
        <v>11.6</v>
      </c>
      <c r="K219" s="100">
        <v>2.6</v>
      </c>
      <c r="L219" s="100">
        <v>0.571</v>
      </c>
      <c r="M219" s="100">
        <v>0.591</v>
      </c>
      <c r="N219" s="101">
        <v>13.28</v>
      </c>
      <c r="O219" s="94">
        <v>4.08</v>
      </c>
      <c r="P219" s="101">
        <v>82.64</v>
      </c>
      <c r="Q219" s="102"/>
      <c r="R219" s="103">
        <f t="shared" si="1"/>
        <v>230202</v>
      </c>
      <c r="S219" s="103">
        <f t="shared" si="2"/>
        <v>51597</v>
      </c>
      <c r="T219" s="103">
        <f t="shared" si="3"/>
        <v>11331.495</v>
      </c>
      <c r="U219" s="103">
        <f t="shared" si="4"/>
        <v>11728.395</v>
      </c>
      <c r="V219" s="103">
        <f t="shared" si="5"/>
        <v>263541.6</v>
      </c>
      <c r="W219" s="103">
        <f t="shared" si="6"/>
        <v>80967.6</v>
      </c>
      <c r="X219" s="103">
        <f t="shared" si="7"/>
        <v>1639990.8</v>
      </c>
    </row>
    <row r="220" ht="12.0" customHeight="1">
      <c r="A2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20" s="87" t="str">
        <f>IFERROR(__xludf.DUMMYFUNCTION("IFERROR(IF(F220&lt;&gt;"""",""WHSE ""&amp;LEFT(F220,1),REGEXEXTRACT(E220,""-(?:\d{2}-)?([A-Z]+)"")),"""")
"),"WHSE C")</f>
        <v>WHSE C</v>
      </c>
      <c r="C220" s="88">
        <v>45910.0</v>
      </c>
      <c r="D220" s="89" t="s">
        <v>265</v>
      </c>
      <c r="E220" s="90" t="s">
        <v>275</v>
      </c>
      <c r="F220" s="90" t="s">
        <v>276</v>
      </c>
      <c r="G220" s="98" t="s">
        <v>255</v>
      </c>
      <c r="H220" s="92">
        <v>11550.0</v>
      </c>
      <c r="I220" s="99">
        <v>323.0</v>
      </c>
      <c r="J220" s="94">
        <v>10.94</v>
      </c>
      <c r="K220" s="100">
        <v>4.6</v>
      </c>
      <c r="L220" s="100">
        <v>0.559</v>
      </c>
      <c r="M220" s="100">
        <v>0.579</v>
      </c>
      <c r="N220" s="101">
        <v>12.93</v>
      </c>
      <c r="O220" s="94">
        <v>3.95</v>
      </c>
      <c r="P220" s="101">
        <v>83.12</v>
      </c>
      <c r="Q220" s="102"/>
      <c r="R220" s="103">
        <f t="shared" si="1"/>
        <v>126357</v>
      </c>
      <c r="S220" s="103">
        <f t="shared" si="2"/>
        <v>53130</v>
      </c>
      <c r="T220" s="103">
        <f t="shared" si="3"/>
        <v>6456.45</v>
      </c>
      <c r="U220" s="103">
        <f t="shared" si="4"/>
        <v>6687.45</v>
      </c>
      <c r="V220" s="103">
        <f t="shared" si="5"/>
        <v>149341.5</v>
      </c>
      <c r="W220" s="103">
        <f t="shared" si="6"/>
        <v>45622.5</v>
      </c>
      <c r="X220" s="103">
        <f t="shared" si="7"/>
        <v>960036</v>
      </c>
    </row>
    <row r="221" ht="12.0" customHeight="1">
      <c r="A2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21" s="87" t="str">
        <f>IFERROR(__xludf.DUMMYFUNCTION("IFERROR(IF(F221&lt;&gt;"""",""WHSE ""&amp;LEFT(F221,1),REGEXEXTRACT(E221,""-(?:\d{2}-)?([A-Z]+)"")),"""")
"),"WHSE D")</f>
        <v>WHSE D</v>
      </c>
      <c r="C221" s="88">
        <v>45911.0</v>
      </c>
      <c r="D221" s="89" t="s">
        <v>286</v>
      </c>
      <c r="E221" s="90" t="s">
        <v>287</v>
      </c>
      <c r="F221" s="90" t="s">
        <v>288</v>
      </c>
      <c r="G221" s="98" t="s">
        <v>73</v>
      </c>
      <c r="H221" s="92">
        <v>15955.0</v>
      </c>
      <c r="I221" s="99">
        <v>461.0</v>
      </c>
      <c r="J221" s="94">
        <v>11.2</v>
      </c>
      <c r="K221" s="100">
        <v>2.14</v>
      </c>
      <c r="L221" s="100">
        <v>0.578</v>
      </c>
      <c r="M221" s="100">
        <v>0.598</v>
      </c>
      <c r="N221" s="101">
        <v>14.04</v>
      </c>
      <c r="O221" s="94">
        <v>3.45</v>
      </c>
      <c r="P221" s="101">
        <v>82.51</v>
      </c>
      <c r="Q221" s="102"/>
      <c r="R221" s="103">
        <f t="shared" si="1"/>
        <v>178696</v>
      </c>
      <c r="S221" s="103">
        <f t="shared" si="2"/>
        <v>34143.7</v>
      </c>
      <c r="T221" s="103">
        <f t="shared" si="3"/>
        <v>9221.99</v>
      </c>
      <c r="U221" s="103">
        <f t="shared" si="4"/>
        <v>9541.09</v>
      </c>
      <c r="V221" s="103">
        <f t="shared" si="5"/>
        <v>224008.2</v>
      </c>
      <c r="W221" s="103">
        <f t="shared" si="6"/>
        <v>55044.75</v>
      </c>
      <c r="X221" s="103">
        <f t="shared" si="7"/>
        <v>1316447.05</v>
      </c>
    </row>
    <row r="222" ht="12.0" customHeight="1">
      <c r="A2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22" s="87" t="str">
        <f>IFERROR(__xludf.DUMMYFUNCTION("IFERROR(IF(F222&lt;&gt;"""",""WHSE ""&amp;LEFT(F222,1),REGEXEXTRACT(E222,""-(?:\d{2}-)?([A-Z]+)"")),"""")
"),"WHSE D")</f>
        <v>WHSE D</v>
      </c>
      <c r="C222" s="88">
        <v>45912.0</v>
      </c>
      <c r="D222" s="89" t="s">
        <v>289</v>
      </c>
      <c r="E222" s="90" t="s">
        <v>290</v>
      </c>
      <c r="F222" s="90" t="s">
        <v>291</v>
      </c>
      <c r="G222" s="98" t="s">
        <v>292</v>
      </c>
      <c r="H222" s="92">
        <v>22050.0</v>
      </c>
      <c r="I222" s="99">
        <v>620.0</v>
      </c>
      <c r="J222" s="94">
        <v>9.27</v>
      </c>
      <c r="K222" s="100">
        <v>3.6</v>
      </c>
      <c r="L222" s="100">
        <v>0.559</v>
      </c>
      <c r="M222" s="100">
        <v>0.579</v>
      </c>
      <c r="N222" s="101">
        <v>12.55</v>
      </c>
      <c r="O222" s="94">
        <v>3.28</v>
      </c>
      <c r="P222" s="101">
        <v>84.17</v>
      </c>
      <c r="Q222" s="102"/>
      <c r="R222" s="103">
        <f t="shared" si="1"/>
        <v>204403.5</v>
      </c>
      <c r="S222" s="103">
        <f t="shared" si="2"/>
        <v>79380</v>
      </c>
      <c r="T222" s="103">
        <f t="shared" si="3"/>
        <v>12325.95</v>
      </c>
      <c r="U222" s="103">
        <f t="shared" si="4"/>
        <v>12766.95</v>
      </c>
      <c r="V222" s="103">
        <f t="shared" si="5"/>
        <v>276727.5</v>
      </c>
      <c r="W222" s="103">
        <f t="shared" si="6"/>
        <v>72324</v>
      </c>
      <c r="X222" s="103">
        <f t="shared" si="7"/>
        <v>1855948.5</v>
      </c>
    </row>
    <row r="223" ht="12.0" customHeight="1">
      <c r="A2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23" s="87" t="str">
        <f>IFERROR(__xludf.DUMMYFUNCTION("IFERROR(IF(F223&lt;&gt;"""",""WHSE ""&amp;LEFT(F223,1),REGEXEXTRACT(E223,""-(?:\d{2}-)?([A-Z]+)"")),"""")
"),"WHSE D")</f>
        <v>WHSE D</v>
      </c>
      <c r="C223" s="88">
        <v>45915.0</v>
      </c>
      <c r="D223" s="89" t="s">
        <v>293</v>
      </c>
      <c r="E223" s="90" t="s">
        <v>280</v>
      </c>
      <c r="F223" s="90" t="s">
        <v>281</v>
      </c>
      <c r="G223" s="98" t="s">
        <v>294</v>
      </c>
      <c r="H223" s="92">
        <v>14340.0</v>
      </c>
      <c r="I223" s="99">
        <v>333.0</v>
      </c>
      <c r="J223" s="94">
        <v>12.0</v>
      </c>
      <c r="K223" s="100">
        <v>2.34</v>
      </c>
      <c r="L223" s="100">
        <v>0.578</v>
      </c>
      <c r="M223" s="100">
        <v>0.598</v>
      </c>
      <c r="N223" s="101">
        <v>12.38</v>
      </c>
      <c r="O223" s="94">
        <v>3.88</v>
      </c>
      <c r="P223" s="101">
        <v>83.74</v>
      </c>
      <c r="Q223" s="102"/>
      <c r="R223" s="103">
        <f t="shared" si="1"/>
        <v>172080</v>
      </c>
      <c r="S223" s="103">
        <f t="shared" si="2"/>
        <v>33555.6</v>
      </c>
      <c r="T223" s="103">
        <f t="shared" si="3"/>
        <v>8288.52</v>
      </c>
      <c r="U223" s="103">
        <f t="shared" si="4"/>
        <v>8575.32</v>
      </c>
      <c r="V223" s="103">
        <f t="shared" si="5"/>
        <v>177529.2</v>
      </c>
      <c r="W223" s="103">
        <f t="shared" si="6"/>
        <v>55639.2</v>
      </c>
      <c r="X223" s="103">
        <f t="shared" si="7"/>
        <v>1200831.6</v>
      </c>
    </row>
    <row r="224" ht="12.0" customHeight="1">
      <c r="A2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24" s="87" t="str">
        <f>IFERROR(__xludf.DUMMYFUNCTION("IFERROR(IF(F224&lt;&gt;"""",""WHSE ""&amp;LEFT(F224,1),REGEXEXTRACT(E224,""-(?:\d{2}-)?([A-Z]+)"")),"""")
"),"WHSE A")</f>
        <v>WHSE A</v>
      </c>
      <c r="C224" s="88">
        <v>45916.0</v>
      </c>
      <c r="D224" s="89" t="s">
        <v>72</v>
      </c>
      <c r="E224" s="90" t="s">
        <v>284</v>
      </c>
      <c r="F224" s="90" t="s">
        <v>285</v>
      </c>
      <c r="G224" s="98" t="s">
        <v>77</v>
      </c>
      <c r="H224" s="92">
        <v>18000.0</v>
      </c>
      <c r="I224" s="99">
        <v>437.0</v>
      </c>
      <c r="J224" s="94">
        <v>11.54</v>
      </c>
      <c r="K224" s="100">
        <v>2.6</v>
      </c>
      <c r="L224" s="100">
        <v>0.571</v>
      </c>
      <c r="M224" s="100">
        <v>0.591</v>
      </c>
      <c r="N224" s="101">
        <v>13.8</v>
      </c>
      <c r="O224" s="94">
        <v>3.74</v>
      </c>
      <c r="P224" s="101">
        <v>82.46</v>
      </c>
      <c r="Q224" s="102"/>
      <c r="R224" s="103">
        <f t="shared" si="1"/>
        <v>207720</v>
      </c>
      <c r="S224" s="103">
        <f t="shared" si="2"/>
        <v>46800</v>
      </c>
      <c r="T224" s="103">
        <f t="shared" si="3"/>
        <v>10278</v>
      </c>
      <c r="U224" s="103">
        <f t="shared" si="4"/>
        <v>10638</v>
      </c>
      <c r="V224" s="103">
        <f t="shared" si="5"/>
        <v>248400</v>
      </c>
      <c r="W224" s="103">
        <f t="shared" si="6"/>
        <v>67320</v>
      </c>
      <c r="X224" s="103">
        <f t="shared" si="7"/>
        <v>1484280</v>
      </c>
    </row>
    <row r="225" ht="12.0" customHeight="1">
      <c r="A2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25" s="87" t="str">
        <f>IFERROR(__xludf.DUMMYFUNCTION("IFERROR(IF(F225&lt;&gt;"""",""WHSE ""&amp;LEFT(F225,1),REGEXEXTRACT(E225,""-(?:\d{2}-)?([A-Z]+)"")),"""")
"),"WHSE A")</f>
        <v>WHSE A</v>
      </c>
      <c r="C225" s="88">
        <v>45916.0</v>
      </c>
      <c r="D225" s="89" t="s">
        <v>72</v>
      </c>
      <c r="E225" s="90" t="s">
        <v>284</v>
      </c>
      <c r="F225" s="90" t="s">
        <v>285</v>
      </c>
      <c r="G225" s="98" t="s">
        <v>73</v>
      </c>
      <c r="H225" s="92">
        <v>18345.0</v>
      </c>
      <c r="I225" s="99">
        <v>498.0</v>
      </c>
      <c r="J225" s="94">
        <v>11.14</v>
      </c>
      <c r="K225" s="100">
        <v>2.4</v>
      </c>
      <c r="L225" s="100">
        <v>0.578</v>
      </c>
      <c r="M225" s="100">
        <v>0.598</v>
      </c>
      <c r="N225" s="101">
        <v>13.54</v>
      </c>
      <c r="O225" s="94">
        <v>2.6</v>
      </c>
      <c r="P225" s="101">
        <v>83.86</v>
      </c>
      <c r="Q225" s="102"/>
      <c r="R225" s="103">
        <f t="shared" si="1"/>
        <v>204363.3</v>
      </c>
      <c r="S225" s="103">
        <f t="shared" si="2"/>
        <v>44028</v>
      </c>
      <c r="T225" s="103">
        <f t="shared" si="3"/>
        <v>10603.41</v>
      </c>
      <c r="U225" s="103">
        <f t="shared" si="4"/>
        <v>10970.31</v>
      </c>
      <c r="V225" s="103">
        <f t="shared" si="5"/>
        <v>248391.3</v>
      </c>
      <c r="W225" s="103">
        <f t="shared" si="6"/>
        <v>47697</v>
      </c>
      <c r="X225" s="103">
        <f t="shared" si="7"/>
        <v>1538411.7</v>
      </c>
    </row>
    <row r="226" ht="12.0" customHeight="1">
      <c r="A2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26" s="87" t="str">
        <f>IFERROR(__xludf.DUMMYFUNCTION("IFERROR(IF(F226&lt;&gt;"""",""WHSE ""&amp;LEFT(F226,1),REGEXEXTRACT(E226,""-(?:\d{2}-)?([A-Z]+)"")),"""")
"),"WHSE D")</f>
        <v>WHSE D</v>
      </c>
      <c r="C226" s="88">
        <v>45918.0</v>
      </c>
      <c r="D226" s="89" t="s">
        <v>286</v>
      </c>
      <c r="E226" s="90" t="s">
        <v>287</v>
      </c>
      <c r="F226" s="90" t="s">
        <v>288</v>
      </c>
      <c r="G226" s="98" t="s">
        <v>73</v>
      </c>
      <c r="H226" s="92">
        <v>16410.0</v>
      </c>
      <c r="I226" s="99">
        <v>463.0</v>
      </c>
      <c r="J226" s="94">
        <v>11.34</v>
      </c>
      <c r="K226" s="100">
        <v>2.6</v>
      </c>
      <c r="L226" s="100">
        <v>0.578</v>
      </c>
      <c r="M226" s="100">
        <v>0.598</v>
      </c>
      <c r="N226" s="101">
        <v>14.09</v>
      </c>
      <c r="O226" s="94">
        <v>2.54</v>
      </c>
      <c r="P226" s="101">
        <v>83.37</v>
      </c>
      <c r="Q226" s="102"/>
      <c r="R226" s="103">
        <f t="shared" si="1"/>
        <v>186089.4</v>
      </c>
      <c r="S226" s="103">
        <f t="shared" si="2"/>
        <v>42666</v>
      </c>
      <c r="T226" s="103">
        <f t="shared" si="3"/>
        <v>9484.98</v>
      </c>
      <c r="U226" s="103">
        <f t="shared" si="4"/>
        <v>9813.18</v>
      </c>
      <c r="V226" s="103">
        <f t="shared" si="5"/>
        <v>231216.9</v>
      </c>
      <c r="W226" s="103">
        <f t="shared" si="6"/>
        <v>41681.4</v>
      </c>
      <c r="X226" s="103">
        <f t="shared" si="7"/>
        <v>1368101.7</v>
      </c>
    </row>
    <row r="227" ht="12.0" customHeight="1">
      <c r="A2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27" s="87" t="str">
        <f>IFERROR(__xludf.DUMMYFUNCTION("IFERROR(IF(F227&lt;&gt;"""",""WHSE ""&amp;LEFT(F227,1),REGEXEXTRACT(E227,""-(?:\d{2}-)?([A-Z]+)"")),"""")
"),"WHSE A")</f>
        <v>WHSE A</v>
      </c>
      <c r="C227" s="88">
        <v>45919.0</v>
      </c>
      <c r="D227" s="89" t="s">
        <v>72</v>
      </c>
      <c r="E227" s="90" t="s">
        <v>284</v>
      </c>
      <c r="F227" s="90" t="s">
        <v>285</v>
      </c>
      <c r="G227" s="98" t="s">
        <v>73</v>
      </c>
      <c r="H227" s="92">
        <v>18070.0</v>
      </c>
      <c r="I227" s="99">
        <v>429.0</v>
      </c>
      <c r="J227" s="94">
        <v>11.74</v>
      </c>
      <c r="K227" s="100">
        <v>2.79</v>
      </c>
      <c r="L227" s="100">
        <v>0.578</v>
      </c>
      <c r="M227" s="100">
        <v>0.598</v>
      </c>
      <c r="N227" s="101">
        <v>12.38</v>
      </c>
      <c r="O227" s="94">
        <v>3.99</v>
      </c>
      <c r="P227" s="101">
        <v>83.63</v>
      </c>
      <c r="Q227" s="102"/>
      <c r="R227" s="103">
        <f t="shared" si="1"/>
        <v>212141.8</v>
      </c>
      <c r="S227" s="103">
        <f t="shared" si="2"/>
        <v>50415.3</v>
      </c>
      <c r="T227" s="103">
        <f t="shared" si="3"/>
        <v>10444.46</v>
      </c>
      <c r="U227" s="103">
        <f t="shared" si="4"/>
        <v>10805.86</v>
      </c>
      <c r="V227" s="103">
        <f t="shared" si="5"/>
        <v>223706.6</v>
      </c>
      <c r="W227" s="103">
        <f t="shared" si="6"/>
        <v>72099.3</v>
      </c>
      <c r="X227" s="103">
        <f t="shared" si="7"/>
        <v>1511194.1</v>
      </c>
    </row>
    <row r="228" ht="12.0" customHeight="1">
      <c r="A2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28" s="87" t="str">
        <f>IFERROR(__xludf.DUMMYFUNCTION("IFERROR(IF(F228&lt;&gt;"""",""WHSE ""&amp;LEFT(F228,1),REGEXEXTRACT(E228,""-(?:\d{2}-)?([A-Z]+)"")),"""")
"),"WHSE D")</f>
        <v>WHSE D</v>
      </c>
      <c r="C228" s="88">
        <v>45919.0</v>
      </c>
      <c r="D228" s="89" t="s">
        <v>279</v>
      </c>
      <c r="E228" s="90" t="s">
        <v>295</v>
      </c>
      <c r="F228" s="90" t="s">
        <v>296</v>
      </c>
      <c r="G228" s="105" t="s">
        <v>282</v>
      </c>
      <c r="H228" s="92">
        <v>5628.0</v>
      </c>
      <c r="I228" s="99">
        <v>112.0</v>
      </c>
      <c r="J228" s="94">
        <v>13.0</v>
      </c>
      <c r="K228" s="100">
        <v>2.2</v>
      </c>
      <c r="L228" s="100">
        <v>0.585</v>
      </c>
      <c r="M228" s="100">
        <v>0.605</v>
      </c>
      <c r="N228" s="101">
        <v>13.41</v>
      </c>
      <c r="O228" s="94">
        <v>4.38</v>
      </c>
      <c r="P228" s="101">
        <v>82.21</v>
      </c>
      <c r="Q228" s="89" t="s">
        <v>297</v>
      </c>
      <c r="R228" s="86">
        <f t="shared" si="1"/>
        <v>73164</v>
      </c>
      <c r="S228" s="86">
        <f t="shared" si="2"/>
        <v>12381.6</v>
      </c>
      <c r="T228" s="86">
        <f t="shared" si="3"/>
        <v>3292.38</v>
      </c>
      <c r="U228" s="86">
        <f t="shared" si="4"/>
        <v>3404.94</v>
      </c>
      <c r="V228" s="86">
        <f t="shared" si="5"/>
        <v>75471.48</v>
      </c>
      <c r="W228" s="86">
        <f t="shared" si="6"/>
        <v>24650.64</v>
      </c>
      <c r="X228" s="86">
        <f t="shared" si="7"/>
        <v>462677.88</v>
      </c>
    </row>
    <row r="229" ht="12.0" customHeight="1">
      <c r="A2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29" s="87" t="str">
        <f>IFERROR(__xludf.DUMMYFUNCTION("IFERROR(IF(F229&lt;&gt;"""",""WHSE ""&amp;LEFT(F229,1),REGEXEXTRACT(E229,""-(?:\d{2}-)?([A-Z]+)"")),"""")
"),"WHSE C")</f>
        <v>WHSE C</v>
      </c>
      <c r="C229" s="88">
        <v>45920.0</v>
      </c>
      <c r="D229" s="89" t="s">
        <v>232</v>
      </c>
      <c r="E229" s="90" t="s">
        <v>298</v>
      </c>
      <c r="F229" s="90" t="s">
        <v>299</v>
      </c>
      <c r="G229" s="98" t="s">
        <v>235</v>
      </c>
      <c r="H229" s="92">
        <v>11565.0</v>
      </c>
      <c r="I229" s="99">
        <v>327.0</v>
      </c>
      <c r="J229" s="94">
        <v>9.2</v>
      </c>
      <c r="K229" s="100">
        <v>3.8</v>
      </c>
      <c r="L229" s="100">
        <v>0.581</v>
      </c>
      <c r="M229" s="100">
        <v>0.601</v>
      </c>
      <c r="N229" s="101">
        <v>12.44</v>
      </c>
      <c r="O229" s="94">
        <v>3.87</v>
      </c>
      <c r="P229" s="101">
        <v>83.69</v>
      </c>
      <c r="Q229" s="102"/>
      <c r="R229" s="103">
        <f t="shared" si="1"/>
        <v>106398</v>
      </c>
      <c r="S229" s="103">
        <f t="shared" si="2"/>
        <v>43947</v>
      </c>
      <c r="T229" s="103">
        <f t="shared" si="3"/>
        <v>6719.265</v>
      </c>
      <c r="U229" s="103">
        <f t="shared" si="4"/>
        <v>6950.565</v>
      </c>
      <c r="V229" s="103">
        <f t="shared" si="5"/>
        <v>143868.6</v>
      </c>
      <c r="W229" s="103">
        <f t="shared" si="6"/>
        <v>44756.55</v>
      </c>
      <c r="X229" s="103">
        <f t="shared" si="7"/>
        <v>967874.85</v>
      </c>
    </row>
    <row r="230" ht="12.0" customHeight="1">
      <c r="A2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30" s="87" t="str">
        <f>IFERROR(__xludf.DUMMYFUNCTION("IFERROR(IF(F230&lt;&gt;"""",""WHSE ""&amp;LEFT(F230,1),REGEXEXTRACT(E230,""-(?:\d{2}-)?([A-Z]+)"")),"""")
"),"WHSE D")</f>
        <v>WHSE D</v>
      </c>
      <c r="C230" s="88">
        <v>45920.0</v>
      </c>
      <c r="D230" s="89" t="s">
        <v>289</v>
      </c>
      <c r="E230" s="90" t="s">
        <v>300</v>
      </c>
      <c r="F230" s="90" t="s">
        <v>301</v>
      </c>
      <c r="G230" s="98" t="s">
        <v>302</v>
      </c>
      <c r="H230" s="92">
        <v>22732.0</v>
      </c>
      <c r="I230" s="99">
        <v>610.0</v>
      </c>
      <c r="J230" s="94">
        <v>10.34</v>
      </c>
      <c r="K230" s="100">
        <v>5.27</v>
      </c>
      <c r="L230" s="100">
        <v>0.546</v>
      </c>
      <c r="M230" s="100">
        <v>0.566</v>
      </c>
      <c r="N230" s="101">
        <v>11.41</v>
      </c>
      <c r="O230" s="94">
        <v>4.65</v>
      </c>
      <c r="P230" s="101">
        <v>83.94</v>
      </c>
      <c r="Q230" s="102"/>
      <c r="R230" s="103">
        <f t="shared" si="1"/>
        <v>235048.88</v>
      </c>
      <c r="S230" s="103">
        <f t="shared" si="2"/>
        <v>119797.64</v>
      </c>
      <c r="T230" s="103">
        <f t="shared" si="3"/>
        <v>12411.672</v>
      </c>
      <c r="U230" s="103">
        <f t="shared" si="4"/>
        <v>12866.312</v>
      </c>
      <c r="V230" s="103">
        <f t="shared" si="5"/>
        <v>259372.12</v>
      </c>
      <c r="W230" s="103">
        <f t="shared" si="6"/>
        <v>105703.8</v>
      </c>
      <c r="X230" s="103">
        <f t="shared" si="7"/>
        <v>1908124.08</v>
      </c>
    </row>
    <row r="231" ht="12.0" customHeight="1">
      <c r="A2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31" s="87" t="str">
        <f>IFERROR(__xludf.DUMMYFUNCTION("IFERROR(IF(F231&lt;&gt;"""",""WHSE ""&amp;LEFT(F231,1),REGEXEXTRACT(E231,""-(?:\d{2}-)?([A-Z]+)"")),"""")
"),"WHSE D")</f>
        <v>WHSE D</v>
      </c>
      <c r="C231" s="88">
        <v>45920.0</v>
      </c>
      <c r="D231" s="89" t="s">
        <v>289</v>
      </c>
      <c r="E231" s="90" t="s">
        <v>300</v>
      </c>
      <c r="F231" s="90" t="s">
        <v>301</v>
      </c>
      <c r="G231" s="98" t="s">
        <v>302</v>
      </c>
      <c r="H231" s="92">
        <v>5963.0</v>
      </c>
      <c r="I231" s="99">
        <v>160.0</v>
      </c>
      <c r="J231" s="94">
        <v>14.4</v>
      </c>
      <c r="K231" s="100">
        <v>5.27</v>
      </c>
      <c r="L231" s="100">
        <v>0.546</v>
      </c>
      <c r="M231" s="100">
        <v>0.566</v>
      </c>
      <c r="N231" s="101">
        <v>13.69</v>
      </c>
      <c r="O231" s="94">
        <v>12.34</v>
      </c>
      <c r="P231" s="101">
        <v>73.97</v>
      </c>
      <c r="Q231" s="102"/>
      <c r="R231" s="103">
        <f t="shared" si="1"/>
        <v>85867.2</v>
      </c>
      <c r="S231" s="103">
        <f t="shared" si="2"/>
        <v>31425.01</v>
      </c>
      <c r="T231" s="103">
        <f t="shared" si="3"/>
        <v>3255.798</v>
      </c>
      <c r="U231" s="103">
        <f t="shared" si="4"/>
        <v>3375.058</v>
      </c>
      <c r="V231" s="103">
        <f t="shared" si="5"/>
        <v>81633.47</v>
      </c>
      <c r="W231" s="103">
        <f t="shared" si="6"/>
        <v>73583.42</v>
      </c>
      <c r="X231" s="103">
        <f t="shared" si="7"/>
        <v>441083.11</v>
      </c>
    </row>
    <row r="232" ht="12.0" customHeight="1">
      <c r="A2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32" s="87" t="str">
        <f>IFERROR(__xludf.DUMMYFUNCTION("IFERROR(IF(F232&lt;&gt;"""",""WHSE ""&amp;LEFT(F232,1),REGEXEXTRACT(E232,""-(?:\d{2}-)?([A-Z]+)"")),"""")
"),"WHSE D")</f>
        <v>WHSE D</v>
      </c>
      <c r="C232" s="88">
        <v>45922.0</v>
      </c>
      <c r="D232" s="89" t="s">
        <v>64</v>
      </c>
      <c r="E232" s="90" t="s">
        <v>280</v>
      </c>
      <c r="F232" s="90" t="s">
        <v>281</v>
      </c>
      <c r="G232" s="98" t="s">
        <v>303</v>
      </c>
      <c r="H232" s="92">
        <v>7220.0</v>
      </c>
      <c r="I232" s="99">
        <v>182.0</v>
      </c>
      <c r="J232" s="94">
        <v>11.14</v>
      </c>
      <c r="K232" s="100">
        <v>2.14</v>
      </c>
      <c r="L232" s="100">
        <v>0.578</v>
      </c>
      <c r="M232" s="100">
        <v>0.598</v>
      </c>
      <c r="N232" s="101">
        <v>13.69</v>
      </c>
      <c r="O232" s="94">
        <v>2.99</v>
      </c>
      <c r="P232" s="101">
        <v>83.32</v>
      </c>
      <c r="Q232" s="102"/>
      <c r="R232" s="103">
        <f t="shared" si="1"/>
        <v>80430.8</v>
      </c>
      <c r="S232" s="103">
        <f t="shared" si="2"/>
        <v>15450.8</v>
      </c>
      <c r="T232" s="103">
        <f t="shared" si="3"/>
        <v>4173.16</v>
      </c>
      <c r="U232" s="103">
        <f t="shared" si="4"/>
        <v>4317.56</v>
      </c>
      <c r="V232" s="103">
        <f t="shared" si="5"/>
        <v>98841.8</v>
      </c>
      <c r="W232" s="103">
        <f t="shared" si="6"/>
        <v>21587.8</v>
      </c>
      <c r="X232" s="103">
        <f t="shared" si="7"/>
        <v>601570.4</v>
      </c>
    </row>
    <row r="233" ht="12.0" customHeight="1">
      <c r="A2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33" s="87" t="str">
        <f>IFERROR(__xludf.DUMMYFUNCTION("IFERROR(IF(F233&lt;&gt;"""",""WHSE ""&amp;LEFT(F233,1),REGEXEXTRACT(E233,""-(?:\d{2}-)?([A-Z]+)"")),"""")
"),"WHSE C")</f>
        <v>WHSE C</v>
      </c>
      <c r="C233" s="88">
        <v>45922.0</v>
      </c>
      <c r="D233" s="89" t="s">
        <v>232</v>
      </c>
      <c r="E233" s="90" t="s">
        <v>298</v>
      </c>
      <c r="F233" s="90" t="s">
        <v>299</v>
      </c>
      <c r="G233" s="98" t="s">
        <v>272</v>
      </c>
      <c r="H233" s="92">
        <v>20960.0</v>
      </c>
      <c r="I233" s="99">
        <v>453.0</v>
      </c>
      <c r="J233" s="94">
        <v>10.2</v>
      </c>
      <c r="K233" s="100">
        <v>5.74</v>
      </c>
      <c r="L233" s="100">
        <v>0.562</v>
      </c>
      <c r="M233" s="100">
        <v>0.582</v>
      </c>
      <c r="N233" s="101">
        <v>12.77</v>
      </c>
      <c r="O233" s="94">
        <v>3.17</v>
      </c>
      <c r="P233" s="101">
        <v>84.06</v>
      </c>
      <c r="Q233" s="102"/>
      <c r="R233" s="103">
        <f t="shared" si="1"/>
        <v>213792</v>
      </c>
      <c r="S233" s="103">
        <f t="shared" si="2"/>
        <v>120310.4</v>
      </c>
      <c r="T233" s="103">
        <f t="shared" si="3"/>
        <v>11779.52</v>
      </c>
      <c r="U233" s="103">
        <f t="shared" si="4"/>
        <v>12198.72</v>
      </c>
      <c r="V233" s="103">
        <f t="shared" si="5"/>
        <v>267659.2</v>
      </c>
      <c r="W233" s="103">
        <f t="shared" si="6"/>
        <v>66443.2</v>
      </c>
      <c r="X233" s="103">
        <f t="shared" si="7"/>
        <v>1761897.6</v>
      </c>
    </row>
    <row r="234" ht="12.0" customHeight="1">
      <c r="A2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34" s="87" t="str">
        <f>IFERROR(__xludf.DUMMYFUNCTION("IFERROR(IF(F234&lt;&gt;"""",""WHSE ""&amp;LEFT(F234,1),REGEXEXTRACT(E234,""-(?:\d{2}-)?([A-Z]+)"")),"""")
"),"WHSE D")</f>
        <v>WHSE D</v>
      </c>
      <c r="C234" s="88">
        <v>45923.0</v>
      </c>
      <c r="D234" s="89" t="s">
        <v>279</v>
      </c>
      <c r="E234" s="90" t="s">
        <v>280</v>
      </c>
      <c r="F234" s="90" t="s">
        <v>281</v>
      </c>
      <c r="G234" s="105" t="s">
        <v>282</v>
      </c>
      <c r="H234" s="92">
        <v>5108.0</v>
      </c>
      <c r="I234" s="99">
        <v>120.0</v>
      </c>
      <c r="J234" s="94">
        <v>13.87</v>
      </c>
      <c r="K234" s="100">
        <v>2.34</v>
      </c>
      <c r="L234" s="100">
        <v>0.585</v>
      </c>
      <c r="M234" s="100">
        <v>0.601</v>
      </c>
      <c r="N234" s="101">
        <v>11.22</v>
      </c>
      <c r="O234" s="94">
        <v>3.95</v>
      </c>
      <c r="P234" s="101">
        <v>84.83</v>
      </c>
      <c r="Q234" s="102"/>
      <c r="R234" s="103">
        <f t="shared" si="1"/>
        <v>70847.96</v>
      </c>
      <c r="S234" s="103">
        <f t="shared" si="2"/>
        <v>11952.72</v>
      </c>
      <c r="T234" s="103">
        <f t="shared" si="3"/>
        <v>2988.18</v>
      </c>
      <c r="U234" s="103">
        <f t="shared" si="4"/>
        <v>3069.908</v>
      </c>
      <c r="V234" s="103">
        <f t="shared" si="5"/>
        <v>57311.76</v>
      </c>
      <c r="W234" s="103">
        <f t="shared" si="6"/>
        <v>20176.6</v>
      </c>
      <c r="X234" s="103">
        <f t="shared" si="7"/>
        <v>433311.64</v>
      </c>
    </row>
    <row r="235" ht="12.0" customHeight="1">
      <c r="A2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35" s="87" t="str">
        <f>IFERROR(__xludf.DUMMYFUNCTION("IFERROR(IF(F235&lt;&gt;"""",""WHSE ""&amp;LEFT(F235,1),REGEXEXTRACT(E235,""-(?:\d{2}-)?([A-Z]+)"")),"""")
"),"WHSE D")</f>
        <v>WHSE D</v>
      </c>
      <c r="C235" s="88">
        <v>45924.0</v>
      </c>
      <c r="D235" s="89" t="s">
        <v>286</v>
      </c>
      <c r="E235" s="90" t="s">
        <v>287</v>
      </c>
      <c r="F235" s="90" t="s">
        <v>288</v>
      </c>
      <c r="G235" s="98" t="s">
        <v>73</v>
      </c>
      <c r="H235" s="92">
        <v>16740.0</v>
      </c>
      <c r="I235" s="99">
        <v>458.0</v>
      </c>
      <c r="J235" s="94">
        <v>11.07</v>
      </c>
      <c r="K235" s="100">
        <v>2.34</v>
      </c>
      <c r="L235" s="100">
        <v>0.578</v>
      </c>
      <c r="M235" s="100">
        <v>0.598</v>
      </c>
      <c r="N235" s="101">
        <v>13.99</v>
      </c>
      <c r="O235" s="94">
        <v>3.09</v>
      </c>
      <c r="P235" s="101">
        <v>82.92</v>
      </c>
      <c r="Q235" s="102"/>
      <c r="R235" s="103">
        <f t="shared" si="1"/>
        <v>185311.8</v>
      </c>
      <c r="S235" s="103">
        <f t="shared" si="2"/>
        <v>39171.6</v>
      </c>
      <c r="T235" s="103">
        <f t="shared" si="3"/>
        <v>9675.72</v>
      </c>
      <c r="U235" s="103">
        <f t="shared" si="4"/>
        <v>10010.52</v>
      </c>
      <c r="V235" s="103">
        <f t="shared" si="5"/>
        <v>234192.6</v>
      </c>
      <c r="W235" s="103">
        <f t="shared" si="6"/>
        <v>51726.6</v>
      </c>
      <c r="X235" s="103">
        <f t="shared" si="7"/>
        <v>1388080.8</v>
      </c>
    </row>
    <row r="236" ht="12.0" customHeight="1">
      <c r="A2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36" s="87" t="str">
        <f>IFERROR(__xludf.DUMMYFUNCTION("IFERROR(IF(F236&lt;&gt;"""",""WHSE ""&amp;LEFT(F236,1),REGEXEXTRACT(E236,""-(?:\d{2}-)?([A-Z]+)"")),"""")
"),"WHSE C")</f>
        <v>WHSE C</v>
      </c>
      <c r="C236" s="88">
        <v>45924.0</v>
      </c>
      <c r="D236" s="89" t="s">
        <v>232</v>
      </c>
      <c r="E236" s="90" t="s">
        <v>298</v>
      </c>
      <c r="F236" s="90" t="s">
        <v>299</v>
      </c>
      <c r="G236" s="98" t="s">
        <v>235</v>
      </c>
      <c r="H236" s="92">
        <v>11050.0</v>
      </c>
      <c r="I236" s="99">
        <v>368.0</v>
      </c>
      <c r="J236" s="94">
        <v>8.87</v>
      </c>
      <c r="K236" s="100">
        <v>3.6</v>
      </c>
      <c r="L236" s="100">
        <v>0.581</v>
      </c>
      <c r="M236" s="100">
        <v>0.601</v>
      </c>
      <c r="N236" s="101">
        <v>13.22</v>
      </c>
      <c r="O236" s="94">
        <v>3.85</v>
      </c>
      <c r="P236" s="101">
        <v>82.93</v>
      </c>
      <c r="Q236" s="102"/>
      <c r="R236" s="103">
        <f t="shared" si="1"/>
        <v>98013.5</v>
      </c>
      <c r="S236" s="103">
        <f t="shared" si="2"/>
        <v>39780</v>
      </c>
      <c r="T236" s="103">
        <f t="shared" si="3"/>
        <v>6420.05</v>
      </c>
      <c r="U236" s="103">
        <f t="shared" si="4"/>
        <v>6641.05</v>
      </c>
      <c r="V236" s="103">
        <f t="shared" si="5"/>
        <v>146081</v>
      </c>
      <c r="W236" s="103">
        <f t="shared" si="6"/>
        <v>42542.5</v>
      </c>
      <c r="X236" s="103">
        <f t="shared" si="7"/>
        <v>916376.5</v>
      </c>
    </row>
    <row r="237" ht="12.0" customHeight="1">
      <c r="A2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37" s="87" t="str">
        <f>IFERROR(__xludf.DUMMYFUNCTION("IFERROR(IF(F237&lt;&gt;"""",""WHSE ""&amp;LEFT(F237,1),REGEXEXTRACT(E237,""-(?:\d{2}-)?([A-Z]+)"")),"""")
"),"WHSE D")</f>
        <v>WHSE D</v>
      </c>
      <c r="C237" s="88">
        <v>45925.0</v>
      </c>
      <c r="D237" s="89" t="s">
        <v>304</v>
      </c>
      <c r="E237" s="90" t="s">
        <v>280</v>
      </c>
      <c r="F237" s="90" t="s">
        <v>281</v>
      </c>
      <c r="G237" s="98" t="s">
        <v>305</v>
      </c>
      <c r="H237" s="92">
        <v>12995.0</v>
      </c>
      <c r="I237" s="99">
        <v>346.0</v>
      </c>
      <c r="J237" s="94">
        <v>10.8</v>
      </c>
      <c r="K237" s="100">
        <v>2.34</v>
      </c>
      <c r="L237" s="100">
        <v>0.585</v>
      </c>
      <c r="M237" s="100">
        <v>0.605</v>
      </c>
      <c r="N237" s="101">
        <v>13.98</v>
      </c>
      <c r="O237" s="94">
        <v>3.14</v>
      </c>
      <c r="P237" s="101">
        <v>82.88</v>
      </c>
      <c r="Q237" s="102"/>
      <c r="R237" s="103">
        <f t="shared" si="1"/>
        <v>140346</v>
      </c>
      <c r="S237" s="103">
        <f t="shared" si="2"/>
        <v>30408.3</v>
      </c>
      <c r="T237" s="103">
        <f t="shared" si="3"/>
        <v>7602.075</v>
      </c>
      <c r="U237" s="103">
        <f t="shared" si="4"/>
        <v>7861.975</v>
      </c>
      <c r="V237" s="103">
        <f t="shared" si="5"/>
        <v>181670.1</v>
      </c>
      <c r="W237" s="103">
        <f t="shared" si="6"/>
        <v>40804.3</v>
      </c>
      <c r="X237" s="103">
        <f t="shared" si="7"/>
        <v>1077025.6</v>
      </c>
    </row>
    <row r="238" ht="12.0" customHeight="1">
      <c r="A2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38" s="87" t="str">
        <f>IFERROR(__xludf.DUMMYFUNCTION("IFERROR(IF(F238&lt;&gt;"""",""WHSE ""&amp;LEFT(F238,1),REGEXEXTRACT(E238,""-(?:\d{2}-)?([A-Z]+)"")),"""")
"),"WHSE C")</f>
        <v>WHSE C</v>
      </c>
      <c r="C238" s="88">
        <v>45925.0</v>
      </c>
      <c r="D238" s="89" t="s">
        <v>232</v>
      </c>
      <c r="E238" s="90" t="s">
        <v>306</v>
      </c>
      <c r="F238" s="90" t="s">
        <v>307</v>
      </c>
      <c r="G238" s="98" t="s">
        <v>272</v>
      </c>
      <c r="H238" s="92">
        <v>19575.0</v>
      </c>
      <c r="I238" s="99">
        <v>726.0</v>
      </c>
      <c r="J238" s="94">
        <v>10.2</v>
      </c>
      <c r="K238" s="100">
        <v>4.6</v>
      </c>
      <c r="L238" s="100">
        <v>0.565</v>
      </c>
      <c r="M238" s="100">
        <v>0.585</v>
      </c>
      <c r="N238" s="101">
        <v>12.78</v>
      </c>
      <c r="O238" s="94">
        <v>4.04</v>
      </c>
      <c r="P238" s="101">
        <v>83.18</v>
      </c>
      <c r="Q238" s="102"/>
      <c r="R238" s="103">
        <f t="shared" si="1"/>
        <v>199665</v>
      </c>
      <c r="S238" s="103">
        <f t="shared" si="2"/>
        <v>90045</v>
      </c>
      <c r="T238" s="103">
        <f t="shared" si="3"/>
        <v>11059.875</v>
      </c>
      <c r="U238" s="103">
        <f t="shared" si="4"/>
        <v>11451.375</v>
      </c>
      <c r="V238" s="103">
        <f t="shared" si="5"/>
        <v>250168.5</v>
      </c>
      <c r="W238" s="103">
        <f t="shared" si="6"/>
        <v>79083</v>
      </c>
      <c r="X238" s="103">
        <f t="shared" si="7"/>
        <v>1628248.5</v>
      </c>
    </row>
    <row r="239" ht="12.0" customHeight="1">
      <c r="A2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39" s="87" t="str">
        <f>IFERROR(__xludf.DUMMYFUNCTION("IFERROR(IF(F239&lt;&gt;"""",""WHSE ""&amp;LEFT(F239,1),REGEXEXTRACT(E239,""-(?:\d{2}-)?([A-Z]+)"")),"""")
"),"WHSE C")</f>
        <v>WHSE C</v>
      </c>
      <c r="C239" s="88">
        <v>45925.0</v>
      </c>
      <c r="D239" s="89" t="s">
        <v>265</v>
      </c>
      <c r="E239" s="90" t="s">
        <v>298</v>
      </c>
      <c r="F239" s="90" t="s">
        <v>299</v>
      </c>
      <c r="G239" s="98" t="s">
        <v>308</v>
      </c>
      <c r="H239" s="92">
        <v>7595.0</v>
      </c>
      <c r="I239" s="99">
        <v>228.0</v>
      </c>
      <c r="J239" s="94">
        <v>10.54</v>
      </c>
      <c r="K239" s="100">
        <v>4.74</v>
      </c>
      <c r="L239" s="100">
        <v>0.562</v>
      </c>
      <c r="M239" s="100">
        <v>0.582</v>
      </c>
      <c r="N239" s="101">
        <v>13.44</v>
      </c>
      <c r="O239" s="94">
        <v>2.88</v>
      </c>
      <c r="P239" s="101">
        <v>83.68</v>
      </c>
      <c r="Q239" s="102"/>
      <c r="R239" s="103">
        <f t="shared" si="1"/>
        <v>80051.3</v>
      </c>
      <c r="S239" s="103">
        <f t="shared" si="2"/>
        <v>36000.3</v>
      </c>
      <c r="T239" s="103">
        <f t="shared" si="3"/>
        <v>4268.39</v>
      </c>
      <c r="U239" s="103">
        <f t="shared" si="4"/>
        <v>4420.29</v>
      </c>
      <c r="V239" s="103">
        <f t="shared" si="5"/>
        <v>102076.8</v>
      </c>
      <c r="W239" s="103">
        <f t="shared" si="6"/>
        <v>21873.6</v>
      </c>
      <c r="X239" s="103">
        <f t="shared" si="7"/>
        <v>635549.6</v>
      </c>
    </row>
    <row r="240" ht="12.0" customHeight="1">
      <c r="A2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40" s="87" t="str">
        <f>IFERROR(__xludf.DUMMYFUNCTION("IFERROR(IF(F240&lt;&gt;"""",""WHSE ""&amp;LEFT(F240,1),REGEXEXTRACT(E240,""-(?:\d{2}-)?([A-Z]+)"")),"""")
"),"WHSE C")</f>
        <v>WHSE C</v>
      </c>
      <c r="C240" s="88">
        <v>45926.0</v>
      </c>
      <c r="D240" s="89" t="s">
        <v>232</v>
      </c>
      <c r="E240" s="90" t="s">
        <v>298</v>
      </c>
      <c r="F240" s="90" t="s">
        <v>299</v>
      </c>
      <c r="G240" s="98" t="s">
        <v>309</v>
      </c>
      <c r="H240" s="92">
        <v>4530.0</v>
      </c>
      <c r="I240" s="99">
        <v>150.0</v>
      </c>
      <c r="J240" s="94">
        <v>9.07</v>
      </c>
      <c r="K240" s="100">
        <v>3.14</v>
      </c>
      <c r="L240" s="100">
        <v>0.565</v>
      </c>
      <c r="M240" s="100">
        <v>0.585</v>
      </c>
      <c r="N240" s="101">
        <v>12.41</v>
      </c>
      <c r="O240" s="94">
        <v>3.92</v>
      </c>
      <c r="P240" s="101">
        <v>83.67</v>
      </c>
      <c r="Q240" s="102"/>
      <c r="R240" s="103">
        <f t="shared" si="1"/>
        <v>41087.1</v>
      </c>
      <c r="S240" s="103">
        <f t="shared" si="2"/>
        <v>14224.2</v>
      </c>
      <c r="T240" s="103">
        <f t="shared" si="3"/>
        <v>2559.45</v>
      </c>
      <c r="U240" s="103">
        <f t="shared" si="4"/>
        <v>2650.05</v>
      </c>
      <c r="V240" s="103">
        <f t="shared" si="5"/>
        <v>56217.3</v>
      </c>
      <c r="W240" s="103">
        <f t="shared" si="6"/>
        <v>17757.6</v>
      </c>
      <c r="X240" s="103">
        <f t="shared" si="7"/>
        <v>379025.1</v>
      </c>
    </row>
    <row r="241" ht="12.0" customHeight="1">
      <c r="A2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41" s="87" t="str">
        <f>IFERROR(__xludf.DUMMYFUNCTION("IFERROR(IF(F241&lt;&gt;"""",""WHSE ""&amp;LEFT(F241,1),REGEXEXTRACT(E241,""-(?:\d{2}-)?([A-Z]+)"")),"""")
"),"WHSE D")</f>
        <v>WHSE D</v>
      </c>
      <c r="C241" s="88">
        <v>45926.0</v>
      </c>
      <c r="D241" s="89" t="s">
        <v>289</v>
      </c>
      <c r="E241" s="90" t="s">
        <v>290</v>
      </c>
      <c r="F241" s="90" t="s">
        <v>291</v>
      </c>
      <c r="G241" s="98" t="s">
        <v>310</v>
      </c>
      <c r="H241" s="92">
        <v>18600.0</v>
      </c>
      <c r="I241" s="99">
        <v>548.0</v>
      </c>
      <c r="J241" s="94">
        <v>9.87</v>
      </c>
      <c r="K241" s="100">
        <v>5.74</v>
      </c>
      <c r="L241" s="100">
        <v>0.549</v>
      </c>
      <c r="M241" s="100">
        <v>0.569</v>
      </c>
      <c r="N241" s="101">
        <v>11.97</v>
      </c>
      <c r="O241" s="94">
        <v>4.28</v>
      </c>
      <c r="P241" s="101">
        <v>83.75</v>
      </c>
      <c r="Q241" s="102"/>
      <c r="R241" s="103">
        <f t="shared" si="1"/>
        <v>183582</v>
      </c>
      <c r="S241" s="103">
        <f t="shared" si="2"/>
        <v>106764</v>
      </c>
      <c r="T241" s="103">
        <f t="shared" si="3"/>
        <v>10211.4</v>
      </c>
      <c r="U241" s="103">
        <f t="shared" si="4"/>
        <v>10583.4</v>
      </c>
      <c r="V241" s="103">
        <f t="shared" si="5"/>
        <v>222642</v>
      </c>
      <c r="W241" s="103">
        <f t="shared" si="6"/>
        <v>79608</v>
      </c>
      <c r="X241" s="103">
        <f t="shared" si="7"/>
        <v>1557750</v>
      </c>
    </row>
    <row r="242" ht="12.0" customHeight="1">
      <c r="A2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42" s="87" t="str">
        <f>IFERROR(__xludf.DUMMYFUNCTION("IFERROR(IF(F242&lt;&gt;"""",""WHSE ""&amp;LEFT(F242,1),REGEXEXTRACT(E242,""-(?:\d{2}-)?([A-Z]+)"")),"""")
"),"WHSE A")</f>
        <v>WHSE A</v>
      </c>
      <c r="C242" s="88">
        <v>45927.0</v>
      </c>
      <c r="D242" s="89" t="s">
        <v>72</v>
      </c>
      <c r="E242" s="90" t="s">
        <v>311</v>
      </c>
      <c r="F242" s="90" t="s">
        <v>312</v>
      </c>
      <c r="G242" s="98" t="s">
        <v>313</v>
      </c>
      <c r="H242" s="92">
        <v>3818.0</v>
      </c>
      <c r="I242" s="99">
        <v>140.0</v>
      </c>
      <c r="J242" s="94">
        <v>19.54</v>
      </c>
      <c r="K242" s="100">
        <v>2.74</v>
      </c>
      <c r="L242" s="100">
        <v>0.581</v>
      </c>
      <c r="M242" s="100">
        <v>0.601</v>
      </c>
      <c r="N242" s="101">
        <v>13.66</v>
      </c>
      <c r="O242" s="94">
        <v>4.22</v>
      </c>
      <c r="P242" s="101">
        <v>82.12</v>
      </c>
      <c r="Q242" s="89" t="s">
        <v>314</v>
      </c>
      <c r="R242" s="86">
        <f t="shared" si="1"/>
        <v>74603.72</v>
      </c>
      <c r="S242" s="86">
        <f t="shared" si="2"/>
        <v>10461.32</v>
      </c>
      <c r="T242" s="86">
        <f t="shared" si="3"/>
        <v>2218.258</v>
      </c>
      <c r="U242" s="86">
        <f t="shared" si="4"/>
        <v>2294.618</v>
      </c>
      <c r="V242" s="86">
        <f t="shared" si="5"/>
        <v>52153.88</v>
      </c>
      <c r="W242" s="86">
        <f t="shared" si="6"/>
        <v>16111.96</v>
      </c>
      <c r="X242" s="86">
        <f t="shared" si="7"/>
        <v>313534.16</v>
      </c>
    </row>
    <row r="243" ht="12.0" customHeight="1">
      <c r="A2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43" s="87" t="str">
        <f>IFERROR(__xludf.DUMMYFUNCTION("IFERROR(IF(F243&lt;&gt;"""",""WHSE ""&amp;LEFT(F243,1),REGEXEXTRACT(E243,""-(?:\d{2}-)?([A-Z]+)"")),"""")
"),"WHSE D")</f>
        <v>WHSE D</v>
      </c>
      <c r="C243" s="88">
        <v>45927.0</v>
      </c>
      <c r="D243" s="89" t="s">
        <v>289</v>
      </c>
      <c r="E243" s="90" t="s">
        <v>300</v>
      </c>
      <c r="F243" s="90" t="s">
        <v>301</v>
      </c>
      <c r="G243" s="98" t="s">
        <v>302</v>
      </c>
      <c r="H243" s="92">
        <v>30125.0</v>
      </c>
      <c r="I243" s="99">
        <v>803.0</v>
      </c>
      <c r="J243" s="94">
        <v>10.34</v>
      </c>
      <c r="K243" s="100">
        <v>5.67</v>
      </c>
      <c r="L243" s="100">
        <v>0.549</v>
      </c>
      <c r="M243" s="100">
        <v>0.569</v>
      </c>
      <c r="N243" s="101">
        <v>13.39</v>
      </c>
      <c r="O243" s="94">
        <v>12.72</v>
      </c>
      <c r="P243" s="101">
        <v>73.89</v>
      </c>
      <c r="Q243" s="102"/>
      <c r="R243" s="103">
        <f t="shared" si="1"/>
        <v>311492.5</v>
      </c>
      <c r="S243" s="103">
        <f t="shared" si="2"/>
        <v>170808.75</v>
      </c>
      <c r="T243" s="103">
        <f t="shared" si="3"/>
        <v>16538.625</v>
      </c>
      <c r="U243" s="103">
        <f t="shared" si="4"/>
        <v>17141.125</v>
      </c>
      <c r="V243" s="103">
        <f t="shared" si="5"/>
        <v>403373.75</v>
      </c>
      <c r="W243" s="103">
        <f t="shared" si="6"/>
        <v>383190</v>
      </c>
      <c r="X243" s="103">
        <f t="shared" si="7"/>
        <v>2225936.25</v>
      </c>
    </row>
    <row r="244" ht="12.0" customHeight="1">
      <c r="A2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44" s="87" t="str">
        <f>IFERROR(__xludf.DUMMYFUNCTION("IFERROR(IF(F244&lt;&gt;"""",""WHSE ""&amp;LEFT(F244,1),REGEXEXTRACT(E244,""-(?:\d{2}-)?([A-Z]+)"")),"""")
"),"WHSE D")</f>
        <v>WHSE D</v>
      </c>
      <c r="C244" s="88">
        <v>45929.0</v>
      </c>
      <c r="D244" s="89" t="s">
        <v>64</v>
      </c>
      <c r="E244" s="90" t="s">
        <v>295</v>
      </c>
      <c r="F244" s="90" t="s">
        <v>296</v>
      </c>
      <c r="G244" s="98" t="s">
        <v>126</v>
      </c>
      <c r="H244" s="92">
        <v>4916.0</v>
      </c>
      <c r="I244" s="99">
        <v>125.0</v>
      </c>
      <c r="J244" s="94">
        <v>14.07</v>
      </c>
      <c r="K244" s="100">
        <v>2.18</v>
      </c>
      <c r="L244" s="100">
        <v>0.575</v>
      </c>
      <c r="M244" s="100">
        <v>0.595</v>
      </c>
      <c r="N244" s="101">
        <v>12.25</v>
      </c>
      <c r="O244" s="94">
        <v>3.65</v>
      </c>
      <c r="P244" s="101">
        <v>84.1</v>
      </c>
      <c r="Q244" s="89" t="s">
        <v>315</v>
      </c>
      <c r="R244" s="86">
        <f t="shared" si="1"/>
        <v>69168.12</v>
      </c>
      <c r="S244" s="86">
        <f t="shared" si="2"/>
        <v>10716.88</v>
      </c>
      <c r="T244" s="86">
        <f t="shared" si="3"/>
        <v>2826.7</v>
      </c>
      <c r="U244" s="86">
        <f t="shared" si="4"/>
        <v>2925.02</v>
      </c>
      <c r="V244" s="86">
        <f t="shared" si="5"/>
        <v>60221</v>
      </c>
      <c r="W244" s="86">
        <f t="shared" si="6"/>
        <v>17943.4</v>
      </c>
      <c r="X244" s="86">
        <f t="shared" si="7"/>
        <v>413435.6</v>
      </c>
    </row>
    <row r="245" ht="12.0" customHeight="1">
      <c r="A2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45" s="87" t="str">
        <f>IFERROR(__xludf.DUMMYFUNCTION("IFERROR(IF(F245&lt;&gt;"""",""WHSE ""&amp;LEFT(F245,1),REGEXEXTRACT(E245,""-(?:\d{2}-)?([A-Z]+)"")),"""")
"),"WHSE D")</f>
        <v>WHSE D</v>
      </c>
      <c r="C245" s="88">
        <v>45929.0</v>
      </c>
      <c r="D245" s="89" t="s">
        <v>64</v>
      </c>
      <c r="E245" s="90" t="s">
        <v>295</v>
      </c>
      <c r="F245" s="90" t="s">
        <v>296</v>
      </c>
      <c r="G245" s="98" t="s">
        <v>316</v>
      </c>
      <c r="H245" s="92">
        <v>24856.0</v>
      </c>
      <c r="I245" s="99">
        <v>540.0</v>
      </c>
      <c r="J245" s="94">
        <v>13.87</v>
      </c>
      <c r="K245" s="100">
        <v>2.59</v>
      </c>
      <c r="L245" s="100">
        <v>0.578</v>
      </c>
      <c r="M245" s="100">
        <v>0.598</v>
      </c>
      <c r="N245" s="101">
        <v>12.78</v>
      </c>
      <c r="O245" s="94">
        <v>3.94</v>
      </c>
      <c r="P245" s="101">
        <v>83.28</v>
      </c>
      <c r="Q245" s="89" t="s">
        <v>317</v>
      </c>
      <c r="R245" s="86">
        <f t="shared" si="1"/>
        <v>344752.72</v>
      </c>
      <c r="S245" s="86">
        <f t="shared" si="2"/>
        <v>64377.04</v>
      </c>
      <c r="T245" s="86">
        <f t="shared" si="3"/>
        <v>14366.768</v>
      </c>
      <c r="U245" s="86">
        <f t="shared" si="4"/>
        <v>14863.888</v>
      </c>
      <c r="V245" s="86">
        <f t="shared" si="5"/>
        <v>317659.68</v>
      </c>
      <c r="W245" s="86">
        <f t="shared" si="6"/>
        <v>97932.64</v>
      </c>
      <c r="X245" s="86">
        <f t="shared" si="7"/>
        <v>2070007.68</v>
      </c>
    </row>
    <row r="246" ht="12.0" customHeight="1">
      <c r="A2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46" s="87" t="str">
        <f>IFERROR(__xludf.DUMMYFUNCTION("IFERROR(IF(F246&lt;&gt;"""",""WHSE ""&amp;LEFT(F246,1),REGEXEXTRACT(E246,""-(?:\d{2}-)?([A-Z]+)"")),"""")
"),"WHSE D")</f>
        <v>WHSE D</v>
      </c>
      <c r="C246" s="88">
        <v>45929.0</v>
      </c>
      <c r="D246" s="89" t="s">
        <v>279</v>
      </c>
      <c r="E246" s="90" t="s">
        <v>280</v>
      </c>
      <c r="F246" s="90" t="s">
        <v>281</v>
      </c>
      <c r="G246" s="98" t="s">
        <v>318</v>
      </c>
      <c r="H246" s="92">
        <v>5463.0</v>
      </c>
      <c r="I246" s="99">
        <v>118.0</v>
      </c>
      <c r="J246" s="94">
        <v>12.4</v>
      </c>
      <c r="K246" s="100">
        <v>2.43</v>
      </c>
      <c r="L246" s="100">
        <v>0.585</v>
      </c>
      <c r="M246" s="100">
        <v>0.605</v>
      </c>
      <c r="N246" s="101">
        <v>14.39</v>
      </c>
      <c r="O246" s="94">
        <v>3.14</v>
      </c>
      <c r="P246" s="101">
        <v>82.47</v>
      </c>
      <c r="Q246" s="89" t="s">
        <v>319</v>
      </c>
      <c r="R246" s="86">
        <f t="shared" si="1"/>
        <v>67741.2</v>
      </c>
      <c r="S246" s="86">
        <f t="shared" si="2"/>
        <v>13275.09</v>
      </c>
      <c r="T246" s="86">
        <f t="shared" si="3"/>
        <v>3195.855</v>
      </c>
      <c r="U246" s="86">
        <f t="shared" si="4"/>
        <v>3305.115</v>
      </c>
      <c r="V246" s="86">
        <f t="shared" si="5"/>
        <v>78612.57</v>
      </c>
      <c r="W246" s="86">
        <f t="shared" si="6"/>
        <v>17153.82</v>
      </c>
      <c r="X246" s="86">
        <f t="shared" si="7"/>
        <v>450533.61</v>
      </c>
    </row>
    <row r="247" ht="12.0" customHeight="1">
      <c r="A2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47" s="87" t="str">
        <f>IFERROR(__xludf.DUMMYFUNCTION("IFERROR(IF(F247&lt;&gt;"""",""WHSE ""&amp;LEFT(F247,1),REGEXEXTRACT(E247,""-(?:\d{2}-)?([A-Z]+)"")),"""")
"),"WHSE C")</f>
        <v>WHSE C</v>
      </c>
      <c r="C247" s="88">
        <v>45929.0</v>
      </c>
      <c r="D247" s="89" t="s">
        <v>232</v>
      </c>
      <c r="E247" s="90" t="s">
        <v>306</v>
      </c>
      <c r="F247" s="90" t="s">
        <v>307</v>
      </c>
      <c r="G247" s="98" t="s">
        <v>272</v>
      </c>
      <c r="H247" s="92">
        <v>20235.0</v>
      </c>
      <c r="I247" s="99">
        <v>630.0</v>
      </c>
      <c r="J247" s="94">
        <v>9.2</v>
      </c>
      <c r="K247" s="100">
        <v>3.19</v>
      </c>
      <c r="L247" s="100">
        <v>0.565</v>
      </c>
      <c r="M247" s="100">
        <v>0.585</v>
      </c>
      <c r="N247" s="101">
        <v>13.02</v>
      </c>
      <c r="O247" s="94">
        <v>4.14</v>
      </c>
      <c r="P247" s="101">
        <v>82.84</v>
      </c>
      <c r="Q247" s="102"/>
      <c r="R247" s="103">
        <f t="shared" si="1"/>
        <v>186162</v>
      </c>
      <c r="S247" s="103">
        <f t="shared" si="2"/>
        <v>64549.65</v>
      </c>
      <c r="T247" s="103">
        <f t="shared" si="3"/>
        <v>11432.775</v>
      </c>
      <c r="U247" s="103">
        <f t="shared" si="4"/>
        <v>11837.475</v>
      </c>
      <c r="V247" s="103">
        <f t="shared" si="5"/>
        <v>263459.7</v>
      </c>
      <c r="W247" s="103">
        <f t="shared" si="6"/>
        <v>83772.9</v>
      </c>
      <c r="X247" s="103">
        <f t="shared" si="7"/>
        <v>1676267.4</v>
      </c>
    </row>
    <row r="248" ht="12.0" customHeight="1">
      <c r="A2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48" s="87" t="str">
        <f>IFERROR(__xludf.DUMMYFUNCTION("IFERROR(IF(F248&lt;&gt;"""",""WHSE ""&amp;LEFT(F248,1),REGEXEXTRACT(E248,""-(?:\d{2}-)?([A-Z]+)"")),"""")
"),"WHSE D")</f>
        <v>WHSE D</v>
      </c>
      <c r="C248" s="88">
        <v>45929.0</v>
      </c>
      <c r="D248" s="89" t="s">
        <v>289</v>
      </c>
      <c r="E248" s="90" t="s">
        <v>290</v>
      </c>
      <c r="F248" s="90" t="s">
        <v>291</v>
      </c>
      <c r="G248" s="98" t="s">
        <v>310</v>
      </c>
      <c r="H248" s="92">
        <v>18260.0</v>
      </c>
      <c r="I248" s="99">
        <v>535.0</v>
      </c>
      <c r="J248" s="94">
        <v>9.27</v>
      </c>
      <c r="K248" s="100">
        <v>2.39</v>
      </c>
      <c r="L248" s="100">
        <v>0.581</v>
      </c>
      <c r="M248" s="100">
        <v>0.601</v>
      </c>
      <c r="N248" s="101">
        <v>13.99</v>
      </c>
      <c r="O248" s="94">
        <v>3.38</v>
      </c>
      <c r="P248" s="101">
        <v>82.63</v>
      </c>
      <c r="Q248" s="102"/>
      <c r="R248" s="103">
        <f t="shared" si="1"/>
        <v>169270.2</v>
      </c>
      <c r="S248" s="103">
        <f t="shared" si="2"/>
        <v>43641.4</v>
      </c>
      <c r="T248" s="103">
        <f t="shared" si="3"/>
        <v>10609.06</v>
      </c>
      <c r="U248" s="103">
        <f t="shared" si="4"/>
        <v>10974.26</v>
      </c>
      <c r="V248" s="103">
        <f t="shared" si="5"/>
        <v>255457.4</v>
      </c>
      <c r="W248" s="103">
        <f t="shared" si="6"/>
        <v>61718.8</v>
      </c>
      <c r="X248" s="103">
        <f t="shared" si="7"/>
        <v>1508823.8</v>
      </c>
    </row>
    <row r="249" ht="12.0" customHeight="1">
      <c r="A2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49" s="87" t="str">
        <f>IFERROR(__xludf.DUMMYFUNCTION("IFERROR(IF(F249&lt;&gt;"""",""WHSE ""&amp;LEFT(F249,1),REGEXEXTRACT(E249,""-(?:\d{2}-)?([A-Z]+)"")),"""")
"),"WHSE C")</f>
        <v>WHSE C</v>
      </c>
      <c r="C249" s="88">
        <v>45930.0</v>
      </c>
      <c r="D249" s="89" t="s">
        <v>232</v>
      </c>
      <c r="E249" s="90" t="s">
        <v>306</v>
      </c>
      <c r="F249" s="90" t="s">
        <v>307</v>
      </c>
      <c r="G249" s="98" t="s">
        <v>235</v>
      </c>
      <c r="H249" s="92">
        <v>11680.0</v>
      </c>
      <c r="I249" s="99">
        <v>320.0</v>
      </c>
      <c r="J249" s="94">
        <v>9.74</v>
      </c>
      <c r="K249" s="100">
        <v>3.14</v>
      </c>
      <c r="L249" s="100">
        <v>0.581</v>
      </c>
      <c r="M249" s="100">
        <v>0.601</v>
      </c>
      <c r="N249" s="101">
        <v>12.47</v>
      </c>
      <c r="O249" s="94">
        <v>3.89</v>
      </c>
      <c r="P249" s="101">
        <v>83.64</v>
      </c>
      <c r="Q249" s="102"/>
      <c r="R249" s="103">
        <f t="shared" si="1"/>
        <v>113763.2</v>
      </c>
      <c r="S249" s="103">
        <f t="shared" si="2"/>
        <v>36675.2</v>
      </c>
      <c r="T249" s="103">
        <f t="shared" si="3"/>
        <v>6786.08</v>
      </c>
      <c r="U249" s="103">
        <f t="shared" si="4"/>
        <v>7019.68</v>
      </c>
      <c r="V249" s="103">
        <f t="shared" si="5"/>
        <v>145649.6</v>
      </c>
      <c r="W249" s="103">
        <f t="shared" si="6"/>
        <v>45435.2</v>
      </c>
      <c r="X249" s="103">
        <f t="shared" si="7"/>
        <v>976915.2</v>
      </c>
    </row>
    <row r="250" ht="12.0" customHeight="1">
      <c r="A2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50" s="87" t="str">
        <f>IFERROR(__xludf.DUMMYFUNCTION("IFERROR(IF(F250&lt;&gt;"""",""WHSE ""&amp;LEFT(F250,1),REGEXEXTRACT(E250,""-(?:\d{2}-)?([A-Z]+)"")),"""")
"),"WHSE D")</f>
        <v>WHSE D</v>
      </c>
      <c r="C250" s="88">
        <v>45930.0</v>
      </c>
      <c r="D250" s="89" t="s">
        <v>289</v>
      </c>
      <c r="E250" s="90" t="s">
        <v>320</v>
      </c>
      <c r="F250" s="90" t="s">
        <v>321</v>
      </c>
      <c r="G250" s="98" t="s">
        <v>322</v>
      </c>
      <c r="H250" s="92">
        <v>29800.0</v>
      </c>
      <c r="I250" s="99">
        <v>793.0</v>
      </c>
      <c r="J250" s="94">
        <v>9.94</v>
      </c>
      <c r="K250" s="100">
        <v>4.74</v>
      </c>
      <c r="L250" s="100">
        <v>0.541</v>
      </c>
      <c r="M250" s="100">
        <v>0.561</v>
      </c>
      <c r="N250" s="101">
        <v>12.02</v>
      </c>
      <c r="O250" s="94">
        <v>4.59</v>
      </c>
      <c r="P250" s="101">
        <v>83.39</v>
      </c>
      <c r="Q250" s="102"/>
      <c r="R250" s="103">
        <f t="shared" si="1"/>
        <v>296212</v>
      </c>
      <c r="S250" s="103">
        <f t="shared" si="2"/>
        <v>141252</v>
      </c>
      <c r="T250" s="103">
        <f t="shared" si="3"/>
        <v>16121.8</v>
      </c>
      <c r="U250" s="103">
        <f t="shared" si="4"/>
        <v>16717.8</v>
      </c>
      <c r="V250" s="103">
        <f t="shared" si="5"/>
        <v>358196</v>
      </c>
      <c r="W250" s="103">
        <f t="shared" si="6"/>
        <v>136782</v>
      </c>
      <c r="X250" s="103">
        <f t="shared" si="7"/>
        <v>2485022</v>
      </c>
    </row>
    <row r="251" ht="12.0" customHeight="1">
      <c r="A2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51" s="87" t="str">
        <f>IFERROR(__xludf.DUMMYFUNCTION("IFERROR(IF(F251&lt;&gt;"""",""WHSE ""&amp;LEFT(F251,1),REGEXEXTRACT(E251,""-(?:\d{2}-)?([A-Z]+)"")),"""")
"),"WHSE D")</f>
        <v>WHSE D</v>
      </c>
      <c r="C251" s="88">
        <v>45931.0</v>
      </c>
      <c r="D251" s="89" t="s">
        <v>72</v>
      </c>
      <c r="E251" s="90" t="s">
        <v>323</v>
      </c>
      <c r="F251" s="90" t="s">
        <v>324</v>
      </c>
      <c r="G251" s="98" t="s">
        <v>77</v>
      </c>
      <c r="H251" s="92">
        <v>18216.0</v>
      </c>
      <c r="I251" s="99">
        <v>441.0</v>
      </c>
      <c r="J251" s="94">
        <v>12.27</v>
      </c>
      <c r="K251" s="100">
        <v>2.6</v>
      </c>
      <c r="L251" s="100">
        <v>0.578</v>
      </c>
      <c r="M251" s="100">
        <v>0.598</v>
      </c>
      <c r="N251" s="101">
        <v>12.28</v>
      </c>
      <c r="O251" s="94">
        <v>3.66</v>
      </c>
      <c r="P251" s="101">
        <v>84.06</v>
      </c>
      <c r="Q251" s="102"/>
      <c r="R251" s="103">
        <f t="shared" si="1"/>
        <v>223510.32</v>
      </c>
      <c r="S251" s="103">
        <f t="shared" si="2"/>
        <v>47361.6</v>
      </c>
      <c r="T251" s="103">
        <f t="shared" si="3"/>
        <v>10528.848</v>
      </c>
      <c r="U251" s="103">
        <f t="shared" si="4"/>
        <v>10893.168</v>
      </c>
      <c r="V251" s="103">
        <f t="shared" si="5"/>
        <v>223692.48</v>
      </c>
      <c r="W251" s="103">
        <f t="shared" si="6"/>
        <v>66670.56</v>
      </c>
      <c r="X251" s="103">
        <f t="shared" si="7"/>
        <v>1531236.96</v>
      </c>
    </row>
    <row r="252" ht="12.0" customHeight="1">
      <c r="A2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52" s="87" t="str">
        <f>IFERROR(__xludf.DUMMYFUNCTION("IFERROR(IF(F252&lt;&gt;"""",""WHSE ""&amp;LEFT(F252,1),REGEXEXTRACT(E252,""-(?:\d{2}-)?([A-Z]+)"")),"""")
"),"WHSE D")</f>
        <v>WHSE D</v>
      </c>
      <c r="C252" s="88">
        <v>45932.0</v>
      </c>
      <c r="D252" s="89" t="s">
        <v>286</v>
      </c>
      <c r="E252" s="90" t="s">
        <v>287</v>
      </c>
      <c r="F252" s="90" t="s">
        <v>288</v>
      </c>
      <c r="G252" s="98" t="s">
        <v>73</v>
      </c>
      <c r="H252" s="92">
        <v>15535.0</v>
      </c>
      <c r="I252" s="99">
        <v>456.0</v>
      </c>
      <c r="J252" s="94">
        <v>11.87</v>
      </c>
      <c r="K252" s="100">
        <v>2.47</v>
      </c>
      <c r="L252" s="100">
        <v>0.581</v>
      </c>
      <c r="M252" s="100">
        <v>0.601</v>
      </c>
      <c r="N252" s="101">
        <v>13.6</v>
      </c>
      <c r="O252" s="94">
        <v>2.79</v>
      </c>
      <c r="P252" s="101">
        <v>83.61</v>
      </c>
      <c r="Q252" s="89" t="s">
        <v>325</v>
      </c>
      <c r="R252" s="86">
        <f t="shared" si="1"/>
        <v>184400.45</v>
      </c>
      <c r="S252" s="86">
        <f t="shared" si="2"/>
        <v>38371.45</v>
      </c>
      <c r="T252" s="86">
        <f t="shared" si="3"/>
        <v>9025.835</v>
      </c>
      <c r="U252" s="86">
        <f t="shared" si="4"/>
        <v>9336.535</v>
      </c>
      <c r="V252" s="86">
        <f t="shared" si="5"/>
        <v>211276</v>
      </c>
      <c r="W252" s="86">
        <f t="shared" si="6"/>
        <v>43342.65</v>
      </c>
      <c r="X252" s="86">
        <f t="shared" si="7"/>
        <v>1298881.35</v>
      </c>
    </row>
    <row r="253" ht="12.0" customHeight="1">
      <c r="A2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53" s="87" t="str">
        <f>IFERROR(__xludf.DUMMYFUNCTION("IFERROR(IF(F253&lt;&gt;"""",""WHSE ""&amp;LEFT(F253,1),REGEXEXTRACT(E253,""-(?:\d{2}-)?([A-Z]+)"")),"""")
"),"WHSE C")</f>
        <v>WHSE C</v>
      </c>
      <c r="C253" s="88">
        <v>45932.0</v>
      </c>
      <c r="D253" s="89" t="s">
        <v>232</v>
      </c>
      <c r="E253" s="90" t="s">
        <v>326</v>
      </c>
      <c r="F253" s="90" t="s">
        <v>327</v>
      </c>
      <c r="G253" s="98" t="s">
        <v>328</v>
      </c>
      <c r="H253" s="92">
        <v>21821.0</v>
      </c>
      <c r="I253" s="99">
        <v>540.0</v>
      </c>
      <c r="J253" s="94">
        <v>13.74</v>
      </c>
      <c r="K253" s="100">
        <v>3.8</v>
      </c>
      <c r="L253" s="100">
        <v>0.546</v>
      </c>
      <c r="M253" s="100">
        <v>0.566</v>
      </c>
      <c r="N253" s="101">
        <v>10.38</v>
      </c>
      <c r="O253" s="94">
        <v>10.13</v>
      </c>
      <c r="P253" s="101">
        <v>79.49</v>
      </c>
      <c r="Q253" s="89" t="s">
        <v>329</v>
      </c>
      <c r="R253" s="86">
        <f t="shared" si="1"/>
        <v>299820.54</v>
      </c>
      <c r="S253" s="86">
        <f t="shared" si="2"/>
        <v>82919.8</v>
      </c>
      <c r="T253" s="86">
        <f t="shared" si="3"/>
        <v>11914.266</v>
      </c>
      <c r="U253" s="86">
        <f t="shared" si="4"/>
        <v>12350.686</v>
      </c>
      <c r="V253" s="86">
        <f t="shared" si="5"/>
        <v>226501.98</v>
      </c>
      <c r="W253" s="86">
        <f t="shared" si="6"/>
        <v>221046.73</v>
      </c>
      <c r="X253" s="86">
        <f t="shared" si="7"/>
        <v>1734551.29</v>
      </c>
    </row>
    <row r="254" ht="12.0" customHeight="1">
      <c r="A2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54" s="87" t="str">
        <f>IFERROR(__xludf.DUMMYFUNCTION("IFERROR(IF(F254&lt;&gt;"""",""WHSE ""&amp;LEFT(F254,1),REGEXEXTRACT(E254,""-(?:\d{2}-)?([A-Z]+)"")),"""")
"),"WHSE D")</f>
        <v>WHSE D</v>
      </c>
      <c r="C254" s="88">
        <v>45932.0</v>
      </c>
      <c r="D254" s="89" t="s">
        <v>289</v>
      </c>
      <c r="E254" s="90" t="s">
        <v>300</v>
      </c>
      <c r="F254" s="90" t="s">
        <v>301</v>
      </c>
      <c r="G254" s="98" t="s">
        <v>330</v>
      </c>
      <c r="H254" s="92">
        <v>24930.0</v>
      </c>
      <c r="I254" s="99">
        <v>627.0</v>
      </c>
      <c r="J254" s="94">
        <v>10.2</v>
      </c>
      <c r="K254" s="100">
        <v>4.87</v>
      </c>
      <c r="L254" s="100">
        <v>0.549</v>
      </c>
      <c r="M254" s="100">
        <v>0.569</v>
      </c>
      <c r="N254" s="101">
        <v>11.28</v>
      </c>
      <c r="O254" s="94">
        <v>8.95</v>
      </c>
      <c r="P254" s="101">
        <v>79.77</v>
      </c>
      <c r="Q254" s="89" t="s">
        <v>331</v>
      </c>
      <c r="R254" s="86">
        <f t="shared" si="1"/>
        <v>254286</v>
      </c>
      <c r="S254" s="86">
        <f t="shared" si="2"/>
        <v>121409.1</v>
      </c>
      <c r="T254" s="86">
        <f t="shared" si="3"/>
        <v>13686.57</v>
      </c>
      <c r="U254" s="86">
        <f t="shared" si="4"/>
        <v>14185.17</v>
      </c>
      <c r="V254" s="86">
        <f t="shared" si="5"/>
        <v>281210.4</v>
      </c>
      <c r="W254" s="86">
        <f t="shared" si="6"/>
        <v>223123.5</v>
      </c>
      <c r="X254" s="86">
        <f t="shared" si="7"/>
        <v>1988666.1</v>
      </c>
    </row>
    <row r="255" ht="12.0" customHeight="1">
      <c r="A2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55" s="87" t="str">
        <f>IFERROR(__xludf.DUMMYFUNCTION("IFERROR(IF(F255&lt;&gt;"""",""WHSE ""&amp;LEFT(F255,1),REGEXEXTRACT(E255,""-(?:\d{2}-)?([A-Z]+)"")),"""")
"),"WHSE C")</f>
        <v>WHSE C</v>
      </c>
      <c r="C255" s="88">
        <v>45933.0</v>
      </c>
      <c r="D255" s="89" t="s">
        <v>232</v>
      </c>
      <c r="E255" s="90" t="s">
        <v>332</v>
      </c>
      <c r="F255" s="90" t="s">
        <v>333</v>
      </c>
      <c r="G255" s="98" t="s">
        <v>235</v>
      </c>
      <c r="H255" s="92">
        <v>11385.0</v>
      </c>
      <c r="I255" s="99">
        <v>333.0</v>
      </c>
      <c r="J255" s="94">
        <v>9.34</v>
      </c>
      <c r="K255" s="100">
        <v>2.34</v>
      </c>
      <c r="L255" s="100">
        <v>0.585</v>
      </c>
      <c r="M255" s="100">
        <v>0.605</v>
      </c>
      <c r="N255" s="101">
        <v>13.08</v>
      </c>
      <c r="O255" s="94">
        <v>2.96</v>
      </c>
      <c r="P255" s="101">
        <v>83.96</v>
      </c>
      <c r="Q255" s="102"/>
      <c r="R255" s="103">
        <f t="shared" si="1"/>
        <v>106335.9</v>
      </c>
      <c r="S255" s="103">
        <f t="shared" si="2"/>
        <v>26640.9</v>
      </c>
      <c r="T255" s="103">
        <f t="shared" si="3"/>
        <v>6660.225</v>
      </c>
      <c r="U255" s="103">
        <f t="shared" si="4"/>
        <v>6887.925</v>
      </c>
      <c r="V255" s="103">
        <f t="shared" si="5"/>
        <v>148915.8</v>
      </c>
      <c r="W255" s="103">
        <f t="shared" si="6"/>
        <v>33699.6</v>
      </c>
      <c r="X255" s="103">
        <f t="shared" si="7"/>
        <v>955884.6</v>
      </c>
    </row>
    <row r="256" ht="12.0" customHeight="1">
      <c r="A2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56" s="87" t="str">
        <f>IFERROR(__xludf.DUMMYFUNCTION("IFERROR(IF(F256&lt;&gt;"""",""WHSE ""&amp;LEFT(F256,1),REGEXEXTRACT(E256,""-(?:\d{2}-)?([A-Z]+)"")),"""")
"),"WHSE C")</f>
        <v>WHSE C</v>
      </c>
      <c r="C256" s="88">
        <v>45933.0</v>
      </c>
      <c r="D256" s="89" t="s">
        <v>232</v>
      </c>
      <c r="E256" s="90" t="s">
        <v>332</v>
      </c>
      <c r="F256" s="90" t="s">
        <v>333</v>
      </c>
      <c r="G256" s="98" t="s">
        <v>328</v>
      </c>
      <c r="H256" s="92">
        <v>20135.0</v>
      </c>
      <c r="I256" s="99">
        <v>620.0</v>
      </c>
      <c r="J256" s="94">
        <v>9.47</v>
      </c>
      <c r="K256" s="100">
        <v>3.1</v>
      </c>
      <c r="L256" s="100">
        <v>0.578</v>
      </c>
      <c r="M256" s="100">
        <v>0.598</v>
      </c>
      <c r="N256" s="101">
        <v>12.99</v>
      </c>
      <c r="O256" s="94">
        <v>3.81</v>
      </c>
      <c r="P256" s="101">
        <v>83.2</v>
      </c>
      <c r="Q256" s="102"/>
      <c r="R256" s="103">
        <f t="shared" si="1"/>
        <v>190678.45</v>
      </c>
      <c r="S256" s="103">
        <f t="shared" si="2"/>
        <v>62418.5</v>
      </c>
      <c r="T256" s="103">
        <f t="shared" si="3"/>
        <v>11638.03</v>
      </c>
      <c r="U256" s="103">
        <f t="shared" si="4"/>
        <v>12040.73</v>
      </c>
      <c r="V256" s="103">
        <f t="shared" si="5"/>
        <v>261553.65</v>
      </c>
      <c r="W256" s="103">
        <f t="shared" si="6"/>
        <v>76714.35</v>
      </c>
      <c r="X256" s="103">
        <f t="shared" si="7"/>
        <v>1675232</v>
      </c>
    </row>
    <row r="257" ht="12.0" customHeight="1">
      <c r="A2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57" s="87" t="str">
        <f>IFERROR(__xludf.DUMMYFUNCTION("IFERROR(IF(F257&lt;&gt;"""",""WHSE ""&amp;LEFT(F257,1),REGEXEXTRACT(E257,""-(?:\d{2}-)?([A-Z]+)"")),"""")
"),"WHSE C")</f>
        <v>WHSE C</v>
      </c>
      <c r="C257" s="88">
        <v>45933.0</v>
      </c>
      <c r="D257" s="89" t="s">
        <v>265</v>
      </c>
      <c r="E257" s="90" t="s">
        <v>332</v>
      </c>
      <c r="F257" s="90" t="s">
        <v>333</v>
      </c>
      <c r="G257" s="98" t="s">
        <v>334</v>
      </c>
      <c r="H257" s="92">
        <v>5415.0</v>
      </c>
      <c r="I257" s="99">
        <v>180.0</v>
      </c>
      <c r="J257" s="94">
        <v>9.4</v>
      </c>
      <c r="K257" s="100">
        <v>3.14</v>
      </c>
      <c r="L257" s="100">
        <v>0.571</v>
      </c>
      <c r="M257" s="100">
        <v>0.591</v>
      </c>
      <c r="N257" s="101">
        <v>14.54</v>
      </c>
      <c r="O257" s="94">
        <v>2.68</v>
      </c>
      <c r="P257" s="101">
        <v>82.78</v>
      </c>
      <c r="Q257" s="102"/>
      <c r="R257" s="103">
        <f t="shared" si="1"/>
        <v>50901</v>
      </c>
      <c r="S257" s="103">
        <f t="shared" si="2"/>
        <v>17003.1</v>
      </c>
      <c r="T257" s="103">
        <f t="shared" si="3"/>
        <v>3091.965</v>
      </c>
      <c r="U257" s="103">
        <f t="shared" si="4"/>
        <v>3200.265</v>
      </c>
      <c r="V257" s="103">
        <f t="shared" si="5"/>
        <v>78734.1</v>
      </c>
      <c r="W257" s="103">
        <f t="shared" si="6"/>
        <v>14512.2</v>
      </c>
      <c r="X257" s="103">
        <f t="shared" si="7"/>
        <v>448253.7</v>
      </c>
    </row>
    <row r="258" ht="12.0" customHeight="1">
      <c r="A2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58" s="87" t="str">
        <f>IFERROR(__xludf.DUMMYFUNCTION("IFERROR(IF(F258&lt;&gt;"""",""WHSE ""&amp;LEFT(F258,1),REGEXEXTRACT(E258,""-(?:\d{2}-)?([A-Z]+)"")),"""")
"),"WHSE D")</f>
        <v>WHSE D</v>
      </c>
      <c r="C258" s="88">
        <v>45933.0</v>
      </c>
      <c r="D258" s="89" t="s">
        <v>72</v>
      </c>
      <c r="E258" s="90" t="s">
        <v>323</v>
      </c>
      <c r="F258" s="90" t="s">
        <v>324</v>
      </c>
      <c r="G258" s="98" t="s">
        <v>77</v>
      </c>
      <c r="H258" s="92">
        <v>17200.0</v>
      </c>
      <c r="I258" s="99">
        <v>443.0</v>
      </c>
      <c r="J258" s="94">
        <v>11.67</v>
      </c>
      <c r="K258" s="100">
        <v>2.54</v>
      </c>
      <c r="L258" s="100">
        <v>0.578</v>
      </c>
      <c r="M258" s="100">
        <v>0.598</v>
      </c>
      <c r="N258" s="101">
        <v>12.14</v>
      </c>
      <c r="O258" s="94">
        <v>3.74</v>
      </c>
      <c r="P258" s="101">
        <v>84.12</v>
      </c>
      <c r="Q258" s="102"/>
      <c r="R258" s="103">
        <f t="shared" si="1"/>
        <v>200724</v>
      </c>
      <c r="S258" s="103">
        <f t="shared" si="2"/>
        <v>43688</v>
      </c>
      <c r="T258" s="103">
        <f t="shared" si="3"/>
        <v>9941.6</v>
      </c>
      <c r="U258" s="103">
        <f t="shared" si="4"/>
        <v>10285.6</v>
      </c>
      <c r="V258" s="103">
        <f t="shared" si="5"/>
        <v>208808</v>
      </c>
      <c r="W258" s="103">
        <f t="shared" si="6"/>
        <v>64328</v>
      </c>
      <c r="X258" s="103">
        <f t="shared" si="7"/>
        <v>1446864</v>
      </c>
    </row>
    <row r="259" ht="12.0" customHeight="1">
      <c r="A2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59" s="87" t="str">
        <f>IFERROR(__xludf.DUMMYFUNCTION("IFERROR(IF(F259&lt;&gt;"""",""WHSE ""&amp;LEFT(F259,1),REGEXEXTRACT(E259,""-(?:\d{2}-)?([A-Z]+)"")),"""")
"),"WHSE D")</f>
        <v>WHSE D</v>
      </c>
      <c r="C259" s="88">
        <v>45933.0</v>
      </c>
      <c r="D259" s="89" t="s">
        <v>72</v>
      </c>
      <c r="E259" s="90" t="s">
        <v>335</v>
      </c>
      <c r="F259" s="90" t="s">
        <v>336</v>
      </c>
      <c r="G259" s="98" t="s">
        <v>337</v>
      </c>
      <c r="H259" s="92">
        <v>19265.0</v>
      </c>
      <c r="I259" s="99">
        <v>488.0</v>
      </c>
      <c r="J259" s="94">
        <v>11.14</v>
      </c>
      <c r="K259" s="100">
        <v>2.6</v>
      </c>
      <c r="L259" s="100">
        <v>0.581</v>
      </c>
      <c r="M259" s="100">
        <v>0.601</v>
      </c>
      <c r="N259" s="101">
        <v>13.49</v>
      </c>
      <c r="O259" s="94">
        <v>3.19</v>
      </c>
      <c r="P259" s="101">
        <v>83.32</v>
      </c>
      <c r="Q259" s="102"/>
      <c r="R259" s="103">
        <f t="shared" si="1"/>
        <v>214612.1</v>
      </c>
      <c r="S259" s="103">
        <f t="shared" si="2"/>
        <v>50089</v>
      </c>
      <c r="T259" s="103">
        <f t="shared" si="3"/>
        <v>11192.965</v>
      </c>
      <c r="U259" s="103">
        <f t="shared" si="4"/>
        <v>11578.265</v>
      </c>
      <c r="V259" s="103">
        <f t="shared" si="5"/>
        <v>259884.85</v>
      </c>
      <c r="W259" s="103">
        <f t="shared" si="6"/>
        <v>61455.35</v>
      </c>
      <c r="X259" s="103">
        <f t="shared" si="7"/>
        <v>1605159.8</v>
      </c>
    </row>
    <row r="260" ht="12.0" customHeight="1">
      <c r="A2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60" s="87" t="str">
        <f>IFERROR(__xludf.DUMMYFUNCTION("IFERROR(IF(F260&lt;&gt;"""",""WHSE ""&amp;LEFT(F260,1),REGEXEXTRACT(E260,""-(?:\d{2}-)?([A-Z]+)"")),"""")
"),"WHSE D")</f>
        <v>WHSE D</v>
      </c>
      <c r="C260" s="88">
        <v>45934.0</v>
      </c>
      <c r="D260" s="89" t="s">
        <v>72</v>
      </c>
      <c r="E260" s="90" t="s">
        <v>323</v>
      </c>
      <c r="F260" s="90" t="s">
        <v>324</v>
      </c>
      <c r="G260" s="98" t="s">
        <v>73</v>
      </c>
      <c r="H260" s="92">
        <v>17690.0</v>
      </c>
      <c r="I260" s="99">
        <v>438.0</v>
      </c>
      <c r="J260" s="94">
        <v>11.74</v>
      </c>
      <c r="K260" s="100">
        <v>2.34</v>
      </c>
      <c r="L260" s="100">
        <v>0.575</v>
      </c>
      <c r="M260" s="100">
        <v>0.595</v>
      </c>
      <c r="N260" s="101">
        <v>13.44</v>
      </c>
      <c r="O260" s="94">
        <v>3.68</v>
      </c>
      <c r="P260" s="101">
        <v>82.88</v>
      </c>
      <c r="Q260" s="102"/>
      <c r="R260" s="103">
        <f t="shared" si="1"/>
        <v>207680.6</v>
      </c>
      <c r="S260" s="103">
        <f t="shared" si="2"/>
        <v>41394.6</v>
      </c>
      <c r="T260" s="103">
        <f t="shared" si="3"/>
        <v>10171.75</v>
      </c>
      <c r="U260" s="103">
        <f t="shared" si="4"/>
        <v>10525.55</v>
      </c>
      <c r="V260" s="103">
        <f t="shared" si="5"/>
        <v>237753.6</v>
      </c>
      <c r="W260" s="103">
        <f t="shared" si="6"/>
        <v>65099.2</v>
      </c>
      <c r="X260" s="103">
        <f t="shared" si="7"/>
        <v>1466147.2</v>
      </c>
    </row>
    <row r="261" ht="12.0" customHeight="1">
      <c r="A2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61" s="87" t="str">
        <f>IFERROR(__xludf.DUMMYFUNCTION("IFERROR(IF(F261&lt;&gt;"""",""WHSE ""&amp;LEFT(F261,1),REGEXEXTRACT(E261,""-(?:\d{2}-)?([A-Z]+)"")),"""")
"),"WHSE D")</f>
        <v>WHSE D</v>
      </c>
      <c r="C261" s="88">
        <v>45934.0</v>
      </c>
      <c r="D261" s="89" t="s">
        <v>72</v>
      </c>
      <c r="E261" s="90" t="s">
        <v>338</v>
      </c>
      <c r="F261" s="90" t="s">
        <v>339</v>
      </c>
      <c r="G261" s="98" t="s">
        <v>77</v>
      </c>
      <c r="H261" s="92">
        <v>17578.0</v>
      </c>
      <c r="I261" s="99">
        <v>450.0</v>
      </c>
      <c r="J261" s="94">
        <v>14.07</v>
      </c>
      <c r="K261" s="100">
        <v>2.6</v>
      </c>
      <c r="L261" s="100">
        <v>0.578</v>
      </c>
      <c r="M261" s="100">
        <v>0.598</v>
      </c>
      <c r="N261" s="101">
        <v>11.91</v>
      </c>
      <c r="O261" s="94">
        <v>4.21</v>
      </c>
      <c r="P261" s="101">
        <v>83.88</v>
      </c>
      <c r="Q261" s="89" t="s">
        <v>340</v>
      </c>
      <c r="R261" s="86">
        <f t="shared" si="1"/>
        <v>247322.46</v>
      </c>
      <c r="S261" s="86">
        <f t="shared" si="2"/>
        <v>45702.8</v>
      </c>
      <c r="T261" s="86">
        <f t="shared" si="3"/>
        <v>10160.084</v>
      </c>
      <c r="U261" s="86">
        <f t="shared" si="4"/>
        <v>10511.644</v>
      </c>
      <c r="V261" s="86">
        <f t="shared" si="5"/>
        <v>209353.98</v>
      </c>
      <c r="W261" s="86">
        <f t="shared" si="6"/>
        <v>74003.38</v>
      </c>
      <c r="X261" s="86">
        <f t="shared" si="7"/>
        <v>1474442.64</v>
      </c>
    </row>
    <row r="262" ht="12.0" customHeight="1">
      <c r="A2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62" s="87" t="str">
        <f>IFERROR(__xludf.DUMMYFUNCTION("IFERROR(IF(F262&lt;&gt;"""",""WHSE ""&amp;LEFT(F262,1),REGEXEXTRACT(E262,""-(?:\d{2}-)?([A-Z]+)"")),"""")
"),"WHSE D")</f>
        <v>WHSE D</v>
      </c>
      <c r="C262" s="88">
        <v>45936.0</v>
      </c>
      <c r="D262" s="89" t="s">
        <v>72</v>
      </c>
      <c r="E262" s="90" t="s">
        <v>323</v>
      </c>
      <c r="F262" s="90" t="s">
        <v>324</v>
      </c>
      <c r="G262" s="98" t="s">
        <v>77</v>
      </c>
      <c r="H262" s="92">
        <v>17964.0</v>
      </c>
      <c r="I262" s="99">
        <v>444.0</v>
      </c>
      <c r="J262" s="94">
        <v>12.34</v>
      </c>
      <c r="K262" s="100">
        <v>2.4</v>
      </c>
      <c r="L262" s="100">
        <v>0.575</v>
      </c>
      <c r="M262" s="100">
        <v>0.595</v>
      </c>
      <c r="N262" s="101">
        <v>13.28</v>
      </c>
      <c r="O262" s="94">
        <v>3.91</v>
      </c>
      <c r="P262" s="101">
        <v>82.81</v>
      </c>
      <c r="Q262" s="89" t="s">
        <v>341</v>
      </c>
      <c r="R262" s="86">
        <f t="shared" si="1"/>
        <v>221675.76</v>
      </c>
      <c r="S262" s="86">
        <f t="shared" si="2"/>
        <v>43113.6</v>
      </c>
      <c r="T262" s="86">
        <f t="shared" si="3"/>
        <v>10329.3</v>
      </c>
      <c r="U262" s="86">
        <f t="shared" si="4"/>
        <v>10688.58</v>
      </c>
      <c r="V262" s="86">
        <f t="shared" si="5"/>
        <v>238561.92</v>
      </c>
      <c r="W262" s="86">
        <f t="shared" si="6"/>
        <v>70239.24</v>
      </c>
      <c r="X262" s="86">
        <f t="shared" si="7"/>
        <v>1487598.84</v>
      </c>
    </row>
    <row r="263" ht="12.0" customHeight="1">
      <c r="A2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63" s="87" t="str">
        <f>IFERROR(__xludf.DUMMYFUNCTION("IFERROR(IF(F263&lt;&gt;"""",""WHSE ""&amp;LEFT(F263,1),REGEXEXTRACT(E263,""-(?:\d{2}-)?([A-Z]+)"")),"""")
"),"WHSE D")</f>
        <v>WHSE D</v>
      </c>
      <c r="C263" s="88">
        <v>45936.0</v>
      </c>
      <c r="D263" s="89" t="s">
        <v>72</v>
      </c>
      <c r="E263" s="90" t="s">
        <v>335</v>
      </c>
      <c r="F263" s="90" t="s">
        <v>336</v>
      </c>
      <c r="G263" s="98" t="s">
        <v>337</v>
      </c>
      <c r="H263" s="92">
        <v>19250.0</v>
      </c>
      <c r="I263" s="99">
        <v>526.0</v>
      </c>
      <c r="J263" s="94">
        <v>11.6</v>
      </c>
      <c r="K263" s="100">
        <v>2.34</v>
      </c>
      <c r="L263" s="100">
        <v>0.571</v>
      </c>
      <c r="M263" s="100">
        <v>0.591</v>
      </c>
      <c r="N263" s="101">
        <v>13.71</v>
      </c>
      <c r="O263" s="94">
        <v>3.29</v>
      </c>
      <c r="P263" s="101">
        <v>83.0</v>
      </c>
      <c r="Q263" s="102"/>
      <c r="R263" s="103">
        <f t="shared" si="1"/>
        <v>223300</v>
      </c>
      <c r="S263" s="103">
        <f t="shared" si="2"/>
        <v>45045</v>
      </c>
      <c r="T263" s="103">
        <f t="shared" si="3"/>
        <v>10991.75</v>
      </c>
      <c r="U263" s="103">
        <f t="shared" si="4"/>
        <v>11376.75</v>
      </c>
      <c r="V263" s="103">
        <f t="shared" si="5"/>
        <v>263917.5</v>
      </c>
      <c r="W263" s="103">
        <f t="shared" si="6"/>
        <v>63332.5</v>
      </c>
      <c r="X263" s="103">
        <f t="shared" si="7"/>
        <v>1597750</v>
      </c>
    </row>
    <row r="264" ht="12.0" customHeight="1">
      <c r="A2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64" s="87" t="str">
        <f>IFERROR(__xludf.DUMMYFUNCTION("IFERROR(IF(F264&lt;&gt;"""",""WHSE ""&amp;LEFT(F264,1),REGEXEXTRACT(E264,""-(?:\d{2}-)?([A-Z]+)"")),"""")
"),"WHSE D")</f>
        <v>WHSE D</v>
      </c>
      <c r="C264" s="88">
        <v>45936.0</v>
      </c>
      <c r="D264" s="89" t="s">
        <v>279</v>
      </c>
      <c r="E264" s="90" t="s">
        <v>280</v>
      </c>
      <c r="F264" s="90" t="s">
        <v>281</v>
      </c>
      <c r="G264" s="98" t="s">
        <v>318</v>
      </c>
      <c r="H264" s="92">
        <v>5704.0</v>
      </c>
      <c r="I264" s="99">
        <v>130.0</v>
      </c>
      <c r="J264" s="94">
        <v>13.4</v>
      </c>
      <c r="K264" s="100">
        <v>2.8</v>
      </c>
      <c r="L264" s="100">
        <v>0.585</v>
      </c>
      <c r="M264" s="100">
        <v>0.605</v>
      </c>
      <c r="N264" s="101">
        <v>13.38</v>
      </c>
      <c r="O264" s="94">
        <v>4.14</v>
      </c>
      <c r="P264" s="101">
        <v>82.48</v>
      </c>
      <c r="Q264" s="89" t="s">
        <v>342</v>
      </c>
      <c r="R264" s="86">
        <f t="shared" si="1"/>
        <v>76433.6</v>
      </c>
      <c r="S264" s="86">
        <f t="shared" si="2"/>
        <v>15971.2</v>
      </c>
      <c r="T264" s="86">
        <f t="shared" si="3"/>
        <v>3336.84</v>
      </c>
      <c r="U264" s="86">
        <f t="shared" si="4"/>
        <v>3450.92</v>
      </c>
      <c r="V264" s="86">
        <f t="shared" si="5"/>
        <v>76319.52</v>
      </c>
      <c r="W264" s="86">
        <f t="shared" si="6"/>
        <v>23614.56</v>
      </c>
      <c r="X264" s="86">
        <f t="shared" si="7"/>
        <v>470465.92</v>
      </c>
    </row>
    <row r="265" ht="12.0" customHeight="1">
      <c r="A2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65" s="87" t="str">
        <f>IFERROR(__xludf.DUMMYFUNCTION("IFERROR(IF(F265&lt;&gt;"""",""WHSE ""&amp;LEFT(F265,1),REGEXEXTRACT(E265,""-(?:\d{2}-)?([A-Z]+)"")),"""")
"),"WHSE D")</f>
        <v>WHSE D</v>
      </c>
      <c r="C265" s="88">
        <v>45936.0</v>
      </c>
      <c r="D265" s="89" t="s">
        <v>64</v>
      </c>
      <c r="E265" s="90" t="s">
        <v>343</v>
      </c>
      <c r="F265" s="90" t="s">
        <v>344</v>
      </c>
      <c r="G265" s="98" t="s">
        <v>316</v>
      </c>
      <c r="H265" s="92">
        <v>20911.0</v>
      </c>
      <c r="I265" s="99">
        <v>569.0</v>
      </c>
      <c r="J265" s="94">
        <v>12.14</v>
      </c>
      <c r="K265" s="100">
        <v>2.14</v>
      </c>
      <c r="L265" s="100">
        <v>0.578</v>
      </c>
      <c r="M265" s="100">
        <v>0.598</v>
      </c>
      <c r="N265" s="101">
        <v>12.76</v>
      </c>
      <c r="O265" s="94">
        <v>2.86</v>
      </c>
      <c r="P265" s="101">
        <v>84.38</v>
      </c>
      <c r="Q265" s="89" t="s">
        <v>345</v>
      </c>
      <c r="R265" s="86">
        <f t="shared" si="1"/>
        <v>253859.54</v>
      </c>
      <c r="S265" s="86">
        <f t="shared" si="2"/>
        <v>44749.54</v>
      </c>
      <c r="T265" s="86">
        <f t="shared" si="3"/>
        <v>12086.558</v>
      </c>
      <c r="U265" s="86">
        <f t="shared" si="4"/>
        <v>12504.778</v>
      </c>
      <c r="V265" s="86">
        <f t="shared" si="5"/>
        <v>266824.36</v>
      </c>
      <c r="W265" s="86">
        <f t="shared" si="6"/>
        <v>59805.46</v>
      </c>
      <c r="X265" s="86">
        <f t="shared" si="7"/>
        <v>1764470.18</v>
      </c>
    </row>
    <row r="266" ht="12.0" customHeight="1">
      <c r="A2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66" s="87" t="str">
        <f>IFERROR(__xludf.DUMMYFUNCTION("IFERROR(IF(F266&lt;&gt;"""",""WHSE ""&amp;LEFT(F266,1),REGEXEXTRACT(E266,""-(?:\d{2}-)?([A-Z]+)"")),"""")
"),"WHSE D")</f>
        <v>WHSE D</v>
      </c>
      <c r="C266" s="88">
        <v>45936.0</v>
      </c>
      <c r="D266" s="89" t="s">
        <v>60</v>
      </c>
      <c r="E266" s="90" t="s">
        <v>346</v>
      </c>
      <c r="F266" s="90" t="s">
        <v>347</v>
      </c>
      <c r="G266" s="98" t="s">
        <v>348</v>
      </c>
      <c r="H266" s="92">
        <v>21495.0</v>
      </c>
      <c r="I266" s="99">
        <v>623.0</v>
      </c>
      <c r="J266" s="94">
        <v>11.07</v>
      </c>
      <c r="K266" s="100">
        <v>2.6</v>
      </c>
      <c r="L266" s="100">
        <v>0.588</v>
      </c>
      <c r="M266" s="100">
        <v>0.608</v>
      </c>
      <c r="N266" s="101">
        <v>12.4</v>
      </c>
      <c r="O266" s="94">
        <v>3.87</v>
      </c>
      <c r="P266" s="101">
        <v>83.73</v>
      </c>
      <c r="Q266" s="102"/>
      <c r="R266" s="103">
        <f t="shared" si="1"/>
        <v>237949.65</v>
      </c>
      <c r="S266" s="103">
        <f t="shared" si="2"/>
        <v>55887</v>
      </c>
      <c r="T266" s="103">
        <f t="shared" si="3"/>
        <v>12639.06</v>
      </c>
      <c r="U266" s="103">
        <f t="shared" si="4"/>
        <v>13068.96</v>
      </c>
      <c r="V266" s="103">
        <f t="shared" si="5"/>
        <v>266538</v>
      </c>
      <c r="W266" s="103">
        <f t="shared" si="6"/>
        <v>83185.65</v>
      </c>
      <c r="X266" s="103">
        <f t="shared" si="7"/>
        <v>1799776.35</v>
      </c>
    </row>
    <row r="267" ht="12.0" customHeight="1">
      <c r="A2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67" s="87" t="str">
        <f>IFERROR(__xludf.DUMMYFUNCTION("IFERROR(IF(F267&lt;&gt;"""",""WHSE ""&amp;LEFT(F267,1),REGEXEXTRACT(E267,""-(?:\d{2}-)?([A-Z]+)"")),"""")
"),"WHSE D")</f>
        <v>WHSE D</v>
      </c>
      <c r="C267" s="88">
        <v>45937.0</v>
      </c>
      <c r="D267" s="89" t="s">
        <v>72</v>
      </c>
      <c r="E267" s="90" t="s">
        <v>323</v>
      </c>
      <c r="F267" s="90" t="s">
        <v>324</v>
      </c>
      <c r="G267" s="98" t="s">
        <v>77</v>
      </c>
      <c r="H267" s="92">
        <v>17136.0</v>
      </c>
      <c r="I267" s="99">
        <v>454.0</v>
      </c>
      <c r="J267" s="94">
        <v>12.2</v>
      </c>
      <c r="K267" s="100">
        <v>2.4</v>
      </c>
      <c r="L267" s="100">
        <v>0.575</v>
      </c>
      <c r="M267" s="100">
        <v>0.595</v>
      </c>
      <c r="N267" s="101">
        <v>12.99</v>
      </c>
      <c r="O267" s="94">
        <v>3.42</v>
      </c>
      <c r="P267" s="101">
        <v>83.59</v>
      </c>
      <c r="Q267" s="102"/>
      <c r="R267" s="103">
        <f t="shared" si="1"/>
        <v>209059.2</v>
      </c>
      <c r="S267" s="103">
        <f t="shared" si="2"/>
        <v>41126.4</v>
      </c>
      <c r="T267" s="103">
        <f t="shared" si="3"/>
        <v>9853.2</v>
      </c>
      <c r="U267" s="103">
        <f t="shared" si="4"/>
        <v>10195.92</v>
      </c>
      <c r="V267" s="103">
        <f t="shared" si="5"/>
        <v>222596.64</v>
      </c>
      <c r="W267" s="103">
        <f t="shared" si="6"/>
        <v>58605.12</v>
      </c>
      <c r="X267" s="103">
        <f t="shared" si="7"/>
        <v>1432398.24</v>
      </c>
    </row>
    <row r="268" ht="12.0" customHeight="1">
      <c r="A2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68" s="87" t="str">
        <f>IFERROR(__xludf.DUMMYFUNCTION("IFERROR(IF(F268&lt;&gt;"""",""WHSE ""&amp;LEFT(F268,1),REGEXEXTRACT(E268,""-(?:\d{2}-)?([A-Z]+)"")),"""")
"),"WHSE D")</f>
        <v>WHSE D</v>
      </c>
      <c r="C268" s="88">
        <v>45938.0</v>
      </c>
      <c r="D268" s="89" t="s">
        <v>72</v>
      </c>
      <c r="E268" s="90" t="s">
        <v>338</v>
      </c>
      <c r="F268" s="90" t="s">
        <v>339</v>
      </c>
      <c r="G268" s="98" t="s">
        <v>73</v>
      </c>
      <c r="H268" s="92">
        <v>18656.0</v>
      </c>
      <c r="I268" s="99">
        <v>440.0</v>
      </c>
      <c r="J268" s="94">
        <v>12.34</v>
      </c>
      <c r="K268" s="100">
        <v>2.18</v>
      </c>
      <c r="L268" s="100">
        <v>0.578</v>
      </c>
      <c r="M268" s="100">
        <v>0.598</v>
      </c>
      <c r="N268" s="101">
        <v>13.58</v>
      </c>
      <c r="O268" s="94">
        <v>3.53</v>
      </c>
      <c r="P268" s="101">
        <v>82.89</v>
      </c>
      <c r="Q268" s="89" t="s">
        <v>349</v>
      </c>
      <c r="R268" s="86">
        <f t="shared" si="1"/>
        <v>230215.04</v>
      </c>
      <c r="S268" s="86">
        <f t="shared" si="2"/>
        <v>40670.08</v>
      </c>
      <c r="T268" s="86">
        <f t="shared" si="3"/>
        <v>10783.168</v>
      </c>
      <c r="U268" s="86">
        <f t="shared" si="4"/>
        <v>11156.288</v>
      </c>
      <c r="V268" s="86">
        <f t="shared" si="5"/>
        <v>253348.48</v>
      </c>
      <c r="W268" s="86">
        <f t="shared" si="6"/>
        <v>65855.68</v>
      </c>
      <c r="X268" s="86">
        <f t="shared" si="7"/>
        <v>1546395.84</v>
      </c>
    </row>
    <row r="269" ht="12.0" customHeight="1">
      <c r="A2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69" s="87" t="str">
        <f>IFERROR(__xludf.DUMMYFUNCTION("IFERROR(IF(F269&lt;&gt;"""",""WHSE ""&amp;LEFT(F269,1),REGEXEXTRACT(E269,""-(?:\d{2}-)?([A-Z]+)"")),"""")
"),"WHSE D")</f>
        <v>WHSE D</v>
      </c>
      <c r="C269" s="88">
        <v>45939.0</v>
      </c>
      <c r="D269" s="89" t="s">
        <v>72</v>
      </c>
      <c r="E269" s="90" t="s">
        <v>335</v>
      </c>
      <c r="F269" s="90" t="s">
        <v>336</v>
      </c>
      <c r="G269" s="98" t="s">
        <v>77</v>
      </c>
      <c r="H269" s="92">
        <v>18210.0</v>
      </c>
      <c r="I269" s="99">
        <v>473.0</v>
      </c>
      <c r="J269" s="94">
        <v>11.8</v>
      </c>
      <c r="K269" s="100">
        <v>2.13</v>
      </c>
      <c r="L269" s="100">
        <v>0.585</v>
      </c>
      <c r="M269" s="100">
        <v>0.605</v>
      </c>
      <c r="N269" s="101">
        <v>13.95</v>
      </c>
      <c r="O269" s="94">
        <v>2.8</v>
      </c>
      <c r="P269" s="101">
        <v>83.25</v>
      </c>
      <c r="Q269" s="102"/>
      <c r="R269" s="103">
        <f t="shared" si="1"/>
        <v>214878</v>
      </c>
      <c r="S269" s="103">
        <f t="shared" si="2"/>
        <v>38787.3</v>
      </c>
      <c r="T269" s="103">
        <f t="shared" si="3"/>
        <v>10652.85</v>
      </c>
      <c r="U269" s="103">
        <f t="shared" si="4"/>
        <v>11017.05</v>
      </c>
      <c r="V269" s="103">
        <f t="shared" si="5"/>
        <v>254029.5</v>
      </c>
      <c r="W269" s="103">
        <f t="shared" si="6"/>
        <v>50988</v>
      </c>
      <c r="X269" s="103">
        <f t="shared" si="7"/>
        <v>1515982.5</v>
      </c>
    </row>
    <row r="270" ht="12.0" customHeight="1">
      <c r="A2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70" s="87" t="str">
        <f>IFERROR(__xludf.DUMMYFUNCTION("IFERROR(IF(F270&lt;&gt;"""",""WHSE ""&amp;LEFT(F270,1),REGEXEXTRACT(E270,""-(?:\d{2}-)?([A-Z]+)"")),"""")
"),"WHSE D")</f>
        <v>WHSE D</v>
      </c>
      <c r="C270" s="88">
        <v>45939.0</v>
      </c>
      <c r="D270" s="89" t="s">
        <v>72</v>
      </c>
      <c r="E270" s="90" t="s">
        <v>338</v>
      </c>
      <c r="F270" s="90" t="s">
        <v>339</v>
      </c>
      <c r="G270" s="98" t="s">
        <v>73</v>
      </c>
      <c r="H270" s="92">
        <v>18355.0</v>
      </c>
      <c r="I270" s="99">
        <v>453.0</v>
      </c>
      <c r="J270" s="94">
        <v>11.54</v>
      </c>
      <c r="K270" s="100">
        <v>2.51</v>
      </c>
      <c r="L270" s="100">
        <v>0.575</v>
      </c>
      <c r="M270" s="100">
        <v>0.595</v>
      </c>
      <c r="N270" s="101">
        <v>12.44</v>
      </c>
      <c r="O270" s="94">
        <v>3.82</v>
      </c>
      <c r="P270" s="101">
        <v>83.74</v>
      </c>
      <c r="Q270" s="102"/>
      <c r="R270" s="103">
        <f t="shared" si="1"/>
        <v>211816.7</v>
      </c>
      <c r="S270" s="103">
        <f t="shared" si="2"/>
        <v>46071.05</v>
      </c>
      <c r="T270" s="103">
        <f t="shared" si="3"/>
        <v>10554.125</v>
      </c>
      <c r="U270" s="103">
        <f t="shared" si="4"/>
        <v>10921.225</v>
      </c>
      <c r="V270" s="103">
        <f t="shared" si="5"/>
        <v>228336.2</v>
      </c>
      <c r="W270" s="103">
        <f t="shared" si="6"/>
        <v>70116.1</v>
      </c>
      <c r="X270" s="103">
        <f t="shared" si="7"/>
        <v>1537047.7</v>
      </c>
    </row>
    <row r="271" ht="12.0" customHeight="1">
      <c r="A2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71" s="87" t="str">
        <f>IFERROR(__xludf.DUMMYFUNCTION("IFERROR(IF(F271&lt;&gt;"""",""WHSE ""&amp;LEFT(F271,1),REGEXEXTRACT(E271,""-(?:\d{2}-)?([A-Z]+)"")),"""")
"),"WHSE D")</f>
        <v>WHSE D</v>
      </c>
      <c r="C271" s="88">
        <v>45940.0</v>
      </c>
      <c r="D271" s="89" t="s">
        <v>72</v>
      </c>
      <c r="E271" s="90" t="s">
        <v>338</v>
      </c>
      <c r="F271" s="90" t="s">
        <v>339</v>
      </c>
      <c r="G271" s="98" t="s">
        <v>73</v>
      </c>
      <c r="H271" s="92">
        <v>19120.0</v>
      </c>
      <c r="I271" s="99">
        <v>434.0</v>
      </c>
      <c r="J271" s="94">
        <v>11.8</v>
      </c>
      <c r="K271" s="100">
        <v>2.14</v>
      </c>
      <c r="L271" s="100">
        <v>0.578</v>
      </c>
      <c r="M271" s="100">
        <v>0.598</v>
      </c>
      <c r="N271" s="101">
        <v>13.25</v>
      </c>
      <c r="O271" s="94">
        <v>3.59</v>
      </c>
      <c r="P271" s="101">
        <v>83.16</v>
      </c>
      <c r="Q271" s="102"/>
      <c r="R271" s="103">
        <f t="shared" si="1"/>
        <v>225616</v>
      </c>
      <c r="S271" s="103">
        <f t="shared" si="2"/>
        <v>40916.8</v>
      </c>
      <c r="T271" s="103">
        <f t="shared" si="3"/>
        <v>11051.36</v>
      </c>
      <c r="U271" s="103">
        <f t="shared" si="4"/>
        <v>11433.76</v>
      </c>
      <c r="V271" s="103">
        <f t="shared" si="5"/>
        <v>253340</v>
      </c>
      <c r="W271" s="103">
        <f t="shared" si="6"/>
        <v>68640.8</v>
      </c>
      <c r="X271" s="103">
        <f t="shared" si="7"/>
        <v>1590019.2</v>
      </c>
    </row>
    <row r="272" ht="12.0" customHeight="1">
      <c r="A2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72" s="87" t="str">
        <f>IFERROR(__xludf.DUMMYFUNCTION("IFERROR(IF(F272&lt;&gt;"""",""WHSE ""&amp;LEFT(F272,1),REGEXEXTRACT(E272,""-(?:\d{2}-)?([A-Z]+)"")),"""")
"),"WHSE D")</f>
        <v>WHSE D</v>
      </c>
      <c r="C272" s="88">
        <v>45940.0</v>
      </c>
      <c r="D272" s="89" t="s">
        <v>286</v>
      </c>
      <c r="E272" s="90" t="s">
        <v>350</v>
      </c>
      <c r="F272" s="90" t="s">
        <v>351</v>
      </c>
      <c r="G272" s="98" t="s">
        <v>77</v>
      </c>
      <c r="H272" s="92">
        <v>15800.0</v>
      </c>
      <c r="I272" s="99">
        <v>580.0</v>
      </c>
      <c r="J272" s="94">
        <v>10.94</v>
      </c>
      <c r="K272" s="100">
        <v>2.2</v>
      </c>
      <c r="L272" s="100">
        <v>0.581</v>
      </c>
      <c r="M272" s="100">
        <v>0.601</v>
      </c>
      <c r="N272" s="101">
        <v>13.75</v>
      </c>
      <c r="O272" s="94">
        <v>2.98</v>
      </c>
      <c r="P272" s="101">
        <v>83.27</v>
      </c>
      <c r="Q272" s="102"/>
      <c r="R272" s="103">
        <f t="shared" si="1"/>
        <v>172852</v>
      </c>
      <c r="S272" s="103">
        <f t="shared" si="2"/>
        <v>34760</v>
      </c>
      <c r="T272" s="103">
        <f t="shared" si="3"/>
        <v>9179.8</v>
      </c>
      <c r="U272" s="103">
        <f t="shared" si="4"/>
        <v>9495.8</v>
      </c>
      <c r="V272" s="103">
        <f t="shared" si="5"/>
        <v>217250</v>
      </c>
      <c r="W272" s="103">
        <f t="shared" si="6"/>
        <v>47084</v>
      </c>
      <c r="X272" s="103">
        <f t="shared" si="7"/>
        <v>1315666</v>
      </c>
    </row>
    <row r="273" ht="12.0" customHeight="1">
      <c r="A2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73" s="87" t="str">
        <f>IFERROR(__xludf.DUMMYFUNCTION("IFERROR(IF(F273&lt;&gt;"""",""WHSE ""&amp;LEFT(F273,1),REGEXEXTRACT(E273,""-(?:\d{2}-)?([A-Z]+)"")),"""")
"),"WHSE C")</f>
        <v>WHSE C</v>
      </c>
      <c r="C273" s="88">
        <v>45940.0</v>
      </c>
      <c r="D273" s="89" t="s">
        <v>232</v>
      </c>
      <c r="E273" s="90" t="s">
        <v>352</v>
      </c>
      <c r="F273" s="90" t="s">
        <v>353</v>
      </c>
      <c r="G273" s="98" t="s">
        <v>235</v>
      </c>
      <c r="H273" s="92">
        <v>11700.0</v>
      </c>
      <c r="I273" s="99">
        <v>360.0</v>
      </c>
      <c r="J273" s="94">
        <v>10.47</v>
      </c>
      <c r="K273" s="100">
        <v>2.11</v>
      </c>
      <c r="L273" s="100">
        <v>0.585</v>
      </c>
      <c r="M273" s="100">
        <v>0.605</v>
      </c>
      <c r="N273" s="101">
        <v>14.04</v>
      </c>
      <c r="O273" s="94">
        <v>3.55</v>
      </c>
      <c r="P273" s="101">
        <v>82.41</v>
      </c>
      <c r="Q273" s="102"/>
      <c r="R273" s="103">
        <f t="shared" si="1"/>
        <v>122499</v>
      </c>
      <c r="S273" s="103">
        <f t="shared" si="2"/>
        <v>24687</v>
      </c>
      <c r="T273" s="103">
        <f t="shared" si="3"/>
        <v>6844.5</v>
      </c>
      <c r="U273" s="103">
        <f t="shared" si="4"/>
        <v>7078.5</v>
      </c>
      <c r="V273" s="103">
        <f t="shared" si="5"/>
        <v>164268</v>
      </c>
      <c r="W273" s="103">
        <f t="shared" si="6"/>
        <v>41535</v>
      </c>
      <c r="X273" s="103">
        <f t="shared" si="7"/>
        <v>964197</v>
      </c>
    </row>
    <row r="274" ht="12.0" customHeight="1">
      <c r="A2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74" s="87" t="str">
        <f>IFERROR(__xludf.DUMMYFUNCTION("IFERROR(IF(F274&lt;&gt;"""",""WHSE ""&amp;LEFT(F274,1),REGEXEXTRACT(E274,""-(?:\d{2}-)?([A-Z]+)"")),"""")
"),"WHSE D")</f>
        <v>WHSE D</v>
      </c>
      <c r="C274" s="88">
        <v>45940.0</v>
      </c>
      <c r="D274" s="89" t="s">
        <v>289</v>
      </c>
      <c r="E274" s="90" t="s">
        <v>320</v>
      </c>
      <c r="F274" s="90" t="s">
        <v>321</v>
      </c>
      <c r="G274" s="98" t="s">
        <v>354</v>
      </c>
      <c r="H274" s="92">
        <v>30450.0</v>
      </c>
      <c r="I274" s="99">
        <v>790.0</v>
      </c>
      <c r="J274" s="94">
        <v>9.34</v>
      </c>
      <c r="K274" s="100">
        <v>3.17</v>
      </c>
      <c r="L274" s="100">
        <v>0.549</v>
      </c>
      <c r="M274" s="100">
        <v>0.569</v>
      </c>
      <c r="N274" s="101">
        <v>12.29</v>
      </c>
      <c r="O274" s="94">
        <v>3.94</v>
      </c>
      <c r="P274" s="101">
        <v>83.77</v>
      </c>
      <c r="Q274" s="89" t="s">
        <v>355</v>
      </c>
      <c r="R274" s="86">
        <f t="shared" si="1"/>
        <v>284403</v>
      </c>
      <c r="S274" s="86">
        <f t="shared" si="2"/>
        <v>96526.5</v>
      </c>
      <c r="T274" s="86">
        <f t="shared" si="3"/>
        <v>16717.05</v>
      </c>
      <c r="U274" s="86">
        <f t="shared" si="4"/>
        <v>17326.05</v>
      </c>
      <c r="V274" s="86">
        <f t="shared" si="5"/>
        <v>374230.5</v>
      </c>
      <c r="W274" s="86">
        <f t="shared" si="6"/>
        <v>119973</v>
      </c>
      <c r="X274" s="86">
        <f t="shared" si="7"/>
        <v>2550796.5</v>
      </c>
    </row>
    <row r="275" ht="12.0" customHeight="1">
      <c r="A2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75" s="87" t="str">
        <f>IFERROR(__xludf.DUMMYFUNCTION("IFERROR(IF(F275&lt;&gt;"""",""WHSE ""&amp;LEFT(F275,1),REGEXEXTRACT(E275,""-(?:\d{2}-)?([A-Z]+)"")),"""")
"),"WHSE D")</f>
        <v>WHSE D</v>
      </c>
      <c r="C275" s="88">
        <v>45941.0</v>
      </c>
      <c r="D275" s="89" t="s">
        <v>289</v>
      </c>
      <c r="E275" s="90" t="s">
        <v>356</v>
      </c>
      <c r="F275" s="90" t="s">
        <v>357</v>
      </c>
      <c r="G275" s="98" t="s">
        <v>358</v>
      </c>
      <c r="H275" s="92">
        <v>30230.0</v>
      </c>
      <c r="I275" s="99">
        <v>765.0</v>
      </c>
      <c r="J275" s="94">
        <v>9.87</v>
      </c>
      <c r="K275" s="100">
        <v>3.61</v>
      </c>
      <c r="L275" s="100">
        <v>0.556</v>
      </c>
      <c r="M275" s="100">
        <v>0.576</v>
      </c>
      <c r="N275" s="101">
        <v>10.99</v>
      </c>
      <c r="O275" s="94">
        <v>5.16</v>
      </c>
      <c r="P275" s="101">
        <v>83.85</v>
      </c>
      <c r="Q275" s="102"/>
      <c r="R275" s="103">
        <f t="shared" si="1"/>
        <v>298370.1</v>
      </c>
      <c r="S275" s="103">
        <f t="shared" si="2"/>
        <v>109130.3</v>
      </c>
      <c r="T275" s="103">
        <f t="shared" si="3"/>
        <v>16807.88</v>
      </c>
      <c r="U275" s="103">
        <f t="shared" si="4"/>
        <v>17412.48</v>
      </c>
      <c r="V275" s="103">
        <f t="shared" si="5"/>
        <v>332227.7</v>
      </c>
      <c r="W275" s="103">
        <f t="shared" si="6"/>
        <v>155986.8</v>
      </c>
      <c r="X275" s="103">
        <f t="shared" si="7"/>
        <v>2534785.5</v>
      </c>
    </row>
    <row r="276" ht="12.0" customHeight="1">
      <c r="A2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76" s="87" t="str">
        <f>IFERROR(__xludf.DUMMYFUNCTION("IFERROR(IF(F276&lt;&gt;"""",""WHSE ""&amp;LEFT(F276,1),REGEXEXTRACT(E276,""-(?:\d{2}-)?([A-Z]+)"")),"""")
"),"WHSE D")</f>
        <v>WHSE D</v>
      </c>
      <c r="C276" s="88">
        <v>45943.0</v>
      </c>
      <c r="D276" s="89" t="s">
        <v>289</v>
      </c>
      <c r="E276" s="90" t="s">
        <v>356</v>
      </c>
      <c r="F276" s="90" t="s">
        <v>357</v>
      </c>
      <c r="G276" s="98" t="s">
        <v>310</v>
      </c>
      <c r="H276" s="92">
        <v>19005.0</v>
      </c>
      <c r="I276" s="99">
        <v>531.0</v>
      </c>
      <c r="J276" s="94">
        <v>9.14</v>
      </c>
      <c r="K276" s="100">
        <v>3.18</v>
      </c>
      <c r="L276" s="100">
        <v>0.581</v>
      </c>
      <c r="M276" s="100">
        <v>0.601</v>
      </c>
      <c r="N276" s="101">
        <v>13.08</v>
      </c>
      <c r="O276" s="94">
        <v>3.04</v>
      </c>
      <c r="P276" s="101">
        <v>83.88</v>
      </c>
      <c r="Q276" s="102"/>
      <c r="R276" s="103">
        <f t="shared" si="1"/>
        <v>173705.7</v>
      </c>
      <c r="S276" s="103">
        <f t="shared" si="2"/>
        <v>60435.9</v>
      </c>
      <c r="T276" s="103">
        <f t="shared" si="3"/>
        <v>11041.905</v>
      </c>
      <c r="U276" s="103">
        <f t="shared" si="4"/>
        <v>11422.005</v>
      </c>
      <c r="V276" s="103">
        <f t="shared" si="5"/>
        <v>248585.4</v>
      </c>
      <c r="W276" s="103">
        <f t="shared" si="6"/>
        <v>57775.2</v>
      </c>
      <c r="X276" s="103">
        <f t="shared" si="7"/>
        <v>1594139.4</v>
      </c>
    </row>
    <row r="277" ht="12.0" customHeight="1">
      <c r="A2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77" s="87" t="str">
        <f>IFERROR(__xludf.DUMMYFUNCTION("IFERROR(IF(F277&lt;&gt;"""",""WHSE ""&amp;LEFT(F277,1),REGEXEXTRACT(E277,""-(?:\d{2}-)?([A-Z]+)"")),"""")
"),"WHSE D")</f>
        <v>WHSE D</v>
      </c>
      <c r="C277" s="88">
        <v>45943.0</v>
      </c>
      <c r="D277" s="89" t="s">
        <v>289</v>
      </c>
      <c r="E277" s="90" t="s">
        <v>359</v>
      </c>
      <c r="F277" s="90" t="s">
        <v>360</v>
      </c>
      <c r="G277" s="98" t="s">
        <v>302</v>
      </c>
      <c r="H277" s="92">
        <v>30475.0</v>
      </c>
      <c r="I277" s="99">
        <v>770.0</v>
      </c>
      <c r="J277" s="94">
        <v>9.6</v>
      </c>
      <c r="K277" s="100">
        <v>3.63</v>
      </c>
      <c r="L277" s="100">
        <v>0.543</v>
      </c>
      <c r="M277" s="100">
        <v>0.563</v>
      </c>
      <c r="N277" s="101">
        <v>12.25</v>
      </c>
      <c r="O277" s="94">
        <v>5.09</v>
      </c>
      <c r="P277" s="101">
        <v>82.66</v>
      </c>
      <c r="Q277" s="102"/>
      <c r="R277" s="103">
        <f t="shared" si="1"/>
        <v>292560</v>
      </c>
      <c r="S277" s="103">
        <f t="shared" si="2"/>
        <v>110624.25</v>
      </c>
      <c r="T277" s="103">
        <f t="shared" si="3"/>
        <v>16547.925</v>
      </c>
      <c r="U277" s="103">
        <f t="shared" si="4"/>
        <v>17157.425</v>
      </c>
      <c r="V277" s="103">
        <f t="shared" si="5"/>
        <v>373318.75</v>
      </c>
      <c r="W277" s="103">
        <f t="shared" si="6"/>
        <v>155117.75</v>
      </c>
      <c r="X277" s="103">
        <f t="shared" si="7"/>
        <v>2519063.5</v>
      </c>
    </row>
    <row r="278" ht="12.0" customHeight="1">
      <c r="A2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78" s="87" t="str">
        <f>IFERROR(__xludf.DUMMYFUNCTION("IFERROR(IF(F278&lt;&gt;"""",""WHSE ""&amp;LEFT(F278,1),REGEXEXTRACT(E278,""-(?:\d{2}-)?([A-Z]+)"")),"""")
"),"WHSE D")</f>
        <v>WHSE D</v>
      </c>
      <c r="C278" s="88">
        <v>45943.0</v>
      </c>
      <c r="D278" s="89" t="s">
        <v>361</v>
      </c>
      <c r="E278" s="90" t="s">
        <v>280</v>
      </c>
      <c r="F278" s="90" t="s">
        <v>281</v>
      </c>
      <c r="G278" s="98" t="s">
        <v>362</v>
      </c>
      <c r="H278" s="92">
        <v>5980.0</v>
      </c>
      <c r="I278" s="99">
        <v>138.0</v>
      </c>
      <c r="J278" s="94">
        <v>11.54</v>
      </c>
      <c r="K278" s="100">
        <v>2.21</v>
      </c>
      <c r="L278" s="100">
        <v>0.585</v>
      </c>
      <c r="M278" s="100">
        <v>0.605</v>
      </c>
      <c r="N278" s="101">
        <v>15.33</v>
      </c>
      <c r="O278" s="94">
        <v>3.98</v>
      </c>
      <c r="P278" s="101">
        <v>80.69</v>
      </c>
      <c r="Q278" s="89" t="s">
        <v>363</v>
      </c>
      <c r="R278" s="86">
        <f t="shared" si="1"/>
        <v>69009.2</v>
      </c>
      <c r="S278" s="86">
        <f t="shared" si="2"/>
        <v>13215.8</v>
      </c>
      <c r="T278" s="86">
        <f t="shared" si="3"/>
        <v>3498.3</v>
      </c>
      <c r="U278" s="86">
        <f t="shared" si="4"/>
        <v>3617.9</v>
      </c>
      <c r="V278" s="86">
        <f t="shared" si="5"/>
        <v>91673.4</v>
      </c>
      <c r="W278" s="86">
        <f t="shared" si="6"/>
        <v>23800.4</v>
      </c>
      <c r="X278" s="86">
        <f t="shared" si="7"/>
        <v>482526.2</v>
      </c>
    </row>
    <row r="279" ht="12.0" customHeight="1">
      <c r="A2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79" s="87" t="str">
        <f>IFERROR(__xludf.DUMMYFUNCTION("IFERROR(IF(F279&lt;&gt;"""",""WHSE ""&amp;LEFT(F279,1),REGEXEXTRACT(E279,""-(?:\d{2}-)?([A-Z]+)"")),"""")
"),"WHSE D")</f>
        <v>WHSE D</v>
      </c>
      <c r="C279" s="88">
        <v>45943.0</v>
      </c>
      <c r="D279" s="89" t="s">
        <v>279</v>
      </c>
      <c r="E279" s="90" t="s">
        <v>280</v>
      </c>
      <c r="F279" s="90" t="s">
        <v>281</v>
      </c>
      <c r="G279" s="98" t="s">
        <v>318</v>
      </c>
      <c r="H279" s="92">
        <v>6000.0</v>
      </c>
      <c r="I279" s="99">
        <v>141.0</v>
      </c>
      <c r="J279" s="94">
        <v>12.74</v>
      </c>
      <c r="K279" s="100">
        <v>2.15</v>
      </c>
      <c r="L279" s="100">
        <v>0.585</v>
      </c>
      <c r="M279" s="100">
        <v>0.605</v>
      </c>
      <c r="N279" s="101">
        <v>14.14</v>
      </c>
      <c r="O279" s="94">
        <v>4.12</v>
      </c>
      <c r="P279" s="101">
        <v>81.74</v>
      </c>
      <c r="Q279" s="89" t="s">
        <v>364</v>
      </c>
      <c r="R279" s="86">
        <f t="shared" si="1"/>
        <v>76440</v>
      </c>
      <c r="S279" s="86">
        <f t="shared" si="2"/>
        <v>12900</v>
      </c>
      <c r="T279" s="86">
        <f t="shared" si="3"/>
        <v>3510</v>
      </c>
      <c r="U279" s="86">
        <f t="shared" si="4"/>
        <v>3630</v>
      </c>
      <c r="V279" s="86">
        <f t="shared" si="5"/>
        <v>84840</v>
      </c>
      <c r="W279" s="86">
        <f t="shared" si="6"/>
        <v>24720</v>
      </c>
      <c r="X279" s="86">
        <f t="shared" si="7"/>
        <v>490440</v>
      </c>
    </row>
    <row r="280" ht="12.0" customHeight="1">
      <c r="A2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80" s="87" t="str">
        <f>IFERROR(__xludf.DUMMYFUNCTION("IFERROR(IF(F280&lt;&gt;"""",""WHSE ""&amp;LEFT(F280,1),REGEXEXTRACT(E280,""-(?:\d{2}-)?([A-Z]+)"")),"""")
"),"WHSE C")</f>
        <v>WHSE C</v>
      </c>
      <c r="C280" s="88">
        <v>45943.0</v>
      </c>
      <c r="D280" s="89" t="s">
        <v>232</v>
      </c>
      <c r="E280" s="90" t="s">
        <v>332</v>
      </c>
      <c r="F280" s="90" t="s">
        <v>333</v>
      </c>
      <c r="G280" s="98" t="s">
        <v>365</v>
      </c>
      <c r="H280" s="92">
        <v>2510.0</v>
      </c>
      <c r="I280" s="99">
        <v>90.0</v>
      </c>
      <c r="J280" s="94">
        <v>8.94</v>
      </c>
      <c r="K280" s="100">
        <v>3.12</v>
      </c>
      <c r="L280" s="100">
        <v>0.578</v>
      </c>
      <c r="M280" s="100">
        <v>0.598</v>
      </c>
      <c r="N280" s="101">
        <v>14.39</v>
      </c>
      <c r="O280" s="94">
        <v>2.54</v>
      </c>
      <c r="P280" s="101">
        <v>83.07</v>
      </c>
      <c r="Q280" s="102"/>
      <c r="R280" s="103">
        <f t="shared" si="1"/>
        <v>22439.4</v>
      </c>
      <c r="S280" s="103">
        <f t="shared" si="2"/>
        <v>7831.2</v>
      </c>
      <c r="T280" s="103">
        <f t="shared" si="3"/>
        <v>1450.78</v>
      </c>
      <c r="U280" s="103">
        <f t="shared" si="4"/>
        <v>1500.98</v>
      </c>
      <c r="V280" s="103">
        <f t="shared" si="5"/>
        <v>36118.9</v>
      </c>
      <c r="W280" s="103">
        <f t="shared" si="6"/>
        <v>6375.4</v>
      </c>
      <c r="X280" s="103">
        <f t="shared" si="7"/>
        <v>208505.7</v>
      </c>
    </row>
    <row r="281" ht="12.0" customHeight="1">
      <c r="A2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81" s="87" t="str">
        <f>IFERROR(__xludf.DUMMYFUNCTION("IFERROR(IF(F281&lt;&gt;"""",""WHSE ""&amp;LEFT(F281,1),REGEXEXTRACT(E281,""-(?:\d{2}-)?([A-Z]+)"")),"""")
"),"WHSE C")</f>
        <v>WHSE C</v>
      </c>
      <c r="C281" s="88">
        <v>45943.0</v>
      </c>
      <c r="D281" s="89" t="s">
        <v>232</v>
      </c>
      <c r="E281" s="90" t="s">
        <v>352</v>
      </c>
      <c r="F281" s="90" t="s">
        <v>353</v>
      </c>
      <c r="G281" s="98" t="s">
        <v>366</v>
      </c>
      <c r="H281" s="92">
        <v>20225.0</v>
      </c>
      <c r="I281" s="99">
        <v>630.0</v>
      </c>
      <c r="J281" s="94">
        <v>9.4</v>
      </c>
      <c r="K281" s="100">
        <v>3.47</v>
      </c>
      <c r="L281" s="100">
        <v>0.568</v>
      </c>
      <c r="M281" s="100">
        <v>0.588</v>
      </c>
      <c r="N281" s="101">
        <v>12.66</v>
      </c>
      <c r="O281" s="94">
        <v>4.29</v>
      </c>
      <c r="P281" s="101">
        <v>83.05</v>
      </c>
      <c r="Q281" s="102"/>
      <c r="R281" s="103">
        <f t="shared" si="1"/>
        <v>190115</v>
      </c>
      <c r="S281" s="103">
        <f t="shared" si="2"/>
        <v>70180.75</v>
      </c>
      <c r="T281" s="103">
        <f t="shared" si="3"/>
        <v>11487.8</v>
      </c>
      <c r="U281" s="103">
        <f t="shared" si="4"/>
        <v>11892.3</v>
      </c>
      <c r="V281" s="103">
        <f t="shared" si="5"/>
        <v>256048.5</v>
      </c>
      <c r="W281" s="103">
        <f t="shared" si="6"/>
        <v>86765.25</v>
      </c>
      <c r="X281" s="103">
        <f t="shared" si="7"/>
        <v>1679686.25</v>
      </c>
    </row>
    <row r="282" ht="12.0" customHeight="1">
      <c r="A2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82" s="87" t="str">
        <f>IFERROR(__xludf.DUMMYFUNCTION("IFERROR(IF(F282&lt;&gt;"""",""WHSE ""&amp;LEFT(F282,1),REGEXEXTRACT(E282,""-(?:\d{2}-)?([A-Z]+)"")),"""")
"),"WHSE D")</f>
        <v>WHSE D</v>
      </c>
      <c r="C282" s="88">
        <v>45943.0</v>
      </c>
      <c r="D282" s="89" t="s">
        <v>64</v>
      </c>
      <c r="E282" s="90" t="s">
        <v>343</v>
      </c>
      <c r="F282" s="90" t="s">
        <v>344</v>
      </c>
      <c r="G282" s="98" t="s">
        <v>316</v>
      </c>
      <c r="H282" s="92">
        <v>18605.0</v>
      </c>
      <c r="I282" s="99">
        <v>396.0</v>
      </c>
      <c r="J282" s="94">
        <v>11.74</v>
      </c>
      <c r="K282" s="100">
        <v>2.27</v>
      </c>
      <c r="L282" s="100">
        <v>0.578</v>
      </c>
      <c r="M282" s="100">
        <v>0.598</v>
      </c>
      <c r="N282" s="101">
        <v>13.2</v>
      </c>
      <c r="O282" s="94">
        <v>3.52</v>
      </c>
      <c r="P282" s="101">
        <v>83.28</v>
      </c>
      <c r="Q282" s="102"/>
      <c r="R282" s="103">
        <f t="shared" si="1"/>
        <v>218422.7</v>
      </c>
      <c r="S282" s="103">
        <f t="shared" si="2"/>
        <v>42233.35</v>
      </c>
      <c r="T282" s="103">
        <f t="shared" si="3"/>
        <v>10753.69</v>
      </c>
      <c r="U282" s="103">
        <f t="shared" si="4"/>
        <v>11125.79</v>
      </c>
      <c r="V282" s="103">
        <f t="shared" si="5"/>
        <v>245586</v>
      </c>
      <c r="W282" s="103">
        <f t="shared" si="6"/>
        <v>65489.6</v>
      </c>
      <c r="X282" s="103">
        <f t="shared" si="7"/>
        <v>1549424.4</v>
      </c>
    </row>
    <row r="283" ht="12.0" customHeight="1">
      <c r="A2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83" s="87" t="str">
        <f>IFERROR(__xludf.DUMMYFUNCTION("IFERROR(IF(F283&lt;&gt;"""",""WHSE ""&amp;LEFT(F283,1),REGEXEXTRACT(E283,""-(?:\d{2}-)?([A-Z]+)"")),"""")
"),"WHSE D")</f>
        <v>WHSE D</v>
      </c>
      <c r="C283" s="88">
        <v>45943.0</v>
      </c>
      <c r="D283" s="89" t="s">
        <v>64</v>
      </c>
      <c r="E283" s="90" t="s">
        <v>343</v>
      </c>
      <c r="F283" s="90" t="s">
        <v>344</v>
      </c>
      <c r="G283" s="98" t="s">
        <v>367</v>
      </c>
      <c r="H283" s="92">
        <v>9105.0</v>
      </c>
      <c r="I283" s="99">
        <v>270.0</v>
      </c>
      <c r="J283" s="94">
        <v>11.67</v>
      </c>
      <c r="K283" s="100">
        <v>2.4</v>
      </c>
      <c r="L283" s="100">
        <v>0.585</v>
      </c>
      <c r="M283" s="100">
        <v>0.605</v>
      </c>
      <c r="N283" s="101">
        <v>12.84</v>
      </c>
      <c r="O283" s="94">
        <v>2.48</v>
      </c>
      <c r="P283" s="101">
        <v>84.68</v>
      </c>
      <c r="Q283" s="102"/>
      <c r="R283" s="103">
        <f t="shared" si="1"/>
        <v>106255.35</v>
      </c>
      <c r="S283" s="103">
        <f t="shared" si="2"/>
        <v>21852</v>
      </c>
      <c r="T283" s="103">
        <f t="shared" si="3"/>
        <v>5326.425</v>
      </c>
      <c r="U283" s="103">
        <f t="shared" si="4"/>
        <v>5508.525</v>
      </c>
      <c r="V283" s="103">
        <f t="shared" si="5"/>
        <v>116908.2</v>
      </c>
      <c r="W283" s="103">
        <f t="shared" si="6"/>
        <v>22580.4</v>
      </c>
      <c r="X283" s="103">
        <f t="shared" si="7"/>
        <v>771011.4</v>
      </c>
    </row>
    <row r="284" ht="12.0" customHeight="1">
      <c r="A2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84" s="87" t="str">
        <f>IFERROR(__xludf.DUMMYFUNCTION("IFERROR(IF(F284&lt;&gt;"""",""WHSE ""&amp;LEFT(F284,1),REGEXEXTRACT(E284,""-(?:\d{2}-)?([A-Z]+)"")),"""")
"),"WHSE C")</f>
        <v>WHSE C</v>
      </c>
      <c r="C284" s="88">
        <v>45944.0</v>
      </c>
      <c r="D284" s="89" t="s">
        <v>265</v>
      </c>
      <c r="E284" s="90" t="s">
        <v>352</v>
      </c>
      <c r="F284" s="90" t="s">
        <v>353</v>
      </c>
      <c r="G284" s="98" t="s">
        <v>255</v>
      </c>
      <c r="H284" s="92">
        <v>14845.0</v>
      </c>
      <c r="I284" s="99">
        <v>360.0</v>
      </c>
      <c r="J284" s="94">
        <v>9.34</v>
      </c>
      <c r="K284" s="100">
        <v>3.8</v>
      </c>
      <c r="L284" s="100">
        <v>0.562</v>
      </c>
      <c r="M284" s="100">
        <v>0.582</v>
      </c>
      <c r="N284" s="101">
        <v>14.38</v>
      </c>
      <c r="O284" s="94">
        <v>2.99</v>
      </c>
      <c r="P284" s="101">
        <v>82.63</v>
      </c>
      <c r="Q284" s="102"/>
      <c r="R284" s="103">
        <f t="shared" si="1"/>
        <v>138652.3</v>
      </c>
      <c r="S284" s="103">
        <f t="shared" si="2"/>
        <v>56411</v>
      </c>
      <c r="T284" s="103">
        <f t="shared" si="3"/>
        <v>8342.89</v>
      </c>
      <c r="U284" s="103">
        <f t="shared" si="4"/>
        <v>8639.79</v>
      </c>
      <c r="V284" s="103">
        <f t="shared" si="5"/>
        <v>213471.1</v>
      </c>
      <c r="W284" s="103">
        <f t="shared" si="6"/>
        <v>44386.55</v>
      </c>
      <c r="X284" s="103">
        <f t="shared" si="7"/>
        <v>1226642.35</v>
      </c>
    </row>
    <row r="285" ht="12.0" customHeight="1">
      <c r="A2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85" s="87" t="str">
        <f>IFERROR(__xludf.DUMMYFUNCTION("IFERROR(IF(F285&lt;&gt;"""",""WHSE ""&amp;LEFT(F285,1),REGEXEXTRACT(E285,""-(?:\d{2}-)?([A-Z]+)"")),"""")
"),"WHSE C")</f>
        <v>WHSE C</v>
      </c>
      <c r="C285" s="88">
        <v>45944.0</v>
      </c>
      <c r="D285" s="89" t="s">
        <v>232</v>
      </c>
      <c r="E285" s="90" t="s">
        <v>352</v>
      </c>
      <c r="F285" s="90" t="s">
        <v>353</v>
      </c>
      <c r="G285" s="98" t="s">
        <v>368</v>
      </c>
      <c r="H285" s="92">
        <v>2515.0</v>
      </c>
      <c r="I285" s="99">
        <v>88.0</v>
      </c>
      <c r="J285" s="94">
        <v>8.87</v>
      </c>
      <c r="K285" s="100">
        <v>3.16</v>
      </c>
      <c r="L285" s="100">
        <v>0.585</v>
      </c>
      <c r="M285" s="100">
        <v>0.605</v>
      </c>
      <c r="N285" s="101">
        <v>12.24</v>
      </c>
      <c r="O285" s="94">
        <v>3.81</v>
      </c>
      <c r="P285" s="101">
        <v>83.95</v>
      </c>
      <c r="Q285" s="102"/>
      <c r="R285" s="103">
        <f t="shared" si="1"/>
        <v>22308.05</v>
      </c>
      <c r="S285" s="103">
        <f t="shared" si="2"/>
        <v>7947.4</v>
      </c>
      <c r="T285" s="103">
        <f t="shared" si="3"/>
        <v>1471.275</v>
      </c>
      <c r="U285" s="103">
        <f t="shared" si="4"/>
        <v>1521.575</v>
      </c>
      <c r="V285" s="103">
        <f t="shared" si="5"/>
        <v>30783.6</v>
      </c>
      <c r="W285" s="103">
        <f t="shared" si="6"/>
        <v>9582.15</v>
      </c>
      <c r="X285" s="103">
        <f t="shared" si="7"/>
        <v>211134.25</v>
      </c>
    </row>
    <row r="286" ht="12.0" customHeight="1">
      <c r="A2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86" s="87" t="str">
        <f>IFERROR(__xludf.DUMMYFUNCTION("IFERROR(IF(F286&lt;&gt;"""",""WHSE ""&amp;LEFT(F286,1),REGEXEXTRACT(E286,""-(?:\d{2}-)?([A-Z]+)"")),"""")
"),"WHSE D")</f>
        <v>WHSE D</v>
      </c>
      <c r="C286" s="88">
        <v>45945.0</v>
      </c>
      <c r="D286" s="89" t="s">
        <v>72</v>
      </c>
      <c r="E286" s="90" t="s">
        <v>369</v>
      </c>
      <c r="F286" s="90" t="s">
        <v>370</v>
      </c>
      <c r="G286" s="98" t="s">
        <v>73</v>
      </c>
      <c r="H286" s="92">
        <v>17115.0</v>
      </c>
      <c r="I286" s="99">
        <v>440.0</v>
      </c>
      <c r="J286" s="94">
        <v>11.87</v>
      </c>
      <c r="K286" s="100">
        <v>2.69</v>
      </c>
      <c r="L286" s="100">
        <v>0.575</v>
      </c>
      <c r="M286" s="100">
        <v>0.595</v>
      </c>
      <c r="N286" s="101">
        <v>12.52</v>
      </c>
      <c r="O286" s="94">
        <v>3.95</v>
      </c>
      <c r="P286" s="101">
        <v>83.53</v>
      </c>
      <c r="Q286" s="102"/>
      <c r="R286" s="103">
        <f t="shared" si="1"/>
        <v>203155.05</v>
      </c>
      <c r="S286" s="103">
        <f t="shared" si="2"/>
        <v>46039.35</v>
      </c>
      <c r="T286" s="103">
        <f t="shared" si="3"/>
        <v>9841.125</v>
      </c>
      <c r="U286" s="103">
        <f t="shared" si="4"/>
        <v>10183.425</v>
      </c>
      <c r="V286" s="103">
        <f t="shared" si="5"/>
        <v>214279.8</v>
      </c>
      <c r="W286" s="103">
        <f t="shared" si="6"/>
        <v>67604.25</v>
      </c>
      <c r="X286" s="103">
        <f t="shared" si="7"/>
        <v>1429615.95</v>
      </c>
    </row>
    <row r="287" ht="12.0" customHeight="1">
      <c r="A2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87" s="87" t="str">
        <f>IFERROR(__xludf.DUMMYFUNCTION("IFERROR(IF(F287&lt;&gt;"""",""WHSE ""&amp;LEFT(F287,1),REGEXEXTRACT(E287,""-(?:\d{2}-)?([A-Z]+)"")),"""")
"),"WHSE D")</f>
        <v>WHSE D</v>
      </c>
      <c r="C287" s="88">
        <v>45946.0</v>
      </c>
      <c r="D287" s="89" t="s">
        <v>286</v>
      </c>
      <c r="E287" s="90" t="s">
        <v>350</v>
      </c>
      <c r="F287" s="90" t="s">
        <v>351</v>
      </c>
      <c r="G287" s="98" t="s">
        <v>73</v>
      </c>
      <c r="H287" s="92">
        <v>15940.0</v>
      </c>
      <c r="I287" s="99">
        <v>488.0</v>
      </c>
      <c r="J287" s="94">
        <v>10.2</v>
      </c>
      <c r="K287" s="100">
        <v>2.14</v>
      </c>
      <c r="L287" s="100">
        <v>0.581</v>
      </c>
      <c r="M287" s="100">
        <v>0.601</v>
      </c>
      <c r="N287" s="101">
        <v>12.7</v>
      </c>
      <c r="O287" s="94">
        <v>3.41</v>
      </c>
      <c r="P287" s="101">
        <v>83.89</v>
      </c>
      <c r="Q287" s="102"/>
      <c r="R287" s="103">
        <f t="shared" si="1"/>
        <v>162588</v>
      </c>
      <c r="S287" s="103">
        <f t="shared" si="2"/>
        <v>34111.6</v>
      </c>
      <c r="T287" s="103">
        <f t="shared" si="3"/>
        <v>9261.14</v>
      </c>
      <c r="U287" s="103">
        <f t="shared" si="4"/>
        <v>9579.94</v>
      </c>
      <c r="V287" s="103">
        <f t="shared" si="5"/>
        <v>202438</v>
      </c>
      <c r="W287" s="103">
        <f t="shared" si="6"/>
        <v>54355.4</v>
      </c>
      <c r="X287" s="103">
        <f t="shared" si="7"/>
        <v>1337206.6</v>
      </c>
    </row>
    <row r="288" ht="12.0" customHeight="1">
      <c r="A2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88" s="87" t="str">
        <f>IFERROR(__xludf.DUMMYFUNCTION("IFERROR(IF(F288&lt;&gt;"""",""WHSE ""&amp;LEFT(F288,1),REGEXEXTRACT(E288,""-(?:\d{2}-)?([A-Z]+)"")),"""")
"),"WHSE C")</f>
        <v>WHSE C</v>
      </c>
      <c r="C288" s="88">
        <v>45947.0</v>
      </c>
      <c r="D288" s="89" t="s">
        <v>232</v>
      </c>
      <c r="E288" s="90" t="s">
        <v>352</v>
      </c>
      <c r="F288" s="90" t="s">
        <v>353</v>
      </c>
      <c r="G288" s="98" t="s">
        <v>235</v>
      </c>
      <c r="H288" s="92">
        <v>10660.0</v>
      </c>
      <c r="I288" s="99">
        <v>332.0</v>
      </c>
      <c r="J288" s="94">
        <v>9.74</v>
      </c>
      <c r="K288" s="100">
        <v>2.44</v>
      </c>
      <c r="L288" s="100">
        <v>0.581</v>
      </c>
      <c r="M288" s="100">
        <v>0.601</v>
      </c>
      <c r="N288" s="101">
        <v>13.59</v>
      </c>
      <c r="O288" s="94">
        <v>2.98</v>
      </c>
      <c r="P288" s="101">
        <v>83.43</v>
      </c>
      <c r="Q288" s="102"/>
      <c r="R288" s="103">
        <f t="shared" si="1"/>
        <v>103828.4</v>
      </c>
      <c r="S288" s="103">
        <f t="shared" si="2"/>
        <v>26010.4</v>
      </c>
      <c r="T288" s="103">
        <f t="shared" si="3"/>
        <v>6193.46</v>
      </c>
      <c r="U288" s="103">
        <f t="shared" si="4"/>
        <v>6406.66</v>
      </c>
      <c r="V288" s="103">
        <f t="shared" si="5"/>
        <v>144869.4</v>
      </c>
      <c r="W288" s="103">
        <f t="shared" si="6"/>
        <v>31766.8</v>
      </c>
      <c r="X288" s="103">
        <f t="shared" si="7"/>
        <v>889363.8</v>
      </c>
    </row>
    <row r="289" ht="12.0" customHeight="1">
      <c r="A2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89" s="87" t="str">
        <f>IFERROR(__xludf.DUMMYFUNCTION("IFERROR(IF(F289&lt;&gt;"""",""WHSE ""&amp;LEFT(F289,1),REGEXEXTRACT(E289,""-(?:\d{2}-)?([A-Z]+)"")),"""")
"),"WHSE D")</f>
        <v>WHSE D</v>
      </c>
      <c r="C289" s="88">
        <v>45947.0</v>
      </c>
      <c r="D289" s="89" t="s">
        <v>72</v>
      </c>
      <c r="E289" s="90" t="s">
        <v>369</v>
      </c>
      <c r="F289" s="90" t="s">
        <v>370</v>
      </c>
      <c r="G289" s="98" t="s">
        <v>77</v>
      </c>
      <c r="H289" s="92">
        <v>17345.0</v>
      </c>
      <c r="I289" s="99">
        <v>447.0</v>
      </c>
      <c r="J289" s="94">
        <v>11.6</v>
      </c>
      <c r="K289" s="100">
        <v>2.54</v>
      </c>
      <c r="L289" s="100">
        <v>0.578</v>
      </c>
      <c r="M289" s="100">
        <v>0.598</v>
      </c>
      <c r="N289" s="101">
        <v>13.25</v>
      </c>
      <c r="O289" s="94">
        <v>3.18</v>
      </c>
      <c r="P289" s="101">
        <v>83.57</v>
      </c>
      <c r="Q289" s="102"/>
      <c r="R289" s="103">
        <f t="shared" si="1"/>
        <v>201202</v>
      </c>
      <c r="S289" s="103">
        <f t="shared" si="2"/>
        <v>44056.3</v>
      </c>
      <c r="T289" s="103">
        <f t="shared" si="3"/>
        <v>10025.41</v>
      </c>
      <c r="U289" s="103">
        <f t="shared" si="4"/>
        <v>10372.31</v>
      </c>
      <c r="V289" s="103">
        <f t="shared" si="5"/>
        <v>229821.25</v>
      </c>
      <c r="W289" s="103">
        <f t="shared" si="6"/>
        <v>55157.1</v>
      </c>
      <c r="X289" s="103">
        <f t="shared" si="7"/>
        <v>1449521.65</v>
      </c>
    </row>
    <row r="290" ht="12.0" customHeight="1">
      <c r="A2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90" s="87" t="str">
        <f>IFERROR(__xludf.DUMMYFUNCTION("IFERROR(IF(F290&lt;&gt;"""",""WHSE ""&amp;LEFT(F290,1),REGEXEXTRACT(E290,""-(?:\d{2}-)?([A-Z]+)"")),"""")
"),"WHSE D")</f>
        <v>WHSE D</v>
      </c>
      <c r="C290" s="88">
        <v>45948.0</v>
      </c>
      <c r="D290" s="89" t="s">
        <v>72</v>
      </c>
      <c r="E290" s="90" t="s">
        <v>369</v>
      </c>
      <c r="F290" s="90" t="s">
        <v>370</v>
      </c>
      <c r="G290" s="98" t="s">
        <v>77</v>
      </c>
      <c r="H290" s="92">
        <v>17500.0</v>
      </c>
      <c r="I290" s="99">
        <v>451.0</v>
      </c>
      <c r="J290" s="94">
        <v>11.8</v>
      </c>
      <c r="K290" s="100">
        <v>2.16</v>
      </c>
      <c r="L290" s="100">
        <v>0.575</v>
      </c>
      <c r="M290" s="100">
        <v>0.595</v>
      </c>
      <c r="N290" s="101">
        <v>12.61</v>
      </c>
      <c r="O290" s="94">
        <v>3.99</v>
      </c>
      <c r="P290" s="101">
        <v>83.4</v>
      </c>
      <c r="Q290" s="102"/>
      <c r="R290" s="103">
        <f t="shared" si="1"/>
        <v>206500</v>
      </c>
      <c r="S290" s="103">
        <f t="shared" si="2"/>
        <v>37800</v>
      </c>
      <c r="T290" s="103">
        <f t="shared" si="3"/>
        <v>10062.5</v>
      </c>
      <c r="U290" s="103">
        <f t="shared" si="4"/>
        <v>10412.5</v>
      </c>
      <c r="V290" s="103">
        <f t="shared" si="5"/>
        <v>220675</v>
      </c>
      <c r="W290" s="103">
        <f t="shared" si="6"/>
        <v>69825</v>
      </c>
      <c r="X290" s="103">
        <f t="shared" si="7"/>
        <v>1459500</v>
      </c>
    </row>
    <row r="291" ht="12.0" customHeight="1">
      <c r="A2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91" s="87" t="str">
        <f>IFERROR(__xludf.DUMMYFUNCTION("IFERROR(IF(F291&lt;&gt;"""",""WHSE ""&amp;LEFT(F291,1),REGEXEXTRACT(E291,""-(?:\d{2}-)?([A-Z]+)"")),"""")
"),"WHSE D")</f>
        <v>WHSE D</v>
      </c>
      <c r="C291" s="88">
        <v>45948.0</v>
      </c>
      <c r="D291" s="89" t="s">
        <v>289</v>
      </c>
      <c r="E291" s="90" t="s">
        <v>371</v>
      </c>
      <c r="F291" s="90" t="s">
        <v>372</v>
      </c>
      <c r="G291" s="98" t="s">
        <v>358</v>
      </c>
      <c r="H291" s="92">
        <v>29910.0</v>
      </c>
      <c r="I291" s="99">
        <v>826.0</v>
      </c>
      <c r="J291" s="94">
        <v>9.4</v>
      </c>
      <c r="K291" s="100">
        <v>5.81</v>
      </c>
      <c r="L291" s="100">
        <v>0.559</v>
      </c>
      <c r="M291" s="100">
        <v>0.579</v>
      </c>
      <c r="N291" s="101">
        <v>12.14</v>
      </c>
      <c r="O291" s="94">
        <v>4.8</v>
      </c>
      <c r="P291" s="101">
        <v>83.06</v>
      </c>
      <c r="Q291" s="102"/>
      <c r="R291" s="103">
        <f t="shared" si="1"/>
        <v>281154</v>
      </c>
      <c r="S291" s="103">
        <f t="shared" si="2"/>
        <v>173777.1</v>
      </c>
      <c r="T291" s="103">
        <f t="shared" si="3"/>
        <v>16719.69</v>
      </c>
      <c r="U291" s="103">
        <f t="shared" si="4"/>
        <v>17317.89</v>
      </c>
      <c r="V291" s="103">
        <f t="shared" si="5"/>
        <v>363107.4</v>
      </c>
      <c r="W291" s="103">
        <f t="shared" si="6"/>
        <v>143568</v>
      </c>
      <c r="X291" s="103">
        <f t="shared" si="7"/>
        <v>2484324.6</v>
      </c>
    </row>
    <row r="292" ht="12.0" customHeight="1">
      <c r="A2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92" s="87" t="str">
        <f>IFERROR(__xludf.DUMMYFUNCTION("IFERROR(IF(F292&lt;&gt;"""",""WHSE ""&amp;LEFT(F292,1),REGEXEXTRACT(E292,""-(?:\d{2}-)?([A-Z]+)"")),"""")
"),"WHSE D")</f>
        <v>WHSE D</v>
      </c>
      <c r="C292" s="88">
        <v>45948.0</v>
      </c>
      <c r="D292" s="89" t="s">
        <v>60</v>
      </c>
      <c r="E292" s="90" t="s">
        <v>373</v>
      </c>
      <c r="F292" s="90" t="s">
        <v>374</v>
      </c>
      <c r="G292" s="98" t="s">
        <v>375</v>
      </c>
      <c r="H292" s="92">
        <v>17787.0</v>
      </c>
      <c r="I292" s="99">
        <v>510.0</v>
      </c>
      <c r="J292" s="94">
        <v>12.74</v>
      </c>
      <c r="K292" s="100">
        <v>2.16</v>
      </c>
      <c r="L292" s="100">
        <v>0.568</v>
      </c>
      <c r="M292" s="100">
        <v>0.588</v>
      </c>
      <c r="N292" s="101">
        <v>12.04</v>
      </c>
      <c r="O292" s="94">
        <v>4.17</v>
      </c>
      <c r="P292" s="101">
        <v>83.79</v>
      </c>
      <c r="Q292" s="89" t="s">
        <v>376</v>
      </c>
      <c r="R292" s="86">
        <f t="shared" si="1"/>
        <v>226606.38</v>
      </c>
      <c r="S292" s="86">
        <f t="shared" si="2"/>
        <v>38419.92</v>
      </c>
      <c r="T292" s="86">
        <f t="shared" si="3"/>
        <v>10103.016</v>
      </c>
      <c r="U292" s="86">
        <f t="shared" si="4"/>
        <v>10458.756</v>
      </c>
      <c r="V292" s="86">
        <f t="shared" si="5"/>
        <v>214155.48</v>
      </c>
      <c r="W292" s="86">
        <f t="shared" si="6"/>
        <v>74171.79</v>
      </c>
      <c r="X292" s="86">
        <f t="shared" si="7"/>
        <v>1490372.73</v>
      </c>
    </row>
    <row r="293" ht="12.0" customHeight="1">
      <c r="A2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93" s="87" t="str">
        <f>IFERROR(__xludf.DUMMYFUNCTION("IFERROR(IF(F293&lt;&gt;"""",""WHSE ""&amp;LEFT(F293,1),REGEXEXTRACT(E293,""-(?:\d{2}-)?([A-Z]+)"")),"""")
"),"WHSE D")</f>
        <v>WHSE D</v>
      </c>
      <c r="C293" s="88">
        <v>45950.0</v>
      </c>
      <c r="D293" s="89" t="s">
        <v>72</v>
      </c>
      <c r="E293" s="90" t="s">
        <v>377</v>
      </c>
      <c r="F293" s="90" t="s">
        <v>378</v>
      </c>
      <c r="G293" s="98" t="s">
        <v>73</v>
      </c>
      <c r="H293" s="92">
        <v>19710.0</v>
      </c>
      <c r="I293" s="99">
        <v>463.0</v>
      </c>
      <c r="J293" s="94">
        <v>11.74</v>
      </c>
      <c r="K293" s="100">
        <v>2.27</v>
      </c>
      <c r="L293" s="100">
        <v>0.578</v>
      </c>
      <c r="M293" s="100">
        <v>0.598</v>
      </c>
      <c r="N293" s="101">
        <v>12.41</v>
      </c>
      <c r="O293" s="94">
        <v>3.24</v>
      </c>
      <c r="P293" s="101">
        <v>84.35</v>
      </c>
      <c r="Q293" s="102"/>
      <c r="R293" s="103">
        <f t="shared" si="1"/>
        <v>231395.4</v>
      </c>
      <c r="S293" s="103">
        <f t="shared" si="2"/>
        <v>44741.7</v>
      </c>
      <c r="T293" s="103">
        <f t="shared" si="3"/>
        <v>11392.38</v>
      </c>
      <c r="U293" s="103">
        <f t="shared" si="4"/>
        <v>11786.58</v>
      </c>
      <c r="V293" s="103">
        <f t="shared" si="5"/>
        <v>244601.1</v>
      </c>
      <c r="W293" s="103">
        <f t="shared" si="6"/>
        <v>63860.4</v>
      </c>
      <c r="X293" s="103">
        <f t="shared" si="7"/>
        <v>1662538.5</v>
      </c>
    </row>
    <row r="294" ht="12.0" customHeight="1">
      <c r="A2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94" s="87" t="str">
        <f>IFERROR(__xludf.DUMMYFUNCTION("IFERROR(IF(F294&lt;&gt;"""",""WHSE ""&amp;LEFT(F294,1),REGEXEXTRACT(E294,""-(?:\d{2}-)?([A-Z]+)"")),"""")
"),"WHSE D")</f>
        <v>WHSE D</v>
      </c>
      <c r="C294" s="88">
        <v>45950.0</v>
      </c>
      <c r="D294" s="89" t="s">
        <v>72</v>
      </c>
      <c r="E294" s="90" t="s">
        <v>377</v>
      </c>
      <c r="F294" s="90" t="s">
        <v>378</v>
      </c>
      <c r="G294" s="98" t="s">
        <v>337</v>
      </c>
      <c r="H294" s="92">
        <v>16940.0</v>
      </c>
      <c r="I294" s="99">
        <v>336.0</v>
      </c>
      <c r="J294" s="94">
        <v>11.34</v>
      </c>
      <c r="K294" s="100">
        <v>2.24</v>
      </c>
      <c r="L294" s="100">
        <v>0.571</v>
      </c>
      <c r="M294" s="100">
        <v>0.591</v>
      </c>
      <c r="N294" s="101">
        <v>13.35</v>
      </c>
      <c r="O294" s="94">
        <v>2.97</v>
      </c>
      <c r="P294" s="101">
        <v>83.68</v>
      </c>
      <c r="Q294" s="102"/>
      <c r="R294" s="103">
        <f t="shared" si="1"/>
        <v>192099.6</v>
      </c>
      <c r="S294" s="103">
        <f t="shared" si="2"/>
        <v>37945.6</v>
      </c>
      <c r="T294" s="103">
        <f t="shared" si="3"/>
        <v>9672.74</v>
      </c>
      <c r="U294" s="103">
        <f t="shared" si="4"/>
        <v>10011.54</v>
      </c>
      <c r="V294" s="103">
        <f t="shared" si="5"/>
        <v>226149</v>
      </c>
      <c r="W294" s="103">
        <f t="shared" si="6"/>
        <v>50311.8</v>
      </c>
      <c r="X294" s="103">
        <f t="shared" si="7"/>
        <v>1417539.2</v>
      </c>
    </row>
    <row r="295" ht="12.0" customHeight="1">
      <c r="A2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95" s="87" t="str">
        <f>IFERROR(__xludf.DUMMYFUNCTION("IFERROR(IF(F295&lt;&gt;"""",""WHSE ""&amp;LEFT(F295,1),REGEXEXTRACT(E295,""-(?:\d{2}-)?([A-Z]+)"")),"""")
"),"WHSE D")</f>
        <v>WHSE D</v>
      </c>
      <c r="C295" s="88">
        <v>45950.0</v>
      </c>
      <c r="D295" s="89" t="s">
        <v>279</v>
      </c>
      <c r="E295" s="90" t="s">
        <v>280</v>
      </c>
      <c r="F295" s="90" t="s">
        <v>281</v>
      </c>
      <c r="G295" s="98" t="s">
        <v>318</v>
      </c>
      <c r="H295" s="92">
        <v>5393.0</v>
      </c>
      <c r="I295" s="99">
        <v>110.0</v>
      </c>
      <c r="J295" s="94">
        <v>12.4</v>
      </c>
      <c r="K295" s="100">
        <v>2.6</v>
      </c>
      <c r="L295" s="100">
        <v>0.588</v>
      </c>
      <c r="M295" s="100">
        <v>0.608</v>
      </c>
      <c r="N295" s="101">
        <v>15.14</v>
      </c>
      <c r="O295" s="94">
        <v>3.95</v>
      </c>
      <c r="P295" s="101">
        <v>80.91</v>
      </c>
      <c r="Q295" s="89" t="s">
        <v>379</v>
      </c>
      <c r="R295" s="86">
        <f t="shared" si="1"/>
        <v>66873.2</v>
      </c>
      <c r="S295" s="86">
        <f t="shared" si="2"/>
        <v>14021.8</v>
      </c>
      <c r="T295" s="86">
        <f t="shared" si="3"/>
        <v>3171.084</v>
      </c>
      <c r="U295" s="86">
        <f t="shared" si="4"/>
        <v>3278.944</v>
      </c>
      <c r="V295" s="86">
        <f t="shared" si="5"/>
        <v>81650.02</v>
      </c>
      <c r="W295" s="86">
        <f t="shared" si="6"/>
        <v>21302.35</v>
      </c>
      <c r="X295" s="86">
        <f t="shared" si="7"/>
        <v>436347.63</v>
      </c>
    </row>
    <row r="296" ht="12.0" customHeight="1">
      <c r="A2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96" s="87" t="str">
        <f>IFERROR(__xludf.DUMMYFUNCTION("IFERROR(IF(F296&lt;&gt;"""",""WHSE ""&amp;LEFT(F296,1),REGEXEXTRACT(E296,""-(?:\d{2}-)?([A-Z]+)"")),"""")
"),"WHSE D")</f>
        <v>WHSE D</v>
      </c>
      <c r="C296" s="88">
        <v>45950.0</v>
      </c>
      <c r="D296" s="89" t="s">
        <v>64</v>
      </c>
      <c r="E296" s="90" t="s">
        <v>343</v>
      </c>
      <c r="F296" s="90" t="s">
        <v>344</v>
      </c>
      <c r="G296" s="98" t="s">
        <v>380</v>
      </c>
      <c r="H296" s="92">
        <v>13663.0</v>
      </c>
      <c r="I296" s="99">
        <v>230.0</v>
      </c>
      <c r="J296" s="94">
        <v>13.6</v>
      </c>
      <c r="K296" s="100">
        <v>2.2</v>
      </c>
      <c r="L296" s="100">
        <v>0.575</v>
      </c>
      <c r="M296" s="100">
        <v>0.595</v>
      </c>
      <c r="N296" s="101">
        <v>12.75</v>
      </c>
      <c r="O296" s="94">
        <v>2.58</v>
      </c>
      <c r="P296" s="101">
        <v>84.67</v>
      </c>
      <c r="Q296" s="89" t="s">
        <v>380</v>
      </c>
      <c r="R296" s="86">
        <f t="shared" si="1"/>
        <v>185816.8</v>
      </c>
      <c r="S296" s="86">
        <f t="shared" si="2"/>
        <v>30058.6</v>
      </c>
      <c r="T296" s="86">
        <f t="shared" si="3"/>
        <v>7856.225</v>
      </c>
      <c r="U296" s="86">
        <f t="shared" si="4"/>
        <v>8129.485</v>
      </c>
      <c r="V296" s="86">
        <f t="shared" si="5"/>
        <v>174203.25</v>
      </c>
      <c r="W296" s="86">
        <f t="shared" si="6"/>
        <v>35250.54</v>
      </c>
      <c r="X296" s="86">
        <f t="shared" si="7"/>
        <v>1156846.21</v>
      </c>
    </row>
    <row r="297" ht="12.0" customHeight="1">
      <c r="A2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97" s="87" t="str">
        <f>IFERROR(__xludf.DUMMYFUNCTION("IFERROR(IF(F297&lt;&gt;"""",""WHSE ""&amp;LEFT(F297,1),REGEXEXTRACT(E297,""-(?:\d{2}-)?([A-Z]+)"")),"""")
"),"WHSE D")</f>
        <v>WHSE D</v>
      </c>
      <c r="C297" s="88">
        <v>45950.0</v>
      </c>
      <c r="D297" s="89" t="s">
        <v>64</v>
      </c>
      <c r="E297" s="90" t="s">
        <v>381</v>
      </c>
      <c r="F297" s="90" t="s">
        <v>382</v>
      </c>
      <c r="G297" s="98" t="s">
        <v>316</v>
      </c>
      <c r="H297" s="92">
        <v>22417.0</v>
      </c>
      <c r="I297" s="99">
        <v>500.0</v>
      </c>
      <c r="J297" s="94">
        <v>13.87</v>
      </c>
      <c r="K297" s="100">
        <v>2.27</v>
      </c>
      <c r="L297" s="100">
        <v>0.578</v>
      </c>
      <c r="M297" s="100">
        <v>0.598</v>
      </c>
      <c r="N297" s="101">
        <v>12.94</v>
      </c>
      <c r="O297" s="94">
        <v>3.19</v>
      </c>
      <c r="P297" s="101">
        <v>83.87</v>
      </c>
      <c r="Q297" s="89" t="s">
        <v>316</v>
      </c>
      <c r="R297" s="86">
        <f t="shared" si="1"/>
        <v>310923.79</v>
      </c>
      <c r="S297" s="86">
        <f t="shared" si="2"/>
        <v>50886.59</v>
      </c>
      <c r="T297" s="86">
        <f t="shared" si="3"/>
        <v>12957.026</v>
      </c>
      <c r="U297" s="86">
        <f t="shared" si="4"/>
        <v>13405.366</v>
      </c>
      <c r="V297" s="86">
        <f t="shared" si="5"/>
        <v>290075.98</v>
      </c>
      <c r="W297" s="86">
        <f t="shared" si="6"/>
        <v>71510.23</v>
      </c>
      <c r="X297" s="86">
        <f t="shared" si="7"/>
        <v>1880113.79</v>
      </c>
    </row>
    <row r="298" ht="12.0" customHeight="1">
      <c r="A2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298" s="87" t="str">
        <f>IFERROR(__xludf.DUMMYFUNCTION("IFERROR(IF(F298&lt;&gt;"""",""WHSE ""&amp;LEFT(F298,1),REGEXEXTRACT(E298,""-(?:\d{2}-)?([A-Z]+)"")),"""")
"),"WHSE C")</f>
        <v>WHSE C</v>
      </c>
      <c r="C298" s="88">
        <v>45950.0</v>
      </c>
      <c r="D298" s="89" t="s">
        <v>232</v>
      </c>
      <c r="E298" s="90" t="s">
        <v>326</v>
      </c>
      <c r="F298" s="90" t="s">
        <v>327</v>
      </c>
      <c r="G298" s="98" t="s">
        <v>328</v>
      </c>
      <c r="H298" s="92">
        <v>22910.0</v>
      </c>
      <c r="I298" s="99">
        <v>539.0</v>
      </c>
      <c r="J298" s="94">
        <v>11.4</v>
      </c>
      <c r="K298" s="100">
        <v>2.41</v>
      </c>
      <c r="L298" s="100">
        <v>0.565</v>
      </c>
      <c r="M298" s="100">
        <v>0.585</v>
      </c>
      <c r="N298" s="101">
        <v>11.61</v>
      </c>
      <c r="O298" s="94">
        <v>4.39</v>
      </c>
      <c r="P298" s="101">
        <v>84.0</v>
      </c>
      <c r="Q298" s="102"/>
      <c r="R298" s="103">
        <f t="shared" si="1"/>
        <v>261174</v>
      </c>
      <c r="S298" s="103">
        <f t="shared" si="2"/>
        <v>55213.1</v>
      </c>
      <c r="T298" s="103">
        <f t="shared" si="3"/>
        <v>12944.15</v>
      </c>
      <c r="U298" s="103">
        <f t="shared" si="4"/>
        <v>13402.35</v>
      </c>
      <c r="V298" s="103">
        <f t="shared" si="5"/>
        <v>265985.1</v>
      </c>
      <c r="W298" s="103">
        <f t="shared" si="6"/>
        <v>100574.9</v>
      </c>
      <c r="X298" s="103">
        <f t="shared" si="7"/>
        <v>1924440</v>
      </c>
    </row>
    <row r="299" ht="12.0" customHeight="1">
      <c r="A2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299" s="87" t="str">
        <f>IFERROR(__xludf.DUMMYFUNCTION("IFERROR(IF(F299&lt;&gt;"""",""WHSE ""&amp;LEFT(F299,1),REGEXEXTRACT(E299,""-(?:\d{2}-)?([A-Z]+)"")),"""")
"),"WHSE C")</f>
        <v>WHSE C</v>
      </c>
      <c r="C299" s="88">
        <v>45950.0</v>
      </c>
      <c r="D299" s="89" t="s">
        <v>232</v>
      </c>
      <c r="E299" s="90" t="s">
        <v>383</v>
      </c>
      <c r="F299" s="90" t="s">
        <v>384</v>
      </c>
      <c r="G299" s="98" t="s">
        <v>235</v>
      </c>
      <c r="H299" s="92">
        <v>10530.0</v>
      </c>
      <c r="I299" s="99">
        <v>346.0</v>
      </c>
      <c r="J299" s="94">
        <v>9.14</v>
      </c>
      <c r="K299" s="100">
        <v>2.16</v>
      </c>
      <c r="L299" s="100">
        <v>0.581</v>
      </c>
      <c r="M299" s="100">
        <v>0.601</v>
      </c>
      <c r="N299" s="101">
        <v>14.59</v>
      </c>
      <c r="O299" s="94">
        <v>2.75</v>
      </c>
      <c r="P299" s="101">
        <v>82.66</v>
      </c>
      <c r="Q299" s="102"/>
      <c r="R299" s="103">
        <f t="shared" si="1"/>
        <v>96244.2</v>
      </c>
      <c r="S299" s="103">
        <f t="shared" si="2"/>
        <v>22744.8</v>
      </c>
      <c r="T299" s="103">
        <f t="shared" si="3"/>
        <v>6117.93</v>
      </c>
      <c r="U299" s="103">
        <f t="shared" si="4"/>
        <v>6328.53</v>
      </c>
      <c r="V299" s="103">
        <f t="shared" si="5"/>
        <v>153632.7</v>
      </c>
      <c r="W299" s="103">
        <f t="shared" si="6"/>
        <v>28957.5</v>
      </c>
      <c r="X299" s="103">
        <f t="shared" si="7"/>
        <v>870409.8</v>
      </c>
    </row>
    <row r="300" ht="12.0" customHeight="1">
      <c r="A3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0" s="87" t="str">
        <f>IFERROR(__xludf.DUMMYFUNCTION("IFERROR(IF(F300&lt;&gt;"""",""WHSE ""&amp;LEFT(F300,1),REGEXEXTRACT(E300,""-(?:\d{2}-)?([A-Z]+)"")),"""")
"),"WHSE D")</f>
        <v>WHSE D</v>
      </c>
      <c r="C300" s="88">
        <v>45951.0</v>
      </c>
      <c r="D300" s="89" t="s">
        <v>286</v>
      </c>
      <c r="E300" s="90" t="s">
        <v>350</v>
      </c>
      <c r="F300" s="90" t="s">
        <v>351</v>
      </c>
      <c r="G300" s="98" t="s">
        <v>77</v>
      </c>
      <c r="H300" s="92">
        <v>17210.0</v>
      </c>
      <c r="I300" s="99">
        <v>455.0</v>
      </c>
      <c r="J300" s="94">
        <v>10.87</v>
      </c>
      <c r="K300" s="100">
        <v>2.38</v>
      </c>
      <c r="L300" s="100">
        <v>0.578</v>
      </c>
      <c r="M300" s="100">
        <v>0.598</v>
      </c>
      <c r="N300" s="101">
        <v>13.61</v>
      </c>
      <c r="O300" s="94">
        <v>3.16</v>
      </c>
      <c r="P300" s="101">
        <v>83.23</v>
      </c>
      <c r="Q300" s="102"/>
      <c r="R300" s="103">
        <f t="shared" si="1"/>
        <v>187072.7</v>
      </c>
      <c r="S300" s="103">
        <f t="shared" si="2"/>
        <v>40959.8</v>
      </c>
      <c r="T300" s="103">
        <f t="shared" si="3"/>
        <v>9947.38</v>
      </c>
      <c r="U300" s="103">
        <f t="shared" si="4"/>
        <v>10291.58</v>
      </c>
      <c r="V300" s="103">
        <f t="shared" si="5"/>
        <v>234228.1</v>
      </c>
      <c r="W300" s="103">
        <f t="shared" si="6"/>
        <v>54383.6</v>
      </c>
      <c r="X300" s="103">
        <f t="shared" si="7"/>
        <v>1432388.3</v>
      </c>
    </row>
    <row r="301" ht="12.0" customHeight="1">
      <c r="A3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1" s="87" t="str">
        <f>IFERROR(__xludf.DUMMYFUNCTION("IFERROR(IF(F301&lt;&gt;"""",""WHSE ""&amp;LEFT(F301,1),REGEXEXTRACT(E301,""-(?:\d{2}-)?([A-Z]+)"")),"""")
"),"WHSE C")</f>
        <v>WHSE C</v>
      </c>
      <c r="C301" s="88">
        <v>45951.0</v>
      </c>
      <c r="D301" s="89" t="s">
        <v>232</v>
      </c>
      <c r="E301" s="90" t="s">
        <v>385</v>
      </c>
      <c r="F301" s="90" t="s">
        <v>386</v>
      </c>
      <c r="G301" s="98" t="s">
        <v>328</v>
      </c>
      <c r="H301" s="92">
        <v>18725.0</v>
      </c>
      <c r="I301" s="99">
        <v>730.0</v>
      </c>
      <c r="J301" s="94">
        <v>10.34</v>
      </c>
      <c r="K301" s="100">
        <v>2.31</v>
      </c>
      <c r="L301" s="100">
        <v>0.571</v>
      </c>
      <c r="M301" s="100">
        <v>0.591</v>
      </c>
      <c r="N301" s="101">
        <v>15.12</v>
      </c>
      <c r="O301" s="94">
        <v>3.08</v>
      </c>
      <c r="P301" s="101">
        <v>81.8</v>
      </c>
      <c r="Q301" s="102"/>
      <c r="R301" s="103">
        <f t="shared" si="1"/>
        <v>193616.5</v>
      </c>
      <c r="S301" s="103">
        <f t="shared" si="2"/>
        <v>43254.75</v>
      </c>
      <c r="T301" s="103">
        <f t="shared" si="3"/>
        <v>10691.975</v>
      </c>
      <c r="U301" s="103">
        <f t="shared" si="4"/>
        <v>11066.475</v>
      </c>
      <c r="V301" s="103">
        <f t="shared" si="5"/>
        <v>283122</v>
      </c>
      <c r="W301" s="103">
        <f t="shared" si="6"/>
        <v>57673</v>
      </c>
      <c r="X301" s="103">
        <f t="shared" si="7"/>
        <v>1531705</v>
      </c>
    </row>
    <row r="302" ht="12.0" customHeight="1">
      <c r="A3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2" s="87" t="str">
        <f>IFERROR(__xludf.DUMMYFUNCTION("IFERROR(IF(F302&lt;&gt;"""",""WHSE ""&amp;LEFT(F302,1),REGEXEXTRACT(E302,""-(?:\d{2}-)?([A-Z]+)"")),"""")
"),"WHSE C")</f>
        <v>WHSE C</v>
      </c>
      <c r="C302" s="88">
        <v>45951.0</v>
      </c>
      <c r="D302" s="89" t="s">
        <v>265</v>
      </c>
      <c r="E302" s="90" t="s">
        <v>385</v>
      </c>
      <c r="F302" s="90" t="s">
        <v>386</v>
      </c>
      <c r="G302" s="98" t="s">
        <v>255</v>
      </c>
      <c r="H302" s="92">
        <v>9305.0</v>
      </c>
      <c r="I302" s="99">
        <v>404.0</v>
      </c>
      <c r="J302" s="94">
        <v>10.07</v>
      </c>
      <c r="K302" s="100">
        <v>3.63</v>
      </c>
      <c r="L302" s="100">
        <v>0.565</v>
      </c>
      <c r="M302" s="100">
        <v>0.585</v>
      </c>
      <c r="N302" s="101">
        <v>14.21</v>
      </c>
      <c r="O302" s="94">
        <v>2.84</v>
      </c>
      <c r="P302" s="101">
        <v>82.95</v>
      </c>
      <c r="Q302" s="102"/>
      <c r="R302" s="103">
        <f t="shared" si="1"/>
        <v>93701.35</v>
      </c>
      <c r="S302" s="103">
        <f t="shared" si="2"/>
        <v>33777.15</v>
      </c>
      <c r="T302" s="103">
        <f t="shared" si="3"/>
        <v>5257.325</v>
      </c>
      <c r="U302" s="103">
        <f t="shared" si="4"/>
        <v>5443.425</v>
      </c>
      <c r="V302" s="103">
        <f t="shared" si="5"/>
        <v>132224.05</v>
      </c>
      <c r="W302" s="103">
        <f t="shared" si="6"/>
        <v>26426.2</v>
      </c>
      <c r="X302" s="103">
        <f t="shared" si="7"/>
        <v>771849.75</v>
      </c>
    </row>
    <row r="303" ht="12.0" customHeight="1">
      <c r="A3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3" s="87" t="str">
        <f>IFERROR(__xludf.DUMMYFUNCTION("IFERROR(IF(F303&lt;&gt;"""",""WHSE ""&amp;LEFT(F303,1),REGEXEXTRACT(E303,""-(?:\d{2}-)?([A-Z]+)"")),"""")
"),"WHSE C")</f>
        <v>WHSE C</v>
      </c>
      <c r="C303" s="88">
        <v>45952.0</v>
      </c>
      <c r="D303" s="89" t="s">
        <v>232</v>
      </c>
      <c r="E303" s="90" t="s">
        <v>332</v>
      </c>
      <c r="F303" s="90" t="s">
        <v>333</v>
      </c>
      <c r="G303" s="98" t="s">
        <v>235</v>
      </c>
      <c r="H303" s="92">
        <v>11750.0</v>
      </c>
      <c r="I303" s="99">
        <v>346.0</v>
      </c>
      <c r="J303" s="94">
        <v>9.74</v>
      </c>
      <c r="K303" s="100">
        <v>2.71</v>
      </c>
      <c r="L303" s="100">
        <v>0.581</v>
      </c>
      <c r="M303" s="100">
        <v>0.601</v>
      </c>
      <c r="N303" s="101">
        <v>13.96</v>
      </c>
      <c r="O303" s="94">
        <v>3.86</v>
      </c>
      <c r="P303" s="101">
        <v>82.18</v>
      </c>
      <c r="Q303" s="102"/>
      <c r="R303" s="103">
        <f t="shared" si="1"/>
        <v>114445</v>
      </c>
      <c r="S303" s="103">
        <f t="shared" si="2"/>
        <v>31842.5</v>
      </c>
      <c r="T303" s="103">
        <f t="shared" si="3"/>
        <v>6826.75</v>
      </c>
      <c r="U303" s="103">
        <f t="shared" si="4"/>
        <v>7061.75</v>
      </c>
      <c r="V303" s="103">
        <f t="shared" si="5"/>
        <v>164030</v>
      </c>
      <c r="W303" s="103">
        <f t="shared" si="6"/>
        <v>45355</v>
      </c>
      <c r="X303" s="103">
        <f t="shared" si="7"/>
        <v>965615</v>
      </c>
    </row>
    <row r="304" ht="12.0" customHeight="1">
      <c r="A3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4" s="87" t="str">
        <f>IFERROR(__xludf.DUMMYFUNCTION("IFERROR(IF(F304&lt;&gt;"""",""WHSE ""&amp;LEFT(F304,1),REGEXEXTRACT(E304,""-(?:\d{2}-)?([A-Z]+)"")),"""")
"),"WHSE D")</f>
        <v>WHSE D</v>
      </c>
      <c r="C304" s="88">
        <v>45952.0</v>
      </c>
      <c r="D304" s="89" t="s">
        <v>72</v>
      </c>
      <c r="E304" s="90" t="s">
        <v>369</v>
      </c>
      <c r="F304" s="90" t="s">
        <v>370</v>
      </c>
      <c r="G304" s="98" t="s">
        <v>77</v>
      </c>
      <c r="H304" s="92">
        <v>16875.0</v>
      </c>
      <c r="I304" s="99">
        <v>434.0</v>
      </c>
      <c r="J304" s="94">
        <v>11.54</v>
      </c>
      <c r="K304" s="100">
        <v>2.73</v>
      </c>
      <c r="L304" s="100">
        <v>0.575</v>
      </c>
      <c r="M304" s="100">
        <v>0.595</v>
      </c>
      <c r="N304" s="101">
        <v>14.12</v>
      </c>
      <c r="O304" s="94">
        <v>3.91</v>
      </c>
      <c r="P304" s="101">
        <v>81.97</v>
      </c>
      <c r="Q304" s="102"/>
      <c r="R304" s="103">
        <f t="shared" si="1"/>
        <v>194737.5</v>
      </c>
      <c r="S304" s="103">
        <f t="shared" si="2"/>
        <v>46068.75</v>
      </c>
      <c r="T304" s="103">
        <f t="shared" si="3"/>
        <v>9703.125</v>
      </c>
      <c r="U304" s="103">
        <f t="shared" si="4"/>
        <v>10040.625</v>
      </c>
      <c r="V304" s="103">
        <f t="shared" si="5"/>
        <v>238275</v>
      </c>
      <c r="W304" s="103">
        <f t="shared" si="6"/>
        <v>65981.25</v>
      </c>
      <c r="X304" s="103">
        <f t="shared" si="7"/>
        <v>1383243.75</v>
      </c>
    </row>
    <row r="305" ht="12.0" customHeight="1">
      <c r="A3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05" s="87" t="str">
        <f>IFERROR(__xludf.DUMMYFUNCTION("IFERROR(IF(F305&lt;&gt;"""",""WHSE ""&amp;LEFT(F305,1),REGEXEXTRACT(E305,""-(?:\d{2}-)?([A-Z]+)"")),"""")
"),"WHSE D")</f>
        <v>WHSE D</v>
      </c>
      <c r="C305" s="88">
        <v>45952.0</v>
      </c>
      <c r="D305" s="89" t="s">
        <v>289</v>
      </c>
      <c r="E305" s="90" t="s">
        <v>359</v>
      </c>
      <c r="F305" s="90" t="s">
        <v>360</v>
      </c>
      <c r="G305" s="98" t="s">
        <v>330</v>
      </c>
      <c r="H305" s="92">
        <v>21305.0</v>
      </c>
      <c r="I305" s="99">
        <v>620.0</v>
      </c>
      <c r="J305" s="94">
        <v>10.2</v>
      </c>
      <c r="K305" s="100">
        <v>4.74</v>
      </c>
      <c r="L305" s="100">
        <v>0.549</v>
      </c>
      <c r="M305" s="100">
        <v>0.569</v>
      </c>
      <c r="N305" s="101">
        <v>11.67</v>
      </c>
      <c r="O305" s="94">
        <v>4.1</v>
      </c>
      <c r="P305" s="101">
        <v>84.23</v>
      </c>
      <c r="Q305" s="102"/>
      <c r="R305" s="103">
        <f t="shared" si="1"/>
        <v>217311</v>
      </c>
      <c r="S305" s="103">
        <f t="shared" si="2"/>
        <v>100985.7</v>
      </c>
      <c r="T305" s="103">
        <f t="shared" si="3"/>
        <v>11696.445</v>
      </c>
      <c r="U305" s="103">
        <f t="shared" si="4"/>
        <v>12122.545</v>
      </c>
      <c r="V305" s="103">
        <f t="shared" si="5"/>
        <v>248629.35</v>
      </c>
      <c r="W305" s="103">
        <f t="shared" si="6"/>
        <v>87350.5</v>
      </c>
      <c r="X305" s="103">
        <f t="shared" si="7"/>
        <v>1794520.15</v>
      </c>
    </row>
    <row r="306" ht="12.0" customHeight="1">
      <c r="A3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6" s="87" t="str">
        <f>IFERROR(__xludf.DUMMYFUNCTION("IFERROR(IF(F306&lt;&gt;"""",""WHSE ""&amp;LEFT(F306,1),REGEXEXTRACT(E306,""-(?:\d{2}-)?([A-Z]+)"")),"""")
"),"WHSE D")</f>
        <v>WHSE D</v>
      </c>
      <c r="C306" s="88">
        <v>45953.0</v>
      </c>
      <c r="D306" s="89" t="s">
        <v>286</v>
      </c>
      <c r="E306" s="90" t="s">
        <v>350</v>
      </c>
      <c r="F306" s="90" t="s">
        <v>351</v>
      </c>
      <c r="G306" s="98" t="s">
        <v>73</v>
      </c>
      <c r="H306" s="92">
        <v>15580.0</v>
      </c>
      <c r="I306" s="99">
        <v>412.0</v>
      </c>
      <c r="J306" s="94">
        <v>11.2</v>
      </c>
      <c r="K306" s="100">
        <v>2.16</v>
      </c>
      <c r="L306" s="100">
        <v>0.578</v>
      </c>
      <c r="M306" s="100">
        <v>0.598</v>
      </c>
      <c r="N306" s="101">
        <v>13.66</v>
      </c>
      <c r="O306" s="94">
        <v>3.02</v>
      </c>
      <c r="P306" s="101">
        <v>83.32</v>
      </c>
      <c r="Q306" s="102"/>
      <c r="R306" s="103">
        <f t="shared" si="1"/>
        <v>174496</v>
      </c>
      <c r="S306" s="103">
        <f t="shared" si="2"/>
        <v>33652.8</v>
      </c>
      <c r="T306" s="103">
        <f t="shared" si="3"/>
        <v>9005.24</v>
      </c>
      <c r="U306" s="103">
        <f t="shared" si="4"/>
        <v>9316.84</v>
      </c>
      <c r="V306" s="103">
        <f t="shared" si="5"/>
        <v>212822.8</v>
      </c>
      <c r="W306" s="103">
        <f t="shared" si="6"/>
        <v>47051.6</v>
      </c>
      <c r="X306" s="103">
        <f t="shared" si="7"/>
        <v>1298125.6</v>
      </c>
    </row>
    <row r="307" ht="12.0" customHeight="1">
      <c r="A3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7" s="87" t="str">
        <f>IFERROR(__xludf.DUMMYFUNCTION("IFERROR(IF(F307&lt;&gt;"""",""WHSE ""&amp;LEFT(F307,1),REGEXEXTRACT(E307,""-(?:\d{2}-)?([A-Z]+)"")),"""")
"),"WHSE C")</f>
        <v>WHSE C</v>
      </c>
      <c r="C307" s="88">
        <v>45953.0</v>
      </c>
      <c r="D307" s="89" t="s">
        <v>232</v>
      </c>
      <c r="E307" s="90" t="s">
        <v>326</v>
      </c>
      <c r="F307" s="90" t="s">
        <v>327</v>
      </c>
      <c r="G307" s="98" t="s">
        <v>328</v>
      </c>
      <c r="H307" s="92">
        <v>24600.0</v>
      </c>
      <c r="I307" s="99">
        <v>650.0</v>
      </c>
      <c r="J307" s="94">
        <v>12.8</v>
      </c>
      <c r="K307" s="100">
        <v>3.14</v>
      </c>
      <c r="L307" s="100">
        <v>0.549</v>
      </c>
      <c r="M307" s="100">
        <v>0.569</v>
      </c>
      <c r="N307" s="101">
        <v>11.43</v>
      </c>
      <c r="O307" s="94">
        <v>4.88</v>
      </c>
      <c r="P307" s="101">
        <v>83.69</v>
      </c>
      <c r="Q307" s="102"/>
      <c r="R307" s="103">
        <f t="shared" si="1"/>
        <v>314880</v>
      </c>
      <c r="S307" s="103">
        <f t="shared" si="2"/>
        <v>77244</v>
      </c>
      <c r="T307" s="103">
        <f t="shared" si="3"/>
        <v>13505.4</v>
      </c>
      <c r="U307" s="103">
        <f t="shared" si="4"/>
        <v>13997.4</v>
      </c>
      <c r="V307" s="103">
        <f t="shared" si="5"/>
        <v>281178</v>
      </c>
      <c r="W307" s="103">
        <f t="shared" si="6"/>
        <v>120048</v>
      </c>
      <c r="X307" s="103">
        <f t="shared" si="7"/>
        <v>2058774</v>
      </c>
    </row>
    <row r="308" ht="12.0" customHeight="1">
      <c r="A3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8" s="87" t="str">
        <f>IFERROR(__xludf.DUMMYFUNCTION("IFERROR(IF(F308&lt;&gt;"""",""WHSE ""&amp;LEFT(F308,1),REGEXEXTRACT(E308,""-(?:\d{2}-)?([A-Z]+)"")),"""")
"),"WHSE D")</f>
        <v>WHSE D</v>
      </c>
      <c r="C308" s="88">
        <v>45954.0</v>
      </c>
      <c r="D308" s="89" t="s">
        <v>72</v>
      </c>
      <c r="E308" s="90" t="s">
        <v>377</v>
      </c>
      <c r="F308" s="90" t="s">
        <v>378</v>
      </c>
      <c r="G308" s="98" t="s">
        <v>77</v>
      </c>
      <c r="H308" s="92">
        <v>18776.0</v>
      </c>
      <c r="I308" s="99">
        <v>476.0</v>
      </c>
      <c r="J308" s="94">
        <v>12.34</v>
      </c>
      <c r="K308" s="100">
        <v>2.45</v>
      </c>
      <c r="L308" s="100">
        <v>0.578</v>
      </c>
      <c r="M308" s="100">
        <v>0.598</v>
      </c>
      <c r="N308" s="101">
        <v>14.46</v>
      </c>
      <c r="O308" s="94">
        <v>3.7</v>
      </c>
      <c r="P308" s="101">
        <v>81.84</v>
      </c>
      <c r="Q308" s="89" t="s">
        <v>387</v>
      </c>
      <c r="R308" s="86">
        <f t="shared" si="1"/>
        <v>231695.84</v>
      </c>
      <c r="S308" s="86">
        <f t="shared" si="2"/>
        <v>46001.2</v>
      </c>
      <c r="T308" s="86">
        <f t="shared" si="3"/>
        <v>10852.528</v>
      </c>
      <c r="U308" s="86">
        <f t="shared" si="4"/>
        <v>11228.048</v>
      </c>
      <c r="V308" s="86">
        <f t="shared" si="5"/>
        <v>271500.96</v>
      </c>
      <c r="W308" s="86">
        <f t="shared" si="6"/>
        <v>69471.2</v>
      </c>
      <c r="X308" s="86">
        <f t="shared" si="7"/>
        <v>1536627.84</v>
      </c>
    </row>
    <row r="309" ht="12.0" customHeight="1">
      <c r="A3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09" s="87" t="str">
        <f>IFERROR(__xludf.DUMMYFUNCTION("IFERROR(IF(F309&lt;&gt;"""",""WHSE ""&amp;LEFT(F309,1),REGEXEXTRACT(E309,""-(?:\d{2}-)?([A-Z]+)"")),"""")
"),"WHSE D")</f>
        <v>WHSE D</v>
      </c>
      <c r="C309" s="88">
        <v>45954.0</v>
      </c>
      <c r="D309" s="89" t="s">
        <v>72</v>
      </c>
      <c r="E309" s="90" t="s">
        <v>388</v>
      </c>
      <c r="F309" s="90" t="s">
        <v>389</v>
      </c>
      <c r="G309" s="98" t="s">
        <v>73</v>
      </c>
      <c r="H309" s="92">
        <v>19329.0</v>
      </c>
      <c r="I309" s="99">
        <v>455.0</v>
      </c>
      <c r="J309" s="94">
        <v>12.8</v>
      </c>
      <c r="K309" s="100">
        <v>2.17</v>
      </c>
      <c r="L309" s="100">
        <v>0.575</v>
      </c>
      <c r="M309" s="100">
        <v>0.595</v>
      </c>
      <c r="N309" s="101">
        <v>12.19</v>
      </c>
      <c r="O309" s="94">
        <v>3.44</v>
      </c>
      <c r="P309" s="101">
        <v>84.37</v>
      </c>
      <c r="Q309" s="89" t="s">
        <v>390</v>
      </c>
      <c r="R309" s="86">
        <f t="shared" si="1"/>
        <v>247411.2</v>
      </c>
      <c r="S309" s="86">
        <f t="shared" si="2"/>
        <v>41943.93</v>
      </c>
      <c r="T309" s="86">
        <f t="shared" si="3"/>
        <v>11114.175</v>
      </c>
      <c r="U309" s="86">
        <f t="shared" si="4"/>
        <v>11500.755</v>
      </c>
      <c r="V309" s="86">
        <f t="shared" si="5"/>
        <v>235620.51</v>
      </c>
      <c r="W309" s="86">
        <f t="shared" si="6"/>
        <v>66491.76</v>
      </c>
      <c r="X309" s="86">
        <f t="shared" si="7"/>
        <v>1630787.73</v>
      </c>
    </row>
    <row r="310" ht="12.0" customHeight="1">
      <c r="A3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10" s="87" t="str">
        <f>IFERROR(__xludf.DUMMYFUNCTION("IFERROR(IF(F310&lt;&gt;"""",""WHSE ""&amp;LEFT(F310,1),REGEXEXTRACT(E310,""-(?:\d{2}-)?([A-Z]+)"")),"""")
"),"WHSE C")</f>
        <v>WHSE C</v>
      </c>
      <c r="C310" s="88">
        <v>45954.0</v>
      </c>
      <c r="D310" s="89" t="s">
        <v>232</v>
      </c>
      <c r="E310" s="90" t="s">
        <v>385</v>
      </c>
      <c r="F310" s="90" t="s">
        <v>386</v>
      </c>
      <c r="G310" s="98" t="s">
        <v>235</v>
      </c>
      <c r="H310" s="92">
        <v>11910.0</v>
      </c>
      <c r="I310" s="99">
        <v>378.0</v>
      </c>
      <c r="J310" s="94">
        <v>10.4</v>
      </c>
      <c r="K310" s="100">
        <v>3.41</v>
      </c>
      <c r="L310" s="100">
        <v>0.581</v>
      </c>
      <c r="M310" s="100">
        <v>0.601</v>
      </c>
      <c r="N310" s="101">
        <v>13.77</v>
      </c>
      <c r="O310" s="94">
        <v>2.88</v>
      </c>
      <c r="P310" s="101">
        <v>83.35</v>
      </c>
      <c r="Q310" s="102"/>
      <c r="R310" s="103">
        <f t="shared" si="1"/>
        <v>123864</v>
      </c>
      <c r="S310" s="103">
        <f t="shared" si="2"/>
        <v>40613.1</v>
      </c>
      <c r="T310" s="103">
        <f t="shared" si="3"/>
        <v>6919.71</v>
      </c>
      <c r="U310" s="103">
        <f t="shared" si="4"/>
        <v>7157.91</v>
      </c>
      <c r="V310" s="103">
        <f t="shared" si="5"/>
        <v>164000.7</v>
      </c>
      <c r="W310" s="103">
        <f t="shared" si="6"/>
        <v>34300.8</v>
      </c>
      <c r="X310" s="103">
        <f t="shared" si="7"/>
        <v>992698.5</v>
      </c>
    </row>
    <row r="311" ht="12.0" customHeight="1">
      <c r="A3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11" s="87" t="str">
        <f>IFERROR(__xludf.DUMMYFUNCTION("IFERROR(IF(F311&lt;&gt;"""",""WHSE ""&amp;LEFT(F311,1),REGEXEXTRACT(E311,""-(?:\d{2}-)?([A-Z]+)"")),"""")
"),"WHSE D")</f>
        <v>WHSE D</v>
      </c>
      <c r="C311" s="88">
        <v>45957.0</v>
      </c>
      <c r="D311" s="89" t="s">
        <v>72</v>
      </c>
      <c r="E311" s="90" t="s">
        <v>388</v>
      </c>
      <c r="F311" s="90" t="s">
        <v>389</v>
      </c>
      <c r="G311" s="98" t="s">
        <v>73</v>
      </c>
      <c r="H311" s="92">
        <v>19567.0</v>
      </c>
      <c r="I311" s="99">
        <v>427.0</v>
      </c>
      <c r="J311" s="94">
        <v>13.2</v>
      </c>
      <c r="K311" s="100">
        <v>2.6</v>
      </c>
      <c r="L311" s="100">
        <v>0.578</v>
      </c>
      <c r="M311" s="100">
        <v>0.598</v>
      </c>
      <c r="N311" s="101">
        <v>12.73</v>
      </c>
      <c r="O311" s="94">
        <v>3.32</v>
      </c>
      <c r="P311" s="101">
        <v>83.95</v>
      </c>
      <c r="Q311" s="89" t="s">
        <v>391</v>
      </c>
      <c r="R311" s="86">
        <f t="shared" si="1"/>
        <v>258284.4</v>
      </c>
      <c r="S311" s="86">
        <f t="shared" si="2"/>
        <v>50874.2</v>
      </c>
      <c r="T311" s="86">
        <f t="shared" si="3"/>
        <v>11309.726</v>
      </c>
      <c r="U311" s="86">
        <f t="shared" si="4"/>
        <v>11701.066</v>
      </c>
      <c r="V311" s="86">
        <f t="shared" si="5"/>
        <v>249087.91</v>
      </c>
      <c r="W311" s="86">
        <f t="shared" si="6"/>
        <v>64962.44</v>
      </c>
      <c r="X311" s="86">
        <f t="shared" si="7"/>
        <v>1642649.65</v>
      </c>
    </row>
    <row r="312" ht="12.0" customHeight="1">
      <c r="A3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12" s="87" t="str">
        <f>IFERROR(__xludf.DUMMYFUNCTION("IFERROR(IF(F312&lt;&gt;"""",""WHSE ""&amp;LEFT(F312,1),REGEXEXTRACT(E312,""-(?:\d{2}-)?([A-Z]+)"")),"""")
"),"WHSE D")</f>
        <v>WHSE D</v>
      </c>
      <c r="C312" s="88">
        <v>45957.0</v>
      </c>
      <c r="D312" s="89" t="s">
        <v>72</v>
      </c>
      <c r="E312" s="90" t="s">
        <v>388</v>
      </c>
      <c r="F312" s="90" t="s">
        <v>389</v>
      </c>
      <c r="G312" s="98" t="s">
        <v>337</v>
      </c>
      <c r="H312" s="92">
        <v>20988.0</v>
      </c>
      <c r="I312" s="99">
        <v>482.0</v>
      </c>
      <c r="J312" s="94">
        <v>12.27</v>
      </c>
      <c r="K312" s="100">
        <v>2.13</v>
      </c>
      <c r="L312" s="100">
        <v>0.575</v>
      </c>
      <c r="M312" s="100">
        <v>0.595</v>
      </c>
      <c r="N312" s="101">
        <v>12.24</v>
      </c>
      <c r="O312" s="94">
        <v>3.16</v>
      </c>
      <c r="P312" s="101">
        <v>84.6</v>
      </c>
      <c r="Q312" s="89" t="s">
        <v>392</v>
      </c>
      <c r="R312" s="86">
        <f t="shared" si="1"/>
        <v>257522.76</v>
      </c>
      <c r="S312" s="86">
        <f t="shared" si="2"/>
        <v>44704.44</v>
      </c>
      <c r="T312" s="86">
        <f t="shared" si="3"/>
        <v>12068.1</v>
      </c>
      <c r="U312" s="86">
        <f t="shared" si="4"/>
        <v>12487.86</v>
      </c>
      <c r="V312" s="86">
        <f t="shared" si="5"/>
        <v>256893.12</v>
      </c>
      <c r="W312" s="86">
        <f t="shared" si="6"/>
        <v>66322.08</v>
      </c>
      <c r="X312" s="86">
        <f t="shared" si="7"/>
        <v>1775584.8</v>
      </c>
    </row>
    <row r="313" ht="12.0" customHeight="1">
      <c r="A3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313" s="87" t="str">
        <f>IFERROR(__xludf.DUMMYFUNCTION("IFERROR(IF(F313&lt;&gt;"""",""WHSE ""&amp;LEFT(F313,1),REGEXEXTRACT(E313,""-(?:\d{2}-)?([A-Z]+)"")),"""")
"),"WHSE D")</f>
        <v>WHSE D</v>
      </c>
      <c r="C313" s="88">
        <v>45957.0</v>
      </c>
      <c r="D313" s="89" t="s">
        <v>286</v>
      </c>
      <c r="E313" s="90" t="s">
        <v>393</v>
      </c>
      <c r="F313" s="90" t="s">
        <v>394</v>
      </c>
      <c r="G313" s="98" t="s">
        <v>77</v>
      </c>
      <c r="H313" s="92">
        <v>17775.0</v>
      </c>
      <c r="I313" s="99">
        <v>458.0</v>
      </c>
      <c r="J313" s="94">
        <v>10.47</v>
      </c>
      <c r="K313" s="100">
        <v>2.33</v>
      </c>
      <c r="L313" s="100">
        <v>0.571</v>
      </c>
      <c r="M313" s="100">
        <v>0.591</v>
      </c>
      <c r="N313" s="101">
        <v>13.27</v>
      </c>
      <c r="O313" s="94">
        <v>3.42</v>
      </c>
      <c r="P313" s="101">
        <v>83.31</v>
      </c>
      <c r="Q313" s="102"/>
      <c r="R313" s="103">
        <f t="shared" si="1"/>
        <v>186104.25</v>
      </c>
      <c r="S313" s="103">
        <f t="shared" si="2"/>
        <v>41415.75</v>
      </c>
      <c r="T313" s="103">
        <f t="shared" si="3"/>
        <v>10149.525</v>
      </c>
      <c r="U313" s="103">
        <f t="shared" si="4"/>
        <v>10505.025</v>
      </c>
      <c r="V313" s="103">
        <f t="shared" si="5"/>
        <v>235874.25</v>
      </c>
      <c r="W313" s="103">
        <f t="shared" si="6"/>
        <v>60790.5</v>
      </c>
      <c r="X313" s="103">
        <f t="shared" si="7"/>
        <v>1480835.25</v>
      </c>
    </row>
    <row r="314" ht="12.0" customHeight="1">
      <c r="A3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14" s="87" t="str">
        <f>IFERROR(__xludf.DUMMYFUNCTION("IFERROR(IF(F314&lt;&gt;"""",""WHSE ""&amp;LEFT(F314,1),REGEXEXTRACT(E314,""-(?:\d{2}-)?([A-Z]+)"")),"""")
"),"")</f>
        <v/>
      </c>
      <c r="C314" s="106"/>
      <c r="D314" s="102"/>
      <c r="E314" s="104"/>
      <c r="F314" s="104"/>
      <c r="G314" s="91"/>
      <c r="H314" s="107"/>
      <c r="I314" s="93"/>
      <c r="J314" s="97"/>
      <c r="K314" s="95"/>
      <c r="L314" s="95"/>
      <c r="M314" s="95"/>
      <c r="N314" s="96"/>
      <c r="O314" s="97"/>
      <c r="P314" s="96"/>
      <c r="Q314" s="102"/>
      <c r="R314" s="103">
        <f t="shared" si="1"/>
        <v>0</v>
      </c>
      <c r="S314" s="103">
        <f t="shared" si="2"/>
        <v>0</v>
      </c>
      <c r="T314" s="103">
        <f t="shared" si="3"/>
        <v>0</v>
      </c>
      <c r="U314" s="103">
        <f t="shared" si="4"/>
        <v>0</v>
      </c>
      <c r="V314" s="103">
        <f t="shared" si="5"/>
        <v>0</v>
      </c>
      <c r="W314" s="103">
        <f t="shared" si="6"/>
        <v>0</v>
      </c>
      <c r="X314" s="103">
        <f t="shared" si="7"/>
        <v>0</v>
      </c>
    </row>
    <row r="315" ht="12.0" customHeight="1">
      <c r="A3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15" s="87" t="str">
        <f>IFERROR(__xludf.DUMMYFUNCTION("IFERROR(IF(F315&lt;&gt;"""",""WHSE ""&amp;LEFT(F315,1),REGEXEXTRACT(E315,""-(?:\d{2}-)?([A-Z]+)"")),"""")
"),"WHSE D")</f>
        <v>WHSE D</v>
      </c>
      <c r="C315" s="88">
        <v>45958.0</v>
      </c>
      <c r="D315" s="89" t="s">
        <v>72</v>
      </c>
      <c r="E315" s="90" t="s">
        <v>395</v>
      </c>
      <c r="F315" s="90" t="s">
        <v>396</v>
      </c>
      <c r="G315" s="98" t="s">
        <v>77</v>
      </c>
      <c r="H315" s="92">
        <v>16623.0</v>
      </c>
      <c r="I315" s="99">
        <v>451.0</v>
      </c>
      <c r="J315" s="94">
        <v>13.2</v>
      </c>
      <c r="K315" s="100">
        <v>2.73</v>
      </c>
      <c r="L315" s="100">
        <v>0.575</v>
      </c>
      <c r="M315" s="100">
        <v>0.595</v>
      </c>
      <c r="N315" s="101">
        <v>13.88</v>
      </c>
      <c r="O315" s="94">
        <v>3.68</v>
      </c>
      <c r="P315" s="101">
        <v>82.44</v>
      </c>
      <c r="Q315" s="89" t="s">
        <v>397</v>
      </c>
      <c r="R315" s="86">
        <f t="shared" si="1"/>
        <v>219423.6</v>
      </c>
      <c r="S315" s="86">
        <f t="shared" si="2"/>
        <v>45380.79</v>
      </c>
      <c r="T315" s="86">
        <f t="shared" si="3"/>
        <v>9558.225</v>
      </c>
      <c r="U315" s="86">
        <f t="shared" si="4"/>
        <v>9890.685</v>
      </c>
      <c r="V315" s="86">
        <f t="shared" si="5"/>
        <v>230727.24</v>
      </c>
      <c r="W315" s="86">
        <f t="shared" si="6"/>
        <v>61172.64</v>
      </c>
      <c r="X315" s="86">
        <f t="shared" si="7"/>
        <v>1370400.12</v>
      </c>
    </row>
    <row r="316" ht="12.0" customHeight="1">
      <c r="A3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16" s="87" t="str">
        <f>IFERROR(__xludf.DUMMYFUNCTION("IFERROR(IF(F316&lt;&gt;"""",""WHSE ""&amp;LEFT(F316,1),REGEXEXTRACT(E316,""-(?:\d{2}-)?([A-Z]+)"")),"""")
"),"WHSE C")</f>
        <v>WHSE C</v>
      </c>
      <c r="C316" s="88">
        <v>45958.0</v>
      </c>
      <c r="D316" s="89" t="s">
        <v>265</v>
      </c>
      <c r="E316" s="90" t="s">
        <v>398</v>
      </c>
      <c r="F316" s="90" t="s">
        <v>399</v>
      </c>
      <c r="G316" s="98" t="s">
        <v>255</v>
      </c>
      <c r="H316" s="92">
        <v>20846.0</v>
      </c>
      <c r="I316" s="99">
        <v>496.0</v>
      </c>
      <c r="J316" s="94">
        <v>12.14</v>
      </c>
      <c r="K316" s="100">
        <v>3.94</v>
      </c>
      <c r="L316" s="100">
        <v>0.549</v>
      </c>
      <c r="M316" s="100">
        <v>0.569</v>
      </c>
      <c r="N316" s="101">
        <v>13.79</v>
      </c>
      <c r="O316" s="94">
        <v>3.76</v>
      </c>
      <c r="P316" s="101">
        <v>82.45</v>
      </c>
      <c r="Q316" s="89" t="s">
        <v>400</v>
      </c>
      <c r="R316" s="86">
        <f t="shared" si="1"/>
        <v>253070.44</v>
      </c>
      <c r="S316" s="86">
        <f t="shared" si="2"/>
        <v>82133.24</v>
      </c>
      <c r="T316" s="86">
        <f t="shared" si="3"/>
        <v>11444.454</v>
      </c>
      <c r="U316" s="86">
        <f t="shared" si="4"/>
        <v>11861.374</v>
      </c>
      <c r="V316" s="86">
        <f t="shared" si="5"/>
        <v>287466.34</v>
      </c>
      <c r="W316" s="86">
        <f t="shared" si="6"/>
        <v>78380.96</v>
      </c>
      <c r="X316" s="86">
        <f t="shared" si="7"/>
        <v>1718752.7</v>
      </c>
    </row>
    <row r="317" ht="12.0" customHeight="1">
      <c r="A3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17" s="87" t="str">
        <f>IFERROR(__xludf.DUMMYFUNCTION("IFERROR(IF(F317&lt;&gt;"""",""WHSE ""&amp;LEFT(F317,1),REGEXEXTRACT(E317,""-(?:\d{2}-)?([A-Z]+)"")),"""")
"),"WHSE C")</f>
        <v>WHSE C</v>
      </c>
      <c r="C317" s="88">
        <v>45958.0</v>
      </c>
      <c r="D317" s="89" t="s">
        <v>265</v>
      </c>
      <c r="E317" s="90" t="s">
        <v>398</v>
      </c>
      <c r="F317" s="90" t="s">
        <v>399</v>
      </c>
      <c r="G317" s="98" t="s">
        <v>401</v>
      </c>
      <c r="H317" s="92">
        <v>11030.0</v>
      </c>
      <c r="I317" s="99">
        <v>296.0</v>
      </c>
      <c r="J317" s="94">
        <v>11.14</v>
      </c>
      <c r="K317" s="100">
        <v>3.34</v>
      </c>
      <c r="L317" s="100">
        <v>0.556</v>
      </c>
      <c r="M317" s="100">
        <v>0.576</v>
      </c>
      <c r="N317" s="101">
        <v>14.14</v>
      </c>
      <c r="O317" s="94">
        <v>3.84</v>
      </c>
      <c r="P317" s="101">
        <v>82.02</v>
      </c>
      <c r="Q317" s="102"/>
      <c r="R317" s="103">
        <f t="shared" si="1"/>
        <v>122874.2</v>
      </c>
      <c r="S317" s="103">
        <f t="shared" si="2"/>
        <v>36840.2</v>
      </c>
      <c r="T317" s="103">
        <f t="shared" si="3"/>
        <v>6132.68</v>
      </c>
      <c r="U317" s="103">
        <f t="shared" si="4"/>
        <v>6353.28</v>
      </c>
      <c r="V317" s="103">
        <f t="shared" si="5"/>
        <v>155964.2</v>
      </c>
      <c r="W317" s="103">
        <f t="shared" si="6"/>
        <v>42355.2</v>
      </c>
      <c r="X317" s="103">
        <f t="shared" si="7"/>
        <v>904680.6</v>
      </c>
    </row>
    <row r="318" ht="12.0" customHeight="1">
      <c r="A3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18" s="87" t="str">
        <f>IFERROR(__xludf.DUMMYFUNCTION("IFERROR(IF(F318&lt;&gt;"""",""WHSE ""&amp;LEFT(F318,1),REGEXEXTRACT(E318,""-(?:\d{2}-)?([A-Z]+)"")),"""")
"),"")</f>
        <v/>
      </c>
      <c r="C318" s="106"/>
      <c r="D318" s="102"/>
      <c r="E318" s="104"/>
      <c r="F318" s="104"/>
      <c r="G318" s="91"/>
      <c r="H318" s="107"/>
      <c r="I318" s="93"/>
      <c r="J318" s="97"/>
      <c r="K318" s="95"/>
      <c r="L318" s="95"/>
      <c r="M318" s="95"/>
      <c r="N318" s="96"/>
      <c r="O318" s="97"/>
      <c r="P318" s="96"/>
      <c r="Q318" s="102"/>
      <c r="R318" s="103">
        <f t="shared" si="1"/>
        <v>0</v>
      </c>
      <c r="S318" s="103">
        <f t="shared" si="2"/>
        <v>0</v>
      </c>
      <c r="T318" s="103">
        <f t="shared" si="3"/>
        <v>0</v>
      </c>
      <c r="U318" s="103">
        <f t="shared" si="4"/>
        <v>0</v>
      </c>
      <c r="V318" s="103">
        <f t="shared" si="5"/>
        <v>0</v>
      </c>
      <c r="W318" s="103">
        <f t="shared" si="6"/>
        <v>0</v>
      </c>
      <c r="X318" s="103">
        <f t="shared" si="7"/>
        <v>0</v>
      </c>
    </row>
    <row r="319" ht="12.0" customHeight="1">
      <c r="A3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19" s="87" t="str">
        <f>IFERROR(__xludf.DUMMYFUNCTION("IFERROR(IF(F319&lt;&gt;"""",""WHSE ""&amp;LEFT(F319,1),REGEXEXTRACT(E319,""-(?:\d{2}-)?([A-Z]+)"")),"""")
"),"WHSE C")</f>
        <v>WHSE C</v>
      </c>
      <c r="C319" s="88">
        <v>45959.0</v>
      </c>
      <c r="D319" s="89" t="s">
        <v>232</v>
      </c>
      <c r="E319" s="90" t="s">
        <v>385</v>
      </c>
      <c r="F319" s="90" t="s">
        <v>386</v>
      </c>
      <c r="G319" s="98" t="s">
        <v>235</v>
      </c>
      <c r="H319" s="92">
        <v>12910.0</v>
      </c>
      <c r="I319" s="99">
        <v>352.0</v>
      </c>
      <c r="J319" s="94">
        <v>10.34</v>
      </c>
      <c r="K319" s="100">
        <v>3.14</v>
      </c>
      <c r="L319" s="100">
        <v>0.581</v>
      </c>
      <c r="M319" s="100">
        <v>0.601</v>
      </c>
      <c r="N319" s="101">
        <v>12.94</v>
      </c>
      <c r="O319" s="94">
        <v>3.66</v>
      </c>
      <c r="P319" s="101">
        <v>83.4</v>
      </c>
      <c r="Q319" s="102"/>
      <c r="R319" s="103">
        <f t="shared" si="1"/>
        <v>133489.4</v>
      </c>
      <c r="S319" s="103">
        <f t="shared" si="2"/>
        <v>40537.4</v>
      </c>
      <c r="T319" s="103">
        <f t="shared" si="3"/>
        <v>7500.71</v>
      </c>
      <c r="U319" s="103">
        <f t="shared" si="4"/>
        <v>7758.91</v>
      </c>
      <c r="V319" s="103">
        <f t="shared" si="5"/>
        <v>167055.4</v>
      </c>
      <c r="W319" s="103">
        <f t="shared" si="6"/>
        <v>47250.6</v>
      </c>
      <c r="X319" s="103">
        <f t="shared" si="7"/>
        <v>1076694</v>
      </c>
    </row>
    <row r="320" ht="12.0" customHeight="1">
      <c r="A3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20" s="87" t="str">
        <f>IFERROR(__xludf.DUMMYFUNCTION("IFERROR(IF(F320&lt;&gt;"""",""WHSE ""&amp;LEFT(F320,1),REGEXEXTRACT(E320,""-(?:\d{2}-)?([A-Z]+)"")),"""")
"),"WHSE D")</f>
        <v>WHSE D</v>
      </c>
      <c r="C320" s="88">
        <v>45959.0</v>
      </c>
      <c r="D320" s="89" t="s">
        <v>60</v>
      </c>
      <c r="E320" s="90" t="s">
        <v>346</v>
      </c>
      <c r="F320" s="90" t="s">
        <v>347</v>
      </c>
      <c r="G320" s="98" t="s">
        <v>375</v>
      </c>
      <c r="H320" s="92">
        <v>13740.0</v>
      </c>
      <c r="I320" s="99">
        <v>363.0</v>
      </c>
      <c r="J320" s="94">
        <v>11.74</v>
      </c>
      <c r="K320" s="100">
        <v>2.73</v>
      </c>
      <c r="L320" s="100">
        <v>0.571</v>
      </c>
      <c r="M320" s="100">
        <v>0.591</v>
      </c>
      <c r="N320" s="101">
        <v>12.48</v>
      </c>
      <c r="O320" s="94">
        <v>3.02</v>
      </c>
      <c r="P320" s="101">
        <v>84.5</v>
      </c>
      <c r="Q320" s="102"/>
      <c r="R320" s="103">
        <f t="shared" si="1"/>
        <v>161307.6</v>
      </c>
      <c r="S320" s="103">
        <f t="shared" si="2"/>
        <v>37510.2</v>
      </c>
      <c r="T320" s="103">
        <f t="shared" si="3"/>
        <v>7845.54</v>
      </c>
      <c r="U320" s="103">
        <f t="shared" si="4"/>
        <v>8120.34</v>
      </c>
      <c r="V320" s="103">
        <f t="shared" si="5"/>
        <v>171475.2</v>
      </c>
      <c r="W320" s="103">
        <f t="shared" si="6"/>
        <v>41494.8</v>
      </c>
      <c r="X320" s="103">
        <f t="shared" si="7"/>
        <v>1161030</v>
      </c>
    </row>
    <row r="321" ht="12.0" customHeight="1">
      <c r="A3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21" s="87" t="str">
        <f>IFERROR(__xludf.DUMMYFUNCTION("IFERROR(IF(F321&lt;&gt;"""",""WHSE ""&amp;LEFT(F321,1),REGEXEXTRACT(E321,""-(?:\d{2}-)?([A-Z]+)"")),"""")
"),"")</f>
        <v/>
      </c>
      <c r="C321" s="106"/>
      <c r="D321" s="102"/>
      <c r="E321" s="104"/>
      <c r="F321" s="104"/>
      <c r="G321" s="91"/>
      <c r="H321" s="107"/>
      <c r="I321" s="93"/>
      <c r="J321" s="97"/>
      <c r="K321" s="95"/>
      <c r="L321" s="95"/>
      <c r="M321" s="95"/>
      <c r="N321" s="96"/>
      <c r="O321" s="97"/>
      <c r="P321" s="96"/>
      <c r="Q321" s="102"/>
      <c r="R321" s="103">
        <f t="shared" si="1"/>
        <v>0</v>
      </c>
      <c r="S321" s="103">
        <f t="shared" si="2"/>
        <v>0</v>
      </c>
      <c r="T321" s="103">
        <f t="shared" si="3"/>
        <v>0</v>
      </c>
      <c r="U321" s="103">
        <f t="shared" si="4"/>
        <v>0</v>
      </c>
      <c r="V321" s="103">
        <f t="shared" si="5"/>
        <v>0</v>
      </c>
      <c r="W321" s="103">
        <f t="shared" si="6"/>
        <v>0</v>
      </c>
      <c r="X321" s="103">
        <f t="shared" si="7"/>
        <v>0</v>
      </c>
    </row>
    <row r="322" ht="12.0" customHeight="1">
      <c r="A3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22" s="87" t="str">
        <f>IFERROR(__xludf.DUMMYFUNCTION("IFERROR(IF(F322&lt;&gt;"""",""WHSE ""&amp;LEFT(F322,1),REGEXEXTRACT(E322,""-(?:\d{2}-)?([A-Z]+)"")),"""")
"),"WHSE D")</f>
        <v>WHSE D</v>
      </c>
      <c r="C322" s="88">
        <v>45960.0</v>
      </c>
      <c r="D322" s="89" t="s">
        <v>72</v>
      </c>
      <c r="E322" s="90" t="s">
        <v>395</v>
      </c>
      <c r="F322" s="90" t="s">
        <v>396</v>
      </c>
      <c r="G322" s="98" t="s">
        <v>77</v>
      </c>
      <c r="H322" s="92">
        <v>19265.0</v>
      </c>
      <c r="I322" s="99">
        <v>442.0</v>
      </c>
      <c r="J322" s="94">
        <v>11.74</v>
      </c>
      <c r="K322" s="100">
        <v>2.19</v>
      </c>
      <c r="L322" s="100">
        <v>0.578</v>
      </c>
      <c r="M322" s="100">
        <v>0.598</v>
      </c>
      <c r="N322" s="101">
        <v>13.64</v>
      </c>
      <c r="O322" s="94">
        <v>3.55</v>
      </c>
      <c r="P322" s="101">
        <v>82.81</v>
      </c>
      <c r="Q322" s="102"/>
      <c r="R322" s="103">
        <f t="shared" si="1"/>
        <v>226171.1</v>
      </c>
      <c r="S322" s="103">
        <f t="shared" si="2"/>
        <v>42190.35</v>
      </c>
      <c r="T322" s="103">
        <f t="shared" si="3"/>
        <v>11135.17</v>
      </c>
      <c r="U322" s="103">
        <f t="shared" si="4"/>
        <v>11520.47</v>
      </c>
      <c r="V322" s="103">
        <f t="shared" si="5"/>
        <v>262774.6</v>
      </c>
      <c r="W322" s="103">
        <f t="shared" si="6"/>
        <v>68390.75</v>
      </c>
      <c r="X322" s="103">
        <f t="shared" si="7"/>
        <v>1595334.65</v>
      </c>
    </row>
    <row r="323" ht="12.0" customHeight="1">
      <c r="A3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323" s="87" t="str">
        <f>IFERROR(__xludf.DUMMYFUNCTION("IFERROR(IF(F323&lt;&gt;"""",""WHSE ""&amp;LEFT(F323,1),REGEXEXTRACT(E323,""-(?:\d{2}-)?([A-Z]+)"")),"""")
"),"WHSE D")</f>
        <v>WHSE D</v>
      </c>
      <c r="C323" s="88">
        <v>45960.0</v>
      </c>
      <c r="D323" s="89" t="s">
        <v>286</v>
      </c>
      <c r="E323" s="90" t="s">
        <v>393</v>
      </c>
      <c r="F323" s="90" t="s">
        <v>394</v>
      </c>
      <c r="G323" s="98" t="s">
        <v>73</v>
      </c>
      <c r="H323" s="92">
        <v>18365.0</v>
      </c>
      <c r="I323" s="99">
        <v>461.0</v>
      </c>
      <c r="J323" s="94">
        <v>11.94</v>
      </c>
      <c r="K323" s="100">
        <v>2.31</v>
      </c>
      <c r="L323" s="100">
        <v>0.575</v>
      </c>
      <c r="M323" s="100">
        <v>0.595</v>
      </c>
      <c r="N323" s="101">
        <v>12.91</v>
      </c>
      <c r="O323" s="94">
        <v>3.26</v>
      </c>
      <c r="P323" s="101">
        <v>83.83</v>
      </c>
      <c r="Q323" s="102"/>
      <c r="R323" s="103">
        <f t="shared" si="1"/>
        <v>219278.1</v>
      </c>
      <c r="S323" s="103">
        <f t="shared" si="2"/>
        <v>42423.15</v>
      </c>
      <c r="T323" s="103">
        <f t="shared" si="3"/>
        <v>10559.875</v>
      </c>
      <c r="U323" s="103">
        <f t="shared" si="4"/>
        <v>10927.175</v>
      </c>
      <c r="V323" s="103">
        <f t="shared" si="5"/>
        <v>237092.15</v>
      </c>
      <c r="W323" s="103">
        <f t="shared" si="6"/>
        <v>59869.9</v>
      </c>
      <c r="X323" s="103">
        <f t="shared" si="7"/>
        <v>1539537.95</v>
      </c>
    </row>
    <row r="324" ht="12.0" customHeight="1">
      <c r="A3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24" s="87" t="str">
        <f>IFERROR(__xludf.DUMMYFUNCTION("IFERROR(IF(F324&lt;&gt;"""",""WHSE ""&amp;LEFT(F324,1),REGEXEXTRACT(E324,""-(?:\d{2}-)?([A-Z]+)"")),"""")
"),"WHSE C")</f>
        <v>WHSE C</v>
      </c>
      <c r="C324" s="88">
        <v>45960.0</v>
      </c>
      <c r="D324" s="89" t="s">
        <v>232</v>
      </c>
      <c r="E324" s="90" t="s">
        <v>398</v>
      </c>
      <c r="F324" s="90" t="s">
        <v>399</v>
      </c>
      <c r="G324" s="98" t="s">
        <v>235</v>
      </c>
      <c r="H324" s="92">
        <v>11320.0</v>
      </c>
      <c r="I324" s="99">
        <v>342.0</v>
      </c>
      <c r="J324" s="94">
        <v>10.6</v>
      </c>
      <c r="K324" s="100">
        <v>2.41</v>
      </c>
      <c r="L324" s="100">
        <v>0.581</v>
      </c>
      <c r="M324" s="100">
        <v>0.601</v>
      </c>
      <c r="N324" s="101">
        <v>13.25</v>
      </c>
      <c r="O324" s="94">
        <v>3.81</v>
      </c>
      <c r="P324" s="101">
        <v>82.94</v>
      </c>
      <c r="Q324" s="102"/>
      <c r="R324" s="103">
        <f t="shared" si="1"/>
        <v>119992</v>
      </c>
      <c r="S324" s="103">
        <f t="shared" si="2"/>
        <v>27281.2</v>
      </c>
      <c r="T324" s="103">
        <f t="shared" si="3"/>
        <v>6576.92</v>
      </c>
      <c r="U324" s="103">
        <f t="shared" si="4"/>
        <v>6803.32</v>
      </c>
      <c r="V324" s="103">
        <f t="shared" si="5"/>
        <v>149990</v>
      </c>
      <c r="W324" s="103">
        <f t="shared" si="6"/>
        <v>43129.2</v>
      </c>
      <c r="X324" s="103">
        <f t="shared" si="7"/>
        <v>938880.8</v>
      </c>
    </row>
    <row r="325" ht="12.0" customHeight="1">
      <c r="A3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25" s="87" t="str">
        <f>IFERROR(__xludf.DUMMYFUNCTION("IFERROR(IF(F325&lt;&gt;"""",""WHSE ""&amp;LEFT(F325,1),REGEXEXTRACT(E325,""-(?:\d{2}-)?([A-Z]+)"")),"""")
"),"WHSE C")</f>
        <v>WHSE C</v>
      </c>
      <c r="C325" s="88">
        <v>45960.0</v>
      </c>
      <c r="D325" s="89" t="s">
        <v>232</v>
      </c>
      <c r="E325" s="90" t="s">
        <v>398</v>
      </c>
      <c r="F325" s="90" t="s">
        <v>399</v>
      </c>
      <c r="G325" s="98" t="s">
        <v>402</v>
      </c>
      <c r="H325" s="92">
        <v>2510.0</v>
      </c>
      <c r="I325" s="99">
        <v>82.0</v>
      </c>
      <c r="J325" s="94">
        <v>11.54</v>
      </c>
      <c r="K325" s="100">
        <v>3.13</v>
      </c>
      <c r="L325" s="100">
        <v>0.568</v>
      </c>
      <c r="M325" s="100">
        <v>0.588</v>
      </c>
      <c r="N325" s="101">
        <v>14.77</v>
      </c>
      <c r="O325" s="94">
        <v>3.75</v>
      </c>
      <c r="P325" s="101">
        <v>81.48</v>
      </c>
      <c r="Q325" s="102"/>
      <c r="R325" s="103">
        <f t="shared" si="1"/>
        <v>28965.4</v>
      </c>
      <c r="S325" s="103">
        <f t="shared" si="2"/>
        <v>7856.3</v>
      </c>
      <c r="T325" s="103">
        <f t="shared" si="3"/>
        <v>1425.68</v>
      </c>
      <c r="U325" s="103">
        <f t="shared" si="4"/>
        <v>1475.88</v>
      </c>
      <c r="V325" s="103">
        <f t="shared" si="5"/>
        <v>37072.7</v>
      </c>
      <c r="W325" s="103">
        <f t="shared" si="6"/>
        <v>9412.5</v>
      </c>
      <c r="X325" s="103">
        <f t="shared" si="7"/>
        <v>204514.8</v>
      </c>
    </row>
    <row r="326" ht="12.0" customHeight="1">
      <c r="A3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26" s="87" t="str">
        <f>IFERROR(__xludf.DUMMYFUNCTION("IFERROR(IF(F326&lt;&gt;"""",""WHSE ""&amp;LEFT(F326,1),REGEXEXTRACT(E326,""-(?:\d{2}-)?([A-Z]+)"")),"""")
"),"")</f>
        <v/>
      </c>
      <c r="C326" s="106"/>
      <c r="D326" s="102"/>
      <c r="E326" s="104"/>
      <c r="F326" s="104"/>
      <c r="G326" s="91"/>
      <c r="H326" s="107"/>
      <c r="I326" s="93"/>
      <c r="J326" s="97"/>
      <c r="K326" s="95"/>
      <c r="L326" s="95"/>
      <c r="M326" s="95"/>
      <c r="N326" s="96"/>
      <c r="O326" s="97"/>
      <c r="P326" s="96"/>
      <c r="Q326" s="102"/>
      <c r="R326" s="103">
        <f t="shared" si="1"/>
        <v>0</v>
      </c>
      <c r="S326" s="103">
        <f t="shared" si="2"/>
        <v>0</v>
      </c>
      <c r="T326" s="103">
        <f t="shared" si="3"/>
        <v>0</v>
      </c>
      <c r="U326" s="103">
        <f t="shared" si="4"/>
        <v>0</v>
      </c>
      <c r="V326" s="103">
        <f t="shared" si="5"/>
        <v>0</v>
      </c>
      <c r="W326" s="103">
        <f t="shared" si="6"/>
        <v>0</v>
      </c>
      <c r="X326" s="103">
        <f t="shared" si="7"/>
        <v>0</v>
      </c>
    </row>
    <row r="327" ht="12.0" customHeight="1">
      <c r="A3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27" s="87" t="str">
        <f>IFERROR(__xludf.DUMMYFUNCTION("IFERROR(IF(F327&lt;&gt;"""",""WHSE ""&amp;LEFT(F327,1),REGEXEXTRACT(E327,""-(?:\d{2}-)?([A-Z]+)"")),"""")
"),"WHSE C")</f>
        <v>WHSE C</v>
      </c>
      <c r="C327" s="88">
        <v>45961.0</v>
      </c>
      <c r="D327" s="89" t="s">
        <v>265</v>
      </c>
      <c r="E327" s="90" t="s">
        <v>398</v>
      </c>
      <c r="F327" s="90" t="s">
        <v>399</v>
      </c>
      <c r="G327" s="98" t="s">
        <v>255</v>
      </c>
      <c r="H327" s="92">
        <v>10550.0</v>
      </c>
      <c r="I327" s="99">
        <v>253.0</v>
      </c>
      <c r="J327" s="94">
        <v>9.74</v>
      </c>
      <c r="K327" s="100">
        <v>3.18</v>
      </c>
      <c r="L327" s="100">
        <v>0.581</v>
      </c>
      <c r="M327" s="100">
        <v>0.601</v>
      </c>
      <c r="N327" s="101">
        <v>12.36</v>
      </c>
      <c r="O327" s="94">
        <v>2.68</v>
      </c>
      <c r="P327" s="101">
        <v>84.96</v>
      </c>
      <c r="Q327" s="102"/>
      <c r="R327" s="103">
        <f t="shared" si="1"/>
        <v>102757</v>
      </c>
      <c r="S327" s="103">
        <f t="shared" si="2"/>
        <v>33549</v>
      </c>
      <c r="T327" s="103">
        <f t="shared" si="3"/>
        <v>6129.55</v>
      </c>
      <c r="U327" s="103">
        <f t="shared" si="4"/>
        <v>6340.55</v>
      </c>
      <c r="V327" s="103">
        <f t="shared" si="5"/>
        <v>130398</v>
      </c>
      <c r="W327" s="103">
        <f t="shared" si="6"/>
        <v>28274</v>
      </c>
      <c r="X327" s="103">
        <f t="shared" si="7"/>
        <v>896328</v>
      </c>
    </row>
    <row r="328" ht="12.0" customHeight="1">
      <c r="A3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28" s="87" t="str">
        <f>IFERROR(__xludf.DUMMYFUNCTION("IFERROR(IF(F328&lt;&gt;"""",""WHSE ""&amp;LEFT(F328,1),REGEXEXTRACT(E328,""-(?:\d{2}-)?([A-Z]+)"")),"""")
"),"WHSE D")</f>
        <v>WHSE D</v>
      </c>
      <c r="C328" s="88">
        <v>45961.0</v>
      </c>
      <c r="D328" s="89" t="s">
        <v>72</v>
      </c>
      <c r="E328" s="90" t="s">
        <v>395</v>
      </c>
      <c r="F328" s="90" t="s">
        <v>396</v>
      </c>
      <c r="G328" s="98" t="s">
        <v>77</v>
      </c>
      <c r="H328" s="92">
        <v>19740.0</v>
      </c>
      <c r="I328" s="99">
        <v>463.0</v>
      </c>
      <c r="J328" s="94">
        <v>11.54</v>
      </c>
      <c r="K328" s="100">
        <v>2.19</v>
      </c>
      <c r="L328" s="100">
        <v>0.578</v>
      </c>
      <c r="M328" s="100">
        <v>0.598</v>
      </c>
      <c r="N328" s="101">
        <v>13.25</v>
      </c>
      <c r="O328" s="94">
        <v>2.81</v>
      </c>
      <c r="P328" s="101">
        <v>83.94</v>
      </c>
      <c r="Q328" s="102"/>
      <c r="R328" s="103">
        <f t="shared" si="1"/>
        <v>227799.6</v>
      </c>
      <c r="S328" s="103">
        <f t="shared" si="2"/>
        <v>43230.6</v>
      </c>
      <c r="T328" s="103">
        <f t="shared" si="3"/>
        <v>11409.72</v>
      </c>
      <c r="U328" s="103">
        <f t="shared" si="4"/>
        <v>11804.52</v>
      </c>
      <c r="V328" s="103">
        <f t="shared" si="5"/>
        <v>261555</v>
      </c>
      <c r="W328" s="103">
        <f t="shared" si="6"/>
        <v>55469.4</v>
      </c>
      <c r="X328" s="103">
        <f t="shared" si="7"/>
        <v>1656975.6</v>
      </c>
    </row>
    <row r="329" ht="12.0" customHeight="1">
      <c r="A3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29" s="87" t="str">
        <f>IFERROR(__xludf.DUMMYFUNCTION("IFERROR(IF(F329&lt;&gt;"""",""WHSE ""&amp;LEFT(F329,1),REGEXEXTRACT(E329,""-(?:\d{2}-)?([A-Z]+)"")),"""")
"),"WHSE D")</f>
        <v>WHSE D</v>
      </c>
      <c r="C329" s="88">
        <v>45961.0</v>
      </c>
      <c r="D329" s="89" t="s">
        <v>72</v>
      </c>
      <c r="E329" s="90" t="s">
        <v>395</v>
      </c>
      <c r="F329" s="90" t="s">
        <v>396</v>
      </c>
      <c r="G329" s="98" t="s">
        <v>73</v>
      </c>
      <c r="H329" s="92">
        <v>19680.0</v>
      </c>
      <c r="I329" s="99">
        <v>448.0</v>
      </c>
      <c r="J329" s="94">
        <v>11.8</v>
      </c>
      <c r="K329" s="100">
        <v>2.71</v>
      </c>
      <c r="L329" s="100">
        <v>0.581</v>
      </c>
      <c r="M329" s="100">
        <v>0.601</v>
      </c>
      <c r="N329" s="101">
        <v>12.42</v>
      </c>
      <c r="O329" s="94">
        <v>3.54</v>
      </c>
      <c r="P329" s="101">
        <v>84.04</v>
      </c>
      <c r="Q329" s="102"/>
      <c r="R329" s="103">
        <f t="shared" si="1"/>
        <v>232224</v>
      </c>
      <c r="S329" s="103">
        <f t="shared" si="2"/>
        <v>53332.8</v>
      </c>
      <c r="T329" s="103">
        <f t="shared" si="3"/>
        <v>11434.08</v>
      </c>
      <c r="U329" s="103">
        <f t="shared" si="4"/>
        <v>11827.68</v>
      </c>
      <c r="V329" s="103">
        <f t="shared" si="5"/>
        <v>244425.6</v>
      </c>
      <c r="W329" s="103">
        <f t="shared" si="6"/>
        <v>69667.2</v>
      </c>
      <c r="X329" s="103">
        <f t="shared" si="7"/>
        <v>1653907.2</v>
      </c>
    </row>
    <row r="330" ht="12.0" customHeight="1">
      <c r="A3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30" s="87" t="str">
        <f>IFERROR(__xludf.DUMMYFUNCTION("IFERROR(IF(F330&lt;&gt;"""",""WHSE ""&amp;LEFT(F330,1),REGEXEXTRACT(E330,""-(?:\d{2}-)?([A-Z]+)"")),"""")
"),"")</f>
        <v/>
      </c>
      <c r="C330" s="106"/>
      <c r="D330" s="102"/>
      <c r="E330" s="104"/>
      <c r="F330" s="104"/>
      <c r="G330" s="91"/>
      <c r="H330" s="107"/>
      <c r="I330" s="93"/>
      <c r="J330" s="97"/>
      <c r="K330" s="95"/>
      <c r="L330" s="95"/>
      <c r="M330" s="95"/>
      <c r="N330" s="96"/>
      <c r="O330" s="97"/>
      <c r="P330" s="101">
        <v>100.0</v>
      </c>
      <c r="Q330" s="102"/>
      <c r="R330" s="103">
        <f t="shared" si="1"/>
        <v>0</v>
      </c>
      <c r="S330" s="103">
        <f t="shared" si="2"/>
        <v>0</v>
      </c>
      <c r="T330" s="103">
        <f t="shared" si="3"/>
        <v>0</v>
      </c>
      <c r="U330" s="103">
        <f t="shared" si="4"/>
        <v>0</v>
      </c>
      <c r="V330" s="103">
        <f t="shared" si="5"/>
        <v>0</v>
      </c>
      <c r="W330" s="103">
        <f t="shared" si="6"/>
        <v>0</v>
      </c>
      <c r="X330" s="103">
        <f t="shared" si="7"/>
        <v>0</v>
      </c>
    </row>
    <row r="331" ht="12.0" customHeight="1">
      <c r="A3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31" s="87" t="str">
        <f>IFERROR(__xludf.DUMMYFUNCTION("IFERROR(IF(F331&lt;&gt;"""",""WHSE ""&amp;LEFT(F331,1),REGEXEXTRACT(E331,""-(?:\d{2}-)?([A-Z]+)"")),"""")
"),"WHSE D")</f>
        <v>WHSE D</v>
      </c>
      <c r="C331" s="88">
        <v>45964.0</v>
      </c>
      <c r="D331" s="89" t="s">
        <v>64</v>
      </c>
      <c r="E331" s="90" t="s">
        <v>381</v>
      </c>
      <c r="F331" s="90" t="s">
        <v>382</v>
      </c>
      <c r="G331" s="98" t="s">
        <v>65</v>
      </c>
      <c r="H331" s="92">
        <v>20601.0</v>
      </c>
      <c r="I331" s="99">
        <v>416.0</v>
      </c>
      <c r="J331" s="94">
        <v>12.14</v>
      </c>
      <c r="K331" s="100">
        <v>2.11</v>
      </c>
      <c r="L331" s="100">
        <v>0.578</v>
      </c>
      <c r="M331" s="100">
        <v>0.598</v>
      </c>
      <c r="N331" s="101">
        <v>12.99</v>
      </c>
      <c r="O331" s="94">
        <v>3.11</v>
      </c>
      <c r="P331" s="101">
        <v>83.9</v>
      </c>
      <c r="Q331" s="89" t="s">
        <v>403</v>
      </c>
      <c r="R331" s="86">
        <f t="shared" si="1"/>
        <v>250096.14</v>
      </c>
      <c r="S331" s="86">
        <f t="shared" si="2"/>
        <v>43468.11</v>
      </c>
      <c r="T331" s="86">
        <f t="shared" si="3"/>
        <v>11907.378</v>
      </c>
      <c r="U331" s="86">
        <f t="shared" si="4"/>
        <v>12319.398</v>
      </c>
      <c r="V331" s="86">
        <f t="shared" si="5"/>
        <v>267606.99</v>
      </c>
      <c r="W331" s="86">
        <f t="shared" si="6"/>
        <v>64069.11</v>
      </c>
      <c r="X331" s="86">
        <f t="shared" si="7"/>
        <v>1728423.9</v>
      </c>
    </row>
    <row r="332" ht="12.0" customHeight="1">
      <c r="A3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32" s="87" t="str">
        <f>IFERROR(__xludf.DUMMYFUNCTION("IFERROR(IF(F332&lt;&gt;"""",""WHSE ""&amp;LEFT(F332,1),REGEXEXTRACT(E332,""-(?:\d{2}-)?([A-Z]+)"")),"""")
"),"WHSE D")</f>
        <v>WHSE D</v>
      </c>
      <c r="C332" s="88">
        <v>45964.0</v>
      </c>
      <c r="D332" s="89" t="s">
        <v>64</v>
      </c>
      <c r="E332" s="90" t="s">
        <v>343</v>
      </c>
      <c r="F332" s="90" t="s">
        <v>344</v>
      </c>
      <c r="G332" s="98" t="s">
        <v>69</v>
      </c>
      <c r="H332" s="92">
        <v>10641.0</v>
      </c>
      <c r="I332" s="99">
        <v>230.0</v>
      </c>
      <c r="J332" s="94">
        <v>12.27</v>
      </c>
      <c r="K332" s="100">
        <v>2.33</v>
      </c>
      <c r="L332" s="100">
        <v>0.578</v>
      </c>
      <c r="M332" s="100">
        <v>0.598</v>
      </c>
      <c r="N332" s="101">
        <v>12.8</v>
      </c>
      <c r="O332" s="94">
        <v>2.88</v>
      </c>
      <c r="P332" s="101">
        <v>84.32</v>
      </c>
      <c r="Q332" s="89" t="s">
        <v>404</v>
      </c>
      <c r="R332" s="86">
        <f t="shared" si="1"/>
        <v>130565.07</v>
      </c>
      <c r="S332" s="86">
        <f t="shared" si="2"/>
        <v>24793.53</v>
      </c>
      <c r="T332" s="86">
        <f t="shared" si="3"/>
        <v>6150.498</v>
      </c>
      <c r="U332" s="86">
        <f t="shared" si="4"/>
        <v>6363.318</v>
      </c>
      <c r="V332" s="86">
        <f t="shared" si="5"/>
        <v>136204.8</v>
      </c>
      <c r="W332" s="86">
        <f t="shared" si="6"/>
        <v>30646.08</v>
      </c>
      <c r="X332" s="86">
        <f t="shared" si="7"/>
        <v>897249.12</v>
      </c>
    </row>
    <row r="333" ht="12.0" customHeight="1">
      <c r="A3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33" s="87" t="str">
        <f>IFERROR(__xludf.DUMMYFUNCTION("IFERROR(IF(F333&lt;&gt;"""",""WHSE ""&amp;LEFT(F333,1),REGEXEXTRACT(E333,""-(?:\d{2}-)?([A-Z]+)"")),"""")
"),"WHSE D")</f>
        <v>WHSE D</v>
      </c>
      <c r="C333" s="88">
        <v>45964.0</v>
      </c>
      <c r="D333" s="89" t="s">
        <v>60</v>
      </c>
      <c r="E333" s="90" t="s">
        <v>346</v>
      </c>
      <c r="F333" s="90" t="s">
        <v>347</v>
      </c>
      <c r="G333" s="98" t="s">
        <v>63</v>
      </c>
      <c r="H333" s="92">
        <v>17705.0</v>
      </c>
      <c r="I333" s="99">
        <v>382.0</v>
      </c>
      <c r="J333" s="94">
        <v>11.87</v>
      </c>
      <c r="K333" s="100">
        <v>2.81</v>
      </c>
      <c r="L333" s="100">
        <v>0.571</v>
      </c>
      <c r="M333" s="100">
        <v>0.591</v>
      </c>
      <c r="N333" s="101">
        <v>13.85</v>
      </c>
      <c r="O333" s="94">
        <v>3.49</v>
      </c>
      <c r="P333" s="101">
        <v>82.66</v>
      </c>
      <c r="Q333" s="89" t="s">
        <v>405</v>
      </c>
      <c r="R333" s="86">
        <f t="shared" si="1"/>
        <v>210158.35</v>
      </c>
      <c r="S333" s="86">
        <f t="shared" si="2"/>
        <v>49751.05</v>
      </c>
      <c r="T333" s="86">
        <f t="shared" si="3"/>
        <v>10109.555</v>
      </c>
      <c r="U333" s="86">
        <f t="shared" si="4"/>
        <v>10463.655</v>
      </c>
      <c r="V333" s="86">
        <f t="shared" si="5"/>
        <v>245214.25</v>
      </c>
      <c r="W333" s="86">
        <f t="shared" si="6"/>
        <v>61790.45</v>
      </c>
      <c r="X333" s="86">
        <f t="shared" si="7"/>
        <v>1463495.3</v>
      </c>
    </row>
    <row r="334" ht="12.0" customHeight="1">
      <c r="A3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34" s="87" t="str">
        <f>IFERROR(__xludf.DUMMYFUNCTION("IFERROR(IF(F334&lt;&gt;"""",""WHSE ""&amp;LEFT(F334,1),REGEXEXTRACT(E334,""-(?:\d{2}-)?([A-Z]+)"")),"""")
"),"")</f>
        <v/>
      </c>
      <c r="C334" s="106"/>
      <c r="D334" s="102"/>
      <c r="E334" s="104"/>
      <c r="F334" s="104"/>
      <c r="G334" s="91"/>
      <c r="H334" s="107"/>
      <c r="I334" s="93"/>
      <c r="J334" s="97"/>
      <c r="K334" s="95"/>
      <c r="L334" s="95"/>
      <c r="M334" s="95"/>
      <c r="N334" s="96"/>
      <c r="O334" s="97"/>
      <c r="P334" s="96"/>
      <c r="Q334" s="102"/>
      <c r="R334" s="103">
        <f t="shared" si="1"/>
        <v>0</v>
      </c>
      <c r="S334" s="103">
        <f t="shared" si="2"/>
        <v>0</v>
      </c>
      <c r="T334" s="103">
        <f t="shared" si="3"/>
        <v>0</v>
      </c>
      <c r="U334" s="103">
        <f t="shared" si="4"/>
        <v>0</v>
      </c>
      <c r="V334" s="103">
        <f t="shared" si="5"/>
        <v>0</v>
      </c>
      <c r="W334" s="103">
        <f t="shared" si="6"/>
        <v>0</v>
      </c>
      <c r="X334" s="103">
        <f t="shared" si="7"/>
        <v>0</v>
      </c>
    </row>
    <row r="335" ht="12.0" customHeight="1">
      <c r="A3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35" s="87" t="str">
        <f>IFERROR(__xludf.DUMMYFUNCTION("IFERROR(IF(F335&lt;&gt;"""",""WHSE ""&amp;LEFT(F335,1),REGEXEXTRACT(E335,""-(?:\d{2}-)?([A-Z]+)"")),"""")
"),"WHSE D")</f>
        <v>WHSE D</v>
      </c>
      <c r="C335" s="88">
        <v>45965.0</v>
      </c>
      <c r="D335" s="89" t="s">
        <v>72</v>
      </c>
      <c r="E335" s="90" t="s">
        <v>406</v>
      </c>
      <c r="F335" s="90" t="s">
        <v>407</v>
      </c>
      <c r="G335" s="98" t="s">
        <v>77</v>
      </c>
      <c r="H335" s="92">
        <v>18715.0</v>
      </c>
      <c r="I335" s="99">
        <v>423.0</v>
      </c>
      <c r="J335" s="94">
        <v>11.87</v>
      </c>
      <c r="K335" s="100">
        <v>2.42</v>
      </c>
      <c r="L335" s="100">
        <v>0.578</v>
      </c>
      <c r="M335" s="100">
        <v>0.598</v>
      </c>
      <c r="N335" s="101">
        <v>12.87</v>
      </c>
      <c r="O335" s="94">
        <v>3.76</v>
      </c>
      <c r="P335" s="101">
        <v>83.37</v>
      </c>
      <c r="Q335" s="102"/>
      <c r="R335" s="103">
        <f t="shared" si="1"/>
        <v>222147.05</v>
      </c>
      <c r="S335" s="103">
        <f t="shared" si="2"/>
        <v>45290.3</v>
      </c>
      <c r="T335" s="103">
        <f t="shared" si="3"/>
        <v>10817.27</v>
      </c>
      <c r="U335" s="103">
        <f t="shared" si="4"/>
        <v>11191.57</v>
      </c>
      <c r="V335" s="103">
        <f t="shared" si="5"/>
        <v>240862.05</v>
      </c>
      <c r="W335" s="103">
        <f t="shared" si="6"/>
        <v>70368.4</v>
      </c>
      <c r="X335" s="103">
        <f t="shared" si="7"/>
        <v>1560269.55</v>
      </c>
    </row>
    <row r="336" ht="12.0" customHeight="1">
      <c r="A3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336" s="87" t="str">
        <f>IFERROR(__xludf.DUMMYFUNCTION("IFERROR(IF(F336&lt;&gt;"""",""WHSE ""&amp;LEFT(F336,1),REGEXEXTRACT(E336,""-(?:\d{2}-)?([A-Z]+)"")),"""")
"),"WHSE D")</f>
        <v>WHSE D</v>
      </c>
      <c r="C336" s="88">
        <v>45965.0</v>
      </c>
      <c r="D336" s="89" t="s">
        <v>286</v>
      </c>
      <c r="E336" s="90" t="s">
        <v>393</v>
      </c>
      <c r="F336" s="90" t="s">
        <v>394</v>
      </c>
      <c r="G336" s="98" t="s">
        <v>73</v>
      </c>
      <c r="H336" s="92">
        <v>16700.0</v>
      </c>
      <c r="I336" s="99">
        <v>480.0</v>
      </c>
      <c r="J336" s="94">
        <v>10.4</v>
      </c>
      <c r="K336" s="100">
        <v>2.34</v>
      </c>
      <c r="L336" s="100">
        <v>0.581</v>
      </c>
      <c r="M336" s="100">
        <v>0.601</v>
      </c>
      <c r="N336" s="101">
        <v>13.2</v>
      </c>
      <c r="O336" s="94">
        <v>3.08</v>
      </c>
      <c r="P336" s="101">
        <v>83.72</v>
      </c>
      <c r="Q336" s="89" t="s">
        <v>408</v>
      </c>
      <c r="R336" s="86">
        <f t="shared" si="1"/>
        <v>173680</v>
      </c>
      <c r="S336" s="86">
        <f t="shared" si="2"/>
        <v>39078</v>
      </c>
      <c r="T336" s="86">
        <f t="shared" si="3"/>
        <v>9702.7</v>
      </c>
      <c r="U336" s="86">
        <f t="shared" si="4"/>
        <v>10036.7</v>
      </c>
      <c r="V336" s="86">
        <f t="shared" si="5"/>
        <v>220440</v>
      </c>
      <c r="W336" s="86">
        <f t="shared" si="6"/>
        <v>51436</v>
      </c>
      <c r="X336" s="86">
        <f t="shared" si="7"/>
        <v>1398124</v>
      </c>
    </row>
    <row r="337" ht="12.0" customHeight="1">
      <c r="A3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37" s="87" t="str">
        <f>IFERROR(__xludf.DUMMYFUNCTION("IFERROR(IF(F337&lt;&gt;"""",""WHSE ""&amp;LEFT(F337,1),REGEXEXTRACT(E337,""-(?:\d{2}-)?([A-Z]+)"")),"""")
"),"")</f>
        <v/>
      </c>
      <c r="C337" s="106"/>
      <c r="D337" s="102"/>
      <c r="E337" s="104"/>
      <c r="F337" s="104"/>
      <c r="G337" s="91"/>
      <c r="H337" s="107"/>
      <c r="I337" s="93"/>
      <c r="J337" s="97"/>
      <c r="K337" s="95"/>
      <c r="L337" s="95"/>
      <c r="M337" s="95"/>
      <c r="N337" s="96"/>
      <c r="O337" s="97"/>
      <c r="P337" s="96"/>
      <c r="Q337" s="102"/>
      <c r="R337" s="103">
        <f t="shared" si="1"/>
        <v>0</v>
      </c>
      <c r="S337" s="103">
        <f t="shared" si="2"/>
        <v>0</v>
      </c>
      <c r="T337" s="103">
        <f t="shared" si="3"/>
        <v>0</v>
      </c>
      <c r="U337" s="103">
        <f t="shared" si="4"/>
        <v>0</v>
      </c>
      <c r="V337" s="103">
        <f t="shared" si="5"/>
        <v>0</v>
      </c>
      <c r="W337" s="103">
        <f t="shared" si="6"/>
        <v>0</v>
      </c>
      <c r="X337" s="103">
        <f t="shared" si="7"/>
        <v>0</v>
      </c>
    </row>
    <row r="338" ht="12.0" customHeight="1">
      <c r="A3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38" s="87" t="str">
        <f>IFERROR(__xludf.DUMMYFUNCTION("IFERROR(IF(F338&lt;&gt;"""",""WHSE ""&amp;LEFT(F338,1),REGEXEXTRACT(E338,""-(?:\d{2}-)?([A-Z]+)"")),"""")
"),"WHSE D")</f>
        <v>WHSE D</v>
      </c>
      <c r="C338" s="88">
        <v>45966.0</v>
      </c>
      <c r="D338" s="89" t="s">
        <v>72</v>
      </c>
      <c r="E338" s="90" t="s">
        <v>406</v>
      </c>
      <c r="F338" s="90" t="s">
        <v>407</v>
      </c>
      <c r="G338" s="98" t="s">
        <v>73</v>
      </c>
      <c r="H338" s="92">
        <v>16165.0</v>
      </c>
      <c r="I338" s="99">
        <v>368.0</v>
      </c>
      <c r="J338" s="94">
        <v>12.54</v>
      </c>
      <c r="K338" s="100">
        <v>2.33</v>
      </c>
      <c r="L338" s="100">
        <v>0.578</v>
      </c>
      <c r="M338" s="100">
        <v>0.598</v>
      </c>
      <c r="N338" s="101">
        <v>13.05</v>
      </c>
      <c r="O338" s="94">
        <v>3.4</v>
      </c>
      <c r="P338" s="101">
        <v>83.55</v>
      </c>
      <c r="Q338" s="102"/>
      <c r="R338" s="103">
        <f t="shared" si="1"/>
        <v>202709.1</v>
      </c>
      <c r="S338" s="103">
        <f t="shared" si="2"/>
        <v>37664.45</v>
      </c>
      <c r="T338" s="103">
        <f t="shared" si="3"/>
        <v>9343.37</v>
      </c>
      <c r="U338" s="103">
        <f t="shared" si="4"/>
        <v>9666.67</v>
      </c>
      <c r="V338" s="103">
        <f t="shared" si="5"/>
        <v>210953.25</v>
      </c>
      <c r="W338" s="103">
        <f t="shared" si="6"/>
        <v>54961</v>
      </c>
      <c r="X338" s="103">
        <f t="shared" si="7"/>
        <v>1350585.75</v>
      </c>
    </row>
    <row r="339" ht="12.0" customHeight="1">
      <c r="A3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39" s="87" t="str">
        <f>IFERROR(__xludf.DUMMYFUNCTION("IFERROR(IF(F339&lt;&gt;"""",""WHSE ""&amp;LEFT(F339,1),REGEXEXTRACT(E339,""-(?:\d{2}-)?([A-Z]+)"")),"""")
"),"WHSE D")</f>
        <v>WHSE D</v>
      </c>
      <c r="C339" s="88">
        <v>45966.0</v>
      </c>
      <c r="D339" s="89" t="s">
        <v>72</v>
      </c>
      <c r="E339" s="90" t="s">
        <v>406</v>
      </c>
      <c r="F339" s="90" t="s">
        <v>407</v>
      </c>
      <c r="G339" s="98" t="s">
        <v>73</v>
      </c>
      <c r="H339" s="92">
        <v>2943.0</v>
      </c>
      <c r="I339" s="99">
        <v>67.0</v>
      </c>
      <c r="J339" s="94">
        <v>16.27</v>
      </c>
      <c r="K339" s="100">
        <v>2.33</v>
      </c>
      <c r="L339" s="100">
        <v>0.578</v>
      </c>
      <c r="M339" s="100">
        <v>0.598</v>
      </c>
      <c r="N339" s="101">
        <v>13.05</v>
      </c>
      <c r="O339" s="94">
        <v>3.4</v>
      </c>
      <c r="P339" s="101">
        <v>83.55</v>
      </c>
      <c r="Q339" s="89" t="s">
        <v>409</v>
      </c>
      <c r="R339" s="86">
        <f t="shared" si="1"/>
        <v>47882.61</v>
      </c>
      <c r="S339" s="86">
        <f t="shared" si="2"/>
        <v>6857.19</v>
      </c>
      <c r="T339" s="86">
        <f t="shared" si="3"/>
        <v>1701.054</v>
      </c>
      <c r="U339" s="86">
        <f t="shared" si="4"/>
        <v>1759.914</v>
      </c>
      <c r="V339" s="86">
        <f t="shared" si="5"/>
        <v>38406.15</v>
      </c>
      <c r="W339" s="86">
        <f t="shared" si="6"/>
        <v>10006.2</v>
      </c>
      <c r="X339" s="86">
        <f t="shared" si="7"/>
        <v>245887.65</v>
      </c>
    </row>
    <row r="340" ht="12.0" customHeight="1">
      <c r="A3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40" s="87" t="str">
        <f>IFERROR(__xludf.DUMMYFUNCTION("IFERROR(IF(F340&lt;&gt;"""",""WHSE ""&amp;LEFT(F340,1),REGEXEXTRACT(E340,""-(?:\d{2}-)?([A-Z]+)"")),"""")
"),"WHSE D")</f>
        <v>WHSE D</v>
      </c>
      <c r="C340" s="88">
        <v>45966.0</v>
      </c>
      <c r="D340" s="89" t="s">
        <v>72</v>
      </c>
      <c r="E340" s="90" t="s">
        <v>406</v>
      </c>
      <c r="F340" s="90" t="s">
        <v>407</v>
      </c>
      <c r="G340" s="98" t="s">
        <v>337</v>
      </c>
      <c r="H340" s="92">
        <v>20630.0</v>
      </c>
      <c r="I340" s="99">
        <v>512.0</v>
      </c>
      <c r="J340" s="94">
        <v>13.6</v>
      </c>
      <c r="K340" s="100">
        <v>2.54</v>
      </c>
      <c r="L340" s="100">
        <v>0.575</v>
      </c>
      <c r="M340" s="100">
        <v>0.595</v>
      </c>
      <c r="N340" s="101">
        <v>11.89</v>
      </c>
      <c r="O340" s="94">
        <v>2.99</v>
      </c>
      <c r="P340" s="101">
        <v>85.12</v>
      </c>
      <c r="Q340" s="89" t="s">
        <v>410</v>
      </c>
      <c r="R340" s="86">
        <f t="shared" si="1"/>
        <v>280568</v>
      </c>
      <c r="S340" s="86">
        <f t="shared" si="2"/>
        <v>52400.2</v>
      </c>
      <c r="T340" s="86">
        <f t="shared" si="3"/>
        <v>11862.25</v>
      </c>
      <c r="U340" s="86">
        <f t="shared" si="4"/>
        <v>12274.85</v>
      </c>
      <c r="V340" s="86">
        <f t="shared" si="5"/>
        <v>245290.7</v>
      </c>
      <c r="W340" s="86">
        <f t="shared" si="6"/>
        <v>61683.7</v>
      </c>
      <c r="X340" s="86">
        <f t="shared" si="7"/>
        <v>1756025.6</v>
      </c>
    </row>
    <row r="341" ht="12.0" customHeight="1">
      <c r="A3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41" s="87" t="str">
        <f>IFERROR(__xludf.DUMMYFUNCTION("IFERROR(IF(F341&lt;&gt;"""",""WHSE ""&amp;LEFT(F341,1),REGEXEXTRACT(E341,""-(?:\d{2}-)?([A-Z]+)"")),"""")
"),"WHSE C")</f>
        <v>WHSE C</v>
      </c>
      <c r="C341" s="88">
        <v>45966.0</v>
      </c>
      <c r="D341" s="89" t="s">
        <v>232</v>
      </c>
      <c r="E341" s="90" t="s">
        <v>398</v>
      </c>
      <c r="F341" s="90" t="s">
        <v>399</v>
      </c>
      <c r="G341" s="98" t="s">
        <v>235</v>
      </c>
      <c r="H341" s="92">
        <v>12240.0</v>
      </c>
      <c r="I341" s="99">
        <v>275.0</v>
      </c>
      <c r="J341" s="94">
        <v>10.74</v>
      </c>
      <c r="K341" s="100">
        <v>3.24</v>
      </c>
      <c r="L341" s="100">
        <v>0.578</v>
      </c>
      <c r="M341" s="100">
        <v>0.598</v>
      </c>
      <c r="N341" s="101">
        <v>13.96</v>
      </c>
      <c r="O341" s="94">
        <v>2.7</v>
      </c>
      <c r="P341" s="101">
        <v>83.34</v>
      </c>
      <c r="Q341" s="89" t="s">
        <v>411</v>
      </c>
      <c r="R341" s="86">
        <f t="shared" si="1"/>
        <v>131457.6</v>
      </c>
      <c r="S341" s="86">
        <f t="shared" si="2"/>
        <v>39657.6</v>
      </c>
      <c r="T341" s="86">
        <f t="shared" si="3"/>
        <v>7074.72</v>
      </c>
      <c r="U341" s="86">
        <f t="shared" si="4"/>
        <v>7319.52</v>
      </c>
      <c r="V341" s="86">
        <f t="shared" si="5"/>
        <v>170870.4</v>
      </c>
      <c r="W341" s="86">
        <f t="shared" si="6"/>
        <v>33048</v>
      </c>
      <c r="X341" s="86">
        <f t="shared" si="7"/>
        <v>1020081.6</v>
      </c>
    </row>
    <row r="342" ht="12.0" customHeight="1">
      <c r="A3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42" s="87" t="str">
        <f>IFERROR(__xludf.DUMMYFUNCTION("IFERROR(IF(F342&lt;&gt;"""",""WHSE ""&amp;LEFT(F342,1),REGEXEXTRACT(E342,""-(?:\d{2}-)?([A-Z]+)"")),"""")
"),"WHSE D")</f>
        <v>WHSE D</v>
      </c>
      <c r="C342" s="88">
        <v>45966.0</v>
      </c>
      <c r="D342" s="89" t="s">
        <v>289</v>
      </c>
      <c r="E342" s="90" t="s">
        <v>412</v>
      </c>
      <c r="F342" s="90" t="s">
        <v>413</v>
      </c>
      <c r="G342" s="98" t="s">
        <v>414</v>
      </c>
      <c r="H342" s="92">
        <v>27440.0</v>
      </c>
      <c r="I342" s="99">
        <v>786.0</v>
      </c>
      <c r="J342" s="94">
        <v>9.6</v>
      </c>
      <c r="K342" s="100">
        <v>3.87</v>
      </c>
      <c r="L342" s="100">
        <v>0.549</v>
      </c>
      <c r="M342" s="100">
        <v>0.569</v>
      </c>
      <c r="N342" s="101">
        <v>10.99</v>
      </c>
      <c r="O342" s="94">
        <v>4.62</v>
      </c>
      <c r="P342" s="101">
        <v>84.39</v>
      </c>
      <c r="Q342" s="102"/>
      <c r="R342" s="103">
        <f t="shared" si="1"/>
        <v>263424</v>
      </c>
      <c r="S342" s="103">
        <f t="shared" si="2"/>
        <v>106192.8</v>
      </c>
      <c r="T342" s="103">
        <f t="shared" si="3"/>
        <v>15064.56</v>
      </c>
      <c r="U342" s="103">
        <f t="shared" si="4"/>
        <v>15613.36</v>
      </c>
      <c r="V342" s="103">
        <f t="shared" si="5"/>
        <v>301565.6</v>
      </c>
      <c r="W342" s="103">
        <f t="shared" si="6"/>
        <v>126772.8</v>
      </c>
      <c r="X342" s="103">
        <f t="shared" si="7"/>
        <v>2315661.6</v>
      </c>
    </row>
    <row r="343" ht="12.0" customHeight="1">
      <c r="A3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43" s="87" t="str">
        <f>IFERROR(__xludf.DUMMYFUNCTION("IFERROR(IF(F343&lt;&gt;"""",""WHSE ""&amp;LEFT(F343,1),REGEXEXTRACT(E343,""-(?:\d{2}-)?([A-Z]+)"")),"""")
"),"")</f>
        <v/>
      </c>
      <c r="C343" s="106"/>
      <c r="D343" s="102"/>
      <c r="E343" s="104"/>
      <c r="F343" s="104"/>
      <c r="G343" s="91"/>
      <c r="H343" s="107"/>
      <c r="I343" s="93"/>
      <c r="J343" s="97"/>
      <c r="K343" s="95"/>
      <c r="L343" s="95"/>
      <c r="M343" s="95"/>
      <c r="N343" s="96"/>
      <c r="O343" s="97"/>
      <c r="P343" s="96"/>
      <c r="Q343" s="102"/>
      <c r="R343" s="103">
        <f t="shared" si="1"/>
        <v>0</v>
      </c>
      <c r="S343" s="103">
        <f t="shared" si="2"/>
        <v>0</v>
      </c>
      <c r="T343" s="103">
        <f t="shared" si="3"/>
        <v>0</v>
      </c>
      <c r="U343" s="103">
        <f t="shared" si="4"/>
        <v>0</v>
      </c>
      <c r="V343" s="103">
        <f t="shared" si="5"/>
        <v>0</v>
      </c>
      <c r="W343" s="103">
        <f t="shared" si="6"/>
        <v>0</v>
      </c>
      <c r="X343" s="103">
        <f t="shared" si="7"/>
        <v>0</v>
      </c>
    </row>
    <row r="344" ht="12.0" customHeight="1">
      <c r="A3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44" s="87" t="str">
        <f>IFERROR(__xludf.DUMMYFUNCTION("IFERROR(IF(F344&lt;&gt;"""",""WHSE ""&amp;LEFT(F344,1),REGEXEXTRACT(E344,""-(?:\d{2}-)?([A-Z]+)"")),"""")
"),"WHSE D")</f>
        <v>WHSE D</v>
      </c>
      <c r="C344" s="88">
        <v>45967.0</v>
      </c>
      <c r="D344" s="89" t="s">
        <v>72</v>
      </c>
      <c r="E344" s="90" t="s">
        <v>415</v>
      </c>
      <c r="F344" s="90" t="s">
        <v>416</v>
      </c>
      <c r="G344" s="98" t="s">
        <v>73</v>
      </c>
      <c r="H344" s="92">
        <v>18410.0</v>
      </c>
      <c r="I344" s="99">
        <v>446.0</v>
      </c>
      <c r="J344" s="94">
        <v>11.4</v>
      </c>
      <c r="K344" s="100">
        <v>2.38</v>
      </c>
      <c r="L344" s="100">
        <v>0.571</v>
      </c>
      <c r="M344" s="100">
        <v>0.591</v>
      </c>
      <c r="N344" s="101">
        <v>14.34</v>
      </c>
      <c r="O344" s="94">
        <v>3.69</v>
      </c>
      <c r="P344" s="101">
        <v>81.97</v>
      </c>
      <c r="Q344" s="102"/>
      <c r="R344" s="103">
        <f t="shared" si="1"/>
        <v>209874</v>
      </c>
      <c r="S344" s="103">
        <f t="shared" si="2"/>
        <v>43815.8</v>
      </c>
      <c r="T344" s="103">
        <f t="shared" si="3"/>
        <v>10512.11</v>
      </c>
      <c r="U344" s="103">
        <f t="shared" si="4"/>
        <v>10880.31</v>
      </c>
      <c r="V344" s="103">
        <f t="shared" si="5"/>
        <v>263999.4</v>
      </c>
      <c r="W344" s="103">
        <f t="shared" si="6"/>
        <v>67932.9</v>
      </c>
      <c r="X344" s="103">
        <f t="shared" si="7"/>
        <v>1509067.7</v>
      </c>
    </row>
    <row r="345" ht="12.0" customHeight="1">
      <c r="A3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345" s="87" t="str">
        <f>IFERROR(__xludf.DUMMYFUNCTION("IFERROR(IF(F345&lt;&gt;"""",""WHSE ""&amp;LEFT(F345,1),REGEXEXTRACT(E345,""-(?:\d{2}-)?([A-Z]+)"")),"""")
"),"WHSE D")</f>
        <v>WHSE D</v>
      </c>
      <c r="C345" s="88">
        <v>45967.0</v>
      </c>
      <c r="D345" s="89" t="s">
        <v>286</v>
      </c>
      <c r="E345" s="90" t="s">
        <v>393</v>
      </c>
      <c r="F345" s="90" t="s">
        <v>394</v>
      </c>
      <c r="G345" s="98" t="s">
        <v>77</v>
      </c>
      <c r="H345" s="92">
        <v>16835.0</v>
      </c>
      <c r="I345" s="99">
        <v>374.0</v>
      </c>
      <c r="J345" s="94">
        <v>10.8</v>
      </c>
      <c r="K345" s="100">
        <v>2.17</v>
      </c>
      <c r="L345" s="100">
        <v>0.588</v>
      </c>
      <c r="M345" s="100">
        <v>0.608</v>
      </c>
      <c r="N345" s="101">
        <v>13.51</v>
      </c>
      <c r="O345" s="94">
        <v>3.9</v>
      </c>
      <c r="P345" s="101">
        <v>82.59</v>
      </c>
      <c r="Q345" s="89" t="s">
        <v>408</v>
      </c>
      <c r="R345" s="86">
        <f t="shared" si="1"/>
        <v>181818</v>
      </c>
      <c r="S345" s="86">
        <f t="shared" si="2"/>
        <v>36531.95</v>
      </c>
      <c r="T345" s="86">
        <f t="shared" si="3"/>
        <v>9898.98</v>
      </c>
      <c r="U345" s="86">
        <f t="shared" si="4"/>
        <v>10235.68</v>
      </c>
      <c r="V345" s="86">
        <f t="shared" si="5"/>
        <v>227440.85</v>
      </c>
      <c r="W345" s="86">
        <f t="shared" si="6"/>
        <v>65656.5</v>
      </c>
      <c r="X345" s="86">
        <f t="shared" si="7"/>
        <v>1390402.65</v>
      </c>
    </row>
    <row r="346" ht="12.0" customHeight="1">
      <c r="A3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46" s="87" t="str">
        <f>IFERROR(__xludf.DUMMYFUNCTION("IFERROR(IF(F346&lt;&gt;"""",""WHSE ""&amp;LEFT(F346,1),REGEXEXTRACT(E346,""-(?:\d{2}-)?([A-Z]+)"")),"""")
"),"WHSE C")</f>
        <v>WHSE C</v>
      </c>
      <c r="C346" s="88">
        <v>45967.0</v>
      </c>
      <c r="D346" s="89" t="s">
        <v>232</v>
      </c>
      <c r="E346" s="90" t="s">
        <v>398</v>
      </c>
      <c r="F346" s="90" t="s">
        <v>399</v>
      </c>
      <c r="G346" s="98" t="s">
        <v>235</v>
      </c>
      <c r="H346" s="92">
        <v>10785.0</v>
      </c>
      <c r="I346" s="99">
        <v>347.0</v>
      </c>
      <c r="J346" s="94">
        <v>10.2</v>
      </c>
      <c r="K346" s="100">
        <v>3.15</v>
      </c>
      <c r="L346" s="100">
        <v>0.585</v>
      </c>
      <c r="M346" s="100">
        <v>0.605</v>
      </c>
      <c r="N346" s="101">
        <v>14.79</v>
      </c>
      <c r="O346" s="94">
        <v>3.09</v>
      </c>
      <c r="P346" s="101">
        <v>82.12</v>
      </c>
      <c r="Q346" s="89" t="s">
        <v>411</v>
      </c>
      <c r="R346" s="86">
        <f t="shared" si="1"/>
        <v>110007</v>
      </c>
      <c r="S346" s="86">
        <f t="shared" si="2"/>
        <v>33972.75</v>
      </c>
      <c r="T346" s="86">
        <f t="shared" si="3"/>
        <v>6309.225</v>
      </c>
      <c r="U346" s="86">
        <f t="shared" si="4"/>
        <v>6524.925</v>
      </c>
      <c r="V346" s="86">
        <f t="shared" si="5"/>
        <v>159510.15</v>
      </c>
      <c r="W346" s="86">
        <f t="shared" si="6"/>
        <v>33325.65</v>
      </c>
      <c r="X346" s="86">
        <f t="shared" si="7"/>
        <v>885664.2</v>
      </c>
    </row>
    <row r="347" ht="12.0" customHeight="1">
      <c r="A3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47" s="87" t="str">
        <f>IFERROR(__xludf.DUMMYFUNCTION("IFERROR(IF(F347&lt;&gt;"""",""WHSE ""&amp;LEFT(F347,1),REGEXEXTRACT(E347,""-(?:\d{2}-)?([A-Z]+)"")),"""")
"),"WHSE D")</f>
        <v>WHSE D</v>
      </c>
      <c r="C347" s="88">
        <v>45967.0</v>
      </c>
      <c r="D347" s="89" t="s">
        <v>289</v>
      </c>
      <c r="E347" s="90" t="s">
        <v>412</v>
      </c>
      <c r="F347" s="90" t="s">
        <v>413</v>
      </c>
      <c r="G347" s="98" t="s">
        <v>417</v>
      </c>
      <c r="H347" s="92">
        <v>18500.0</v>
      </c>
      <c r="I347" s="99">
        <v>496.0</v>
      </c>
      <c r="J347" s="94">
        <v>9.74</v>
      </c>
      <c r="K347" s="100">
        <v>4.17</v>
      </c>
      <c r="L347" s="100">
        <v>0.549</v>
      </c>
      <c r="M347" s="100">
        <v>0.569</v>
      </c>
      <c r="N347" s="101">
        <v>12.7</v>
      </c>
      <c r="O347" s="94">
        <v>4.04</v>
      </c>
      <c r="P347" s="101">
        <v>83.26</v>
      </c>
      <c r="Q347" s="102"/>
      <c r="R347" s="103">
        <f t="shared" si="1"/>
        <v>180190</v>
      </c>
      <c r="S347" s="103">
        <f t="shared" si="2"/>
        <v>77145</v>
      </c>
      <c r="T347" s="103">
        <f t="shared" si="3"/>
        <v>10156.5</v>
      </c>
      <c r="U347" s="103">
        <f t="shared" si="4"/>
        <v>10526.5</v>
      </c>
      <c r="V347" s="103">
        <f t="shared" si="5"/>
        <v>234950</v>
      </c>
      <c r="W347" s="103">
        <f t="shared" si="6"/>
        <v>74740</v>
      </c>
      <c r="X347" s="103">
        <f t="shared" si="7"/>
        <v>1540310</v>
      </c>
    </row>
    <row r="348" ht="12.0" customHeight="1">
      <c r="A3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48" s="87" t="str">
        <f>IFERROR(__xludf.DUMMYFUNCTION("IFERROR(IF(F348&lt;&gt;"""",""WHSE ""&amp;LEFT(F348,1),REGEXEXTRACT(E348,""-(?:\d{2}-)?([A-Z]+)"")),"""")
"),"WHSE C")</f>
        <v>WHSE C</v>
      </c>
      <c r="C348" s="88">
        <v>45967.0</v>
      </c>
      <c r="D348" s="89" t="s">
        <v>265</v>
      </c>
      <c r="E348" s="90" t="s">
        <v>383</v>
      </c>
      <c r="F348" s="90" t="s">
        <v>384</v>
      </c>
      <c r="G348" s="98" t="s">
        <v>255</v>
      </c>
      <c r="H348" s="92">
        <v>8935.0</v>
      </c>
      <c r="I348" s="99">
        <v>282.0</v>
      </c>
      <c r="J348" s="94">
        <v>8.6</v>
      </c>
      <c r="K348" s="100">
        <v>3.78</v>
      </c>
      <c r="L348" s="100">
        <v>0.578</v>
      </c>
      <c r="M348" s="100">
        <v>0.598</v>
      </c>
      <c r="N348" s="101">
        <v>15.25</v>
      </c>
      <c r="O348" s="94">
        <v>2.6</v>
      </c>
      <c r="P348" s="101">
        <v>82.15</v>
      </c>
      <c r="Q348" s="89" t="s">
        <v>418</v>
      </c>
      <c r="R348" s="86">
        <f t="shared" si="1"/>
        <v>76841</v>
      </c>
      <c r="S348" s="86">
        <f t="shared" si="2"/>
        <v>33774.3</v>
      </c>
      <c r="T348" s="86">
        <f t="shared" si="3"/>
        <v>5164.43</v>
      </c>
      <c r="U348" s="86">
        <f t="shared" si="4"/>
        <v>5343.13</v>
      </c>
      <c r="V348" s="86">
        <f t="shared" si="5"/>
        <v>136258.75</v>
      </c>
      <c r="W348" s="86">
        <f t="shared" si="6"/>
        <v>23231</v>
      </c>
      <c r="X348" s="86">
        <f t="shared" si="7"/>
        <v>734010.25</v>
      </c>
    </row>
    <row r="349" ht="12.0" customHeight="1">
      <c r="A3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49" s="87" t="str">
        <f>IFERROR(__xludf.DUMMYFUNCTION("IFERROR(IF(F349&lt;&gt;"""",""WHSE ""&amp;LEFT(F349,1),REGEXEXTRACT(E349,""-(?:\d{2}-)?([A-Z]+)"")),"""")
"),"")</f>
        <v/>
      </c>
      <c r="C349" s="106"/>
      <c r="D349" s="102"/>
      <c r="E349" s="104"/>
      <c r="F349" s="104"/>
      <c r="G349" s="91"/>
      <c r="H349" s="107"/>
      <c r="I349" s="93"/>
      <c r="J349" s="97"/>
      <c r="K349" s="95"/>
      <c r="L349" s="95"/>
      <c r="M349" s="95"/>
      <c r="N349" s="96"/>
      <c r="O349" s="97"/>
      <c r="P349" s="96"/>
      <c r="Q349" s="102"/>
      <c r="R349" s="103">
        <f t="shared" si="1"/>
        <v>0</v>
      </c>
      <c r="S349" s="103">
        <f t="shared" si="2"/>
        <v>0</v>
      </c>
      <c r="T349" s="103">
        <f t="shared" si="3"/>
        <v>0</v>
      </c>
      <c r="U349" s="103">
        <f t="shared" si="4"/>
        <v>0</v>
      </c>
      <c r="V349" s="103">
        <f t="shared" si="5"/>
        <v>0</v>
      </c>
      <c r="W349" s="103">
        <f t="shared" si="6"/>
        <v>0</v>
      </c>
      <c r="X349" s="103">
        <f t="shared" si="7"/>
        <v>0</v>
      </c>
    </row>
    <row r="350" ht="12.0" customHeight="1">
      <c r="A3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50" s="87" t="str">
        <f>IFERROR(__xludf.DUMMYFUNCTION("IFERROR(IF(F350&lt;&gt;"""",""WHSE ""&amp;LEFT(F350,1),REGEXEXTRACT(E350,""-(?:\d{2}-)?([A-Z]+)"")),"""")
"),"WHSE C")</f>
        <v>WHSE C</v>
      </c>
      <c r="C350" s="88">
        <v>45968.0</v>
      </c>
      <c r="D350" s="89" t="s">
        <v>232</v>
      </c>
      <c r="E350" s="90" t="s">
        <v>383</v>
      </c>
      <c r="F350" s="90" t="s">
        <v>384</v>
      </c>
      <c r="G350" s="98" t="s">
        <v>73</v>
      </c>
      <c r="H350" s="92">
        <v>19295.0</v>
      </c>
      <c r="I350" s="99">
        <v>470.0</v>
      </c>
      <c r="J350" s="94">
        <v>11.54</v>
      </c>
      <c r="K350" s="100">
        <v>3.6</v>
      </c>
      <c r="L350" s="100">
        <v>0.578</v>
      </c>
      <c r="M350" s="100">
        <v>0.598</v>
      </c>
      <c r="N350" s="101">
        <v>13.04</v>
      </c>
      <c r="O350" s="94">
        <v>3.02</v>
      </c>
      <c r="P350" s="101">
        <v>83.94</v>
      </c>
      <c r="Q350" s="89" t="s">
        <v>418</v>
      </c>
      <c r="R350" s="86">
        <f t="shared" si="1"/>
        <v>222664.3</v>
      </c>
      <c r="S350" s="86">
        <f t="shared" si="2"/>
        <v>69462</v>
      </c>
      <c r="T350" s="86">
        <f t="shared" si="3"/>
        <v>11152.51</v>
      </c>
      <c r="U350" s="86">
        <f t="shared" si="4"/>
        <v>11538.41</v>
      </c>
      <c r="V350" s="86">
        <f t="shared" si="5"/>
        <v>251606.8</v>
      </c>
      <c r="W350" s="86">
        <f t="shared" si="6"/>
        <v>58270.9</v>
      </c>
      <c r="X350" s="86">
        <f t="shared" si="7"/>
        <v>1619622.3</v>
      </c>
    </row>
    <row r="351" ht="12.0" customHeight="1">
      <c r="A3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51" s="87" t="str">
        <f>IFERROR(__xludf.DUMMYFUNCTION("IFERROR(IF(F351&lt;&gt;"""",""WHSE ""&amp;LEFT(F351,1),REGEXEXTRACT(E351,""-(?:\d{2}-)?([A-Z]+)"")),"""")
"),"")</f>
        <v/>
      </c>
      <c r="C351" s="106"/>
      <c r="D351" s="102"/>
      <c r="E351" s="104"/>
      <c r="F351" s="104"/>
      <c r="G351" s="91"/>
      <c r="H351" s="107"/>
      <c r="I351" s="93"/>
      <c r="J351" s="97"/>
      <c r="K351" s="95"/>
      <c r="L351" s="95"/>
      <c r="M351" s="95"/>
      <c r="N351" s="96"/>
      <c r="O351" s="97"/>
      <c r="P351" s="96"/>
      <c r="Q351" s="102"/>
      <c r="R351" s="103">
        <f t="shared" si="1"/>
        <v>0</v>
      </c>
      <c r="S351" s="103">
        <f t="shared" si="2"/>
        <v>0</v>
      </c>
      <c r="T351" s="103">
        <f t="shared" si="3"/>
        <v>0</v>
      </c>
      <c r="U351" s="103">
        <f t="shared" si="4"/>
        <v>0</v>
      </c>
      <c r="V351" s="103">
        <f t="shared" si="5"/>
        <v>0</v>
      </c>
      <c r="W351" s="103">
        <f t="shared" si="6"/>
        <v>0</v>
      </c>
      <c r="X351" s="103">
        <f t="shared" si="7"/>
        <v>0</v>
      </c>
    </row>
    <row r="352" ht="12.0" customHeight="1">
      <c r="A3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52" s="87" t="str">
        <f>IFERROR(__xludf.DUMMYFUNCTION("IFERROR(IF(F352&lt;&gt;"""",""WHSE ""&amp;LEFT(F352,1),REGEXEXTRACT(E352,""-(?:\d{2}-)?([A-Z]+)"")),"""")
"),"WHSE D")</f>
        <v>WHSE D</v>
      </c>
      <c r="C352" s="88">
        <v>45969.0</v>
      </c>
      <c r="D352" s="89" t="s">
        <v>72</v>
      </c>
      <c r="E352" s="90" t="s">
        <v>415</v>
      </c>
      <c r="F352" s="90" t="s">
        <v>416</v>
      </c>
      <c r="G352" s="98" t="s">
        <v>337</v>
      </c>
      <c r="H352" s="92">
        <v>21650.0</v>
      </c>
      <c r="I352" s="99">
        <v>517.0</v>
      </c>
      <c r="J352" s="94">
        <v>11.54</v>
      </c>
      <c r="K352" s="100">
        <v>2.87</v>
      </c>
      <c r="L352" s="100">
        <v>0.578</v>
      </c>
      <c r="M352" s="100">
        <v>0.598</v>
      </c>
      <c r="N352" s="101">
        <v>13.52</v>
      </c>
      <c r="O352" s="94">
        <v>2.27</v>
      </c>
      <c r="P352" s="101">
        <v>84.21</v>
      </c>
      <c r="Q352" s="102"/>
      <c r="R352" s="103">
        <f t="shared" si="1"/>
        <v>249841</v>
      </c>
      <c r="S352" s="103">
        <f t="shared" si="2"/>
        <v>62135.5</v>
      </c>
      <c r="T352" s="103">
        <f t="shared" si="3"/>
        <v>12513.7</v>
      </c>
      <c r="U352" s="103">
        <f t="shared" si="4"/>
        <v>12946.7</v>
      </c>
      <c r="V352" s="103">
        <f t="shared" si="5"/>
        <v>292708</v>
      </c>
      <c r="W352" s="103">
        <f t="shared" si="6"/>
        <v>49145.5</v>
      </c>
      <c r="X352" s="103">
        <f t="shared" si="7"/>
        <v>1823146.5</v>
      </c>
    </row>
    <row r="353" ht="12.0" customHeight="1">
      <c r="A3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53" s="87" t="str">
        <f>IFERROR(__xludf.DUMMYFUNCTION("IFERROR(IF(F353&lt;&gt;"""",""WHSE ""&amp;LEFT(F353,1),REGEXEXTRACT(E353,""-(?:\d{2}-)?([A-Z]+)"")),"""")
"),"WHSE D")</f>
        <v>WHSE D</v>
      </c>
      <c r="C353" s="88">
        <v>45969.0</v>
      </c>
      <c r="D353" s="89" t="s">
        <v>286</v>
      </c>
      <c r="E353" s="90" t="s">
        <v>419</v>
      </c>
      <c r="F353" s="90" t="s">
        <v>420</v>
      </c>
      <c r="G353" s="98" t="s">
        <v>77</v>
      </c>
      <c r="H353" s="92">
        <v>17570.0</v>
      </c>
      <c r="I353" s="99">
        <v>453.0</v>
      </c>
      <c r="J353" s="94">
        <v>11.2</v>
      </c>
      <c r="K353" s="100">
        <v>2.6</v>
      </c>
      <c r="L353" s="100">
        <v>0.575</v>
      </c>
      <c r="M353" s="100">
        <v>0.595</v>
      </c>
      <c r="N353" s="101">
        <v>12.12</v>
      </c>
      <c r="O353" s="94">
        <v>2.09</v>
      </c>
      <c r="P353" s="101">
        <v>85.79</v>
      </c>
      <c r="Q353" s="102"/>
      <c r="R353" s="103">
        <f t="shared" si="1"/>
        <v>196784</v>
      </c>
      <c r="S353" s="103">
        <f t="shared" si="2"/>
        <v>45682</v>
      </c>
      <c r="T353" s="103">
        <f t="shared" si="3"/>
        <v>10102.75</v>
      </c>
      <c r="U353" s="103">
        <f t="shared" si="4"/>
        <v>10454.15</v>
      </c>
      <c r="V353" s="103">
        <f t="shared" si="5"/>
        <v>212948.4</v>
      </c>
      <c r="W353" s="103">
        <f t="shared" si="6"/>
        <v>36721.3</v>
      </c>
      <c r="X353" s="103">
        <f t="shared" si="7"/>
        <v>1507330.3</v>
      </c>
    </row>
    <row r="354" ht="12.0" customHeight="1">
      <c r="A3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54" s="87" t="str">
        <f>IFERROR(__xludf.DUMMYFUNCTION("IFERROR(IF(F354&lt;&gt;"""",""WHSE ""&amp;LEFT(F354,1),REGEXEXTRACT(E354,""-(?:\d{2}-)?([A-Z]+)"")),"""")
"),"")</f>
        <v/>
      </c>
      <c r="C354" s="106"/>
      <c r="D354" s="102"/>
      <c r="E354" s="104"/>
      <c r="F354" s="104"/>
      <c r="G354" s="91"/>
      <c r="H354" s="107"/>
      <c r="I354" s="93"/>
      <c r="J354" s="97"/>
      <c r="K354" s="95"/>
      <c r="L354" s="95"/>
      <c r="M354" s="95"/>
      <c r="N354" s="96"/>
      <c r="O354" s="97"/>
      <c r="P354" s="96"/>
      <c r="Q354" s="102"/>
      <c r="R354" s="103">
        <f t="shared" si="1"/>
        <v>0</v>
      </c>
      <c r="S354" s="103">
        <f t="shared" si="2"/>
        <v>0</v>
      </c>
      <c r="T354" s="103">
        <f t="shared" si="3"/>
        <v>0</v>
      </c>
      <c r="U354" s="103">
        <f t="shared" si="4"/>
        <v>0</v>
      </c>
      <c r="V354" s="103">
        <f t="shared" si="5"/>
        <v>0</v>
      </c>
      <c r="W354" s="103">
        <f t="shared" si="6"/>
        <v>0</v>
      </c>
      <c r="X354" s="103">
        <f t="shared" si="7"/>
        <v>0</v>
      </c>
    </row>
    <row r="355" ht="12.0" customHeight="1">
      <c r="A3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55" s="87" t="str">
        <f>IFERROR(__xludf.DUMMYFUNCTION("IFERROR(IF(F355&lt;&gt;"""",""WHSE ""&amp;LEFT(F355,1),REGEXEXTRACT(E355,""-(?:\d{2}-)?([A-Z]+)"")),"""")
"),"WHSE D")</f>
        <v>WHSE D</v>
      </c>
      <c r="C355" s="88">
        <v>45971.0</v>
      </c>
      <c r="D355" s="89" t="s">
        <v>72</v>
      </c>
      <c r="E355" s="90" t="s">
        <v>415</v>
      </c>
      <c r="F355" s="90" t="s">
        <v>416</v>
      </c>
      <c r="G355" s="98" t="s">
        <v>73</v>
      </c>
      <c r="H355" s="92">
        <v>18825.0</v>
      </c>
      <c r="I355" s="99">
        <v>430.0</v>
      </c>
      <c r="J355" s="94">
        <v>11.87</v>
      </c>
      <c r="K355" s="100">
        <v>2.33</v>
      </c>
      <c r="L355" s="100">
        <v>0.571</v>
      </c>
      <c r="M355" s="100">
        <v>0.591</v>
      </c>
      <c r="N355" s="101">
        <v>12.41</v>
      </c>
      <c r="O355" s="94">
        <v>2.84</v>
      </c>
      <c r="P355" s="101">
        <v>84.75</v>
      </c>
      <c r="Q355" s="102"/>
      <c r="R355" s="103">
        <f t="shared" si="1"/>
        <v>223452.75</v>
      </c>
      <c r="S355" s="103">
        <f t="shared" si="2"/>
        <v>43862.25</v>
      </c>
      <c r="T355" s="103">
        <f t="shared" si="3"/>
        <v>10749.075</v>
      </c>
      <c r="U355" s="103">
        <f t="shared" si="4"/>
        <v>11125.575</v>
      </c>
      <c r="V355" s="103">
        <f t="shared" si="5"/>
        <v>233618.25</v>
      </c>
      <c r="W355" s="103">
        <f t="shared" si="6"/>
        <v>53463</v>
      </c>
      <c r="X355" s="103">
        <f t="shared" si="7"/>
        <v>1595418.75</v>
      </c>
    </row>
    <row r="356" ht="12.0" customHeight="1">
      <c r="A3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56" s="87" t="str">
        <f>IFERROR(__xludf.DUMMYFUNCTION("IFERROR(IF(F356&lt;&gt;"""",""WHSE ""&amp;LEFT(F356,1),REGEXEXTRACT(E356,""-(?:\d{2}-)?([A-Z]+)"")),"""")
"),"WHSE C")</f>
        <v>WHSE C</v>
      </c>
      <c r="C356" s="88">
        <v>45971.0</v>
      </c>
      <c r="D356" s="89" t="s">
        <v>232</v>
      </c>
      <c r="E356" s="90" t="s">
        <v>383</v>
      </c>
      <c r="F356" s="90" t="s">
        <v>384</v>
      </c>
      <c r="G356" s="98" t="s">
        <v>235</v>
      </c>
      <c r="H356" s="92">
        <v>10530.0</v>
      </c>
      <c r="I356" s="99">
        <v>308.0</v>
      </c>
      <c r="J356" s="94">
        <v>11.8</v>
      </c>
      <c r="K356" s="100">
        <v>3.11</v>
      </c>
      <c r="L356" s="100">
        <v>0.581</v>
      </c>
      <c r="M356" s="100">
        <v>0.601</v>
      </c>
      <c r="N356" s="101">
        <v>13.51</v>
      </c>
      <c r="O356" s="94">
        <v>2.73</v>
      </c>
      <c r="P356" s="101">
        <v>83.76</v>
      </c>
      <c r="Q356" s="89" t="s">
        <v>418</v>
      </c>
      <c r="R356" s="86">
        <f t="shared" si="1"/>
        <v>124254</v>
      </c>
      <c r="S356" s="86">
        <f t="shared" si="2"/>
        <v>32748.3</v>
      </c>
      <c r="T356" s="86">
        <f t="shared" si="3"/>
        <v>6117.93</v>
      </c>
      <c r="U356" s="86">
        <f t="shared" si="4"/>
        <v>6328.53</v>
      </c>
      <c r="V356" s="86">
        <f t="shared" si="5"/>
        <v>142260.3</v>
      </c>
      <c r="W356" s="86">
        <f t="shared" si="6"/>
        <v>28746.9</v>
      </c>
      <c r="X356" s="86">
        <f t="shared" si="7"/>
        <v>881992.8</v>
      </c>
    </row>
    <row r="357" ht="12.0" customHeight="1">
      <c r="A3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57" s="87" t="str">
        <f>IFERROR(__xludf.DUMMYFUNCTION("IFERROR(IF(F357&lt;&gt;"""",""WHSE ""&amp;LEFT(F357,1),REGEXEXTRACT(E357,""-(?:\d{2}-)?([A-Z]+)"")),"""")
"),"")</f>
        <v/>
      </c>
      <c r="C357" s="106"/>
      <c r="D357" s="102"/>
      <c r="E357" s="104"/>
      <c r="F357" s="104"/>
      <c r="G357" s="91"/>
      <c r="H357" s="107"/>
      <c r="I357" s="93"/>
      <c r="J357" s="97"/>
      <c r="K357" s="95"/>
      <c r="L357" s="95"/>
      <c r="M357" s="95"/>
      <c r="N357" s="96"/>
      <c r="O357" s="97"/>
      <c r="P357" s="96"/>
      <c r="Q357" s="102"/>
      <c r="R357" s="103">
        <f t="shared" si="1"/>
        <v>0</v>
      </c>
      <c r="S357" s="103">
        <f t="shared" si="2"/>
        <v>0</v>
      </c>
      <c r="T357" s="103">
        <f t="shared" si="3"/>
        <v>0</v>
      </c>
      <c r="U357" s="103">
        <f t="shared" si="4"/>
        <v>0</v>
      </c>
      <c r="V357" s="103">
        <f t="shared" si="5"/>
        <v>0</v>
      </c>
      <c r="W357" s="103">
        <f t="shared" si="6"/>
        <v>0</v>
      </c>
      <c r="X357" s="103">
        <f t="shared" si="7"/>
        <v>0</v>
      </c>
    </row>
    <row r="358" ht="12.0" customHeight="1">
      <c r="A3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58" s="87" t="str">
        <f>IFERROR(__xludf.DUMMYFUNCTION("IFERROR(IF(F358&lt;&gt;"""",""WHSE ""&amp;LEFT(F358,1),REGEXEXTRACT(E358,""-(?:\d{2}-)?([A-Z]+)"")),"""")
"),"WHSE C")</f>
        <v>WHSE C</v>
      </c>
      <c r="C358" s="88">
        <v>45972.0</v>
      </c>
      <c r="D358" s="89" t="s">
        <v>232</v>
      </c>
      <c r="E358" s="90" t="s">
        <v>421</v>
      </c>
      <c r="F358" s="90" t="s">
        <v>422</v>
      </c>
      <c r="G358" s="98" t="s">
        <v>328</v>
      </c>
      <c r="H358" s="92">
        <v>19985.0</v>
      </c>
      <c r="I358" s="99">
        <v>630.0</v>
      </c>
      <c r="J358" s="94">
        <v>11.54</v>
      </c>
      <c r="K358" s="100">
        <v>3.4</v>
      </c>
      <c r="L358" s="100">
        <v>0.571</v>
      </c>
      <c r="M358" s="100">
        <v>0.591</v>
      </c>
      <c r="N358" s="101">
        <v>12.19</v>
      </c>
      <c r="O358" s="94">
        <v>3.1</v>
      </c>
      <c r="P358" s="101">
        <v>84.71</v>
      </c>
      <c r="Q358" s="102"/>
      <c r="R358" s="103">
        <f t="shared" si="1"/>
        <v>230626.9</v>
      </c>
      <c r="S358" s="103">
        <f t="shared" si="2"/>
        <v>67949</v>
      </c>
      <c r="T358" s="103">
        <f t="shared" si="3"/>
        <v>11411.435</v>
      </c>
      <c r="U358" s="103">
        <f t="shared" si="4"/>
        <v>11811.135</v>
      </c>
      <c r="V358" s="103">
        <f t="shared" si="5"/>
        <v>243617.15</v>
      </c>
      <c r="W358" s="103">
        <f t="shared" si="6"/>
        <v>61953.5</v>
      </c>
      <c r="X358" s="103">
        <f t="shared" si="7"/>
        <v>1692929.35</v>
      </c>
    </row>
    <row r="359" ht="12.0" customHeight="1">
      <c r="A3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59" s="87" t="str">
        <f>IFERROR(__xludf.DUMMYFUNCTION("IFERROR(IF(F359&lt;&gt;"""",""WHSE ""&amp;LEFT(F359,1),REGEXEXTRACT(E359,""-(?:\d{2}-)?([A-Z]+)"")),"""")
"),"WHSE D")</f>
        <v>WHSE D</v>
      </c>
      <c r="C359" s="88">
        <v>45972.0</v>
      </c>
      <c r="D359" s="89" t="s">
        <v>72</v>
      </c>
      <c r="E359" s="90" t="s">
        <v>423</v>
      </c>
      <c r="F359" s="90" t="s">
        <v>424</v>
      </c>
      <c r="G359" s="98" t="s">
        <v>73</v>
      </c>
      <c r="H359" s="92">
        <v>18720.0</v>
      </c>
      <c r="I359" s="99">
        <v>457.0</v>
      </c>
      <c r="J359" s="94">
        <v>11.74</v>
      </c>
      <c r="K359" s="100">
        <v>2.36</v>
      </c>
      <c r="L359" s="100">
        <v>0.575</v>
      </c>
      <c r="M359" s="100">
        <v>0.595</v>
      </c>
      <c r="N359" s="101">
        <v>12.44</v>
      </c>
      <c r="O359" s="94">
        <v>2.77</v>
      </c>
      <c r="P359" s="101">
        <v>84.79</v>
      </c>
      <c r="Q359" s="102"/>
      <c r="R359" s="103">
        <f t="shared" si="1"/>
        <v>219772.8</v>
      </c>
      <c r="S359" s="103">
        <f t="shared" si="2"/>
        <v>44179.2</v>
      </c>
      <c r="T359" s="103">
        <f t="shared" si="3"/>
        <v>10764</v>
      </c>
      <c r="U359" s="103">
        <f t="shared" si="4"/>
        <v>11138.4</v>
      </c>
      <c r="V359" s="103">
        <f t="shared" si="5"/>
        <v>232876.8</v>
      </c>
      <c r="W359" s="103">
        <f t="shared" si="6"/>
        <v>51854.4</v>
      </c>
      <c r="X359" s="103">
        <f t="shared" si="7"/>
        <v>1587268.8</v>
      </c>
    </row>
    <row r="360" ht="12.0" customHeight="1">
      <c r="A3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60" s="87" t="str">
        <f>IFERROR(__xludf.DUMMYFUNCTION("IFERROR(IF(F360&lt;&gt;"""",""WHSE ""&amp;LEFT(F360,1),REGEXEXTRACT(E360,""-(?:\d{2}-)?([A-Z]+)"")),"""")
"),"WHSE D")</f>
        <v>WHSE D</v>
      </c>
      <c r="C360" s="88">
        <v>45972.0</v>
      </c>
      <c r="D360" s="89" t="s">
        <v>286</v>
      </c>
      <c r="E360" s="90" t="s">
        <v>419</v>
      </c>
      <c r="F360" s="90" t="s">
        <v>420</v>
      </c>
      <c r="G360" s="98" t="s">
        <v>77</v>
      </c>
      <c r="H360" s="92">
        <v>16465.0</v>
      </c>
      <c r="I360" s="99">
        <v>455.0</v>
      </c>
      <c r="J360" s="94">
        <v>11.4</v>
      </c>
      <c r="K360" s="100">
        <v>2.49</v>
      </c>
      <c r="L360" s="100">
        <v>0.578</v>
      </c>
      <c r="M360" s="100">
        <v>0.598</v>
      </c>
      <c r="N360" s="101">
        <v>14.16</v>
      </c>
      <c r="O360" s="94">
        <v>2.5</v>
      </c>
      <c r="P360" s="101">
        <v>83.34</v>
      </c>
      <c r="Q360" s="102"/>
      <c r="R360" s="103">
        <f t="shared" si="1"/>
        <v>187701</v>
      </c>
      <c r="S360" s="103">
        <f t="shared" si="2"/>
        <v>40997.85</v>
      </c>
      <c r="T360" s="103">
        <f t="shared" si="3"/>
        <v>9516.77</v>
      </c>
      <c r="U360" s="103">
        <f t="shared" si="4"/>
        <v>9846.07</v>
      </c>
      <c r="V360" s="103">
        <f t="shared" si="5"/>
        <v>233144.4</v>
      </c>
      <c r="W360" s="103">
        <f t="shared" si="6"/>
        <v>41162.5</v>
      </c>
      <c r="X360" s="103">
        <f t="shared" si="7"/>
        <v>1372193.1</v>
      </c>
    </row>
    <row r="361" ht="12.0" customHeight="1">
      <c r="A3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61" s="87" t="str">
        <f>IFERROR(__xludf.DUMMYFUNCTION("IFERROR(IF(F361&lt;&gt;"""",""WHSE ""&amp;LEFT(F361,1),REGEXEXTRACT(E361,""-(?:\d{2}-)?([A-Z]+)"")),"""")
"),"WHSE D")</f>
        <v>WHSE D</v>
      </c>
      <c r="C361" s="88">
        <v>45972.0</v>
      </c>
      <c r="D361" s="89" t="s">
        <v>289</v>
      </c>
      <c r="E361" s="90" t="s">
        <v>412</v>
      </c>
      <c r="F361" s="90" t="s">
        <v>413</v>
      </c>
      <c r="G361" s="98" t="s">
        <v>354</v>
      </c>
      <c r="H361" s="92">
        <v>29305.0</v>
      </c>
      <c r="I361" s="99">
        <v>805.0</v>
      </c>
      <c r="J361" s="94">
        <v>10.6</v>
      </c>
      <c r="K361" s="100">
        <v>3.63</v>
      </c>
      <c r="L361" s="100">
        <v>0.543</v>
      </c>
      <c r="M361" s="100">
        <v>0.563</v>
      </c>
      <c r="N361" s="101">
        <v>10.71</v>
      </c>
      <c r="O361" s="94">
        <v>6.08</v>
      </c>
      <c r="P361" s="101">
        <v>83.21</v>
      </c>
      <c r="Q361" s="102"/>
      <c r="R361" s="103">
        <f t="shared" si="1"/>
        <v>310633</v>
      </c>
      <c r="S361" s="103">
        <f t="shared" si="2"/>
        <v>106377.15</v>
      </c>
      <c r="T361" s="103">
        <f t="shared" si="3"/>
        <v>15912.615</v>
      </c>
      <c r="U361" s="103">
        <f t="shared" si="4"/>
        <v>16498.715</v>
      </c>
      <c r="V361" s="103">
        <f t="shared" si="5"/>
        <v>313856.55</v>
      </c>
      <c r="W361" s="103">
        <f t="shared" si="6"/>
        <v>178174.4</v>
      </c>
      <c r="X361" s="103">
        <f t="shared" si="7"/>
        <v>2438469.05</v>
      </c>
    </row>
    <row r="362" ht="12.0" customHeight="1">
      <c r="A3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62" s="87" t="str">
        <f>IFERROR(__xludf.DUMMYFUNCTION("IFERROR(IF(F362&lt;&gt;"""",""WHSE ""&amp;LEFT(F362,1),REGEXEXTRACT(E362,""-(?:\d{2}-)?([A-Z]+)"")),"""")
"),"WHSE C")</f>
        <v>WHSE C</v>
      </c>
      <c r="C362" s="88">
        <v>45972.0</v>
      </c>
      <c r="D362" s="89" t="s">
        <v>265</v>
      </c>
      <c r="E362" s="90" t="s">
        <v>383</v>
      </c>
      <c r="F362" s="90" t="s">
        <v>384</v>
      </c>
      <c r="G362" s="98" t="s">
        <v>255</v>
      </c>
      <c r="H362" s="92">
        <v>16410.0</v>
      </c>
      <c r="I362" s="99">
        <v>350.0</v>
      </c>
      <c r="J362" s="94">
        <v>11.94</v>
      </c>
      <c r="K362" s="100">
        <v>3.46</v>
      </c>
      <c r="L362" s="100">
        <v>0.575</v>
      </c>
      <c r="M362" s="100">
        <v>0.595</v>
      </c>
      <c r="N362" s="101">
        <v>13.68</v>
      </c>
      <c r="O362" s="94">
        <v>2.42</v>
      </c>
      <c r="P362" s="101">
        <v>83.9</v>
      </c>
      <c r="Q362" s="89" t="s">
        <v>418</v>
      </c>
      <c r="R362" s="86">
        <f t="shared" si="1"/>
        <v>195935.4</v>
      </c>
      <c r="S362" s="86">
        <f t="shared" si="2"/>
        <v>56778.6</v>
      </c>
      <c r="T362" s="86">
        <f t="shared" si="3"/>
        <v>9435.75</v>
      </c>
      <c r="U362" s="86">
        <f t="shared" si="4"/>
        <v>9763.95</v>
      </c>
      <c r="V362" s="86">
        <f t="shared" si="5"/>
        <v>224488.8</v>
      </c>
      <c r="W362" s="86">
        <f t="shared" si="6"/>
        <v>39712.2</v>
      </c>
      <c r="X362" s="86">
        <f t="shared" si="7"/>
        <v>1376799</v>
      </c>
    </row>
    <row r="363" ht="12.0" customHeight="1">
      <c r="A3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63" s="87" t="str">
        <f>IFERROR(__xludf.DUMMYFUNCTION("IFERROR(IF(F363&lt;&gt;"""",""WHSE ""&amp;LEFT(F363,1),REGEXEXTRACT(E363,""-(?:\d{2}-)?([A-Z]+)"")),"""")
"),"WHSE D")</f>
        <v>WHSE D</v>
      </c>
      <c r="C363" s="88">
        <v>45972.0</v>
      </c>
      <c r="D363" s="89" t="s">
        <v>60</v>
      </c>
      <c r="E363" s="90" t="s">
        <v>425</v>
      </c>
      <c r="F363" s="90" t="s">
        <v>426</v>
      </c>
      <c r="G363" s="98" t="s">
        <v>427</v>
      </c>
      <c r="H363" s="92">
        <v>20935.0</v>
      </c>
      <c r="I363" s="99">
        <v>540.0</v>
      </c>
      <c r="J363" s="94">
        <v>13.2</v>
      </c>
      <c r="K363" s="100">
        <v>3.42</v>
      </c>
      <c r="L363" s="100">
        <v>0.568</v>
      </c>
      <c r="M363" s="100">
        <v>0.588</v>
      </c>
      <c r="N363" s="101">
        <v>12.85</v>
      </c>
      <c r="O363" s="94">
        <v>3.11</v>
      </c>
      <c r="P363" s="101">
        <v>84.04</v>
      </c>
      <c r="Q363" s="89" t="s">
        <v>428</v>
      </c>
      <c r="R363" s="86">
        <f t="shared" si="1"/>
        <v>276342</v>
      </c>
      <c r="S363" s="86">
        <f t="shared" si="2"/>
        <v>71597.7</v>
      </c>
      <c r="T363" s="86">
        <f t="shared" si="3"/>
        <v>11891.08</v>
      </c>
      <c r="U363" s="86">
        <f t="shared" si="4"/>
        <v>12309.78</v>
      </c>
      <c r="V363" s="86">
        <f t="shared" si="5"/>
        <v>269014.75</v>
      </c>
      <c r="W363" s="86">
        <f t="shared" si="6"/>
        <v>65107.85</v>
      </c>
      <c r="X363" s="86">
        <f t="shared" si="7"/>
        <v>1759377.4</v>
      </c>
    </row>
    <row r="364" ht="12.0" customHeight="1">
      <c r="A3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64" s="87" t="str">
        <f>IFERROR(__xludf.DUMMYFUNCTION("IFERROR(IF(F364&lt;&gt;"""",""WHSE ""&amp;LEFT(F364,1),REGEXEXTRACT(E364,""-(?:\d{2}-)?([A-Z]+)"")),"""")
"),"")</f>
        <v/>
      </c>
      <c r="C364" s="106"/>
      <c r="D364" s="102"/>
      <c r="E364" s="104"/>
      <c r="F364" s="104"/>
      <c r="G364" s="91"/>
      <c r="H364" s="107"/>
      <c r="I364" s="93"/>
      <c r="J364" s="97"/>
      <c r="K364" s="95"/>
      <c r="L364" s="95"/>
      <c r="M364" s="95"/>
      <c r="N364" s="96"/>
      <c r="O364" s="97"/>
      <c r="P364" s="96"/>
      <c r="Q364" s="102"/>
      <c r="R364" s="103">
        <f t="shared" si="1"/>
        <v>0</v>
      </c>
      <c r="S364" s="103">
        <f t="shared" si="2"/>
        <v>0</v>
      </c>
      <c r="T364" s="103">
        <f t="shared" si="3"/>
        <v>0</v>
      </c>
      <c r="U364" s="103">
        <f t="shared" si="4"/>
        <v>0</v>
      </c>
      <c r="V364" s="103">
        <f t="shared" si="5"/>
        <v>0</v>
      </c>
      <c r="W364" s="103">
        <f t="shared" si="6"/>
        <v>0</v>
      </c>
      <c r="X364" s="103">
        <f t="shared" si="7"/>
        <v>0</v>
      </c>
    </row>
    <row r="365" ht="12.0" customHeight="1">
      <c r="A3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65" s="87" t="str">
        <f>IFERROR(__xludf.DUMMYFUNCTION("IFERROR(IF(F365&lt;&gt;"""",""WHSE ""&amp;LEFT(F365,1),REGEXEXTRACT(E365,""-(?:\d{2}-)?([A-Z]+)"")),"""")
"),"WHSE D")</f>
        <v>WHSE D</v>
      </c>
      <c r="C365" s="88">
        <v>45973.0</v>
      </c>
      <c r="D365" s="89" t="s">
        <v>72</v>
      </c>
      <c r="E365" s="90" t="s">
        <v>423</v>
      </c>
      <c r="F365" s="90" t="s">
        <v>424</v>
      </c>
      <c r="G365" s="98" t="s">
        <v>77</v>
      </c>
      <c r="H365" s="92">
        <v>17045.0</v>
      </c>
      <c r="I365" s="99">
        <v>423.0</v>
      </c>
      <c r="J365" s="94">
        <v>11.8</v>
      </c>
      <c r="K365" s="100">
        <v>2.41</v>
      </c>
      <c r="L365" s="100">
        <v>0.571</v>
      </c>
      <c r="M365" s="100">
        <v>0.591</v>
      </c>
      <c r="N365" s="101">
        <v>13.61</v>
      </c>
      <c r="O365" s="94">
        <v>3.29</v>
      </c>
      <c r="P365" s="101">
        <v>83.1</v>
      </c>
      <c r="Q365" s="102"/>
      <c r="R365" s="103">
        <f t="shared" si="1"/>
        <v>201131</v>
      </c>
      <c r="S365" s="103">
        <f t="shared" si="2"/>
        <v>41078.45</v>
      </c>
      <c r="T365" s="103">
        <f t="shared" si="3"/>
        <v>9732.695</v>
      </c>
      <c r="U365" s="103">
        <f t="shared" si="4"/>
        <v>10073.595</v>
      </c>
      <c r="V365" s="103">
        <f t="shared" si="5"/>
        <v>231982.45</v>
      </c>
      <c r="W365" s="103">
        <f t="shared" si="6"/>
        <v>56078.05</v>
      </c>
      <c r="X365" s="103">
        <f t="shared" si="7"/>
        <v>1416439.5</v>
      </c>
    </row>
    <row r="366" ht="12.0" customHeight="1">
      <c r="A3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66" s="87" t="str">
        <f>IFERROR(__xludf.DUMMYFUNCTION("IFERROR(IF(F366&lt;&gt;"""",""WHSE ""&amp;LEFT(F366,1),REGEXEXTRACT(E366,""-(?:\d{2}-)?([A-Z]+)"")),"""")
"),"WHSE C")</f>
        <v>WHSE C</v>
      </c>
      <c r="C366" s="88">
        <v>45973.0</v>
      </c>
      <c r="D366" s="89" t="s">
        <v>232</v>
      </c>
      <c r="E366" s="90" t="s">
        <v>421</v>
      </c>
      <c r="F366" s="90" t="s">
        <v>422</v>
      </c>
      <c r="G366" s="98" t="s">
        <v>235</v>
      </c>
      <c r="H366" s="92">
        <v>11445.0</v>
      </c>
      <c r="I366" s="99">
        <v>384.0</v>
      </c>
      <c r="J366" s="94">
        <v>10.34</v>
      </c>
      <c r="K366" s="100">
        <v>3.11</v>
      </c>
      <c r="L366" s="100">
        <v>0.575</v>
      </c>
      <c r="M366" s="100">
        <v>0.595</v>
      </c>
      <c r="N366" s="101">
        <v>14.04</v>
      </c>
      <c r="O366" s="94">
        <v>2.99</v>
      </c>
      <c r="P366" s="101">
        <v>82.97</v>
      </c>
      <c r="Q366" s="102"/>
      <c r="R366" s="103">
        <f t="shared" si="1"/>
        <v>118341.3</v>
      </c>
      <c r="S366" s="103">
        <f t="shared" si="2"/>
        <v>35593.95</v>
      </c>
      <c r="T366" s="103">
        <f t="shared" si="3"/>
        <v>6580.875</v>
      </c>
      <c r="U366" s="103">
        <f t="shared" si="4"/>
        <v>6809.775</v>
      </c>
      <c r="V366" s="103">
        <f t="shared" si="5"/>
        <v>160687.8</v>
      </c>
      <c r="W366" s="103">
        <f t="shared" si="6"/>
        <v>34220.55</v>
      </c>
      <c r="X366" s="103">
        <f t="shared" si="7"/>
        <v>949591.65</v>
      </c>
    </row>
    <row r="367" ht="12.0" customHeight="1">
      <c r="A3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67" s="87" t="str">
        <f>IFERROR(__xludf.DUMMYFUNCTION("IFERROR(IF(F367&lt;&gt;"""",""WHSE ""&amp;LEFT(F367,1),REGEXEXTRACT(E367,""-(?:\d{2}-)?([A-Z]+)"")),"""")
"),"WHSE D")</f>
        <v>WHSE D</v>
      </c>
      <c r="C367" s="88">
        <v>45973.0</v>
      </c>
      <c r="D367" s="89" t="s">
        <v>286</v>
      </c>
      <c r="E367" s="90" t="s">
        <v>419</v>
      </c>
      <c r="F367" s="90" t="s">
        <v>420</v>
      </c>
      <c r="G367" s="98" t="s">
        <v>73</v>
      </c>
      <c r="H367" s="92">
        <v>19535.0</v>
      </c>
      <c r="I367" s="99">
        <v>440.0</v>
      </c>
      <c r="J367" s="94">
        <v>11.6</v>
      </c>
      <c r="K367" s="100">
        <v>2.44</v>
      </c>
      <c r="L367" s="100">
        <v>0.575</v>
      </c>
      <c r="M367" s="100">
        <v>0.595</v>
      </c>
      <c r="N367" s="101">
        <v>13.43</v>
      </c>
      <c r="O367" s="94">
        <v>2.86</v>
      </c>
      <c r="P367" s="101">
        <v>83.71</v>
      </c>
      <c r="Q367" s="102"/>
      <c r="R367" s="103">
        <f t="shared" si="1"/>
        <v>226606</v>
      </c>
      <c r="S367" s="103">
        <f t="shared" si="2"/>
        <v>47665.4</v>
      </c>
      <c r="T367" s="103">
        <f t="shared" si="3"/>
        <v>11232.625</v>
      </c>
      <c r="U367" s="103">
        <f t="shared" si="4"/>
        <v>11623.325</v>
      </c>
      <c r="V367" s="103">
        <f t="shared" si="5"/>
        <v>262355.05</v>
      </c>
      <c r="W367" s="103">
        <f t="shared" si="6"/>
        <v>55870.1</v>
      </c>
      <c r="X367" s="103">
        <f t="shared" si="7"/>
        <v>1635274.85</v>
      </c>
    </row>
    <row r="368" ht="12.0" customHeight="1">
      <c r="A3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68" s="87" t="str">
        <f>IFERROR(__xludf.DUMMYFUNCTION("IFERROR(IF(F368&lt;&gt;"""",""WHSE ""&amp;LEFT(F368,1),REGEXEXTRACT(E368,""-(?:\d{2}-)?([A-Z]+)"")),"""")
"),"WHSE D")</f>
        <v>WHSE D</v>
      </c>
      <c r="C368" s="88">
        <v>45973.0</v>
      </c>
      <c r="D368" s="89" t="s">
        <v>361</v>
      </c>
      <c r="E368" s="90" t="s">
        <v>429</v>
      </c>
      <c r="F368" s="90" t="s">
        <v>430</v>
      </c>
      <c r="G368" s="98" t="s">
        <v>362</v>
      </c>
      <c r="H368" s="92">
        <v>5931.0</v>
      </c>
      <c r="I368" s="99">
        <v>157.0</v>
      </c>
      <c r="J368" s="94">
        <v>13.8</v>
      </c>
      <c r="K368" s="100">
        <v>2.24</v>
      </c>
      <c r="L368" s="100">
        <v>0.581</v>
      </c>
      <c r="M368" s="100">
        <v>0.601</v>
      </c>
      <c r="N368" s="101">
        <v>15.2</v>
      </c>
      <c r="O368" s="94">
        <v>3.38</v>
      </c>
      <c r="P368" s="101">
        <v>81.42</v>
      </c>
      <c r="Q368" s="89" t="s">
        <v>431</v>
      </c>
      <c r="R368" s="86">
        <f t="shared" si="1"/>
        <v>81847.8</v>
      </c>
      <c r="S368" s="86">
        <f t="shared" si="2"/>
        <v>13285.44</v>
      </c>
      <c r="T368" s="86">
        <f t="shared" si="3"/>
        <v>3445.911</v>
      </c>
      <c r="U368" s="86">
        <f t="shared" si="4"/>
        <v>3564.531</v>
      </c>
      <c r="V368" s="86">
        <f t="shared" si="5"/>
        <v>90151.2</v>
      </c>
      <c r="W368" s="86">
        <f t="shared" si="6"/>
        <v>20046.78</v>
      </c>
      <c r="X368" s="86">
        <f t="shared" si="7"/>
        <v>482902.02</v>
      </c>
    </row>
    <row r="369" ht="12.0" customHeight="1">
      <c r="A3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69" s="87" t="str">
        <f>IFERROR(__xludf.DUMMYFUNCTION("IFERROR(IF(F369&lt;&gt;"""",""WHSE ""&amp;LEFT(F369,1),REGEXEXTRACT(E369,""-(?:\d{2}-)?([A-Z]+)"")),"""")
"),"WHSE C")</f>
        <v>WHSE C</v>
      </c>
      <c r="C369" s="88">
        <v>45973.0</v>
      </c>
      <c r="D369" s="89" t="s">
        <v>232</v>
      </c>
      <c r="E369" s="90" t="s">
        <v>421</v>
      </c>
      <c r="F369" s="90" t="s">
        <v>422</v>
      </c>
      <c r="G369" s="98" t="s">
        <v>328</v>
      </c>
      <c r="H369" s="92">
        <v>20415.0</v>
      </c>
      <c r="I369" s="99">
        <v>582.0</v>
      </c>
      <c r="J369" s="94">
        <v>10.94</v>
      </c>
      <c r="K369" s="100">
        <v>3.61</v>
      </c>
      <c r="L369" s="100">
        <v>0.559</v>
      </c>
      <c r="M369" s="100">
        <v>0.579</v>
      </c>
      <c r="N369" s="101">
        <v>12.25</v>
      </c>
      <c r="O369" s="94">
        <v>3.88</v>
      </c>
      <c r="P369" s="101">
        <v>83.87</v>
      </c>
      <c r="Q369" s="102"/>
      <c r="R369" s="103">
        <f t="shared" si="1"/>
        <v>223340.1</v>
      </c>
      <c r="S369" s="103">
        <f t="shared" si="2"/>
        <v>73698.15</v>
      </c>
      <c r="T369" s="103">
        <f t="shared" si="3"/>
        <v>11411.985</v>
      </c>
      <c r="U369" s="103">
        <f t="shared" si="4"/>
        <v>11820.285</v>
      </c>
      <c r="V369" s="103">
        <f t="shared" si="5"/>
        <v>250083.75</v>
      </c>
      <c r="W369" s="103">
        <f t="shared" si="6"/>
        <v>79210.2</v>
      </c>
      <c r="X369" s="103">
        <f t="shared" si="7"/>
        <v>1712206.05</v>
      </c>
    </row>
    <row r="370" ht="12.0" customHeight="1">
      <c r="A3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70" s="87" t="str">
        <f>IFERROR(__xludf.DUMMYFUNCTION("IFERROR(IF(F370&lt;&gt;"""",""WHSE ""&amp;LEFT(F370,1),REGEXEXTRACT(E370,""-(?:\d{2}-)?([A-Z]+)"")),"""")
"),"")</f>
        <v/>
      </c>
      <c r="C370" s="106"/>
      <c r="D370" s="102"/>
      <c r="E370" s="104"/>
      <c r="F370" s="104"/>
      <c r="G370" s="91"/>
      <c r="H370" s="107"/>
      <c r="I370" s="93"/>
      <c r="J370" s="97"/>
      <c r="K370" s="95"/>
      <c r="L370" s="95"/>
      <c r="M370" s="95"/>
      <c r="N370" s="96"/>
      <c r="O370" s="97"/>
      <c r="P370" s="96"/>
      <c r="Q370" s="102"/>
      <c r="R370" s="103">
        <f t="shared" si="1"/>
        <v>0</v>
      </c>
      <c r="S370" s="103">
        <f t="shared" si="2"/>
        <v>0</v>
      </c>
      <c r="T370" s="103">
        <f t="shared" si="3"/>
        <v>0</v>
      </c>
      <c r="U370" s="103">
        <f t="shared" si="4"/>
        <v>0</v>
      </c>
      <c r="V370" s="103">
        <f t="shared" si="5"/>
        <v>0</v>
      </c>
      <c r="W370" s="103">
        <f t="shared" si="6"/>
        <v>0</v>
      </c>
      <c r="X370" s="103">
        <f t="shared" si="7"/>
        <v>0</v>
      </c>
    </row>
    <row r="371" ht="12.0" customHeight="1">
      <c r="A3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71" s="87" t="str">
        <f>IFERROR(__xludf.DUMMYFUNCTION("IFERROR(IF(F371&lt;&gt;"""",""WHSE ""&amp;LEFT(F371,1),REGEXEXTRACT(E371,""-(?:\d{2}-)?([A-Z]+)"")),"""")
"),"WHSE D")</f>
        <v>WHSE D</v>
      </c>
      <c r="C371" s="88">
        <v>45974.0</v>
      </c>
      <c r="D371" s="89" t="s">
        <v>432</v>
      </c>
      <c r="E371" s="90" t="s">
        <v>429</v>
      </c>
      <c r="F371" s="90" t="s">
        <v>430</v>
      </c>
      <c r="G371" s="98" t="s">
        <v>433</v>
      </c>
      <c r="H371" s="92">
        <v>17864.0</v>
      </c>
      <c r="I371" s="99">
        <v>503.0</v>
      </c>
      <c r="J371" s="94">
        <v>13.87</v>
      </c>
      <c r="K371" s="100">
        <v>2.38</v>
      </c>
      <c r="L371" s="100">
        <v>0.571</v>
      </c>
      <c r="M371" s="100">
        <v>0.591</v>
      </c>
      <c r="N371" s="101">
        <v>11.85</v>
      </c>
      <c r="O371" s="94">
        <v>3.93</v>
      </c>
      <c r="P371" s="101">
        <v>84.22</v>
      </c>
      <c r="Q371" s="89" t="s">
        <v>434</v>
      </c>
      <c r="R371" s="86">
        <f t="shared" si="1"/>
        <v>247773.68</v>
      </c>
      <c r="S371" s="86">
        <f t="shared" si="2"/>
        <v>42516.32</v>
      </c>
      <c r="T371" s="86">
        <f t="shared" si="3"/>
        <v>10200.344</v>
      </c>
      <c r="U371" s="86">
        <f t="shared" si="4"/>
        <v>10557.624</v>
      </c>
      <c r="V371" s="86">
        <f t="shared" si="5"/>
        <v>211688.4</v>
      </c>
      <c r="W371" s="86">
        <f t="shared" si="6"/>
        <v>70205.52</v>
      </c>
      <c r="X371" s="86">
        <f t="shared" si="7"/>
        <v>1504506.08</v>
      </c>
    </row>
    <row r="372" ht="12.0" customHeight="1">
      <c r="A3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72" s="87" t="str">
        <f>IFERROR(__xludf.DUMMYFUNCTION("IFERROR(IF(F372&lt;&gt;"""",""WHSE ""&amp;LEFT(F372,1),REGEXEXTRACT(E372,""-(?:\d{2}-)?([A-Z]+)"")),"""")
"),"")</f>
        <v/>
      </c>
      <c r="C372" s="106"/>
      <c r="D372" s="102"/>
      <c r="E372" s="104"/>
      <c r="F372" s="104"/>
      <c r="G372" s="91"/>
      <c r="H372" s="107"/>
      <c r="I372" s="93"/>
      <c r="J372" s="97"/>
      <c r="K372" s="95"/>
      <c r="L372" s="95"/>
      <c r="M372" s="95"/>
      <c r="N372" s="96"/>
      <c r="O372" s="97"/>
      <c r="P372" s="96"/>
      <c r="Q372" s="102"/>
      <c r="R372" s="103">
        <f t="shared" si="1"/>
        <v>0</v>
      </c>
      <c r="S372" s="103">
        <f t="shared" si="2"/>
        <v>0</v>
      </c>
      <c r="T372" s="103">
        <f t="shared" si="3"/>
        <v>0</v>
      </c>
      <c r="U372" s="103">
        <f t="shared" si="4"/>
        <v>0</v>
      </c>
      <c r="V372" s="103">
        <f t="shared" si="5"/>
        <v>0</v>
      </c>
      <c r="W372" s="103">
        <f t="shared" si="6"/>
        <v>0</v>
      </c>
      <c r="X372" s="103">
        <f t="shared" si="7"/>
        <v>0</v>
      </c>
    </row>
    <row r="373" ht="12.0" customHeight="1">
      <c r="A3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73" s="87" t="str">
        <f>IFERROR(__xludf.DUMMYFUNCTION("IFERROR(IF(F373&lt;&gt;"""",""WHSE ""&amp;LEFT(F373,1),REGEXEXTRACT(E373,""-(?:\d{2}-)?([A-Z]+)"")),"""")
"),"WHSE D")</f>
        <v>WHSE D</v>
      </c>
      <c r="C373" s="88">
        <v>45975.0</v>
      </c>
      <c r="D373" s="89" t="s">
        <v>72</v>
      </c>
      <c r="E373" s="90" t="s">
        <v>423</v>
      </c>
      <c r="F373" s="90" t="s">
        <v>424</v>
      </c>
      <c r="G373" s="98" t="s">
        <v>77</v>
      </c>
      <c r="H373" s="92">
        <v>17910.0</v>
      </c>
      <c r="I373" s="99">
        <v>470.0</v>
      </c>
      <c r="J373" s="94">
        <v>13.54</v>
      </c>
      <c r="K373" s="100">
        <v>2.74</v>
      </c>
      <c r="L373" s="100">
        <v>0.578</v>
      </c>
      <c r="M373" s="100">
        <v>0.598</v>
      </c>
      <c r="N373" s="101">
        <v>13.08</v>
      </c>
      <c r="O373" s="94">
        <v>3.62</v>
      </c>
      <c r="P373" s="101">
        <v>83.3</v>
      </c>
      <c r="Q373" s="102"/>
      <c r="R373" s="103">
        <f t="shared" si="1"/>
        <v>242501.4</v>
      </c>
      <c r="S373" s="103">
        <f t="shared" si="2"/>
        <v>49073.4</v>
      </c>
      <c r="T373" s="103">
        <f t="shared" si="3"/>
        <v>10351.98</v>
      </c>
      <c r="U373" s="103">
        <f t="shared" si="4"/>
        <v>10710.18</v>
      </c>
      <c r="V373" s="103">
        <f t="shared" si="5"/>
        <v>234262.8</v>
      </c>
      <c r="W373" s="103">
        <f t="shared" si="6"/>
        <v>64834.2</v>
      </c>
      <c r="X373" s="103">
        <f t="shared" si="7"/>
        <v>1491903</v>
      </c>
    </row>
    <row r="374" ht="12.0" customHeight="1">
      <c r="A3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74" s="87" t="str">
        <f>IFERROR(__xludf.DUMMYFUNCTION("IFERROR(IF(F374&lt;&gt;"""",""WHSE ""&amp;LEFT(F374,1),REGEXEXTRACT(E374,""-(?:\d{2}-)?([A-Z]+)"")),"""")
"),"")</f>
        <v/>
      </c>
      <c r="C374" s="106"/>
      <c r="D374" s="102"/>
      <c r="E374" s="104"/>
      <c r="F374" s="104"/>
      <c r="G374" s="91"/>
      <c r="H374" s="107"/>
      <c r="I374" s="93"/>
      <c r="J374" s="97"/>
      <c r="K374" s="95"/>
      <c r="L374" s="95"/>
      <c r="M374" s="95"/>
      <c r="N374" s="96"/>
      <c r="O374" s="97"/>
      <c r="P374" s="96"/>
      <c r="Q374" s="102"/>
      <c r="R374" s="103">
        <f t="shared" si="1"/>
        <v>0</v>
      </c>
      <c r="S374" s="103">
        <f t="shared" si="2"/>
        <v>0</v>
      </c>
      <c r="T374" s="103">
        <f t="shared" si="3"/>
        <v>0</v>
      </c>
      <c r="U374" s="103">
        <f t="shared" si="4"/>
        <v>0</v>
      </c>
      <c r="V374" s="103">
        <f t="shared" si="5"/>
        <v>0</v>
      </c>
      <c r="W374" s="103">
        <f t="shared" si="6"/>
        <v>0</v>
      </c>
      <c r="X374" s="103">
        <f t="shared" si="7"/>
        <v>0</v>
      </c>
    </row>
    <row r="375" ht="12.0" customHeight="1">
      <c r="A3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75" s="87" t="str">
        <f>IFERROR(__xludf.DUMMYFUNCTION("IFERROR(IF(F375&lt;&gt;"""",""WHSE ""&amp;LEFT(F375,1),REGEXEXTRACT(E375,""-(?:\d{2}-)?([A-Z]+)"")),"""")
"),"WHSE D")</f>
        <v>WHSE D</v>
      </c>
      <c r="C375" s="88">
        <v>45976.0</v>
      </c>
      <c r="D375" s="89" t="s">
        <v>277</v>
      </c>
      <c r="E375" s="90" t="s">
        <v>435</v>
      </c>
      <c r="F375" s="90" t="s">
        <v>436</v>
      </c>
      <c r="G375" s="98" t="s">
        <v>437</v>
      </c>
      <c r="H375" s="92">
        <v>19844.0</v>
      </c>
      <c r="I375" s="99">
        <v>457.0</v>
      </c>
      <c r="J375" s="94">
        <v>15.74</v>
      </c>
      <c r="K375" s="100">
        <v>3.71</v>
      </c>
      <c r="L375" s="100">
        <v>0.568</v>
      </c>
      <c r="M375" s="100">
        <v>0.588</v>
      </c>
      <c r="N375" s="101">
        <v>11.8</v>
      </c>
      <c r="O375" s="94">
        <v>3.84</v>
      </c>
      <c r="P375" s="101">
        <v>84.36</v>
      </c>
      <c r="Q375" s="89" t="s">
        <v>438</v>
      </c>
      <c r="R375" s="86">
        <f t="shared" si="1"/>
        <v>312344.56</v>
      </c>
      <c r="S375" s="86">
        <f t="shared" si="2"/>
        <v>73621.24</v>
      </c>
      <c r="T375" s="86">
        <f t="shared" si="3"/>
        <v>11271.392</v>
      </c>
      <c r="U375" s="86">
        <f t="shared" si="4"/>
        <v>11668.272</v>
      </c>
      <c r="V375" s="86">
        <f t="shared" si="5"/>
        <v>234159.2</v>
      </c>
      <c r="W375" s="86">
        <f t="shared" si="6"/>
        <v>76200.96</v>
      </c>
      <c r="X375" s="86">
        <f t="shared" si="7"/>
        <v>1674039.84</v>
      </c>
    </row>
    <row r="376" ht="12.0" customHeight="1">
      <c r="A3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76" s="87" t="str">
        <f>IFERROR(__xludf.DUMMYFUNCTION("IFERROR(IF(F376&lt;&gt;"""",""WHSE ""&amp;LEFT(F376,1),REGEXEXTRACT(E376,""-(?:\d{2}-)?([A-Z]+)"")),"""")
"),"")</f>
        <v/>
      </c>
      <c r="C376" s="106"/>
      <c r="D376" s="102"/>
      <c r="E376" s="104"/>
      <c r="F376" s="104"/>
      <c r="G376" s="91"/>
      <c r="H376" s="107"/>
      <c r="I376" s="93"/>
      <c r="J376" s="94">
        <v>13.94</v>
      </c>
      <c r="K376" s="95"/>
      <c r="L376" s="95"/>
      <c r="M376" s="95"/>
      <c r="N376" s="96"/>
      <c r="O376" s="97"/>
      <c r="P376" s="96"/>
      <c r="Q376" s="102"/>
      <c r="R376" s="103">
        <f t="shared" si="1"/>
        <v>0</v>
      </c>
      <c r="S376" s="103">
        <f t="shared" si="2"/>
        <v>0</v>
      </c>
      <c r="T376" s="103">
        <f t="shared" si="3"/>
        <v>0</v>
      </c>
      <c r="U376" s="103">
        <f t="shared" si="4"/>
        <v>0</v>
      </c>
      <c r="V376" s="103">
        <f t="shared" si="5"/>
        <v>0</v>
      </c>
      <c r="W376" s="103">
        <f t="shared" si="6"/>
        <v>0</v>
      </c>
      <c r="X376" s="103">
        <f t="shared" si="7"/>
        <v>0</v>
      </c>
    </row>
    <row r="377" ht="12.0" customHeight="1">
      <c r="A3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77" s="87" t="str">
        <f>IFERROR(__xludf.DUMMYFUNCTION("IFERROR(IF(F377&lt;&gt;"""",""WHSE ""&amp;LEFT(F377,1),REGEXEXTRACT(E377,""-(?:\d{2}-)?([A-Z]+)"")),"""")
"),"WHSE D")</f>
        <v>WHSE D</v>
      </c>
      <c r="C377" s="88">
        <v>45976.0</v>
      </c>
      <c r="D377" s="89" t="s">
        <v>60</v>
      </c>
      <c r="E377" s="90" t="s">
        <v>425</v>
      </c>
      <c r="F377" s="90" t="s">
        <v>426</v>
      </c>
      <c r="G377" s="98" t="s">
        <v>427</v>
      </c>
      <c r="H377" s="92">
        <v>20310.0</v>
      </c>
      <c r="I377" s="99">
        <v>428.0</v>
      </c>
      <c r="J377" s="94">
        <v>13.07</v>
      </c>
      <c r="K377" s="100">
        <v>2.83</v>
      </c>
      <c r="L377" s="100">
        <v>0.571</v>
      </c>
      <c r="M377" s="100">
        <v>0.591</v>
      </c>
      <c r="N377" s="101">
        <v>12.7</v>
      </c>
      <c r="O377" s="94">
        <v>3.54</v>
      </c>
      <c r="P377" s="101">
        <v>83.76</v>
      </c>
      <c r="Q377" s="89" t="s">
        <v>439</v>
      </c>
      <c r="R377" s="86">
        <f t="shared" si="1"/>
        <v>265451.7</v>
      </c>
      <c r="S377" s="86">
        <f t="shared" si="2"/>
        <v>57477.3</v>
      </c>
      <c r="T377" s="86">
        <f t="shared" si="3"/>
        <v>11597.01</v>
      </c>
      <c r="U377" s="86">
        <f t="shared" si="4"/>
        <v>12003.21</v>
      </c>
      <c r="V377" s="86">
        <f t="shared" si="5"/>
        <v>257937</v>
      </c>
      <c r="W377" s="86">
        <f t="shared" si="6"/>
        <v>71897.4</v>
      </c>
      <c r="X377" s="86">
        <f t="shared" si="7"/>
        <v>1701165.6</v>
      </c>
    </row>
    <row r="378" ht="12.0" customHeight="1">
      <c r="A3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78" s="87" t="str">
        <f>IFERROR(__xludf.DUMMYFUNCTION("IFERROR(IF(F378&lt;&gt;"""",""WHSE ""&amp;LEFT(F378,1),REGEXEXTRACT(E378,""-(?:\d{2}-)?([A-Z]+)"")),"""")
"),"")</f>
        <v/>
      </c>
      <c r="C378" s="106"/>
      <c r="D378" s="102"/>
      <c r="E378" s="104"/>
      <c r="F378" s="104"/>
      <c r="G378" s="91"/>
      <c r="H378" s="107"/>
      <c r="I378" s="93"/>
      <c r="J378" s="97"/>
      <c r="K378" s="95"/>
      <c r="L378" s="95"/>
      <c r="M378" s="95"/>
      <c r="N378" s="96"/>
      <c r="O378" s="97"/>
      <c r="P378" s="96"/>
      <c r="Q378" s="102"/>
      <c r="R378" s="103">
        <f t="shared" si="1"/>
        <v>0</v>
      </c>
      <c r="S378" s="103">
        <f t="shared" si="2"/>
        <v>0</v>
      </c>
      <c r="T378" s="103">
        <f t="shared" si="3"/>
        <v>0</v>
      </c>
      <c r="U378" s="103">
        <f t="shared" si="4"/>
        <v>0</v>
      </c>
      <c r="V378" s="103">
        <f t="shared" si="5"/>
        <v>0</v>
      </c>
      <c r="W378" s="103">
        <f t="shared" si="6"/>
        <v>0</v>
      </c>
      <c r="X378" s="103">
        <f t="shared" si="7"/>
        <v>0</v>
      </c>
    </row>
    <row r="379" ht="12.0" customHeight="1">
      <c r="A3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79" s="87" t="str">
        <f>IFERROR(__xludf.DUMMYFUNCTION("IFERROR(IF(F379&lt;&gt;"""",""WHSE ""&amp;LEFT(F379,1),REGEXEXTRACT(E379,""-(?:\d{2}-)?([A-Z]+)"")),"""")
"),"WHSE D")</f>
        <v>WHSE D</v>
      </c>
      <c r="C379" s="88">
        <v>45978.0</v>
      </c>
      <c r="D379" s="89" t="s">
        <v>72</v>
      </c>
      <c r="E379" s="90" t="s">
        <v>440</v>
      </c>
      <c r="F379" s="90" t="s">
        <v>441</v>
      </c>
      <c r="G379" s="98" t="s">
        <v>77</v>
      </c>
      <c r="H379" s="92">
        <v>17785.0</v>
      </c>
      <c r="I379" s="99">
        <v>434.0</v>
      </c>
      <c r="J379" s="94">
        <v>11.8</v>
      </c>
      <c r="K379" s="100">
        <v>2.21</v>
      </c>
      <c r="L379" s="100">
        <v>0.575</v>
      </c>
      <c r="M379" s="100">
        <v>0.595</v>
      </c>
      <c r="N379" s="101">
        <v>12.48</v>
      </c>
      <c r="O379" s="94">
        <v>3.17</v>
      </c>
      <c r="P379" s="101">
        <v>84.35</v>
      </c>
      <c r="Q379" s="102"/>
      <c r="R379" s="103">
        <f t="shared" si="1"/>
        <v>209863</v>
      </c>
      <c r="S379" s="103">
        <f t="shared" si="2"/>
        <v>39304.85</v>
      </c>
      <c r="T379" s="103">
        <f t="shared" si="3"/>
        <v>10226.375</v>
      </c>
      <c r="U379" s="103">
        <f t="shared" si="4"/>
        <v>10582.075</v>
      </c>
      <c r="V379" s="103">
        <f t="shared" si="5"/>
        <v>221956.8</v>
      </c>
      <c r="W379" s="103">
        <f t="shared" si="6"/>
        <v>56378.45</v>
      </c>
      <c r="X379" s="103">
        <f t="shared" si="7"/>
        <v>1500164.75</v>
      </c>
    </row>
    <row r="380" ht="12.0" customHeight="1">
      <c r="A3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80" s="87" t="str">
        <f>IFERROR(__xludf.DUMMYFUNCTION("IFERROR(IF(F380&lt;&gt;"""",""WHSE ""&amp;LEFT(F380,1),REGEXEXTRACT(E380,""-(?:\d{2}-)?([A-Z]+)"")),"""")
"),"WHSE D")</f>
        <v>WHSE D</v>
      </c>
      <c r="C380" s="88">
        <v>45978.0</v>
      </c>
      <c r="D380" s="89" t="s">
        <v>286</v>
      </c>
      <c r="E380" s="90" t="s">
        <v>419</v>
      </c>
      <c r="F380" s="90" t="s">
        <v>420</v>
      </c>
      <c r="G380" s="98" t="s">
        <v>73</v>
      </c>
      <c r="H380" s="92">
        <v>16265.0</v>
      </c>
      <c r="I380" s="99">
        <v>427.0</v>
      </c>
      <c r="J380" s="94">
        <v>11.34</v>
      </c>
      <c r="K380" s="100">
        <v>2.24</v>
      </c>
      <c r="L380" s="100">
        <v>0.578</v>
      </c>
      <c r="M380" s="100">
        <v>0.598</v>
      </c>
      <c r="N380" s="101">
        <v>12.99</v>
      </c>
      <c r="O380" s="94">
        <v>2.91</v>
      </c>
      <c r="P380" s="101">
        <v>84.1</v>
      </c>
      <c r="Q380" s="102"/>
      <c r="R380" s="103">
        <f t="shared" si="1"/>
        <v>184445.1</v>
      </c>
      <c r="S380" s="103">
        <f t="shared" si="2"/>
        <v>36433.6</v>
      </c>
      <c r="T380" s="103">
        <f t="shared" si="3"/>
        <v>9401.17</v>
      </c>
      <c r="U380" s="103">
        <f t="shared" si="4"/>
        <v>9726.47</v>
      </c>
      <c r="V380" s="103">
        <f t="shared" si="5"/>
        <v>211282.35</v>
      </c>
      <c r="W380" s="103">
        <f t="shared" si="6"/>
        <v>47331.15</v>
      </c>
      <c r="X380" s="103">
        <f t="shared" si="7"/>
        <v>1367886.5</v>
      </c>
    </row>
    <row r="381" ht="12.0" customHeight="1">
      <c r="A3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81" s="87" t="str">
        <f>IFERROR(__xludf.DUMMYFUNCTION("IFERROR(IF(F381&lt;&gt;"""",""WHSE ""&amp;LEFT(F381,1),REGEXEXTRACT(E381,""-(?:\d{2}-)?([A-Z]+)"")),"""")
"),"WHSE C")</f>
        <v>WHSE C</v>
      </c>
      <c r="C381" s="88">
        <v>45978.0</v>
      </c>
      <c r="D381" s="89" t="s">
        <v>277</v>
      </c>
      <c r="E381" s="90" t="s">
        <v>442</v>
      </c>
      <c r="F381" s="90" t="s">
        <v>443</v>
      </c>
      <c r="G381" s="98" t="s">
        <v>444</v>
      </c>
      <c r="H381" s="92">
        <v>2535.0</v>
      </c>
      <c r="I381" s="99">
        <v>132.0</v>
      </c>
      <c r="J381" s="94">
        <v>9.07</v>
      </c>
      <c r="K381" s="100">
        <v>3.8</v>
      </c>
      <c r="L381" s="100">
        <v>0.571</v>
      </c>
      <c r="M381" s="100">
        <v>0.591</v>
      </c>
      <c r="N381" s="101">
        <v>13.85</v>
      </c>
      <c r="O381" s="94">
        <v>2.84</v>
      </c>
      <c r="P381" s="101">
        <v>83.31</v>
      </c>
      <c r="Q381" s="102"/>
      <c r="R381" s="103">
        <f t="shared" si="1"/>
        <v>22992.45</v>
      </c>
      <c r="S381" s="103">
        <f t="shared" si="2"/>
        <v>9633</v>
      </c>
      <c r="T381" s="103">
        <f t="shared" si="3"/>
        <v>1447.485</v>
      </c>
      <c r="U381" s="103">
        <f t="shared" si="4"/>
        <v>1498.185</v>
      </c>
      <c r="V381" s="103">
        <f t="shared" si="5"/>
        <v>35109.75</v>
      </c>
      <c r="W381" s="103">
        <f t="shared" si="6"/>
        <v>7199.4</v>
      </c>
      <c r="X381" s="103">
        <f t="shared" si="7"/>
        <v>211190.85</v>
      </c>
    </row>
    <row r="382" ht="12.0" customHeight="1">
      <c r="A3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82" s="87" t="str">
        <f>IFERROR(__xludf.DUMMYFUNCTION("IFERROR(IF(F382&lt;&gt;"""",""WHSE ""&amp;LEFT(F382,1),REGEXEXTRACT(E382,""-(?:\d{2}-)?([A-Z]+)"")),"""")
"),"WHSE C")</f>
        <v>WHSE C</v>
      </c>
      <c r="C382" s="88">
        <v>45978.0</v>
      </c>
      <c r="D382" s="89" t="s">
        <v>232</v>
      </c>
      <c r="E382" s="90" t="s">
        <v>326</v>
      </c>
      <c r="F382" s="90" t="s">
        <v>327</v>
      </c>
      <c r="G382" s="98" t="s">
        <v>235</v>
      </c>
      <c r="H382" s="92">
        <v>9825.0</v>
      </c>
      <c r="I382" s="99">
        <v>337.0</v>
      </c>
      <c r="J382" s="94">
        <v>9.4</v>
      </c>
      <c r="K382" s="100">
        <v>3.1</v>
      </c>
      <c r="L382" s="100">
        <v>0.581</v>
      </c>
      <c r="M382" s="100">
        <v>0.601</v>
      </c>
      <c r="N382" s="101">
        <v>13.12</v>
      </c>
      <c r="O382" s="94">
        <v>3.29</v>
      </c>
      <c r="P382" s="101">
        <v>83.59</v>
      </c>
      <c r="Q382" s="89" t="s">
        <v>445</v>
      </c>
      <c r="R382" s="86">
        <f t="shared" si="1"/>
        <v>92355</v>
      </c>
      <c r="S382" s="86">
        <f t="shared" si="2"/>
        <v>30457.5</v>
      </c>
      <c r="T382" s="86">
        <f t="shared" si="3"/>
        <v>5708.325</v>
      </c>
      <c r="U382" s="86">
        <f t="shared" si="4"/>
        <v>5904.825</v>
      </c>
      <c r="V382" s="86">
        <f t="shared" si="5"/>
        <v>128904</v>
      </c>
      <c r="W382" s="86">
        <f t="shared" si="6"/>
        <v>32324.25</v>
      </c>
      <c r="X382" s="86">
        <f t="shared" si="7"/>
        <v>821271.75</v>
      </c>
    </row>
    <row r="383" ht="12.0" customHeight="1">
      <c r="A3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83" s="87" t="str">
        <f>IFERROR(__xludf.DUMMYFUNCTION("IFERROR(IF(F383&lt;&gt;"""",""WHSE ""&amp;LEFT(F383,1),REGEXEXTRACT(E383,""-(?:\d{2}-)?([A-Z]+)"")),"""")
"),"WHSE C")</f>
        <v>WHSE C</v>
      </c>
      <c r="C383" s="88">
        <v>45978.0</v>
      </c>
      <c r="D383" s="89" t="s">
        <v>232</v>
      </c>
      <c r="E383" s="90" t="s">
        <v>442</v>
      </c>
      <c r="F383" s="90" t="s">
        <v>443</v>
      </c>
      <c r="G383" s="98" t="s">
        <v>328</v>
      </c>
      <c r="H383" s="92">
        <v>19720.0</v>
      </c>
      <c r="I383" s="99">
        <v>515.0</v>
      </c>
      <c r="J383" s="94">
        <v>10.47</v>
      </c>
      <c r="K383" s="100">
        <v>3.65</v>
      </c>
      <c r="L383" s="100">
        <v>0.552</v>
      </c>
      <c r="M383" s="100">
        <v>0.572</v>
      </c>
      <c r="N383" s="101">
        <v>11.88</v>
      </c>
      <c r="O383" s="94">
        <v>3.66</v>
      </c>
      <c r="P383" s="101">
        <v>84.46</v>
      </c>
      <c r="Q383" s="102"/>
      <c r="R383" s="103">
        <f t="shared" si="1"/>
        <v>206468.4</v>
      </c>
      <c r="S383" s="103">
        <f t="shared" si="2"/>
        <v>71978</v>
      </c>
      <c r="T383" s="103">
        <f t="shared" si="3"/>
        <v>10885.44</v>
      </c>
      <c r="U383" s="103">
        <f t="shared" si="4"/>
        <v>11279.84</v>
      </c>
      <c r="V383" s="103">
        <f t="shared" si="5"/>
        <v>234273.6</v>
      </c>
      <c r="W383" s="103">
        <f t="shared" si="6"/>
        <v>72175.2</v>
      </c>
      <c r="X383" s="103">
        <f t="shared" si="7"/>
        <v>1665551.2</v>
      </c>
    </row>
    <row r="384" ht="12.0" customHeight="1">
      <c r="A3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84" s="87" t="str">
        <f>IFERROR(__xludf.DUMMYFUNCTION("IFERROR(IF(F384&lt;&gt;"""",""WHSE ""&amp;LEFT(F384,1),REGEXEXTRACT(E384,""-(?:\d{2}-)?([A-Z]+)"")),"""")
"),"WHSE C")</f>
        <v>WHSE C</v>
      </c>
      <c r="C384" s="88">
        <v>45978.0</v>
      </c>
      <c r="D384" s="89" t="s">
        <v>265</v>
      </c>
      <c r="E384" s="90" t="s">
        <v>442</v>
      </c>
      <c r="F384" s="90" t="s">
        <v>443</v>
      </c>
      <c r="G384" s="98" t="s">
        <v>255</v>
      </c>
      <c r="H384" s="92">
        <v>11400.0</v>
      </c>
      <c r="I384" s="99">
        <v>350.0</v>
      </c>
      <c r="J384" s="94">
        <v>10.4</v>
      </c>
      <c r="K384" s="100">
        <v>3.63</v>
      </c>
      <c r="L384" s="100">
        <v>0.565</v>
      </c>
      <c r="M384" s="100">
        <v>0.585</v>
      </c>
      <c r="N384" s="101">
        <v>15.37</v>
      </c>
      <c r="O384" s="94">
        <v>2.58</v>
      </c>
      <c r="P384" s="101">
        <v>82.05</v>
      </c>
      <c r="Q384" s="102"/>
      <c r="R384" s="103">
        <f t="shared" si="1"/>
        <v>118560</v>
      </c>
      <c r="S384" s="103">
        <f t="shared" si="2"/>
        <v>41382</v>
      </c>
      <c r="T384" s="103">
        <f t="shared" si="3"/>
        <v>6441</v>
      </c>
      <c r="U384" s="103">
        <f t="shared" si="4"/>
        <v>6669</v>
      </c>
      <c r="V384" s="103">
        <f t="shared" si="5"/>
        <v>175218</v>
      </c>
      <c r="W384" s="103">
        <f t="shared" si="6"/>
        <v>29412</v>
      </c>
      <c r="X384" s="103">
        <f t="shared" si="7"/>
        <v>935370</v>
      </c>
    </row>
    <row r="385" ht="12.0" customHeight="1">
      <c r="A3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85" s="87" t="str">
        <f>IFERROR(__xludf.DUMMYFUNCTION("IFERROR(IF(F385&lt;&gt;"""",""WHSE ""&amp;LEFT(F385,1),REGEXEXTRACT(E385,""-(?:\d{2}-)?([A-Z]+)"")),"""")
"),"WHSE C")</f>
        <v>WHSE C</v>
      </c>
      <c r="C385" s="88">
        <v>45978.0</v>
      </c>
      <c r="D385" s="89" t="s">
        <v>232</v>
      </c>
      <c r="E385" s="90" t="s">
        <v>446</v>
      </c>
      <c r="F385" s="90" t="s">
        <v>447</v>
      </c>
      <c r="G385" s="98" t="s">
        <v>448</v>
      </c>
      <c r="H385" s="92">
        <v>22093.0</v>
      </c>
      <c r="I385" s="99">
        <v>399.0</v>
      </c>
      <c r="J385" s="94">
        <v>11.6</v>
      </c>
      <c r="K385" s="100">
        <v>3.71</v>
      </c>
      <c r="L385" s="100">
        <v>0.568</v>
      </c>
      <c r="M385" s="100">
        <v>0.588</v>
      </c>
      <c r="N385" s="101">
        <v>11.49</v>
      </c>
      <c r="O385" s="94">
        <v>4.4</v>
      </c>
      <c r="P385" s="101">
        <v>84.11</v>
      </c>
      <c r="Q385" s="89" t="s">
        <v>449</v>
      </c>
      <c r="R385" s="86">
        <f t="shared" si="1"/>
        <v>256278.8</v>
      </c>
      <c r="S385" s="86">
        <f t="shared" si="2"/>
        <v>81965.03</v>
      </c>
      <c r="T385" s="86">
        <f t="shared" si="3"/>
        <v>12548.824</v>
      </c>
      <c r="U385" s="86">
        <f t="shared" si="4"/>
        <v>12990.684</v>
      </c>
      <c r="V385" s="86">
        <f t="shared" si="5"/>
        <v>253848.57</v>
      </c>
      <c r="W385" s="86">
        <f t="shared" si="6"/>
        <v>97209.2</v>
      </c>
      <c r="X385" s="86">
        <f t="shared" si="7"/>
        <v>1858242.23</v>
      </c>
    </row>
    <row r="386" ht="12.0" customHeight="1">
      <c r="A3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86" s="87" t="str">
        <f>IFERROR(__xludf.DUMMYFUNCTION("IFERROR(IF(F386&lt;&gt;"""",""WHSE ""&amp;LEFT(F386,1),REGEXEXTRACT(E386,""-(?:\d{2}-)?([A-Z]+)"")),"""")
"),"")</f>
        <v/>
      </c>
      <c r="C386" s="106"/>
      <c r="D386" s="102"/>
      <c r="E386" s="104"/>
      <c r="F386" s="104"/>
      <c r="G386" s="91"/>
      <c r="H386" s="107"/>
      <c r="I386" s="93"/>
      <c r="J386" s="97"/>
      <c r="K386" s="95"/>
      <c r="L386" s="95"/>
      <c r="M386" s="95"/>
      <c r="N386" s="96"/>
      <c r="O386" s="97"/>
      <c r="P386" s="96"/>
      <c r="Q386" s="102"/>
      <c r="R386" s="103">
        <f t="shared" si="1"/>
        <v>0</v>
      </c>
      <c r="S386" s="103">
        <f t="shared" si="2"/>
        <v>0</v>
      </c>
      <c r="T386" s="103">
        <f t="shared" si="3"/>
        <v>0</v>
      </c>
      <c r="U386" s="103">
        <f t="shared" si="4"/>
        <v>0</v>
      </c>
      <c r="V386" s="103">
        <f t="shared" si="5"/>
        <v>0</v>
      </c>
      <c r="W386" s="103">
        <f t="shared" si="6"/>
        <v>0</v>
      </c>
      <c r="X386" s="103">
        <f t="shared" si="7"/>
        <v>0</v>
      </c>
    </row>
    <row r="387" ht="12.0" customHeight="1">
      <c r="A3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87" s="87" t="str">
        <f>IFERROR(__xludf.DUMMYFUNCTION("IFERROR(IF(F387&lt;&gt;"""",""WHSE ""&amp;LEFT(F387,1),REGEXEXTRACT(E387,""-(?:\d{2}-)?([A-Z]+)"")),"""")
"),"WHSE D")</f>
        <v>WHSE D</v>
      </c>
      <c r="C387" s="88">
        <v>45979.0</v>
      </c>
      <c r="D387" s="89" t="s">
        <v>64</v>
      </c>
      <c r="E387" s="90" t="s">
        <v>381</v>
      </c>
      <c r="F387" s="90" t="s">
        <v>382</v>
      </c>
      <c r="G387" s="98" t="s">
        <v>126</v>
      </c>
      <c r="H387" s="92">
        <v>11700.0</v>
      </c>
      <c r="I387" s="99">
        <v>270.0</v>
      </c>
      <c r="J387" s="94">
        <v>12.47</v>
      </c>
      <c r="K387" s="100">
        <v>2.4</v>
      </c>
      <c r="L387" s="100">
        <v>0.578</v>
      </c>
      <c r="M387" s="100">
        <v>0.598</v>
      </c>
      <c r="N387" s="101">
        <v>12.25</v>
      </c>
      <c r="O387" s="94">
        <v>2.74</v>
      </c>
      <c r="P387" s="101">
        <v>85.01</v>
      </c>
      <c r="Q387" s="89" t="s">
        <v>450</v>
      </c>
      <c r="R387" s="86">
        <f t="shared" si="1"/>
        <v>145899</v>
      </c>
      <c r="S387" s="86">
        <f t="shared" si="2"/>
        <v>28080</v>
      </c>
      <c r="T387" s="86">
        <f t="shared" si="3"/>
        <v>6762.6</v>
      </c>
      <c r="U387" s="86">
        <f t="shared" si="4"/>
        <v>6996.6</v>
      </c>
      <c r="V387" s="86">
        <f t="shared" si="5"/>
        <v>143325</v>
      </c>
      <c r="W387" s="86">
        <f t="shared" si="6"/>
        <v>32058</v>
      </c>
      <c r="X387" s="86">
        <f t="shared" si="7"/>
        <v>994617</v>
      </c>
    </row>
    <row r="388" ht="12.0" customHeight="1">
      <c r="A3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88" s="87" t="str">
        <f>IFERROR(__xludf.DUMMYFUNCTION("IFERROR(IF(F388&lt;&gt;"""",""WHSE ""&amp;LEFT(F388,1),REGEXEXTRACT(E388,""-(?:\d{2}-)?([A-Z]+)"")),"""")
"),"WHSE D")</f>
        <v>WHSE D</v>
      </c>
      <c r="C388" s="88">
        <v>45979.0</v>
      </c>
      <c r="D388" s="89" t="s">
        <v>64</v>
      </c>
      <c r="E388" s="90" t="s">
        <v>381</v>
      </c>
      <c r="F388" s="90" t="s">
        <v>382</v>
      </c>
      <c r="G388" s="98" t="s">
        <v>65</v>
      </c>
      <c r="H388" s="92">
        <v>20295.0</v>
      </c>
      <c r="I388" s="99">
        <v>435.0</v>
      </c>
      <c r="J388" s="94">
        <v>12.34</v>
      </c>
      <c r="K388" s="100">
        <v>2.34</v>
      </c>
      <c r="L388" s="100">
        <v>0.581</v>
      </c>
      <c r="M388" s="100">
        <v>0.601</v>
      </c>
      <c r="N388" s="101">
        <v>12.72</v>
      </c>
      <c r="O388" s="94">
        <v>3.35</v>
      </c>
      <c r="P388" s="101">
        <v>83.93</v>
      </c>
      <c r="Q388" s="89" t="s">
        <v>451</v>
      </c>
      <c r="R388" s="86">
        <f t="shared" si="1"/>
        <v>250440.3</v>
      </c>
      <c r="S388" s="86">
        <f t="shared" si="2"/>
        <v>47490.3</v>
      </c>
      <c r="T388" s="86">
        <f t="shared" si="3"/>
        <v>11791.395</v>
      </c>
      <c r="U388" s="86">
        <f t="shared" si="4"/>
        <v>12197.295</v>
      </c>
      <c r="V388" s="86">
        <f t="shared" si="5"/>
        <v>258152.4</v>
      </c>
      <c r="W388" s="86">
        <f t="shared" si="6"/>
        <v>67988.25</v>
      </c>
      <c r="X388" s="86">
        <f t="shared" si="7"/>
        <v>1703359.35</v>
      </c>
    </row>
    <row r="389" ht="12.0" customHeight="1">
      <c r="A3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89" s="87" t="str">
        <f>IFERROR(__xludf.DUMMYFUNCTION("IFERROR(IF(F389&lt;&gt;"""",""WHSE ""&amp;LEFT(F389,1),REGEXEXTRACT(E389,""-(?:\d{2}-)?([A-Z]+)"")),"""")
"),"WHSE D")</f>
        <v>WHSE D</v>
      </c>
      <c r="C389" s="88">
        <v>45979.0</v>
      </c>
      <c r="D389" s="89" t="s">
        <v>72</v>
      </c>
      <c r="E389" s="90" t="s">
        <v>452</v>
      </c>
      <c r="F389" s="90" t="s">
        <v>453</v>
      </c>
      <c r="G389" s="98" t="s">
        <v>337</v>
      </c>
      <c r="H389" s="92">
        <v>20645.0</v>
      </c>
      <c r="I389" s="99">
        <v>550.0</v>
      </c>
      <c r="J389" s="94">
        <v>11.6</v>
      </c>
      <c r="K389" s="100">
        <v>2.16</v>
      </c>
      <c r="L389" s="100">
        <v>0.578</v>
      </c>
      <c r="M389" s="100">
        <v>0.598</v>
      </c>
      <c r="N389" s="101">
        <v>13.64</v>
      </c>
      <c r="O389" s="94">
        <v>3.96</v>
      </c>
      <c r="P389" s="101">
        <v>82.4</v>
      </c>
      <c r="Q389" s="102"/>
      <c r="R389" s="103">
        <f t="shared" si="1"/>
        <v>239482</v>
      </c>
      <c r="S389" s="103">
        <f t="shared" si="2"/>
        <v>44593.2</v>
      </c>
      <c r="T389" s="103">
        <f t="shared" si="3"/>
        <v>11932.81</v>
      </c>
      <c r="U389" s="103">
        <f t="shared" si="4"/>
        <v>12345.71</v>
      </c>
      <c r="V389" s="103">
        <f t="shared" si="5"/>
        <v>281597.8</v>
      </c>
      <c r="W389" s="103">
        <f t="shared" si="6"/>
        <v>81754.2</v>
      </c>
      <c r="X389" s="103">
        <f t="shared" si="7"/>
        <v>1701148</v>
      </c>
    </row>
    <row r="390" ht="12.0" customHeight="1">
      <c r="A3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90" s="87" t="str">
        <f>IFERROR(__xludf.DUMMYFUNCTION("IFERROR(IF(F390&lt;&gt;"""",""WHSE ""&amp;LEFT(F390,1),REGEXEXTRACT(E390,""-(?:\d{2}-)?([A-Z]+)"")),"""")
"),"")</f>
        <v/>
      </c>
      <c r="C390" s="106"/>
      <c r="D390" s="102"/>
      <c r="E390" s="104"/>
      <c r="F390" s="104"/>
      <c r="G390" s="91"/>
      <c r="H390" s="107"/>
      <c r="I390" s="93"/>
      <c r="J390" s="97"/>
      <c r="K390" s="95"/>
      <c r="L390" s="95"/>
      <c r="M390" s="95"/>
      <c r="N390" s="96"/>
      <c r="O390" s="97"/>
      <c r="P390" s="96"/>
      <c r="Q390" s="102"/>
      <c r="R390" s="103">
        <f t="shared" si="1"/>
        <v>0</v>
      </c>
      <c r="S390" s="103">
        <f t="shared" si="2"/>
        <v>0</v>
      </c>
      <c r="T390" s="103">
        <f t="shared" si="3"/>
        <v>0</v>
      </c>
      <c r="U390" s="103">
        <f t="shared" si="4"/>
        <v>0</v>
      </c>
      <c r="V390" s="103">
        <f t="shared" si="5"/>
        <v>0</v>
      </c>
      <c r="W390" s="103">
        <f t="shared" si="6"/>
        <v>0</v>
      </c>
      <c r="X390" s="103">
        <f t="shared" si="7"/>
        <v>0</v>
      </c>
    </row>
    <row r="391" ht="12.0" customHeight="1">
      <c r="A3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91" s="87" t="str">
        <f>IFERROR(__xludf.DUMMYFUNCTION("IFERROR(IF(F391&lt;&gt;"""",""WHSE ""&amp;LEFT(F391,1),REGEXEXTRACT(E391,""-(?:\d{2}-)?([A-Z]+)"")),"""")
"),"WHSE D")</f>
        <v>WHSE D</v>
      </c>
      <c r="C391" s="88">
        <v>45980.0</v>
      </c>
      <c r="D391" s="89" t="s">
        <v>72</v>
      </c>
      <c r="E391" s="90" t="s">
        <v>452</v>
      </c>
      <c r="F391" s="90" t="s">
        <v>453</v>
      </c>
      <c r="G391" s="98" t="s">
        <v>73</v>
      </c>
      <c r="H391" s="92">
        <v>18430.0</v>
      </c>
      <c r="I391" s="99">
        <v>454.0</v>
      </c>
      <c r="J391" s="94">
        <v>11.87</v>
      </c>
      <c r="K391" s="100">
        <v>2.33</v>
      </c>
      <c r="L391" s="100">
        <v>0.575</v>
      </c>
      <c r="M391" s="100">
        <v>0.595</v>
      </c>
      <c r="N391" s="101">
        <v>13.76</v>
      </c>
      <c r="O391" s="94">
        <v>3.73</v>
      </c>
      <c r="P391" s="101">
        <v>82.51</v>
      </c>
      <c r="Q391" s="102"/>
      <c r="R391" s="103">
        <f t="shared" si="1"/>
        <v>218764.1</v>
      </c>
      <c r="S391" s="103">
        <f t="shared" si="2"/>
        <v>42941.9</v>
      </c>
      <c r="T391" s="103">
        <f t="shared" si="3"/>
        <v>10597.25</v>
      </c>
      <c r="U391" s="103">
        <f t="shared" si="4"/>
        <v>10965.85</v>
      </c>
      <c r="V391" s="103">
        <f t="shared" si="5"/>
        <v>253596.8</v>
      </c>
      <c r="W391" s="103">
        <f t="shared" si="6"/>
        <v>68743.9</v>
      </c>
      <c r="X391" s="103">
        <f t="shared" si="7"/>
        <v>1520659.3</v>
      </c>
    </row>
    <row r="392" ht="12.0" customHeight="1">
      <c r="A3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92" s="87" t="str">
        <f>IFERROR(__xludf.DUMMYFUNCTION("IFERROR(IF(F392&lt;&gt;"""",""WHSE ""&amp;LEFT(F392,1),REGEXEXTRACT(E392,""-(?:\d{2}-)?([A-Z]+)"")),"""")
"),"WHSE C")</f>
        <v>WHSE C</v>
      </c>
      <c r="C392" s="88">
        <v>45980.0</v>
      </c>
      <c r="D392" s="89" t="s">
        <v>232</v>
      </c>
      <c r="E392" s="90" t="s">
        <v>442</v>
      </c>
      <c r="F392" s="90" t="s">
        <v>443</v>
      </c>
      <c r="G392" s="98" t="s">
        <v>235</v>
      </c>
      <c r="H392" s="92">
        <v>11915.0</v>
      </c>
      <c r="I392" s="99">
        <v>360.0</v>
      </c>
      <c r="J392" s="94">
        <v>10.34</v>
      </c>
      <c r="K392" s="100">
        <v>3.71</v>
      </c>
      <c r="L392" s="100">
        <v>0.581</v>
      </c>
      <c r="M392" s="100">
        <v>0.601</v>
      </c>
      <c r="N392" s="101">
        <v>13.55</v>
      </c>
      <c r="O392" s="94">
        <v>3.29</v>
      </c>
      <c r="P392" s="101">
        <v>83.16</v>
      </c>
      <c r="Q392" s="102"/>
      <c r="R392" s="103">
        <f t="shared" si="1"/>
        <v>123201.1</v>
      </c>
      <c r="S392" s="103">
        <f t="shared" si="2"/>
        <v>44204.65</v>
      </c>
      <c r="T392" s="103">
        <f t="shared" si="3"/>
        <v>6922.615</v>
      </c>
      <c r="U392" s="103">
        <f t="shared" si="4"/>
        <v>7160.915</v>
      </c>
      <c r="V392" s="103">
        <f t="shared" si="5"/>
        <v>161448.25</v>
      </c>
      <c r="W392" s="103">
        <f t="shared" si="6"/>
        <v>39200.35</v>
      </c>
      <c r="X392" s="103">
        <f t="shared" si="7"/>
        <v>990851.4</v>
      </c>
    </row>
    <row r="393" ht="12.0" customHeight="1">
      <c r="A3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93" s="87" t="str">
        <f>IFERROR(__xludf.DUMMYFUNCTION("IFERROR(IF(F393&lt;&gt;"""",""WHSE ""&amp;LEFT(F393,1),REGEXEXTRACT(E393,""-(?:\d{2}-)?([A-Z]+)"")),"""")
"),"WHSE C")</f>
        <v>WHSE C</v>
      </c>
      <c r="C393" s="88">
        <v>45980.0</v>
      </c>
      <c r="D393" s="89" t="s">
        <v>232</v>
      </c>
      <c r="E393" s="90" t="s">
        <v>454</v>
      </c>
      <c r="F393" s="90" t="s">
        <v>455</v>
      </c>
      <c r="G393" s="98" t="s">
        <v>328</v>
      </c>
      <c r="H393" s="92">
        <v>20049.0</v>
      </c>
      <c r="I393" s="99">
        <v>474.0</v>
      </c>
      <c r="J393" s="94">
        <v>12.6</v>
      </c>
      <c r="K393" s="100">
        <v>2.12</v>
      </c>
      <c r="L393" s="100">
        <v>0.546</v>
      </c>
      <c r="M393" s="100">
        <v>0.566</v>
      </c>
      <c r="N393" s="101">
        <v>10.38</v>
      </c>
      <c r="O393" s="94">
        <v>6.74</v>
      </c>
      <c r="P393" s="101">
        <v>82.88</v>
      </c>
      <c r="Q393" s="102"/>
      <c r="R393" s="103">
        <f t="shared" si="1"/>
        <v>252617.4</v>
      </c>
      <c r="S393" s="103">
        <f t="shared" si="2"/>
        <v>42503.88</v>
      </c>
      <c r="T393" s="103">
        <f t="shared" si="3"/>
        <v>10946.754</v>
      </c>
      <c r="U393" s="103">
        <f t="shared" si="4"/>
        <v>11347.734</v>
      </c>
      <c r="V393" s="103">
        <f t="shared" si="5"/>
        <v>208108.62</v>
      </c>
      <c r="W393" s="103">
        <f t="shared" si="6"/>
        <v>135130.26</v>
      </c>
      <c r="X393" s="103">
        <f t="shared" si="7"/>
        <v>1661661.12</v>
      </c>
    </row>
    <row r="394" ht="12.0" customHeight="1">
      <c r="A3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94" s="87" t="str">
        <f>IFERROR(__xludf.DUMMYFUNCTION("IFERROR(IF(F394&lt;&gt;"""",""WHSE ""&amp;LEFT(F394,1),REGEXEXTRACT(E394,""-(?:\d{2}-)?([A-Z]+)"")),"""")
"),"WHSE C")</f>
        <v>WHSE C</v>
      </c>
      <c r="C394" s="88">
        <v>45980.0</v>
      </c>
      <c r="D394" s="89" t="s">
        <v>232</v>
      </c>
      <c r="E394" s="90" t="s">
        <v>442</v>
      </c>
      <c r="F394" s="90" t="s">
        <v>443</v>
      </c>
      <c r="G394" s="98" t="s">
        <v>456</v>
      </c>
      <c r="H394" s="92">
        <v>4120.0</v>
      </c>
      <c r="I394" s="99">
        <v>130.0</v>
      </c>
      <c r="J394" s="94">
        <v>11.27</v>
      </c>
      <c r="K394" s="100">
        <v>3.33</v>
      </c>
      <c r="L394" s="100">
        <v>0.598</v>
      </c>
      <c r="M394" s="100">
        <v>0.618</v>
      </c>
      <c r="N394" s="101">
        <v>11.74</v>
      </c>
      <c r="O394" s="94">
        <v>3.63</v>
      </c>
      <c r="P394" s="101">
        <v>84.63</v>
      </c>
      <c r="Q394" s="102"/>
      <c r="R394" s="103">
        <f t="shared" si="1"/>
        <v>46432.4</v>
      </c>
      <c r="S394" s="103">
        <f t="shared" si="2"/>
        <v>13719.6</v>
      </c>
      <c r="T394" s="103">
        <f t="shared" si="3"/>
        <v>2463.76</v>
      </c>
      <c r="U394" s="103">
        <f t="shared" si="4"/>
        <v>2546.16</v>
      </c>
      <c r="V394" s="103">
        <f t="shared" si="5"/>
        <v>48368.8</v>
      </c>
      <c r="W394" s="103">
        <f t="shared" si="6"/>
        <v>14955.6</v>
      </c>
      <c r="X394" s="103">
        <f t="shared" si="7"/>
        <v>348675.6</v>
      </c>
    </row>
    <row r="395" ht="12.0" customHeight="1">
      <c r="A3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95" s="87" t="str">
        <f>IFERROR(__xludf.DUMMYFUNCTION("IFERROR(IF(F395&lt;&gt;"""",""WHSE ""&amp;LEFT(F395,1),REGEXEXTRACT(E395,""-(?:\d{2}-)?([A-Z]+)"")),"""")
"),"WHSE C")</f>
        <v>WHSE C</v>
      </c>
      <c r="C395" s="88">
        <v>45980.0</v>
      </c>
      <c r="D395" s="89" t="s">
        <v>265</v>
      </c>
      <c r="E395" s="90" t="s">
        <v>442</v>
      </c>
      <c r="F395" s="90" t="s">
        <v>443</v>
      </c>
      <c r="G395" s="98" t="s">
        <v>457</v>
      </c>
      <c r="H395" s="92">
        <v>8570.0</v>
      </c>
      <c r="I395" s="99">
        <v>300.0</v>
      </c>
      <c r="J395" s="94">
        <v>10.14</v>
      </c>
      <c r="K395" s="100">
        <v>2.94</v>
      </c>
      <c r="L395" s="100">
        <v>0.568</v>
      </c>
      <c r="M395" s="100">
        <v>0.588</v>
      </c>
      <c r="N395" s="101">
        <v>12.71</v>
      </c>
      <c r="O395" s="94">
        <v>3.73</v>
      </c>
      <c r="P395" s="101">
        <v>83.56</v>
      </c>
      <c r="Q395" s="102"/>
      <c r="R395" s="103">
        <f t="shared" si="1"/>
        <v>86899.8</v>
      </c>
      <c r="S395" s="103">
        <f t="shared" si="2"/>
        <v>25195.8</v>
      </c>
      <c r="T395" s="103">
        <f t="shared" si="3"/>
        <v>4867.76</v>
      </c>
      <c r="U395" s="103">
        <f t="shared" si="4"/>
        <v>5039.16</v>
      </c>
      <c r="V395" s="103">
        <f t="shared" si="5"/>
        <v>108924.7</v>
      </c>
      <c r="W395" s="103">
        <f t="shared" si="6"/>
        <v>31966.1</v>
      </c>
      <c r="X395" s="103">
        <f t="shared" si="7"/>
        <v>716109.2</v>
      </c>
    </row>
    <row r="396" ht="12.0" customHeight="1">
      <c r="A3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96" s="87" t="str">
        <f>IFERROR(__xludf.DUMMYFUNCTION("IFERROR(IF(F396&lt;&gt;"""",""WHSE ""&amp;LEFT(F396,1),REGEXEXTRACT(E396,""-(?:\d{2}-)?([A-Z]+)"")),"""")
"),"")</f>
        <v/>
      </c>
      <c r="C396" s="106"/>
      <c r="D396" s="102"/>
      <c r="E396" s="104"/>
      <c r="F396" s="104"/>
      <c r="G396" s="91"/>
      <c r="H396" s="107"/>
      <c r="I396" s="93"/>
      <c r="J396" s="97"/>
      <c r="K396" s="95"/>
      <c r="L396" s="95"/>
      <c r="M396" s="95"/>
      <c r="N396" s="96"/>
      <c r="O396" s="97"/>
      <c r="P396" s="96"/>
      <c r="Q396" s="102"/>
      <c r="R396" s="103">
        <f t="shared" si="1"/>
        <v>0</v>
      </c>
      <c r="S396" s="103">
        <f t="shared" si="2"/>
        <v>0</v>
      </c>
      <c r="T396" s="103">
        <f t="shared" si="3"/>
        <v>0</v>
      </c>
      <c r="U396" s="103">
        <f t="shared" si="4"/>
        <v>0</v>
      </c>
      <c r="V396" s="103">
        <f t="shared" si="5"/>
        <v>0</v>
      </c>
      <c r="W396" s="103">
        <f t="shared" si="6"/>
        <v>0</v>
      </c>
      <c r="X396" s="103">
        <f t="shared" si="7"/>
        <v>0</v>
      </c>
    </row>
    <row r="397" ht="12.0" customHeight="1">
      <c r="A3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97" s="87" t="str">
        <f>IFERROR(__xludf.DUMMYFUNCTION("IFERROR(IF(F397&lt;&gt;"""",""WHSE ""&amp;LEFT(F397,1),REGEXEXTRACT(E397,""-(?:\d{2}-)?([A-Z]+)"")),"""")
"),"WHSE D")</f>
        <v>WHSE D</v>
      </c>
      <c r="C397" s="88">
        <v>45981.0</v>
      </c>
      <c r="D397" s="89" t="s">
        <v>72</v>
      </c>
      <c r="E397" s="90" t="s">
        <v>440</v>
      </c>
      <c r="F397" s="90" t="s">
        <v>441</v>
      </c>
      <c r="G397" s="98" t="s">
        <v>337</v>
      </c>
      <c r="H397" s="92">
        <v>20100.0</v>
      </c>
      <c r="I397" s="99">
        <v>518.0</v>
      </c>
      <c r="J397" s="94">
        <v>11.67</v>
      </c>
      <c r="K397" s="100">
        <v>2.74</v>
      </c>
      <c r="L397" s="100">
        <v>0.581</v>
      </c>
      <c r="M397" s="100">
        <v>0.601</v>
      </c>
      <c r="N397" s="101">
        <v>11.96</v>
      </c>
      <c r="O397" s="94">
        <v>3.63</v>
      </c>
      <c r="P397" s="101">
        <v>84.41</v>
      </c>
      <c r="Q397" s="102"/>
      <c r="R397" s="103">
        <f t="shared" si="1"/>
        <v>234567</v>
      </c>
      <c r="S397" s="103">
        <f t="shared" si="2"/>
        <v>55074</v>
      </c>
      <c r="T397" s="103">
        <f t="shared" si="3"/>
        <v>11678.1</v>
      </c>
      <c r="U397" s="103">
        <f t="shared" si="4"/>
        <v>12080.1</v>
      </c>
      <c r="V397" s="103">
        <f t="shared" si="5"/>
        <v>240396</v>
      </c>
      <c r="W397" s="103">
        <f t="shared" si="6"/>
        <v>72963</v>
      </c>
      <c r="X397" s="103">
        <f t="shared" si="7"/>
        <v>1696641</v>
      </c>
    </row>
    <row r="398" ht="12.0" customHeight="1">
      <c r="A3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398" s="87" t="str">
        <f>IFERROR(__xludf.DUMMYFUNCTION("IFERROR(IF(F398&lt;&gt;"""",""WHSE ""&amp;LEFT(F398,1),REGEXEXTRACT(E398,""-(?:\d{2}-)?([A-Z]+)"")),"""")
"),"WHSE D")</f>
        <v>WHSE D</v>
      </c>
      <c r="C398" s="88">
        <v>45981.0</v>
      </c>
      <c r="D398" s="89" t="s">
        <v>60</v>
      </c>
      <c r="E398" s="90" t="s">
        <v>425</v>
      </c>
      <c r="F398" s="90" t="s">
        <v>426</v>
      </c>
      <c r="G398" s="98" t="s">
        <v>63</v>
      </c>
      <c r="H398" s="92">
        <v>10070.0</v>
      </c>
      <c r="I398" s="99">
        <v>225.0</v>
      </c>
      <c r="J398" s="94">
        <v>11.94</v>
      </c>
      <c r="K398" s="100">
        <v>2.66</v>
      </c>
      <c r="L398" s="100">
        <v>0.575</v>
      </c>
      <c r="M398" s="100">
        <v>0.595</v>
      </c>
      <c r="N398" s="101">
        <v>11.17</v>
      </c>
      <c r="O398" s="94">
        <v>3.27</v>
      </c>
      <c r="P398" s="101">
        <v>85.56</v>
      </c>
      <c r="Q398" s="102"/>
      <c r="R398" s="103">
        <f t="shared" si="1"/>
        <v>120235.8</v>
      </c>
      <c r="S398" s="103">
        <f t="shared" si="2"/>
        <v>26786.2</v>
      </c>
      <c r="T398" s="103">
        <f t="shared" si="3"/>
        <v>5790.25</v>
      </c>
      <c r="U398" s="103">
        <f t="shared" si="4"/>
        <v>5991.65</v>
      </c>
      <c r="V398" s="103">
        <f t="shared" si="5"/>
        <v>112481.9</v>
      </c>
      <c r="W398" s="103">
        <f t="shared" si="6"/>
        <v>32928.9</v>
      </c>
      <c r="X398" s="103">
        <f t="shared" si="7"/>
        <v>861589.2</v>
      </c>
    </row>
    <row r="399" ht="12.0" customHeight="1">
      <c r="A3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399" s="87" t="str">
        <f>IFERROR(__xludf.DUMMYFUNCTION("IFERROR(IF(F399&lt;&gt;"""",""WHSE ""&amp;LEFT(F399,1),REGEXEXTRACT(E399,""-(?:\d{2}-)?([A-Z]+)"")),"""")
"),"WHSE C")</f>
        <v>WHSE C</v>
      </c>
      <c r="C399" s="88">
        <v>45981.0</v>
      </c>
      <c r="D399" s="89" t="s">
        <v>265</v>
      </c>
      <c r="E399" s="90" t="s">
        <v>454</v>
      </c>
      <c r="F399" s="90" t="s">
        <v>455</v>
      </c>
      <c r="G399" s="98" t="s">
        <v>255</v>
      </c>
      <c r="H399" s="92">
        <v>16609.0</v>
      </c>
      <c r="I399" s="99">
        <v>325.0</v>
      </c>
      <c r="J399" s="94">
        <v>12.87</v>
      </c>
      <c r="K399" s="100">
        <v>3.89</v>
      </c>
      <c r="L399" s="100">
        <v>0.565</v>
      </c>
      <c r="M399" s="100">
        <v>0.585</v>
      </c>
      <c r="N399" s="101">
        <v>13.4</v>
      </c>
      <c r="O399" s="94">
        <v>3.84</v>
      </c>
      <c r="P399" s="101">
        <v>82.76</v>
      </c>
      <c r="Q399" s="102"/>
      <c r="R399" s="103">
        <f t="shared" si="1"/>
        <v>213757.83</v>
      </c>
      <c r="S399" s="103">
        <f t="shared" si="2"/>
        <v>64609.01</v>
      </c>
      <c r="T399" s="103">
        <f t="shared" si="3"/>
        <v>9384.085</v>
      </c>
      <c r="U399" s="103">
        <f t="shared" si="4"/>
        <v>9716.265</v>
      </c>
      <c r="V399" s="103">
        <f t="shared" si="5"/>
        <v>222560.6</v>
      </c>
      <c r="W399" s="103">
        <f t="shared" si="6"/>
        <v>63778.56</v>
      </c>
      <c r="X399" s="103">
        <f t="shared" si="7"/>
        <v>1374560.84</v>
      </c>
    </row>
    <row r="400" ht="12.0" customHeight="1">
      <c r="A4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00" s="87" t="str">
        <f>IFERROR(__xludf.DUMMYFUNCTION("IFERROR(IF(F400&lt;&gt;"""",""WHSE ""&amp;LEFT(F400,1),REGEXEXTRACT(E400,""-(?:\d{2}-)?([A-Z]+)"")),"""")
"),"")</f>
        <v/>
      </c>
      <c r="C400" s="106"/>
      <c r="D400" s="102"/>
      <c r="E400" s="104"/>
      <c r="F400" s="104"/>
      <c r="G400" s="91"/>
      <c r="H400" s="107"/>
      <c r="I400" s="93"/>
      <c r="J400" s="97"/>
      <c r="K400" s="95"/>
      <c r="L400" s="95"/>
      <c r="M400" s="95"/>
      <c r="N400" s="96"/>
      <c r="O400" s="97"/>
      <c r="P400" s="96"/>
      <c r="Q400" s="102"/>
      <c r="R400" s="103">
        <f t="shared" si="1"/>
        <v>0</v>
      </c>
      <c r="S400" s="103">
        <f t="shared" si="2"/>
        <v>0</v>
      </c>
      <c r="T400" s="103">
        <f t="shared" si="3"/>
        <v>0</v>
      </c>
      <c r="U400" s="103">
        <f t="shared" si="4"/>
        <v>0</v>
      </c>
      <c r="V400" s="103">
        <f t="shared" si="5"/>
        <v>0</v>
      </c>
      <c r="W400" s="103">
        <f t="shared" si="6"/>
        <v>0</v>
      </c>
      <c r="X400" s="103">
        <f t="shared" si="7"/>
        <v>0</v>
      </c>
    </row>
    <row r="401" ht="12.0" customHeight="1">
      <c r="A4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01" s="87" t="str">
        <f>IFERROR(__xludf.DUMMYFUNCTION("IFERROR(IF(F401&lt;&gt;"""",""WHSE ""&amp;LEFT(F401,1),REGEXEXTRACT(E401,""-(?:\d{2}-)?([A-Z]+)"")),"""")
"),"WHSE C")</f>
        <v>WHSE C</v>
      </c>
      <c r="C401" s="88">
        <v>45982.0</v>
      </c>
      <c r="D401" s="89" t="s">
        <v>232</v>
      </c>
      <c r="E401" s="90" t="s">
        <v>446</v>
      </c>
      <c r="F401" s="90" t="s">
        <v>447</v>
      </c>
      <c r="G401" s="98" t="s">
        <v>235</v>
      </c>
      <c r="H401" s="92">
        <v>11280.0</v>
      </c>
      <c r="I401" s="99">
        <v>314.0</v>
      </c>
      <c r="J401" s="94">
        <v>10.07</v>
      </c>
      <c r="K401" s="100">
        <v>2.13</v>
      </c>
      <c r="L401" s="100">
        <v>0.578</v>
      </c>
      <c r="M401" s="100">
        <v>0.598</v>
      </c>
      <c r="N401" s="101">
        <v>12.98</v>
      </c>
      <c r="O401" s="94">
        <v>3.16</v>
      </c>
      <c r="P401" s="101">
        <v>83.86</v>
      </c>
      <c r="Q401" s="102"/>
      <c r="R401" s="103">
        <f t="shared" si="1"/>
        <v>113589.6</v>
      </c>
      <c r="S401" s="103">
        <f t="shared" si="2"/>
        <v>24026.4</v>
      </c>
      <c r="T401" s="103">
        <f t="shared" si="3"/>
        <v>6519.84</v>
      </c>
      <c r="U401" s="103">
        <f t="shared" si="4"/>
        <v>6745.44</v>
      </c>
      <c r="V401" s="103">
        <f t="shared" si="5"/>
        <v>146414.4</v>
      </c>
      <c r="W401" s="103">
        <f t="shared" si="6"/>
        <v>35644.8</v>
      </c>
      <c r="X401" s="103">
        <f t="shared" si="7"/>
        <v>945940.8</v>
      </c>
    </row>
    <row r="402" ht="12.0" customHeight="1">
      <c r="A4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02" s="87" t="str">
        <f>IFERROR(__xludf.DUMMYFUNCTION("IFERROR(IF(F402&lt;&gt;"""",""WHSE ""&amp;LEFT(F402,1),REGEXEXTRACT(E402,""-(?:\d{2}-)?([A-Z]+)"")),"""")
"),"WHSE D")</f>
        <v>WHSE D</v>
      </c>
      <c r="C402" s="88">
        <v>45982.0</v>
      </c>
      <c r="D402" s="89" t="s">
        <v>279</v>
      </c>
      <c r="E402" s="90" t="s">
        <v>295</v>
      </c>
      <c r="F402" s="90" t="s">
        <v>296</v>
      </c>
      <c r="G402" s="98" t="s">
        <v>458</v>
      </c>
      <c r="H402" s="92">
        <v>10055.0</v>
      </c>
      <c r="I402" s="99">
        <v>203.0</v>
      </c>
      <c r="J402" s="94">
        <v>12.94</v>
      </c>
      <c r="K402" s="100">
        <v>2.18</v>
      </c>
      <c r="L402" s="100">
        <v>0.585</v>
      </c>
      <c r="M402" s="100">
        <v>0.605</v>
      </c>
      <c r="N402" s="101">
        <v>13.99</v>
      </c>
      <c r="O402" s="94">
        <v>2.89</v>
      </c>
      <c r="P402" s="101">
        <v>83.12</v>
      </c>
      <c r="Q402" s="89" t="s">
        <v>459</v>
      </c>
      <c r="R402" s="86">
        <f t="shared" si="1"/>
        <v>130111.7</v>
      </c>
      <c r="S402" s="86">
        <f t="shared" si="2"/>
        <v>21919.9</v>
      </c>
      <c r="T402" s="86">
        <f t="shared" si="3"/>
        <v>5882.175</v>
      </c>
      <c r="U402" s="86">
        <f t="shared" si="4"/>
        <v>6083.275</v>
      </c>
      <c r="V402" s="86">
        <f t="shared" si="5"/>
        <v>140669.45</v>
      </c>
      <c r="W402" s="86">
        <f t="shared" si="6"/>
        <v>29058.95</v>
      </c>
      <c r="X402" s="86">
        <f t="shared" si="7"/>
        <v>835771.6</v>
      </c>
    </row>
    <row r="403" ht="12.0" customHeight="1">
      <c r="A4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03" s="87" t="str">
        <f>IFERROR(__xludf.DUMMYFUNCTION("IFERROR(IF(F403&lt;&gt;"""",""WHSE ""&amp;LEFT(F403,1),REGEXEXTRACT(E403,""-(?:\d{2}-)?([A-Z]+)"")),"""")
"),"")</f>
        <v/>
      </c>
      <c r="C403" s="106"/>
      <c r="D403" s="102"/>
      <c r="E403" s="104"/>
      <c r="F403" s="104"/>
      <c r="G403" s="91"/>
      <c r="H403" s="107"/>
      <c r="I403" s="93"/>
      <c r="J403" s="97"/>
      <c r="K403" s="95"/>
      <c r="L403" s="95"/>
      <c r="M403" s="95"/>
      <c r="N403" s="96"/>
      <c r="O403" s="97"/>
      <c r="P403" s="96"/>
      <c r="Q403" s="102"/>
      <c r="R403" s="103">
        <f t="shared" si="1"/>
        <v>0</v>
      </c>
      <c r="S403" s="103">
        <f t="shared" si="2"/>
        <v>0</v>
      </c>
      <c r="T403" s="103">
        <f t="shared" si="3"/>
        <v>0</v>
      </c>
      <c r="U403" s="103">
        <f t="shared" si="4"/>
        <v>0</v>
      </c>
      <c r="V403" s="103">
        <f t="shared" si="5"/>
        <v>0</v>
      </c>
      <c r="W403" s="103">
        <f t="shared" si="6"/>
        <v>0</v>
      </c>
      <c r="X403" s="103">
        <f t="shared" si="7"/>
        <v>0</v>
      </c>
    </row>
    <row r="404" ht="12.0" customHeight="1">
      <c r="A4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04" s="87" t="str">
        <f>IFERROR(__xludf.DUMMYFUNCTION("IFERROR(IF(F404&lt;&gt;"""",""WHSE ""&amp;LEFT(F404,1),REGEXEXTRACT(E404,""-(?:\d{2}-)?([A-Z]+)"")),"""")
"),"WHSE D")</f>
        <v>WHSE D</v>
      </c>
      <c r="C404" s="88">
        <v>45983.0</v>
      </c>
      <c r="D404" s="89" t="s">
        <v>88</v>
      </c>
      <c r="E404" s="90" t="s">
        <v>295</v>
      </c>
      <c r="F404" s="90" t="s">
        <v>296</v>
      </c>
      <c r="G404" s="98" t="s">
        <v>89</v>
      </c>
      <c r="H404" s="92">
        <v>3916.0</v>
      </c>
      <c r="I404" s="99">
        <v>90.0</v>
      </c>
      <c r="J404" s="94">
        <v>12.6</v>
      </c>
      <c r="K404" s="100">
        <v>2.27</v>
      </c>
      <c r="L404" s="100">
        <v>0.571</v>
      </c>
      <c r="M404" s="100">
        <v>0.591</v>
      </c>
      <c r="N404" s="101">
        <v>14.6</v>
      </c>
      <c r="O404" s="94">
        <v>3.09</v>
      </c>
      <c r="P404" s="101">
        <v>82.31</v>
      </c>
      <c r="Q404" s="89" t="s">
        <v>460</v>
      </c>
      <c r="R404" s="86">
        <f t="shared" si="1"/>
        <v>49341.6</v>
      </c>
      <c r="S404" s="86">
        <f t="shared" si="2"/>
        <v>8889.32</v>
      </c>
      <c r="T404" s="86">
        <f t="shared" si="3"/>
        <v>2236.036</v>
      </c>
      <c r="U404" s="86">
        <f t="shared" si="4"/>
        <v>2314.356</v>
      </c>
      <c r="V404" s="86">
        <f t="shared" si="5"/>
        <v>57173.6</v>
      </c>
      <c r="W404" s="86">
        <f t="shared" si="6"/>
        <v>12100.44</v>
      </c>
      <c r="X404" s="86">
        <f t="shared" si="7"/>
        <v>322325.96</v>
      </c>
    </row>
    <row r="405" ht="12.0" customHeight="1">
      <c r="A4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05" s="87" t="str">
        <f>IFERROR(__xludf.DUMMYFUNCTION("IFERROR(IF(F405&lt;&gt;"""",""WHSE ""&amp;LEFT(F405,1),REGEXEXTRACT(E405,""-(?:\d{2}-)?([A-Z]+)"")),"""")
"),"WHSE D")</f>
        <v>WHSE D</v>
      </c>
      <c r="C405" s="88">
        <v>45983.0</v>
      </c>
      <c r="D405" s="89" t="s">
        <v>72</v>
      </c>
      <c r="E405" s="90" t="s">
        <v>452</v>
      </c>
      <c r="F405" s="90" t="s">
        <v>453</v>
      </c>
      <c r="G405" s="98" t="s">
        <v>461</v>
      </c>
      <c r="H405" s="92">
        <v>580.0</v>
      </c>
      <c r="I405" s="99">
        <v>15.0</v>
      </c>
      <c r="J405" s="94">
        <v>8.34</v>
      </c>
      <c r="K405" s="100">
        <v>2.6</v>
      </c>
      <c r="L405" s="100">
        <v>0.575</v>
      </c>
      <c r="M405" s="100">
        <v>0.595</v>
      </c>
      <c r="N405" s="101">
        <v>14.53</v>
      </c>
      <c r="O405" s="94">
        <v>2.1</v>
      </c>
      <c r="P405" s="101">
        <v>83.37</v>
      </c>
      <c r="Q405" s="102"/>
      <c r="R405" s="103">
        <f t="shared" si="1"/>
        <v>4837.2</v>
      </c>
      <c r="S405" s="103">
        <f t="shared" si="2"/>
        <v>1508</v>
      </c>
      <c r="T405" s="103">
        <f t="shared" si="3"/>
        <v>333.5</v>
      </c>
      <c r="U405" s="103">
        <f t="shared" si="4"/>
        <v>345.1</v>
      </c>
      <c r="V405" s="103">
        <f t="shared" si="5"/>
        <v>8427.4</v>
      </c>
      <c r="W405" s="103">
        <f t="shared" si="6"/>
        <v>1218</v>
      </c>
      <c r="X405" s="103">
        <f t="shared" si="7"/>
        <v>48354.6</v>
      </c>
    </row>
    <row r="406" ht="12.0" customHeight="1">
      <c r="A4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06" s="87" t="str">
        <f>IFERROR(__xludf.DUMMYFUNCTION("IFERROR(IF(F406&lt;&gt;"""",""WHSE ""&amp;LEFT(F406,1),REGEXEXTRACT(E406,""-(?:\d{2}-)?([A-Z]+)"")),"""")
"),"WHSE D")</f>
        <v>WHSE D</v>
      </c>
      <c r="C406" s="88">
        <v>45983.0</v>
      </c>
      <c r="D406" s="89" t="s">
        <v>72</v>
      </c>
      <c r="E406" s="90" t="s">
        <v>452</v>
      </c>
      <c r="F406" s="90" t="s">
        <v>453</v>
      </c>
      <c r="G406" s="98" t="s">
        <v>462</v>
      </c>
      <c r="H406" s="92">
        <v>620.0</v>
      </c>
      <c r="I406" s="99">
        <v>16.0</v>
      </c>
      <c r="J406" s="94">
        <v>8.61</v>
      </c>
      <c r="K406" s="100">
        <v>2.45</v>
      </c>
      <c r="L406" s="100">
        <v>0.575</v>
      </c>
      <c r="M406" s="100">
        <v>0.595</v>
      </c>
      <c r="N406" s="101">
        <v>14.26</v>
      </c>
      <c r="O406" s="94">
        <v>2.45</v>
      </c>
      <c r="P406" s="101">
        <v>83.29</v>
      </c>
      <c r="Q406" s="102"/>
      <c r="R406" s="103">
        <f t="shared" si="1"/>
        <v>5338.2</v>
      </c>
      <c r="S406" s="103">
        <f t="shared" si="2"/>
        <v>1519</v>
      </c>
      <c r="T406" s="103">
        <f t="shared" si="3"/>
        <v>356.5</v>
      </c>
      <c r="U406" s="103">
        <f t="shared" si="4"/>
        <v>368.9</v>
      </c>
      <c r="V406" s="103">
        <f t="shared" si="5"/>
        <v>8841.2</v>
      </c>
      <c r="W406" s="103">
        <f t="shared" si="6"/>
        <v>1519</v>
      </c>
      <c r="X406" s="103">
        <f t="shared" si="7"/>
        <v>51639.8</v>
      </c>
    </row>
    <row r="407" ht="12.0" customHeight="1">
      <c r="A4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07" s="87" t="str">
        <f>IFERROR(__xludf.DUMMYFUNCTION("IFERROR(IF(F407&lt;&gt;"""",""WHSE ""&amp;LEFT(F407,1),REGEXEXTRACT(E407,""-(?:\d{2}-)?([A-Z]+)"")),"""")
"),"WHSE C")</f>
        <v>WHSE C</v>
      </c>
      <c r="C407" s="88">
        <v>45983.0</v>
      </c>
      <c r="D407" s="89" t="s">
        <v>232</v>
      </c>
      <c r="E407" s="90" t="s">
        <v>446</v>
      </c>
      <c r="F407" s="90" t="s">
        <v>447</v>
      </c>
      <c r="G407" s="98" t="s">
        <v>235</v>
      </c>
      <c r="H407" s="92">
        <v>11875.0</v>
      </c>
      <c r="I407" s="99">
        <v>345.0</v>
      </c>
      <c r="J407" s="94">
        <v>10.27</v>
      </c>
      <c r="K407" s="100">
        <v>3.1</v>
      </c>
      <c r="L407" s="100">
        <v>0.578</v>
      </c>
      <c r="M407" s="100">
        <v>0.598</v>
      </c>
      <c r="N407" s="101">
        <v>13.28</v>
      </c>
      <c r="O407" s="94">
        <v>3.62</v>
      </c>
      <c r="P407" s="101">
        <v>83.1</v>
      </c>
      <c r="Q407" s="102"/>
      <c r="R407" s="103">
        <f t="shared" si="1"/>
        <v>121956.25</v>
      </c>
      <c r="S407" s="103">
        <f t="shared" si="2"/>
        <v>36812.5</v>
      </c>
      <c r="T407" s="103">
        <f t="shared" si="3"/>
        <v>6863.75</v>
      </c>
      <c r="U407" s="103">
        <f t="shared" si="4"/>
        <v>7101.25</v>
      </c>
      <c r="V407" s="103">
        <f t="shared" si="5"/>
        <v>157700</v>
      </c>
      <c r="W407" s="103">
        <f t="shared" si="6"/>
        <v>42987.5</v>
      </c>
      <c r="X407" s="103">
        <f t="shared" si="7"/>
        <v>986812.5</v>
      </c>
    </row>
    <row r="408" ht="12.0" customHeight="1">
      <c r="A4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08" s="87" t="str">
        <f>IFERROR(__xludf.DUMMYFUNCTION("IFERROR(IF(F408&lt;&gt;"""",""WHSE ""&amp;LEFT(F408,1),REGEXEXTRACT(E408,""-(?:\d{2}-)?([A-Z]+)"")),"""")
"),"WHSE D")</f>
        <v>WHSE D</v>
      </c>
      <c r="C408" s="88">
        <v>45983.0</v>
      </c>
      <c r="D408" s="89" t="s">
        <v>60</v>
      </c>
      <c r="E408" s="90" t="s">
        <v>373</v>
      </c>
      <c r="F408" s="90" t="s">
        <v>374</v>
      </c>
      <c r="G408" s="98" t="s">
        <v>427</v>
      </c>
      <c r="H408" s="92">
        <v>18958.0</v>
      </c>
      <c r="I408" s="99">
        <v>398.0</v>
      </c>
      <c r="J408" s="94">
        <v>13.0</v>
      </c>
      <c r="K408" s="100">
        <v>2.53</v>
      </c>
      <c r="L408" s="100">
        <v>0.571</v>
      </c>
      <c r="M408" s="100">
        <v>0.591</v>
      </c>
      <c r="N408" s="101">
        <v>12.79</v>
      </c>
      <c r="O408" s="94">
        <v>3.7</v>
      </c>
      <c r="P408" s="101">
        <v>83.51</v>
      </c>
      <c r="Q408" s="89" t="s">
        <v>463</v>
      </c>
      <c r="R408" s="86">
        <f t="shared" si="1"/>
        <v>246454</v>
      </c>
      <c r="S408" s="86">
        <f t="shared" si="2"/>
        <v>47963.74</v>
      </c>
      <c r="T408" s="86">
        <f t="shared" si="3"/>
        <v>10825.018</v>
      </c>
      <c r="U408" s="86">
        <f t="shared" si="4"/>
        <v>11204.178</v>
      </c>
      <c r="V408" s="86">
        <f t="shared" si="5"/>
        <v>242472.82</v>
      </c>
      <c r="W408" s="86">
        <f t="shared" si="6"/>
        <v>70144.6</v>
      </c>
      <c r="X408" s="86">
        <f t="shared" si="7"/>
        <v>1583182.58</v>
      </c>
    </row>
    <row r="409" ht="12.0" customHeight="1">
      <c r="A4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09" s="87" t="str">
        <f>IFERROR(__xludf.DUMMYFUNCTION("IFERROR(IF(F409&lt;&gt;"""",""WHSE ""&amp;LEFT(F409,1),REGEXEXTRACT(E409,""-(?:\d{2}-)?([A-Z]+)"")),"""")
"),"WHSE C")</f>
        <v>WHSE C</v>
      </c>
      <c r="C409" s="88">
        <v>45983.0</v>
      </c>
      <c r="D409" s="89" t="s">
        <v>265</v>
      </c>
      <c r="E409" s="90" t="s">
        <v>446</v>
      </c>
      <c r="F409" s="90" t="s">
        <v>447</v>
      </c>
      <c r="G409" s="98" t="s">
        <v>255</v>
      </c>
      <c r="H409" s="92">
        <v>18465.0</v>
      </c>
      <c r="I409" s="99">
        <v>423.0</v>
      </c>
      <c r="J409" s="94">
        <v>10.47</v>
      </c>
      <c r="K409" s="100">
        <v>2.33</v>
      </c>
      <c r="L409" s="100">
        <v>0.571</v>
      </c>
      <c r="M409" s="100">
        <v>0.591</v>
      </c>
      <c r="N409" s="101">
        <v>13.61</v>
      </c>
      <c r="O409" s="94">
        <v>2.68</v>
      </c>
      <c r="P409" s="101">
        <v>83.71</v>
      </c>
      <c r="Q409" s="89" t="s">
        <v>464</v>
      </c>
      <c r="R409" s="86">
        <f t="shared" si="1"/>
        <v>193328.55</v>
      </c>
      <c r="S409" s="86">
        <f t="shared" si="2"/>
        <v>43023.45</v>
      </c>
      <c r="T409" s="86">
        <f t="shared" si="3"/>
        <v>10543.515</v>
      </c>
      <c r="U409" s="86">
        <f t="shared" si="4"/>
        <v>10912.815</v>
      </c>
      <c r="V409" s="86">
        <f t="shared" si="5"/>
        <v>251308.65</v>
      </c>
      <c r="W409" s="86">
        <f t="shared" si="6"/>
        <v>49486.2</v>
      </c>
      <c r="X409" s="86">
        <f t="shared" si="7"/>
        <v>1545705.15</v>
      </c>
    </row>
    <row r="410" ht="12.0" customHeight="1">
      <c r="A4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10" s="87" t="str">
        <f>IFERROR(__xludf.DUMMYFUNCTION("IFERROR(IF(F410&lt;&gt;"""",""WHSE ""&amp;LEFT(F410,1),REGEXEXTRACT(E410,""-(?:\d{2}-)?([A-Z]+)"")),"""")
"),"WHSE C")</f>
        <v>WHSE C</v>
      </c>
      <c r="C410" s="88">
        <v>45983.0</v>
      </c>
      <c r="D410" s="89" t="s">
        <v>265</v>
      </c>
      <c r="E410" s="90" t="s">
        <v>454</v>
      </c>
      <c r="F410" s="90" t="s">
        <v>455</v>
      </c>
      <c r="G410" s="98" t="s">
        <v>457</v>
      </c>
      <c r="H410" s="92">
        <v>6725.0</v>
      </c>
      <c r="I410" s="99">
        <v>158.0</v>
      </c>
      <c r="J410" s="94">
        <v>10.34</v>
      </c>
      <c r="K410" s="100">
        <v>2.71</v>
      </c>
      <c r="L410" s="100">
        <v>0.575</v>
      </c>
      <c r="M410" s="100">
        <v>0.595</v>
      </c>
      <c r="N410" s="101">
        <v>13.18</v>
      </c>
      <c r="O410" s="94">
        <v>3.74</v>
      </c>
      <c r="P410" s="101">
        <v>83.08</v>
      </c>
      <c r="Q410" s="102"/>
      <c r="R410" s="103">
        <f t="shared" si="1"/>
        <v>69536.5</v>
      </c>
      <c r="S410" s="103">
        <f t="shared" si="2"/>
        <v>18224.75</v>
      </c>
      <c r="T410" s="103">
        <f t="shared" si="3"/>
        <v>3866.875</v>
      </c>
      <c r="U410" s="103">
        <f t="shared" si="4"/>
        <v>4001.375</v>
      </c>
      <c r="V410" s="103">
        <f t="shared" si="5"/>
        <v>88635.5</v>
      </c>
      <c r="W410" s="103">
        <f t="shared" si="6"/>
        <v>25151.5</v>
      </c>
      <c r="X410" s="103">
        <f t="shared" si="7"/>
        <v>558713</v>
      </c>
    </row>
    <row r="411" ht="12.0" customHeight="1">
      <c r="A4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11" s="87" t="str">
        <f>IFERROR(__xludf.DUMMYFUNCTION("IFERROR(IF(F411&lt;&gt;"""",""WHSE ""&amp;LEFT(F411,1),REGEXEXTRACT(E411,""-(?:\d{2}-)?([A-Z]+)"")),"""")
"),"")</f>
        <v/>
      </c>
      <c r="C411" s="106"/>
      <c r="D411" s="102"/>
      <c r="E411" s="104"/>
      <c r="F411" s="104"/>
      <c r="G411" s="91"/>
      <c r="H411" s="107"/>
      <c r="I411" s="93"/>
      <c r="J411" s="97"/>
      <c r="K411" s="95"/>
      <c r="L411" s="95"/>
      <c r="M411" s="95"/>
      <c r="N411" s="96"/>
      <c r="O411" s="97"/>
      <c r="P411" s="96"/>
      <c r="Q411" s="102"/>
      <c r="R411" s="103">
        <f t="shared" si="1"/>
        <v>0</v>
      </c>
      <c r="S411" s="103">
        <f t="shared" si="2"/>
        <v>0</v>
      </c>
      <c r="T411" s="103">
        <f t="shared" si="3"/>
        <v>0</v>
      </c>
      <c r="U411" s="103">
        <f t="shared" si="4"/>
        <v>0</v>
      </c>
      <c r="V411" s="103">
        <f t="shared" si="5"/>
        <v>0</v>
      </c>
      <c r="W411" s="103">
        <f t="shared" si="6"/>
        <v>0</v>
      </c>
      <c r="X411" s="103">
        <f t="shared" si="7"/>
        <v>0</v>
      </c>
    </row>
    <row r="412" ht="12.0" customHeight="1">
      <c r="A4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12" s="87" t="str">
        <f>IFERROR(__xludf.DUMMYFUNCTION("IFERROR(IF(F412&lt;&gt;"""",""WHSE ""&amp;LEFT(F412,1),REGEXEXTRACT(E412,""-(?:\d{2}-)?([A-Z]+)"")),"""")
"),"WHSE D")</f>
        <v>WHSE D</v>
      </c>
      <c r="C412" s="88">
        <v>45986.0</v>
      </c>
      <c r="D412" s="89" t="s">
        <v>432</v>
      </c>
      <c r="E412" s="90" t="s">
        <v>429</v>
      </c>
      <c r="F412" s="90" t="s">
        <v>430</v>
      </c>
      <c r="G412" s="98" t="s">
        <v>433</v>
      </c>
      <c r="H412" s="92">
        <v>15517.0</v>
      </c>
      <c r="I412" s="99">
        <v>339.0</v>
      </c>
      <c r="J412" s="94">
        <v>13.8</v>
      </c>
      <c r="K412" s="100">
        <v>2.67</v>
      </c>
      <c r="L412" s="100">
        <v>0.578</v>
      </c>
      <c r="M412" s="100">
        <v>0.598</v>
      </c>
      <c r="N412" s="101">
        <v>12.04</v>
      </c>
      <c r="O412" s="94">
        <v>3.94</v>
      </c>
      <c r="P412" s="101">
        <v>84.02</v>
      </c>
      <c r="Q412" s="89" t="s">
        <v>465</v>
      </c>
      <c r="R412" s="86">
        <f t="shared" si="1"/>
        <v>214134.6</v>
      </c>
      <c r="S412" s="86">
        <f t="shared" si="2"/>
        <v>41430.39</v>
      </c>
      <c r="T412" s="86">
        <f t="shared" si="3"/>
        <v>8968.826</v>
      </c>
      <c r="U412" s="86">
        <f t="shared" si="4"/>
        <v>9279.166</v>
      </c>
      <c r="V412" s="86">
        <f t="shared" si="5"/>
        <v>186824.68</v>
      </c>
      <c r="W412" s="86">
        <f t="shared" si="6"/>
        <v>61136.98</v>
      </c>
      <c r="X412" s="86">
        <f t="shared" si="7"/>
        <v>1303738.34</v>
      </c>
    </row>
    <row r="413" ht="12.0" customHeight="1">
      <c r="A4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13" s="87" t="str">
        <f>IFERROR(__xludf.DUMMYFUNCTION("IFERROR(IF(F413&lt;&gt;"""",""WHSE ""&amp;LEFT(F413,1),REGEXEXTRACT(E413,""-(?:\d{2}-)?([A-Z]+)"")),"""")
"),"")</f>
        <v/>
      </c>
      <c r="C413" s="106"/>
      <c r="D413" s="102"/>
      <c r="E413" s="104"/>
      <c r="F413" s="104"/>
      <c r="G413" s="91"/>
      <c r="H413" s="107"/>
      <c r="I413" s="93"/>
      <c r="J413" s="97"/>
      <c r="K413" s="95"/>
      <c r="L413" s="95"/>
      <c r="M413" s="95"/>
      <c r="N413" s="96"/>
      <c r="O413" s="97"/>
      <c r="P413" s="96"/>
      <c r="Q413" s="102"/>
      <c r="R413" s="103">
        <f t="shared" si="1"/>
        <v>0</v>
      </c>
      <c r="S413" s="103">
        <f t="shared" si="2"/>
        <v>0</v>
      </c>
      <c r="T413" s="103">
        <f t="shared" si="3"/>
        <v>0</v>
      </c>
      <c r="U413" s="103">
        <f t="shared" si="4"/>
        <v>0</v>
      </c>
      <c r="V413" s="103">
        <f t="shared" si="5"/>
        <v>0</v>
      </c>
      <c r="W413" s="103">
        <f t="shared" si="6"/>
        <v>0</v>
      </c>
      <c r="X413" s="103">
        <f t="shared" si="7"/>
        <v>0</v>
      </c>
    </row>
    <row r="414" ht="12.0" customHeight="1">
      <c r="A4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14" s="87" t="str">
        <f>IFERROR(__xludf.DUMMYFUNCTION("IFERROR(IF(F414&lt;&gt;"""",""WHSE ""&amp;LEFT(F414,1),REGEXEXTRACT(E414,""-(?:\d{2}-)?([A-Z]+)"")),"""")
"),"WHSE D")</f>
        <v>WHSE D</v>
      </c>
      <c r="C414" s="88">
        <v>45987.0</v>
      </c>
      <c r="D414" s="89" t="s">
        <v>72</v>
      </c>
      <c r="E414" s="90" t="s">
        <v>440</v>
      </c>
      <c r="F414" s="90" t="s">
        <v>441</v>
      </c>
      <c r="G414" s="98" t="s">
        <v>73</v>
      </c>
      <c r="H414" s="92">
        <v>17640.0</v>
      </c>
      <c r="I414" s="99">
        <v>482.0</v>
      </c>
      <c r="J414" s="94">
        <v>10.54</v>
      </c>
      <c r="K414" s="100">
        <v>2.18</v>
      </c>
      <c r="L414" s="100">
        <v>0.585</v>
      </c>
      <c r="M414" s="100">
        <v>0.605</v>
      </c>
      <c r="N414" s="101">
        <v>15.44</v>
      </c>
      <c r="O414" s="94">
        <v>2.54</v>
      </c>
      <c r="P414" s="101">
        <v>82.02</v>
      </c>
      <c r="Q414" s="102"/>
      <c r="R414" s="103">
        <f t="shared" si="1"/>
        <v>185925.6</v>
      </c>
      <c r="S414" s="103">
        <f t="shared" si="2"/>
        <v>38455.2</v>
      </c>
      <c r="T414" s="103">
        <f t="shared" si="3"/>
        <v>10319.4</v>
      </c>
      <c r="U414" s="103">
        <f t="shared" si="4"/>
        <v>10672.2</v>
      </c>
      <c r="V414" s="103">
        <f t="shared" si="5"/>
        <v>272361.6</v>
      </c>
      <c r="W414" s="103">
        <f t="shared" si="6"/>
        <v>44805.6</v>
      </c>
      <c r="X414" s="103">
        <f t="shared" si="7"/>
        <v>1446832.8</v>
      </c>
    </row>
    <row r="415" ht="12.0" customHeight="1">
      <c r="A4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15" s="87" t="str">
        <f>IFERROR(__xludf.DUMMYFUNCTION("IFERROR(IF(F415&lt;&gt;"""",""WHSE ""&amp;LEFT(F415,1),REGEXEXTRACT(E415,""-(?:\d{2}-)?([A-Z]+)"")),"""")
"),"WHSE D")</f>
        <v>WHSE D</v>
      </c>
      <c r="C415" s="88">
        <v>45987.0</v>
      </c>
      <c r="D415" s="89" t="s">
        <v>466</v>
      </c>
      <c r="E415" s="90" t="s">
        <v>429</v>
      </c>
      <c r="F415" s="90" t="s">
        <v>430</v>
      </c>
      <c r="G415" s="98" t="s">
        <v>362</v>
      </c>
      <c r="H415" s="92">
        <v>5945.0</v>
      </c>
      <c r="I415" s="99">
        <v>152.0</v>
      </c>
      <c r="J415" s="94">
        <v>13.74</v>
      </c>
      <c r="K415" s="100">
        <v>2.6</v>
      </c>
      <c r="L415" s="100">
        <v>0.581</v>
      </c>
      <c r="M415" s="100">
        <v>0.601</v>
      </c>
      <c r="N415" s="101">
        <v>13.88</v>
      </c>
      <c r="O415" s="94">
        <v>3.67</v>
      </c>
      <c r="P415" s="101">
        <v>82.45</v>
      </c>
      <c r="Q415" s="89" t="s">
        <v>467</v>
      </c>
      <c r="R415" s="86">
        <f t="shared" si="1"/>
        <v>81684.3</v>
      </c>
      <c r="S415" s="86">
        <f t="shared" si="2"/>
        <v>15457</v>
      </c>
      <c r="T415" s="86">
        <f t="shared" si="3"/>
        <v>3454.045</v>
      </c>
      <c r="U415" s="86">
        <f t="shared" si="4"/>
        <v>3572.945</v>
      </c>
      <c r="V415" s="86">
        <f t="shared" si="5"/>
        <v>82516.6</v>
      </c>
      <c r="W415" s="86">
        <f t="shared" si="6"/>
        <v>21818.15</v>
      </c>
      <c r="X415" s="86">
        <f t="shared" si="7"/>
        <v>490165.25</v>
      </c>
    </row>
    <row r="416" ht="12.0" customHeight="1">
      <c r="A4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16" s="87" t="str">
        <f>IFERROR(__xludf.DUMMYFUNCTION("IFERROR(IF(F416&lt;&gt;"""",""WHSE ""&amp;LEFT(F416,1),REGEXEXTRACT(E416,""-(?:\d{2}-)?([A-Z]+)"")),"""")
"),"")</f>
        <v/>
      </c>
      <c r="C416" s="106"/>
      <c r="D416" s="102"/>
      <c r="E416" s="104"/>
      <c r="F416" s="104"/>
      <c r="G416" s="91"/>
      <c r="H416" s="107"/>
      <c r="I416" s="93"/>
      <c r="J416" s="97"/>
      <c r="K416" s="95"/>
      <c r="L416" s="95"/>
      <c r="M416" s="95"/>
      <c r="N416" s="96"/>
      <c r="O416" s="97"/>
      <c r="P416" s="96"/>
      <c r="Q416" s="102"/>
      <c r="R416" s="103">
        <f t="shared" si="1"/>
        <v>0</v>
      </c>
      <c r="S416" s="103">
        <f t="shared" si="2"/>
        <v>0</v>
      </c>
      <c r="T416" s="103">
        <f t="shared" si="3"/>
        <v>0</v>
      </c>
      <c r="U416" s="103">
        <f t="shared" si="4"/>
        <v>0</v>
      </c>
      <c r="V416" s="103">
        <f t="shared" si="5"/>
        <v>0</v>
      </c>
      <c r="W416" s="103">
        <f t="shared" si="6"/>
        <v>0</v>
      </c>
      <c r="X416" s="103">
        <f t="shared" si="7"/>
        <v>0</v>
      </c>
    </row>
    <row r="417" ht="12.0" customHeight="1">
      <c r="A4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17" s="87" t="str">
        <f>IFERROR(__xludf.DUMMYFUNCTION("IFERROR(IF(F417&lt;&gt;"""",""WHSE ""&amp;LEFT(F417,1),REGEXEXTRACT(E417,""-(?:\d{2}-)?([A-Z]+)"")),"""")
"),"WHSE D")</f>
        <v>WHSE D</v>
      </c>
      <c r="C417" s="88">
        <v>45988.0</v>
      </c>
      <c r="D417" s="89" t="s">
        <v>72</v>
      </c>
      <c r="E417" s="90" t="s">
        <v>452</v>
      </c>
      <c r="F417" s="90" t="s">
        <v>453</v>
      </c>
      <c r="G417" s="98" t="s">
        <v>73</v>
      </c>
      <c r="H417" s="92">
        <v>17920.0</v>
      </c>
      <c r="I417" s="99">
        <v>433.0</v>
      </c>
      <c r="J417" s="94">
        <v>11.74</v>
      </c>
      <c r="K417" s="100">
        <v>2.33</v>
      </c>
      <c r="L417" s="100">
        <v>0.578</v>
      </c>
      <c r="M417" s="100">
        <v>0.598</v>
      </c>
      <c r="N417" s="101">
        <v>12.37</v>
      </c>
      <c r="O417" s="94">
        <v>3.48</v>
      </c>
      <c r="P417" s="101">
        <v>84.15</v>
      </c>
      <c r="Q417" s="102"/>
      <c r="R417" s="103">
        <f t="shared" si="1"/>
        <v>210380.8</v>
      </c>
      <c r="S417" s="103">
        <f t="shared" si="2"/>
        <v>41753.6</v>
      </c>
      <c r="T417" s="103">
        <f t="shared" si="3"/>
        <v>10357.76</v>
      </c>
      <c r="U417" s="103">
        <f t="shared" si="4"/>
        <v>10716.16</v>
      </c>
      <c r="V417" s="103">
        <f t="shared" si="5"/>
        <v>221670.4</v>
      </c>
      <c r="W417" s="103">
        <f t="shared" si="6"/>
        <v>62361.6</v>
      </c>
      <c r="X417" s="103">
        <f t="shared" si="7"/>
        <v>1507968</v>
      </c>
    </row>
    <row r="418" ht="12.0" customHeight="1">
      <c r="A4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18" s="87" t="str">
        <f>IFERROR(__xludf.DUMMYFUNCTION("IFERROR(IF(F418&lt;&gt;"""",""WHSE ""&amp;LEFT(F418,1),REGEXEXTRACT(E418,""-(?:\d{2}-)?([A-Z]+)"")),"""")
"),"FEED")</f>
        <v>FEED</v>
      </c>
      <c r="C418" s="88">
        <v>45988.0</v>
      </c>
      <c r="D418" s="89" t="s">
        <v>286</v>
      </c>
      <c r="E418" s="90" t="s">
        <v>468</v>
      </c>
      <c r="F418" s="104"/>
      <c r="G418" s="98" t="s">
        <v>77</v>
      </c>
      <c r="H418" s="92">
        <v>19410.0</v>
      </c>
      <c r="I418" s="99">
        <v>455.0</v>
      </c>
      <c r="J418" s="94">
        <v>11.54</v>
      </c>
      <c r="K418" s="100">
        <v>2.61</v>
      </c>
      <c r="L418" s="100">
        <v>0.581</v>
      </c>
      <c r="M418" s="100">
        <v>0.601</v>
      </c>
      <c r="N418" s="101">
        <v>13.64</v>
      </c>
      <c r="O418" s="94">
        <v>3.08</v>
      </c>
      <c r="P418" s="101">
        <v>83.28</v>
      </c>
      <c r="Q418" s="89" t="s">
        <v>469</v>
      </c>
      <c r="R418" s="86">
        <f t="shared" si="1"/>
        <v>223991.4</v>
      </c>
      <c r="S418" s="86">
        <f t="shared" si="2"/>
        <v>50660.1</v>
      </c>
      <c r="T418" s="86">
        <f t="shared" si="3"/>
        <v>11277.21</v>
      </c>
      <c r="U418" s="86">
        <f t="shared" si="4"/>
        <v>11665.41</v>
      </c>
      <c r="V418" s="86">
        <f t="shared" si="5"/>
        <v>264752.4</v>
      </c>
      <c r="W418" s="86">
        <f t="shared" si="6"/>
        <v>59782.8</v>
      </c>
      <c r="X418" s="86">
        <f t="shared" si="7"/>
        <v>1616464.8</v>
      </c>
    </row>
    <row r="419" ht="12.0" customHeight="1">
      <c r="A4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19" s="87" t="str">
        <f>IFERROR(__xludf.DUMMYFUNCTION("IFERROR(IF(F419&lt;&gt;"""",""WHSE ""&amp;LEFT(F419,1),REGEXEXTRACT(E419,""-(?:\d{2}-)?([A-Z]+)"")),"""")
"),"WHSE C")</f>
        <v>WHSE C</v>
      </c>
      <c r="C419" s="88">
        <v>45988.0</v>
      </c>
      <c r="D419" s="89" t="s">
        <v>232</v>
      </c>
      <c r="E419" s="90" t="s">
        <v>470</v>
      </c>
      <c r="F419" s="90" t="s">
        <v>471</v>
      </c>
      <c r="G419" s="98" t="s">
        <v>328</v>
      </c>
      <c r="H419" s="92">
        <v>21830.0</v>
      </c>
      <c r="I419" s="99">
        <v>460.0</v>
      </c>
      <c r="J419" s="94">
        <v>9.94</v>
      </c>
      <c r="K419" s="100">
        <v>3.1</v>
      </c>
      <c r="L419" s="100">
        <v>0.585</v>
      </c>
      <c r="M419" s="100">
        <v>0.605</v>
      </c>
      <c r="N419" s="101">
        <v>12.25</v>
      </c>
      <c r="O419" s="94">
        <v>3.66</v>
      </c>
      <c r="P419" s="101">
        <v>84.09</v>
      </c>
      <c r="Q419" s="102"/>
      <c r="R419" s="103">
        <f t="shared" si="1"/>
        <v>216990.2</v>
      </c>
      <c r="S419" s="103">
        <f t="shared" si="2"/>
        <v>67673</v>
      </c>
      <c r="T419" s="103">
        <f t="shared" si="3"/>
        <v>12770.55</v>
      </c>
      <c r="U419" s="103">
        <f t="shared" si="4"/>
        <v>13207.15</v>
      </c>
      <c r="V419" s="103">
        <f t="shared" si="5"/>
        <v>267417.5</v>
      </c>
      <c r="W419" s="103">
        <f t="shared" si="6"/>
        <v>79897.8</v>
      </c>
      <c r="X419" s="103">
        <f t="shared" si="7"/>
        <v>1835684.7</v>
      </c>
    </row>
    <row r="420" ht="12.0" customHeight="1">
      <c r="A4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20" s="87" t="str">
        <f>IFERROR(__xludf.DUMMYFUNCTION("IFERROR(IF(F420&lt;&gt;"""",""WHSE ""&amp;LEFT(F420,1),REGEXEXTRACT(E420,""-(?:\d{2}-)?([A-Z]+)"")),"""")
"),"WHSE D")</f>
        <v>WHSE D</v>
      </c>
      <c r="C420" s="88">
        <v>45988.0</v>
      </c>
      <c r="D420" s="89" t="s">
        <v>304</v>
      </c>
      <c r="E420" s="90" t="s">
        <v>295</v>
      </c>
      <c r="F420" s="90" t="s">
        <v>296</v>
      </c>
      <c r="G420" s="98" t="s">
        <v>472</v>
      </c>
      <c r="H420" s="92">
        <v>3790.0</v>
      </c>
      <c r="I420" s="99">
        <v>110.0</v>
      </c>
      <c r="J420" s="94">
        <v>11.94</v>
      </c>
      <c r="K420" s="100">
        <v>3.81</v>
      </c>
      <c r="L420" s="100">
        <v>0.578</v>
      </c>
      <c r="M420" s="100">
        <v>0.598</v>
      </c>
      <c r="N420" s="101">
        <v>14.61</v>
      </c>
      <c r="O420" s="94">
        <v>2.54</v>
      </c>
      <c r="P420" s="101">
        <v>82.85</v>
      </c>
      <c r="Q420" s="89" t="s">
        <v>460</v>
      </c>
      <c r="R420" s="86">
        <f t="shared" si="1"/>
        <v>45252.6</v>
      </c>
      <c r="S420" s="86">
        <f t="shared" si="2"/>
        <v>14439.9</v>
      </c>
      <c r="T420" s="86">
        <f t="shared" si="3"/>
        <v>2190.62</v>
      </c>
      <c r="U420" s="86">
        <f t="shared" si="4"/>
        <v>2266.42</v>
      </c>
      <c r="V420" s="86">
        <f t="shared" si="5"/>
        <v>55371.9</v>
      </c>
      <c r="W420" s="86">
        <f t="shared" si="6"/>
        <v>9626.6</v>
      </c>
      <c r="X420" s="86">
        <f t="shared" si="7"/>
        <v>314001.5</v>
      </c>
    </row>
    <row r="421" ht="12.0" customHeight="1">
      <c r="A4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21" s="87" t="str">
        <f>IFERROR(__xludf.DUMMYFUNCTION("IFERROR(IF(F421&lt;&gt;"""",""WHSE ""&amp;LEFT(F421,1),REGEXEXTRACT(E421,""-(?:\d{2}-)?([A-Z]+)"")),"""")
"),"WHSE D")</f>
        <v>WHSE D</v>
      </c>
      <c r="C421" s="88">
        <v>45988.0</v>
      </c>
      <c r="D421" s="89" t="s">
        <v>304</v>
      </c>
      <c r="E421" s="90" t="s">
        <v>295</v>
      </c>
      <c r="F421" s="90" t="s">
        <v>296</v>
      </c>
      <c r="G421" s="98" t="s">
        <v>473</v>
      </c>
      <c r="H421" s="92">
        <v>10135.0</v>
      </c>
      <c r="I421" s="99">
        <v>300.0</v>
      </c>
      <c r="J421" s="94">
        <v>11.6</v>
      </c>
      <c r="K421" s="100">
        <v>3.73</v>
      </c>
      <c r="L421" s="100">
        <v>0.581</v>
      </c>
      <c r="M421" s="100">
        <v>0.601</v>
      </c>
      <c r="N421" s="101">
        <v>14.33</v>
      </c>
      <c r="O421" s="94">
        <v>2.76</v>
      </c>
      <c r="P421" s="101">
        <v>82.91</v>
      </c>
      <c r="Q421" s="89" t="s">
        <v>460</v>
      </c>
      <c r="R421" s="86">
        <f t="shared" si="1"/>
        <v>117566</v>
      </c>
      <c r="S421" s="86">
        <f t="shared" si="2"/>
        <v>37803.55</v>
      </c>
      <c r="T421" s="86">
        <f t="shared" si="3"/>
        <v>5888.435</v>
      </c>
      <c r="U421" s="86">
        <f t="shared" si="4"/>
        <v>6091.135</v>
      </c>
      <c r="V421" s="86">
        <f t="shared" si="5"/>
        <v>145234.55</v>
      </c>
      <c r="W421" s="86">
        <f t="shared" si="6"/>
        <v>27972.6</v>
      </c>
      <c r="X421" s="86">
        <f t="shared" si="7"/>
        <v>840292.85</v>
      </c>
    </row>
    <row r="422" ht="12.0" customHeight="1">
      <c r="A4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22" s="87" t="str">
        <f>IFERROR(__xludf.DUMMYFUNCTION("IFERROR(IF(F422&lt;&gt;"""",""WHSE ""&amp;LEFT(F422,1),REGEXEXTRACT(E422,""-(?:\d{2}-)?([A-Z]+)"")),"""")
"),"WHSE C")</f>
        <v>WHSE C</v>
      </c>
      <c r="C422" s="88">
        <v>45988.0</v>
      </c>
      <c r="D422" s="89" t="s">
        <v>265</v>
      </c>
      <c r="E422" s="90" t="s">
        <v>470</v>
      </c>
      <c r="F422" s="90" t="s">
        <v>471</v>
      </c>
      <c r="G422" s="98" t="s">
        <v>457</v>
      </c>
      <c r="H422" s="92">
        <v>10390.0</v>
      </c>
      <c r="I422" s="99">
        <v>304.0</v>
      </c>
      <c r="J422" s="94">
        <v>10.87</v>
      </c>
      <c r="K422" s="100">
        <v>2.33</v>
      </c>
      <c r="L422" s="100">
        <v>0.568</v>
      </c>
      <c r="M422" s="100">
        <v>0.588</v>
      </c>
      <c r="N422" s="101">
        <v>13.77</v>
      </c>
      <c r="O422" s="94">
        <v>2.48</v>
      </c>
      <c r="P422" s="101">
        <v>83.75</v>
      </c>
      <c r="Q422" s="102"/>
      <c r="R422" s="103">
        <f t="shared" si="1"/>
        <v>112939.3</v>
      </c>
      <c r="S422" s="103">
        <f t="shared" si="2"/>
        <v>24208.7</v>
      </c>
      <c r="T422" s="103">
        <f t="shared" si="3"/>
        <v>5901.52</v>
      </c>
      <c r="U422" s="103">
        <f t="shared" si="4"/>
        <v>6109.32</v>
      </c>
      <c r="V422" s="103">
        <f t="shared" si="5"/>
        <v>143070.3</v>
      </c>
      <c r="W422" s="103">
        <f t="shared" si="6"/>
        <v>25767.2</v>
      </c>
      <c r="X422" s="103">
        <f t="shared" si="7"/>
        <v>870162.5</v>
      </c>
    </row>
    <row r="423" ht="12.0" customHeight="1">
      <c r="A4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23" s="87" t="str">
        <f>IFERROR(__xludf.DUMMYFUNCTION("IFERROR(IF(F423&lt;&gt;"""",""WHSE ""&amp;LEFT(F423,1),REGEXEXTRACT(E423,""-(?:\d{2}-)?([A-Z]+)"")),"""")
"),"")</f>
        <v/>
      </c>
      <c r="C423" s="106"/>
      <c r="D423" s="102"/>
      <c r="E423" s="104"/>
      <c r="F423" s="104"/>
      <c r="G423" s="91"/>
      <c r="H423" s="107"/>
      <c r="I423" s="93"/>
      <c r="J423" s="97"/>
      <c r="K423" s="95"/>
      <c r="L423" s="95"/>
      <c r="M423" s="95"/>
      <c r="N423" s="96"/>
      <c r="O423" s="97"/>
      <c r="P423" s="96"/>
      <c r="Q423" s="102"/>
      <c r="R423" s="103">
        <f t="shared" si="1"/>
        <v>0</v>
      </c>
      <c r="S423" s="103">
        <f t="shared" si="2"/>
        <v>0</v>
      </c>
      <c r="T423" s="103">
        <f t="shared" si="3"/>
        <v>0</v>
      </c>
      <c r="U423" s="103">
        <f t="shared" si="4"/>
        <v>0</v>
      </c>
      <c r="V423" s="103">
        <f t="shared" si="5"/>
        <v>0</v>
      </c>
      <c r="W423" s="103">
        <f t="shared" si="6"/>
        <v>0</v>
      </c>
      <c r="X423" s="103">
        <f t="shared" si="7"/>
        <v>0</v>
      </c>
    </row>
    <row r="424" ht="12.0" customHeight="1">
      <c r="A4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24" s="87" t="str">
        <f>IFERROR(__xludf.DUMMYFUNCTION("IFERROR(IF(F424&lt;&gt;"""",""WHSE ""&amp;LEFT(F424,1),REGEXEXTRACT(E424,""-(?:\d{2}-)?([A-Z]+)"")),"""")
"),"WHSE A")</f>
        <v>WHSE A</v>
      </c>
      <c r="C424" s="88">
        <v>45989.0</v>
      </c>
      <c r="D424" s="89" t="s">
        <v>72</v>
      </c>
      <c r="E424" s="90" t="s">
        <v>474</v>
      </c>
      <c r="F424" s="90" t="s">
        <v>475</v>
      </c>
      <c r="G424" s="98" t="s">
        <v>77</v>
      </c>
      <c r="H424" s="92">
        <v>17435.0</v>
      </c>
      <c r="I424" s="99">
        <v>415.0</v>
      </c>
      <c r="J424" s="94">
        <v>12.07</v>
      </c>
      <c r="K424" s="100">
        <v>2.41</v>
      </c>
      <c r="L424" s="100">
        <v>0.575</v>
      </c>
      <c r="M424" s="100">
        <v>0.595</v>
      </c>
      <c r="N424" s="101">
        <v>12.25</v>
      </c>
      <c r="O424" s="94">
        <v>3.44</v>
      </c>
      <c r="P424" s="101">
        <v>84.31</v>
      </c>
      <c r="Q424" s="102"/>
      <c r="R424" s="103">
        <f t="shared" si="1"/>
        <v>210440.45</v>
      </c>
      <c r="S424" s="103">
        <f t="shared" si="2"/>
        <v>42018.35</v>
      </c>
      <c r="T424" s="103">
        <f t="shared" si="3"/>
        <v>10025.125</v>
      </c>
      <c r="U424" s="103">
        <f t="shared" si="4"/>
        <v>10373.825</v>
      </c>
      <c r="V424" s="103">
        <f t="shared" si="5"/>
        <v>213578.75</v>
      </c>
      <c r="W424" s="103">
        <f t="shared" si="6"/>
        <v>59976.4</v>
      </c>
      <c r="X424" s="103">
        <f t="shared" si="7"/>
        <v>1469944.85</v>
      </c>
    </row>
    <row r="425" ht="12.0" customHeight="1">
      <c r="A4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25" s="87" t="str">
        <f>IFERROR(__xludf.DUMMYFUNCTION("IFERROR(IF(F425&lt;&gt;"""",""WHSE ""&amp;LEFT(F425,1),REGEXEXTRACT(E425,""-(?:\d{2}-)?([A-Z]+)"")),"""")
"),"WHSE D")</f>
        <v>WHSE D</v>
      </c>
      <c r="C425" s="88">
        <v>45989.0</v>
      </c>
      <c r="D425" s="89" t="s">
        <v>277</v>
      </c>
      <c r="E425" s="90" t="s">
        <v>435</v>
      </c>
      <c r="F425" s="90" t="s">
        <v>436</v>
      </c>
      <c r="G425" s="98" t="s">
        <v>476</v>
      </c>
      <c r="H425" s="92">
        <v>13571.0</v>
      </c>
      <c r="I425" s="99">
        <v>368.0</v>
      </c>
      <c r="J425" s="94">
        <v>14.54</v>
      </c>
      <c r="K425" s="100">
        <v>2.28</v>
      </c>
      <c r="L425" s="100">
        <v>0.565</v>
      </c>
      <c r="M425" s="100">
        <v>0.585</v>
      </c>
      <c r="N425" s="101">
        <v>10.63</v>
      </c>
      <c r="O425" s="94">
        <v>4.94</v>
      </c>
      <c r="P425" s="101">
        <v>84.43</v>
      </c>
      <c r="Q425" s="89" t="s">
        <v>477</v>
      </c>
      <c r="R425" s="86">
        <f t="shared" si="1"/>
        <v>197322.34</v>
      </c>
      <c r="S425" s="86">
        <f t="shared" si="2"/>
        <v>30941.88</v>
      </c>
      <c r="T425" s="86">
        <f t="shared" si="3"/>
        <v>7667.615</v>
      </c>
      <c r="U425" s="86">
        <f t="shared" si="4"/>
        <v>7939.035</v>
      </c>
      <c r="V425" s="86">
        <f t="shared" si="5"/>
        <v>144259.73</v>
      </c>
      <c r="W425" s="86">
        <f t="shared" si="6"/>
        <v>67040.74</v>
      </c>
      <c r="X425" s="86">
        <f t="shared" si="7"/>
        <v>1145799.53</v>
      </c>
    </row>
    <row r="426" ht="12.0" customHeight="1">
      <c r="A4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26" s="87" t="str">
        <f>IFERROR(__xludf.DUMMYFUNCTION("IFERROR(IF(F426&lt;&gt;"""",""WHSE ""&amp;LEFT(F426,1),REGEXEXTRACT(E426,""-(?:\d{2}-)?([A-Z]+)"")),"""")
"),"WHSE C")</f>
        <v>WHSE C</v>
      </c>
      <c r="C426" s="88">
        <v>45989.0</v>
      </c>
      <c r="D426" s="89" t="s">
        <v>232</v>
      </c>
      <c r="E426" s="90" t="s">
        <v>470</v>
      </c>
      <c r="F426" s="90" t="s">
        <v>471</v>
      </c>
      <c r="G426" s="98" t="s">
        <v>456</v>
      </c>
      <c r="H426" s="92">
        <v>3630.0</v>
      </c>
      <c r="I426" s="99">
        <v>130.0</v>
      </c>
      <c r="J426" s="94">
        <v>10.27</v>
      </c>
      <c r="K426" s="100">
        <v>3.48</v>
      </c>
      <c r="L426" s="100">
        <v>0.598</v>
      </c>
      <c r="M426" s="100">
        <v>0.618</v>
      </c>
      <c r="N426" s="101">
        <v>12.64</v>
      </c>
      <c r="O426" s="94">
        <v>2.91</v>
      </c>
      <c r="P426" s="101">
        <v>84.45</v>
      </c>
      <c r="Q426" s="102"/>
      <c r="R426" s="103">
        <f t="shared" si="1"/>
        <v>37280.1</v>
      </c>
      <c r="S426" s="103">
        <f t="shared" si="2"/>
        <v>12632.4</v>
      </c>
      <c r="T426" s="103">
        <f t="shared" si="3"/>
        <v>2170.74</v>
      </c>
      <c r="U426" s="103">
        <f t="shared" si="4"/>
        <v>2243.34</v>
      </c>
      <c r="V426" s="103">
        <f t="shared" si="5"/>
        <v>45883.2</v>
      </c>
      <c r="W426" s="103">
        <f t="shared" si="6"/>
        <v>10563.3</v>
      </c>
      <c r="X426" s="103">
        <f t="shared" si="7"/>
        <v>306553.5</v>
      </c>
    </row>
    <row r="427" ht="12.0" customHeight="1">
      <c r="A4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27" s="87" t="str">
        <f>IFERROR(__xludf.DUMMYFUNCTION("IFERROR(IF(F427&lt;&gt;"""",""WHSE ""&amp;LEFT(F427,1),REGEXEXTRACT(E427,""-(?:\d{2}-)?([A-Z]+)"")),"""")
"),"")</f>
        <v/>
      </c>
      <c r="C427" s="106"/>
      <c r="D427" s="102"/>
      <c r="E427" s="104"/>
      <c r="F427" s="104"/>
      <c r="G427" s="91"/>
      <c r="H427" s="107"/>
      <c r="I427" s="93"/>
      <c r="J427" s="97"/>
      <c r="K427" s="95"/>
      <c r="L427" s="95"/>
      <c r="M427" s="95"/>
      <c r="N427" s="96"/>
      <c r="O427" s="97"/>
      <c r="P427" s="96"/>
      <c r="Q427" s="102"/>
      <c r="R427" s="103">
        <f t="shared" si="1"/>
        <v>0</v>
      </c>
      <c r="S427" s="103">
        <f t="shared" si="2"/>
        <v>0</v>
      </c>
      <c r="T427" s="103">
        <f t="shared" si="3"/>
        <v>0</v>
      </c>
      <c r="U427" s="103">
        <f t="shared" si="4"/>
        <v>0</v>
      </c>
      <c r="V427" s="103">
        <f t="shared" si="5"/>
        <v>0</v>
      </c>
      <c r="W427" s="103">
        <f t="shared" si="6"/>
        <v>0</v>
      </c>
      <c r="X427" s="103">
        <f t="shared" si="7"/>
        <v>0</v>
      </c>
    </row>
    <row r="428" ht="12.0" customHeight="1">
      <c r="A4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28" s="87" t="str">
        <f>IFERROR(__xludf.DUMMYFUNCTION("IFERROR(IF(F428&lt;&gt;"""",""WHSE ""&amp;LEFT(F428,1),REGEXEXTRACT(E428,""-(?:\d{2}-)?([A-Z]+)"")),"""")
"),"WHSE C")</f>
        <v>WHSE C</v>
      </c>
      <c r="C428" s="88">
        <v>45990.0</v>
      </c>
      <c r="D428" s="89" t="s">
        <v>232</v>
      </c>
      <c r="E428" s="90" t="s">
        <v>470</v>
      </c>
      <c r="F428" s="90" t="s">
        <v>471</v>
      </c>
      <c r="G428" s="98" t="s">
        <v>328</v>
      </c>
      <c r="H428" s="92">
        <v>20835.0</v>
      </c>
      <c r="I428" s="99">
        <v>510.0</v>
      </c>
      <c r="J428" s="94">
        <v>10.14</v>
      </c>
      <c r="K428" s="100">
        <v>2.38</v>
      </c>
      <c r="L428" s="100">
        <v>0.578</v>
      </c>
      <c r="M428" s="100">
        <v>0.598</v>
      </c>
      <c r="N428" s="101">
        <v>13.05</v>
      </c>
      <c r="O428" s="94">
        <v>3.39</v>
      </c>
      <c r="P428" s="101">
        <v>83.56</v>
      </c>
      <c r="Q428" s="102"/>
      <c r="R428" s="103">
        <f t="shared" si="1"/>
        <v>211266.9</v>
      </c>
      <c r="S428" s="103">
        <f t="shared" si="2"/>
        <v>49587.3</v>
      </c>
      <c r="T428" s="103">
        <f t="shared" si="3"/>
        <v>12042.63</v>
      </c>
      <c r="U428" s="103">
        <f t="shared" si="4"/>
        <v>12459.33</v>
      </c>
      <c r="V428" s="103">
        <f t="shared" si="5"/>
        <v>271896.75</v>
      </c>
      <c r="W428" s="103">
        <f t="shared" si="6"/>
        <v>70630.65</v>
      </c>
      <c r="X428" s="103">
        <f t="shared" si="7"/>
        <v>1740972.6</v>
      </c>
    </row>
    <row r="429" ht="12.0" customHeight="1">
      <c r="A4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29" s="87" t="str">
        <f>IFERROR(__xludf.DUMMYFUNCTION("IFERROR(IF(F429&lt;&gt;"""",""WHSE ""&amp;LEFT(F429,1),REGEXEXTRACT(E429,""-(?:\d{2}-)?([A-Z]+)"")),"""")
"),"WHSE D")</f>
        <v>WHSE D</v>
      </c>
      <c r="C429" s="88">
        <v>45990.0</v>
      </c>
      <c r="D429" s="89" t="s">
        <v>60</v>
      </c>
      <c r="E429" s="90" t="s">
        <v>478</v>
      </c>
      <c r="F429" s="90" t="s">
        <v>479</v>
      </c>
      <c r="G429" s="98" t="s">
        <v>63</v>
      </c>
      <c r="H429" s="92">
        <v>14361.0</v>
      </c>
      <c r="I429" s="99">
        <v>279.0</v>
      </c>
      <c r="J429" s="94">
        <v>13.74</v>
      </c>
      <c r="K429" s="100">
        <v>2.42</v>
      </c>
      <c r="L429" s="100">
        <v>0.571</v>
      </c>
      <c r="M429" s="100">
        <v>0.591</v>
      </c>
      <c r="N429" s="101">
        <v>12.17</v>
      </c>
      <c r="O429" s="94">
        <v>3.27</v>
      </c>
      <c r="P429" s="101">
        <v>84.56</v>
      </c>
      <c r="Q429" s="102"/>
      <c r="R429" s="103">
        <f t="shared" si="1"/>
        <v>197320.14</v>
      </c>
      <c r="S429" s="103">
        <f t="shared" si="2"/>
        <v>34753.62</v>
      </c>
      <c r="T429" s="103">
        <f t="shared" si="3"/>
        <v>8200.131</v>
      </c>
      <c r="U429" s="103">
        <f t="shared" si="4"/>
        <v>8487.351</v>
      </c>
      <c r="V429" s="103">
        <f t="shared" si="5"/>
        <v>174773.37</v>
      </c>
      <c r="W429" s="103">
        <f t="shared" si="6"/>
        <v>46960.47</v>
      </c>
      <c r="X429" s="103">
        <f t="shared" si="7"/>
        <v>1214366.16</v>
      </c>
    </row>
    <row r="430" ht="12.0" customHeight="1">
      <c r="A4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30" s="87" t="str">
        <f>IFERROR(__xludf.DUMMYFUNCTION("IFERROR(IF(F430&lt;&gt;"""",""WHSE ""&amp;LEFT(F430,1),REGEXEXTRACT(E430,""-(?:\d{2}-)?([A-Z]+)"")),"""")
"),"")</f>
        <v/>
      </c>
      <c r="C430" s="106"/>
      <c r="D430" s="102"/>
      <c r="E430" s="104"/>
      <c r="F430" s="104"/>
      <c r="G430" s="91"/>
      <c r="H430" s="107"/>
      <c r="I430" s="93"/>
      <c r="J430" s="97"/>
      <c r="K430" s="95"/>
      <c r="L430" s="95"/>
      <c r="M430" s="95"/>
      <c r="N430" s="96"/>
      <c r="O430" s="97"/>
      <c r="P430" s="96"/>
      <c r="Q430" s="102"/>
      <c r="R430" s="103">
        <f t="shared" si="1"/>
        <v>0</v>
      </c>
      <c r="S430" s="103">
        <f t="shared" si="2"/>
        <v>0</v>
      </c>
      <c r="T430" s="103">
        <f t="shared" si="3"/>
        <v>0</v>
      </c>
      <c r="U430" s="103">
        <f t="shared" si="4"/>
        <v>0</v>
      </c>
      <c r="V430" s="103">
        <f t="shared" si="5"/>
        <v>0</v>
      </c>
      <c r="W430" s="103">
        <f t="shared" si="6"/>
        <v>0</v>
      </c>
      <c r="X430" s="103">
        <f t="shared" si="7"/>
        <v>0</v>
      </c>
    </row>
    <row r="431" ht="12.0" customHeight="1">
      <c r="A4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31" s="87" t="str">
        <f>IFERROR(__xludf.DUMMYFUNCTION("IFERROR(IF(F431&lt;&gt;"""",""WHSE ""&amp;LEFT(F431,1),REGEXEXTRACT(E431,""-(?:\d{2}-)?([A-Z]+)"")),"""")
"),"WHSE C")</f>
        <v>WHSE C</v>
      </c>
      <c r="C431" s="88">
        <v>45992.0</v>
      </c>
      <c r="D431" s="89" t="s">
        <v>232</v>
      </c>
      <c r="E431" s="90" t="s">
        <v>454</v>
      </c>
      <c r="F431" s="90" t="s">
        <v>455</v>
      </c>
      <c r="G431" s="98" t="s">
        <v>235</v>
      </c>
      <c r="H431" s="92">
        <v>11525.0</v>
      </c>
      <c r="I431" s="99">
        <v>340.0</v>
      </c>
      <c r="J431" s="94">
        <v>10.2</v>
      </c>
      <c r="K431" s="100">
        <v>2.61</v>
      </c>
      <c r="L431" s="100">
        <v>0.585</v>
      </c>
      <c r="M431" s="100">
        <v>0.605</v>
      </c>
      <c r="N431" s="101">
        <v>12.97</v>
      </c>
      <c r="O431" s="94">
        <v>3.15</v>
      </c>
      <c r="P431" s="101">
        <v>83.88</v>
      </c>
      <c r="Q431" s="89" t="s">
        <v>480</v>
      </c>
      <c r="R431" s="86">
        <f t="shared" si="1"/>
        <v>117555</v>
      </c>
      <c r="S431" s="86">
        <f t="shared" si="2"/>
        <v>30080.25</v>
      </c>
      <c r="T431" s="86">
        <f t="shared" si="3"/>
        <v>6742.125</v>
      </c>
      <c r="U431" s="86">
        <f t="shared" si="4"/>
        <v>6972.625</v>
      </c>
      <c r="V431" s="86">
        <f t="shared" si="5"/>
        <v>149479.25</v>
      </c>
      <c r="W431" s="86">
        <f t="shared" si="6"/>
        <v>36303.75</v>
      </c>
      <c r="X431" s="86">
        <f t="shared" si="7"/>
        <v>966717</v>
      </c>
    </row>
    <row r="432" ht="12.0" customHeight="1">
      <c r="A4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32" s="87" t="str">
        <f>IFERROR(__xludf.DUMMYFUNCTION("IFERROR(IF(F432&lt;&gt;"""",""WHSE ""&amp;LEFT(F432,1),REGEXEXTRACT(E432,""-(?:\d{2}-)?([A-Z]+)"")),"""")
"),"WHSE A")</f>
        <v>WHSE A</v>
      </c>
      <c r="C432" s="88">
        <v>45992.0</v>
      </c>
      <c r="D432" s="89" t="s">
        <v>72</v>
      </c>
      <c r="E432" s="90" t="s">
        <v>474</v>
      </c>
      <c r="F432" s="90" t="s">
        <v>475</v>
      </c>
      <c r="G432" s="98" t="s">
        <v>73</v>
      </c>
      <c r="H432" s="92">
        <v>17910.0</v>
      </c>
      <c r="I432" s="99">
        <v>450.0</v>
      </c>
      <c r="J432" s="94">
        <v>11.47</v>
      </c>
      <c r="K432" s="100">
        <v>2.54</v>
      </c>
      <c r="L432" s="100">
        <v>0.578</v>
      </c>
      <c r="M432" s="100">
        <v>0.598</v>
      </c>
      <c r="N432" s="101">
        <v>12.63</v>
      </c>
      <c r="O432" s="94">
        <v>3.7</v>
      </c>
      <c r="P432" s="101">
        <v>83.67</v>
      </c>
      <c r="Q432" s="89" t="s">
        <v>481</v>
      </c>
      <c r="R432" s="86">
        <f t="shared" si="1"/>
        <v>205427.7</v>
      </c>
      <c r="S432" s="86">
        <f t="shared" si="2"/>
        <v>45491.4</v>
      </c>
      <c r="T432" s="86">
        <f t="shared" si="3"/>
        <v>10351.98</v>
      </c>
      <c r="U432" s="86">
        <f t="shared" si="4"/>
        <v>10710.18</v>
      </c>
      <c r="V432" s="86">
        <f t="shared" si="5"/>
        <v>226203.3</v>
      </c>
      <c r="W432" s="86">
        <f t="shared" si="6"/>
        <v>66267</v>
      </c>
      <c r="X432" s="86">
        <f t="shared" si="7"/>
        <v>1498529.7</v>
      </c>
    </row>
    <row r="433" ht="12.0" customHeight="1">
      <c r="A4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33" s="87" t="str">
        <f>IFERROR(__xludf.DUMMYFUNCTION("IFERROR(IF(F433&lt;&gt;"""",""WHSE ""&amp;LEFT(F433,1),REGEXEXTRACT(E433,""-(?:\d{2}-)?([A-Z]+)"")),"""")
"),"WHSE D")</f>
        <v>WHSE D</v>
      </c>
      <c r="C433" s="88">
        <v>45992.0</v>
      </c>
      <c r="D433" s="89" t="s">
        <v>64</v>
      </c>
      <c r="E433" s="90" t="s">
        <v>482</v>
      </c>
      <c r="F433" s="90" t="s">
        <v>483</v>
      </c>
      <c r="G433" s="98" t="s">
        <v>65</v>
      </c>
      <c r="H433" s="92">
        <v>20559.0</v>
      </c>
      <c r="I433" s="99">
        <v>437.0</v>
      </c>
      <c r="J433" s="94">
        <v>12.2</v>
      </c>
      <c r="K433" s="100">
        <v>2.33</v>
      </c>
      <c r="L433" s="100">
        <v>0.581</v>
      </c>
      <c r="M433" s="100">
        <v>0.601</v>
      </c>
      <c r="N433" s="101">
        <v>12.44</v>
      </c>
      <c r="O433" s="94">
        <v>3.8</v>
      </c>
      <c r="P433" s="101">
        <v>83.76</v>
      </c>
      <c r="Q433" s="89" t="s">
        <v>484</v>
      </c>
      <c r="R433" s="86">
        <f t="shared" si="1"/>
        <v>250819.8</v>
      </c>
      <c r="S433" s="86">
        <f t="shared" si="2"/>
        <v>47902.47</v>
      </c>
      <c r="T433" s="86">
        <f t="shared" si="3"/>
        <v>11944.779</v>
      </c>
      <c r="U433" s="86">
        <f t="shared" si="4"/>
        <v>12355.959</v>
      </c>
      <c r="V433" s="86">
        <f t="shared" si="5"/>
        <v>255753.96</v>
      </c>
      <c r="W433" s="86">
        <f t="shared" si="6"/>
        <v>78124.2</v>
      </c>
      <c r="X433" s="86">
        <f t="shared" si="7"/>
        <v>1722021.84</v>
      </c>
    </row>
    <row r="434" ht="12.0" customHeight="1">
      <c r="A4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34" s="87" t="str">
        <f>IFERROR(__xludf.DUMMYFUNCTION("IFERROR(IF(F434&lt;&gt;"""",""WHSE ""&amp;LEFT(F434,1),REGEXEXTRACT(E434,""-(?:\d{2}-)?([A-Z]+)"")),"""")
"),"WHSE D")</f>
        <v>WHSE D</v>
      </c>
      <c r="C434" s="88">
        <v>45992.0</v>
      </c>
      <c r="D434" s="89" t="s">
        <v>64</v>
      </c>
      <c r="E434" s="90" t="s">
        <v>482</v>
      </c>
      <c r="F434" s="90" t="s">
        <v>483</v>
      </c>
      <c r="G434" s="98" t="s">
        <v>380</v>
      </c>
      <c r="H434" s="92">
        <v>16239.0</v>
      </c>
      <c r="I434" s="99">
        <v>376.0</v>
      </c>
      <c r="J434" s="94">
        <v>13.4</v>
      </c>
      <c r="K434" s="100">
        <v>2.14</v>
      </c>
      <c r="L434" s="100">
        <v>0.578</v>
      </c>
      <c r="M434" s="100">
        <v>0.598</v>
      </c>
      <c r="N434" s="101">
        <v>11.95</v>
      </c>
      <c r="O434" s="94">
        <v>2.98</v>
      </c>
      <c r="P434" s="101">
        <v>85.07</v>
      </c>
      <c r="Q434" s="89" t="s">
        <v>485</v>
      </c>
      <c r="R434" s="86">
        <f t="shared" si="1"/>
        <v>217602.6</v>
      </c>
      <c r="S434" s="86">
        <f t="shared" si="2"/>
        <v>34751.46</v>
      </c>
      <c r="T434" s="86">
        <f t="shared" si="3"/>
        <v>9386.142</v>
      </c>
      <c r="U434" s="86">
        <f t="shared" si="4"/>
        <v>9710.922</v>
      </c>
      <c r="V434" s="86">
        <f t="shared" si="5"/>
        <v>194056.05</v>
      </c>
      <c r="W434" s="86">
        <f t="shared" si="6"/>
        <v>48392.22</v>
      </c>
      <c r="X434" s="86">
        <f t="shared" si="7"/>
        <v>1381451.73</v>
      </c>
    </row>
    <row r="435" ht="12.0" customHeight="1">
      <c r="A4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35" s="87" t="str">
        <f>IFERROR(__xludf.DUMMYFUNCTION("IFERROR(IF(F435&lt;&gt;"""",""WHSE ""&amp;LEFT(F435,1),REGEXEXTRACT(E435,""-(?:\d{2}-)?([A-Z]+)"")),"""")
"),"WHSE D")</f>
        <v>WHSE D</v>
      </c>
      <c r="C435" s="88">
        <v>45992.0</v>
      </c>
      <c r="D435" s="89" t="s">
        <v>64</v>
      </c>
      <c r="E435" s="90" t="s">
        <v>482</v>
      </c>
      <c r="F435" s="90" t="s">
        <v>483</v>
      </c>
      <c r="G435" s="98" t="s">
        <v>486</v>
      </c>
      <c r="H435" s="92">
        <v>10823.0</v>
      </c>
      <c r="I435" s="99">
        <v>240.0</v>
      </c>
      <c r="J435" s="94">
        <v>12.34</v>
      </c>
      <c r="K435" s="100">
        <v>2.22</v>
      </c>
      <c r="L435" s="100">
        <v>0.581</v>
      </c>
      <c r="M435" s="100">
        <v>0.601</v>
      </c>
      <c r="N435" s="101">
        <v>12.79</v>
      </c>
      <c r="O435" s="94">
        <v>3.29</v>
      </c>
      <c r="P435" s="101">
        <v>83.92</v>
      </c>
      <c r="Q435" s="89" t="s">
        <v>487</v>
      </c>
      <c r="R435" s="86">
        <f t="shared" si="1"/>
        <v>133555.82</v>
      </c>
      <c r="S435" s="86">
        <f t="shared" si="2"/>
        <v>24027.06</v>
      </c>
      <c r="T435" s="86">
        <f t="shared" si="3"/>
        <v>6288.163</v>
      </c>
      <c r="U435" s="86">
        <f t="shared" si="4"/>
        <v>6504.623</v>
      </c>
      <c r="V435" s="86">
        <f t="shared" si="5"/>
        <v>138426.17</v>
      </c>
      <c r="W435" s="86">
        <f t="shared" si="6"/>
        <v>35607.67</v>
      </c>
      <c r="X435" s="86">
        <f t="shared" si="7"/>
        <v>908266.16</v>
      </c>
    </row>
    <row r="436" ht="12.0" customHeight="1">
      <c r="A4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36" s="87" t="str">
        <f>IFERROR(__xludf.DUMMYFUNCTION("IFERROR(IF(F436&lt;&gt;"""",""WHSE ""&amp;LEFT(F436,1),REGEXEXTRACT(E436,""-(?:\d{2}-)?([A-Z]+)"")),"""")
"),"WHSE C")</f>
        <v>WHSE C</v>
      </c>
      <c r="C436" s="88">
        <v>45992.0</v>
      </c>
      <c r="D436" s="89" t="s">
        <v>265</v>
      </c>
      <c r="E436" s="90" t="s">
        <v>488</v>
      </c>
      <c r="F436" s="90" t="s">
        <v>489</v>
      </c>
      <c r="G436" s="98" t="s">
        <v>457</v>
      </c>
      <c r="H436" s="92">
        <v>8280.0</v>
      </c>
      <c r="I436" s="99">
        <v>275.0</v>
      </c>
      <c r="J436" s="94">
        <v>10.47</v>
      </c>
      <c r="K436" s="100">
        <v>3.81</v>
      </c>
      <c r="L436" s="100">
        <v>0.571</v>
      </c>
      <c r="M436" s="100">
        <v>0.591</v>
      </c>
      <c r="N436" s="101">
        <v>14.14</v>
      </c>
      <c r="O436" s="94">
        <v>2.61</v>
      </c>
      <c r="P436" s="101">
        <v>83.25</v>
      </c>
      <c r="Q436" s="102"/>
      <c r="R436" s="103">
        <f t="shared" si="1"/>
        <v>86691.6</v>
      </c>
      <c r="S436" s="103">
        <f t="shared" si="2"/>
        <v>31546.8</v>
      </c>
      <c r="T436" s="103">
        <f t="shared" si="3"/>
        <v>4727.88</v>
      </c>
      <c r="U436" s="103">
        <f t="shared" si="4"/>
        <v>4893.48</v>
      </c>
      <c r="V436" s="103">
        <f t="shared" si="5"/>
        <v>117079.2</v>
      </c>
      <c r="W436" s="103">
        <f t="shared" si="6"/>
        <v>21610.8</v>
      </c>
      <c r="X436" s="103">
        <f t="shared" si="7"/>
        <v>689310</v>
      </c>
    </row>
    <row r="437" ht="12.0" customHeight="1">
      <c r="A4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37" s="87" t="str">
        <f>IFERROR(__xludf.DUMMYFUNCTION("IFERROR(IF(F437&lt;&gt;"""",""WHSE ""&amp;LEFT(F437,1),REGEXEXTRACT(E437,""-(?:\d{2}-)?([A-Z]+)"")),"""")
"),"")</f>
        <v/>
      </c>
      <c r="C437" s="106"/>
      <c r="D437" s="102"/>
      <c r="E437" s="104"/>
      <c r="F437" s="104"/>
      <c r="G437" s="91"/>
      <c r="H437" s="107"/>
      <c r="I437" s="93"/>
      <c r="J437" s="97"/>
      <c r="K437" s="95"/>
      <c r="L437" s="95"/>
      <c r="M437" s="95"/>
      <c r="N437" s="96"/>
      <c r="O437" s="97"/>
      <c r="P437" s="96"/>
      <c r="Q437" s="102"/>
      <c r="R437" s="103">
        <f t="shared" si="1"/>
        <v>0</v>
      </c>
      <c r="S437" s="103">
        <f t="shared" si="2"/>
        <v>0</v>
      </c>
      <c r="T437" s="103">
        <f t="shared" si="3"/>
        <v>0</v>
      </c>
      <c r="U437" s="103">
        <f t="shared" si="4"/>
        <v>0</v>
      </c>
      <c r="V437" s="103">
        <f t="shared" si="5"/>
        <v>0</v>
      </c>
      <c r="W437" s="103">
        <f t="shared" si="6"/>
        <v>0</v>
      </c>
      <c r="X437" s="103">
        <f t="shared" si="7"/>
        <v>0</v>
      </c>
    </row>
    <row r="438" ht="12.0" customHeight="1">
      <c r="A4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38" s="87" t="str">
        <f>IFERROR(__xludf.DUMMYFUNCTION("IFERROR(IF(F438&lt;&gt;"""",""WHSE ""&amp;LEFT(F438,1),REGEXEXTRACT(E438,""-(?:\d{2}-)?([A-Z]+)"")),"""")
"),"WHSE D")</f>
        <v>WHSE D</v>
      </c>
      <c r="C438" s="88">
        <v>45993.0</v>
      </c>
      <c r="D438" s="89" t="s">
        <v>490</v>
      </c>
      <c r="E438" s="90" t="s">
        <v>429</v>
      </c>
      <c r="F438" s="90" t="s">
        <v>430</v>
      </c>
      <c r="G438" s="98" t="s">
        <v>491</v>
      </c>
      <c r="H438" s="92">
        <v>4772.0</v>
      </c>
      <c r="I438" s="99">
        <v>114.0</v>
      </c>
      <c r="J438" s="94">
        <v>13.74</v>
      </c>
      <c r="K438" s="100">
        <v>2.31</v>
      </c>
      <c r="L438" s="100">
        <v>0.581</v>
      </c>
      <c r="M438" s="100">
        <v>0.601</v>
      </c>
      <c r="N438" s="101">
        <v>13.77</v>
      </c>
      <c r="O438" s="94">
        <v>3.09</v>
      </c>
      <c r="P438" s="101">
        <v>83.14</v>
      </c>
      <c r="Q438" s="89" t="s">
        <v>492</v>
      </c>
      <c r="R438" s="86">
        <f t="shared" si="1"/>
        <v>65567.28</v>
      </c>
      <c r="S438" s="86">
        <f t="shared" si="2"/>
        <v>11023.32</v>
      </c>
      <c r="T438" s="86">
        <f t="shared" si="3"/>
        <v>2772.532</v>
      </c>
      <c r="U438" s="86">
        <f t="shared" si="4"/>
        <v>2867.972</v>
      </c>
      <c r="V438" s="86">
        <f t="shared" si="5"/>
        <v>65710.44</v>
      </c>
      <c r="W438" s="86">
        <f t="shared" si="6"/>
        <v>14745.48</v>
      </c>
      <c r="X438" s="86">
        <f t="shared" si="7"/>
        <v>396744.08</v>
      </c>
    </row>
    <row r="439" ht="12.0" customHeight="1">
      <c r="A4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39" s="87" t="str">
        <f>IFERROR(__xludf.DUMMYFUNCTION("IFERROR(IF(F439&lt;&gt;"""",""WHSE ""&amp;LEFT(F439,1),REGEXEXTRACT(E439,""-(?:\d{2}-)?([A-Z]+)"")),"""")
"),"WHSE C")</f>
        <v>WHSE C</v>
      </c>
      <c r="C439" s="88">
        <v>45993.0</v>
      </c>
      <c r="D439" s="89" t="s">
        <v>232</v>
      </c>
      <c r="E439" s="90" t="s">
        <v>493</v>
      </c>
      <c r="F439" s="90" t="s">
        <v>494</v>
      </c>
      <c r="G439" s="98" t="s">
        <v>495</v>
      </c>
      <c r="H439" s="92">
        <v>9550.0</v>
      </c>
      <c r="I439" s="99">
        <v>350.0</v>
      </c>
      <c r="J439" s="94">
        <v>10.6</v>
      </c>
      <c r="K439" s="100">
        <v>3.16</v>
      </c>
      <c r="L439" s="100">
        <v>0.579</v>
      </c>
      <c r="M439" s="100">
        <v>0.599</v>
      </c>
      <c r="N439" s="101">
        <v>10.18</v>
      </c>
      <c r="O439" s="94">
        <v>8.54</v>
      </c>
      <c r="P439" s="101">
        <v>81.28</v>
      </c>
      <c r="Q439" s="89" t="s">
        <v>496</v>
      </c>
      <c r="R439" s="86">
        <f t="shared" si="1"/>
        <v>101230</v>
      </c>
      <c r="S439" s="86">
        <f t="shared" si="2"/>
        <v>30178</v>
      </c>
      <c r="T439" s="86">
        <f t="shared" si="3"/>
        <v>5529.45</v>
      </c>
      <c r="U439" s="86">
        <f t="shared" si="4"/>
        <v>5720.45</v>
      </c>
      <c r="V439" s="86">
        <f t="shared" si="5"/>
        <v>97219</v>
      </c>
      <c r="W439" s="86">
        <f t="shared" si="6"/>
        <v>81557</v>
      </c>
      <c r="X439" s="86">
        <f t="shared" si="7"/>
        <v>776224</v>
      </c>
    </row>
    <row r="440" ht="12.0" customHeight="1">
      <c r="A4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40" s="87" t="str">
        <f>IFERROR(__xludf.DUMMYFUNCTION("IFERROR(IF(F440&lt;&gt;"""",""WHSE ""&amp;LEFT(F440,1),REGEXEXTRACT(E440,""-(?:\d{2}-)?([A-Z]+)"")),"""")
"),"WHSE C")</f>
        <v>WHSE C</v>
      </c>
      <c r="C440" s="88">
        <v>45993.0</v>
      </c>
      <c r="D440" s="89" t="s">
        <v>232</v>
      </c>
      <c r="E440" s="90" t="s">
        <v>488</v>
      </c>
      <c r="F440" s="90" t="s">
        <v>489</v>
      </c>
      <c r="G440" s="98" t="s">
        <v>497</v>
      </c>
      <c r="H440" s="92">
        <v>2510.0</v>
      </c>
      <c r="I440" s="99">
        <v>101.0</v>
      </c>
      <c r="J440" s="94">
        <v>10.8</v>
      </c>
      <c r="K440" s="100">
        <v>3.34</v>
      </c>
      <c r="L440" s="100">
        <v>0.575</v>
      </c>
      <c r="M440" s="100">
        <v>0.595</v>
      </c>
      <c r="N440" s="101">
        <v>13.4</v>
      </c>
      <c r="O440" s="94">
        <v>3.11</v>
      </c>
      <c r="P440" s="101">
        <v>83.49</v>
      </c>
      <c r="Q440" s="102"/>
      <c r="R440" s="103">
        <f t="shared" si="1"/>
        <v>27108</v>
      </c>
      <c r="S440" s="103">
        <f t="shared" si="2"/>
        <v>8383.4</v>
      </c>
      <c r="T440" s="103">
        <f t="shared" si="3"/>
        <v>1443.25</v>
      </c>
      <c r="U440" s="103">
        <f t="shared" si="4"/>
        <v>1493.45</v>
      </c>
      <c r="V440" s="103">
        <f t="shared" si="5"/>
        <v>33634</v>
      </c>
      <c r="W440" s="103">
        <f t="shared" si="6"/>
        <v>7806.1</v>
      </c>
      <c r="X440" s="103">
        <f t="shared" si="7"/>
        <v>209559.9</v>
      </c>
    </row>
    <row r="441" ht="12.0" customHeight="1">
      <c r="A4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41" s="87" t="str">
        <f>IFERROR(__xludf.DUMMYFUNCTION("IFERROR(IF(F441&lt;&gt;"""",""WHSE ""&amp;LEFT(F441,1),REGEXEXTRACT(E441,""-(?:\d{2}-)?([A-Z]+)"")),"""")
"),"")</f>
        <v/>
      </c>
      <c r="C441" s="106"/>
      <c r="D441" s="102"/>
      <c r="E441" s="104"/>
      <c r="F441" s="104"/>
      <c r="G441" s="91"/>
      <c r="H441" s="107"/>
      <c r="I441" s="93"/>
      <c r="J441" s="97"/>
      <c r="K441" s="95"/>
      <c r="L441" s="95"/>
      <c r="M441" s="95"/>
      <c r="N441" s="96"/>
      <c r="O441" s="97"/>
      <c r="P441" s="96"/>
      <c r="Q441" s="102"/>
      <c r="R441" s="103">
        <f t="shared" si="1"/>
        <v>0</v>
      </c>
      <c r="S441" s="103">
        <f t="shared" si="2"/>
        <v>0</v>
      </c>
      <c r="T441" s="103">
        <f t="shared" si="3"/>
        <v>0</v>
      </c>
      <c r="U441" s="103">
        <f t="shared" si="4"/>
        <v>0</v>
      </c>
      <c r="V441" s="103">
        <f t="shared" si="5"/>
        <v>0</v>
      </c>
      <c r="W441" s="103">
        <f t="shared" si="6"/>
        <v>0</v>
      </c>
      <c r="X441" s="103">
        <f t="shared" si="7"/>
        <v>0</v>
      </c>
    </row>
    <row r="442" ht="12.0" customHeight="1">
      <c r="A4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42" s="87" t="str">
        <f>IFERROR(__xludf.DUMMYFUNCTION("IFERROR(IF(F442&lt;&gt;"""",""WHSE ""&amp;LEFT(F442,1),REGEXEXTRACT(E442,""-(?:\d{2}-)?([A-Z]+)"")),"""")
"),"WHSE A")</f>
        <v>WHSE A</v>
      </c>
      <c r="C442" s="88">
        <v>45994.0</v>
      </c>
      <c r="D442" s="89" t="s">
        <v>72</v>
      </c>
      <c r="E442" s="90" t="s">
        <v>474</v>
      </c>
      <c r="F442" s="90" t="s">
        <v>475</v>
      </c>
      <c r="G442" s="98" t="s">
        <v>77</v>
      </c>
      <c r="H442" s="92">
        <v>17420.0</v>
      </c>
      <c r="I442" s="99">
        <v>446.0</v>
      </c>
      <c r="J442" s="94">
        <v>11.87</v>
      </c>
      <c r="K442" s="100">
        <v>2.74</v>
      </c>
      <c r="L442" s="100">
        <v>0.578</v>
      </c>
      <c r="M442" s="100">
        <v>0.598</v>
      </c>
      <c r="N442" s="101">
        <v>12.96</v>
      </c>
      <c r="O442" s="94">
        <v>2.86</v>
      </c>
      <c r="P442" s="101">
        <v>84.18</v>
      </c>
      <c r="Q442" s="89" t="s">
        <v>481</v>
      </c>
      <c r="R442" s="86">
        <f t="shared" si="1"/>
        <v>206775.4</v>
      </c>
      <c r="S442" s="86">
        <f t="shared" si="2"/>
        <v>47730.8</v>
      </c>
      <c r="T442" s="86">
        <f t="shared" si="3"/>
        <v>10068.76</v>
      </c>
      <c r="U442" s="86">
        <f t="shared" si="4"/>
        <v>10417.16</v>
      </c>
      <c r="V442" s="86">
        <f t="shared" si="5"/>
        <v>225763.2</v>
      </c>
      <c r="W442" s="86">
        <f t="shared" si="6"/>
        <v>49821.2</v>
      </c>
      <c r="X442" s="86">
        <f t="shared" si="7"/>
        <v>1466415.6</v>
      </c>
    </row>
    <row r="443" ht="12.0" customHeight="1">
      <c r="A4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43" s="87" t="str">
        <f>IFERROR(__xludf.DUMMYFUNCTION("IFERROR(IF(F443&lt;&gt;"""",""WHSE ""&amp;LEFT(F443,1),REGEXEXTRACT(E443,""-(?:\d{2}-)?([A-Z]+)"")),"""")
"),"WHSE D")</f>
        <v>WHSE D</v>
      </c>
      <c r="C443" s="88">
        <v>45994.0</v>
      </c>
      <c r="D443" s="89" t="s">
        <v>289</v>
      </c>
      <c r="E443" s="90" t="s">
        <v>498</v>
      </c>
      <c r="F443" s="90" t="s">
        <v>499</v>
      </c>
      <c r="G443" s="98" t="s">
        <v>500</v>
      </c>
      <c r="H443" s="92">
        <v>30405.0</v>
      </c>
      <c r="I443" s="99">
        <v>789.0</v>
      </c>
      <c r="J443" s="94">
        <v>10.8</v>
      </c>
      <c r="K443" s="100">
        <v>6.3</v>
      </c>
      <c r="L443" s="100">
        <v>0.546</v>
      </c>
      <c r="M443" s="100">
        <v>0.566</v>
      </c>
      <c r="N443" s="101">
        <v>11.71</v>
      </c>
      <c r="O443" s="94">
        <v>4.4</v>
      </c>
      <c r="P443" s="101">
        <v>83.89</v>
      </c>
      <c r="Q443" s="102"/>
      <c r="R443" s="103">
        <f t="shared" si="1"/>
        <v>328374</v>
      </c>
      <c r="S443" s="103">
        <f t="shared" si="2"/>
        <v>191551.5</v>
      </c>
      <c r="T443" s="103">
        <f t="shared" si="3"/>
        <v>16601.13</v>
      </c>
      <c r="U443" s="103">
        <f t="shared" si="4"/>
        <v>17209.23</v>
      </c>
      <c r="V443" s="103">
        <f t="shared" si="5"/>
        <v>356042.55</v>
      </c>
      <c r="W443" s="103">
        <f t="shared" si="6"/>
        <v>133782</v>
      </c>
      <c r="X443" s="103">
        <f t="shared" si="7"/>
        <v>2550675.45</v>
      </c>
    </row>
    <row r="444" ht="12.0" customHeight="1">
      <c r="A4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44" s="87" t="str">
        <f>IFERROR(__xludf.DUMMYFUNCTION("IFERROR(IF(F444&lt;&gt;"""",""WHSE ""&amp;LEFT(F444,1),REGEXEXTRACT(E444,""-(?:\d{2}-)?([A-Z]+)"")),"""")
"),"")</f>
        <v/>
      </c>
      <c r="C444" s="106"/>
      <c r="D444" s="102"/>
      <c r="E444" s="104"/>
      <c r="F444" s="104"/>
      <c r="G444" s="91"/>
      <c r="H444" s="107"/>
      <c r="I444" s="93"/>
      <c r="J444" s="97"/>
      <c r="K444" s="95"/>
      <c r="L444" s="95"/>
      <c r="M444" s="95"/>
      <c r="N444" s="96"/>
      <c r="O444" s="97"/>
      <c r="P444" s="96"/>
      <c r="Q444" s="102"/>
      <c r="R444" s="103">
        <f t="shared" si="1"/>
        <v>0</v>
      </c>
      <c r="S444" s="103">
        <f t="shared" si="2"/>
        <v>0</v>
      </c>
      <c r="T444" s="103">
        <f t="shared" si="3"/>
        <v>0</v>
      </c>
      <c r="U444" s="103">
        <f t="shared" si="4"/>
        <v>0</v>
      </c>
      <c r="V444" s="103">
        <f t="shared" si="5"/>
        <v>0</v>
      </c>
      <c r="W444" s="103">
        <f t="shared" si="6"/>
        <v>0</v>
      </c>
      <c r="X444" s="103">
        <f t="shared" si="7"/>
        <v>0</v>
      </c>
    </row>
    <row r="445" ht="12.0" customHeight="1">
      <c r="A4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45" s="87" t="str">
        <f>IFERROR(__xludf.DUMMYFUNCTION("IFERROR(IF(F445&lt;&gt;"""",""WHSE ""&amp;LEFT(F445,1),REGEXEXTRACT(E445,""-(?:\d{2}-)?([A-Z]+)"")),"""")
"),"WHSE C")</f>
        <v>WHSE C</v>
      </c>
      <c r="C445" s="88">
        <v>45995.0</v>
      </c>
      <c r="D445" s="89" t="s">
        <v>232</v>
      </c>
      <c r="E445" s="90" t="s">
        <v>488</v>
      </c>
      <c r="F445" s="90" t="s">
        <v>489</v>
      </c>
      <c r="G445" s="98" t="s">
        <v>235</v>
      </c>
      <c r="H445" s="92">
        <v>11390.0</v>
      </c>
      <c r="I445" s="99">
        <v>370.0</v>
      </c>
      <c r="J445" s="94">
        <v>10.47</v>
      </c>
      <c r="K445" s="100">
        <v>3.17</v>
      </c>
      <c r="L445" s="100">
        <v>0.581</v>
      </c>
      <c r="M445" s="100">
        <v>0.601</v>
      </c>
      <c r="N445" s="101">
        <v>13.96</v>
      </c>
      <c r="O445" s="94">
        <v>3.21</v>
      </c>
      <c r="P445" s="101">
        <v>82.83</v>
      </c>
      <c r="Q445" s="102"/>
      <c r="R445" s="103">
        <f t="shared" si="1"/>
        <v>119253.3</v>
      </c>
      <c r="S445" s="103">
        <f t="shared" si="2"/>
        <v>36106.3</v>
      </c>
      <c r="T445" s="103">
        <f t="shared" si="3"/>
        <v>6617.59</v>
      </c>
      <c r="U445" s="103">
        <f t="shared" si="4"/>
        <v>6845.39</v>
      </c>
      <c r="V445" s="103">
        <f t="shared" si="5"/>
        <v>159004.4</v>
      </c>
      <c r="W445" s="103">
        <f t="shared" si="6"/>
        <v>36561.9</v>
      </c>
      <c r="X445" s="103">
        <f t="shared" si="7"/>
        <v>943433.7</v>
      </c>
    </row>
    <row r="446" ht="12.0" customHeight="1">
      <c r="A4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46" s="87" t="str">
        <f>IFERROR(__xludf.DUMMYFUNCTION("IFERROR(IF(F446&lt;&gt;"""",""WHSE ""&amp;LEFT(F446,1),REGEXEXTRACT(E446,""-(?:\d{2}-)?([A-Z]+)"")),"""")
"),"WHSE C")</f>
        <v>WHSE C</v>
      </c>
      <c r="C446" s="88">
        <v>45995.0</v>
      </c>
      <c r="D446" s="89" t="s">
        <v>265</v>
      </c>
      <c r="E446" s="90" t="s">
        <v>488</v>
      </c>
      <c r="F446" s="90" t="s">
        <v>489</v>
      </c>
      <c r="G446" s="98" t="s">
        <v>457</v>
      </c>
      <c r="H446" s="92">
        <v>10520.0</v>
      </c>
      <c r="I446" s="99">
        <v>295.0</v>
      </c>
      <c r="J446" s="94">
        <v>10.47</v>
      </c>
      <c r="K446" s="100">
        <v>3.66</v>
      </c>
      <c r="L446" s="100">
        <v>0.571</v>
      </c>
      <c r="M446" s="100">
        <v>0.591</v>
      </c>
      <c r="N446" s="101">
        <v>13.41</v>
      </c>
      <c r="O446" s="94">
        <v>2.56</v>
      </c>
      <c r="P446" s="101">
        <v>84.03</v>
      </c>
      <c r="Q446" s="102"/>
      <c r="R446" s="103">
        <f t="shared" si="1"/>
        <v>110144.4</v>
      </c>
      <c r="S446" s="103">
        <f t="shared" si="2"/>
        <v>38503.2</v>
      </c>
      <c r="T446" s="103">
        <f t="shared" si="3"/>
        <v>6006.92</v>
      </c>
      <c r="U446" s="103">
        <f t="shared" si="4"/>
        <v>6217.32</v>
      </c>
      <c r="V446" s="103">
        <f t="shared" si="5"/>
        <v>141073.2</v>
      </c>
      <c r="W446" s="103">
        <f t="shared" si="6"/>
        <v>26931.2</v>
      </c>
      <c r="X446" s="103">
        <f t="shared" si="7"/>
        <v>883995.6</v>
      </c>
    </row>
    <row r="447" ht="12.0" customHeight="1">
      <c r="A4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47" s="87" t="str">
        <f>IFERROR(__xludf.DUMMYFUNCTION("IFERROR(IF(F447&lt;&gt;"""",""WHSE ""&amp;LEFT(F447,1),REGEXEXTRACT(E447,""-(?:\d{2}-)?([A-Z]+)"")),"""")
"),"FEED")</f>
        <v>FEED</v>
      </c>
      <c r="C447" s="88">
        <v>45995.0</v>
      </c>
      <c r="D447" s="89" t="s">
        <v>286</v>
      </c>
      <c r="E447" s="90" t="s">
        <v>501</v>
      </c>
      <c r="F447" s="104"/>
      <c r="G447" s="98" t="s">
        <v>73</v>
      </c>
      <c r="H447" s="92">
        <v>16145.0</v>
      </c>
      <c r="I447" s="99">
        <v>461.0</v>
      </c>
      <c r="J447" s="94">
        <v>11.34</v>
      </c>
      <c r="K447" s="100">
        <v>2.6</v>
      </c>
      <c r="L447" s="100">
        <v>0.575</v>
      </c>
      <c r="M447" s="100">
        <v>0.595</v>
      </c>
      <c r="N447" s="101">
        <v>13.61</v>
      </c>
      <c r="O447" s="94">
        <v>3.42</v>
      </c>
      <c r="P447" s="101">
        <v>82.97</v>
      </c>
      <c r="Q447" s="89" t="s">
        <v>469</v>
      </c>
      <c r="R447" s="86">
        <f t="shared" si="1"/>
        <v>183084.3</v>
      </c>
      <c r="S447" s="86">
        <f t="shared" si="2"/>
        <v>41977</v>
      </c>
      <c r="T447" s="86">
        <f t="shared" si="3"/>
        <v>9283.375</v>
      </c>
      <c r="U447" s="86">
        <f t="shared" si="4"/>
        <v>9606.275</v>
      </c>
      <c r="V447" s="86">
        <f t="shared" si="5"/>
        <v>219733.45</v>
      </c>
      <c r="W447" s="86">
        <f t="shared" si="6"/>
        <v>55215.9</v>
      </c>
      <c r="X447" s="86">
        <f t="shared" si="7"/>
        <v>1339550.65</v>
      </c>
    </row>
    <row r="448" ht="12.0" customHeight="1">
      <c r="A4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48" s="87" t="str">
        <f>IFERROR(__xludf.DUMMYFUNCTION("IFERROR(IF(F448&lt;&gt;"""",""WHSE ""&amp;LEFT(F448,1),REGEXEXTRACT(E448,""-(?:\d{2}-)?([A-Z]+)"")),"""")
"),"")</f>
        <v/>
      </c>
      <c r="C448" s="106"/>
      <c r="D448" s="102"/>
      <c r="E448" s="104"/>
      <c r="F448" s="104"/>
      <c r="G448" s="91"/>
      <c r="H448" s="107"/>
      <c r="I448" s="93"/>
      <c r="J448" s="97"/>
      <c r="K448" s="95"/>
      <c r="L448" s="95"/>
      <c r="M448" s="95"/>
      <c r="N448" s="96"/>
      <c r="O448" s="97"/>
      <c r="P448" s="96"/>
      <c r="Q448" s="102"/>
      <c r="R448" s="103">
        <f t="shared" si="1"/>
        <v>0</v>
      </c>
      <c r="S448" s="103">
        <f t="shared" si="2"/>
        <v>0</v>
      </c>
      <c r="T448" s="103">
        <f t="shared" si="3"/>
        <v>0</v>
      </c>
      <c r="U448" s="103">
        <f t="shared" si="4"/>
        <v>0</v>
      </c>
      <c r="V448" s="103">
        <f t="shared" si="5"/>
        <v>0</v>
      </c>
      <c r="W448" s="103">
        <f t="shared" si="6"/>
        <v>0</v>
      </c>
      <c r="X448" s="103">
        <f t="shared" si="7"/>
        <v>0</v>
      </c>
    </row>
    <row r="449" ht="12.0" customHeight="1">
      <c r="A4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49" s="87" t="str">
        <f>IFERROR(__xludf.DUMMYFUNCTION("IFERROR(IF(F449&lt;&gt;"""",""WHSE ""&amp;LEFT(F449,1),REGEXEXTRACT(E449,""-(?:\d{2}-)?([A-Z]+)"")),"""")
"),"WHSE C")</f>
        <v>WHSE C</v>
      </c>
      <c r="C449" s="88">
        <v>45996.0</v>
      </c>
      <c r="D449" s="89" t="s">
        <v>232</v>
      </c>
      <c r="E449" s="90" t="s">
        <v>488</v>
      </c>
      <c r="F449" s="90" t="s">
        <v>489</v>
      </c>
      <c r="G449" s="98" t="s">
        <v>235</v>
      </c>
      <c r="H449" s="92">
        <v>12000.0</v>
      </c>
      <c r="I449" s="99">
        <v>337.0</v>
      </c>
      <c r="J449" s="94">
        <v>10.54</v>
      </c>
      <c r="K449" s="100">
        <v>3.17</v>
      </c>
      <c r="L449" s="100">
        <v>0.578</v>
      </c>
      <c r="M449" s="100">
        <v>0.598</v>
      </c>
      <c r="N449" s="101">
        <v>12.94</v>
      </c>
      <c r="O449" s="94">
        <v>3.81</v>
      </c>
      <c r="P449" s="101">
        <v>83.25</v>
      </c>
      <c r="Q449" s="102"/>
      <c r="R449" s="103">
        <f t="shared" si="1"/>
        <v>126480</v>
      </c>
      <c r="S449" s="103">
        <f t="shared" si="2"/>
        <v>38040</v>
      </c>
      <c r="T449" s="103">
        <f t="shared" si="3"/>
        <v>6936</v>
      </c>
      <c r="U449" s="103">
        <f t="shared" si="4"/>
        <v>7176</v>
      </c>
      <c r="V449" s="103">
        <f t="shared" si="5"/>
        <v>155280</v>
      </c>
      <c r="W449" s="103">
        <f t="shared" si="6"/>
        <v>45720</v>
      </c>
      <c r="X449" s="103">
        <f t="shared" si="7"/>
        <v>999000</v>
      </c>
    </row>
    <row r="450" ht="12.0" customHeight="1">
      <c r="A4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50" s="87" t="str">
        <f>IFERROR(__xludf.DUMMYFUNCTION("IFERROR(IF(F450&lt;&gt;"""",""WHSE ""&amp;LEFT(F450,1),REGEXEXTRACT(E450,""-(?:\d{2}-)?([A-Z]+)"")),"""")
"),"WHSE D")</f>
        <v>WHSE D</v>
      </c>
      <c r="C450" s="88">
        <v>45996.0</v>
      </c>
      <c r="D450" s="89" t="s">
        <v>279</v>
      </c>
      <c r="E450" s="90" t="s">
        <v>502</v>
      </c>
      <c r="F450" s="90" t="s">
        <v>503</v>
      </c>
      <c r="G450" s="98" t="s">
        <v>318</v>
      </c>
      <c r="H450" s="92">
        <v>6255.0</v>
      </c>
      <c r="I450" s="99">
        <v>130.0</v>
      </c>
      <c r="J450" s="94">
        <v>11.74</v>
      </c>
      <c r="K450" s="100">
        <v>2.24</v>
      </c>
      <c r="L450" s="100">
        <v>0.585</v>
      </c>
      <c r="M450" s="100">
        <v>0.605</v>
      </c>
      <c r="N450" s="101">
        <v>14.71</v>
      </c>
      <c r="O450" s="94">
        <v>2.76</v>
      </c>
      <c r="P450" s="101">
        <v>82.53</v>
      </c>
      <c r="Q450" s="102"/>
      <c r="R450" s="103">
        <f t="shared" si="1"/>
        <v>73433.7</v>
      </c>
      <c r="S450" s="103">
        <f t="shared" si="2"/>
        <v>14011.2</v>
      </c>
      <c r="T450" s="103">
        <f t="shared" si="3"/>
        <v>3659.175</v>
      </c>
      <c r="U450" s="103">
        <f t="shared" si="4"/>
        <v>3784.275</v>
      </c>
      <c r="V450" s="103">
        <f t="shared" si="5"/>
        <v>92011.05</v>
      </c>
      <c r="W450" s="103">
        <f t="shared" si="6"/>
        <v>17263.8</v>
      </c>
      <c r="X450" s="103">
        <f t="shared" si="7"/>
        <v>516225.15</v>
      </c>
    </row>
    <row r="451" ht="12.0" customHeight="1">
      <c r="A4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51" s="87" t="str">
        <f>IFERROR(__xludf.DUMMYFUNCTION("IFERROR(IF(F451&lt;&gt;"""",""WHSE ""&amp;LEFT(F451,1),REGEXEXTRACT(E451,""-(?:\d{2}-)?([A-Z]+)"")),"""")
"),"WHSE D")</f>
        <v>WHSE D</v>
      </c>
      <c r="C451" s="88">
        <v>45996.0</v>
      </c>
      <c r="D451" s="89" t="s">
        <v>88</v>
      </c>
      <c r="E451" s="90" t="s">
        <v>502</v>
      </c>
      <c r="F451" s="90" t="s">
        <v>503</v>
      </c>
      <c r="G451" s="98" t="s">
        <v>504</v>
      </c>
      <c r="H451" s="92">
        <v>4140.0</v>
      </c>
      <c r="I451" s="99">
        <v>92.0</v>
      </c>
      <c r="J451" s="94">
        <v>12.34</v>
      </c>
      <c r="K451" s="100">
        <v>2.6</v>
      </c>
      <c r="L451" s="100">
        <v>0.571</v>
      </c>
      <c r="M451" s="100">
        <v>0.591</v>
      </c>
      <c r="N451" s="101">
        <v>13.19</v>
      </c>
      <c r="O451" s="94">
        <v>2.6</v>
      </c>
      <c r="P451" s="101">
        <v>84.21</v>
      </c>
      <c r="Q451" s="89" t="s">
        <v>505</v>
      </c>
      <c r="R451" s="86">
        <f t="shared" si="1"/>
        <v>51087.6</v>
      </c>
      <c r="S451" s="86">
        <f t="shared" si="2"/>
        <v>10764</v>
      </c>
      <c r="T451" s="86">
        <f t="shared" si="3"/>
        <v>2363.94</v>
      </c>
      <c r="U451" s="86">
        <f t="shared" si="4"/>
        <v>2446.74</v>
      </c>
      <c r="V451" s="86">
        <f t="shared" si="5"/>
        <v>54606.6</v>
      </c>
      <c r="W451" s="86">
        <f t="shared" si="6"/>
        <v>10764</v>
      </c>
      <c r="X451" s="86">
        <f t="shared" si="7"/>
        <v>348629.4</v>
      </c>
    </row>
    <row r="452" ht="12.0" customHeight="1">
      <c r="A4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52" s="87" t="str">
        <f>IFERROR(__xludf.DUMMYFUNCTION("IFERROR(IF(F452&lt;&gt;"""",""WHSE ""&amp;LEFT(F452,1),REGEXEXTRACT(E452,""-(?:\d{2}-)?([A-Z]+)"")),"""")
"),"")</f>
        <v/>
      </c>
      <c r="C452" s="106"/>
      <c r="D452" s="102"/>
      <c r="E452" s="104"/>
      <c r="F452" s="104"/>
      <c r="G452" s="91"/>
      <c r="H452" s="107"/>
      <c r="I452" s="93"/>
      <c r="J452" s="97"/>
      <c r="K452" s="95"/>
      <c r="L452" s="95"/>
      <c r="M452" s="95"/>
      <c r="N452" s="96"/>
      <c r="O452" s="97"/>
      <c r="P452" s="96"/>
      <c r="Q452" s="102"/>
      <c r="R452" s="103">
        <f t="shared" si="1"/>
        <v>0</v>
      </c>
      <c r="S452" s="103">
        <f t="shared" si="2"/>
        <v>0</v>
      </c>
      <c r="T452" s="103">
        <f t="shared" si="3"/>
        <v>0</v>
      </c>
      <c r="U452" s="103">
        <f t="shared" si="4"/>
        <v>0</v>
      </c>
      <c r="V452" s="103">
        <f t="shared" si="5"/>
        <v>0</v>
      </c>
      <c r="W452" s="103">
        <f t="shared" si="6"/>
        <v>0</v>
      </c>
      <c r="X452" s="103">
        <f t="shared" si="7"/>
        <v>0</v>
      </c>
    </row>
    <row r="453" ht="12.0" customHeight="1">
      <c r="A4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53" s="87" t="str">
        <f>IFERROR(__xludf.DUMMYFUNCTION("IFERROR(IF(F453&lt;&gt;"""",""WHSE ""&amp;LEFT(F453,1),REGEXEXTRACT(E453,""-(?:\d{2}-)?([A-Z]+)"")),"""")
"),"WHSE A")</f>
        <v>WHSE A</v>
      </c>
      <c r="C453" s="88">
        <v>45997.0</v>
      </c>
      <c r="D453" s="89" t="s">
        <v>72</v>
      </c>
      <c r="E453" s="90" t="s">
        <v>474</v>
      </c>
      <c r="F453" s="90" t="s">
        <v>475</v>
      </c>
      <c r="G453" s="98" t="s">
        <v>77</v>
      </c>
      <c r="H453" s="92">
        <v>17055.0</v>
      </c>
      <c r="I453" s="99">
        <v>415.0</v>
      </c>
      <c r="J453" s="94">
        <v>11.8</v>
      </c>
      <c r="K453" s="100">
        <v>2.61</v>
      </c>
      <c r="L453" s="100">
        <v>0.571</v>
      </c>
      <c r="M453" s="100">
        <v>0.591</v>
      </c>
      <c r="N453" s="101">
        <v>12.47</v>
      </c>
      <c r="O453" s="94">
        <v>3.83</v>
      </c>
      <c r="P453" s="101">
        <v>83.7</v>
      </c>
      <c r="Q453" s="89" t="s">
        <v>481</v>
      </c>
      <c r="R453" s="86">
        <f t="shared" si="1"/>
        <v>201249</v>
      </c>
      <c r="S453" s="86">
        <f t="shared" si="2"/>
        <v>44513.55</v>
      </c>
      <c r="T453" s="86">
        <f t="shared" si="3"/>
        <v>9738.405</v>
      </c>
      <c r="U453" s="86">
        <f t="shared" si="4"/>
        <v>10079.505</v>
      </c>
      <c r="V453" s="86">
        <f t="shared" si="5"/>
        <v>212675.85</v>
      </c>
      <c r="W453" s="86">
        <f t="shared" si="6"/>
        <v>65320.65</v>
      </c>
      <c r="X453" s="86">
        <f t="shared" si="7"/>
        <v>1427503.5</v>
      </c>
    </row>
    <row r="454" ht="12.0" customHeight="1">
      <c r="A4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54" s="87" t="str">
        <f>IFERROR(__xludf.DUMMYFUNCTION("IFERROR(IF(F454&lt;&gt;"""",""WHSE ""&amp;LEFT(F454,1),REGEXEXTRACT(E454,""-(?:\d{2}-)?([A-Z]+)"")),"""")
"),"WHSE D")</f>
        <v>WHSE D</v>
      </c>
      <c r="C454" s="88">
        <v>45997.0</v>
      </c>
      <c r="D454" s="89" t="s">
        <v>60</v>
      </c>
      <c r="E454" s="90" t="s">
        <v>373</v>
      </c>
      <c r="F454" s="90" t="s">
        <v>374</v>
      </c>
      <c r="G454" s="98" t="s">
        <v>63</v>
      </c>
      <c r="H454" s="92">
        <v>23066.0</v>
      </c>
      <c r="I454" s="99">
        <v>458.0</v>
      </c>
      <c r="J454" s="94">
        <v>12.6</v>
      </c>
      <c r="K454" s="100">
        <v>2.13</v>
      </c>
      <c r="L454" s="100">
        <v>0.568</v>
      </c>
      <c r="M454" s="100">
        <v>0.588</v>
      </c>
      <c r="N454" s="101">
        <v>11.74</v>
      </c>
      <c r="O454" s="94">
        <v>3.91</v>
      </c>
      <c r="P454" s="101">
        <v>84.35</v>
      </c>
      <c r="Q454" s="89" t="s">
        <v>506</v>
      </c>
      <c r="R454" s="86">
        <f t="shared" si="1"/>
        <v>290631.6</v>
      </c>
      <c r="S454" s="86">
        <f t="shared" si="2"/>
        <v>49130.58</v>
      </c>
      <c r="T454" s="86">
        <f t="shared" si="3"/>
        <v>13101.488</v>
      </c>
      <c r="U454" s="86">
        <f t="shared" si="4"/>
        <v>13562.808</v>
      </c>
      <c r="V454" s="86">
        <f t="shared" si="5"/>
        <v>270794.84</v>
      </c>
      <c r="W454" s="86">
        <f t="shared" si="6"/>
        <v>90188.06</v>
      </c>
      <c r="X454" s="86">
        <f t="shared" si="7"/>
        <v>1945617.1</v>
      </c>
    </row>
    <row r="455" ht="12.0" customHeight="1">
      <c r="A4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55" s="87" t="str">
        <f>IFERROR(__xludf.DUMMYFUNCTION("IFERROR(IF(F455&lt;&gt;"""",""WHSE ""&amp;LEFT(F455,1),REGEXEXTRACT(E455,""-(?:\d{2}-)?([A-Z]+)"")),"""")
"),"WHSE C")</f>
        <v>WHSE C</v>
      </c>
      <c r="C455" s="88">
        <v>45997.0</v>
      </c>
      <c r="D455" s="89" t="s">
        <v>232</v>
      </c>
      <c r="E455" s="90" t="s">
        <v>507</v>
      </c>
      <c r="F455" s="90" t="s">
        <v>508</v>
      </c>
      <c r="G455" s="98" t="s">
        <v>272</v>
      </c>
      <c r="H455" s="92">
        <v>20780.0</v>
      </c>
      <c r="I455" s="99">
        <v>666.0</v>
      </c>
      <c r="J455" s="94">
        <v>10.27</v>
      </c>
      <c r="K455" s="100">
        <v>2.41</v>
      </c>
      <c r="L455" s="100">
        <v>0.556</v>
      </c>
      <c r="M455" s="100">
        <v>0.576</v>
      </c>
      <c r="N455" s="101">
        <v>13.45</v>
      </c>
      <c r="O455" s="94">
        <v>2.88</v>
      </c>
      <c r="P455" s="101">
        <v>83.67</v>
      </c>
      <c r="Q455" s="102"/>
      <c r="R455" s="103">
        <f t="shared" si="1"/>
        <v>213410.6</v>
      </c>
      <c r="S455" s="103">
        <f t="shared" si="2"/>
        <v>50079.8</v>
      </c>
      <c r="T455" s="103">
        <f t="shared" si="3"/>
        <v>11553.68</v>
      </c>
      <c r="U455" s="103">
        <f t="shared" si="4"/>
        <v>11969.28</v>
      </c>
      <c r="V455" s="103">
        <f t="shared" si="5"/>
        <v>279491</v>
      </c>
      <c r="W455" s="103">
        <f t="shared" si="6"/>
        <v>59846.4</v>
      </c>
      <c r="X455" s="103">
        <f t="shared" si="7"/>
        <v>1738662.6</v>
      </c>
    </row>
    <row r="456" ht="12.0" customHeight="1">
      <c r="A4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56" s="87" t="str">
        <f>IFERROR(__xludf.DUMMYFUNCTION("IFERROR(IF(F456&lt;&gt;"""",""WHSE ""&amp;LEFT(F456,1),REGEXEXTRACT(E456,""-(?:\d{2}-)?([A-Z]+)"")),"""")
"),"")</f>
        <v/>
      </c>
      <c r="C456" s="106"/>
      <c r="D456" s="102"/>
      <c r="E456" s="104"/>
      <c r="F456" s="104"/>
      <c r="G456" s="91"/>
      <c r="H456" s="107"/>
      <c r="I456" s="93"/>
      <c r="J456" s="97"/>
      <c r="K456" s="95"/>
      <c r="L456" s="95"/>
      <c r="M456" s="95"/>
      <c r="N456" s="96"/>
      <c r="O456" s="97"/>
      <c r="P456" s="96"/>
      <c r="Q456" s="102"/>
      <c r="R456" s="103">
        <f t="shared" si="1"/>
        <v>0</v>
      </c>
      <c r="S456" s="103">
        <f t="shared" si="2"/>
        <v>0</v>
      </c>
      <c r="T456" s="103">
        <f t="shared" si="3"/>
        <v>0</v>
      </c>
      <c r="U456" s="103">
        <f t="shared" si="4"/>
        <v>0</v>
      </c>
      <c r="V456" s="103">
        <f t="shared" si="5"/>
        <v>0</v>
      </c>
      <c r="W456" s="103">
        <f t="shared" si="6"/>
        <v>0</v>
      </c>
      <c r="X456" s="103">
        <f t="shared" si="7"/>
        <v>0</v>
      </c>
    </row>
    <row r="457" ht="12.0" customHeight="1">
      <c r="A4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57" s="87" t="str">
        <f>IFERROR(__xludf.DUMMYFUNCTION("IFERROR(IF(F457&lt;&gt;"""",""WHSE ""&amp;LEFT(F457,1),REGEXEXTRACT(E457,""-(?:\d{2}-)?([A-Z]+)"")),"""")
"),"WHSE C")</f>
        <v>WHSE C</v>
      </c>
      <c r="C457" s="88">
        <v>46000.0</v>
      </c>
      <c r="D457" s="89" t="s">
        <v>232</v>
      </c>
      <c r="E457" s="90" t="s">
        <v>488</v>
      </c>
      <c r="F457" s="90" t="s">
        <v>489</v>
      </c>
      <c r="G457" s="98" t="s">
        <v>509</v>
      </c>
      <c r="H457" s="92">
        <v>4840.0</v>
      </c>
      <c r="I457" s="99">
        <v>123.0</v>
      </c>
      <c r="J457" s="94">
        <v>10.74</v>
      </c>
      <c r="K457" s="100">
        <v>3.38</v>
      </c>
      <c r="L457" s="100">
        <v>0.559</v>
      </c>
      <c r="M457" s="100">
        <v>0.579</v>
      </c>
      <c r="N457" s="101">
        <v>12.43</v>
      </c>
      <c r="O457" s="94">
        <v>2.81</v>
      </c>
      <c r="P457" s="101">
        <v>84.76</v>
      </c>
      <c r="Q457" s="102"/>
      <c r="R457" s="103">
        <f t="shared" si="1"/>
        <v>51981.6</v>
      </c>
      <c r="S457" s="103">
        <f t="shared" si="2"/>
        <v>16359.2</v>
      </c>
      <c r="T457" s="103">
        <f t="shared" si="3"/>
        <v>2705.56</v>
      </c>
      <c r="U457" s="103">
        <f t="shared" si="4"/>
        <v>2802.36</v>
      </c>
      <c r="V457" s="103">
        <f t="shared" si="5"/>
        <v>60161.2</v>
      </c>
      <c r="W457" s="103">
        <f t="shared" si="6"/>
        <v>13600.4</v>
      </c>
      <c r="X457" s="103">
        <f t="shared" si="7"/>
        <v>410238.4</v>
      </c>
    </row>
    <row r="458" ht="12.0" customHeight="1">
      <c r="A4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58" s="87" t="str">
        <f>IFERROR(__xludf.DUMMYFUNCTION("IFERROR(IF(F458&lt;&gt;"""",""WHSE ""&amp;LEFT(F458,1),REGEXEXTRACT(E458,""-(?:\d{2}-)?([A-Z]+)"")),"""")
"),"WHSE A")</f>
        <v>WHSE A</v>
      </c>
      <c r="C458" s="88">
        <v>46000.0</v>
      </c>
      <c r="D458" s="89" t="s">
        <v>72</v>
      </c>
      <c r="E458" s="90" t="s">
        <v>510</v>
      </c>
      <c r="F458" s="90" t="s">
        <v>511</v>
      </c>
      <c r="G458" s="98" t="s">
        <v>512</v>
      </c>
      <c r="H458" s="92">
        <v>21095.0</v>
      </c>
      <c r="I458" s="99">
        <v>526.0</v>
      </c>
      <c r="J458" s="94">
        <v>11.27</v>
      </c>
      <c r="K458" s="100">
        <v>2.61</v>
      </c>
      <c r="L458" s="100">
        <v>0.575</v>
      </c>
      <c r="M458" s="100">
        <v>0.595</v>
      </c>
      <c r="N458" s="101">
        <v>13.92</v>
      </c>
      <c r="O458" s="94">
        <v>3.68</v>
      </c>
      <c r="P458" s="101">
        <v>82.4</v>
      </c>
      <c r="Q458" s="102"/>
      <c r="R458" s="103">
        <f t="shared" si="1"/>
        <v>237740.65</v>
      </c>
      <c r="S458" s="103">
        <f t="shared" si="2"/>
        <v>55057.95</v>
      </c>
      <c r="T458" s="103">
        <f t="shared" si="3"/>
        <v>12129.625</v>
      </c>
      <c r="U458" s="103">
        <f t="shared" si="4"/>
        <v>12551.525</v>
      </c>
      <c r="V458" s="103">
        <f t="shared" si="5"/>
        <v>293642.4</v>
      </c>
      <c r="W458" s="103">
        <f t="shared" si="6"/>
        <v>77629.6</v>
      </c>
      <c r="X458" s="103">
        <f t="shared" si="7"/>
        <v>1738228</v>
      </c>
    </row>
    <row r="459" ht="12.0" customHeight="1">
      <c r="A4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59" s="87" t="str">
        <f>IFERROR(__xludf.DUMMYFUNCTION("IFERROR(IF(F459&lt;&gt;"""",""WHSE ""&amp;LEFT(F459,1),REGEXEXTRACT(E459,""-(?:\d{2}-)?([A-Z]+)"")),"""")
"),"WHSE D")</f>
        <v>WHSE D</v>
      </c>
      <c r="C459" s="88">
        <v>46000.0</v>
      </c>
      <c r="D459" s="89" t="s">
        <v>304</v>
      </c>
      <c r="E459" s="90" t="s">
        <v>502</v>
      </c>
      <c r="F459" s="90" t="s">
        <v>503</v>
      </c>
      <c r="G459" s="98" t="s">
        <v>513</v>
      </c>
      <c r="H459" s="92">
        <v>8875.0</v>
      </c>
      <c r="I459" s="99">
        <v>248.0</v>
      </c>
      <c r="J459" s="94">
        <v>11.47</v>
      </c>
      <c r="K459" s="100">
        <v>2.54</v>
      </c>
      <c r="L459" s="100">
        <v>0.571</v>
      </c>
      <c r="M459" s="100">
        <v>0.591</v>
      </c>
      <c r="N459" s="101">
        <v>14.64</v>
      </c>
      <c r="O459" s="94">
        <v>2.55</v>
      </c>
      <c r="P459" s="101">
        <v>82.81</v>
      </c>
      <c r="Q459" s="102"/>
      <c r="R459" s="103">
        <f t="shared" si="1"/>
        <v>101796.25</v>
      </c>
      <c r="S459" s="103">
        <f t="shared" si="2"/>
        <v>22542.5</v>
      </c>
      <c r="T459" s="103">
        <f t="shared" si="3"/>
        <v>5067.625</v>
      </c>
      <c r="U459" s="103">
        <f t="shared" si="4"/>
        <v>5245.125</v>
      </c>
      <c r="V459" s="103">
        <f t="shared" si="5"/>
        <v>129930</v>
      </c>
      <c r="W459" s="103">
        <f t="shared" si="6"/>
        <v>22631.25</v>
      </c>
      <c r="X459" s="103">
        <f t="shared" si="7"/>
        <v>734938.75</v>
      </c>
    </row>
    <row r="460" ht="12.0" customHeight="1">
      <c r="A4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60" s="87" t="str">
        <f>IFERROR(__xludf.DUMMYFUNCTION("IFERROR(IF(F460&lt;&gt;"""",""WHSE ""&amp;LEFT(F460,1),REGEXEXTRACT(E460,""-(?:\d{2}-)?([A-Z]+)"")),"""")
"),"WHSE D")</f>
        <v>WHSE D</v>
      </c>
      <c r="C460" s="88">
        <v>46000.0</v>
      </c>
      <c r="D460" s="89" t="s">
        <v>60</v>
      </c>
      <c r="E460" s="90" t="s">
        <v>478</v>
      </c>
      <c r="F460" s="90" t="s">
        <v>479</v>
      </c>
      <c r="G460" s="98" t="s">
        <v>514</v>
      </c>
      <c r="H460" s="92">
        <v>21175.0</v>
      </c>
      <c r="I460" s="99">
        <v>477.0</v>
      </c>
      <c r="J460" s="94">
        <v>12.0</v>
      </c>
      <c r="K460" s="100">
        <v>2.47</v>
      </c>
      <c r="L460" s="100">
        <v>0.568</v>
      </c>
      <c r="M460" s="100">
        <v>0.588</v>
      </c>
      <c r="N460" s="101">
        <v>12.49</v>
      </c>
      <c r="O460" s="94">
        <v>3.92</v>
      </c>
      <c r="P460" s="101">
        <v>83.59</v>
      </c>
      <c r="Q460" s="102"/>
      <c r="R460" s="103">
        <f t="shared" si="1"/>
        <v>254100</v>
      </c>
      <c r="S460" s="103">
        <f t="shared" si="2"/>
        <v>52302.25</v>
      </c>
      <c r="T460" s="103">
        <f t="shared" si="3"/>
        <v>12027.4</v>
      </c>
      <c r="U460" s="103">
        <f t="shared" si="4"/>
        <v>12450.9</v>
      </c>
      <c r="V460" s="103">
        <f t="shared" si="5"/>
        <v>264475.75</v>
      </c>
      <c r="W460" s="103">
        <f t="shared" si="6"/>
        <v>83006</v>
      </c>
      <c r="X460" s="103">
        <f t="shared" si="7"/>
        <v>1770018.25</v>
      </c>
    </row>
    <row r="461" ht="12.0" customHeight="1">
      <c r="A4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61" s="87" t="str">
        <f>IFERROR(__xludf.DUMMYFUNCTION("IFERROR(IF(F461&lt;&gt;"""",""WHSE ""&amp;LEFT(F461,1),REGEXEXTRACT(E461,""-(?:\d{2}-)?([A-Z]+)"")),"""")
"),"")</f>
        <v/>
      </c>
      <c r="C461" s="106"/>
      <c r="D461" s="102"/>
      <c r="E461" s="104"/>
      <c r="F461" s="104"/>
      <c r="G461" s="91"/>
      <c r="H461" s="107"/>
      <c r="I461" s="93"/>
      <c r="J461" s="97"/>
      <c r="K461" s="95"/>
      <c r="L461" s="95"/>
      <c r="M461" s="95"/>
      <c r="N461" s="96"/>
      <c r="O461" s="97"/>
      <c r="P461" s="96"/>
      <c r="Q461" s="102"/>
      <c r="R461" s="103">
        <f t="shared" si="1"/>
        <v>0</v>
      </c>
      <c r="S461" s="103">
        <f t="shared" si="2"/>
        <v>0</v>
      </c>
      <c r="T461" s="103">
        <f t="shared" si="3"/>
        <v>0</v>
      </c>
      <c r="U461" s="103">
        <f t="shared" si="4"/>
        <v>0</v>
      </c>
      <c r="V461" s="103">
        <f t="shared" si="5"/>
        <v>0</v>
      </c>
      <c r="W461" s="103">
        <f t="shared" si="6"/>
        <v>0</v>
      </c>
      <c r="X461" s="103">
        <f t="shared" si="7"/>
        <v>0</v>
      </c>
    </row>
    <row r="462" ht="12.0" customHeight="1">
      <c r="A4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62" s="87" t="str">
        <f>IFERROR(__xludf.DUMMYFUNCTION("IFERROR(IF(F462&lt;&gt;"""",""WHSE ""&amp;LEFT(F462,1),REGEXEXTRACT(E462,""-(?:\d{2}-)?([A-Z]+)"")),"""")
"),"WHSE A")</f>
        <v>WHSE A</v>
      </c>
      <c r="C462" s="88">
        <v>46001.0</v>
      </c>
      <c r="D462" s="89" t="s">
        <v>72</v>
      </c>
      <c r="E462" s="90" t="s">
        <v>510</v>
      </c>
      <c r="F462" s="90" t="s">
        <v>511</v>
      </c>
      <c r="G462" s="98" t="s">
        <v>73</v>
      </c>
      <c r="H462" s="92">
        <v>18875.0</v>
      </c>
      <c r="I462" s="99">
        <v>443.0</v>
      </c>
      <c r="J462" s="94">
        <v>11.87</v>
      </c>
      <c r="K462" s="100">
        <v>2.53</v>
      </c>
      <c r="L462" s="100">
        <v>0.578</v>
      </c>
      <c r="M462" s="100">
        <v>0.598</v>
      </c>
      <c r="N462" s="101">
        <v>12.86</v>
      </c>
      <c r="O462" s="94">
        <v>2.68</v>
      </c>
      <c r="P462" s="101">
        <v>84.46</v>
      </c>
      <c r="Q462" s="102"/>
      <c r="R462" s="103">
        <f t="shared" si="1"/>
        <v>224046.25</v>
      </c>
      <c r="S462" s="103">
        <f t="shared" si="2"/>
        <v>47753.75</v>
      </c>
      <c r="T462" s="103">
        <f t="shared" si="3"/>
        <v>10909.75</v>
      </c>
      <c r="U462" s="103">
        <f t="shared" si="4"/>
        <v>11287.25</v>
      </c>
      <c r="V462" s="103">
        <f t="shared" si="5"/>
        <v>242732.5</v>
      </c>
      <c r="W462" s="103">
        <f t="shared" si="6"/>
        <v>50585</v>
      </c>
      <c r="X462" s="103">
        <f t="shared" si="7"/>
        <v>1594182.5</v>
      </c>
    </row>
    <row r="463" ht="12.0" customHeight="1">
      <c r="A4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63" s="87" t="str">
        <f>IFERROR(__xludf.DUMMYFUNCTION("IFERROR(IF(F463&lt;&gt;"""",""WHSE ""&amp;LEFT(F463,1),REGEXEXTRACT(E463,""-(?:\d{2}-)?([A-Z]+)"")),"""")
"),"WHSE C")</f>
        <v>WHSE C</v>
      </c>
      <c r="C463" s="88">
        <v>46001.0</v>
      </c>
      <c r="D463" s="89" t="s">
        <v>232</v>
      </c>
      <c r="E463" s="90" t="s">
        <v>507</v>
      </c>
      <c r="F463" s="90" t="s">
        <v>508</v>
      </c>
      <c r="G463" s="98" t="s">
        <v>272</v>
      </c>
      <c r="H463" s="92">
        <v>20825.0</v>
      </c>
      <c r="I463" s="99">
        <v>598.0</v>
      </c>
      <c r="J463" s="94">
        <v>10.2</v>
      </c>
      <c r="K463" s="100">
        <v>3.77</v>
      </c>
      <c r="L463" s="100">
        <v>0.559</v>
      </c>
      <c r="M463" s="100">
        <v>0.579</v>
      </c>
      <c r="N463" s="101">
        <v>15.6</v>
      </c>
      <c r="O463" s="94">
        <v>3.48</v>
      </c>
      <c r="P463" s="101">
        <v>80.92</v>
      </c>
      <c r="Q463" s="102"/>
      <c r="R463" s="103">
        <f t="shared" si="1"/>
        <v>212415</v>
      </c>
      <c r="S463" s="103">
        <f t="shared" si="2"/>
        <v>78510.25</v>
      </c>
      <c r="T463" s="103">
        <f t="shared" si="3"/>
        <v>11641.175</v>
      </c>
      <c r="U463" s="103">
        <f t="shared" si="4"/>
        <v>12057.675</v>
      </c>
      <c r="V463" s="103">
        <f t="shared" si="5"/>
        <v>324870</v>
      </c>
      <c r="W463" s="103">
        <f t="shared" si="6"/>
        <v>72471</v>
      </c>
      <c r="X463" s="103">
        <f t="shared" si="7"/>
        <v>1685159</v>
      </c>
    </row>
    <row r="464" ht="12.0" customHeight="1">
      <c r="A4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64" s="87" t="str">
        <f>IFERROR(__xludf.DUMMYFUNCTION("IFERROR(IF(F464&lt;&gt;"""",""WHSE ""&amp;LEFT(F464,1),REGEXEXTRACT(E464,""-(?:\d{2}-)?([A-Z]+)"")),"""")
"),"")</f>
        <v/>
      </c>
      <c r="C464" s="106"/>
      <c r="D464" s="102"/>
      <c r="E464" s="104"/>
      <c r="F464" s="104"/>
      <c r="G464" s="91"/>
      <c r="H464" s="107"/>
      <c r="I464" s="93"/>
      <c r="J464" s="97"/>
      <c r="K464" s="95"/>
      <c r="L464" s="95"/>
      <c r="M464" s="95"/>
      <c r="N464" s="96"/>
      <c r="O464" s="97"/>
      <c r="P464" s="96"/>
      <c r="Q464" s="102"/>
      <c r="R464" s="103">
        <f t="shared" si="1"/>
        <v>0</v>
      </c>
      <c r="S464" s="103">
        <f t="shared" si="2"/>
        <v>0</v>
      </c>
      <c r="T464" s="103">
        <f t="shared" si="3"/>
        <v>0</v>
      </c>
      <c r="U464" s="103">
        <f t="shared" si="4"/>
        <v>0</v>
      </c>
      <c r="V464" s="103">
        <f t="shared" si="5"/>
        <v>0</v>
      </c>
      <c r="W464" s="103">
        <f t="shared" si="6"/>
        <v>0</v>
      </c>
      <c r="X464" s="103">
        <f t="shared" si="7"/>
        <v>0</v>
      </c>
    </row>
    <row r="465" ht="12.0" customHeight="1">
      <c r="A4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65" s="87" t="str">
        <f>IFERROR(__xludf.DUMMYFUNCTION("IFERROR(IF(F465&lt;&gt;"""",""WHSE ""&amp;LEFT(F465,1),REGEXEXTRACT(E465,""-(?:\d{2}-)?([A-Z]+)"")),"""")
"),"WHSE A")</f>
        <v>WHSE A</v>
      </c>
      <c r="C465" s="88">
        <v>46002.0</v>
      </c>
      <c r="D465" s="89" t="s">
        <v>72</v>
      </c>
      <c r="E465" s="90" t="s">
        <v>510</v>
      </c>
      <c r="F465" s="90" t="s">
        <v>511</v>
      </c>
      <c r="G465" s="98" t="s">
        <v>73</v>
      </c>
      <c r="H465" s="92">
        <v>18065.0</v>
      </c>
      <c r="I465" s="99">
        <v>425.0</v>
      </c>
      <c r="J465" s="94">
        <v>11.6</v>
      </c>
      <c r="K465" s="100">
        <v>2.71</v>
      </c>
      <c r="L465" s="100">
        <v>0.575</v>
      </c>
      <c r="M465" s="100">
        <v>0.595</v>
      </c>
      <c r="N465" s="101">
        <v>13.49</v>
      </c>
      <c r="O465" s="94">
        <v>3.45</v>
      </c>
      <c r="P465" s="101">
        <v>83.06</v>
      </c>
      <c r="Q465" s="102"/>
      <c r="R465" s="103">
        <f t="shared" si="1"/>
        <v>209554</v>
      </c>
      <c r="S465" s="103">
        <f t="shared" si="2"/>
        <v>48956.15</v>
      </c>
      <c r="T465" s="103">
        <f t="shared" si="3"/>
        <v>10387.375</v>
      </c>
      <c r="U465" s="103">
        <f t="shared" si="4"/>
        <v>10748.675</v>
      </c>
      <c r="V465" s="103">
        <f t="shared" si="5"/>
        <v>243696.85</v>
      </c>
      <c r="W465" s="103">
        <f t="shared" si="6"/>
        <v>62324.25</v>
      </c>
      <c r="X465" s="103">
        <f t="shared" si="7"/>
        <v>1500478.9</v>
      </c>
    </row>
    <row r="466" ht="12.0" customHeight="1">
      <c r="A4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66" s="87" t="str">
        <f>IFERROR(__xludf.DUMMYFUNCTION("IFERROR(IF(F466&lt;&gt;"""",""WHSE ""&amp;LEFT(F466,1),REGEXEXTRACT(E466,""-(?:\d{2}-)?([A-Z]+)"")),"""")
"),"WHSE C")</f>
        <v>WHSE C</v>
      </c>
      <c r="C466" s="88">
        <v>46002.0</v>
      </c>
      <c r="D466" s="89" t="s">
        <v>232</v>
      </c>
      <c r="E466" s="90" t="s">
        <v>488</v>
      </c>
      <c r="F466" s="90" t="s">
        <v>489</v>
      </c>
      <c r="G466" s="98" t="s">
        <v>235</v>
      </c>
      <c r="H466" s="92">
        <v>10225.0</v>
      </c>
      <c r="I466" s="99">
        <v>337.0</v>
      </c>
      <c r="J466" s="94">
        <v>10.47</v>
      </c>
      <c r="K466" s="100">
        <v>0.93</v>
      </c>
      <c r="L466" s="100">
        <v>0.571</v>
      </c>
      <c r="M466" s="100">
        <v>0.591</v>
      </c>
      <c r="N466" s="101">
        <v>13.99</v>
      </c>
      <c r="O466" s="94">
        <v>2.94</v>
      </c>
      <c r="P466" s="101">
        <v>83.07</v>
      </c>
      <c r="Q466" s="102"/>
      <c r="R466" s="103">
        <f t="shared" si="1"/>
        <v>107055.75</v>
      </c>
      <c r="S466" s="103">
        <f t="shared" si="2"/>
        <v>9509.25</v>
      </c>
      <c r="T466" s="103">
        <f t="shared" si="3"/>
        <v>5838.475</v>
      </c>
      <c r="U466" s="103">
        <f t="shared" si="4"/>
        <v>6042.975</v>
      </c>
      <c r="V466" s="103">
        <f t="shared" si="5"/>
        <v>143047.75</v>
      </c>
      <c r="W466" s="103">
        <f t="shared" si="6"/>
        <v>30061.5</v>
      </c>
      <c r="X466" s="103">
        <f t="shared" si="7"/>
        <v>849390.75</v>
      </c>
    </row>
    <row r="467" ht="12.0" customHeight="1">
      <c r="A4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67" s="87" t="str">
        <f>IFERROR(__xludf.DUMMYFUNCTION("IFERROR(IF(F467&lt;&gt;"""",""WHSE ""&amp;LEFT(F467,1),REGEXEXTRACT(E467,""-(?:\d{2}-)?([A-Z]+)"")),"""")
"),"WHSE C")</f>
        <v>WHSE C</v>
      </c>
      <c r="C467" s="88">
        <v>46002.0</v>
      </c>
      <c r="D467" s="89" t="s">
        <v>265</v>
      </c>
      <c r="E467" s="90" t="s">
        <v>507</v>
      </c>
      <c r="F467" s="90" t="s">
        <v>508</v>
      </c>
      <c r="G467" s="98" t="s">
        <v>457</v>
      </c>
      <c r="H467" s="92">
        <v>9180.0</v>
      </c>
      <c r="I467" s="99">
        <v>210.0</v>
      </c>
      <c r="J467" s="94">
        <v>10.74</v>
      </c>
      <c r="K467" s="100">
        <v>2.71</v>
      </c>
      <c r="L467" s="100">
        <v>0.571</v>
      </c>
      <c r="M467" s="100">
        <v>0.591</v>
      </c>
      <c r="N467" s="101">
        <v>12.68</v>
      </c>
      <c r="O467" s="94">
        <v>3.92</v>
      </c>
      <c r="P467" s="101">
        <v>83.4</v>
      </c>
      <c r="Q467" s="102"/>
      <c r="R467" s="103">
        <f t="shared" si="1"/>
        <v>98593.2</v>
      </c>
      <c r="S467" s="103">
        <f t="shared" si="2"/>
        <v>24877.8</v>
      </c>
      <c r="T467" s="103">
        <f t="shared" si="3"/>
        <v>5241.78</v>
      </c>
      <c r="U467" s="103">
        <f t="shared" si="4"/>
        <v>5425.38</v>
      </c>
      <c r="V467" s="103">
        <f t="shared" si="5"/>
        <v>116402.4</v>
      </c>
      <c r="W467" s="103">
        <f t="shared" si="6"/>
        <v>35985.6</v>
      </c>
      <c r="X467" s="103">
        <f t="shared" si="7"/>
        <v>765612</v>
      </c>
    </row>
    <row r="468" ht="12.0" customHeight="1">
      <c r="A4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68" s="87" t="str">
        <f>IFERROR(__xludf.DUMMYFUNCTION("IFERROR(IF(F468&lt;&gt;"""",""WHSE ""&amp;LEFT(F468,1),REGEXEXTRACT(E468,""-(?:\d{2}-)?([A-Z]+)"")),"""")
"),"")</f>
        <v/>
      </c>
      <c r="C468" s="106"/>
      <c r="D468" s="102"/>
      <c r="E468" s="104"/>
      <c r="F468" s="104"/>
      <c r="G468" s="91"/>
      <c r="H468" s="107"/>
      <c r="I468" s="93"/>
      <c r="J468" s="97"/>
      <c r="K468" s="95"/>
      <c r="L468" s="95"/>
      <c r="M468" s="95"/>
      <c r="N468" s="96"/>
      <c r="O468" s="97"/>
      <c r="P468" s="96"/>
      <c r="Q468" s="102"/>
      <c r="R468" s="103">
        <f t="shared" si="1"/>
        <v>0</v>
      </c>
      <c r="S468" s="103">
        <f t="shared" si="2"/>
        <v>0</v>
      </c>
      <c r="T468" s="103">
        <f t="shared" si="3"/>
        <v>0</v>
      </c>
      <c r="U468" s="103">
        <f t="shared" si="4"/>
        <v>0</v>
      </c>
      <c r="V468" s="103">
        <f t="shared" si="5"/>
        <v>0</v>
      </c>
      <c r="W468" s="103">
        <f t="shared" si="6"/>
        <v>0</v>
      </c>
      <c r="X468" s="103">
        <f t="shared" si="7"/>
        <v>0</v>
      </c>
    </row>
    <row r="469" ht="12.0" customHeight="1">
      <c r="A4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69" s="87" t="str">
        <f>IFERROR(__xludf.DUMMYFUNCTION("IFERROR(IF(F469&lt;&gt;"""",""WHSE ""&amp;LEFT(F469,1),REGEXEXTRACT(E469,""-(?:\d{2}-)?([A-Z]+)"")),"""")
"),"WHSE C")</f>
        <v>WHSE C</v>
      </c>
      <c r="C469" s="88">
        <v>46003.0</v>
      </c>
      <c r="D469" s="89" t="s">
        <v>232</v>
      </c>
      <c r="E469" s="90" t="s">
        <v>493</v>
      </c>
      <c r="F469" s="90" t="s">
        <v>494</v>
      </c>
      <c r="G469" s="98" t="s">
        <v>272</v>
      </c>
      <c r="H469" s="92">
        <v>23115.0</v>
      </c>
      <c r="I469" s="99">
        <v>446.0</v>
      </c>
      <c r="J469" s="94">
        <v>11.54</v>
      </c>
      <c r="K469" s="100">
        <v>3.81</v>
      </c>
      <c r="L469" s="100">
        <v>0.546</v>
      </c>
      <c r="M469" s="100">
        <v>0.566</v>
      </c>
      <c r="N469" s="101">
        <v>13.18</v>
      </c>
      <c r="O469" s="94">
        <v>4.04</v>
      </c>
      <c r="P469" s="101">
        <v>82.78</v>
      </c>
      <c r="Q469" s="102"/>
      <c r="R469" s="103">
        <f t="shared" si="1"/>
        <v>266747.1</v>
      </c>
      <c r="S469" s="103">
        <f t="shared" si="2"/>
        <v>88068.15</v>
      </c>
      <c r="T469" s="103">
        <f t="shared" si="3"/>
        <v>12620.79</v>
      </c>
      <c r="U469" s="103">
        <f t="shared" si="4"/>
        <v>13083.09</v>
      </c>
      <c r="V469" s="103">
        <f t="shared" si="5"/>
        <v>304655.7</v>
      </c>
      <c r="W469" s="103">
        <f t="shared" si="6"/>
        <v>93384.6</v>
      </c>
      <c r="X469" s="103">
        <f t="shared" si="7"/>
        <v>1913459.7</v>
      </c>
    </row>
    <row r="470" ht="12.0" customHeight="1">
      <c r="A4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70" s="87" t="str">
        <f>IFERROR(__xludf.DUMMYFUNCTION("IFERROR(IF(F470&lt;&gt;"""",""WHSE ""&amp;LEFT(F470,1),REGEXEXTRACT(E470,""-(?:\d{2}-)?([A-Z]+)"")),"""")
"),"WHSE A")</f>
        <v>WHSE A</v>
      </c>
      <c r="C470" s="88">
        <v>46003.0</v>
      </c>
      <c r="D470" s="89" t="s">
        <v>72</v>
      </c>
      <c r="E470" s="90" t="s">
        <v>510</v>
      </c>
      <c r="F470" s="90" t="s">
        <v>511</v>
      </c>
      <c r="G470" s="98" t="s">
        <v>77</v>
      </c>
      <c r="H470" s="92">
        <v>17330.0</v>
      </c>
      <c r="I470" s="99">
        <v>426.0</v>
      </c>
      <c r="J470" s="94">
        <v>11.74</v>
      </c>
      <c r="K470" s="100">
        <v>2.71</v>
      </c>
      <c r="L470" s="100">
        <v>0.571</v>
      </c>
      <c r="M470" s="100">
        <v>0.591</v>
      </c>
      <c r="N470" s="101">
        <v>12.37</v>
      </c>
      <c r="O470" s="94">
        <v>3.78</v>
      </c>
      <c r="P470" s="101">
        <v>83.85</v>
      </c>
      <c r="Q470" s="102"/>
      <c r="R470" s="103">
        <f t="shared" si="1"/>
        <v>203454.2</v>
      </c>
      <c r="S470" s="103">
        <f t="shared" si="2"/>
        <v>46964.3</v>
      </c>
      <c r="T470" s="103">
        <f t="shared" si="3"/>
        <v>9895.43</v>
      </c>
      <c r="U470" s="103">
        <f t="shared" si="4"/>
        <v>10242.03</v>
      </c>
      <c r="V470" s="103">
        <f t="shared" si="5"/>
        <v>214372.1</v>
      </c>
      <c r="W470" s="103">
        <f t="shared" si="6"/>
        <v>65507.4</v>
      </c>
      <c r="X470" s="103">
        <f t="shared" si="7"/>
        <v>1453120.5</v>
      </c>
    </row>
    <row r="471" ht="12.0" customHeight="1">
      <c r="A4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71" s="87" t="str">
        <f>IFERROR(__xludf.DUMMYFUNCTION("IFERROR(IF(F471&lt;&gt;"""",""WHSE ""&amp;LEFT(F471,1),REGEXEXTRACT(E471,""-(?:\d{2}-)?([A-Z]+)"")),"""")
"),"")</f>
        <v/>
      </c>
      <c r="C471" s="106"/>
      <c r="D471" s="102"/>
      <c r="E471" s="104"/>
      <c r="F471" s="104"/>
      <c r="G471" s="91"/>
      <c r="H471" s="107"/>
      <c r="I471" s="93"/>
      <c r="J471" s="97"/>
      <c r="K471" s="95"/>
      <c r="L471" s="95"/>
      <c r="M471" s="95"/>
      <c r="N471" s="96"/>
      <c r="O471" s="97"/>
      <c r="P471" s="96"/>
      <c r="Q471" s="102"/>
      <c r="R471" s="103">
        <f t="shared" si="1"/>
        <v>0</v>
      </c>
      <c r="S471" s="103">
        <f t="shared" si="2"/>
        <v>0</v>
      </c>
      <c r="T471" s="103">
        <f t="shared" si="3"/>
        <v>0</v>
      </c>
      <c r="U471" s="103">
        <f t="shared" si="4"/>
        <v>0</v>
      </c>
      <c r="V471" s="103">
        <f t="shared" si="5"/>
        <v>0</v>
      </c>
      <c r="W471" s="103">
        <f t="shared" si="6"/>
        <v>0</v>
      </c>
      <c r="X471" s="103">
        <f t="shared" si="7"/>
        <v>0</v>
      </c>
    </row>
    <row r="472" ht="12.0" customHeight="1">
      <c r="A4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72" s="87" t="str">
        <f>IFERROR(__xludf.DUMMYFUNCTION("IFERROR(IF(F472&lt;&gt;"""",""WHSE ""&amp;LEFT(F472,1),REGEXEXTRACT(E472,""-(?:\d{2}-)?([A-Z]+)"")),"""")
"),"WHSE A")</f>
        <v>WHSE A</v>
      </c>
      <c r="C472" s="88">
        <v>46004.0</v>
      </c>
      <c r="D472" s="89" t="s">
        <v>72</v>
      </c>
      <c r="E472" s="90" t="s">
        <v>515</v>
      </c>
      <c r="F472" s="90" t="s">
        <v>516</v>
      </c>
      <c r="G472" s="98" t="s">
        <v>73</v>
      </c>
      <c r="H472" s="92">
        <v>17825.0</v>
      </c>
      <c r="I472" s="99">
        <v>444.0</v>
      </c>
      <c r="J472" s="94">
        <v>11.94</v>
      </c>
      <c r="K472" s="100">
        <v>2.53</v>
      </c>
      <c r="L472" s="100">
        <v>0.581</v>
      </c>
      <c r="M472" s="100">
        <v>0.601</v>
      </c>
      <c r="N472" s="101">
        <v>11.91</v>
      </c>
      <c r="O472" s="94">
        <v>3.27</v>
      </c>
      <c r="P472" s="101">
        <v>84.82</v>
      </c>
      <c r="Q472" s="102"/>
      <c r="R472" s="103">
        <f t="shared" si="1"/>
        <v>212830.5</v>
      </c>
      <c r="S472" s="103">
        <f t="shared" si="2"/>
        <v>45097.25</v>
      </c>
      <c r="T472" s="103">
        <f t="shared" si="3"/>
        <v>10356.325</v>
      </c>
      <c r="U472" s="103">
        <f t="shared" si="4"/>
        <v>10712.825</v>
      </c>
      <c r="V472" s="103">
        <f t="shared" si="5"/>
        <v>212295.75</v>
      </c>
      <c r="W472" s="103">
        <f t="shared" si="6"/>
        <v>58287.75</v>
      </c>
      <c r="X472" s="103">
        <f t="shared" si="7"/>
        <v>1511916.5</v>
      </c>
    </row>
    <row r="473" ht="12.0" customHeight="1">
      <c r="A4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73" s="87" t="str">
        <f>IFERROR(__xludf.DUMMYFUNCTION("IFERROR(IF(F473&lt;&gt;"""",""WHSE ""&amp;LEFT(F473,1),REGEXEXTRACT(E473,""-(?:\d{2}-)?([A-Z]+)"")),"""")
"),"")</f>
        <v/>
      </c>
      <c r="C473" s="106"/>
      <c r="D473" s="102"/>
      <c r="E473" s="104"/>
      <c r="F473" s="104"/>
      <c r="G473" s="91"/>
      <c r="H473" s="107"/>
      <c r="I473" s="93"/>
      <c r="J473" s="97"/>
      <c r="K473" s="95"/>
      <c r="L473" s="95"/>
      <c r="M473" s="95"/>
      <c r="N473" s="96"/>
      <c r="O473" s="97"/>
      <c r="P473" s="96"/>
      <c r="Q473" s="102"/>
      <c r="R473" s="103">
        <f t="shared" si="1"/>
        <v>0</v>
      </c>
      <c r="S473" s="103">
        <f t="shared" si="2"/>
        <v>0</v>
      </c>
      <c r="T473" s="103">
        <f t="shared" si="3"/>
        <v>0</v>
      </c>
      <c r="U473" s="103">
        <f t="shared" si="4"/>
        <v>0</v>
      </c>
      <c r="V473" s="103">
        <f t="shared" si="5"/>
        <v>0</v>
      </c>
      <c r="W473" s="103">
        <f t="shared" si="6"/>
        <v>0</v>
      </c>
      <c r="X473" s="103">
        <f t="shared" si="7"/>
        <v>0</v>
      </c>
    </row>
    <row r="474" ht="12.0" customHeight="1">
      <c r="A4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74" s="87" t="str">
        <f>IFERROR(__xludf.DUMMYFUNCTION("IFERROR(IF(F474&lt;&gt;"""",""WHSE ""&amp;LEFT(F474,1),REGEXEXTRACT(E474,""-(?:\d{2}-)?([A-Z]+)"")),"""")
"),"WHSE A")</f>
        <v>WHSE A</v>
      </c>
      <c r="C474" s="88">
        <v>46006.0</v>
      </c>
      <c r="D474" s="89" t="s">
        <v>72</v>
      </c>
      <c r="E474" s="90" t="s">
        <v>515</v>
      </c>
      <c r="F474" s="90" t="s">
        <v>516</v>
      </c>
      <c r="G474" s="98" t="s">
        <v>512</v>
      </c>
      <c r="H474" s="92">
        <v>21965.0</v>
      </c>
      <c r="I474" s="99">
        <v>548.0</v>
      </c>
      <c r="J474" s="94">
        <v>11.87</v>
      </c>
      <c r="K474" s="100">
        <v>2.16</v>
      </c>
      <c r="L474" s="100">
        <v>0.571</v>
      </c>
      <c r="M474" s="100">
        <v>0.591</v>
      </c>
      <c r="N474" s="101">
        <v>13.75</v>
      </c>
      <c r="O474" s="94">
        <v>3.64</v>
      </c>
      <c r="P474" s="101">
        <v>82.61</v>
      </c>
      <c r="Q474" s="102"/>
      <c r="R474" s="103">
        <f t="shared" si="1"/>
        <v>260724.55</v>
      </c>
      <c r="S474" s="103">
        <f t="shared" si="2"/>
        <v>47444.4</v>
      </c>
      <c r="T474" s="103">
        <f t="shared" si="3"/>
        <v>12542.015</v>
      </c>
      <c r="U474" s="103">
        <f t="shared" si="4"/>
        <v>12981.315</v>
      </c>
      <c r="V474" s="103">
        <f t="shared" si="5"/>
        <v>302018.75</v>
      </c>
      <c r="W474" s="103">
        <f t="shared" si="6"/>
        <v>79952.6</v>
      </c>
      <c r="X474" s="103">
        <f t="shared" si="7"/>
        <v>1814528.65</v>
      </c>
    </row>
    <row r="475" ht="12.0" customHeight="1">
      <c r="A4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75" s="87" t="str">
        <f>IFERROR(__xludf.DUMMYFUNCTION("IFERROR(IF(F475&lt;&gt;"""",""WHSE ""&amp;LEFT(F475,1),REGEXEXTRACT(E475,""-(?:\d{2}-)?([A-Z]+)"")),"""")
"),"WHSE D")</f>
        <v>WHSE D</v>
      </c>
      <c r="C475" s="88">
        <v>46006.0</v>
      </c>
      <c r="D475" s="89" t="s">
        <v>64</v>
      </c>
      <c r="E475" s="90" t="s">
        <v>517</v>
      </c>
      <c r="F475" s="90" t="s">
        <v>518</v>
      </c>
      <c r="G475" s="98" t="s">
        <v>65</v>
      </c>
      <c r="H475" s="92">
        <v>23463.0</v>
      </c>
      <c r="I475" s="99">
        <v>541.0</v>
      </c>
      <c r="J475" s="94">
        <v>12.2</v>
      </c>
      <c r="K475" s="100">
        <v>2.71</v>
      </c>
      <c r="L475" s="100">
        <v>0.578</v>
      </c>
      <c r="M475" s="100">
        <v>0.598</v>
      </c>
      <c r="N475" s="101">
        <v>13.71</v>
      </c>
      <c r="O475" s="94">
        <v>3.02</v>
      </c>
      <c r="P475" s="101">
        <v>83.27</v>
      </c>
      <c r="Q475" s="89" t="s">
        <v>519</v>
      </c>
      <c r="R475" s="86">
        <f t="shared" si="1"/>
        <v>286248.6</v>
      </c>
      <c r="S475" s="86">
        <f t="shared" si="2"/>
        <v>63584.73</v>
      </c>
      <c r="T475" s="86">
        <f t="shared" si="3"/>
        <v>13561.614</v>
      </c>
      <c r="U475" s="86">
        <f t="shared" si="4"/>
        <v>14030.874</v>
      </c>
      <c r="V475" s="86">
        <f t="shared" si="5"/>
        <v>321677.73</v>
      </c>
      <c r="W475" s="86">
        <f t="shared" si="6"/>
        <v>70858.26</v>
      </c>
      <c r="X475" s="86">
        <f t="shared" si="7"/>
        <v>1953764.01</v>
      </c>
    </row>
    <row r="476" ht="12.0" customHeight="1">
      <c r="A4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76" s="87" t="str">
        <f>IFERROR(__xludf.DUMMYFUNCTION("IFERROR(IF(F476&lt;&gt;"""",""WHSE ""&amp;LEFT(F476,1),REGEXEXTRACT(E476,""-(?:\d{2}-)?([A-Z]+)"")),"""")
"),"WHSE D")</f>
        <v>WHSE D</v>
      </c>
      <c r="C476" s="88">
        <v>46006.0</v>
      </c>
      <c r="D476" s="89" t="s">
        <v>64</v>
      </c>
      <c r="E476" s="90" t="s">
        <v>517</v>
      </c>
      <c r="F476" s="90" t="s">
        <v>518</v>
      </c>
      <c r="G476" s="98" t="s">
        <v>380</v>
      </c>
      <c r="H476" s="92">
        <v>14376.0</v>
      </c>
      <c r="I476" s="99">
        <v>356.0</v>
      </c>
      <c r="J476" s="94">
        <v>12.27</v>
      </c>
      <c r="K476" s="100">
        <v>2.33</v>
      </c>
      <c r="L476" s="100">
        <v>0.581</v>
      </c>
      <c r="M476" s="100">
        <v>0.601</v>
      </c>
      <c r="N476" s="101">
        <v>13.38</v>
      </c>
      <c r="O476" s="94">
        <v>2.79</v>
      </c>
      <c r="P476" s="101">
        <v>83.83</v>
      </c>
      <c r="Q476" s="89" t="s">
        <v>520</v>
      </c>
      <c r="R476" s="86">
        <f t="shared" si="1"/>
        <v>176393.52</v>
      </c>
      <c r="S476" s="86">
        <f t="shared" si="2"/>
        <v>33496.08</v>
      </c>
      <c r="T476" s="86">
        <f t="shared" si="3"/>
        <v>8352.456</v>
      </c>
      <c r="U476" s="86">
        <f t="shared" si="4"/>
        <v>8639.976</v>
      </c>
      <c r="V476" s="86">
        <f t="shared" si="5"/>
        <v>192350.88</v>
      </c>
      <c r="W476" s="86">
        <f t="shared" si="6"/>
        <v>40109.04</v>
      </c>
      <c r="X476" s="86">
        <f t="shared" si="7"/>
        <v>1205140.08</v>
      </c>
    </row>
    <row r="477" ht="12.0" customHeight="1">
      <c r="A4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77" s="87" t="str">
        <f>IFERROR(__xludf.DUMMYFUNCTION("IFERROR(IF(F477&lt;&gt;"""",""WHSE ""&amp;LEFT(F477,1),REGEXEXTRACT(E477,""-(?:\d{2}-)?([A-Z]+)"")),"""")
"),"WHSE D")</f>
        <v>WHSE D</v>
      </c>
      <c r="C477" s="88">
        <v>46006.0</v>
      </c>
      <c r="D477" s="89" t="s">
        <v>361</v>
      </c>
      <c r="E477" s="90" t="s">
        <v>429</v>
      </c>
      <c r="F477" s="90" t="s">
        <v>430</v>
      </c>
      <c r="G477" s="98" t="s">
        <v>491</v>
      </c>
      <c r="H477" s="92">
        <v>5836.0</v>
      </c>
      <c r="I477" s="99">
        <v>168.0</v>
      </c>
      <c r="J477" s="94">
        <v>13.0</v>
      </c>
      <c r="K477" s="100">
        <v>2.14</v>
      </c>
      <c r="L477" s="100">
        <v>0.581</v>
      </c>
      <c r="M477" s="100">
        <v>0.601</v>
      </c>
      <c r="N477" s="101">
        <v>14.94</v>
      </c>
      <c r="O477" s="94">
        <v>3.85</v>
      </c>
      <c r="P477" s="101">
        <v>81.21</v>
      </c>
      <c r="Q477" s="89" t="s">
        <v>521</v>
      </c>
      <c r="R477" s="86">
        <f t="shared" si="1"/>
        <v>75868</v>
      </c>
      <c r="S477" s="86">
        <f t="shared" si="2"/>
        <v>12489.04</v>
      </c>
      <c r="T477" s="86">
        <f t="shared" si="3"/>
        <v>3390.716</v>
      </c>
      <c r="U477" s="86">
        <f t="shared" si="4"/>
        <v>3507.436</v>
      </c>
      <c r="V477" s="86">
        <f t="shared" si="5"/>
        <v>87189.84</v>
      </c>
      <c r="W477" s="86">
        <f t="shared" si="6"/>
        <v>22468.6</v>
      </c>
      <c r="X477" s="86">
        <f t="shared" si="7"/>
        <v>473941.56</v>
      </c>
    </row>
    <row r="478" ht="12.0" customHeight="1">
      <c r="A4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78" s="87" t="str">
        <f>IFERROR(__xludf.DUMMYFUNCTION("IFERROR(IF(F478&lt;&gt;"""",""WHSE ""&amp;LEFT(F478,1),REGEXEXTRACT(E478,""-(?:\d{2}-)?([A-Z]+)"")),"""")
"),"WHSE C")</f>
        <v>WHSE C</v>
      </c>
      <c r="C478" s="88">
        <v>46006.0</v>
      </c>
      <c r="D478" s="89" t="s">
        <v>232</v>
      </c>
      <c r="E478" s="90" t="s">
        <v>507</v>
      </c>
      <c r="F478" s="90" t="s">
        <v>508</v>
      </c>
      <c r="G478" s="98" t="s">
        <v>235</v>
      </c>
      <c r="H478" s="92">
        <v>11380.0</v>
      </c>
      <c r="I478" s="99">
        <v>314.0</v>
      </c>
      <c r="J478" s="94">
        <v>10.27</v>
      </c>
      <c r="K478" s="100">
        <v>2.91</v>
      </c>
      <c r="L478" s="100">
        <v>0.578</v>
      </c>
      <c r="M478" s="100">
        <v>0.598</v>
      </c>
      <c r="N478" s="101">
        <v>13.19</v>
      </c>
      <c r="O478" s="94">
        <v>2.53</v>
      </c>
      <c r="P478" s="101">
        <v>84.28</v>
      </c>
      <c r="Q478" s="102"/>
      <c r="R478" s="103">
        <f t="shared" si="1"/>
        <v>116872.6</v>
      </c>
      <c r="S478" s="103">
        <f t="shared" si="2"/>
        <v>33115.8</v>
      </c>
      <c r="T478" s="103">
        <f t="shared" si="3"/>
        <v>6577.64</v>
      </c>
      <c r="U478" s="103">
        <f t="shared" si="4"/>
        <v>6805.24</v>
      </c>
      <c r="V478" s="103">
        <f t="shared" si="5"/>
        <v>150102.2</v>
      </c>
      <c r="W478" s="103">
        <f t="shared" si="6"/>
        <v>28791.4</v>
      </c>
      <c r="X478" s="103">
        <f t="shared" si="7"/>
        <v>959106.4</v>
      </c>
    </row>
    <row r="479" ht="12.0" customHeight="1">
      <c r="A4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79" s="87" t="str">
        <f>IFERROR(__xludf.DUMMYFUNCTION("IFERROR(IF(F479&lt;&gt;"""",""WHSE ""&amp;LEFT(F479,1),REGEXEXTRACT(E479,""-(?:\d{2}-)?([A-Z]+)"")),"""")
"),"WHSE C")</f>
        <v>WHSE C</v>
      </c>
      <c r="C479" s="88">
        <v>46006.0</v>
      </c>
      <c r="D479" s="89" t="s">
        <v>232</v>
      </c>
      <c r="E479" s="90" t="s">
        <v>522</v>
      </c>
      <c r="F479" s="90" t="s">
        <v>523</v>
      </c>
      <c r="G479" s="98" t="s">
        <v>272</v>
      </c>
      <c r="H479" s="92">
        <v>21820.0</v>
      </c>
      <c r="I479" s="99">
        <v>510.0</v>
      </c>
      <c r="J479" s="94">
        <v>10.47</v>
      </c>
      <c r="K479" s="100">
        <v>2.31</v>
      </c>
      <c r="L479" s="100">
        <v>0.546</v>
      </c>
      <c r="M479" s="100">
        <v>0.566</v>
      </c>
      <c r="N479" s="101">
        <v>12.46</v>
      </c>
      <c r="O479" s="94">
        <v>4.08</v>
      </c>
      <c r="P479" s="101">
        <v>83.46</v>
      </c>
      <c r="Q479" s="102"/>
      <c r="R479" s="103">
        <f t="shared" si="1"/>
        <v>228455.4</v>
      </c>
      <c r="S479" s="103">
        <f t="shared" si="2"/>
        <v>50404.2</v>
      </c>
      <c r="T479" s="103">
        <f t="shared" si="3"/>
        <v>11913.72</v>
      </c>
      <c r="U479" s="103">
        <f t="shared" si="4"/>
        <v>12350.12</v>
      </c>
      <c r="V479" s="103">
        <f t="shared" si="5"/>
        <v>271877.2</v>
      </c>
      <c r="W479" s="103">
        <f t="shared" si="6"/>
        <v>89025.6</v>
      </c>
      <c r="X479" s="103">
        <f t="shared" si="7"/>
        <v>1821097.2</v>
      </c>
    </row>
    <row r="480" ht="12.0" customHeight="1">
      <c r="A4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80" s="87" t="str">
        <f>IFERROR(__xludf.DUMMYFUNCTION("IFERROR(IF(F480&lt;&gt;"""",""WHSE ""&amp;LEFT(F480,1),REGEXEXTRACT(E480,""-(?:\d{2}-)?([A-Z]+)"")),"""")
"),"WHSE C")</f>
        <v>WHSE C</v>
      </c>
      <c r="C480" s="88">
        <v>46006.0</v>
      </c>
      <c r="D480" s="89" t="s">
        <v>265</v>
      </c>
      <c r="E480" s="90" t="s">
        <v>522</v>
      </c>
      <c r="F480" s="90" t="s">
        <v>523</v>
      </c>
      <c r="G480" s="98" t="s">
        <v>457</v>
      </c>
      <c r="H480" s="92">
        <v>7340.0</v>
      </c>
      <c r="I480" s="99">
        <v>212.0</v>
      </c>
      <c r="J480" s="94">
        <v>10.14</v>
      </c>
      <c r="K480" s="100">
        <v>2.66</v>
      </c>
      <c r="L480" s="100">
        <v>0.568</v>
      </c>
      <c r="M480" s="100">
        <v>0.588</v>
      </c>
      <c r="N480" s="101">
        <v>14.49</v>
      </c>
      <c r="O480" s="94">
        <v>2.66</v>
      </c>
      <c r="P480" s="101">
        <v>82.85</v>
      </c>
      <c r="Q480" s="102"/>
      <c r="R480" s="103">
        <f t="shared" si="1"/>
        <v>74427.6</v>
      </c>
      <c r="S480" s="103">
        <f t="shared" si="2"/>
        <v>19524.4</v>
      </c>
      <c r="T480" s="103">
        <f t="shared" si="3"/>
        <v>4169.12</v>
      </c>
      <c r="U480" s="103">
        <f t="shared" si="4"/>
        <v>4315.92</v>
      </c>
      <c r="V480" s="103">
        <f t="shared" si="5"/>
        <v>106356.6</v>
      </c>
      <c r="W480" s="103">
        <f t="shared" si="6"/>
        <v>19524.4</v>
      </c>
      <c r="X480" s="103">
        <f t="shared" si="7"/>
        <v>608119</v>
      </c>
    </row>
    <row r="481" ht="12.0" customHeight="1">
      <c r="A4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81" s="87" t="str">
        <f>IFERROR(__xludf.DUMMYFUNCTION("IFERROR(IF(F481&lt;&gt;"""",""WHSE ""&amp;LEFT(F481,1),REGEXEXTRACT(E481,""-(?:\d{2}-)?([A-Z]+)"")),"""")
"),"")</f>
        <v/>
      </c>
      <c r="C481" s="106"/>
      <c r="D481" s="102"/>
      <c r="E481" s="104"/>
      <c r="F481" s="104"/>
      <c r="G481" s="91"/>
      <c r="H481" s="107"/>
      <c r="I481" s="93"/>
      <c r="J481" s="97"/>
      <c r="K481" s="95"/>
      <c r="L481" s="95"/>
      <c r="M481" s="95"/>
      <c r="N481" s="96"/>
      <c r="O481" s="97"/>
      <c r="P481" s="96"/>
      <c r="Q481" s="102"/>
      <c r="R481" s="103">
        <f t="shared" si="1"/>
        <v>0</v>
      </c>
      <c r="S481" s="103">
        <f t="shared" si="2"/>
        <v>0</v>
      </c>
      <c r="T481" s="103">
        <f t="shared" si="3"/>
        <v>0</v>
      </c>
      <c r="U481" s="103">
        <f t="shared" si="4"/>
        <v>0</v>
      </c>
      <c r="V481" s="103">
        <f t="shared" si="5"/>
        <v>0</v>
      </c>
      <c r="W481" s="103">
        <f t="shared" si="6"/>
        <v>0</v>
      </c>
      <c r="X481" s="103">
        <f t="shared" si="7"/>
        <v>0</v>
      </c>
    </row>
    <row r="482" ht="12.0" customHeight="1">
      <c r="A4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82" s="87" t="str">
        <f>IFERROR(__xludf.DUMMYFUNCTION("IFERROR(IF(F482&lt;&gt;"""",""WHSE ""&amp;LEFT(F482,1),REGEXEXTRACT(E482,""-(?:\d{2}-)?([A-Z]+)"")),"""")
"),"WHSE A")</f>
        <v>WHSE A</v>
      </c>
      <c r="C482" s="88">
        <v>46007.0</v>
      </c>
      <c r="D482" s="89" t="s">
        <v>72</v>
      </c>
      <c r="E482" s="90" t="s">
        <v>515</v>
      </c>
      <c r="F482" s="90" t="s">
        <v>516</v>
      </c>
      <c r="G482" s="98" t="s">
        <v>77</v>
      </c>
      <c r="H482" s="92">
        <v>18405.0</v>
      </c>
      <c r="I482" s="99">
        <v>458.0</v>
      </c>
      <c r="J482" s="94">
        <v>11.74</v>
      </c>
      <c r="K482" s="100">
        <v>2.73</v>
      </c>
      <c r="L482" s="100">
        <v>0.575</v>
      </c>
      <c r="M482" s="100">
        <v>0.595</v>
      </c>
      <c r="N482" s="101">
        <v>12.25</v>
      </c>
      <c r="O482" s="94">
        <v>3.53</v>
      </c>
      <c r="P482" s="101">
        <v>84.22</v>
      </c>
      <c r="Q482" s="102"/>
      <c r="R482" s="103">
        <f t="shared" si="1"/>
        <v>216074.7</v>
      </c>
      <c r="S482" s="103">
        <f t="shared" si="2"/>
        <v>50245.65</v>
      </c>
      <c r="T482" s="103">
        <f t="shared" si="3"/>
        <v>10582.875</v>
      </c>
      <c r="U482" s="103">
        <f t="shared" si="4"/>
        <v>10950.975</v>
      </c>
      <c r="V482" s="103">
        <f t="shared" si="5"/>
        <v>225461.25</v>
      </c>
      <c r="W482" s="103">
        <f t="shared" si="6"/>
        <v>64969.65</v>
      </c>
      <c r="X482" s="103">
        <f t="shared" si="7"/>
        <v>1550069.1</v>
      </c>
    </row>
    <row r="483" ht="12.0" customHeight="1">
      <c r="A4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83" s="87" t="str">
        <f>IFERROR(__xludf.DUMMYFUNCTION("IFERROR(IF(F483&lt;&gt;"""",""WHSE ""&amp;LEFT(F483,1),REGEXEXTRACT(E483,""-(?:\d{2}-)?([A-Z]+)"")),"""")
"),"WHSE D")</f>
        <v>WHSE D</v>
      </c>
      <c r="C483" s="88">
        <v>46007.0</v>
      </c>
      <c r="D483" s="89" t="s">
        <v>279</v>
      </c>
      <c r="E483" s="90" t="s">
        <v>502</v>
      </c>
      <c r="F483" s="90" t="s">
        <v>503</v>
      </c>
      <c r="G483" s="98" t="s">
        <v>318</v>
      </c>
      <c r="H483" s="92">
        <v>5790.0</v>
      </c>
      <c r="I483" s="99">
        <v>125.0</v>
      </c>
      <c r="J483" s="94">
        <v>12.07</v>
      </c>
      <c r="K483" s="100">
        <v>2.81</v>
      </c>
      <c r="L483" s="100">
        <v>0.585</v>
      </c>
      <c r="M483" s="100">
        <v>0.605</v>
      </c>
      <c r="N483" s="101">
        <v>13.98</v>
      </c>
      <c r="O483" s="94">
        <v>2.43</v>
      </c>
      <c r="P483" s="101">
        <v>83.59</v>
      </c>
      <c r="Q483" s="102"/>
      <c r="R483" s="103">
        <f t="shared" si="1"/>
        <v>69885.3</v>
      </c>
      <c r="S483" s="103">
        <f t="shared" si="2"/>
        <v>16269.9</v>
      </c>
      <c r="T483" s="103">
        <f t="shared" si="3"/>
        <v>3387.15</v>
      </c>
      <c r="U483" s="103">
        <f t="shared" si="4"/>
        <v>3502.95</v>
      </c>
      <c r="V483" s="103">
        <f t="shared" si="5"/>
        <v>80944.2</v>
      </c>
      <c r="W483" s="103">
        <f t="shared" si="6"/>
        <v>14069.7</v>
      </c>
      <c r="X483" s="103">
        <f t="shared" si="7"/>
        <v>483986.1</v>
      </c>
    </row>
    <row r="484" ht="12.0" customHeight="1">
      <c r="A4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84" s="87" t="str">
        <f>IFERROR(__xludf.DUMMYFUNCTION("IFERROR(IF(F484&lt;&gt;"""",""WHSE ""&amp;LEFT(F484,1),REGEXEXTRACT(E484,""-(?:\d{2}-)?([A-Z]+)"")),"""")
"),"")</f>
        <v/>
      </c>
      <c r="C484" s="106"/>
      <c r="D484" s="102"/>
      <c r="E484" s="104"/>
      <c r="F484" s="104"/>
      <c r="G484" s="91"/>
      <c r="H484" s="107"/>
      <c r="I484" s="93"/>
      <c r="J484" s="97"/>
      <c r="K484" s="95"/>
      <c r="L484" s="95"/>
      <c r="M484" s="95"/>
      <c r="N484" s="96"/>
      <c r="O484" s="97"/>
      <c r="P484" s="96"/>
      <c r="Q484" s="102"/>
      <c r="R484" s="103">
        <f t="shared" si="1"/>
        <v>0</v>
      </c>
      <c r="S484" s="103">
        <f t="shared" si="2"/>
        <v>0</v>
      </c>
      <c r="T484" s="103">
        <f t="shared" si="3"/>
        <v>0</v>
      </c>
      <c r="U484" s="103">
        <f t="shared" si="4"/>
        <v>0</v>
      </c>
      <c r="V484" s="103">
        <f t="shared" si="5"/>
        <v>0</v>
      </c>
      <c r="W484" s="103">
        <f t="shared" si="6"/>
        <v>0</v>
      </c>
      <c r="X484" s="103">
        <f t="shared" si="7"/>
        <v>0</v>
      </c>
    </row>
    <row r="485" ht="12.0" customHeight="1">
      <c r="A4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85" s="87" t="str">
        <f>IFERROR(__xludf.DUMMYFUNCTION("IFERROR(IF(F485&lt;&gt;"""",""WHSE ""&amp;LEFT(F485,1),REGEXEXTRACT(E485,""-(?:\d{2}-)?([A-Z]+)"")),"""")
"),"WHSE C")</f>
        <v>WHSE C</v>
      </c>
      <c r="C485" s="88">
        <v>46008.0</v>
      </c>
      <c r="D485" s="89" t="s">
        <v>232</v>
      </c>
      <c r="E485" s="90" t="s">
        <v>522</v>
      </c>
      <c r="F485" s="90" t="s">
        <v>523</v>
      </c>
      <c r="G485" s="98" t="s">
        <v>235</v>
      </c>
      <c r="H485" s="92">
        <v>11260.0</v>
      </c>
      <c r="I485" s="99">
        <v>385.0</v>
      </c>
      <c r="J485" s="94">
        <v>10.4</v>
      </c>
      <c r="K485" s="100">
        <v>2.81</v>
      </c>
      <c r="L485" s="100">
        <v>0.581</v>
      </c>
      <c r="M485" s="100">
        <v>0.601</v>
      </c>
      <c r="N485" s="101">
        <v>13.4</v>
      </c>
      <c r="O485" s="94">
        <v>3.14</v>
      </c>
      <c r="P485" s="101">
        <v>83.46</v>
      </c>
      <c r="Q485" s="102"/>
      <c r="R485" s="103">
        <f t="shared" si="1"/>
        <v>117104</v>
      </c>
      <c r="S485" s="103">
        <f t="shared" si="2"/>
        <v>31640.6</v>
      </c>
      <c r="T485" s="103">
        <f t="shared" si="3"/>
        <v>6542.06</v>
      </c>
      <c r="U485" s="103">
        <f t="shared" si="4"/>
        <v>6767.26</v>
      </c>
      <c r="V485" s="103">
        <f t="shared" si="5"/>
        <v>150884</v>
      </c>
      <c r="W485" s="103">
        <f t="shared" si="6"/>
        <v>35356.4</v>
      </c>
      <c r="X485" s="103">
        <f t="shared" si="7"/>
        <v>939759.6</v>
      </c>
    </row>
    <row r="486" ht="12.0" customHeight="1">
      <c r="A4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86" s="87" t="str">
        <f>IFERROR(__xludf.DUMMYFUNCTION("IFERROR(IF(F486&lt;&gt;"""",""WHSE ""&amp;LEFT(F486,1),REGEXEXTRACT(E486,""-(?:\d{2}-)?([A-Z]+)"")),"""")
"),"WHSE D")</f>
        <v>WHSE D</v>
      </c>
      <c r="C486" s="88">
        <v>46008.0</v>
      </c>
      <c r="D486" s="89" t="s">
        <v>432</v>
      </c>
      <c r="E486" s="90" t="s">
        <v>435</v>
      </c>
      <c r="F486" s="90" t="s">
        <v>436</v>
      </c>
      <c r="G486" s="98" t="s">
        <v>433</v>
      </c>
      <c r="H486" s="92">
        <v>18984.0</v>
      </c>
      <c r="I486" s="99">
        <v>438.0</v>
      </c>
      <c r="J486" s="94">
        <v>14.07</v>
      </c>
      <c r="K486" s="100">
        <v>2.73</v>
      </c>
      <c r="L486" s="100">
        <v>0.575</v>
      </c>
      <c r="M486" s="100">
        <v>0.595</v>
      </c>
      <c r="N486" s="101">
        <v>11.38</v>
      </c>
      <c r="O486" s="94">
        <v>3.96</v>
      </c>
      <c r="P486" s="101">
        <v>84.66</v>
      </c>
      <c r="Q486" s="89" t="s">
        <v>524</v>
      </c>
      <c r="R486" s="86">
        <f t="shared" si="1"/>
        <v>267104.88</v>
      </c>
      <c r="S486" s="86">
        <f t="shared" si="2"/>
        <v>51826.32</v>
      </c>
      <c r="T486" s="86">
        <f t="shared" si="3"/>
        <v>10915.8</v>
      </c>
      <c r="U486" s="86">
        <f t="shared" si="4"/>
        <v>11295.48</v>
      </c>
      <c r="V486" s="86">
        <f t="shared" si="5"/>
        <v>216037.92</v>
      </c>
      <c r="W486" s="86">
        <f t="shared" si="6"/>
        <v>75176.64</v>
      </c>
      <c r="X486" s="86">
        <f t="shared" si="7"/>
        <v>1607185.44</v>
      </c>
    </row>
    <row r="487" ht="12.0" customHeight="1">
      <c r="A4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87" s="87" t="str">
        <f>IFERROR(__xludf.DUMMYFUNCTION("IFERROR(IF(F487&lt;&gt;"""",""WHSE ""&amp;LEFT(F487,1),REGEXEXTRACT(E487,""-(?:\d{2}-)?([A-Z]+)"")),"""")
"),"WHSE D")</f>
        <v>WHSE D</v>
      </c>
      <c r="C487" s="88">
        <v>46008.0</v>
      </c>
      <c r="D487" s="89" t="s">
        <v>60</v>
      </c>
      <c r="E487" s="90" t="s">
        <v>525</v>
      </c>
      <c r="F487" s="90" t="s">
        <v>526</v>
      </c>
      <c r="G487" s="98" t="s">
        <v>63</v>
      </c>
      <c r="H487" s="92">
        <v>23837.0</v>
      </c>
      <c r="I487" s="99">
        <v>478.0</v>
      </c>
      <c r="J487" s="94">
        <v>18.87</v>
      </c>
      <c r="K487" s="100">
        <v>2.53</v>
      </c>
      <c r="L487" s="100">
        <v>0.568</v>
      </c>
      <c r="M487" s="100">
        <v>0.588</v>
      </c>
      <c r="N487" s="101">
        <v>12.24</v>
      </c>
      <c r="O487" s="94">
        <v>3.4</v>
      </c>
      <c r="P487" s="101">
        <v>84.36</v>
      </c>
      <c r="Q487" s="102"/>
      <c r="R487" s="103">
        <f t="shared" si="1"/>
        <v>449804.19</v>
      </c>
      <c r="S487" s="103">
        <f t="shared" si="2"/>
        <v>60307.61</v>
      </c>
      <c r="T487" s="103">
        <f t="shared" si="3"/>
        <v>13539.416</v>
      </c>
      <c r="U487" s="103">
        <f t="shared" si="4"/>
        <v>14016.156</v>
      </c>
      <c r="V487" s="103">
        <f t="shared" si="5"/>
        <v>291764.88</v>
      </c>
      <c r="W487" s="103">
        <f t="shared" si="6"/>
        <v>81045.8</v>
      </c>
      <c r="X487" s="103">
        <f t="shared" si="7"/>
        <v>2010889.32</v>
      </c>
    </row>
    <row r="488" ht="12.0" customHeight="1">
      <c r="A4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88" s="87" t="str">
        <f>IFERROR(__xludf.DUMMYFUNCTION("IFERROR(IF(F488&lt;&gt;"""",""WHSE ""&amp;LEFT(F488,1),REGEXEXTRACT(E488,""-(?:\d{2}-)?([A-Z]+)"")),"""")
"),"")</f>
        <v/>
      </c>
      <c r="C488" s="106"/>
      <c r="D488" s="102"/>
      <c r="E488" s="104"/>
      <c r="F488" s="104"/>
      <c r="G488" s="91"/>
      <c r="H488" s="107"/>
      <c r="I488" s="93"/>
      <c r="J488" s="97"/>
      <c r="K488" s="95"/>
      <c r="L488" s="95"/>
      <c r="M488" s="95"/>
      <c r="N488" s="96"/>
      <c r="O488" s="97"/>
      <c r="P488" s="96"/>
      <c r="Q488" s="102"/>
      <c r="R488" s="103">
        <f t="shared" si="1"/>
        <v>0</v>
      </c>
      <c r="S488" s="103">
        <f t="shared" si="2"/>
        <v>0</v>
      </c>
      <c r="T488" s="103">
        <f t="shared" si="3"/>
        <v>0</v>
      </c>
      <c r="U488" s="103">
        <f t="shared" si="4"/>
        <v>0</v>
      </c>
      <c r="V488" s="103">
        <f t="shared" si="5"/>
        <v>0</v>
      </c>
      <c r="W488" s="103">
        <f t="shared" si="6"/>
        <v>0</v>
      </c>
      <c r="X488" s="103">
        <f t="shared" si="7"/>
        <v>0</v>
      </c>
    </row>
    <row r="489" ht="12.0" customHeight="1">
      <c r="A4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89" s="87" t="str">
        <f>IFERROR(__xludf.DUMMYFUNCTION("IFERROR(IF(F489&lt;&gt;"""",""WHSE ""&amp;LEFT(F489,1),REGEXEXTRACT(E489,""-(?:\d{2}-)?([A-Z]+)"")),"""")
"),"WHSE A")</f>
        <v>WHSE A</v>
      </c>
      <c r="C489" s="88">
        <v>46009.0</v>
      </c>
      <c r="D489" s="89" t="s">
        <v>72</v>
      </c>
      <c r="E489" s="90" t="s">
        <v>527</v>
      </c>
      <c r="F489" s="90" t="s">
        <v>528</v>
      </c>
      <c r="G489" s="98" t="s">
        <v>73</v>
      </c>
      <c r="H489" s="92">
        <v>17810.0</v>
      </c>
      <c r="I489" s="99">
        <v>463.0</v>
      </c>
      <c r="J489" s="94">
        <v>10.8</v>
      </c>
      <c r="K489" s="100">
        <v>2.17</v>
      </c>
      <c r="L489" s="100">
        <v>0.585</v>
      </c>
      <c r="M489" s="100">
        <v>0.605</v>
      </c>
      <c r="N489" s="101">
        <v>14.56</v>
      </c>
      <c r="O489" s="94">
        <v>2.35</v>
      </c>
      <c r="P489" s="101">
        <v>83.09</v>
      </c>
      <c r="Q489" s="102"/>
      <c r="R489" s="103">
        <f t="shared" si="1"/>
        <v>192348</v>
      </c>
      <c r="S489" s="103">
        <f t="shared" si="2"/>
        <v>38647.7</v>
      </c>
      <c r="T489" s="103">
        <f t="shared" si="3"/>
        <v>10418.85</v>
      </c>
      <c r="U489" s="103">
        <f t="shared" si="4"/>
        <v>10775.05</v>
      </c>
      <c r="V489" s="103">
        <f t="shared" si="5"/>
        <v>259313.6</v>
      </c>
      <c r="W489" s="103">
        <f t="shared" si="6"/>
        <v>41853.5</v>
      </c>
      <c r="X489" s="103">
        <f t="shared" si="7"/>
        <v>1479832.9</v>
      </c>
    </row>
    <row r="490" ht="12.0" customHeight="1">
      <c r="A4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90" s="87" t="str">
        <f>IFERROR(__xludf.DUMMYFUNCTION("IFERROR(IF(F490&lt;&gt;"""",""WHSE ""&amp;LEFT(F490,1),REGEXEXTRACT(E490,""-(?:\d{2}-)?([A-Z]+)"")),"""")
"),"WHSE A")</f>
        <v>WHSE A</v>
      </c>
      <c r="C490" s="88">
        <v>46009.0</v>
      </c>
      <c r="D490" s="89" t="s">
        <v>72</v>
      </c>
      <c r="E490" s="90" t="s">
        <v>527</v>
      </c>
      <c r="F490" s="90" t="s">
        <v>528</v>
      </c>
      <c r="G490" s="98" t="s">
        <v>512</v>
      </c>
      <c r="H490" s="92">
        <v>19205.0</v>
      </c>
      <c r="I490" s="99">
        <v>540.0</v>
      </c>
      <c r="J490" s="94">
        <v>11.8</v>
      </c>
      <c r="K490" s="100">
        <v>2.21</v>
      </c>
      <c r="L490" s="100">
        <v>0.571</v>
      </c>
      <c r="M490" s="100">
        <v>0.591</v>
      </c>
      <c r="N490" s="101">
        <v>13.79</v>
      </c>
      <c r="O490" s="94">
        <v>3.86</v>
      </c>
      <c r="P490" s="101">
        <v>82.35</v>
      </c>
      <c r="Q490" s="102"/>
      <c r="R490" s="103">
        <f t="shared" si="1"/>
        <v>226619</v>
      </c>
      <c r="S490" s="103">
        <f t="shared" si="2"/>
        <v>42443.05</v>
      </c>
      <c r="T490" s="103">
        <f t="shared" si="3"/>
        <v>10966.055</v>
      </c>
      <c r="U490" s="103">
        <f t="shared" si="4"/>
        <v>11350.155</v>
      </c>
      <c r="V490" s="103">
        <f t="shared" si="5"/>
        <v>264836.95</v>
      </c>
      <c r="W490" s="103">
        <f t="shared" si="6"/>
        <v>74131.3</v>
      </c>
      <c r="X490" s="103">
        <f t="shared" si="7"/>
        <v>1581531.75</v>
      </c>
    </row>
    <row r="491" ht="12.0" customHeight="1">
      <c r="A4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91" s="87" t="str">
        <f>IFERROR(__xludf.DUMMYFUNCTION("IFERROR(IF(F491&lt;&gt;"""",""WHSE ""&amp;LEFT(F491,1),REGEXEXTRACT(E491,""-(?:\d{2}-)?([A-Z]+)"")),"""")
"),"WHSE D")</f>
        <v>WHSE D</v>
      </c>
      <c r="C491" s="88">
        <v>46009.0</v>
      </c>
      <c r="D491" s="89" t="s">
        <v>64</v>
      </c>
      <c r="E491" s="90" t="s">
        <v>517</v>
      </c>
      <c r="F491" s="90" t="s">
        <v>518</v>
      </c>
      <c r="G491" s="98" t="s">
        <v>65</v>
      </c>
      <c r="H491" s="92">
        <v>23837.0</v>
      </c>
      <c r="I491" s="99">
        <v>510.0</v>
      </c>
      <c r="J491" s="94">
        <v>13.0</v>
      </c>
      <c r="K491" s="100">
        <v>2.11</v>
      </c>
      <c r="L491" s="100">
        <v>0.581</v>
      </c>
      <c r="M491" s="100">
        <v>0.601</v>
      </c>
      <c r="N491" s="101">
        <v>12.49</v>
      </c>
      <c r="O491" s="94">
        <v>3.19</v>
      </c>
      <c r="P491" s="101">
        <v>84.32</v>
      </c>
      <c r="Q491" s="89" t="s">
        <v>529</v>
      </c>
      <c r="R491" s="86">
        <f t="shared" si="1"/>
        <v>309881</v>
      </c>
      <c r="S491" s="86">
        <f t="shared" si="2"/>
        <v>50296.07</v>
      </c>
      <c r="T491" s="86">
        <f t="shared" si="3"/>
        <v>13849.297</v>
      </c>
      <c r="U491" s="86">
        <f t="shared" si="4"/>
        <v>14326.037</v>
      </c>
      <c r="V491" s="86">
        <f t="shared" si="5"/>
        <v>297724.13</v>
      </c>
      <c r="W491" s="86">
        <f t="shared" si="6"/>
        <v>76040.03</v>
      </c>
      <c r="X491" s="86">
        <f t="shared" si="7"/>
        <v>2009935.84</v>
      </c>
    </row>
    <row r="492" ht="12.0" customHeight="1">
      <c r="A4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92" s="87" t="str">
        <f>IFERROR(__xludf.DUMMYFUNCTION("IFERROR(IF(F492&lt;&gt;"""",""WHSE ""&amp;LEFT(F492,1),REGEXEXTRACT(E492,""-(?:\d{2}-)?([A-Z]+)"")),"""")
"),"")</f>
        <v/>
      </c>
      <c r="C492" s="106"/>
      <c r="D492" s="102"/>
      <c r="E492" s="104"/>
      <c r="F492" s="104"/>
      <c r="G492" s="91"/>
      <c r="H492" s="107"/>
      <c r="I492" s="93"/>
      <c r="J492" s="94">
        <v>19.07</v>
      </c>
      <c r="K492" s="95"/>
      <c r="L492" s="95"/>
      <c r="M492" s="95"/>
      <c r="N492" s="96"/>
      <c r="O492" s="97"/>
      <c r="P492" s="96"/>
      <c r="Q492" s="102"/>
      <c r="R492" s="103">
        <f t="shared" si="1"/>
        <v>0</v>
      </c>
      <c r="S492" s="103">
        <f t="shared" si="2"/>
        <v>0</v>
      </c>
      <c r="T492" s="103">
        <f t="shared" si="3"/>
        <v>0</v>
      </c>
      <c r="U492" s="103">
        <f t="shared" si="4"/>
        <v>0</v>
      </c>
      <c r="V492" s="103">
        <f t="shared" si="5"/>
        <v>0</v>
      </c>
      <c r="W492" s="103">
        <f t="shared" si="6"/>
        <v>0</v>
      </c>
      <c r="X492" s="103">
        <f t="shared" si="7"/>
        <v>0</v>
      </c>
    </row>
    <row r="493" ht="12.0" customHeight="1">
      <c r="A4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93" s="87" t="str">
        <f>IFERROR(__xludf.DUMMYFUNCTION("IFERROR(IF(F493&lt;&gt;"""",""WHSE ""&amp;LEFT(F493,1),REGEXEXTRACT(E493,""-(?:\d{2}-)?([A-Z]+)"")),"""")
"),"WHSE C")</f>
        <v>WHSE C</v>
      </c>
      <c r="C493" s="88">
        <v>46009.0</v>
      </c>
      <c r="D493" s="89" t="s">
        <v>232</v>
      </c>
      <c r="E493" s="90" t="s">
        <v>522</v>
      </c>
      <c r="F493" s="90" t="s">
        <v>523</v>
      </c>
      <c r="G493" s="98" t="s">
        <v>235</v>
      </c>
      <c r="H493" s="92">
        <v>11370.0</v>
      </c>
      <c r="I493" s="99">
        <v>340.0</v>
      </c>
      <c r="J493" s="94">
        <v>10.2</v>
      </c>
      <c r="K493" s="100">
        <v>3.1</v>
      </c>
      <c r="L493" s="100">
        <v>0.578</v>
      </c>
      <c r="M493" s="100">
        <v>0.598</v>
      </c>
      <c r="N493" s="101">
        <v>12.94</v>
      </c>
      <c r="O493" s="94">
        <v>3.21</v>
      </c>
      <c r="P493" s="101">
        <v>83.85</v>
      </c>
      <c r="Q493" s="102"/>
      <c r="R493" s="103">
        <f t="shared" si="1"/>
        <v>115974</v>
      </c>
      <c r="S493" s="103">
        <f t="shared" si="2"/>
        <v>35247</v>
      </c>
      <c r="T493" s="103">
        <f t="shared" si="3"/>
        <v>6571.86</v>
      </c>
      <c r="U493" s="103">
        <f t="shared" si="4"/>
        <v>6799.26</v>
      </c>
      <c r="V493" s="103">
        <f t="shared" si="5"/>
        <v>147127.8</v>
      </c>
      <c r="W493" s="103">
        <f t="shared" si="6"/>
        <v>36497.7</v>
      </c>
      <c r="X493" s="103">
        <f t="shared" si="7"/>
        <v>953374.5</v>
      </c>
    </row>
    <row r="494" ht="12.0" customHeight="1">
      <c r="A4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94" s="87" t="str">
        <f>IFERROR(__xludf.DUMMYFUNCTION("IFERROR(IF(F494&lt;&gt;"""",""WHSE ""&amp;LEFT(F494,1),REGEXEXTRACT(E494,""-(?:\d{2}-)?([A-Z]+)"")),"""")
"),"WHSE C")</f>
        <v>WHSE C</v>
      </c>
      <c r="C494" s="88">
        <v>46009.0</v>
      </c>
      <c r="D494" s="89" t="s">
        <v>265</v>
      </c>
      <c r="E494" s="90" t="s">
        <v>522</v>
      </c>
      <c r="F494" s="90" t="s">
        <v>523</v>
      </c>
      <c r="G494" s="98" t="s">
        <v>457</v>
      </c>
      <c r="H494" s="92">
        <v>8885.0</v>
      </c>
      <c r="I494" s="99">
        <v>228.0</v>
      </c>
      <c r="J494" s="94">
        <v>11.47</v>
      </c>
      <c r="K494" s="100">
        <v>3.81</v>
      </c>
      <c r="L494" s="100">
        <v>0.565</v>
      </c>
      <c r="M494" s="100">
        <v>0.585</v>
      </c>
      <c r="N494" s="101">
        <v>15.6</v>
      </c>
      <c r="O494" s="94">
        <v>2.99</v>
      </c>
      <c r="P494" s="101">
        <v>81.41</v>
      </c>
      <c r="Q494" s="102"/>
      <c r="R494" s="103">
        <f t="shared" si="1"/>
        <v>101910.95</v>
      </c>
      <c r="S494" s="103">
        <f t="shared" si="2"/>
        <v>33851.85</v>
      </c>
      <c r="T494" s="103">
        <f t="shared" si="3"/>
        <v>5020.025</v>
      </c>
      <c r="U494" s="103">
        <f t="shared" si="4"/>
        <v>5197.725</v>
      </c>
      <c r="V494" s="103">
        <f t="shared" si="5"/>
        <v>138606</v>
      </c>
      <c r="W494" s="103">
        <f t="shared" si="6"/>
        <v>26566.15</v>
      </c>
      <c r="X494" s="103">
        <f t="shared" si="7"/>
        <v>723327.85</v>
      </c>
    </row>
    <row r="495" ht="12.0" customHeight="1">
      <c r="A4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495" s="87" t="str">
        <f>IFERROR(__xludf.DUMMYFUNCTION("IFERROR(IF(F495&lt;&gt;"""",""WHSE ""&amp;LEFT(F495,1),REGEXEXTRACT(E495,""-(?:\d{2}-)?([A-Z]+)"")),"""")
"),"")</f>
        <v/>
      </c>
      <c r="C495" s="106"/>
      <c r="D495" s="102"/>
      <c r="E495" s="104"/>
      <c r="F495" s="104"/>
      <c r="G495" s="91"/>
      <c r="H495" s="107"/>
      <c r="I495" s="93"/>
      <c r="J495" s="97"/>
      <c r="K495" s="95"/>
      <c r="L495" s="95"/>
      <c r="M495" s="95"/>
      <c r="N495" s="96"/>
      <c r="O495" s="97"/>
      <c r="P495" s="96"/>
      <c r="Q495" s="102"/>
      <c r="R495" s="103">
        <f t="shared" si="1"/>
        <v>0</v>
      </c>
      <c r="S495" s="103">
        <f t="shared" si="2"/>
        <v>0</v>
      </c>
      <c r="T495" s="103">
        <f t="shared" si="3"/>
        <v>0</v>
      </c>
      <c r="U495" s="103">
        <f t="shared" si="4"/>
        <v>0</v>
      </c>
      <c r="V495" s="103">
        <f t="shared" si="5"/>
        <v>0</v>
      </c>
      <c r="W495" s="103">
        <f t="shared" si="6"/>
        <v>0</v>
      </c>
      <c r="X495" s="103">
        <f t="shared" si="7"/>
        <v>0</v>
      </c>
    </row>
    <row r="496" ht="12.0" customHeight="1">
      <c r="A4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96" s="87" t="str">
        <f>IFERROR(__xludf.DUMMYFUNCTION("IFERROR(IF(F496&lt;&gt;"""",""WHSE ""&amp;LEFT(F496,1),REGEXEXTRACT(E496,""-(?:\d{2}-)?([A-Z]+)"")),"""")
"),"WHSE A")</f>
        <v>WHSE A</v>
      </c>
      <c r="C496" s="88">
        <v>46010.0</v>
      </c>
      <c r="D496" s="89" t="s">
        <v>72</v>
      </c>
      <c r="E496" s="90" t="s">
        <v>527</v>
      </c>
      <c r="F496" s="90" t="s">
        <v>528</v>
      </c>
      <c r="G496" s="98" t="s">
        <v>73</v>
      </c>
      <c r="H496" s="92">
        <v>18590.0</v>
      </c>
      <c r="I496" s="99">
        <v>443.0</v>
      </c>
      <c r="J496" s="94">
        <v>11.67</v>
      </c>
      <c r="K496" s="100">
        <v>2.32</v>
      </c>
      <c r="L496" s="100">
        <v>0.578</v>
      </c>
      <c r="M496" s="100">
        <v>0.598</v>
      </c>
      <c r="N496" s="101">
        <v>13.08</v>
      </c>
      <c r="O496" s="94">
        <v>3.88</v>
      </c>
      <c r="P496" s="101">
        <v>83.04</v>
      </c>
      <c r="Q496" s="102"/>
      <c r="R496" s="103">
        <f t="shared" si="1"/>
        <v>216945.3</v>
      </c>
      <c r="S496" s="103">
        <f t="shared" si="2"/>
        <v>43128.8</v>
      </c>
      <c r="T496" s="103">
        <f t="shared" si="3"/>
        <v>10745.02</v>
      </c>
      <c r="U496" s="103">
        <f t="shared" si="4"/>
        <v>11116.82</v>
      </c>
      <c r="V496" s="103">
        <f t="shared" si="5"/>
        <v>243157.2</v>
      </c>
      <c r="W496" s="103">
        <f t="shared" si="6"/>
        <v>72129.2</v>
      </c>
      <c r="X496" s="103">
        <f t="shared" si="7"/>
        <v>1543713.6</v>
      </c>
    </row>
    <row r="497" ht="12.0" customHeight="1">
      <c r="A4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97" s="87" t="str">
        <f>IFERROR(__xludf.DUMMYFUNCTION("IFERROR(IF(F497&lt;&gt;"""",""WHSE ""&amp;LEFT(F497,1),REGEXEXTRACT(E497,""-(?:\d{2}-)?([A-Z]+)"")),"""")
"),"WHSE C")</f>
        <v>WHSE C</v>
      </c>
      <c r="C497" s="88">
        <v>46010.0</v>
      </c>
      <c r="D497" s="89" t="s">
        <v>232</v>
      </c>
      <c r="E497" s="90" t="s">
        <v>530</v>
      </c>
      <c r="F497" s="90" t="s">
        <v>531</v>
      </c>
      <c r="G497" s="98" t="s">
        <v>272</v>
      </c>
      <c r="H497" s="92">
        <v>20715.0</v>
      </c>
      <c r="I497" s="99">
        <v>609.0</v>
      </c>
      <c r="J497" s="94">
        <v>10.6</v>
      </c>
      <c r="K497" s="100">
        <v>3.71</v>
      </c>
      <c r="L497" s="100">
        <v>0.559</v>
      </c>
      <c r="M497" s="100">
        <v>0.579</v>
      </c>
      <c r="N497" s="101">
        <v>13.77</v>
      </c>
      <c r="O497" s="94">
        <v>4.12</v>
      </c>
      <c r="P497" s="101">
        <v>82.11</v>
      </c>
      <c r="Q497" s="102"/>
      <c r="R497" s="103">
        <f t="shared" si="1"/>
        <v>219579</v>
      </c>
      <c r="S497" s="103">
        <f t="shared" si="2"/>
        <v>76852.65</v>
      </c>
      <c r="T497" s="103">
        <f t="shared" si="3"/>
        <v>11579.685</v>
      </c>
      <c r="U497" s="103">
        <f t="shared" si="4"/>
        <v>11993.985</v>
      </c>
      <c r="V497" s="103">
        <f t="shared" si="5"/>
        <v>285245.55</v>
      </c>
      <c r="W497" s="103">
        <f t="shared" si="6"/>
        <v>85345.8</v>
      </c>
      <c r="X497" s="103">
        <f t="shared" si="7"/>
        <v>1700908.65</v>
      </c>
    </row>
    <row r="498" ht="12.0" customHeight="1">
      <c r="A4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98" s="87" t="str">
        <f>IFERROR(__xludf.DUMMYFUNCTION("IFERROR(IF(F498&lt;&gt;"""",""WHSE ""&amp;LEFT(F498,1),REGEXEXTRACT(E498,""-(?:\d{2}-)?([A-Z]+)"")),"""")
"),"WHSE C")</f>
        <v>WHSE C</v>
      </c>
      <c r="C498" s="88">
        <v>46010.0</v>
      </c>
      <c r="D498" s="89" t="s">
        <v>232</v>
      </c>
      <c r="E498" s="90" t="s">
        <v>530</v>
      </c>
      <c r="F498" s="90" t="s">
        <v>531</v>
      </c>
      <c r="G498" s="98" t="s">
        <v>532</v>
      </c>
      <c r="H498" s="92">
        <v>9040.0</v>
      </c>
      <c r="I498" s="99">
        <v>280.0</v>
      </c>
      <c r="J498" s="94">
        <v>9.47</v>
      </c>
      <c r="K498" s="100">
        <v>3.61</v>
      </c>
      <c r="L498" s="100">
        <v>0.571</v>
      </c>
      <c r="M498" s="100">
        <v>0.591</v>
      </c>
      <c r="N498" s="101">
        <v>14.95</v>
      </c>
      <c r="O498" s="94">
        <v>2.8</v>
      </c>
      <c r="P498" s="101">
        <v>82.25</v>
      </c>
      <c r="Q498" s="102"/>
      <c r="R498" s="103">
        <f t="shared" si="1"/>
        <v>85608.8</v>
      </c>
      <c r="S498" s="103">
        <f t="shared" si="2"/>
        <v>32634.4</v>
      </c>
      <c r="T498" s="103">
        <f t="shared" si="3"/>
        <v>5161.84</v>
      </c>
      <c r="U498" s="103">
        <f t="shared" si="4"/>
        <v>5342.64</v>
      </c>
      <c r="V498" s="103">
        <f t="shared" si="5"/>
        <v>135148</v>
      </c>
      <c r="W498" s="103">
        <f t="shared" si="6"/>
        <v>25312</v>
      </c>
      <c r="X498" s="103">
        <f t="shared" si="7"/>
        <v>743540</v>
      </c>
    </row>
    <row r="499" ht="12.0" customHeight="1">
      <c r="A4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499" s="87" t="str">
        <f>IFERROR(__xludf.DUMMYFUNCTION("IFERROR(IF(F499&lt;&gt;"""",""WHSE ""&amp;LEFT(F499,1),REGEXEXTRACT(E499,""-(?:\d{2}-)?([A-Z]+)"")),"""")
"),"FEED")</f>
        <v>FEED</v>
      </c>
      <c r="C499" s="88">
        <v>46011.0</v>
      </c>
      <c r="D499" s="89" t="s">
        <v>72</v>
      </c>
      <c r="E499" s="90" t="s">
        <v>533</v>
      </c>
      <c r="F499" s="104"/>
      <c r="G499" s="98" t="s">
        <v>77</v>
      </c>
      <c r="H499" s="92">
        <v>18285.0</v>
      </c>
      <c r="I499" s="99">
        <v>436.0</v>
      </c>
      <c r="J499" s="94">
        <v>11.74</v>
      </c>
      <c r="K499" s="100">
        <v>2.44</v>
      </c>
      <c r="L499" s="100">
        <v>0.575</v>
      </c>
      <c r="M499" s="100">
        <v>0.595</v>
      </c>
      <c r="N499" s="101">
        <v>12.28</v>
      </c>
      <c r="O499" s="94">
        <v>3.91</v>
      </c>
      <c r="P499" s="101">
        <v>83.81</v>
      </c>
      <c r="Q499" s="102"/>
      <c r="R499" s="103">
        <f t="shared" si="1"/>
        <v>214665.9</v>
      </c>
      <c r="S499" s="103">
        <f t="shared" si="2"/>
        <v>44615.4</v>
      </c>
      <c r="T499" s="103">
        <f t="shared" si="3"/>
        <v>10513.875</v>
      </c>
      <c r="U499" s="103">
        <f t="shared" si="4"/>
        <v>10879.575</v>
      </c>
      <c r="V499" s="103">
        <f t="shared" si="5"/>
        <v>224539.8</v>
      </c>
      <c r="W499" s="103">
        <f t="shared" si="6"/>
        <v>71494.35</v>
      </c>
      <c r="X499" s="103">
        <f t="shared" si="7"/>
        <v>1532465.85</v>
      </c>
    </row>
    <row r="500" ht="12.0" customHeight="1">
      <c r="A5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00" s="87" t="str">
        <f>IFERROR(__xludf.DUMMYFUNCTION("IFERROR(IF(F500&lt;&gt;"""",""WHSE ""&amp;LEFT(F500,1),REGEXEXTRACT(E500,""-(?:\d{2}-)?([A-Z]+)"")),"""")
"),"")</f>
        <v/>
      </c>
      <c r="C500" s="106"/>
      <c r="D500" s="102"/>
      <c r="E500" s="104"/>
      <c r="F500" s="104"/>
      <c r="G500" s="91"/>
      <c r="H500" s="107"/>
      <c r="I500" s="93"/>
      <c r="J500" s="97"/>
      <c r="K500" s="95"/>
      <c r="L500" s="95"/>
      <c r="M500" s="95"/>
      <c r="N500" s="96"/>
      <c r="O500" s="97"/>
      <c r="P500" s="96"/>
      <c r="Q500" s="102"/>
      <c r="R500" s="103">
        <f t="shared" si="1"/>
        <v>0</v>
      </c>
      <c r="S500" s="103">
        <f t="shared" si="2"/>
        <v>0</v>
      </c>
      <c r="T500" s="103">
        <f t="shared" si="3"/>
        <v>0</v>
      </c>
      <c r="U500" s="103">
        <f t="shared" si="4"/>
        <v>0</v>
      </c>
      <c r="V500" s="103">
        <f t="shared" si="5"/>
        <v>0</v>
      </c>
      <c r="W500" s="103">
        <f t="shared" si="6"/>
        <v>0</v>
      </c>
      <c r="X500" s="103">
        <f t="shared" si="7"/>
        <v>0</v>
      </c>
    </row>
    <row r="501" ht="12.0" customHeight="1">
      <c r="A5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01" s="87" t="str">
        <f>IFERROR(__xludf.DUMMYFUNCTION("IFERROR(IF(F501&lt;&gt;"""",""WHSE ""&amp;LEFT(F501,1),REGEXEXTRACT(E501,""-(?:\d{2}-)?([A-Z]+)"")),"""")
"),"WHSE D")</f>
        <v>WHSE D</v>
      </c>
      <c r="C501" s="88">
        <v>46013.0</v>
      </c>
      <c r="D501" s="89" t="s">
        <v>72</v>
      </c>
      <c r="E501" s="90" t="s">
        <v>534</v>
      </c>
      <c r="F501" s="90" t="s">
        <v>535</v>
      </c>
      <c r="G501" s="98" t="s">
        <v>512</v>
      </c>
      <c r="H501" s="92">
        <v>21710.0</v>
      </c>
      <c r="I501" s="99">
        <v>516.0</v>
      </c>
      <c r="J501" s="94">
        <v>11.6</v>
      </c>
      <c r="K501" s="100">
        <v>2.71</v>
      </c>
      <c r="L501" s="100">
        <v>0.578</v>
      </c>
      <c r="M501" s="100">
        <v>0.598</v>
      </c>
      <c r="N501" s="101">
        <v>12.61</v>
      </c>
      <c r="O501" s="94">
        <v>3.4</v>
      </c>
      <c r="P501" s="101">
        <v>83.99</v>
      </c>
      <c r="Q501" s="102"/>
      <c r="R501" s="103">
        <f t="shared" si="1"/>
        <v>251836</v>
      </c>
      <c r="S501" s="103">
        <f t="shared" si="2"/>
        <v>58834.1</v>
      </c>
      <c r="T501" s="103">
        <f t="shared" si="3"/>
        <v>12548.38</v>
      </c>
      <c r="U501" s="103">
        <f t="shared" si="4"/>
        <v>12982.58</v>
      </c>
      <c r="V501" s="103">
        <f t="shared" si="5"/>
        <v>273763.1</v>
      </c>
      <c r="W501" s="103">
        <f t="shared" si="6"/>
        <v>73814</v>
      </c>
      <c r="X501" s="103">
        <f t="shared" si="7"/>
        <v>1823422.9</v>
      </c>
    </row>
    <row r="502" ht="12.0" customHeight="1">
      <c r="A5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02" s="87" t="str">
        <f>IFERROR(__xludf.DUMMYFUNCTION("IFERROR(IF(F502&lt;&gt;"""",""WHSE ""&amp;LEFT(F502,1),REGEXEXTRACT(E502,""-(?:\d{2}-)?([A-Z]+)"")),"""")
"),"WHSE D")</f>
        <v>WHSE D</v>
      </c>
      <c r="C502" s="88">
        <v>46013.0</v>
      </c>
      <c r="D502" s="89" t="s">
        <v>432</v>
      </c>
      <c r="E502" s="90" t="s">
        <v>502</v>
      </c>
      <c r="F502" s="90" t="s">
        <v>503</v>
      </c>
      <c r="G502" s="98" t="s">
        <v>433</v>
      </c>
      <c r="H502" s="92">
        <v>17276.0</v>
      </c>
      <c r="I502" s="99">
        <v>448.0</v>
      </c>
      <c r="J502" s="94">
        <v>13.0</v>
      </c>
      <c r="K502" s="100">
        <v>2.77</v>
      </c>
      <c r="L502" s="100">
        <v>0.571</v>
      </c>
      <c r="M502" s="100">
        <v>0.591</v>
      </c>
      <c r="N502" s="101">
        <v>11.54</v>
      </c>
      <c r="O502" s="94">
        <v>3.92</v>
      </c>
      <c r="P502" s="101">
        <v>84.54</v>
      </c>
      <c r="Q502" s="89" t="s">
        <v>536</v>
      </c>
      <c r="R502" s="86">
        <f t="shared" si="1"/>
        <v>224588</v>
      </c>
      <c r="S502" s="86">
        <f t="shared" si="2"/>
        <v>47854.52</v>
      </c>
      <c r="T502" s="86">
        <f t="shared" si="3"/>
        <v>9864.596</v>
      </c>
      <c r="U502" s="86">
        <f t="shared" si="4"/>
        <v>10210.116</v>
      </c>
      <c r="V502" s="86">
        <f t="shared" si="5"/>
        <v>199365.04</v>
      </c>
      <c r="W502" s="86">
        <f t="shared" si="6"/>
        <v>67721.92</v>
      </c>
      <c r="X502" s="86">
        <f t="shared" si="7"/>
        <v>1460513.04</v>
      </c>
    </row>
    <row r="503" ht="12.0" customHeight="1">
      <c r="A5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03" s="87" t="str">
        <f>IFERROR(__xludf.DUMMYFUNCTION("IFERROR(IF(F503&lt;&gt;"""",""WHSE ""&amp;LEFT(F503,1),REGEXEXTRACT(E503,""-(?:\d{2}-)?([A-Z]+)"")),"""")
"),"WHSE D")</f>
        <v>WHSE D</v>
      </c>
      <c r="C503" s="88">
        <v>46013.0</v>
      </c>
      <c r="D503" s="89" t="s">
        <v>70</v>
      </c>
      <c r="E503" s="90" t="s">
        <v>435</v>
      </c>
      <c r="F503" s="90" t="s">
        <v>436</v>
      </c>
      <c r="G503" s="98" t="s">
        <v>537</v>
      </c>
      <c r="H503" s="92">
        <v>9692.0</v>
      </c>
      <c r="I503" s="99">
        <v>253.0</v>
      </c>
      <c r="J503" s="94">
        <v>14.2</v>
      </c>
      <c r="K503" s="100">
        <v>2.18</v>
      </c>
      <c r="L503" s="100">
        <v>0.585</v>
      </c>
      <c r="M503" s="100">
        <v>0.605</v>
      </c>
      <c r="N503" s="101">
        <v>14.66</v>
      </c>
      <c r="O503" s="94">
        <v>2.57</v>
      </c>
      <c r="P503" s="101">
        <v>82.77</v>
      </c>
      <c r="Q503" s="89" t="s">
        <v>538</v>
      </c>
      <c r="R503" s="86">
        <f t="shared" si="1"/>
        <v>137626.4</v>
      </c>
      <c r="S503" s="86">
        <f t="shared" si="2"/>
        <v>21128.56</v>
      </c>
      <c r="T503" s="86">
        <f t="shared" si="3"/>
        <v>5669.82</v>
      </c>
      <c r="U503" s="86">
        <f t="shared" si="4"/>
        <v>5863.66</v>
      </c>
      <c r="V503" s="86">
        <f t="shared" si="5"/>
        <v>142084.72</v>
      </c>
      <c r="W503" s="86">
        <f t="shared" si="6"/>
        <v>24908.44</v>
      </c>
      <c r="X503" s="86">
        <f t="shared" si="7"/>
        <v>802206.84</v>
      </c>
    </row>
    <row r="504" ht="12.0" customHeight="1">
      <c r="A5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04" s="87" t="str">
        <f>IFERROR(__xludf.DUMMYFUNCTION("IFERROR(IF(F504&lt;&gt;"""",""WHSE ""&amp;LEFT(F504,1),REGEXEXTRACT(E504,""-(?:\d{2}-)?([A-Z]+)"")),"""")
"),"WHSE D")</f>
        <v>WHSE D</v>
      </c>
      <c r="C504" s="88">
        <v>46013.0</v>
      </c>
      <c r="D504" s="89" t="s">
        <v>60</v>
      </c>
      <c r="E504" s="90" t="s">
        <v>478</v>
      </c>
      <c r="F504" s="90" t="s">
        <v>479</v>
      </c>
      <c r="G504" s="98" t="s">
        <v>63</v>
      </c>
      <c r="H504" s="92">
        <v>15257.0</v>
      </c>
      <c r="I504" s="99">
        <v>312.0</v>
      </c>
      <c r="J504" s="94">
        <v>14.07</v>
      </c>
      <c r="K504" s="100">
        <v>2.73</v>
      </c>
      <c r="L504" s="100">
        <v>0.568</v>
      </c>
      <c r="M504" s="100">
        <v>0.588</v>
      </c>
      <c r="N504" s="101">
        <v>11.78</v>
      </c>
      <c r="O504" s="94">
        <v>3.55</v>
      </c>
      <c r="P504" s="101">
        <v>84.67</v>
      </c>
      <c r="Q504" s="89" t="s">
        <v>539</v>
      </c>
      <c r="R504" s="86">
        <f t="shared" si="1"/>
        <v>214665.99</v>
      </c>
      <c r="S504" s="86">
        <f t="shared" si="2"/>
        <v>41651.61</v>
      </c>
      <c r="T504" s="86">
        <f t="shared" si="3"/>
        <v>8665.976</v>
      </c>
      <c r="U504" s="86">
        <f t="shared" si="4"/>
        <v>8971.116</v>
      </c>
      <c r="V504" s="86">
        <f t="shared" si="5"/>
        <v>179727.46</v>
      </c>
      <c r="W504" s="86">
        <f t="shared" si="6"/>
        <v>54162.35</v>
      </c>
      <c r="X504" s="86">
        <f t="shared" si="7"/>
        <v>1291810.19</v>
      </c>
    </row>
    <row r="505" ht="12.0" customHeight="1">
      <c r="A5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05" s="87" t="str">
        <f>IFERROR(__xludf.DUMMYFUNCTION("IFERROR(IF(F505&lt;&gt;"""",""WHSE ""&amp;LEFT(F505,1),REGEXEXTRACT(E505,""-(?:\d{2}-)?([A-Z]+)"")),"""")
"),"WHSE C")</f>
        <v>WHSE C</v>
      </c>
      <c r="C505" s="88">
        <v>46013.0</v>
      </c>
      <c r="D505" s="89" t="s">
        <v>232</v>
      </c>
      <c r="E505" s="90" t="s">
        <v>530</v>
      </c>
      <c r="F505" s="90" t="s">
        <v>531</v>
      </c>
      <c r="G505" s="98" t="s">
        <v>235</v>
      </c>
      <c r="H505" s="92">
        <v>11585.0</v>
      </c>
      <c r="I505" s="99">
        <v>383.0</v>
      </c>
      <c r="J505" s="94">
        <v>9.2</v>
      </c>
      <c r="K505" s="100">
        <v>3.11</v>
      </c>
      <c r="L505" s="100">
        <v>0.581</v>
      </c>
      <c r="M505" s="100">
        <v>0.601</v>
      </c>
      <c r="N505" s="101">
        <v>13.44</v>
      </c>
      <c r="O505" s="94">
        <v>2.91</v>
      </c>
      <c r="P505" s="101">
        <v>83.65</v>
      </c>
      <c r="Q505" s="102"/>
      <c r="R505" s="103">
        <f t="shared" si="1"/>
        <v>106582</v>
      </c>
      <c r="S505" s="103">
        <f t="shared" si="2"/>
        <v>36029.35</v>
      </c>
      <c r="T505" s="103">
        <f t="shared" si="3"/>
        <v>6730.885</v>
      </c>
      <c r="U505" s="103">
        <f t="shared" si="4"/>
        <v>6962.585</v>
      </c>
      <c r="V505" s="103">
        <f t="shared" si="5"/>
        <v>155702.4</v>
      </c>
      <c r="W505" s="103">
        <f t="shared" si="6"/>
        <v>33712.35</v>
      </c>
      <c r="X505" s="103">
        <f t="shared" si="7"/>
        <v>969085.25</v>
      </c>
    </row>
    <row r="506" ht="12.0" customHeight="1">
      <c r="A5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06" s="87" t="str">
        <f>IFERROR(__xludf.DUMMYFUNCTION("IFERROR(IF(F506&lt;&gt;"""",""WHSE ""&amp;LEFT(F506,1),REGEXEXTRACT(E506,""-(?:\d{2}-)?([A-Z]+)"")),"""")
"),"WHSE C")</f>
        <v>WHSE C</v>
      </c>
      <c r="C506" s="88">
        <v>46013.0</v>
      </c>
      <c r="D506" s="89" t="s">
        <v>265</v>
      </c>
      <c r="E506" s="90" t="s">
        <v>530</v>
      </c>
      <c r="F506" s="90" t="s">
        <v>531</v>
      </c>
      <c r="G506" s="98" t="s">
        <v>334</v>
      </c>
      <c r="H506" s="92">
        <v>6380.0</v>
      </c>
      <c r="I506" s="99">
        <v>180.0</v>
      </c>
      <c r="J506" s="94">
        <v>8.8</v>
      </c>
      <c r="K506" s="100">
        <v>3.61</v>
      </c>
      <c r="L506" s="100">
        <v>0.562</v>
      </c>
      <c r="M506" s="100">
        <v>0.582</v>
      </c>
      <c r="N506" s="101">
        <v>13.72</v>
      </c>
      <c r="O506" s="94">
        <v>3.17</v>
      </c>
      <c r="P506" s="101">
        <v>83.11</v>
      </c>
      <c r="Q506" s="102"/>
      <c r="R506" s="103">
        <f t="shared" si="1"/>
        <v>56144</v>
      </c>
      <c r="S506" s="103">
        <f t="shared" si="2"/>
        <v>23031.8</v>
      </c>
      <c r="T506" s="103">
        <f t="shared" si="3"/>
        <v>3585.56</v>
      </c>
      <c r="U506" s="103">
        <f t="shared" si="4"/>
        <v>3713.16</v>
      </c>
      <c r="V506" s="103">
        <f t="shared" si="5"/>
        <v>87533.6</v>
      </c>
      <c r="W506" s="103">
        <f t="shared" si="6"/>
        <v>20224.6</v>
      </c>
      <c r="X506" s="103">
        <f t="shared" si="7"/>
        <v>530241.8</v>
      </c>
    </row>
    <row r="507" ht="12.0" customHeight="1">
      <c r="A5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07" s="87" t="str">
        <f>IFERROR(__xludf.DUMMYFUNCTION("IFERROR(IF(F507&lt;&gt;"""",""WHSE ""&amp;LEFT(F507,1),REGEXEXTRACT(E507,""-(?:\d{2}-)?([A-Z]+)"")),"""")
"),"WHSE C")</f>
        <v>WHSE C</v>
      </c>
      <c r="C507" s="88">
        <v>46013.0</v>
      </c>
      <c r="D507" s="89" t="s">
        <v>232</v>
      </c>
      <c r="E507" s="90" t="s">
        <v>540</v>
      </c>
      <c r="F507" s="90" t="s">
        <v>541</v>
      </c>
      <c r="G507" s="98" t="s">
        <v>272</v>
      </c>
      <c r="H507" s="92">
        <v>20965.0</v>
      </c>
      <c r="I507" s="99">
        <v>668.0</v>
      </c>
      <c r="J507" s="94">
        <v>10.2</v>
      </c>
      <c r="K507" s="100">
        <v>3.14</v>
      </c>
      <c r="L507" s="100">
        <v>0.546</v>
      </c>
      <c r="M507" s="100">
        <v>0.566</v>
      </c>
      <c r="N507" s="101">
        <v>11.78</v>
      </c>
      <c r="O507" s="94">
        <v>3.84</v>
      </c>
      <c r="P507" s="101">
        <v>84.38</v>
      </c>
      <c r="Q507" s="102"/>
      <c r="R507" s="103">
        <f t="shared" si="1"/>
        <v>213843</v>
      </c>
      <c r="S507" s="103">
        <f t="shared" si="2"/>
        <v>65830.1</v>
      </c>
      <c r="T507" s="103">
        <f t="shared" si="3"/>
        <v>11446.89</v>
      </c>
      <c r="U507" s="103">
        <f t="shared" si="4"/>
        <v>11866.19</v>
      </c>
      <c r="V507" s="103">
        <f t="shared" si="5"/>
        <v>246967.7</v>
      </c>
      <c r="W507" s="103">
        <f t="shared" si="6"/>
        <v>80505.6</v>
      </c>
      <c r="X507" s="103">
        <f t="shared" si="7"/>
        <v>1769026.7</v>
      </c>
    </row>
    <row r="508" ht="12.0" customHeight="1">
      <c r="A5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08" s="87" t="str">
        <f>IFERROR(__xludf.DUMMYFUNCTION("IFERROR(IF(F508&lt;&gt;"""",""WHSE ""&amp;LEFT(F508,1),REGEXEXTRACT(E508,""-(?:\d{2}-)?([A-Z]+)"")),"""")
"),"WHSE C")</f>
        <v>WHSE C</v>
      </c>
      <c r="C508" s="88">
        <v>46013.0</v>
      </c>
      <c r="D508" s="89" t="s">
        <v>265</v>
      </c>
      <c r="E508" s="90" t="s">
        <v>540</v>
      </c>
      <c r="F508" s="90" t="s">
        <v>541</v>
      </c>
      <c r="G508" s="98" t="s">
        <v>457</v>
      </c>
      <c r="H508" s="92">
        <v>9050.0</v>
      </c>
      <c r="I508" s="99">
        <v>266.0</v>
      </c>
      <c r="J508" s="94">
        <v>9.87</v>
      </c>
      <c r="K508" s="100">
        <v>3.71</v>
      </c>
      <c r="L508" s="100">
        <v>0.565</v>
      </c>
      <c r="M508" s="100">
        <v>0.585</v>
      </c>
      <c r="N508" s="101">
        <v>14.83</v>
      </c>
      <c r="O508" s="94">
        <v>2.44</v>
      </c>
      <c r="P508" s="101">
        <v>82.73</v>
      </c>
      <c r="Q508" s="102"/>
      <c r="R508" s="103">
        <f t="shared" si="1"/>
        <v>89323.5</v>
      </c>
      <c r="S508" s="103">
        <f t="shared" si="2"/>
        <v>33575.5</v>
      </c>
      <c r="T508" s="103">
        <f t="shared" si="3"/>
        <v>5113.25</v>
      </c>
      <c r="U508" s="103">
        <f t="shared" si="4"/>
        <v>5294.25</v>
      </c>
      <c r="V508" s="103">
        <f t="shared" si="5"/>
        <v>134211.5</v>
      </c>
      <c r="W508" s="103">
        <f t="shared" si="6"/>
        <v>22082</v>
      </c>
      <c r="X508" s="103">
        <f t="shared" si="7"/>
        <v>748706.5</v>
      </c>
    </row>
    <row r="509" ht="12.0" customHeight="1">
      <c r="A5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09" s="87" t="str">
        <f>IFERROR(__xludf.DUMMYFUNCTION("IFERROR(IF(F509&lt;&gt;"""",""WHSE ""&amp;LEFT(F509,1),REGEXEXTRACT(E509,""-(?:\d{2}-)?([A-Z]+)"")),"""")
"),"")</f>
        <v/>
      </c>
      <c r="C509" s="106"/>
      <c r="D509" s="102"/>
      <c r="E509" s="104"/>
      <c r="F509" s="104"/>
      <c r="G509" s="91"/>
      <c r="H509" s="107"/>
      <c r="I509" s="93"/>
      <c r="J509" s="97"/>
      <c r="K509" s="95"/>
      <c r="L509" s="95"/>
      <c r="M509" s="95"/>
      <c r="N509" s="96"/>
      <c r="O509" s="97"/>
      <c r="P509" s="96"/>
      <c r="Q509" s="102"/>
      <c r="R509" s="103">
        <f t="shared" si="1"/>
        <v>0</v>
      </c>
      <c r="S509" s="103">
        <f t="shared" si="2"/>
        <v>0</v>
      </c>
      <c r="T509" s="103">
        <f t="shared" si="3"/>
        <v>0</v>
      </c>
      <c r="U509" s="103">
        <f t="shared" si="4"/>
        <v>0</v>
      </c>
      <c r="V509" s="103">
        <f t="shared" si="5"/>
        <v>0</v>
      </c>
      <c r="W509" s="103">
        <f t="shared" si="6"/>
        <v>0</v>
      </c>
      <c r="X509" s="103">
        <f t="shared" si="7"/>
        <v>0</v>
      </c>
    </row>
    <row r="510" ht="12.0" customHeight="1">
      <c r="A5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10" s="87" t="str">
        <f>IFERROR(__xludf.DUMMYFUNCTION("IFERROR(IF(F510&lt;&gt;"""",""WHSE ""&amp;LEFT(F510,1),REGEXEXTRACT(E510,""-(?:\d{2}-)?([A-Z]+)"")),"""")
"),"WHSE D")</f>
        <v>WHSE D</v>
      </c>
      <c r="C510" s="88">
        <v>46014.0</v>
      </c>
      <c r="D510" s="89" t="s">
        <v>72</v>
      </c>
      <c r="E510" s="90" t="s">
        <v>534</v>
      </c>
      <c r="F510" s="90" t="s">
        <v>535</v>
      </c>
      <c r="G510" s="98" t="s">
        <v>73</v>
      </c>
      <c r="H510" s="92">
        <v>18060.0</v>
      </c>
      <c r="I510" s="99">
        <v>454.0</v>
      </c>
      <c r="J510" s="94">
        <v>11.54</v>
      </c>
      <c r="K510" s="100">
        <v>2.77</v>
      </c>
      <c r="L510" s="100">
        <v>0.571</v>
      </c>
      <c r="M510" s="100">
        <v>0.591</v>
      </c>
      <c r="N510" s="101">
        <v>13.16</v>
      </c>
      <c r="O510" s="94">
        <v>3.59</v>
      </c>
      <c r="P510" s="101">
        <v>83.25</v>
      </c>
      <c r="Q510" s="102"/>
      <c r="R510" s="103">
        <f t="shared" si="1"/>
        <v>208412.4</v>
      </c>
      <c r="S510" s="103">
        <f t="shared" si="2"/>
        <v>50026.2</v>
      </c>
      <c r="T510" s="103">
        <f t="shared" si="3"/>
        <v>10312.26</v>
      </c>
      <c r="U510" s="103">
        <f t="shared" si="4"/>
        <v>10673.46</v>
      </c>
      <c r="V510" s="103">
        <f t="shared" si="5"/>
        <v>237669.6</v>
      </c>
      <c r="W510" s="103">
        <f t="shared" si="6"/>
        <v>64835.4</v>
      </c>
      <c r="X510" s="103">
        <f t="shared" si="7"/>
        <v>1503495</v>
      </c>
    </row>
    <row r="511" ht="12.0" customHeight="1">
      <c r="A5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11" s="87" t="str">
        <f>IFERROR(__xludf.DUMMYFUNCTION("IFERROR(IF(F511&lt;&gt;"""",""WHSE ""&amp;LEFT(F511,1),REGEXEXTRACT(E511,""-(?:\d{2}-)?([A-Z]+)"")),"""")
"),"FEED")</f>
        <v>FEED</v>
      </c>
      <c r="C511" s="88">
        <v>46014.0</v>
      </c>
      <c r="D511" s="89" t="s">
        <v>286</v>
      </c>
      <c r="E511" s="90" t="s">
        <v>542</v>
      </c>
      <c r="F511" s="104"/>
      <c r="G511" s="98" t="s">
        <v>77</v>
      </c>
      <c r="H511" s="92">
        <v>16155.0</v>
      </c>
      <c r="I511" s="99">
        <v>445.0</v>
      </c>
      <c r="J511" s="94">
        <v>11.27</v>
      </c>
      <c r="K511" s="100">
        <v>3.81</v>
      </c>
      <c r="L511" s="100">
        <v>0.575</v>
      </c>
      <c r="M511" s="100">
        <v>0.595</v>
      </c>
      <c r="N511" s="101">
        <v>14.04</v>
      </c>
      <c r="O511" s="94">
        <v>2.79</v>
      </c>
      <c r="P511" s="101">
        <v>83.17</v>
      </c>
      <c r="Q511" s="102"/>
      <c r="R511" s="103">
        <f t="shared" si="1"/>
        <v>182066.85</v>
      </c>
      <c r="S511" s="103">
        <f t="shared" si="2"/>
        <v>61550.55</v>
      </c>
      <c r="T511" s="103">
        <f t="shared" si="3"/>
        <v>9289.125</v>
      </c>
      <c r="U511" s="103">
        <f t="shared" si="4"/>
        <v>9612.225</v>
      </c>
      <c r="V511" s="103">
        <f t="shared" si="5"/>
        <v>226816.2</v>
      </c>
      <c r="W511" s="103">
        <f t="shared" si="6"/>
        <v>45072.45</v>
      </c>
      <c r="X511" s="103">
        <f t="shared" si="7"/>
        <v>1343611.35</v>
      </c>
    </row>
    <row r="512" ht="12.0" customHeight="1">
      <c r="A5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12" s="87" t="str">
        <f>IFERROR(__xludf.DUMMYFUNCTION("IFERROR(IF(F512&lt;&gt;"""",""WHSE ""&amp;LEFT(F512,1),REGEXEXTRACT(E512,""-(?:\d{2}-)?([A-Z]+)"")),"""")
"),"WHSE D")</f>
        <v>WHSE D</v>
      </c>
      <c r="C512" s="88">
        <v>46014.0</v>
      </c>
      <c r="D512" s="89" t="s">
        <v>232</v>
      </c>
      <c r="E512" s="90" t="s">
        <v>543</v>
      </c>
      <c r="F512" s="90" t="s">
        <v>544</v>
      </c>
      <c r="G512" s="98" t="s">
        <v>545</v>
      </c>
      <c r="H512" s="92">
        <v>25538.0</v>
      </c>
      <c r="I512" s="99">
        <v>560.0</v>
      </c>
      <c r="J512" s="94">
        <v>20.14</v>
      </c>
      <c r="K512" s="100">
        <v>3.6</v>
      </c>
      <c r="L512" s="100">
        <v>0.562</v>
      </c>
      <c r="M512" s="100">
        <v>0.582</v>
      </c>
      <c r="N512" s="101">
        <v>11.78</v>
      </c>
      <c r="O512" s="94">
        <v>6.09</v>
      </c>
      <c r="P512" s="101">
        <v>82.13</v>
      </c>
      <c r="Q512" s="89" t="s">
        <v>546</v>
      </c>
      <c r="R512" s="86">
        <f t="shared" si="1"/>
        <v>514335.32</v>
      </c>
      <c r="S512" s="86">
        <f t="shared" si="2"/>
        <v>91936.8</v>
      </c>
      <c r="T512" s="86">
        <f t="shared" si="3"/>
        <v>14352.356</v>
      </c>
      <c r="U512" s="86">
        <f t="shared" si="4"/>
        <v>14863.116</v>
      </c>
      <c r="V512" s="86">
        <f t="shared" si="5"/>
        <v>300837.64</v>
      </c>
      <c r="W512" s="86">
        <f t="shared" si="6"/>
        <v>155526.42</v>
      </c>
      <c r="X512" s="86">
        <f t="shared" si="7"/>
        <v>2097435.94</v>
      </c>
    </row>
    <row r="513" ht="12.0" customHeight="1">
      <c r="A5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13" s="87" t="str">
        <f>IFERROR(__xludf.DUMMYFUNCTION("IFERROR(IF(F513&lt;&gt;"""",""WHSE ""&amp;LEFT(F513,1),REGEXEXTRACT(E513,""-(?:\d{2}-)?([A-Z]+)"")),"""")
"),"")</f>
        <v/>
      </c>
      <c r="C513" s="108"/>
      <c r="D513" s="109"/>
      <c r="E513" s="110"/>
      <c r="F513" s="110"/>
      <c r="G513" s="111"/>
      <c r="H513" s="112"/>
      <c r="I513" s="113"/>
      <c r="J513" s="114"/>
      <c r="K513" s="115"/>
      <c r="L513" s="115"/>
      <c r="M513" s="115"/>
      <c r="N513" s="116"/>
      <c r="O513" s="114"/>
      <c r="P513" s="116"/>
      <c r="Q513" s="109"/>
      <c r="R513" s="103">
        <f t="shared" si="1"/>
        <v>0</v>
      </c>
      <c r="S513" s="103">
        <f t="shared" si="2"/>
        <v>0</v>
      </c>
      <c r="T513" s="103">
        <f t="shared" si="3"/>
        <v>0</v>
      </c>
      <c r="U513" s="103">
        <f t="shared" si="4"/>
        <v>0</v>
      </c>
      <c r="V513" s="103">
        <f t="shared" si="5"/>
        <v>0</v>
      </c>
      <c r="W513" s="103">
        <f t="shared" si="6"/>
        <v>0</v>
      </c>
      <c r="X513" s="103">
        <f t="shared" si="7"/>
        <v>0</v>
      </c>
    </row>
    <row r="514" ht="12.0" customHeight="1">
      <c r="A5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14" s="87" t="str">
        <f>IFERROR(__xludf.DUMMYFUNCTION("IFERROR(IF(F514&lt;&gt;"""",""WHSE ""&amp;LEFT(F514,1),REGEXEXTRACT(E514,""-(?:\d{2}-)?([A-Z]+)"")),"""")
"),"WHSE C")</f>
        <v>WHSE C</v>
      </c>
      <c r="C514" s="117">
        <v>46017.0</v>
      </c>
      <c r="D514" s="118" t="s">
        <v>232</v>
      </c>
      <c r="E514" s="87" t="s">
        <v>540</v>
      </c>
      <c r="F514" s="87" t="s">
        <v>541</v>
      </c>
      <c r="G514" s="119" t="s">
        <v>272</v>
      </c>
      <c r="H514" s="120">
        <v>21975.0</v>
      </c>
      <c r="I514" s="121">
        <v>620.0</v>
      </c>
      <c r="J514" s="122">
        <v>10.34</v>
      </c>
      <c r="K514" s="123">
        <v>2.55</v>
      </c>
      <c r="L514" s="123">
        <v>0.578</v>
      </c>
      <c r="M514" s="123">
        <v>0.598</v>
      </c>
      <c r="N514" s="124">
        <v>12.8</v>
      </c>
      <c r="O514" s="122">
        <v>3.77</v>
      </c>
      <c r="P514" s="124">
        <v>83.43</v>
      </c>
      <c r="Q514" s="109"/>
      <c r="R514" s="103">
        <f t="shared" si="1"/>
        <v>227221.5</v>
      </c>
      <c r="S514" s="103">
        <f t="shared" si="2"/>
        <v>56036.25</v>
      </c>
      <c r="T514" s="103">
        <f t="shared" si="3"/>
        <v>12701.55</v>
      </c>
      <c r="U514" s="103">
        <f t="shared" si="4"/>
        <v>13141.05</v>
      </c>
      <c r="V514" s="103">
        <f t="shared" si="5"/>
        <v>281280</v>
      </c>
      <c r="W514" s="103">
        <f t="shared" si="6"/>
        <v>82845.75</v>
      </c>
      <c r="X514" s="103">
        <f t="shared" si="7"/>
        <v>1833374.25</v>
      </c>
    </row>
    <row r="515" ht="12.0" customHeight="1">
      <c r="A5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15" s="87" t="str">
        <f>IFERROR(__xludf.DUMMYFUNCTION("IFERROR(IF(F515&lt;&gt;"""",""WHSE ""&amp;LEFT(F515,1),REGEXEXTRACT(E515,""-(?:\d{2}-)?([A-Z]+)"")),"""")
"),"WHSE D")</f>
        <v>WHSE D</v>
      </c>
      <c r="C515" s="117">
        <v>46017.0</v>
      </c>
      <c r="D515" s="118" t="s">
        <v>64</v>
      </c>
      <c r="E515" s="87" t="s">
        <v>517</v>
      </c>
      <c r="F515" s="87" t="s">
        <v>518</v>
      </c>
      <c r="G515" s="119" t="s">
        <v>65</v>
      </c>
      <c r="H515" s="120">
        <v>16430.0</v>
      </c>
      <c r="I515" s="121">
        <v>395.0</v>
      </c>
      <c r="J515" s="122">
        <v>11.8</v>
      </c>
      <c r="K515" s="123">
        <v>2.33</v>
      </c>
      <c r="L515" s="123">
        <v>0.581</v>
      </c>
      <c r="M515" s="123">
        <v>0.601</v>
      </c>
      <c r="N515" s="124">
        <v>13.74</v>
      </c>
      <c r="O515" s="122">
        <v>3.22</v>
      </c>
      <c r="P515" s="124">
        <v>83.04</v>
      </c>
      <c r="Q515" s="109"/>
      <c r="R515" s="103">
        <f t="shared" si="1"/>
        <v>193874</v>
      </c>
      <c r="S515" s="103">
        <f t="shared" si="2"/>
        <v>38281.9</v>
      </c>
      <c r="T515" s="103">
        <f t="shared" si="3"/>
        <v>9545.83</v>
      </c>
      <c r="U515" s="103">
        <f t="shared" si="4"/>
        <v>9874.43</v>
      </c>
      <c r="V515" s="103">
        <f t="shared" si="5"/>
        <v>225748.2</v>
      </c>
      <c r="W515" s="103">
        <f t="shared" si="6"/>
        <v>52904.6</v>
      </c>
      <c r="X515" s="103">
        <f t="shared" si="7"/>
        <v>1364347.2</v>
      </c>
    </row>
    <row r="516" ht="12.0" customHeight="1">
      <c r="A5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16" s="87" t="str">
        <f>IFERROR(__xludf.DUMMYFUNCTION("IFERROR(IF(F516&lt;&gt;"""",""WHSE ""&amp;LEFT(F516,1),REGEXEXTRACT(E516,""-(?:\d{2}-)?([A-Z]+)"")),"""")
"),"WHSE D")</f>
        <v>WHSE D</v>
      </c>
      <c r="C516" s="117">
        <v>46017.0</v>
      </c>
      <c r="D516" s="118" t="s">
        <v>279</v>
      </c>
      <c r="E516" s="87" t="s">
        <v>502</v>
      </c>
      <c r="F516" s="87" t="s">
        <v>503</v>
      </c>
      <c r="G516" s="119" t="s">
        <v>547</v>
      </c>
      <c r="H516" s="120">
        <v>6705.0</v>
      </c>
      <c r="I516" s="121">
        <v>155.0</v>
      </c>
      <c r="J516" s="122">
        <v>11.94</v>
      </c>
      <c r="K516" s="123">
        <v>2.63</v>
      </c>
      <c r="L516" s="123">
        <v>0.585</v>
      </c>
      <c r="M516" s="123">
        <v>0.605</v>
      </c>
      <c r="N516" s="124">
        <v>14.33</v>
      </c>
      <c r="O516" s="122">
        <v>2.91</v>
      </c>
      <c r="P516" s="124">
        <v>82.76</v>
      </c>
      <c r="Q516" s="109"/>
      <c r="R516" s="103">
        <f t="shared" si="1"/>
        <v>80057.7</v>
      </c>
      <c r="S516" s="103">
        <f t="shared" si="2"/>
        <v>17634.15</v>
      </c>
      <c r="T516" s="103">
        <f t="shared" si="3"/>
        <v>3922.425</v>
      </c>
      <c r="U516" s="103">
        <f t="shared" si="4"/>
        <v>4056.525</v>
      </c>
      <c r="V516" s="103">
        <f t="shared" si="5"/>
        <v>96082.65</v>
      </c>
      <c r="W516" s="103">
        <f t="shared" si="6"/>
        <v>19511.55</v>
      </c>
      <c r="X516" s="103">
        <f t="shared" si="7"/>
        <v>554905.8</v>
      </c>
    </row>
    <row r="517" ht="12.0" customHeight="1">
      <c r="A5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17" s="87" t="str">
        <f>IFERROR(__xludf.DUMMYFUNCTION("IFERROR(IF(F517&lt;&gt;"""",""WHSE ""&amp;LEFT(F517,1),REGEXEXTRACT(E517,""-(?:\d{2}-)?([A-Z]+)"")),"""")
"),"WHSE D")</f>
        <v>WHSE D</v>
      </c>
      <c r="C517" s="117">
        <v>46017.0</v>
      </c>
      <c r="D517" s="118" t="s">
        <v>60</v>
      </c>
      <c r="E517" s="87" t="s">
        <v>525</v>
      </c>
      <c r="F517" s="87" t="s">
        <v>526</v>
      </c>
      <c r="G517" s="119" t="s">
        <v>63</v>
      </c>
      <c r="H517" s="120">
        <v>21207.0</v>
      </c>
      <c r="I517" s="121">
        <v>418.0</v>
      </c>
      <c r="J517" s="122">
        <v>14.07</v>
      </c>
      <c r="K517" s="123">
        <v>2.81</v>
      </c>
      <c r="L517" s="123">
        <v>0.575</v>
      </c>
      <c r="M517" s="123">
        <v>0.595</v>
      </c>
      <c r="N517" s="124">
        <v>12.14</v>
      </c>
      <c r="O517" s="122">
        <v>3.68</v>
      </c>
      <c r="P517" s="124">
        <v>84.18</v>
      </c>
      <c r="Q517" s="118" t="s">
        <v>548</v>
      </c>
      <c r="R517" s="86">
        <f t="shared" si="1"/>
        <v>298382.49</v>
      </c>
      <c r="S517" s="86">
        <f t="shared" si="2"/>
        <v>59591.67</v>
      </c>
      <c r="T517" s="86">
        <f t="shared" si="3"/>
        <v>12194.025</v>
      </c>
      <c r="U517" s="86">
        <f t="shared" si="4"/>
        <v>12618.165</v>
      </c>
      <c r="V517" s="86">
        <f t="shared" si="5"/>
        <v>257452.98</v>
      </c>
      <c r="W517" s="86">
        <f t="shared" si="6"/>
        <v>78041.76</v>
      </c>
      <c r="X517" s="86">
        <f t="shared" si="7"/>
        <v>1785205.26</v>
      </c>
    </row>
    <row r="518" ht="12.0" customHeight="1">
      <c r="A5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18" s="87" t="str">
        <f>IFERROR(__xludf.DUMMYFUNCTION("IFERROR(IF(F518&lt;&gt;"""",""WHSE ""&amp;LEFT(F518,1),REGEXEXTRACT(E518,""-(?:\d{2}-)?([A-Z]+)"")),"""")
"),"")</f>
        <v/>
      </c>
      <c r="C518" s="108"/>
      <c r="D518" s="109"/>
      <c r="E518" s="110"/>
      <c r="F518" s="110"/>
      <c r="G518" s="111"/>
      <c r="H518" s="112"/>
      <c r="I518" s="113"/>
      <c r="J518" s="114"/>
      <c r="K518" s="115"/>
      <c r="L518" s="115"/>
      <c r="M518" s="115"/>
      <c r="N518" s="116"/>
      <c r="O518" s="114"/>
      <c r="P518" s="116"/>
      <c r="Q518" s="109"/>
      <c r="R518" s="103">
        <f t="shared" si="1"/>
        <v>0</v>
      </c>
      <c r="S518" s="103">
        <f t="shared" si="2"/>
        <v>0</v>
      </c>
      <c r="T518" s="103">
        <f t="shared" si="3"/>
        <v>0</v>
      </c>
      <c r="U518" s="103">
        <f t="shared" si="4"/>
        <v>0</v>
      </c>
      <c r="V518" s="103">
        <f t="shared" si="5"/>
        <v>0</v>
      </c>
      <c r="W518" s="103">
        <f t="shared" si="6"/>
        <v>0</v>
      </c>
      <c r="X518" s="103">
        <f t="shared" si="7"/>
        <v>0</v>
      </c>
    </row>
    <row r="519" ht="12.0" customHeight="1">
      <c r="A5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19" s="87" t="str">
        <f>IFERROR(__xludf.DUMMYFUNCTION("IFERROR(IF(F519&lt;&gt;"""",""WHSE ""&amp;LEFT(F519,1),REGEXEXTRACT(E519,""-(?:\d{2}-)?([A-Z]+)"")),"""")
"),"WHSE D")</f>
        <v>WHSE D</v>
      </c>
      <c r="C519" s="117">
        <v>46018.0</v>
      </c>
      <c r="D519" s="118" t="s">
        <v>72</v>
      </c>
      <c r="E519" s="87" t="s">
        <v>534</v>
      </c>
      <c r="F519" s="87" t="s">
        <v>535</v>
      </c>
      <c r="G519" s="119" t="s">
        <v>77</v>
      </c>
      <c r="H519" s="120">
        <v>19100.0</v>
      </c>
      <c r="I519" s="121">
        <v>438.0</v>
      </c>
      <c r="J519" s="122">
        <v>11.4</v>
      </c>
      <c r="K519" s="123">
        <v>2.37</v>
      </c>
      <c r="L519" s="123">
        <v>0.575</v>
      </c>
      <c r="M519" s="123">
        <v>0.595</v>
      </c>
      <c r="N519" s="124">
        <v>12.66</v>
      </c>
      <c r="O519" s="122">
        <v>3.45</v>
      </c>
      <c r="P519" s="124">
        <v>83.89</v>
      </c>
      <c r="Q519" s="109"/>
      <c r="R519" s="103">
        <f t="shared" si="1"/>
        <v>217740</v>
      </c>
      <c r="S519" s="103">
        <f t="shared" si="2"/>
        <v>45267</v>
      </c>
      <c r="T519" s="103">
        <f t="shared" si="3"/>
        <v>10982.5</v>
      </c>
      <c r="U519" s="103">
        <f t="shared" si="4"/>
        <v>11364.5</v>
      </c>
      <c r="V519" s="103">
        <f t="shared" si="5"/>
        <v>241806</v>
      </c>
      <c r="W519" s="103">
        <f t="shared" si="6"/>
        <v>65895</v>
      </c>
      <c r="X519" s="103">
        <f t="shared" si="7"/>
        <v>1602299</v>
      </c>
    </row>
    <row r="520" ht="12.0" customHeight="1">
      <c r="A5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20" s="87" t="str">
        <f>IFERROR(__xludf.DUMMYFUNCTION("IFERROR(IF(F520&lt;&gt;"""",""WHSE ""&amp;LEFT(F520,1),REGEXEXTRACT(E520,""-(?:\d{2}-)?([A-Z]+)"")),"""")
"),"WHSE A")</f>
        <v>WHSE A</v>
      </c>
      <c r="C520" s="117">
        <v>46018.0</v>
      </c>
      <c r="D520" s="118" t="s">
        <v>72</v>
      </c>
      <c r="E520" s="87" t="s">
        <v>549</v>
      </c>
      <c r="F520" s="87" t="s">
        <v>550</v>
      </c>
      <c r="G520" s="119" t="s">
        <v>512</v>
      </c>
      <c r="H520" s="120">
        <v>20200.0</v>
      </c>
      <c r="I520" s="121">
        <v>514.0</v>
      </c>
      <c r="J520" s="122">
        <v>11.67</v>
      </c>
      <c r="K520" s="123">
        <v>2.61</v>
      </c>
      <c r="L520" s="123">
        <v>0.578</v>
      </c>
      <c r="M520" s="123">
        <v>0.598</v>
      </c>
      <c r="N520" s="124">
        <v>13.28</v>
      </c>
      <c r="O520" s="122">
        <v>3.83</v>
      </c>
      <c r="P520" s="124">
        <v>82.89</v>
      </c>
      <c r="Q520" s="109"/>
      <c r="R520" s="103">
        <f t="shared" si="1"/>
        <v>235734</v>
      </c>
      <c r="S520" s="103">
        <f t="shared" si="2"/>
        <v>52722</v>
      </c>
      <c r="T520" s="103">
        <f t="shared" si="3"/>
        <v>11675.6</v>
      </c>
      <c r="U520" s="103">
        <f t="shared" si="4"/>
        <v>12079.6</v>
      </c>
      <c r="V520" s="103">
        <f t="shared" si="5"/>
        <v>268256</v>
      </c>
      <c r="W520" s="103">
        <f t="shared" si="6"/>
        <v>77366</v>
      </c>
      <c r="X520" s="103">
        <f t="shared" si="7"/>
        <v>1674378</v>
      </c>
    </row>
    <row r="521" ht="12.0" customHeight="1">
      <c r="A5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21" s="87" t="str">
        <f>IFERROR(__xludf.DUMMYFUNCTION("IFERROR(IF(F521&lt;&gt;"""",""WHSE ""&amp;LEFT(F521,1),REGEXEXTRACT(E521,""-(?:\d{2}-)?([A-Z]+)"")),"""")
"),"FEED")</f>
        <v>FEED</v>
      </c>
      <c r="C521" s="117">
        <v>46018.0</v>
      </c>
      <c r="D521" s="118" t="s">
        <v>286</v>
      </c>
      <c r="E521" s="87" t="s">
        <v>551</v>
      </c>
      <c r="F521" s="110"/>
      <c r="G521" s="119" t="s">
        <v>73</v>
      </c>
      <c r="H521" s="120">
        <v>16175.0</v>
      </c>
      <c r="I521" s="121">
        <v>458.0</v>
      </c>
      <c r="J521" s="122">
        <v>10.6</v>
      </c>
      <c r="K521" s="123">
        <v>3.17</v>
      </c>
      <c r="L521" s="123">
        <v>0.571</v>
      </c>
      <c r="M521" s="123">
        <v>0.591</v>
      </c>
      <c r="N521" s="124">
        <v>13.59</v>
      </c>
      <c r="O521" s="122">
        <v>2.97</v>
      </c>
      <c r="P521" s="124">
        <v>83.44</v>
      </c>
      <c r="Q521" s="109"/>
      <c r="R521" s="103">
        <f t="shared" si="1"/>
        <v>171455</v>
      </c>
      <c r="S521" s="103">
        <f t="shared" si="2"/>
        <v>51274.75</v>
      </c>
      <c r="T521" s="103">
        <f t="shared" si="3"/>
        <v>9235.925</v>
      </c>
      <c r="U521" s="103">
        <f t="shared" si="4"/>
        <v>9559.425</v>
      </c>
      <c r="V521" s="103">
        <f t="shared" si="5"/>
        <v>219818.25</v>
      </c>
      <c r="W521" s="103">
        <f t="shared" si="6"/>
        <v>48039.75</v>
      </c>
      <c r="X521" s="103">
        <f t="shared" si="7"/>
        <v>1349642</v>
      </c>
    </row>
    <row r="522" ht="12.0" customHeight="1">
      <c r="A5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22" s="87" t="str">
        <f>IFERROR(__xludf.DUMMYFUNCTION("IFERROR(IF(F522&lt;&gt;"""",""WHSE ""&amp;LEFT(F522,1),REGEXEXTRACT(E522,""-(?:\d{2}-)?([A-Z]+)"")),"""")
"),"WHSE C")</f>
        <v>WHSE C</v>
      </c>
      <c r="C522" s="117">
        <v>46018.0</v>
      </c>
      <c r="D522" s="118" t="s">
        <v>265</v>
      </c>
      <c r="E522" s="87" t="s">
        <v>530</v>
      </c>
      <c r="F522" s="87" t="s">
        <v>531</v>
      </c>
      <c r="G522" s="119" t="s">
        <v>457</v>
      </c>
      <c r="H522" s="120">
        <v>10045.0</v>
      </c>
      <c r="I522" s="121">
        <v>269.0</v>
      </c>
      <c r="J522" s="122">
        <v>9.2</v>
      </c>
      <c r="K522" s="123">
        <v>3.27</v>
      </c>
      <c r="L522" s="123">
        <v>0.562</v>
      </c>
      <c r="M522" s="123">
        <v>0.582</v>
      </c>
      <c r="N522" s="124">
        <v>14.66</v>
      </c>
      <c r="O522" s="122">
        <v>2.44</v>
      </c>
      <c r="P522" s="124">
        <v>82.9</v>
      </c>
      <c r="Q522" s="109"/>
      <c r="R522" s="103">
        <f t="shared" si="1"/>
        <v>92414</v>
      </c>
      <c r="S522" s="103">
        <f t="shared" si="2"/>
        <v>32847.15</v>
      </c>
      <c r="T522" s="103">
        <f t="shared" si="3"/>
        <v>5645.29</v>
      </c>
      <c r="U522" s="103">
        <f t="shared" si="4"/>
        <v>5846.19</v>
      </c>
      <c r="V522" s="103">
        <f t="shared" si="5"/>
        <v>147259.7</v>
      </c>
      <c r="W522" s="103">
        <f t="shared" si="6"/>
        <v>24509.8</v>
      </c>
      <c r="X522" s="103">
        <f t="shared" si="7"/>
        <v>832730.5</v>
      </c>
    </row>
    <row r="523" ht="12.0" customHeight="1">
      <c r="A5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23" s="87" t="str">
        <f>IFERROR(__xludf.DUMMYFUNCTION("IFERROR(IF(F523&lt;&gt;"""",""WHSE ""&amp;LEFT(F523,1),REGEXEXTRACT(E523,""-(?:\d{2}-)?([A-Z]+)"")),"""")
"),"")</f>
        <v/>
      </c>
      <c r="C523" s="108"/>
      <c r="D523" s="109"/>
      <c r="E523" s="110"/>
      <c r="F523" s="110"/>
      <c r="G523" s="111"/>
      <c r="H523" s="112"/>
      <c r="I523" s="113"/>
      <c r="J523" s="114"/>
      <c r="K523" s="115"/>
      <c r="L523" s="115"/>
      <c r="M523" s="115"/>
      <c r="N523" s="116"/>
      <c r="O523" s="114"/>
      <c r="P523" s="116"/>
      <c r="Q523" s="109"/>
      <c r="R523" s="103">
        <f t="shared" si="1"/>
        <v>0</v>
      </c>
      <c r="S523" s="103">
        <f t="shared" si="2"/>
        <v>0</v>
      </c>
      <c r="T523" s="103">
        <f t="shared" si="3"/>
        <v>0</v>
      </c>
      <c r="U523" s="103">
        <f t="shared" si="4"/>
        <v>0</v>
      </c>
      <c r="V523" s="103">
        <f t="shared" si="5"/>
        <v>0</v>
      </c>
      <c r="W523" s="103">
        <f t="shared" si="6"/>
        <v>0</v>
      </c>
      <c r="X523" s="103">
        <f t="shared" si="7"/>
        <v>0</v>
      </c>
    </row>
    <row r="524" ht="12.0" customHeight="1">
      <c r="A5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24" s="87" t="str">
        <f>IFERROR(__xludf.DUMMYFUNCTION("IFERROR(IF(F524&lt;&gt;"""",""WHSE ""&amp;LEFT(F524,1),REGEXEXTRACT(E524,""-(?:\d{2}-)?([A-Z]+)"")),"""")
"),"WHSE A")</f>
        <v>WHSE A</v>
      </c>
      <c r="C524" s="117">
        <v>46019.0</v>
      </c>
      <c r="D524" s="118" t="s">
        <v>72</v>
      </c>
      <c r="E524" s="87" t="s">
        <v>549</v>
      </c>
      <c r="F524" s="87" t="s">
        <v>550</v>
      </c>
      <c r="G524" s="119" t="s">
        <v>77</v>
      </c>
      <c r="H524" s="120">
        <v>20130.0</v>
      </c>
      <c r="I524" s="121">
        <v>457.0</v>
      </c>
      <c r="J524" s="122">
        <v>11.74</v>
      </c>
      <c r="K524" s="123">
        <v>2.6</v>
      </c>
      <c r="L524" s="123">
        <v>0.575</v>
      </c>
      <c r="M524" s="123">
        <v>0.595</v>
      </c>
      <c r="N524" s="124">
        <v>13.28</v>
      </c>
      <c r="O524" s="122">
        <v>3.29</v>
      </c>
      <c r="P524" s="124">
        <v>83.43</v>
      </c>
      <c r="Q524" s="109"/>
      <c r="R524" s="103">
        <f t="shared" si="1"/>
        <v>236326.2</v>
      </c>
      <c r="S524" s="103">
        <f t="shared" si="2"/>
        <v>52338</v>
      </c>
      <c r="T524" s="103">
        <f t="shared" si="3"/>
        <v>11574.75</v>
      </c>
      <c r="U524" s="103">
        <f t="shared" si="4"/>
        <v>11977.35</v>
      </c>
      <c r="V524" s="103">
        <f t="shared" si="5"/>
        <v>267326.4</v>
      </c>
      <c r="W524" s="103">
        <f t="shared" si="6"/>
        <v>66227.7</v>
      </c>
      <c r="X524" s="103">
        <f t="shared" si="7"/>
        <v>1679445.9</v>
      </c>
    </row>
    <row r="525" ht="12.0" customHeight="1">
      <c r="A5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25" s="87" t="str">
        <f>IFERROR(__xludf.DUMMYFUNCTION("IFERROR(IF(F525&lt;&gt;"""",""WHSE ""&amp;LEFT(F525,1),REGEXEXTRACT(E525,""-(?:\d{2}-)?([A-Z]+)"")),"""")
"),"WHSE A")</f>
        <v>WHSE A</v>
      </c>
      <c r="C525" s="117">
        <v>46019.0</v>
      </c>
      <c r="D525" s="118" t="s">
        <v>72</v>
      </c>
      <c r="E525" s="87" t="s">
        <v>549</v>
      </c>
      <c r="F525" s="87" t="s">
        <v>550</v>
      </c>
      <c r="G525" s="119" t="s">
        <v>73</v>
      </c>
      <c r="H525" s="120">
        <v>20040.0</v>
      </c>
      <c r="I525" s="121">
        <v>423.0</v>
      </c>
      <c r="J525" s="122">
        <v>11.94</v>
      </c>
      <c r="K525" s="123">
        <v>2.44</v>
      </c>
      <c r="L525" s="123">
        <v>0.578</v>
      </c>
      <c r="M525" s="123">
        <v>0.598</v>
      </c>
      <c r="N525" s="124">
        <v>13.04</v>
      </c>
      <c r="O525" s="122">
        <v>2.78</v>
      </c>
      <c r="P525" s="124">
        <v>84.18</v>
      </c>
      <c r="Q525" s="109"/>
      <c r="R525" s="103">
        <f t="shared" si="1"/>
        <v>239277.6</v>
      </c>
      <c r="S525" s="103">
        <f t="shared" si="2"/>
        <v>48897.6</v>
      </c>
      <c r="T525" s="103">
        <f t="shared" si="3"/>
        <v>11583.12</v>
      </c>
      <c r="U525" s="103">
        <f t="shared" si="4"/>
        <v>11983.92</v>
      </c>
      <c r="V525" s="103">
        <f t="shared" si="5"/>
        <v>261321.6</v>
      </c>
      <c r="W525" s="103">
        <f t="shared" si="6"/>
        <v>55711.2</v>
      </c>
      <c r="X525" s="103">
        <f t="shared" si="7"/>
        <v>1686967.2</v>
      </c>
    </row>
    <row r="526" ht="12.0" customHeight="1">
      <c r="A5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26" s="87" t="str">
        <f>IFERROR(__xludf.DUMMYFUNCTION("IFERROR(IF(F526&lt;&gt;"""",""WHSE ""&amp;LEFT(F526,1),REGEXEXTRACT(E526,""-(?:\d{2}-)?([A-Z]+)"")),"""")
"),"WHSE C")</f>
        <v>WHSE C</v>
      </c>
      <c r="C526" s="117">
        <v>46019.0</v>
      </c>
      <c r="D526" s="118" t="s">
        <v>232</v>
      </c>
      <c r="E526" s="87" t="s">
        <v>540</v>
      </c>
      <c r="F526" s="87" t="s">
        <v>541</v>
      </c>
      <c r="G526" s="119" t="s">
        <v>235</v>
      </c>
      <c r="H526" s="120">
        <v>11180.0</v>
      </c>
      <c r="I526" s="121">
        <v>317.0</v>
      </c>
      <c r="J526" s="122">
        <v>9.07</v>
      </c>
      <c r="K526" s="123">
        <v>3.77</v>
      </c>
      <c r="L526" s="123">
        <v>0.581</v>
      </c>
      <c r="M526" s="123">
        <v>0.601</v>
      </c>
      <c r="N526" s="124">
        <v>14.71</v>
      </c>
      <c r="O526" s="122">
        <v>3.51</v>
      </c>
      <c r="P526" s="124">
        <v>81.78</v>
      </c>
      <c r="Q526" s="109"/>
      <c r="R526" s="103">
        <f t="shared" si="1"/>
        <v>101402.6</v>
      </c>
      <c r="S526" s="103">
        <f t="shared" si="2"/>
        <v>42148.6</v>
      </c>
      <c r="T526" s="103">
        <f t="shared" si="3"/>
        <v>6495.58</v>
      </c>
      <c r="U526" s="103">
        <f t="shared" si="4"/>
        <v>6719.18</v>
      </c>
      <c r="V526" s="103">
        <f t="shared" si="5"/>
        <v>164457.8</v>
      </c>
      <c r="W526" s="103">
        <f t="shared" si="6"/>
        <v>39241.8</v>
      </c>
      <c r="X526" s="103">
        <f t="shared" si="7"/>
        <v>914300.4</v>
      </c>
    </row>
    <row r="527" ht="12.0" customHeight="1">
      <c r="A5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27" s="87" t="str">
        <f>IFERROR(__xludf.DUMMYFUNCTION("IFERROR(IF(F527&lt;&gt;"""",""WHSE ""&amp;LEFT(F527,1),REGEXEXTRACT(E527,""-(?:\d{2}-)?([A-Z]+)"")),"""")
"),"FEED")</f>
        <v>FEED</v>
      </c>
      <c r="C527" s="117">
        <v>46019.0</v>
      </c>
      <c r="D527" s="118" t="s">
        <v>265</v>
      </c>
      <c r="E527" s="87" t="s">
        <v>552</v>
      </c>
      <c r="F527" s="110"/>
      <c r="G527" s="119" t="s">
        <v>457</v>
      </c>
      <c r="H527" s="120">
        <v>10310.0</v>
      </c>
      <c r="I527" s="121">
        <v>250.0</v>
      </c>
      <c r="J527" s="122">
        <v>9.2</v>
      </c>
      <c r="K527" s="123">
        <v>3.88</v>
      </c>
      <c r="L527" s="123">
        <v>0.559</v>
      </c>
      <c r="M527" s="123">
        <v>0.579</v>
      </c>
      <c r="N527" s="124">
        <v>15.34</v>
      </c>
      <c r="O527" s="122">
        <v>2.65</v>
      </c>
      <c r="P527" s="124">
        <v>82.01</v>
      </c>
      <c r="Q527" s="109"/>
      <c r="R527" s="103">
        <f t="shared" si="1"/>
        <v>94852</v>
      </c>
      <c r="S527" s="103">
        <f t="shared" si="2"/>
        <v>40002.8</v>
      </c>
      <c r="T527" s="103">
        <f t="shared" si="3"/>
        <v>5763.29</v>
      </c>
      <c r="U527" s="103">
        <f t="shared" si="4"/>
        <v>5969.49</v>
      </c>
      <c r="V527" s="103">
        <f t="shared" si="5"/>
        <v>158155.4</v>
      </c>
      <c r="W527" s="103">
        <f t="shared" si="6"/>
        <v>27321.5</v>
      </c>
      <c r="X527" s="103">
        <f t="shared" si="7"/>
        <v>845523.1</v>
      </c>
    </row>
    <row r="528" ht="12.0" customHeight="1">
      <c r="A5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28" s="87" t="str">
        <f>IFERROR(__xludf.DUMMYFUNCTION("IFERROR(IF(F528&lt;&gt;"""",""WHSE ""&amp;LEFT(F528,1),REGEXEXTRACT(E528,""-(?:\d{2}-)?([A-Z]+)"")),"""")
"),"")</f>
        <v/>
      </c>
      <c r="C528" s="108"/>
      <c r="D528" s="109"/>
      <c r="E528" s="110"/>
      <c r="F528" s="110"/>
      <c r="G528" s="111"/>
      <c r="H528" s="112"/>
      <c r="I528" s="113"/>
      <c r="J528" s="114"/>
      <c r="K528" s="115"/>
      <c r="L528" s="115"/>
      <c r="M528" s="115"/>
      <c r="N528" s="116"/>
      <c r="O528" s="114"/>
      <c r="P528" s="116"/>
      <c r="Q528" s="109"/>
      <c r="R528" s="103">
        <f t="shared" si="1"/>
        <v>0</v>
      </c>
      <c r="S528" s="103">
        <f t="shared" si="2"/>
        <v>0</v>
      </c>
      <c r="T528" s="103">
        <f t="shared" si="3"/>
        <v>0</v>
      </c>
      <c r="U528" s="103">
        <f t="shared" si="4"/>
        <v>0</v>
      </c>
      <c r="V528" s="103">
        <f t="shared" si="5"/>
        <v>0</v>
      </c>
      <c r="W528" s="103">
        <f t="shared" si="6"/>
        <v>0</v>
      </c>
      <c r="X528" s="103">
        <f t="shared" si="7"/>
        <v>0</v>
      </c>
    </row>
    <row r="529" ht="12.0" customHeight="1">
      <c r="A5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29" s="87" t="str">
        <f>IFERROR(__xludf.DUMMYFUNCTION("IFERROR(IF(F529&lt;&gt;"""",""WHSE ""&amp;LEFT(F529,1),REGEXEXTRACT(E529,""-(?:\d{2}-)?([A-Z]+)"")),"""")
"),"WHSE A")</f>
        <v>WHSE A</v>
      </c>
      <c r="C529" s="117">
        <v>46024.0</v>
      </c>
      <c r="D529" s="118" t="s">
        <v>72</v>
      </c>
      <c r="E529" s="87" t="s">
        <v>549</v>
      </c>
      <c r="F529" s="87" t="s">
        <v>550</v>
      </c>
      <c r="G529" s="119" t="s">
        <v>512</v>
      </c>
      <c r="H529" s="120">
        <v>21680.0</v>
      </c>
      <c r="I529" s="121">
        <v>458.0</v>
      </c>
      <c r="J529" s="122">
        <v>11.54</v>
      </c>
      <c r="K529" s="123">
        <v>2.74</v>
      </c>
      <c r="L529" s="123">
        <v>0.575</v>
      </c>
      <c r="M529" s="123">
        <v>0.595</v>
      </c>
      <c r="N529" s="124">
        <v>12.52</v>
      </c>
      <c r="O529" s="122">
        <v>2.73</v>
      </c>
      <c r="P529" s="124">
        <v>84.75</v>
      </c>
      <c r="Q529" s="118" t="s">
        <v>553</v>
      </c>
      <c r="R529" s="86">
        <f t="shared" si="1"/>
        <v>250187.2</v>
      </c>
      <c r="S529" s="86">
        <f t="shared" si="2"/>
        <v>59403.2</v>
      </c>
      <c r="T529" s="86">
        <f t="shared" si="3"/>
        <v>12466</v>
      </c>
      <c r="U529" s="86">
        <f t="shared" si="4"/>
        <v>12899.6</v>
      </c>
      <c r="V529" s="86">
        <f t="shared" si="5"/>
        <v>271433.6</v>
      </c>
      <c r="W529" s="86">
        <f t="shared" si="6"/>
        <v>59186.4</v>
      </c>
      <c r="X529" s="86">
        <f t="shared" si="7"/>
        <v>1837380</v>
      </c>
    </row>
    <row r="530" ht="12.0" customHeight="1">
      <c r="A5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30" s="87" t="str">
        <f>IFERROR(__xludf.DUMMYFUNCTION("IFERROR(IF(F530&lt;&gt;"""",""WHSE ""&amp;LEFT(F530,1),REGEXEXTRACT(E530,""-(?:\d{2}-)?([A-Z]+)"")),"""")
"),"WHSE A")</f>
        <v>WHSE A</v>
      </c>
      <c r="C530" s="117">
        <v>46024.0</v>
      </c>
      <c r="D530" s="118" t="s">
        <v>232</v>
      </c>
      <c r="E530" s="87" t="s">
        <v>554</v>
      </c>
      <c r="F530" s="87" t="s">
        <v>555</v>
      </c>
      <c r="G530" s="119" t="s">
        <v>235</v>
      </c>
      <c r="H530" s="120">
        <v>11315.0</v>
      </c>
      <c r="I530" s="121">
        <v>248.0</v>
      </c>
      <c r="J530" s="122">
        <v>9.34</v>
      </c>
      <c r="K530" s="123">
        <v>3.81</v>
      </c>
      <c r="L530" s="123">
        <v>0.578</v>
      </c>
      <c r="M530" s="123">
        <v>0.598</v>
      </c>
      <c r="N530" s="124">
        <v>13.13</v>
      </c>
      <c r="O530" s="122">
        <v>3.69</v>
      </c>
      <c r="P530" s="124">
        <v>83.18</v>
      </c>
      <c r="Q530" s="109"/>
      <c r="R530" s="103">
        <f t="shared" si="1"/>
        <v>105682.1</v>
      </c>
      <c r="S530" s="103">
        <f t="shared" si="2"/>
        <v>43110.15</v>
      </c>
      <c r="T530" s="103">
        <f t="shared" si="3"/>
        <v>6540.07</v>
      </c>
      <c r="U530" s="103">
        <f t="shared" si="4"/>
        <v>6766.37</v>
      </c>
      <c r="V530" s="103">
        <f t="shared" si="5"/>
        <v>148565.95</v>
      </c>
      <c r="W530" s="103">
        <f t="shared" si="6"/>
        <v>41752.35</v>
      </c>
      <c r="X530" s="103">
        <f t="shared" si="7"/>
        <v>941181.7</v>
      </c>
    </row>
    <row r="531" ht="12.0" customHeight="1">
      <c r="A5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31" s="87" t="str">
        <f>IFERROR(__xludf.DUMMYFUNCTION("IFERROR(IF(F531&lt;&gt;"""",""WHSE ""&amp;LEFT(F531,1),REGEXEXTRACT(E531,""-(?:\d{2}-)?([A-Z]+)"")),"""")
"),"WHSE A")</f>
        <v>WHSE A</v>
      </c>
      <c r="C531" s="117">
        <v>46024.0</v>
      </c>
      <c r="D531" s="118" t="s">
        <v>232</v>
      </c>
      <c r="E531" s="87" t="s">
        <v>554</v>
      </c>
      <c r="F531" s="87" t="s">
        <v>555</v>
      </c>
      <c r="G531" s="119" t="s">
        <v>272</v>
      </c>
      <c r="H531" s="120">
        <v>21255.0</v>
      </c>
      <c r="I531" s="121">
        <v>562.0</v>
      </c>
      <c r="J531" s="122">
        <v>9.67</v>
      </c>
      <c r="K531" s="123">
        <v>3.94</v>
      </c>
      <c r="L531" s="123">
        <v>0.559</v>
      </c>
      <c r="M531" s="123">
        <v>0.579</v>
      </c>
      <c r="N531" s="124">
        <v>13.66</v>
      </c>
      <c r="O531" s="122">
        <v>3.77</v>
      </c>
      <c r="P531" s="124">
        <v>82.57</v>
      </c>
      <c r="Q531" s="109"/>
      <c r="R531" s="103">
        <f t="shared" si="1"/>
        <v>205535.85</v>
      </c>
      <c r="S531" s="103">
        <f t="shared" si="2"/>
        <v>83744.7</v>
      </c>
      <c r="T531" s="103">
        <f t="shared" si="3"/>
        <v>11881.545</v>
      </c>
      <c r="U531" s="103">
        <f t="shared" si="4"/>
        <v>12306.645</v>
      </c>
      <c r="V531" s="103">
        <f t="shared" si="5"/>
        <v>290343.3</v>
      </c>
      <c r="W531" s="103">
        <f t="shared" si="6"/>
        <v>80131.35</v>
      </c>
      <c r="X531" s="103">
        <f t="shared" si="7"/>
        <v>1755025.35</v>
      </c>
    </row>
    <row r="532" ht="12.0" customHeight="1">
      <c r="A5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32" s="87" t="str">
        <f>IFERROR(__xludf.DUMMYFUNCTION("IFERROR(IF(F532&lt;&gt;"""",""WHSE ""&amp;LEFT(F532,1),REGEXEXTRACT(E532,""-(?:\d{2}-)?([A-Z]+)"")),"""")
"),"")</f>
        <v/>
      </c>
      <c r="C532" s="108"/>
      <c r="D532" s="109"/>
      <c r="E532" s="110"/>
      <c r="F532" s="110"/>
      <c r="G532" s="111"/>
      <c r="H532" s="112"/>
      <c r="I532" s="113"/>
      <c r="J532" s="114"/>
      <c r="K532" s="115"/>
      <c r="L532" s="115"/>
      <c r="M532" s="115"/>
      <c r="N532" s="116"/>
      <c r="O532" s="114"/>
      <c r="P532" s="116"/>
      <c r="Q532" s="109"/>
      <c r="R532" s="103">
        <f t="shared" si="1"/>
        <v>0</v>
      </c>
      <c r="S532" s="103">
        <f t="shared" si="2"/>
        <v>0</v>
      </c>
      <c r="T532" s="103">
        <f t="shared" si="3"/>
        <v>0</v>
      </c>
      <c r="U532" s="103">
        <f t="shared" si="4"/>
        <v>0</v>
      </c>
      <c r="V532" s="103">
        <f t="shared" si="5"/>
        <v>0</v>
      </c>
      <c r="W532" s="103">
        <f t="shared" si="6"/>
        <v>0</v>
      </c>
      <c r="X532" s="103">
        <f t="shared" si="7"/>
        <v>0</v>
      </c>
    </row>
    <row r="533" ht="12.0" customHeight="1">
      <c r="A5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33" s="87" t="str">
        <f>IFERROR(__xludf.DUMMYFUNCTION("IFERROR(IF(F533&lt;&gt;"""",""WHSE ""&amp;LEFT(F533,1),REGEXEXTRACT(E533,""-(?:\d{2}-)?([A-Z]+)"")),"""")
"),"WHSE A")</f>
        <v>WHSE A</v>
      </c>
      <c r="C533" s="117">
        <v>46025.0</v>
      </c>
      <c r="D533" s="118" t="s">
        <v>72</v>
      </c>
      <c r="E533" s="87" t="s">
        <v>556</v>
      </c>
      <c r="F533" s="87" t="s">
        <v>557</v>
      </c>
      <c r="G533" s="119" t="s">
        <v>73</v>
      </c>
      <c r="H533" s="120">
        <v>18170.0</v>
      </c>
      <c r="I533" s="121">
        <v>412.0</v>
      </c>
      <c r="J533" s="122">
        <v>11.27</v>
      </c>
      <c r="K533" s="123">
        <v>2.73</v>
      </c>
      <c r="L533" s="123">
        <v>0.578</v>
      </c>
      <c r="M533" s="123">
        <v>0.598</v>
      </c>
      <c r="N533" s="124">
        <v>13.6</v>
      </c>
      <c r="O533" s="122">
        <v>3.55</v>
      </c>
      <c r="P533" s="124">
        <v>82.85</v>
      </c>
      <c r="Q533" s="109"/>
      <c r="R533" s="103">
        <f t="shared" si="1"/>
        <v>204775.9</v>
      </c>
      <c r="S533" s="103">
        <f t="shared" si="2"/>
        <v>49604.1</v>
      </c>
      <c r="T533" s="103">
        <f t="shared" si="3"/>
        <v>10502.26</v>
      </c>
      <c r="U533" s="103">
        <f t="shared" si="4"/>
        <v>10865.66</v>
      </c>
      <c r="V533" s="103">
        <f t="shared" si="5"/>
        <v>247112</v>
      </c>
      <c r="W533" s="103">
        <f t="shared" si="6"/>
        <v>64503.5</v>
      </c>
      <c r="X533" s="103">
        <f t="shared" si="7"/>
        <v>1505384.5</v>
      </c>
    </row>
    <row r="534" ht="12.0" customHeight="1">
      <c r="A5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34" s="87" t="str">
        <f>IFERROR(__xludf.DUMMYFUNCTION("IFERROR(IF(F534&lt;&gt;"""",""WHSE ""&amp;LEFT(F534,1),REGEXEXTRACT(E534,""-(?:\d{2}-)?([A-Z]+)"")),"""")
"),"WHSE A")</f>
        <v>WHSE A</v>
      </c>
      <c r="C534" s="117">
        <v>46025.0</v>
      </c>
      <c r="D534" s="118" t="s">
        <v>72</v>
      </c>
      <c r="E534" s="87" t="s">
        <v>556</v>
      </c>
      <c r="F534" s="87" t="s">
        <v>557</v>
      </c>
      <c r="G534" s="119" t="s">
        <v>558</v>
      </c>
      <c r="H534" s="120">
        <v>6920.0</v>
      </c>
      <c r="I534" s="121">
        <v>186.0</v>
      </c>
      <c r="J534" s="122">
        <v>11.87</v>
      </c>
      <c r="K534" s="123">
        <v>2.61</v>
      </c>
      <c r="L534" s="123">
        <v>0.581</v>
      </c>
      <c r="M534" s="123">
        <v>0.601</v>
      </c>
      <c r="N534" s="124">
        <v>11.78</v>
      </c>
      <c r="O534" s="122">
        <v>3.94</v>
      </c>
      <c r="P534" s="124">
        <v>84.28</v>
      </c>
      <c r="Q534" s="109"/>
      <c r="R534" s="103">
        <f t="shared" si="1"/>
        <v>82140.4</v>
      </c>
      <c r="S534" s="103">
        <f t="shared" si="2"/>
        <v>18061.2</v>
      </c>
      <c r="T534" s="103">
        <f t="shared" si="3"/>
        <v>4020.52</v>
      </c>
      <c r="U534" s="103">
        <f t="shared" si="4"/>
        <v>4158.92</v>
      </c>
      <c r="V534" s="103">
        <f t="shared" si="5"/>
        <v>81517.6</v>
      </c>
      <c r="W534" s="103">
        <f t="shared" si="6"/>
        <v>27264.8</v>
      </c>
      <c r="X534" s="103">
        <f t="shared" si="7"/>
        <v>583217.6</v>
      </c>
    </row>
    <row r="535" ht="12.0" customHeight="1">
      <c r="A5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35" s="87" t="str">
        <f>IFERROR(__xludf.DUMMYFUNCTION("IFERROR(IF(F535&lt;&gt;"""",""WHSE ""&amp;LEFT(F535,1),REGEXEXTRACT(E535,""-(?:\d{2}-)?([A-Z]+)"")),"""")
"),"FEED")</f>
        <v>FEED</v>
      </c>
      <c r="C535" s="117">
        <v>46025.0</v>
      </c>
      <c r="D535" s="118" t="s">
        <v>286</v>
      </c>
      <c r="E535" s="87" t="s">
        <v>559</v>
      </c>
      <c r="F535" s="110"/>
      <c r="G535" s="119" t="s">
        <v>77</v>
      </c>
      <c r="H535" s="120">
        <v>16770.0</v>
      </c>
      <c r="I535" s="121">
        <v>452.0</v>
      </c>
      <c r="J535" s="122">
        <v>12.0</v>
      </c>
      <c r="K535" s="123">
        <v>3.81</v>
      </c>
      <c r="L535" s="123">
        <v>0.575</v>
      </c>
      <c r="M535" s="123">
        <v>0.595</v>
      </c>
      <c r="N535" s="124">
        <v>13.79</v>
      </c>
      <c r="O535" s="122">
        <v>2.78</v>
      </c>
      <c r="P535" s="124">
        <v>83.43</v>
      </c>
      <c r="Q535" s="109"/>
      <c r="R535" s="103">
        <f t="shared" si="1"/>
        <v>201240</v>
      </c>
      <c r="S535" s="103">
        <f t="shared" si="2"/>
        <v>63893.7</v>
      </c>
      <c r="T535" s="103">
        <f t="shared" si="3"/>
        <v>9642.75</v>
      </c>
      <c r="U535" s="103">
        <f t="shared" si="4"/>
        <v>9978.15</v>
      </c>
      <c r="V535" s="103">
        <f t="shared" si="5"/>
        <v>231258.3</v>
      </c>
      <c r="W535" s="103">
        <f t="shared" si="6"/>
        <v>46620.6</v>
      </c>
      <c r="X535" s="103">
        <f t="shared" si="7"/>
        <v>1399121.1</v>
      </c>
    </row>
    <row r="536" ht="12.0" customHeight="1">
      <c r="A5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36" s="87" t="str">
        <f>IFERROR(__xludf.DUMMYFUNCTION("IFERROR(IF(F536&lt;&gt;"""",""WHSE ""&amp;LEFT(F536,1),REGEXEXTRACT(E536,""-(?:\d{2}-)?([A-Z]+)"")),"""")
"),"WHSE A")</f>
        <v>WHSE A</v>
      </c>
      <c r="C536" s="117">
        <v>46025.0</v>
      </c>
      <c r="D536" s="118" t="s">
        <v>232</v>
      </c>
      <c r="E536" s="87" t="s">
        <v>554</v>
      </c>
      <c r="F536" s="87" t="s">
        <v>555</v>
      </c>
      <c r="G536" s="119" t="s">
        <v>235</v>
      </c>
      <c r="H536" s="120">
        <v>13095.0</v>
      </c>
      <c r="I536" s="121">
        <v>332.0</v>
      </c>
      <c r="J536" s="122">
        <v>9.4</v>
      </c>
      <c r="K536" s="123">
        <v>3.17</v>
      </c>
      <c r="L536" s="123">
        <v>0.585</v>
      </c>
      <c r="M536" s="123">
        <v>0.605</v>
      </c>
      <c r="N536" s="124">
        <v>14.52</v>
      </c>
      <c r="O536" s="122">
        <v>3.7</v>
      </c>
      <c r="P536" s="124">
        <v>81.78</v>
      </c>
      <c r="Q536" s="109"/>
      <c r="R536" s="103">
        <f t="shared" si="1"/>
        <v>123093</v>
      </c>
      <c r="S536" s="103">
        <f t="shared" si="2"/>
        <v>41511.15</v>
      </c>
      <c r="T536" s="103">
        <f t="shared" si="3"/>
        <v>7660.575</v>
      </c>
      <c r="U536" s="103">
        <f t="shared" si="4"/>
        <v>7922.475</v>
      </c>
      <c r="V536" s="103">
        <f t="shared" si="5"/>
        <v>190139.4</v>
      </c>
      <c r="W536" s="103">
        <f t="shared" si="6"/>
        <v>48451.5</v>
      </c>
      <c r="X536" s="103">
        <f t="shared" si="7"/>
        <v>1070909.1</v>
      </c>
    </row>
    <row r="537" ht="12.0" customHeight="1">
      <c r="A5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37" s="87" t="str">
        <f>IFERROR(__xludf.DUMMYFUNCTION("IFERROR(IF(F537&lt;&gt;"""",""WHSE ""&amp;LEFT(F537,1),REGEXEXTRACT(E537,""-(?:\d{2}-)?([A-Z]+)"")),"""")
"),"")</f>
        <v/>
      </c>
      <c r="C537" s="108"/>
      <c r="D537" s="109"/>
      <c r="E537" s="110"/>
      <c r="F537" s="110"/>
      <c r="G537" s="111"/>
      <c r="H537" s="112"/>
      <c r="I537" s="113"/>
      <c r="J537" s="114"/>
      <c r="K537" s="115"/>
      <c r="L537" s="115"/>
      <c r="M537" s="115"/>
      <c r="N537" s="116"/>
      <c r="O537" s="114"/>
      <c r="P537" s="116"/>
      <c r="Q537" s="109"/>
      <c r="R537" s="103">
        <f t="shared" si="1"/>
        <v>0</v>
      </c>
      <c r="S537" s="103">
        <f t="shared" si="2"/>
        <v>0</v>
      </c>
      <c r="T537" s="103">
        <f t="shared" si="3"/>
        <v>0</v>
      </c>
      <c r="U537" s="103">
        <f t="shared" si="4"/>
        <v>0</v>
      </c>
      <c r="V537" s="103">
        <f t="shared" si="5"/>
        <v>0</v>
      </c>
      <c r="W537" s="103">
        <f t="shared" si="6"/>
        <v>0</v>
      </c>
      <c r="X537" s="103">
        <f t="shared" si="7"/>
        <v>0</v>
      </c>
    </row>
    <row r="538" ht="12.0" customHeight="1">
      <c r="A5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38" s="87" t="str">
        <f>IFERROR(__xludf.DUMMYFUNCTION("IFERROR(IF(F538&lt;&gt;"""",""WHSE ""&amp;LEFT(F538,1),REGEXEXTRACT(E538,""-(?:\d{2}-)?([A-Z]+)"")),"""")
"),"WHSE A")</f>
        <v>WHSE A</v>
      </c>
      <c r="C538" s="117">
        <v>46027.0</v>
      </c>
      <c r="D538" s="118" t="s">
        <v>72</v>
      </c>
      <c r="E538" s="87" t="s">
        <v>556</v>
      </c>
      <c r="F538" s="87" t="s">
        <v>557</v>
      </c>
      <c r="G538" s="119" t="s">
        <v>512</v>
      </c>
      <c r="H538" s="120">
        <v>22190.0</v>
      </c>
      <c r="I538" s="121">
        <v>461.0</v>
      </c>
      <c r="J538" s="122">
        <v>12.67</v>
      </c>
      <c r="K538" s="123">
        <v>2.44</v>
      </c>
      <c r="L538" s="123">
        <v>0.575</v>
      </c>
      <c r="M538" s="123">
        <v>0.595</v>
      </c>
      <c r="N538" s="124">
        <v>14.12</v>
      </c>
      <c r="O538" s="122">
        <v>3.68</v>
      </c>
      <c r="P538" s="124">
        <v>82.2</v>
      </c>
      <c r="Q538" s="118" t="s">
        <v>560</v>
      </c>
      <c r="R538" s="86">
        <f t="shared" si="1"/>
        <v>281147.3</v>
      </c>
      <c r="S538" s="86">
        <f t="shared" si="2"/>
        <v>54143.6</v>
      </c>
      <c r="T538" s="86">
        <f t="shared" si="3"/>
        <v>12759.25</v>
      </c>
      <c r="U538" s="86">
        <f t="shared" si="4"/>
        <v>13203.05</v>
      </c>
      <c r="V538" s="86">
        <f t="shared" si="5"/>
        <v>313322.8</v>
      </c>
      <c r="W538" s="86">
        <f t="shared" si="6"/>
        <v>81659.2</v>
      </c>
      <c r="X538" s="86">
        <f t="shared" si="7"/>
        <v>1824018</v>
      </c>
    </row>
    <row r="539" ht="12.0" customHeight="1">
      <c r="A5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39" s="87" t="str">
        <f>IFERROR(__xludf.DUMMYFUNCTION("IFERROR(IF(F539&lt;&gt;"""",""WHSE ""&amp;LEFT(F539,1),REGEXEXTRACT(E539,""-(?:\d{2}-)?([A-Z]+)"")),"""")
"),"WHSE A")</f>
        <v>WHSE A</v>
      </c>
      <c r="C539" s="117">
        <v>46027.0</v>
      </c>
      <c r="D539" s="118" t="s">
        <v>72</v>
      </c>
      <c r="E539" s="87" t="s">
        <v>556</v>
      </c>
      <c r="F539" s="87" t="s">
        <v>557</v>
      </c>
      <c r="G539" s="119" t="s">
        <v>77</v>
      </c>
      <c r="H539" s="120">
        <v>16800.0</v>
      </c>
      <c r="I539" s="121">
        <v>420.0</v>
      </c>
      <c r="J539" s="122">
        <v>11.74</v>
      </c>
      <c r="K539" s="123">
        <v>2.51</v>
      </c>
      <c r="L539" s="123">
        <v>0.575</v>
      </c>
      <c r="M539" s="123">
        <v>0.595</v>
      </c>
      <c r="N539" s="124">
        <v>12.25</v>
      </c>
      <c r="O539" s="122">
        <v>2.75</v>
      </c>
      <c r="P539" s="124">
        <v>85.0</v>
      </c>
      <c r="Q539" s="109"/>
      <c r="R539" s="103">
        <f t="shared" si="1"/>
        <v>197232</v>
      </c>
      <c r="S539" s="103">
        <f t="shared" si="2"/>
        <v>42168</v>
      </c>
      <c r="T539" s="103">
        <f t="shared" si="3"/>
        <v>9660</v>
      </c>
      <c r="U539" s="103">
        <f t="shared" si="4"/>
        <v>9996</v>
      </c>
      <c r="V539" s="103">
        <f t="shared" si="5"/>
        <v>205800</v>
      </c>
      <c r="W539" s="103">
        <f t="shared" si="6"/>
        <v>46200</v>
      </c>
      <c r="X539" s="103">
        <f t="shared" si="7"/>
        <v>1428000</v>
      </c>
    </row>
    <row r="540" ht="12.0" customHeight="1">
      <c r="A5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40" s="87" t="str">
        <f>IFERROR(__xludf.DUMMYFUNCTION("IFERROR(IF(F540&lt;&gt;"""",""WHSE ""&amp;LEFT(F540,1),REGEXEXTRACT(E540,""-(?:\d{2}-)?([A-Z]+)"")),"""")
"),"WHSE D")</f>
        <v>WHSE D</v>
      </c>
      <c r="C540" s="117">
        <v>46027.0</v>
      </c>
      <c r="D540" s="118" t="s">
        <v>64</v>
      </c>
      <c r="E540" s="87" t="s">
        <v>502</v>
      </c>
      <c r="F540" s="87" t="s">
        <v>503</v>
      </c>
      <c r="G540" s="119" t="s">
        <v>65</v>
      </c>
      <c r="H540" s="120">
        <v>25365.0</v>
      </c>
      <c r="I540" s="121">
        <v>535.0</v>
      </c>
      <c r="J540" s="122">
        <v>12.0</v>
      </c>
      <c r="K540" s="123">
        <v>2.5</v>
      </c>
      <c r="L540" s="123">
        <v>0.578</v>
      </c>
      <c r="M540" s="123">
        <v>0.598</v>
      </c>
      <c r="N540" s="124">
        <v>13.56</v>
      </c>
      <c r="O540" s="122">
        <v>2.86</v>
      </c>
      <c r="P540" s="124">
        <v>83.58</v>
      </c>
      <c r="Q540" s="118" t="s">
        <v>561</v>
      </c>
      <c r="R540" s="86">
        <f t="shared" si="1"/>
        <v>304380</v>
      </c>
      <c r="S540" s="86">
        <f t="shared" si="2"/>
        <v>63412.5</v>
      </c>
      <c r="T540" s="86">
        <f t="shared" si="3"/>
        <v>14660.97</v>
      </c>
      <c r="U540" s="86">
        <f t="shared" si="4"/>
        <v>15168.27</v>
      </c>
      <c r="V540" s="86">
        <f t="shared" si="5"/>
        <v>343949.4</v>
      </c>
      <c r="W540" s="86">
        <f t="shared" si="6"/>
        <v>72543.9</v>
      </c>
      <c r="X540" s="86">
        <f t="shared" si="7"/>
        <v>2120006.7</v>
      </c>
    </row>
    <row r="541" ht="12.0" customHeight="1">
      <c r="A5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41" s="87" t="str">
        <f>IFERROR(__xludf.DUMMYFUNCTION("IFERROR(IF(F541&lt;&gt;"""",""WHSE ""&amp;LEFT(F541,1),REGEXEXTRACT(E541,""-(?:\d{2}-)?([A-Z]+)"")),"""")
"),"WHSE D")</f>
        <v>WHSE D</v>
      </c>
      <c r="C541" s="117">
        <v>46027.0</v>
      </c>
      <c r="D541" s="118" t="s">
        <v>279</v>
      </c>
      <c r="E541" s="87" t="s">
        <v>429</v>
      </c>
      <c r="F541" s="87" t="s">
        <v>430</v>
      </c>
      <c r="G541" s="125" t="s">
        <v>282</v>
      </c>
      <c r="H541" s="120">
        <v>4828.0</v>
      </c>
      <c r="I541" s="121">
        <v>110.0</v>
      </c>
      <c r="J541" s="122">
        <v>13.87</v>
      </c>
      <c r="K541" s="123">
        <v>2.11</v>
      </c>
      <c r="L541" s="123">
        <v>0.585</v>
      </c>
      <c r="M541" s="123">
        <v>0.605</v>
      </c>
      <c r="N541" s="124">
        <v>15.77</v>
      </c>
      <c r="O541" s="122">
        <v>2.44</v>
      </c>
      <c r="P541" s="124">
        <v>81.79</v>
      </c>
      <c r="Q541" s="118" t="s">
        <v>562</v>
      </c>
      <c r="R541" s="86">
        <f t="shared" si="1"/>
        <v>66964.36</v>
      </c>
      <c r="S541" s="86">
        <f t="shared" si="2"/>
        <v>10187.08</v>
      </c>
      <c r="T541" s="86">
        <f t="shared" si="3"/>
        <v>2824.38</v>
      </c>
      <c r="U541" s="86">
        <f t="shared" si="4"/>
        <v>2920.94</v>
      </c>
      <c r="V541" s="86">
        <f t="shared" si="5"/>
        <v>76137.56</v>
      </c>
      <c r="W541" s="86">
        <f t="shared" si="6"/>
        <v>11780.32</v>
      </c>
      <c r="X541" s="86">
        <f t="shared" si="7"/>
        <v>394882.12</v>
      </c>
    </row>
    <row r="542" ht="12.0" customHeight="1">
      <c r="A5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42" s="87" t="str">
        <f>IFERROR(__xludf.DUMMYFUNCTION("IFERROR(IF(F542&lt;&gt;"""",""WHSE ""&amp;LEFT(F542,1),REGEXEXTRACT(E542,""-(?:\d{2}-)?([A-Z]+)"")),"""")
"),"WHSE D")</f>
        <v>WHSE D</v>
      </c>
      <c r="C542" s="117">
        <v>46027.0</v>
      </c>
      <c r="D542" s="118" t="s">
        <v>432</v>
      </c>
      <c r="E542" s="87" t="s">
        <v>563</v>
      </c>
      <c r="F542" s="87" t="s">
        <v>564</v>
      </c>
      <c r="G542" s="119" t="s">
        <v>433</v>
      </c>
      <c r="H542" s="120">
        <v>15802.0</v>
      </c>
      <c r="I542" s="121">
        <v>439.0</v>
      </c>
      <c r="J542" s="122">
        <v>13.8</v>
      </c>
      <c r="K542" s="123">
        <v>2.4</v>
      </c>
      <c r="L542" s="123">
        <v>0.581</v>
      </c>
      <c r="M542" s="123">
        <v>0.601</v>
      </c>
      <c r="N542" s="124">
        <v>12.44</v>
      </c>
      <c r="O542" s="122">
        <v>4.02</v>
      </c>
      <c r="P542" s="124">
        <v>83.54</v>
      </c>
      <c r="Q542" s="118" t="s">
        <v>565</v>
      </c>
      <c r="R542" s="86">
        <f t="shared" si="1"/>
        <v>218067.6</v>
      </c>
      <c r="S542" s="86">
        <f t="shared" si="2"/>
        <v>37924.8</v>
      </c>
      <c r="T542" s="86">
        <f t="shared" si="3"/>
        <v>9180.962</v>
      </c>
      <c r="U542" s="86">
        <f t="shared" si="4"/>
        <v>9497.002</v>
      </c>
      <c r="V542" s="86">
        <f t="shared" si="5"/>
        <v>196576.88</v>
      </c>
      <c r="W542" s="86">
        <f t="shared" si="6"/>
        <v>63524.04</v>
      </c>
      <c r="X542" s="86">
        <f t="shared" si="7"/>
        <v>1320099.08</v>
      </c>
    </row>
    <row r="543" ht="12.0" customHeight="1">
      <c r="A5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43" s="87" t="str">
        <f>IFERROR(__xludf.DUMMYFUNCTION("IFERROR(IF(F543&lt;&gt;"""",""WHSE ""&amp;LEFT(F543,1),REGEXEXTRACT(E543,""-(?:\d{2}-)?([A-Z]+)"")),"""")
"),"WHSE A")</f>
        <v>WHSE A</v>
      </c>
      <c r="C543" s="117">
        <v>46027.0</v>
      </c>
      <c r="D543" s="118" t="s">
        <v>432</v>
      </c>
      <c r="E543" s="87" t="s">
        <v>566</v>
      </c>
      <c r="F543" s="87" t="s">
        <v>567</v>
      </c>
      <c r="G543" s="125"/>
      <c r="H543" s="120">
        <v>2531.0</v>
      </c>
      <c r="I543" s="121">
        <v>85.0</v>
      </c>
      <c r="J543" s="122">
        <v>10.34</v>
      </c>
      <c r="K543" s="123">
        <v>2.4</v>
      </c>
      <c r="L543" s="123">
        <v>0.581</v>
      </c>
      <c r="M543" s="123">
        <v>0.601</v>
      </c>
      <c r="N543" s="124">
        <v>12.44</v>
      </c>
      <c r="O543" s="122">
        <v>4.02</v>
      </c>
      <c r="P543" s="124">
        <v>83.54</v>
      </c>
      <c r="Q543" s="118" t="s">
        <v>568</v>
      </c>
      <c r="R543" s="86">
        <f t="shared" si="1"/>
        <v>26170.54</v>
      </c>
      <c r="S543" s="86">
        <f t="shared" si="2"/>
        <v>6074.4</v>
      </c>
      <c r="T543" s="86">
        <f t="shared" si="3"/>
        <v>1470.511</v>
      </c>
      <c r="U543" s="86">
        <f t="shared" si="4"/>
        <v>1521.131</v>
      </c>
      <c r="V543" s="86">
        <f t="shared" si="5"/>
        <v>31485.64</v>
      </c>
      <c r="W543" s="86">
        <f t="shared" si="6"/>
        <v>10174.62</v>
      </c>
      <c r="X543" s="86">
        <f t="shared" si="7"/>
        <v>211439.74</v>
      </c>
    </row>
    <row r="544" ht="12.0" customHeight="1">
      <c r="A5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44" s="87" t="str">
        <f>IFERROR(__xludf.DUMMYFUNCTION("IFERROR(IF(F544&lt;&gt;"""",""WHSE ""&amp;LEFT(F544,1),REGEXEXTRACT(E544,""-(?:\d{2}-)?([A-Z]+)"")),"""")
"),"FEED")</f>
        <v>FEED</v>
      </c>
      <c r="C544" s="117">
        <v>46027.0</v>
      </c>
      <c r="D544" s="118" t="s">
        <v>286</v>
      </c>
      <c r="E544" s="87" t="s">
        <v>569</v>
      </c>
      <c r="F544" s="110"/>
      <c r="G544" s="119" t="s">
        <v>73</v>
      </c>
      <c r="H544" s="120">
        <v>18520.0</v>
      </c>
      <c r="I544" s="121">
        <v>461.0</v>
      </c>
      <c r="J544" s="122">
        <v>11.4</v>
      </c>
      <c r="K544" s="123">
        <v>3.18</v>
      </c>
      <c r="L544" s="123">
        <v>0.571</v>
      </c>
      <c r="M544" s="123">
        <v>0.591</v>
      </c>
      <c r="N544" s="124">
        <v>13.81</v>
      </c>
      <c r="O544" s="122">
        <v>3.94</v>
      </c>
      <c r="P544" s="124">
        <v>82.25</v>
      </c>
      <c r="Q544" s="109"/>
      <c r="R544" s="103">
        <f t="shared" si="1"/>
        <v>211128</v>
      </c>
      <c r="S544" s="103">
        <f t="shared" si="2"/>
        <v>58893.6</v>
      </c>
      <c r="T544" s="103">
        <f t="shared" si="3"/>
        <v>10574.92</v>
      </c>
      <c r="U544" s="103">
        <f t="shared" si="4"/>
        <v>10945.32</v>
      </c>
      <c r="V544" s="103">
        <f t="shared" si="5"/>
        <v>255761.2</v>
      </c>
      <c r="W544" s="103">
        <f t="shared" si="6"/>
        <v>72968.8</v>
      </c>
      <c r="X544" s="103">
        <f t="shared" si="7"/>
        <v>1523270</v>
      </c>
    </row>
    <row r="545" ht="12.0" customHeight="1">
      <c r="A5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45" s="87" t="str">
        <f>IFERROR(__xludf.DUMMYFUNCTION("IFERROR(IF(F545&lt;&gt;"""",""WHSE ""&amp;LEFT(F545,1),REGEXEXTRACT(E545,""-(?:\d{2}-)?([A-Z]+)"")),"""")
"),"WHSE A")</f>
        <v>WHSE A</v>
      </c>
      <c r="C545" s="117">
        <v>46027.0</v>
      </c>
      <c r="D545" s="118" t="s">
        <v>232</v>
      </c>
      <c r="E545" s="87" t="s">
        <v>554</v>
      </c>
      <c r="F545" s="87" t="s">
        <v>555</v>
      </c>
      <c r="G545" s="119" t="s">
        <v>235</v>
      </c>
      <c r="H545" s="120">
        <v>13205.0</v>
      </c>
      <c r="I545" s="121">
        <v>355.0</v>
      </c>
      <c r="J545" s="122">
        <v>9.2</v>
      </c>
      <c r="K545" s="123">
        <v>3.48</v>
      </c>
      <c r="L545" s="123">
        <v>0.581</v>
      </c>
      <c r="M545" s="123">
        <v>0.601</v>
      </c>
      <c r="N545" s="124">
        <v>14.76</v>
      </c>
      <c r="O545" s="122">
        <v>2.88</v>
      </c>
      <c r="P545" s="124">
        <v>82.36</v>
      </c>
      <c r="Q545" s="109"/>
      <c r="R545" s="103">
        <f t="shared" si="1"/>
        <v>121486</v>
      </c>
      <c r="S545" s="103">
        <f t="shared" si="2"/>
        <v>45953.4</v>
      </c>
      <c r="T545" s="103">
        <f t="shared" si="3"/>
        <v>7672.105</v>
      </c>
      <c r="U545" s="103">
        <f t="shared" si="4"/>
        <v>7936.205</v>
      </c>
      <c r="V545" s="103">
        <f t="shared" si="5"/>
        <v>194905.8</v>
      </c>
      <c r="W545" s="103">
        <f t="shared" si="6"/>
        <v>38030.4</v>
      </c>
      <c r="X545" s="103">
        <f t="shared" si="7"/>
        <v>1087563.8</v>
      </c>
    </row>
    <row r="546" ht="12.0" customHeight="1">
      <c r="A5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46" s="87" t="str">
        <f>IFERROR(__xludf.DUMMYFUNCTION("IFERROR(IF(F546&lt;&gt;"""",""WHSE ""&amp;LEFT(F546,1),REGEXEXTRACT(E546,""-(?:\d{2}-)?([A-Z]+)"")),"""")
"),"WHSE A")</f>
        <v>WHSE A</v>
      </c>
      <c r="C546" s="117">
        <v>46027.0</v>
      </c>
      <c r="D546" s="118" t="s">
        <v>232</v>
      </c>
      <c r="E546" s="87" t="s">
        <v>570</v>
      </c>
      <c r="F546" s="87" t="s">
        <v>571</v>
      </c>
      <c r="G546" s="119" t="s">
        <v>572</v>
      </c>
      <c r="H546" s="120">
        <v>5545.0</v>
      </c>
      <c r="I546" s="121">
        <v>110.0</v>
      </c>
      <c r="J546" s="122">
        <v>9.27</v>
      </c>
      <c r="K546" s="123">
        <v>3.76</v>
      </c>
      <c r="L546" s="123">
        <v>0.565</v>
      </c>
      <c r="M546" s="123">
        <v>0.585</v>
      </c>
      <c r="N546" s="124">
        <v>11.49</v>
      </c>
      <c r="O546" s="122">
        <v>4.19</v>
      </c>
      <c r="P546" s="124">
        <v>84.32</v>
      </c>
      <c r="Q546" s="109"/>
      <c r="R546" s="103">
        <f t="shared" si="1"/>
        <v>51402.15</v>
      </c>
      <c r="S546" s="103">
        <f t="shared" si="2"/>
        <v>20849.2</v>
      </c>
      <c r="T546" s="103">
        <f t="shared" si="3"/>
        <v>3132.925</v>
      </c>
      <c r="U546" s="103">
        <f t="shared" si="4"/>
        <v>3243.825</v>
      </c>
      <c r="V546" s="103">
        <f t="shared" si="5"/>
        <v>63712.05</v>
      </c>
      <c r="W546" s="103">
        <f t="shared" si="6"/>
        <v>23233.55</v>
      </c>
      <c r="X546" s="103">
        <f t="shared" si="7"/>
        <v>467554.4</v>
      </c>
    </row>
    <row r="547" ht="12.0" customHeight="1">
      <c r="A5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47" s="87" t="str">
        <f>IFERROR(__xludf.DUMMYFUNCTION("IFERROR(IF(F547&lt;&gt;"""",""WHSE ""&amp;LEFT(F547,1),REGEXEXTRACT(E547,""-(?:\d{2}-)?([A-Z]+)"")),"""")
"),"WHSE D")</f>
        <v>WHSE D</v>
      </c>
      <c r="C547" s="117">
        <v>46027.0</v>
      </c>
      <c r="D547" s="118" t="s">
        <v>60</v>
      </c>
      <c r="E547" s="87" t="s">
        <v>478</v>
      </c>
      <c r="F547" s="87" t="s">
        <v>479</v>
      </c>
      <c r="G547" s="119" t="s">
        <v>514</v>
      </c>
      <c r="H547" s="120">
        <v>23077.0</v>
      </c>
      <c r="I547" s="121">
        <v>541.0</v>
      </c>
      <c r="J547" s="122">
        <v>14.07</v>
      </c>
      <c r="K547" s="123">
        <v>2.81</v>
      </c>
      <c r="L547" s="123">
        <v>0.568</v>
      </c>
      <c r="M547" s="123">
        <v>0.588</v>
      </c>
      <c r="N547" s="124">
        <v>13.78</v>
      </c>
      <c r="O547" s="122">
        <v>3.55</v>
      </c>
      <c r="P547" s="124">
        <v>82.67</v>
      </c>
      <c r="Q547" s="118" t="s">
        <v>573</v>
      </c>
      <c r="R547" s="86">
        <f t="shared" si="1"/>
        <v>324693.39</v>
      </c>
      <c r="S547" s="86">
        <f t="shared" si="2"/>
        <v>64846.37</v>
      </c>
      <c r="T547" s="86">
        <f t="shared" si="3"/>
        <v>13107.736</v>
      </c>
      <c r="U547" s="86">
        <f t="shared" si="4"/>
        <v>13569.276</v>
      </c>
      <c r="V547" s="86">
        <f t="shared" si="5"/>
        <v>318001.06</v>
      </c>
      <c r="W547" s="86">
        <f t="shared" si="6"/>
        <v>81923.35</v>
      </c>
      <c r="X547" s="86">
        <f t="shared" si="7"/>
        <v>1907775.59</v>
      </c>
    </row>
    <row r="548" ht="12.0" customHeight="1">
      <c r="A5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48" s="87" t="str">
        <f>IFERROR(__xludf.DUMMYFUNCTION("IFERROR(IF(F548&lt;&gt;"""",""WHSE ""&amp;LEFT(F548,1),REGEXEXTRACT(E548,""-(?:\d{2}-)?([A-Z]+)"")),"""")
"),"")</f>
        <v/>
      </c>
      <c r="C548" s="108"/>
      <c r="D548" s="109"/>
      <c r="E548" s="110"/>
      <c r="F548" s="110"/>
      <c r="G548" s="111"/>
      <c r="H548" s="112"/>
      <c r="I548" s="113"/>
      <c r="J548" s="114"/>
      <c r="K548" s="115"/>
      <c r="L548" s="115"/>
      <c r="M548" s="115"/>
      <c r="N548" s="116"/>
      <c r="O548" s="114"/>
      <c r="P548" s="116"/>
      <c r="Q548" s="109"/>
      <c r="R548" s="103">
        <f t="shared" si="1"/>
        <v>0</v>
      </c>
      <c r="S548" s="103">
        <f t="shared" si="2"/>
        <v>0</v>
      </c>
      <c r="T548" s="103">
        <f t="shared" si="3"/>
        <v>0</v>
      </c>
      <c r="U548" s="103">
        <f t="shared" si="4"/>
        <v>0</v>
      </c>
      <c r="V548" s="103">
        <f t="shared" si="5"/>
        <v>0</v>
      </c>
      <c r="W548" s="103">
        <f t="shared" si="6"/>
        <v>0</v>
      </c>
      <c r="X548" s="103">
        <f t="shared" si="7"/>
        <v>0</v>
      </c>
    </row>
    <row r="549" ht="12.0" customHeight="1">
      <c r="A5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49" s="87" t="str">
        <f>IFERROR(__xludf.DUMMYFUNCTION("IFERROR(IF(F549&lt;&gt;"""",""WHSE ""&amp;LEFT(F549,1),REGEXEXTRACT(E549,""-(?:\d{2}-)?([A-Z]+)"")),"""")
"),"WHSE A")</f>
        <v>WHSE A</v>
      </c>
      <c r="C549" s="117">
        <v>46028.0</v>
      </c>
      <c r="D549" s="118" t="s">
        <v>72</v>
      </c>
      <c r="E549" s="87" t="s">
        <v>574</v>
      </c>
      <c r="F549" s="87" t="s">
        <v>285</v>
      </c>
      <c r="G549" s="119" t="s">
        <v>77</v>
      </c>
      <c r="H549" s="120">
        <v>17775.0</v>
      </c>
      <c r="I549" s="121">
        <v>430.0</v>
      </c>
      <c r="J549" s="122">
        <v>11.8</v>
      </c>
      <c r="K549" s="123">
        <v>2.61</v>
      </c>
      <c r="L549" s="123">
        <v>0.578</v>
      </c>
      <c r="M549" s="123">
        <v>0.598</v>
      </c>
      <c r="N549" s="124">
        <v>12.41</v>
      </c>
      <c r="O549" s="122">
        <v>3.98</v>
      </c>
      <c r="P549" s="124">
        <v>83.61</v>
      </c>
      <c r="Q549" s="109"/>
      <c r="R549" s="103">
        <f t="shared" si="1"/>
        <v>209745</v>
      </c>
      <c r="S549" s="103">
        <f t="shared" si="2"/>
        <v>46392.75</v>
      </c>
      <c r="T549" s="103">
        <f t="shared" si="3"/>
        <v>10273.95</v>
      </c>
      <c r="U549" s="103">
        <f t="shared" si="4"/>
        <v>10629.45</v>
      </c>
      <c r="V549" s="103">
        <f t="shared" si="5"/>
        <v>220587.75</v>
      </c>
      <c r="W549" s="103">
        <f t="shared" si="6"/>
        <v>70744.5</v>
      </c>
      <c r="X549" s="103">
        <f t="shared" si="7"/>
        <v>1486167.75</v>
      </c>
    </row>
    <row r="550" ht="12.0" customHeight="1">
      <c r="A5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50" s="87" t="str">
        <f>IFERROR(__xludf.DUMMYFUNCTION("IFERROR(IF(F550&lt;&gt;"""",""WHSE ""&amp;LEFT(F550,1),REGEXEXTRACT(E550,""-(?:\d{2}-)?([A-Z]+)"")),"""")
"),"WHSE A")</f>
        <v>WHSE A</v>
      </c>
      <c r="C550" s="117">
        <v>46028.0</v>
      </c>
      <c r="D550" s="118" t="s">
        <v>265</v>
      </c>
      <c r="E550" s="87" t="s">
        <v>554</v>
      </c>
      <c r="F550" s="87" t="s">
        <v>555</v>
      </c>
      <c r="G550" s="119" t="s">
        <v>457</v>
      </c>
      <c r="H550" s="120">
        <v>10140.0</v>
      </c>
      <c r="I550" s="121">
        <v>264.0</v>
      </c>
      <c r="J550" s="122">
        <v>9.8</v>
      </c>
      <c r="K550" s="123">
        <v>2.8</v>
      </c>
      <c r="L550" s="123">
        <v>0.575</v>
      </c>
      <c r="M550" s="123">
        <v>0.595</v>
      </c>
      <c r="N550" s="124">
        <v>13.64</v>
      </c>
      <c r="O550" s="122">
        <v>3.73</v>
      </c>
      <c r="P550" s="124">
        <v>82.63</v>
      </c>
      <c r="Q550" s="109"/>
      <c r="R550" s="103">
        <f t="shared" si="1"/>
        <v>99372</v>
      </c>
      <c r="S550" s="103">
        <f t="shared" si="2"/>
        <v>28392</v>
      </c>
      <c r="T550" s="103">
        <f t="shared" si="3"/>
        <v>5830.5</v>
      </c>
      <c r="U550" s="103">
        <f t="shared" si="4"/>
        <v>6033.3</v>
      </c>
      <c r="V550" s="103">
        <f t="shared" si="5"/>
        <v>138309.6</v>
      </c>
      <c r="W550" s="103">
        <f t="shared" si="6"/>
        <v>37822.2</v>
      </c>
      <c r="X550" s="103">
        <f t="shared" si="7"/>
        <v>837868.2</v>
      </c>
    </row>
    <row r="551" ht="12.0" customHeight="1">
      <c r="A5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51" s="87" t="str">
        <f>IFERROR(__xludf.DUMMYFUNCTION("IFERROR(IF(F551&lt;&gt;"""",""WHSE ""&amp;LEFT(F551,1),REGEXEXTRACT(E551,""-(?:\d{2}-)?([A-Z]+)"")),"""")
"),"")</f>
        <v/>
      </c>
      <c r="C551" s="108"/>
      <c r="D551" s="109"/>
      <c r="E551" s="110"/>
      <c r="F551" s="110"/>
      <c r="G551" s="111"/>
      <c r="H551" s="112"/>
      <c r="I551" s="113"/>
      <c r="J551" s="114"/>
      <c r="K551" s="115"/>
      <c r="L551" s="115"/>
      <c r="M551" s="115"/>
      <c r="N551" s="116"/>
      <c r="O551" s="114"/>
      <c r="P551" s="116"/>
      <c r="Q551" s="109"/>
      <c r="R551" s="103">
        <f t="shared" si="1"/>
        <v>0</v>
      </c>
      <c r="S551" s="103">
        <f t="shared" si="2"/>
        <v>0</v>
      </c>
      <c r="T551" s="103">
        <f t="shared" si="3"/>
        <v>0</v>
      </c>
      <c r="U551" s="103">
        <f t="shared" si="4"/>
        <v>0</v>
      </c>
      <c r="V551" s="103">
        <f t="shared" si="5"/>
        <v>0</v>
      </c>
      <c r="W551" s="103">
        <f t="shared" si="6"/>
        <v>0</v>
      </c>
      <c r="X551" s="103">
        <f t="shared" si="7"/>
        <v>0</v>
      </c>
    </row>
    <row r="552" ht="12.0" customHeight="1">
      <c r="A5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52" s="87" t="str">
        <f>IFERROR(__xludf.DUMMYFUNCTION("IFERROR(IF(F552&lt;&gt;"""",""WHSE ""&amp;LEFT(F552,1),REGEXEXTRACT(E552,""-(?:\d{2}-)?([A-Z]+)"")),"""")
"),"WHSE A")</f>
        <v>WHSE A</v>
      </c>
      <c r="C552" s="117">
        <v>46029.0</v>
      </c>
      <c r="D552" s="118" t="s">
        <v>72</v>
      </c>
      <c r="E552" s="87" t="s">
        <v>574</v>
      </c>
      <c r="F552" s="87" t="s">
        <v>285</v>
      </c>
      <c r="G552" s="119" t="s">
        <v>73</v>
      </c>
      <c r="H552" s="120">
        <v>19870.0</v>
      </c>
      <c r="I552" s="121">
        <v>432.0</v>
      </c>
      <c r="J552" s="122">
        <v>12.2</v>
      </c>
      <c r="K552" s="123">
        <v>2.41</v>
      </c>
      <c r="L552" s="123">
        <v>0.575</v>
      </c>
      <c r="M552" s="123">
        <v>0.595</v>
      </c>
      <c r="N552" s="124">
        <v>12.68</v>
      </c>
      <c r="O552" s="122">
        <v>3.88</v>
      </c>
      <c r="P552" s="124">
        <v>83.44</v>
      </c>
      <c r="Q552" s="118" t="s">
        <v>575</v>
      </c>
      <c r="R552" s="86">
        <f t="shared" si="1"/>
        <v>242414</v>
      </c>
      <c r="S552" s="86">
        <f t="shared" si="2"/>
        <v>47886.7</v>
      </c>
      <c r="T552" s="86">
        <f t="shared" si="3"/>
        <v>11425.25</v>
      </c>
      <c r="U552" s="86">
        <f t="shared" si="4"/>
        <v>11822.65</v>
      </c>
      <c r="V552" s="86">
        <f t="shared" si="5"/>
        <v>251951.6</v>
      </c>
      <c r="W552" s="86">
        <f t="shared" si="6"/>
        <v>77095.6</v>
      </c>
      <c r="X552" s="86">
        <f t="shared" si="7"/>
        <v>1657952.8</v>
      </c>
    </row>
    <row r="553" ht="12.0" customHeight="1">
      <c r="A5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53" s="87" t="str">
        <f>IFERROR(__xludf.DUMMYFUNCTION("IFERROR(IF(F553&lt;&gt;"""",""WHSE ""&amp;LEFT(F553,1),REGEXEXTRACT(E553,""-(?:\d{2}-)?([A-Z]+)"")),"""")
"),"WHSE A")</f>
        <v>WHSE A</v>
      </c>
      <c r="C553" s="117">
        <v>46029.0</v>
      </c>
      <c r="D553" s="118" t="s">
        <v>72</v>
      </c>
      <c r="E553" s="87" t="s">
        <v>574</v>
      </c>
      <c r="F553" s="87" t="s">
        <v>285</v>
      </c>
      <c r="G553" s="119" t="s">
        <v>512</v>
      </c>
      <c r="H553" s="120">
        <v>18665.0</v>
      </c>
      <c r="I553" s="121">
        <v>507.0</v>
      </c>
      <c r="J553" s="122">
        <v>11.94</v>
      </c>
      <c r="K553" s="123">
        <v>2.63</v>
      </c>
      <c r="L553" s="123">
        <v>0.581</v>
      </c>
      <c r="M553" s="123">
        <v>0.601</v>
      </c>
      <c r="N553" s="124">
        <v>14.24</v>
      </c>
      <c r="O553" s="122">
        <v>3.04</v>
      </c>
      <c r="P553" s="124">
        <v>82.72</v>
      </c>
      <c r="Q553" s="109"/>
      <c r="R553" s="103">
        <f t="shared" si="1"/>
        <v>222860.1</v>
      </c>
      <c r="S553" s="103">
        <f t="shared" si="2"/>
        <v>49088.95</v>
      </c>
      <c r="T553" s="103">
        <f t="shared" si="3"/>
        <v>10844.365</v>
      </c>
      <c r="U553" s="103">
        <f t="shared" si="4"/>
        <v>11217.665</v>
      </c>
      <c r="V553" s="103">
        <f t="shared" si="5"/>
        <v>265789.6</v>
      </c>
      <c r="W553" s="103">
        <f t="shared" si="6"/>
        <v>56741.6</v>
      </c>
      <c r="X553" s="103">
        <f t="shared" si="7"/>
        <v>1543968.8</v>
      </c>
    </row>
    <row r="554" ht="12.0" customHeight="1">
      <c r="A5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54" s="87" t="str">
        <f>IFERROR(__xludf.DUMMYFUNCTION("IFERROR(IF(F554&lt;&gt;"""",""WHSE ""&amp;LEFT(F554,1),REGEXEXTRACT(E554,""-(?:\d{2}-)?([A-Z]+)"")),"""")
"),"")</f>
        <v/>
      </c>
      <c r="C554" s="108"/>
      <c r="D554" s="109"/>
      <c r="E554" s="110"/>
      <c r="F554" s="110"/>
      <c r="G554" s="111"/>
      <c r="H554" s="112"/>
      <c r="I554" s="113"/>
      <c r="J554" s="114"/>
      <c r="K554" s="115"/>
      <c r="L554" s="115"/>
      <c r="M554" s="115"/>
      <c r="N554" s="116"/>
      <c r="O554" s="114"/>
      <c r="P554" s="116"/>
      <c r="Q554" s="109"/>
      <c r="R554" s="103">
        <f t="shared" si="1"/>
        <v>0</v>
      </c>
      <c r="S554" s="103">
        <f t="shared" si="2"/>
        <v>0</v>
      </c>
      <c r="T554" s="103">
        <f t="shared" si="3"/>
        <v>0</v>
      </c>
      <c r="U554" s="103">
        <f t="shared" si="4"/>
        <v>0</v>
      </c>
      <c r="V554" s="103">
        <f t="shared" si="5"/>
        <v>0</v>
      </c>
      <c r="W554" s="103">
        <f t="shared" si="6"/>
        <v>0</v>
      </c>
      <c r="X554" s="103">
        <f t="shared" si="7"/>
        <v>0</v>
      </c>
    </row>
    <row r="555" ht="12.0" customHeight="1">
      <c r="A5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55" s="87" t="str">
        <f>IFERROR(__xludf.DUMMYFUNCTION("IFERROR(IF(F555&lt;&gt;"""",""WHSE ""&amp;LEFT(F555,1),REGEXEXTRACT(E555,""-(?:\d{2}-)?([A-Z]+)"")),"""")
"),"WHSE A")</f>
        <v>WHSE A</v>
      </c>
      <c r="C555" s="117">
        <v>46030.0</v>
      </c>
      <c r="D555" s="118" t="s">
        <v>72</v>
      </c>
      <c r="E555" s="87" t="s">
        <v>576</v>
      </c>
      <c r="F555" s="87" t="s">
        <v>257</v>
      </c>
      <c r="G555" s="119" t="s">
        <v>73</v>
      </c>
      <c r="H555" s="120">
        <v>18505.0</v>
      </c>
      <c r="I555" s="121">
        <v>475.0</v>
      </c>
      <c r="J555" s="122">
        <v>11.74</v>
      </c>
      <c r="K555" s="123">
        <v>2.71</v>
      </c>
      <c r="L555" s="123">
        <v>0.575</v>
      </c>
      <c r="M555" s="123">
        <v>0.595</v>
      </c>
      <c r="N555" s="124">
        <v>13.61</v>
      </c>
      <c r="O555" s="122">
        <v>3.28</v>
      </c>
      <c r="P555" s="124">
        <v>83.11</v>
      </c>
      <c r="Q555" s="109"/>
      <c r="R555" s="103">
        <f t="shared" si="1"/>
        <v>217248.7</v>
      </c>
      <c r="S555" s="103">
        <f t="shared" si="2"/>
        <v>50148.55</v>
      </c>
      <c r="T555" s="103">
        <f t="shared" si="3"/>
        <v>10640.375</v>
      </c>
      <c r="U555" s="103">
        <f t="shared" si="4"/>
        <v>11010.475</v>
      </c>
      <c r="V555" s="103">
        <f t="shared" si="5"/>
        <v>251853.05</v>
      </c>
      <c r="W555" s="103">
        <f t="shared" si="6"/>
        <v>60696.4</v>
      </c>
      <c r="X555" s="103">
        <f t="shared" si="7"/>
        <v>1537950.55</v>
      </c>
    </row>
    <row r="556" ht="12.0" customHeight="1">
      <c r="A5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56" s="87" t="str">
        <f>IFERROR(__xludf.DUMMYFUNCTION("IFERROR(IF(F556&lt;&gt;"""",""WHSE ""&amp;LEFT(F556,1),REGEXEXTRACT(E556,""-(?:\d{2}-)?([A-Z]+)"")),"""")
"),"WHSE D")</f>
        <v>WHSE D</v>
      </c>
      <c r="C556" s="117">
        <v>46030.0</v>
      </c>
      <c r="D556" s="118" t="s">
        <v>577</v>
      </c>
      <c r="E556" s="87" t="s">
        <v>578</v>
      </c>
      <c r="F556" s="87" t="s">
        <v>579</v>
      </c>
      <c r="G556" s="119" t="s">
        <v>491</v>
      </c>
      <c r="H556" s="120">
        <v>5267.0</v>
      </c>
      <c r="I556" s="121">
        <v>128.0</v>
      </c>
      <c r="J556" s="122">
        <v>12.07</v>
      </c>
      <c r="K556" s="123">
        <v>2.22</v>
      </c>
      <c r="L556" s="123">
        <v>0.581</v>
      </c>
      <c r="M556" s="123">
        <v>0.601</v>
      </c>
      <c r="N556" s="124">
        <v>13.78</v>
      </c>
      <c r="O556" s="122">
        <v>2.49</v>
      </c>
      <c r="P556" s="124">
        <v>83.73</v>
      </c>
      <c r="Q556" s="118" t="s">
        <v>580</v>
      </c>
      <c r="R556" s="86">
        <f t="shared" si="1"/>
        <v>63572.69</v>
      </c>
      <c r="S556" s="86">
        <f t="shared" si="2"/>
        <v>11692.74</v>
      </c>
      <c r="T556" s="86">
        <f t="shared" si="3"/>
        <v>3060.127</v>
      </c>
      <c r="U556" s="86">
        <f t="shared" si="4"/>
        <v>3165.467</v>
      </c>
      <c r="V556" s="86">
        <f t="shared" si="5"/>
        <v>72579.26</v>
      </c>
      <c r="W556" s="86">
        <f t="shared" si="6"/>
        <v>13114.83</v>
      </c>
      <c r="X556" s="86">
        <f t="shared" si="7"/>
        <v>441005.91</v>
      </c>
    </row>
    <row r="557" ht="12.0" customHeight="1">
      <c r="A5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57" s="87" t="str">
        <f>IFERROR(__xludf.DUMMYFUNCTION("IFERROR(IF(F557&lt;&gt;"""",""WHSE ""&amp;LEFT(F557,1),REGEXEXTRACT(E557,""-(?:\d{2}-)?([A-Z]+)"")),"""")
"),"WHSE A")</f>
        <v>WHSE A</v>
      </c>
      <c r="C557" s="117">
        <v>46030.0</v>
      </c>
      <c r="D557" s="118" t="s">
        <v>577</v>
      </c>
      <c r="E557" s="87" t="s">
        <v>581</v>
      </c>
      <c r="F557" s="87" t="s">
        <v>582</v>
      </c>
      <c r="G557" s="125"/>
      <c r="H557" s="120">
        <v>556.0</v>
      </c>
      <c r="I557" s="121">
        <v>15.0</v>
      </c>
      <c r="J557" s="122">
        <v>9.8</v>
      </c>
      <c r="K557" s="123">
        <v>2.22</v>
      </c>
      <c r="L557" s="123">
        <v>0.581</v>
      </c>
      <c r="M557" s="123">
        <v>0.601</v>
      </c>
      <c r="N557" s="124">
        <v>13.78</v>
      </c>
      <c r="O557" s="122">
        <v>2.49</v>
      </c>
      <c r="P557" s="124">
        <v>83.73</v>
      </c>
      <c r="Q557" s="118"/>
      <c r="R557" s="86">
        <f t="shared" si="1"/>
        <v>5448.8</v>
      </c>
      <c r="S557" s="86">
        <f t="shared" si="2"/>
        <v>1234.32</v>
      </c>
      <c r="T557" s="86">
        <f t="shared" si="3"/>
        <v>323.036</v>
      </c>
      <c r="U557" s="86">
        <f t="shared" si="4"/>
        <v>334.156</v>
      </c>
      <c r="V557" s="86">
        <f t="shared" si="5"/>
        <v>7661.68</v>
      </c>
      <c r="W557" s="86">
        <f t="shared" si="6"/>
        <v>1384.44</v>
      </c>
      <c r="X557" s="86">
        <f t="shared" si="7"/>
        <v>46553.88</v>
      </c>
    </row>
    <row r="558" ht="12.0" customHeight="1">
      <c r="A5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58" s="87" t="str">
        <f>IFERROR(__xludf.DUMMYFUNCTION("IFERROR(IF(F558&lt;&gt;"""",""WHSE ""&amp;LEFT(F558,1),REGEXEXTRACT(E558,""-(?:\d{2}-)?([A-Z]+)"")),"""")
"),"FEED")</f>
        <v>FEED</v>
      </c>
      <c r="C558" s="117">
        <v>46030.0</v>
      </c>
      <c r="D558" s="118" t="s">
        <v>286</v>
      </c>
      <c r="E558" s="87" t="s">
        <v>583</v>
      </c>
      <c r="F558" s="110"/>
      <c r="G558" s="119" t="s">
        <v>77</v>
      </c>
      <c r="H558" s="120">
        <v>17550.0</v>
      </c>
      <c r="I558" s="121">
        <v>488.0</v>
      </c>
      <c r="J558" s="122">
        <v>11.07</v>
      </c>
      <c r="K558" s="123">
        <v>3.61</v>
      </c>
      <c r="L558" s="123">
        <v>0.581</v>
      </c>
      <c r="M558" s="123">
        <v>0.601</v>
      </c>
      <c r="N558" s="124">
        <v>14.22</v>
      </c>
      <c r="O558" s="122">
        <v>3.89</v>
      </c>
      <c r="P558" s="124">
        <v>81.89</v>
      </c>
      <c r="Q558" s="109"/>
      <c r="R558" s="103">
        <f t="shared" si="1"/>
        <v>194278.5</v>
      </c>
      <c r="S558" s="103">
        <f t="shared" si="2"/>
        <v>63355.5</v>
      </c>
      <c r="T558" s="103">
        <f t="shared" si="3"/>
        <v>10196.55</v>
      </c>
      <c r="U558" s="103">
        <f t="shared" si="4"/>
        <v>10547.55</v>
      </c>
      <c r="V558" s="103">
        <f t="shared" si="5"/>
        <v>249561</v>
      </c>
      <c r="W558" s="103">
        <f t="shared" si="6"/>
        <v>68269.5</v>
      </c>
      <c r="X558" s="103">
        <f t="shared" si="7"/>
        <v>1437169.5</v>
      </c>
    </row>
    <row r="559" ht="12.0" customHeight="1">
      <c r="A5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59" s="87" t="str">
        <f>IFERROR(__xludf.DUMMYFUNCTION("IFERROR(IF(F559&lt;&gt;"""",""WHSE ""&amp;LEFT(F559,1),REGEXEXTRACT(E559,""-(?:\d{2}-)?([A-Z]+)"")),"""")
"),"WHSE D")</f>
        <v>WHSE D</v>
      </c>
      <c r="C559" s="117">
        <v>46030.0</v>
      </c>
      <c r="D559" s="118" t="s">
        <v>60</v>
      </c>
      <c r="E559" s="87" t="s">
        <v>584</v>
      </c>
      <c r="F559" s="87" t="s">
        <v>585</v>
      </c>
      <c r="G559" s="119" t="s">
        <v>63</v>
      </c>
      <c r="H559" s="120">
        <v>15329.0</v>
      </c>
      <c r="I559" s="121">
        <v>365.0</v>
      </c>
      <c r="J559" s="122">
        <v>13.8</v>
      </c>
      <c r="K559" s="123">
        <v>2.67</v>
      </c>
      <c r="L559" s="123">
        <v>0.571</v>
      </c>
      <c r="M559" s="123">
        <v>0.591</v>
      </c>
      <c r="N559" s="124">
        <v>11.94</v>
      </c>
      <c r="O559" s="122">
        <v>3.95</v>
      </c>
      <c r="P559" s="124">
        <v>84.11</v>
      </c>
      <c r="Q559" s="118" t="s">
        <v>586</v>
      </c>
      <c r="R559" s="86">
        <f t="shared" si="1"/>
        <v>211540.2</v>
      </c>
      <c r="S559" s="86">
        <f t="shared" si="2"/>
        <v>40928.43</v>
      </c>
      <c r="T559" s="86">
        <f t="shared" si="3"/>
        <v>8752.859</v>
      </c>
      <c r="U559" s="86">
        <f t="shared" si="4"/>
        <v>9059.439</v>
      </c>
      <c r="V559" s="86">
        <f t="shared" si="5"/>
        <v>183028.26</v>
      </c>
      <c r="W559" s="86">
        <f t="shared" si="6"/>
        <v>60549.55</v>
      </c>
      <c r="X559" s="86">
        <f t="shared" si="7"/>
        <v>1289322.19</v>
      </c>
    </row>
    <row r="560" ht="12.0" customHeight="1">
      <c r="A5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60" s="87" t="str">
        <f>IFERROR(__xludf.DUMMYFUNCTION("IFERROR(IF(F560&lt;&gt;"""",""WHSE ""&amp;LEFT(F560,1),REGEXEXTRACT(E560,""-(?:\d{2}-)?([A-Z]+)"")),"""")
"),"WHSE A")</f>
        <v>WHSE A</v>
      </c>
      <c r="C560" s="117">
        <v>46030.0</v>
      </c>
      <c r="D560" s="118" t="s">
        <v>232</v>
      </c>
      <c r="E560" s="87" t="s">
        <v>570</v>
      </c>
      <c r="F560" s="87" t="s">
        <v>571</v>
      </c>
      <c r="G560" s="119" t="s">
        <v>235</v>
      </c>
      <c r="H560" s="120">
        <v>12170.0</v>
      </c>
      <c r="I560" s="121">
        <v>275.0</v>
      </c>
      <c r="J560" s="122">
        <v>9.54</v>
      </c>
      <c r="K560" s="123">
        <v>3.41</v>
      </c>
      <c r="L560" s="123">
        <v>0.578</v>
      </c>
      <c r="M560" s="123">
        <v>0.598</v>
      </c>
      <c r="N560" s="124">
        <v>15.54</v>
      </c>
      <c r="O560" s="122">
        <v>2.75</v>
      </c>
      <c r="P560" s="124">
        <v>81.71</v>
      </c>
      <c r="Q560" s="109"/>
      <c r="R560" s="103">
        <f t="shared" si="1"/>
        <v>116101.8</v>
      </c>
      <c r="S560" s="103">
        <f t="shared" si="2"/>
        <v>41499.7</v>
      </c>
      <c r="T560" s="103">
        <f t="shared" si="3"/>
        <v>7034.26</v>
      </c>
      <c r="U560" s="103">
        <f t="shared" si="4"/>
        <v>7277.66</v>
      </c>
      <c r="V560" s="103">
        <f t="shared" si="5"/>
        <v>189121.8</v>
      </c>
      <c r="W560" s="103">
        <f t="shared" si="6"/>
        <v>33467.5</v>
      </c>
      <c r="X560" s="103">
        <f t="shared" si="7"/>
        <v>994410.7</v>
      </c>
    </row>
    <row r="561" ht="12.0" customHeight="1">
      <c r="A5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61" s="87" t="str">
        <f>IFERROR(__xludf.DUMMYFUNCTION("IFERROR(IF(F561&lt;&gt;"""",""WHSE ""&amp;LEFT(F561,1),REGEXEXTRACT(E561,""-(?:\d{2}-)?([A-Z]+)"")),"""")
"),"")</f>
        <v/>
      </c>
      <c r="C561" s="108"/>
      <c r="D561" s="109"/>
      <c r="E561" s="110"/>
      <c r="F561" s="110"/>
      <c r="G561" s="111"/>
      <c r="H561" s="112"/>
      <c r="I561" s="113"/>
      <c r="J561" s="114"/>
      <c r="K561" s="115"/>
      <c r="L561" s="115"/>
      <c r="M561" s="115"/>
      <c r="N561" s="116"/>
      <c r="O561" s="114"/>
      <c r="P561" s="116"/>
      <c r="Q561" s="109"/>
      <c r="R561" s="103">
        <f t="shared" si="1"/>
        <v>0</v>
      </c>
      <c r="S561" s="103">
        <f t="shared" si="2"/>
        <v>0</v>
      </c>
      <c r="T561" s="103">
        <f t="shared" si="3"/>
        <v>0</v>
      </c>
      <c r="U561" s="103">
        <f t="shared" si="4"/>
        <v>0</v>
      </c>
      <c r="V561" s="103">
        <f t="shared" si="5"/>
        <v>0</v>
      </c>
      <c r="W561" s="103">
        <f t="shared" si="6"/>
        <v>0</v>
      </c>
      <c r="X561" s="103">
        <f t="shared" si="7"/>
        <v>0</v>
      </c>
    </row>
    <row r="562" ht="12.0" customHeight="1">
      <c r="A5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62" s="87" t="str">
        <f>IFERROR(__xludf.DUMMYFUNCTION("IFERROR(IF(F562&lt;&gt;"""",""WHSE ""&amp;LEFT(F562,1),REGEXEXTRACT(E562,""-(?:\d{2}-)?([A-Z]+)"")),"""")
"),"WHSE A")</f>
        <v>WHSE A</v>
      </c>
      <c r="C562" s="117">
        <v>46031.0</v>
      </c>
      <c r="D562" s="118" t="s">
        <v>72</v>
      </c>
      <c r="E562" s="87" t="s">
        <v>576</v>
      </c>
      <c r="F562" s="87" t="s">
        <v>257</v>
      </c>
      <c r="G562" s="119" t="s">
        <v>73</v>
      </c>
      <c r="H562" s="120">
        <v>19220.0</v>
      </c>
      <c r="I562" s="121">
        <v>478.0</v>
      </c>
      <c r="J562" s="122">
        <v>12.8</v>
      </c>
      <c r="K562" s="123">
        <v>2.15</v>
      </c>
      <c r="L562" s="123">
        <v>0.578</v>
      </c>
      <c r="M562" s="123">
        <v>0.598</v>
      </c>
      <c r="N562" s="124">
        <v>11.68</v>
      </c>
      <c r="O562" s="122">
        <v>3.5</v>
      </c>
      <c r="P562" s="124">
        <v>84.82</v>
      </c>
      <c r="Q562" s="118" t="s">
        <v>587</v>
      </c>
      <c r="R562" s="86">
        <f t="shared" si="1"/>
        <v>246016</v>
      </c>
      <c r="S562" s="86">
        <f t="shared" si="2"/>
        <v>41323</v>
      </c>
      <c r="T562" s="86">
        <f t="shared" si="3"/>
        <v>11109.16</v>
      </c>
      <c r="U562" s="86">
        <f t="shared" si="4"/>
        <v>11493.56</v>
      </c>
      <c r="V562" s="86">
        <f t="shared" si="5"/>
        <v>224489.6</v>
      </c>
      <c r="W562" s="86">
        <f t="shared" si="6"/>
        <v>67270</v>
      </c>
      <c r="X562" s="86">
        <f t="shared" si="7"/>
        <v>1630240.4</v>
      </c>
    </row>
    <row r="563" ht="12.0" customHeight="1">
      <c r="A5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63" s="87" t="str">
        <f>IFERROR(__xludf.DUMMYFUNCTION("IFERROR(IF(F563&lt;&gt;"""",""WHSE ""&amp;LEFT(F563,1),REGEXEXTRACT(E563,""-(?:\d{2}-)?([A-Z]+)"")),"""")
"),"FEED")</f>
        <v>FEED</v>
      </c>
      <c r="C563" s="117">
        <v>46031.0</v>
      </c>
      <c r="D563" s="118" t="s">
        <v>72</v>
      </c>
      <c r="E563" s="87" t="s">
        <v>588</v>
      </c>
      <c r="F563" s="110"/>
      <c r="G563" s="119" t="s">
        <v>512</v>
      </c>
      <c r="H563" s="120">
        <v>21095.0</v>
      </c>
      <c r="I563" s="121">
        <v>534.0</v>
      </c>
      <c r="J563" s="122">
        <v>11.87</v>
      </c>
      <c r="K563" s="123">
        <v>2.61</v>
      </c>
      <c r="L563" s="123">
        <v>0.575</v>
      </c>
      <c r="M563" s="123">
        <v>0.595</v>
      </c>
      <c r="N563" s="124">
        <v>13.44</v>
      </c>
      <c r="O563" s="122">
        <v>2.87</v>
      </c>
      <c r="P563" s="124">
        <v>83.69</v>
      </c>
      <c r="Q563" s="109"/>
      <c r="R563" s="103">
        <f t="shared" si="1"/>
        <v>250397.65</v>
      </c>
      <c r="S563" s="103">
        <f t="shared" si="2"/>
        <v>55057.95</v>
      </c>
      <c r="T563" s="103">
        <f t="shared" si="3"/>
        <v>12129.625</v>
      </c>
      <c r="U563" s="103">
        <f t="shared" si="4"/>
        <v>12551.525</v>
      </c>
      <c r="V563" s="103">
        <f t="shared" si="5"/>
        <v>283516.8</v>
      </c>
      <c r="W563" s="103">
        <f t="shared" si="6"/>
        <v>60542.65</v>
      </c>
      <c r="X563" s="103">
        <f t="shared" si="7"/>
        <v>1765440.55</v>
      </c>
    </row>
    <row r="564" ht="12.0" customHeight="1">
      <c r="A5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64" s="87" t="str">
        <f>IFERROR(__xludf.DUMMYFUNCTION("IFERROR(IF(F564&lt;&gt;"""",""WHSE ""&amp;LEFT(F564,1),REGEXEXTRACT(E564,""-(?:\d{2}-)?([A-Z]+)"")),"""")
"),"WHSE A")</f>
        <v>WHSE A</v>
      </c>
      <c r="C564" s="117">
        <v>46031.0</v>
      </c>
      <c r="D564" s="118" t="s">
        <v>232</v>
      </c>
      <c r="E564" s="87" t="s">
        <v>570</v>
      </c>
      <c r="F564" s="87" t="s">
        <v>571</v>
      </c>
      <c r="G564" s="119" t="s">
        <v>235</v>
      </c>
      <c r="H564" s="120">
        <v>11195.0</v>
      </c>
      <c r="I564" s="121">
        <v>345.0</v>
      </c>
      <c r="J564" s="122">
        <v>10.14</v>
      </c>
      <c r="K564" s="123">
        <v>3.11</v>
      </c>
      <c r="L564" s="123">
        <v>0.578</v>
      </c>
      <c r="M564" s="123">
        <v>0.598</v>
      </c>
      <c r="N564" s="124">
        <v>13.38</v>
      </c>
      <c r="O564" s="122">
        <v>2.56</v>
      </c>
      <c r="P564" s="124">
        <v>84.06</v>
      </c>
      <c r="Q564" s="109"/>
      <c r="R564" s="103">
        <f t="shared" si="1"/>
        <v>113517.3</v>
      </c>
      <c r="S564" s="103">
        <f t="shared" si="2"/>
        <v>34816.45</v>
      </c>
      <c r="T564" s="103">
        <f t="shared" si="3"/>
        <v>6470.71</v>
      </c>
      <c r="U564" s="103">
        <f t="shared" si="4"/>
        <v>6694.61</v>
      </c>
      <c r="V564" s="103">
        <f t="shared" si="5"/>
        <v>149789.1</v>
      </c>
      <c r="W564" s="103">
        <f t="shared" si="6"/>
        <v>28659.2</v>
      </c>
      <c r="X564" s="103">
        <f t="shared" si="7"/>
        <v>941051.7</v>
      </c>
    </row>
    <row r="565" ht="12.0" customHeight="1">
      <c r="A5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65" s="87" t="str">
        <f>IFERROR(__xludf.DUMMYFUNCTION("IFERROR(IF(F565&lt;&gt;"""",""WHSE ""&amp;LEFT(F565,1),REGEXEXTRACT(E565,""-(?:\d{2}-)?([A-Z]+)"")),"""")
"),"")</f>
        <v/>
      </c>
      <c r="C565" s="108"/>
      <c r="D565" s="109"/>
      <c r="E565" s="110"/>
      <c r="F565" s="110"/>
      <c r="G565" s="111"/>
      <c r="H565" s="112"/>
      <c r="I565" s="113"/>
      <c r="J565" s="114"/>
      <c r="K565" s="115"/>
      <c r="L565" s="115"/>
      <c r="M565" s="115"/>
      <c r="N565" s="116"/>
      <c r="O565" s="114"/>
      <c r="P565" s="116"/>
      <c r="Q565" s="109"/>
      <c r="R565" s="103">
        <f t="shared" si="1"/>
        <v>0</v>
      </c>
      <c r="S565" s="103">
        <f t="shared" si="2"/>
        <v>0</v>
      </c>
      <c r="T565" s="103">
        <f t="shared" si="3"/>
        <v>0</v>
      </c>
      <c r="U565" s="103">
        <f t="shared" si="4"/>
        <v>0</v>
      </c>
      <c r="V565" s="103">
        <f t="shared" si="5"/>
        <v>0</v>
      </c>
      <c r="W565" s="103">
        <f t="shared" si="6"/>
        <v>0</v>
      </c>
      <c r="X565" s="103">
        <f t="shared" si="7"/>
        <v>0</v>
      </c>
    </row>
    <row r="566" ht="12.0" customHeight="1">
      <c r="A5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66" s="87" t="str">
        <f>IFERROR(__xludf.DUMMYFUNCTION("IFERROR(IF(F566&lt;&gt;"""",""WHSE ""&amp;LEFT(F566,1),REGEXEXTRACT(E566,""-(?:\d{2}-)?([A-Z]+)"")),"""")
"),"WHSE A")</f>
        <v>WHSE A</v>
      </c>
      <c r="C566" s="117">
        <v>46032.0</v>
      </c>
      <c r="D566" s="118" t="s">
        <v>72</v>
      </c>
      <c r="E566" s="87" t="s">
        <v>576</v>
      </c>
      <c r="F566" s="87" t="s">
        <v>257</v>
      </c>
      <c r="G566" s="119" t="s">
        <v>77</v>
      </c>
      <c r="H566" s="120">
        <v>17626.0</v>
      </c>
      <c r="I566" s="121">
        <v>441.0</v>
      </c>
      <c r="J566" s="122">
        <v>12.67</v>
      </c>
      <c r="K566" s="123">
        <v>2.43</v>
      </c>
      <c r="L566" s="123">
        <v>0.578</v>
      </c>
      <c r="M566" s="123">
        <v>0.598</v>
      </c>
      <c r="N566" s="124">
        <v>13.14</v>
      </c>
      <c r="O566" s="122">
        <v>3.73</v>
      </c>
      <c r="P566" s="124">
        <v>83.13</v>
      </c>
      <c r="Q566" s="118" t="s">
        <v>589</v>
      </c>
      <c r="R566" s="86">
        <f t="shared" si="1"/>
        <v>223321.42</v>
      </c>
      <c r="S566" s="86">
        <f t="shared" si="2"/>
        <v>42831.18</v>
      </c>
      <c r="T566" s="86">
        <f t="shared" si="3"/>
        <v>10187.828</v>
      </c>
      <c r="U566" s="86">
        <f t="shared" si="4"/>
        <v>10540.348</v>
      </c>
      <c r="V566" s="86">
        <f t="shared" si="5"/>
        <v>231605.64</v>
      </c>
      <c r="W566" s="86">
        <f t="shared" si="6"/>
        <v>65744.98</v>
      </c>
      <c r="X566" s="86">
        <f t="shared" si="7"/>
        <v>1465249.38</v>
      </c>
    </row>
    <row r="567" ht="12.0" customHeight="1">
      <c r="A5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67" s="87" t="str">
        <f>IFERROR(__xludf.DUMMYFUNCTION("IFERROR(IF(F567&lt;&gt;"""",""WHSE ""&amp;LEFT(F567,1),REGEXEXTRACT(E567,""-(?:\d{2}-)?([A-Z]+)"")),"""")
"),"WHSE A")</f>
        <v>WHSE A</v>
      </c>
      <c r="C567" s="117">
        <v>46032.0</v>
      </c>
      <c r="D567" s="118" t="s">
        <v>72</v>
      </c>
      <c r="E567" s="87" t="s">
        <v>576</v>
      </c>
      <c r="F567" s="87" t="s">
        <v>257</v>
      </c>
      <c r="G567" s="119" t="s">
        <v>73</v>
      </c>
      <c r="H567" s="120">
        <v>20074.0</v>
      </c>
      <c r="I567" s="121">
        <v>419.0</v>
      </c>
      <c r="J567" s="122">
        <v>12.8</v>
      </c>
      <c r="K567" s="123">
        <v>2.33</v>
      </c>
      <c r="L567" s="123">
        <v>0.575</v>
      </c>
      <c r="M567" s="123">
        <v>0.595</v>
      </c>
      <c r="N567" s="124">
        <v>12.47</v>
      </c>
      <c r="O567" s="122">
        <v>3.58</v>
      </c>
      <c r="P567" s="124">
        <v>83.95</v>
      </c>
      <c r="Q567" s="118" t="s">
        <v>590</v>
      </c>
      <c r="R567" s="86">
        <f t="shared" si="1"/>
        <v>256947.2</v>
      </c>
      <c r="S567" s="86">
        <f t="shared" si="2"/>
        <v>46772.42</v>
      </c>
      <c r="T567" s="86">
        <f t="shared" si="3"/>
        <v>11542.55</v>
      </c>
      <c r="U567" s="86">
        <f t="shared" si="4"/>
        <v>11944.03</v>
      </c>
      <c r="V567" s="86">
        <f t="shared" si="5"/>
        <v>250322.78</v>
      </c>
      <c r="W567" s="86">
        <f t="shared" si="6"/>
        <v>71864.92</v>
      </c>
      <c r="X567" s="86">
        <f t="shared" si="7"/>
        <v>1685212.3</v>
      </c>
    </row>
    <row r="568" ht="12.0" customHeight="1">
      <c r="A5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68" s="87" t="str">
        <f>IFERROR(__xludf.DUMMYFUNCTION("IFERROR(IF(F568&lt;&gt;"""",""WHSE ""&amp;LEFT(F568,1),REGEXEXTRACT(E568,""-(?:\d{2}-)?([A-Z]+)"")),"""")
"),"WHSE A")</f>
        <v>WHSE A</v>
      </c>
      <c r="C568" s="117">
        <v>46032.0</v>
      </c>
      <c r="D568" s="118" t="s">
        <v>265</v>
      </c>
      <c r="E568" s="87" t="s">
        <v>570</v>
      </c>
      <c r="F568" s="87" t="s">
        <v>571</v>
      </c>
      <c r="G568" s="119" t="s">
        <v>591</v>
      </c>
      <c r="H568" s="120">
        <v>24290.0</v>
      </c>
      <c r="I568" s="121">
        <v>532.0</v>
      </c>
      <c r="J568" s="122">
        <v>10.6</v>
      </c>
      <c r="K568" s="123">
        <v>3.88</v>
      </c>
      <c r="L568" s="123">
        <v>0.562</v>
      </c>
      <c r="M568" s="123">
        <v>0.582</v>
      </c>
      <c r="N568" s="124">
        <v>14.68</v>
      </c>
      <c r="O568" s="122">
        <v>2.98</v>
      </c>
      <c r="P568" s="124">
        <v>82.34</v>
      </c>
      <c r="Q568" s="109"/>
      <c r="R568" s="103">
        <f t="shared" si="1"/>
        <v>257474</v>
      </c>
      <c r="S568" s="103">
        <f t="shared" si="2"/>
        <v>94245.2</v>
      </c>
      <c r="T568" s="103">
        <f t="shared" si="3"/>
        <v>13650.98</v>
      </c>
      <c r="U568" s="103">
        <f t="shared" si="4"/>
        <v>14136.78</v>
      </c>
      <c r="V568" s="103">
        <f t="shared" si="5"/>
        <v>356577.2</v>
      </c>
      <c r="W568" s="103">
        <f t="shared" si="6"/>
        <v>72384.2</v>
      </c>
      <c r="X568" s="103">
        <f t="shared" si="7"/>
        <v>2000038.6</v>
      </c>
    </row>
    <row r="569" ht="12.0" customHeight="1">
      <c r="A5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69" s="87" t="str">
        <f>IFERROR(__xludf.DUMMYFUNCTION("IFERROR(IF(F569&lt;&gt;"""",""WHSE ""&amp;LEFT(F569,1),REGEXEXTRACT(E569,""-(?:\d{2}-)?([A-Z]+)"")),"""")
"),"WHSE D")</f>
        <v>WHSE D</v>
      </c>
      <c r="C569" s="117">
        <v>46032.0</v>
      </c>
      <c r="D569" s="118" t="s">
        <v>592</v>
      </c>
      <c r="E569" s="87" t="s">
        <v>593</v>
      </c>
      <c r="F569" s="87" t="s">
        <v>594</v>
      </c>
      <c r="G569" s="119" t="s">
        <v>595</v>
      </c>
      <c r="H569" s="120">
        <v>18369.0</v>
      </c>
      <c r="I569" s="121">
        <v>432.0</v>
      </c>
      <c r="J569" s="122">
        <v>15.27</v>
      </c>
      <c r="K569" s="123">
        <v>2.53</v>
      </c>
      <c r="L569" s="123">
        <v>0.585</v>
      </c>
      <c r="M569" s="123">
        <v>0.605</v>
      </c>
      <c r="N569" s="124">
        <v>15.44</v>
      </c>
      <c r="O569" s="122">
        <v>3.67</v>
      </c>
      <c r="P569" s="124">
        <v>80.89</v>
      </c>
      <c r="Q569" s="118" t="s">
        <v>596</v>
      </c>
      <c r="R569" s="86">
        <f t="shared" si="1"/>
        <v>280494.63</v>
      </c>
      <c r="S569" s="86">
        <f t="shared" si="2"/>
        <v>46473.57</v>
      </c>
      <c r="T569" s="86">
        <f t="shared" si="3"/>
        <v>10745.865</v>
      </c>
      <c r="U569" s="86">
        <f t="shared" si="4"/>
        <v>11113.245</v>
      </c>
      <c r="V569" s="86">
        <f t="shared" si="5"/>
        <v>283617.36</v>
      </c>
      <c r="W569" s="86">
        <f t="shared" si="6"/>
        <v>67414.23</v>
      </c>
      <c r="X569" s="86">
        <f t="shared" si="7"/>
        <v>1485868.41</v>
      </c>
    </row>
    <row r="570" ht="12.0" customHeight="1">
      <c r="A5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70" s="87" t="str">
        <f>IFERROR(__xludf.DUMMYFUNCTION("IFERROR(IF(F570&lt;&gt;"""",""WHSE ""&amp;LEFT(F570,1),REGEXEXTRACT(E570,""-(?:\d{2}-)?([A-Z]+)"")),"""")
"),"")</f>
        <v/>
      </c>
      <c r="C570" s="108"/>
      <c r="D570" s="109"/>
      <c r="E570" s="110"/>
      <c r="F570" s="110"/>
      <c r="G570" s="111"/>
      <c r="H570" s="112"/>
      <c r="I570" s="113"/>
      <c r="J570" s="114"/>
      <c r="K570" s="115"/>
      <c r="L570" s="115"/>
      <c r="M570" s="115"/>
      <c r="N570" s="116"/>
      <c r="O570" s="114"/>
      <c r="P570" s="116"/>
      <c r="Q570" s="109"/>
      <c r="R570" s="103">
        <f t="shared" si="1"/>
        <v>0</v>
      </c>
      <c r="S570" s="103">
        <f t="shared" si="2"/>
        <v>0</v>
      </c>
      <c r="T570" s="103">
        <f t="shared" si="3"/>
        <v>0</v>
      </c>
      <c r="U570" s="103">
        <f t="shared" si="4"/>
        <v>0</v>
      </c>
      <c r="V570" s="103">
        <f t="shared" si="5"/>
        <v>0</v>
      </c>
      <c r="W570" s="103">
        <f t="shared" si="6"/>
        <v>0</v>
      </c>
      <c r="X570" s="103">
        <f t="shared" si="7"/>
        <v>0</v>
      </c>
    </row>
    <row r="571" ht="12.0" customHeight="1">
      <c r="A5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71" s="87" t="str">
        <f>IFERROR(__xludf.DUMMYFUNCTION("IFERROR(IF(F571&lt;&gt;"""",""WHSE ""&amp;LEFT(F571,1),REGEXEXTRACT(E571,""-(?:\d{2}-)?([A-Z]+)"")),"""")
"),"WHSE A")</f>
        <v>WHSE A</v>
      </c>
      <c r="C571" s="117">
        <v>46034.0</v>
      </c>
      <c r="D571" s="118" t="s">
        <v>72</v>
      </c>
      <c r="E571" s="87" t="s">
        <v>574</v>
      </c>
      <c r="F571" s="87" t="s">
        <v>285</v>
      </c>
      <c r="G571" s="119" t="s">
        <v>77</v>
      </c>
      <c r="H571" s="120">
        <v>17470.0</v>
      </c>
      <c r="I571" s="121">
        <v>441.0</v>
      </c>
      <c r="J571" s="122">
        <v>12.14</v>
      </c>
      <c r="K571" s="123">
        <v>2.61</v>
      </c>
      <c r="L571" s="123">
        <v>0.579</v>
      </c>
      <c r="M571" s="123">
        <v>0.599</v>
      </c>
      <c r="N571" s="124">
        <v>12.08</v>
      </c>
      <c r="O571" s="122">
        <v>2.58</v>
      </c>
      <c r="P571" s="124">
        <v>85.34</v>
      </c>
      <c r="Q571" s="118" t="s">
        <v>597</v>
      </c>
      <c r="R571" s="86">
        <f t="shared" si="1"/>
        <v>212085.8</v>
      </c>
      <c r="S571" s="86">
        <f t="shared" si="2"/>
        <v>45596.7</v>
      </c>
      <c r="T571" s="86">
        <f t="shared" si="3"/>
        <v>10115.13</v>
      </c>
      <c r="U571" s="86">
        <f t="shared" si="4"/>
        <v>10464.53</v>
      </c>
      <c r="V571" s="86">
        <f t="shared" si="5"/>
        <v>211037.6</v>
      </c>
      <c r="W571" s="86">
        <f t="shared" si="6"/>
        <v>45072.6</v>
      </c>
      <c r="X571" s="86">
        <f t="shared" si="7"/>
        <v>1490889.8</v>
      </c>
    </row>
    <row r="572" ht="12.0" customHeight="1">
      <c r="A5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72" s="87" t="str">
        <f>IFERROR(__xludf.DUMMYFUNCTION("IFERROR(IF(F572&lt;&gt;"""",""WHSE ""&amp;LEFT(F572,1),REGEXEXTRACT(E572,""-(?:\d{2}-)?([A-Z]+)"")),"""")
"),"WHSE D")</f>
        <v>WHSE D</v>
      </c>
      <c r="C572" s="117">
        <v>46034.0</v>
      </c>
      <c r="D572" s="118" t="s">
        <v>577</v>
      </c>
      <c r="E572" s="87" t="s">
        <v>578</v>
      </c>
      <c r="F572" s="87" t="s">
        <v>579</v>
      </c>
      <c r="G572" s="119" t="s">
        <v>491</v>
      </c>
      <c r="H572" s="120">
        <v>6050.0</v>
      </c>
      <c r="I572" s="121">
        <v>160.0</v>
      </c>
      <c r="J572" s="122">
        <v>12.27</v>
      </c>
      <c r="K572" s="123">
        <v>2.33</v>
      </c>
      <c r="L572" s="123">
        <v>0.581</v>
      </c>
      <c r="M572" s="123">
        <v>0.601</v>
      </c>
      <c r="N572" s="124">
        <v>14.85</v>
      </c>
      <c r="O572" s="122">
        <v>3.49</v>
      </c>
      <c r="P572" s="124">
        <v>81.66</v>
      </c>
      <c r="Q572" s="118" t="s">
        <v>598</v>
      </c>
      <c r="R572" s="86">
        <f t="shared" si="1"/>
        <v>74233.5</v>
      </c>
      <c r="S572" s="86">
        <f t="shared" si="2"/>
        <v>14096.5</v>
      </c>
      <c r="T572" s="86">
        <f t="shared" si="3"/>
        <v>3515.05</v>
      </c>
      <c r="U572" s="86">
        <f t="shared" si="4"/>
        <v>3636.05</v>
      </c>
      <c r="V572" s="86">
        <f t="shared" si="5"/>
        <v>89842.5</v>
      </c>
      <c r="W572" s="86">
        <f t="shared" si="6"/>
        <v>21114.5</v>
      </c>
      <c r="X572" s="86">
        <f t="shared" si="7"/>
        <v>494043</v>
      </c>
    </row>
    <row r="573" ht="12.0" customHeight="1">
      <c r="A5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73" s="87" t="str">
        <f>IFERROR(__xludf.DUMMYFUNCTION("IFERROR(IF(F573&lt;&gt;"""",""WHSE ""&amp;LEFT(F573,1),REGEXEXTRACT(E573,""-(?:\d{2}-)?([A-Z]+)"")),"""")
"),"WHSE D")</f>
        <v>WHSE D</v>
      </c>
      <c r="C573" s="117">
        <v>46034.0</v>
      </c>
      <c r="D573" s="118" t="s">
        <v>60</v>
      </c>
      <c r="E573" s="87" t="s">
        <v>584</v>
      </c>
      <c r="F573" s="87" t="s">
        <v>585</v>
      </c>
      <c r="G573" s="119" t="s">
        <v>514</v>
      </c>
      <c r="H573" s="120">
        <v>9382.0</v>
      </c>
      <c r="I573" s="121">
        <v>210.0</v>
      </c>
      <c r="J573" s="122">
        <v>14.47</v>
      </c>
      <c r="K573" s="123">
        <v>2.41</v>
      </c>
      <c r="L573" s="123">
        <v>0.571</v>
      </c>
      <c r="M573" s="123">
        <v>0.591</v>
      </c>
      <c r="N573" s="124">
        <v>11.68</v>
      </c>
      <c r="O573" s="122">
        <v>3.88</v>
      </c>
      <c r="P573" s="124">
        <v>84.44</v>
      </c>
      <c r="Q573" s="118" t="s">
        <v>599</v>
      </c>
      <c r="R573" s="86">
        <f t="shared" si="1"/>
        <v>135757.54</v>
      </c>
      <c r="S573" s="86">
        <f t="shared" si="2"/>
        <v>22610.62</v>
      </c>
      <c r="T573" s="86">
        <f t="shared" si="3"/>
        <v>5357.122</v>
      </c>
      <c r="U573" s="86">
        <f t="shared" si="4"/>
        <v>5544.762</v>
      </c>
      <c r="V573" s="86">
        <f t="shared" si="5"/>
        <v>109581.76</v>
      </c>
      <c r="W573" s="86">
        <f t="shared" si="6"/>
        <v>36402.16</v>
      </c>
      <c r="X573" s="86">
        <f t="shared" si="7"/>
        <v>792216.08</v>
      </c>
    </row>
    <row r="574" ht="12.0" customHeight="1">
      <c r="A5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74" s="87" t="str">
        <f>IFERROR(__xludf.DUMMYFUNCTION("IFERROR(IF(F574&lt;&gt;"""",""WHSE ""&amp;LEFT(F574,1),REGEXEXTRACT(E574,""-(?:\d{2}-)?([A-Z]+)"")),"""")
"),"WHSE A")</f>
        <v>WHSE A</v>
      </c>
      <c r="C574" s="117">
        <v>46034.0</v>
      </c>
      <c r="D574" s="118" t="s">
        <v>232</v>
      </c>
      <c r="E574" s="87" t="s">
        <v>570</v>
      </c>
      <c r="F574" s="87" t="s">
        <v>571</v>
      </c>
      <c r="G574" s="119" t="s">
        <v>235</v>
      </c>
      <c r="H574" s="120">
        <v>11455.0</v>
      </c>
      <c r="I574" s="121">
        <v>340.0</v>
      </c>
      <c r="J574" s="122">
        <v>10.47</v>
      </c>
      <c r="K574" s="123">
        <v>3.47</v>
      </c>
      <c r="L574" s="123">
        <v>0.578</v>
      </c>
      <c r="M574" s="123">
        <v>0.598</v>
      </c>
      <c r="N574" s="124">
        <v>13.46</v>
      </c>
      <c r="O574" s="122">
        <v>2.7</v>
      </c>
      <c r="P574" s="124">
        <v>83.84</v>
      </c>
      <c r="Q574" s="109"/>
      <c r="R574" s="103">
        <f t="shared" si="1"/>
        <v>119933.85</v>
      </c>
      <c r="S574" s="103">
        <f t="shared" si="2"/>
        <v>39748.85</v>
      </c>
      <c r="T574" s="103">
        <f t="shared" si="3"/>
        <v>6620.99</v>
      </c>
      <c r="U574" s="103">
        <f t="shared" si="4"/>
        <v>6850.09</v>
      </c>
      <c r="V574" s="103">
        <f t="shared" si="5"/>
        <v>154184.3</v>
      </c>
      <c r="W574" s="103">
        <f t="shared" si="6"/>
        <v>30928.5</v>
      </c>
      <c r="X574" s="103">
        <f t="shared" si="7"/>
        <v>960387.2</v>
      </c>
    </row>
    <row r="575" ht="12.0" customHeight="1">
      <c r="A5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75" s="87" t="str">
        <f>IFERROR(__xludf.DUMMYFUNCTION("IFERROR(IF(F575&lt;&gt;"""",""WHSE ""&amp;LEFT(F575,1),REGEXEXTRACT(E575,""-(?:\d{2}-)?([A-Z]+)"")),"""")
"),"")</f>
        <v/>
      </c>
      <c r="C575" s="108"/>
      <c r="D575" s="109"/>
      <c r="E575" s="110"/>
      <c r="F575" s="110"/>
      <c r="G575" s="111"/>
      <c r="H575" s="112"/>
      <c r="I575" s="113"/>
      <c r="J575" s="114"/>
      <c r="K575" s="115"/>
      <c r="L575" s="115"/>
      <c r="M575" s="115"/>
      <c r="N575" s="116"/>
      <c r="O575" s="114"/>
      <c r="P575" s="116"/>
      <c r="Q575" s="109"/>
      <c r="R575" s="103">
        <f t="shared" si="1"/>
        <v>0</v>
      </c>
      <c r="S575" s="103">
        <f t="shared" si="2"/>
        <v>0</v>
      </c>
      <c r="T575" s="103">
        <f t="shared" si="3"/>
        <v>0</v>
      </c>
      <c r="U575" s="103">
        <f t="shared" si="4"/>
        <v>0</v>
      </c>
      <c r="V575" s="103">
        <f t="shared" si="5"/>
        <v>0</v>
      </c>
      <c r="W575" s="103">
        <f t="shared" si="6"/>
        <v>0</v>
      </c>
      <c r="X575" s="103">
        <f t="shared" si="7"/>
        <v>0</v>
      </c>
    </row>
    <row r="576" ht="12.0" customHeight="1">
      <c r="A5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76" s="87" t="str">
        <f>IFERROR(__xludf.DUMMYFUNCTION("IFERROR(IF(F576&lt;&gt;"""",""WHSE ""&amp;LEFT(F576,1),REGEXEXTRACT(E576,""-(?:\d{2}-)?([A-Z]+)"")),"""")
"),"FEED")</f>
        <v>FEED</v>
      </c>
      <c r="C576" s="117">
        <v>46035.0</v>
      </c>
      <c r="D576" s="118" t="s">
        <v>286</v>
      </c>
      <c r="E576" s="87" t="s">
        <v>600</v>
      </c>
      <c r="F576" s="110"/>
      <c r="G576" s="119" t="s">
        <v>73</v>
      </c>
      <c r="H576" s="120">
        <v>16365.0</v>
      </c>
      <c r="I576" s="121">
        <v>446.0</v>
      </c>
      <c r="J576" s="122">
        <v>10.54</v>
      </c>
      <c r="K576" s="123">
        <v>2.73</v>
      </c>
      <c r="L576" s="123">
        <v>0.571</v>
      </c>
      <c r="M576" s="123">
        <v>0.591</v>
      </c>
      <c r="N576" s="124">
        <v>14.66</v>
      </c>
      <c r="O576" s="122">
        <v>3.14</v>
      </c>
      <c r="P576" s="124">
        <v>82.2</v>
      </c>
      <c r="Q576" s="109"/>
      <c r="R576" s="103">
        <f t="shared" si="1"/>
        <v>172487.1</v>
      </c>
      <c r="S576" s="103">
        <f t="shared" si="2"/>
        <v>44676.45</v>
      </c>
      <c r="T576" s="103">
        <f t="shared" si="3"/>
        <v>9344.415</v>
      </c>
      <c r="U576" s="103">
        <f t="shared" si="4"/>
        <v>9671.715</v>
      </c>
      <c r="V576" s="103">
        <f t="shared" si="5"/>
        <v>239910.9</v>
      </c>
      <c r="W576" s="103">
        <f t="shared" si="6"/>
        <v>51386.1</v>
      </c>
      <c r="X576" s="103">
        <f t="shared" si="7"/>
        <v>1345203</v>
      </c>
    </row>
    <row r="577" ht="12.0" customHeight="1">
      <c r="A5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77" s="87" t="str">
        <f>IFERROR(__xludf.DUMMYFUNCTION("IFERROR(IF(F577&lt;&gt;"""",""WHSE ""&amp;LEFT(F577,1),REGEXEXTRACT(E577,""-(?:\d{2}-)?([A-Z]+)"")),"""")
"),"WHSE A")</f>
        <v>WHSE A</v>
      </c>
      <c r="C577" s="117">
        <v>46035.0</v>
      </c>
      <c r="D577" s="118" t="s">
        <v>232</v>
      </c>
      <c r="E577" s="87" t="s">
        <v>601</v>
      </c>
      <c r="F577" s="87" t="s">
        <v>602</v>
      </c>
      <c r="G577" s="119" t="s">
        <v>272</v>
      </c>
      <c r="H577" s="120">
        <v>21060.0</v>
      </c>
      <c r="I577" s="121">
        <v>611.0</v>
      </c>
      <c r="J577" s="122">
        <v>9.4</v>
      </c>
      <c r="K577" s="123">
        <v>2.77</v>
      </c>
      <c r="L577" s="123">
        <v>0.581</v>
      </c>
      <c r="M577" s="123">
        <v>0.601</v>
      </c>
      <c r="N577" s="124">
        <v>13.19</v>
      </c>
      <c r="O577" s="122">
        <v>3.85</v>
      </c>
      <c r="P577" s="124">
        <v>82.96</v>
      </c>
      <c r="Q577" s="109"/>
      <c r="R577" s="103">
        <f t="shared" si="1"/>
        <v>197964</v>
      </c>
      <c r="S577" s="103">
        <f t="shared" si="2"/>
        <v>58336.2</v>
      </c>
      <c r="T577" s="103">
        <f t="shared" si="3"/>
        <v>12235.86</v>
      </c>
      <c r="U577" s="103">
        <f t="shared" si="4"/>
        <v>12657.06</v>
      </c>
      <c r="V577" s="103">
        <f t="shared" si="5"/>
        <v>277781.4</v>
      </c>
      <c r="W577" s="103">
        <f t="shared" si="6"/>
        <v>81081</v>
      </c>
      <c r="X577" s="103">
        <f t="shared" si="7"/>
        <v>1747137.6</v>
      </c>
    </row>
    <row r="578" ht="12.0" customHeight="1">
      <c r="A5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78" s="87" t="str">
        <f>IFERROR(__xludf.DUMMYFUNCTION("IFERROR(IF(F578&lt;&gt;"""",""WHSE ""&amp;LEFT(F578,1),REGEXEXTRACT(E578,""-(?:\d{2}-)?([A-Z]+)"")),"""")
"),"WHSE D")</f>
        <v>WHSE D</v>
      </c>
      <c r="C578" s="117">
        <v>46035.0</v>
      </c>
      <c r="D578" s="118" t="s">
        <v>64</v>
      </c>
      <c r="E578" s="87" t="s">
        <v>603</v>
      </c>
      <c r="F578" s="87" t="s">
        <v>281</v>
      </c>
      <c r="G578" s="119" t="s">
        <v>65</v>
      </c>
      <c r="H578" s="120">
        <v>20491.0</v>
      </c>
      <c r="I578" s="121">
        <v>461.0</v>
      </c>
      <c r="J578" s="122">
        <v>12.07</v>
      </c>
      <c r="K578" s="123">
        <v>2.61</v>
      </c>
      <c r="L578" s="123">
        <v>0.578</v>
      </c>
      <c r="M578" s="123">
        <v>0.598</v>
      </c>
      <c r="N578" s="124">
        <v>13.42</v>
      </c>
      <c r="O578" s="122">
        <v>2.56</v>
      </c>
      <c r="P578" s="124">
        <v>84.02</v>
      </c>
      <c r="Q578" s="118" t="s">
        <v>604</v>
      </c>
      <c r="R578" s="86">
        <f t="shared" si="1"/>
        <v>247326.37</v>
      </c>
      <c r="S578" s="86">
        <f t="shared" si="2"/>
        <v>53481.51</v>
      </c>
      <c r="T578" s="86">
        <f t="shared" si="3"/>
        <v>11843.798</v>
      </c>
      <c r="U578" s="86">
        <f t="shared" si="4"/>
        <v>12253.618</v>
      </c>
      <c r="V578" s="86">
        <f t="shared" si="5"/>
        <v>274989.22</v>
      </c>
      <c r="W578" s="86">
        <f t="shared" si="6"/>
        <v>52456.96</v>
      </c>
      <c r="X578" s="86">
        <f t="shared" si="7"/>
        <v>1721653.82</v>
      </c>
    </row>
    <row r="579" ht="12.0" customHeight="1">
      <c r="A5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79" s="87" t="str">
        <f>IFERROR(__xludf.DUMMYFUNCTION("IFERROR(IF(F579&lt;&gt;"""",""WHSE ""&amp;LEFT(F579,1),REGEXEXTRACT(E579,""-(?:\d{2}-)?([A-Z]+)"")),"""")
"),"")</f>
        <v/>
      </c>
      <c r="C579" s="108"/>
      <c r="D579" s="109"/>
      <c r="E579" s="110"/>
      <c r="F579" s="110"/>
      <c r="G579" s="111"/>
      <c r="H579" s="112"/>
      <c r="I579" s="113"/>
      <c r="J579" s="114"/>
      <c r="K579" s="115"/>
      <c r="L579" s="115"/>
      <c r="M579" s="115"/>
      <c r="N579" s="116"/>
      <c r="O579" s="114"/>
      <c r="P579" s="116"/>
      <c r="Q579" s="109"/>
      <c r="R579" s="103">
        <f t="shared" si="1"/>
        <v>0</v>
      </c>
      <c r="S579" s="103">
        <f t="shared" si="2"/>
        <v>0</v>
      </c>
      <c r="T579" s="103">
        <f t="shared" si="3"/>
        <v>0</v>
      </c>
      <c r="U579" s="103">
        <f t="shared" si="4"/>
        <v>0</v>
      </c>
      <c r="V579" s="103">
        <f t="shared" si="5"/>
        <v>0</v>
      </c>
      <c r="W579" s="103">
        <f t="shared" si="6"/>
        <v>0</v>
      </c>
      <c r="X579" s="103">
        <f t="shared" si="7"/>
        <v>0</v>
      </c>
    </row>
    <row r="580" ht="12.0" customHeight="1">
      <c r="A5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80" s="87" t="str">
        <f>IFERROR(__xludf.DUMMYFUNCTION("IFERROR(IF(F580&lt;&gt;"""",""WHSE ""&amp;LEFT(F580,1),REGEXEXTRACT(E580,""-(?:\d{2}-)?([A-Z]+)"")),"""")
"),"WHSE A")</f>
        <v>WHSE A</v>
      </c>
      <c r="C580" s="117">
        <v>46036.0</v>
      </c>
      <c r="D580" s="118" t="s">
        <v>72</v>
      </c>
      <c r="E580" s="87" t="s">
        <v>605</v>
      </c>
      <c r="F580" s="87" t="s">
        <v>606</v>
      </c>
      <c r="G580" s="119" t="s">
        <v>73</v>
      </c>
      <c r="H580" s="120">
        <v>18705.0</v>
      </c>
      <c r="I580" s="121">
        <v>445.0</v>
      </c>
      <c r="J580" s="122">
        <v>11.74</v>
      </c>
      <c r="K580" s="123">
        <v>2.61</v>
      </c>
      <c r="L580" s="123">
        <v>0.578</v>
      </c>
      <c r="M580" s="123">
        <v>0.598</v>
      </c>
      <c r="N580" s="124">
        <v>12.45</v>
      </c>
      <c r="O580" s="122">
        <v>3.33</v>
      </c>
      <c r="P580" s="124">
        <v>84.22</v>
      </c>
      <c r="Q580" s="109"/>
      <c r="R580" s="103">
        <f t="shared" si="1"/>
        <v>219596.7</v>
      </c>
      <c r="S580" s="103">
        <f t="shared" si="2"/>
        <v>48820.05</v>
      </c>
      <c r="T580" s="103">
        <f t="shared" si="3"/>
        <v>10811.49</v>
      </c>
      <c r="U580" s="103">
        <f t="shared" si="4"/>
        <v>11185.59</v>
      </c>
      <c r="V580" s="103">
        <f t="shared" si="5"/>
        <v>232877.25</v>
      </c>
      <c r="W580" s="103">
        <f t="shared" si="6"/>
        <v>62287.65</v>
      </c>
      <c r="X580" s="103">
        <f t="shared" si="7"/>
        <v>1575335.1</v>
      </c>
    </row>
    <row r="581" ht="12.0" customHeight="1">
      <c r="A5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81" s="87" t="str">
        <f>IFERROR(__xludf.DUMMYFUNCTION("IFERROR(IF(F581&lt;&gt;"""",""WHSE ""&amp;LEFT(F581,1),REGEXEXTRACT(E581,""-(?:\d{2}-)?([A-Z]+)"")),"""")
"),"WHSE D")</f>
        <v>WHSE D</v>
      </c>
      <c r="C581" s="117">
        <v>46036.0</v>
      </c>
      <c r="D581" s="118" t="s">
        <v>279</v>
      </c>
      <c r="E581" s="87" t="s">
        <v>607</v>
      </c>
      <c r="F581" s="87" t="s">
        <v>608</v>
      </c>
      <c r="G581" s="119" t="s">
        <v>547</v>
      </c>
      <c r="H581" s="120">
        <v>7459.0</v>
      </c>
      <c r="I581" s="121">
        <v>145.0</v>
      </c>
      <c r="J581" s="122">
        <v>12.54</v>
      </c>
      <c r="K581" s="123">
        <v>3.13</v>
      </c>
      <c r="L581" s="123">
        <v>0.581</v>
      </c>
      <c r="M581" s="123">
        <v>0.601</v>
      </c>
      <c r="N581" s="124">
        <v>14.19</v>
      </c>
      <c r="O581" s="122">
        <v>4.78</v>
      </c>
      <c r="P581" s="124">
        <v>81.03</v>
      </c>
      <c r="Q581" s="118" t="s">
        <v>609</v>
      </c>
      <c r="R581" s="86">
        <f t="shared" si="1"/>
        <v>93535.86</v>
      </c>
      <c r="S581" s="86">
        <f t="shared" si="2"/>
        <v>23346.67</v>
      </c>
      <c r="T581" s="86">
        <f t="shared" si="3"/>
        <v>4333.679</v>
      </c>
      <c r="U581" s="86">
        <f t="shared" si="4"/>
        <v>4482.859</v>
      </c>
      <c r="V581" s="86">
        <f t="shared" si="5"/>
        <v>105843.21</v>
      </c>
      <c r="W581" s="86">
        <f t="shared" si="6"/>
        <v>35654.02</v>
      </c>
      <c r="X581" s="86">
        <f t="shared" si="7"/>
        <v>604402.77</v>
      </c>
    </row>
    <row r="582" ht="12.0" customHeight="1">
      <c r="A5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82" s="87" t="str">
        <f>IFERROR(__xludf.DUMMYFUNCTION("IFERROR(IF(F582&lt;&gt;"""",""WHSE ""&amp;LEFT(F582,1),REGEXEXTRACT(E582,""-(?:\d{2}-)?([A-Z]+)"")),"""")
"),"WHSE D")</f>
        <v>WHSE D</v>
      </c>
      <c r="C582" s="117">
        <v>46036.0</v>
      </c>
      <c r="D582" s="118" t="s">
        <v>293</v>
      </c>
      <c r="E582" s="87" t="s">
        <v>607</v>
      </c>
      <c r="F582" s="87" t="s">
        <v>608</v>
      </c>
      <c r="G582" s="119" t="s">
        <v>610</v>
      </c>
      <c r="H582" s="120">
        <v>10434.0</v>
      </c>
      <c r="I582" s="121">
        <v>282.0</v>
      </c>
      <c r="J582" s="122">
        <v>13.2</v>
      </c>
      <c r="K582" s="123">
        <v>2.59</v>
      </c>
      <c r="L582" s="123">
        <v>0.575</v>
      </c>
      <c r="M582" s="123">
        <v>0.595</v>
      </c>
      <c r="N582" s="124">
        <v>11.38</v>
      </c>
      <c r="O582" s="122">
        <v>3.46</v>
      </c>
      <c r="P582" s="124">
        <v>85.16</v>
      </c>
      <c r="Q582" s="118" t="s">
        <v>611</v>
      </c>
      <c r="R582" s="86">
        <f t="shared" si="1"/>
        <v>137728.8</v>
      </c>
      <c r="S582" s="86">
        <f t="shared" si="2"/>
        <v>27024.06</v>
      </c>
      <c r="T582" s="86">
        <f t="shared" si="3"/>
        <v>5999.55</v>
      </c>
      <c r="U582" s="86">
        <f t="shared" si="4"/>
        <v>6208.23</v>
      </c>
      <c r="V582" s="86">
        <f t="shared" si="5"/>
        <v>118738.92</v>
      </c>
      <c r="W582" s="86">
        <f t="shared" si="6"/>
        <v>36101.64</v>
      </c>
      <c r="X582" s="86">
        <f t="shared" si="7"/>
        <v>888559.44</v>
      </c>
    </row>
    <row r="583" ht="12.0" customHeight="1">
      <c r="A5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83" s="87" t="str">
        <f>IFERROR(__xludf.DUMMYFUNCTION("IFERROR(IF(F583&lt;&gt;"""",""WHSE ""&amp;LEFT(F583,1),REGEXEXTRACT(E583,""-(?:\d{2}-)?([A-Z]+)"")),"""")
"),"")</f>
        <v/>
      </c>
      <c r="C583" s="108"/>
      <c r="D583" s="109"/>
      <c r="E583" s="110"/>
      <c r="F583" s="110"/>
      <c r="G583" s="111"/>
      <c r="H583" s="112"/>
      <c r="I583" s="113"/>
      <c r="J583" s="114"/>
      <c r="K583" s="115"/>
      <c r="L583" s="115"/>
      <c r="M583" s="115"/>
      <c r="N583" s="116"/>
      <c r="O583" s="114"/>
      <c r="P583" s="116"/>
      <c r="Q583" s="109"/>
      <c r="R583" s="103">
        <f t="shared" si="1"/>
        <v>0</v>
      </c>
      <c r="S583" s="103">
        <f t="shared" si="2"/>
        <v>0</v>
      </c>
      <c r="T583" s="103">
        <f t="shared" si="3"/>
        <v>0</v>
      </c>
      <c r="U583" s="103">
        <f t="shared" si="4"/>
        <v>0</v>
      </c>
      <c r="V583" s="103">
        <f t="shared" si="5"/>
        <v>0</v>
      </c>
      <c r="W583" s="103">
        <f t="shared" si="6"/>
        <v>0</v>
      </c>
      <c r="X583" s="103">
        <f t="shared" si="7"/>
        <v>0</v>
      </c>
    </row>
    <row r="584" ht="12.0" customHeight="1">
      <c r="A5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84" s="87" t="str">
        <f>IFERROR(__xludf.DUMMYFUNCTION("IFERROR(IF(F584&lt;&gt;"""",""WHSE ""&amp;LEFT(F584,1),REGEXEXTRACT(E584,""-(?:\d{2}-)?([A-Z]+)"")),"""")
"),"WHSE A")</f>
        <v>WHSE A</v>
      </c>
      <c r="C584" s="117">
        <v>46037.0</v>
      </c>
      <c r="D584" s="118" t="s">
        <v>232</v>
      </c>
      <c r="E584" s="87" t="s">
        <v>601</v>
      </c>
      <c r="F584" s="87" t="s">
        <v>602</v>
      </c>
      <c r="G584" s="119" t="s">
        <v>272</v>
      </c>
      <c r="H584" s="120">
        <v>22020.0</v>
      </c>
      <c r="I584" s="121">
        <v>558.0</v>
      </c>
      <c r="J584" s="122">
        <v>9.87</v>
      </c>
      <c r="K584" s="123">
        <v>3.88</v>
      </c>
      <c r="L584" s="123">
        <v>0.556</v>
      </c>
      <c r="M584" s="123">
        <v>0.576</v>
      </c>
      <c r="N584" s="124">
        <v>12.43</v>
      </c>
      <c r="O584" s="122">
        <v>3.94</v>
      </c>
      <c r="P584" s="124">
        <v>83.63</v>
      </c>
      <c r="Q584" s="109"/>
      <c r="R584" s="103">
        <f t="shared" si="1"/>
        <v>217337.4</v>
      </c>
      <c r="S584" s="103">
        <f t="shared" si="2"/>
        <v>85437.6</v>
      </c>
      <c r="T584" s="103">
        <f t="shared" si="3"/>
        <v>12243.12</v>
      </c>
      <c r="U584" s="103">
        <f t="shared" si="4"/>
        <v>12683.52</v>
      </c>
      <c r="V584" s="103">
        <f t="shared" si="5"/>
        <v>273708.6</v>
      </c>
      <c r="W584" s="103">
        <f t="shared" si="6"/>
        <v>86758.8</v>
      </c>
      <c r="X584" s="103">
        <f t="shared" si="7"/>
        <v>1841532.6</v>
      </c>
    </row>
    <row r="585" ht="12.0" customHeight="1">
      <c r="A5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85" s="87" t="str">
        <f>IFERROR(__xludf.DUMMYFUNCTION("IFERROR(IF(F585&lt;&gt;"""",""WHSE ""&amp;LEFT(F585,1),REGEXEXTRACT(E585,""-(?:\d{2}-)?([A-Z]+)"")),"""")
"),"WHSE A")</f>
        <v>WHSE A</v>
      </c>
      <c r="C585" s="117">
        <v>46037.0</v>
      </c>
      <c r="D585" s="118" t="s">
        <v>232</v>
      </c>
      <c r="E585" s="87" t="s">
        <v>601</v>
      </c>
      <c r="F585" s="87" t="s">
        <v>602</v>
      </c>
      <c r="G585" s="119" t="s">
        <v>278</v>
      </c>
      <c r="H585" s="120">
        <v>5700.0</v>
      </c>
      <c r="I585" s="121">
        <v>326.0</v>
      </c>
      <c r="J585" s="122">
        <v>7.94</v>
      </c>
      <c r="K585" s="123">
        <v>3.65</v>
      </c>
      <c r="L585" s="123">
        <v>0.568</v>
      </c>
      <c r="M585" s="123">
        <v>0.588</v>
      </c>
      <c r="N585" s="124">
        <v>13.38</v>
      </c>
      <c r="O585" s="122">
        <v>2.65</v>
      </c>
      <c r="P585" s="124">
        <v>83.97</v>
      </c>
      <c r="Q585" s="109"/>
      <c r="R585" s="103">
        <f t="shared" si="1"/>
        <v>45258</v>
      </c>
      <c r="S585" s="103">
        <f t="shared" si="2"/>
        <v>20805</v>
      </c>
      <c r="T585" s="103">
        <f t="shared" si="3"/>
        <v>3237.6</v>
      </c>
      <c r="U585" s="103">
        <f t="shared" si="4"/>
        <v>3351.6</v>
      </c>
      <c r="V585" s="103">
        <f t="shared" si="5"/>
        <v>76266</v>
      </c>
      <c r="W585" s="103">
        <f t="shared" si="6"/>
        <v>15105</v>
      </c>
      <c r="X585" s="103">
        <f t="shared" si="7"/>
        <v>478629</v>
      </c>
    </row>
    <row r="586" ht="12.0" customHeight="1">
      <c r="A5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86" s="87" t="str">
        <f>IFERROR(__xludf.DUMMYFUNCTION("IFERROR(IF(F586&lt;&gt;"""",""WHSE ""&amp;LEFT(F586,1),REGEXEXTRACT(E586,""-(?:\d{2}-)?([A-Z]+)"")),"""")
"),"WHSE A")</f>
        <v>WHSE A</v>
      </c>
      <c r="C586" s="117">
        <v>46037.0</v>
      </c>
      <c r="D586" s="118" t="s">
        <v>232</v>
      </c>
      <c r="E586" s="87" t="s">
        <v>601</v>
      </c>
      <c r="F586" s="87" t="s">
        <v>602</v>
      </c>
      <c r="G586" s="119" t="s">
        <v>497</v>
      </c>
      <c r="H586" s="120">
        <v>2881.0</v>
      </c>
      <c r="I586" s="121">
        <v>105.0</v>
      </c>
      <c r="J586" s="122">
        <v>12.14</v>
      </c>
      <c r="K586" s="123">
        <v>3.47</v>
      </c>
      <c r="L586" s="123">
        <v>0.571</v>
      </c>
      <c r="M586" s="123">
        <v>0.591</v>
      </c>
      <c r="N586" s="124">
        <v>13.94</v>
      </c>
      <c r="O586" s="122">
        <v>2.48</v>
      </c>
      <c r="P586" s="124">
        <v>83.58</v>
      </c>
      <c r="Q586" s="118" t="s">
        <v>612</v>
      </c>
      <c r="R586" s="86">
        <f t="shared" si="1"/>
        <v>34975.34</v>
      </c>
      <c r="S586" s="86">
        <f t="shared" si="2"/>
        <v>9997.07</v>
      </c>
      <c r="T586" s="86">
        <f t="shared" si="3"/>
        <v>1645.051</v>
      </c>
      <c r="U586" s="86">
        <f t="shared" si="4"/>
        <v>1702.671</v>
      </c>
      <c r="V586" s="86">
        <f t="shared" si="5"/>
        <v>40161.14</v>
      </c>
      <c r="W586" s="86">
        <f t="shared" si="6"/>
        <v>7144.88</v>
      </c>
      <c r="X586" s="86">
        <f t="shared" si="7"/>
        <v>240793.98</v>
      </c>
    </row>
    <row r="587" ht="12.0" customHeight="1">
      <c r="A5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87" s="87" t="str">
        <f>IFERROR(__xludf.DUMMYFUNCTION("IFERROR(IF(F587&lt;&gt;"""",""WHSE ""&amp;LEFT(F587,1),REGEXEXTRACT(E587,""-(?:\d{2}-)?([A-Z]+)"")),"""")
"),"")</f>
        <v/>
      </c>
      <c r="C587" s="108"/>
      <c r="D587" s="109"/>
      <c r="E587" s="110"/>
      <c r="F587" s="110"/>
      <c r="G587" s="111"/>
      <c r="H587" s="112"/>
      <c r="I587" s="113"/>
      <c r="J587" s="114"/>
      <c r="K587" s="115"/>
      <c r="L587" s="115"/>
      <c r="M587" s="115"/>
      <c r="N587" s="116"/>
      <c r="O587" s="114"/>
      <c r="P587" s="116"/>
      <c r="Q587" s="109"/>
      <c r="R587" s="103">
        <f t="shared" si="1"/>
        <v>0</v>
      </c>
      <c r="S587" s="103">
        <f t="shared" si="2"/>
        <v>0</v>
      </c>
      <c r="T587" s="103">
        <f t="shared" si="3"/>
        <v>0</v>
      </c>
      <c r="U587" s="103">
        <f t="shared" si="4"/>
        <v>0</v>
      </c>
      <c r="V587" s="103">
        <f t="shared" si="5"/>
        <v>0</v>
      </c>
      <c r="W587" s="103">
        <f t="shared" si="6"/>
        <v>0</v>
      </c>
      <c r="X587" s="103">
        <f t="shared" si="7"/>
        <v>0</v>
      </c>
    </row>
    <row r="588" ht="12.0" customHeight="1">
      <c r="A5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88" s="87" t="str">
        <f>IFERROR(__xludf.DUMMYFUNCTION("IFERROR(IF(F588&lt;&gt;"""",""WHSE ""&amp;LEFT(F588,1),REGEXEXTRACT(E588,""-(?:\d{2}-)?([A-Z]+)"")),"""")
"),"WHSE A")</f>
        <v>WHSE A</v>
      </c>
      <c r="C588" s="117">
        <v>46038.0</v>
      </c>
      <c r="D588" s="118" t="s">
        <v>72</v>
      </c>
      <c r="E588" s="87" t="s">
        <v>605</v>
      </c>
      <c r="F588" s="87" t="s">
        <v>606</v>
      </c>
      <c r="G588" s="119" t="s">
        <v>73</v>
      </c>
      <c r="H588" s="120">
        <v>18335.0</v>
      </c>
      <c r="I588" s="121">
        <v>458.0</v>
      </c>
      <c r="J588" s="122">
        <v>11.24</v>
      </c>
      <c r="K588" s="123">
        <v>2.6</v>
      </c>
      <c r="L588" s="123">
        <v>0.575</v>
      </c>
      <c r="M588" s="123">
        <v>0.595</v>
      </c>
      <c r="N588" s="124">
        <v>13.75</v>
      </c>
      <c r="O588" s="122">
        <v>3.87</v>
      </c>
      <c r="P588" s="124">
        <v>82.38</v>
      </c>
      <c r="Q588" s="109"/>
      <c r="R588" s="103">
        <f t="shared" si="1"/>
        <v>206085.4</v>
      </c>
      <c r="S588" s="103">
        <f t="shared" si="2"/>
        <v>47671</v>
      </c>
      <c r="T588" s="103">
        <f t="shared" si="3"/>
        <v>10542.625</v>
      </c>
      <c r="U588" s="103">
        <f t="shared" si="4"/>
        <v>10909.325</v>
      </c>
      <c r="V588" s="103">
        <f t="shared" si="5"/>
        <v>252106.25</v>
      </c>
      <c r="W588" s="103">
        <f t="shared" si="6"/>
        <v>70956.45</v>
      </c>
      <c r="X588" s="103">
        <f t="shared" si="7"/>
        <v>1510437.3</v>
      </c>
    </row>
    <row r="589" ht="12.0" customHeight="1">
      <c r="A5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89" s="87" t="str">
        <f>IFERROR(__xludf.DUMMYFUNCTION("IFERROR(IF(F589&lt;&gt;"""",""WHSE ""&amp;LEFT(F589,1),REGEXEXTRACT(E589,""-(?:\d{2}-)?([A-Z]+)"")),"""")
"),"WHSE D")</f>
        <v>WHSE D</v>
      </c>
      <c r="C589" s="117">
        <v>46038.0</v>
      </c>
      <c r="D589" s="118" t="s">
        <v>432</v>
      </c>
      <c r="E589" s="87" t="s">
        <v>563</v>
      </c>
      <c r="F589" s="87" t="s">
        <v>564</v>
      </c>
      <c r="G589" s="119" t="s">
        <v>613</v>
      </c>
      <c r="H589" s="120">
        <v>16731.0</v>
      </c>
      <c r="I589" s="121">
        <v>433.0</v>
      </c>
      <c r="J589" s="122">
        <v>14.27</v>
      </c>
      <c r="K589" s="123">
        <v>2.71</v>
      </c>
      <c r="L589" s="123">
        <v>0.575</v>
      </c>
      <c r="M589" s="123">
        <v>0.595</v>
      </c>
      <c r="N589" s="124">
        <v>11.39</v>
      </c>
      <c r="O589" s="122">
        <v>3.93</v>
      </c>
      <c r="P589" s="124">
        <v>84.68</v>
      </c>
      <c r="Q589" s="118" t="s">
        <v>614</v>
      </c>
      <c r="R589" s="86">
        <f t="shared" si="1"/>
        <v>238751.37</v>
      </c>
      <c r="S589" s="86">
        <f t="shared" si="2"/>
        <v>45341.01</v>
      </c>
      <c r="T589" s="86">
        <f t="shared" si="3"/>
        <v>9620.325</v>
      </c>
      <c r="U589" s="86">
        <f t="shared" si="4"/>
        <v>9954.945</v>
      </c>
      <c r="V589" s="86">
        <f t="shared" si="5"/>
        <v>190566.09</v>
      </c>
      <c r="W589" s="86">
        <f t="shared" si="6"/>
        <v>65752.83</v>
      </c>
      <c r="X589" s="86">
        <f t="shared" si="7"/>
        <v>1416781.08</v>
      </c>
    </row>
    <row r="590" ht="12.0" customHeight="1">
      <c r="A5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90" s="87" t="str">
        <f>IFERROR(__xludf.DUMMYFUNCTION("IFERROR(IF(F590&lt;&gt;"""",""WHSE ""&amp;LEFT(F590,1),REGEXEXTRACT(E590,""-(?:\d{2}-)?([A-Z]+)"")),"""")
"),"WHSE D")</f>
        <v>WHSE D</v>
      </c>
      <c r="C590" s="117">
        <v>46038.0</v>
      </c>
      <c r="D590" s="118" t="s">
        <v>304</v>
      </c>
      <c r="E590" s="87" t="s">
        <v>603</v>
      </c>
      <c r="F590" s="87" t="s">
        <v>281</v>
      </c>
      <c r="G590" s="119" t="s">
        <v>305</v>
      </c>
      <c r="H590" s="120">
        <v>19985.0</v>
      </c>
      <c r="I590" s="121">
        <v>576.0</v>
      </c>
      <c r="J590" s="122">
        <v>10.87</v>
      </c>
      <c r="K590" s="123">
        <v>3.91</v>
      </c>
      <c r="L590" s="123">
        <v>0.568</v>
      </c>
      <c r="M590" s="123">
        <v>0.588</v>
      </c>
      <c r="N590" s="124">
        <v>15.49</v>
      </c>
      <c r="O590" s="122">
        <v>2.78</v>
      </c>
      <c r="P590" s="124">
        <v>81.73</v>
      </c>
      <c r="Q590" s="109"/>
      <c r="R590" s="103">
        <f t="shared" si="1"/>
        <v>217236.95</v>
      </c>
      <c r="S590" s="103">
        <f t="shared" si="2"/>
        <v>78141.35</v>
      </c>
      <c r="T590" s="103">
        <f t="shared" si="3"/>
        <v>11351.48</v>
      </c>
      <c r="U590" s="103">
        <f t="shared" si="4"/>
        <v>11751.18</v>
      </c>
      <c r="V590" s="103">
        <f t="shared" si="5"/>
        <v>309567.65</v>
      </c>
      <c r="W590" s="103">
        <f t="shared" si="6"/>
        <v>55558.3</v>
      </c>
      <c r="X590" s="103">
        <f t="shared" si="7"/>
        <v>1633374.05</v>
      </c>
    </row>
    <row r="591" ht="12.0" customHeight="1">
      <c r="A5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91" s="87" t="str">
        <f>IFERROR(__xludf.DUMMYFUNCTION("IFERROR(IF(F591&lt;&gt;"""",""WHSE ""&amp;LEFT(F591,1),REGEXEXTRACT(E591,""-(?:\d{2}-)?([A-Z]+)"")),"""")
"),"FEED")</f>
        <v>FEED</v>
      </c>
      <c r="C591" s="117">
        <v>46038.0</v>
      </c>
      <c r="D591" s="118" t="s">
        <v>286</v>
      </c>
      <c r="E591" s="87" t="s">
        <v>615</v>
      </c>
      <c r="F591" s="110"/>
      <c r="G591" s="119" t="s">
        <v>77</v>
      </c>
      <c r="H591" s="120">
        <v>16700.0</v>
      </c>
      <c r="I591" s="121">
        <v>461.0</v>
      </c>
      <c r="J591" s="122">
        <v>10.94</v>
      </c>
      <c r="K591" s="123">
        <v>3.55</v>
      </c>
      <c r="L591" s="123">
        <v>0.571</v>
      </c>
      <c r="M591" s="123">
        <v>0.591</v>
      </c>
      <c r="N591" s="124">
        <v>14.3</v>
      </c>
      <c r="O591" s="122">
        <v>3.44</v>
      </c>
      <c r="P591" s="124">
        <v>82.26</v>
      </c>
      <c r="Q591" s="118" t="s">
        <v>469</v>
      </c>
      <c r="R591" s="86">
        <f t="shared" si="1"/>
        <v>182698</v>
      </c>
      <c r="S591" s="86">
        <f t="shared" si="2"/>
        <v>59285</v>
      </c>
      <c r="T591" s="86">
        <f t="shared" si="3"/>
        <v>9535.7</v>
      </c>
      <c r="U591" s="86">
        <f t="shared" si="4"/>
        <v>9869.7</v>
      </c>
      <c r="V591" s="86">
        <f t="shared" si="5"/>
        <v>238810</v>
      </c>
      <c r="W591" s="86">
        <f t="shared" si="6"/>
        <v>57448</v>
      </c>
      <c r="X591" s="86">
        <f t="shared" si="7"/>
        <v>1373742</v>
      </c>
    </row>
    <row r="592" ht="12.0" customHeight="1">
      <c r="A5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92" s="87" t="str">
        <f>IFERROR(__xludf.DUMMYFUNCTION("IFERROR(IF(F592&lt;&gt;"""",""WHSE ""&amp;LEFT(F592,1),REGEXEXTRACT(E592,""-(?:\d{2}-)?([A-Z]+)"")),"""")
"),"WHSE A")</f>
        <v>WHSE A</v>
      </c>
      <c r="C592" s="117">
        <v>46038.0</v>
      </c>
      <c r="D592" s="118" t="s">
        <v>232</v>
      </c>
      <c r="E592" s="87" t="s">
        <v>601</v>
      </c>
      <c r="F592" s="87" t="s">
        <v>602</v>
      </c>
      <c r="G592" s="119" t="s">
        <v>235</v>
      </c>
      <c r="H592" s="120">
        <v>10935.0</v>
      </c>
      <c r="I592" s="121">
        <v>363.0</v>
      </c>
      <c r="J592" s="122">
        <v>9.94</v>
      </c>
      <c r="K592" s="123">
        <v>2.94</v>
      </c>
      <c r="L592" s="123">
        <v>0.581</v>
      </c>
      <c r="M592" s="123">
        <v>0.601</v>
      </c>
      <c r="N592" s="124">
        <v>12.44</v>
      </c>
      <c r="O592" s="122">
        <v>3.04</v>
      </c>
      <c r="P592" s="124">
        <v>84.52</v>
      </c>
      <c r="Q592" s="109"/>
      <c r="R592" s="103">
        <f t="shared" si="1"/>
        <v>108693.9</v>
      </c>
      <c r="S592" s="103">
        <f t="shared" si="2"/>
        <v>32148.9</v>
      </c>
      <c r="T592" s="103">
        <f t="shared" si="3"/>
        <v>6353.235</v>
      </c>
      <c r="U592" s="103">
        <f t="shared" si="4"/>
        <v>6571.935</v>
      </c>
      <c r="V592" s="103">
        <f t="shared" si="5"/>
        <v>136031.4</v>
      </c>
      <c r="W592" s="103">
        <f t="shared" si="6"/>
        <v>33242.4</v>
      </c>
      <c r="X592" s="103">
        <f t="shared" si="7"/>
        <v>924226.2</v>
      </c>
    </row>
    <row r="593" ht="12.0" customHeight="1">
      <c r="A5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93" s="87" t="str">
        <f>IFERROR(__xludf.DUMMYFUNCTION("IFERROR(IF(F593&lt;&gt;"""",""WHSE ""&amp;LEFT(F593,1),REGEXEXTRACT(E593,""-(?:\d{2}-)?([A-Z]+)"")),"""")
"),"WHSE A")</f>
        <v>WHSE A</v>
      </c>
      <c r="C593" s="117">
        <v>46038.0</v>
      </c>
      <c r="D593" s="118" t="s">
        <v>265</v>
      </c>
      <c r="E593" s="87" t="s">
        <v>616</v>
      </c>
      <c r="F593" s="87" t="s">
        <v>617</v>
      </c>
      <c r="G593" s="119" t="s">
        <v>272</v>
      </c>
      <c r="H593" s="120">
        <v>14555.0</v>
      </c>
      <c r="I593" s="121">
        <v>376.0</v>
      </c>
      <c r="J593" s="122">
        <v>11.2</v>
      </c>
      <c r="K593" s="123">
        <v>3.71</v>
      </c>
      <c r="L593" s="123">
        <v>0.562</v>
      </c>
      <c r="M593" s="123">
        <v>0.582</v>
      </c>
      <c r="N593" s="124">
        <v>13.4</v>
      </c>
      <c r="O593" s="122">
        <v>3.88</v>
      </c>
      <c r="P593" s="124">
        <v>82.72</v>
      </c>
      <c r="Q593" s="109"/>
      <c r="R593" s="103">
        <f t="shared" si="1"/>
        <v>163016</v>
      </c>
      <c r="S593" s="103">
        <f t="shared" si="2"/>
        <v>53999.05</v>
      </c>
      <c r="T593" s="103">
        <f t="shared" si="3"/>
        <v>8179.91</v>
      </c>
      <c r="U593" s="103">
        <f t="shared" si="4"/>
        <v>8471.01</v>
      </c>
      <c r="V593" s="103">
        <f t="shared" si="5"/>
        <v>195037</v>
      </c>
      <c r="W593" s="103">
        <f t="shared" si="6"/>
        <v>56473.4</v>
      </c>
      <c r="X593" s="103">
        <f t="shared" si="7"/>
        <v>1203989.6</v>
      </c>
    </row>
    <row r="594" ht="12.0" customHeight="1">
      <c r="A5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94" s="87" t="str">
        <f>IFERROR(__xludf.DUMMYFUNCTION("IFERROR(IF(F594&lt;&gt;"""",""WHSE ""&amp;LEFT(F594,1),REGEXEXTRACT(E594,""-(?:\d{2}-)?([A-Z]+)"")),"""")
"),"")</f>
        <v/>
      </c>
      <c r="C594" s="108"/>
      <c r="D594" s="109"/>
      <c r="E594" s="110"/>
      <c r="F594" s="110"/>
      <c r="G594" s="111"/>
      <c r="H594" s="112"/>
      <c r="I594" s="113"/>
      <c r="J594" s="114"/>
      <c r="K594" s="115"/>
      <c r="L594" s="115"/>
      <c r="M594" s="115"/>
      <c r="N594" s="116"/>
      <c r="O594" s="114"/>
      <c r="P594" s="116"/>
      <c r="Q594" s="109"/>
      <c r="R594" s="103">
        <f t="shared" si="1"/>
        <v>0</v>
      </c>
      <c r="S594" s="103">
        <f t="shared" si="2"/>
        <v>0</v>
      </c>
      <c r="T594" s="103">
        <f t="shared" si="3"/>
        <v>0</v>
      </c>
      <c r="U594" s="103">
        <f t="shared" si="4"/>
        <v>0</v>
      </c>
      <c r="V594" s="103">
        <f t="shared" si="5"/>
        <v>0</v>
      </c>
      <c r="W594" s="103">
        <f t="shared" si="6"/>
        <v>0</v>
      </c>
      <c r="X594" s="103">
        <f t="shared" si="7"/>
        <v>0</v>
      </c>
    </row>
    <row r="595" ht="12.0" customHeight="1">
      <c r="A5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95" s="87" t="str">
        <f>IFERROR(__xludf.DUMMYFUNCTION("IFERROR(IF(F595&lt;&gt;"""",""WHSE ""&amp;LEFT(F595,1),REGEXEXTRACT(E595,""-(?:\d{2}-)?([A-Z]+)"")),"""")
"),"WHSE A")</f>
        <v>WHSE A</v>
      </c>
      <c r="C595" s="117">
        <v>46039.0</v>
      </c>
      <c r="D595" s="118" t="s">
        <v>72</v>
      </c>
      <c r="E595" s="87" t="s">
        <v>605</v>
      </c>
      <c r="F595" s="87" t="s">
        <v>606</v>
      </c>
      <c r="G595" s="119" t="s">
        <v>77</v>
      </c>
      <c r="H595" s="120">
        <v>17650.0</v>
      </c>
      <c r="I595" s="121">
        <v>425.0</v>
      </c>
      <c r="J595" s="122">
        <v>11.67</v>
      </c>
      <c r="K595" s="123">
        <v>2.68</v>
      </c>
      <c r="L595" s="123">
        <v>0.571</v>
      </c>
      <c r="M595" s="123">
        <v>0.591</v>
      </c>
      <c r="N595" s="124">
        <v>12.25</v>
      </c>
      <c r="O595" s="122">
        <v>3.39</v>
      </c>
      <c r="P595" s="124">
        <v>84.36</v>
      </c>
      <c r="Q595" s="109"/>
      <c r="R595" s="103">
        <f t="shared" si="1"/>
        <v>205975.5</v>
      </c>
      <c r="S595" s="103">
        <f t="shared" si="2"/>
        <v>47302</v>
      </c>
      <c r="T595" s="103">
        <f t="shared" si="3"/>
        <v>10078.15</v>
      </c>
      <c r="U595" s="103">
        <f t="shared" si="4"/>
        <v>10431.15</v>
      </c>
      <c r="V595" s="103">
        <f t="shared" si="5"/>
        <v>216212.5</v>
      </c>
      <c r="W595" s="103">
        <f t="shared" si="6"/>
        <v>59833.5</v>
      </c>
      <c r="X595" s="103">
        <f t="shared" si="7"/>
        <v>1488954</v>
      </c>
    </row>
    <row r="596" ht="12.0" customHeight="1">
      <c r="A5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96" s="87" t="str">
        <f>IFERROR(__xludf.DUMMYFUNCTION("IFERROR(IF(F596&lt;&gt;"""",""WHSE ""&amp;LEFT(F596,1),REGEXEXTRACT(E596,""-(?:\d{2}-)?([A-Z]+)"")),"""")
"),"WHSE A")</f>
        <v>WHSE A</v>
      </c>
      <c r="C596" s="117">
        <v>46039.0</v>
      </c>
      <c r="D596" s="118" t="s">
        <v>232</v>
      </c>
      <c r="E596" s="87" t="s">
        <v>616</v>
      </c>
      <c r="F596" s="87" t="s">
        <v>617</v>
      </c>
      <c r="G596" s="119" t="s">
        <v>235</v>
      </c>
      <c r="H596" s="120">
        <v>11350.0</v>
      </c>
      <c r="I596" s="121">
        <v>358.0</v>
      </c>
      <c r="J596" s="122">
        <v>10.34</v>
      </c>
      <c r="K596" s="123">
        <v>3.29</v>
      </c>
      <c r="L596" s="123">
        <v>0.562</v>
      </c>
      <c r="M596" s="123">
        <v>0.582</v>
      </c>
      <c r="N596" s="124">
        <v>12.72</v>
      </c>
      <c r="O596" s="122">
        <v>2.65</v>
      </c>
      <c r="P596" s="124">
        <v>84.63</v>
      </c>
      <c r="Q596" s="109"/>
      <c r="R596" s="103">
        <f t="shared" si="1"/>
        <v>117359</v>
      </c>
      <c r="S596" s="103">
        <f t="shared" si="2"/>
        <v>37341.5</v>
      </c>
      <c r="T596" s="103">
        <f t="shared" si="3"/>
        <v>6378.7</v>
      </c>
      <c r="U596" s="103">
        <f t="shared" si="4"/>
        <v>6605.7</v>
      </c>
      <c r="V596" s="103">
        <f t="shared" si="5"/>
        <v>144372</v>
      </c>
      <c r="W596" s="103">
        <f t="shared" si="6"/>
        <v>30077.5</v>
      </c>
      <c r="X596" s="103">
        <f t="shared" si="7"/>
        <v>960550.5</v>
      </c>
    </row>
    <row r="597" ht="12.0" customHeight="1">
      <c r="A5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97" s="87" t="str">
        <f>IFERROR(__xludf.DUMMYFUNCTION("IFERROR(IF(F597&lt;&gt;"""",""WHSE ""&amp;LEFT(F597,1),REGEXEXTRACT(E597,""-(?:\d{2}-)?([A-Z]+)"")),"""")
"),"WHSE A")</f>
        <v>WHSE A</v>
      </c>
      <c r="C597" s="117">
        <v>46039.0</v>
      </c>
      <c r="D597" s="118" t="s">
        <v>618</v>
      </c>
      <c r="E597" s="87" t="s">
        <v>619</v>
      </c>
      <c r="F597" s="87" t="s">
        <v>620</v>
      </c>
      <c r="G597" s="111"/>
      <c r="H597" s="120">
        <v>2940.0</v>
      </c>
      <c r="I597" s="121">
        <v>6.0</v>
      </c>
      <c r="J597" s="122">
        <v>10.4</v>
      </c>
      <c r="K597" s="123">
        <v>2.67</v>
      </c>
      <c r="L597" s="123">
        <v>0.572</v>
      </c>
      <c r="M597" s="123">
        <v>0.592</v>
      </c>
      <c r="N597" s="124">
        <v>12.19</v>
      </c>
      <c r="O597" s="122">
        <v>3.54</v>
      </c>
      <c r="P597" s="124">
        <v>84.27</v>
      </c>
      <c r="Q597" s="118" t="s">
        <v>621</v>
      </c>
      <c r="R597" s="86">
        <f t="shared" si="1"/>
        <v>30576</v>
      </c>
      <c r="S597" s="86">
        <f t="shared" si="2"/>
        <v>7849.8</v>
      </c>
      <c r="T597" s="86">
        <f t="shared" si="3"/>
        <v>1681.68</v>
      </c>
      <c r="U597" s="86">
        <f t="shared" si="4"/>
        <v>1740.48</v>
      </c>
      <c r="V597" s="86">
        <f t="shared" si="5"/>
        <v>35838.6</v>
      </c>
      <c r="W597" s="86">
        <f t="shared" si="6"/>
        <v>10407.6</v>
      </c>
      <c r="X597" s="86">
        <f t="shared" si="7"/>
        <v>247753.8</v>
      </c>
    </row>
    <row r="598" ht="12.0" customHeight="1">
      <c r="A5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598" s="87" t="str">
        <f>IFERROR(__xludf.DUMMYFUNCTION("IFERROR(IF(F598&lt;&gt;"""",""WHSE ""&amp;LEFT(F598,1),REGEXEXTRACT(E598,""-(?:\d{2}-)?([A-Z]+)"")),"""")
"),"WHSE A")</f>
        <v>WHSE A</v>
      </c>
      <c r="C598" s="117">
        <v>46040.0</v>
      </c>
      <c r="D598" s="118" t="s">
        <v>618</v>
      </c>
      <c r="E598" s="87" t="s">
        <v>619</v>
      </c>
      <c r="F598" s="87" t="s">
        <v>620</v>
      </c>
      <c r="G598" s="125"/>
      <c r="H598" s="120">
        <v>8595.0</v>
      </c>
      <c r="I598" s="121">
        <v>18.0</v>
      </c>
      <c r="J598" s="122">
        <v>9.27</v>
      </c>
      <c r="K598" s="123">
        <v>2.67</v>
      </c>
      <c r="L598" s="123">
        <v>0.572</v>
      </c>
      <c r="M598" s="123">
        <v>0.592</v>
      </c>
      <c r="N598" s="124">
        <v>12.19</v>
      </c>
      <c r="O598" s="122">
        <v>3.54</v>
      </c>
      <c r="P598" s="124">
        <v>84.27</v>
      </c>
      <c r="Q598" s="118" t="s">
        <v>621</v>
      </c>
      <c r="R598" s="86">
        <f t="shared" si="1"/>
        <v>79675.65</v>
      </c>
      <c r="S598" s="86">
        <f t="shared" si="2"/>
        <v>22948.65</v>
      </c>
      <c r="T598" s="86">
        <f t="shared" si="3"/>
        <v>4916.34</v>
      </c>
      <c r="U598" s="86">
        <f t="shared" si="4"/>
        <v>5088.24</v>
      </c>
      <c r="V598" s="86">
        <f t="shared" si="5"/>
        <v>104773.05</v>
      </c>
      <c r="W598" s="86">
        <f t="shared" si="6"/>
        <v>30426.3</v>
      </c>
      <c r="X598" s="86">
        <f t="shared" si="7"/>
        <v>724300.65</v>
      </c>
    </row>
    <row r="599" ht="12.0" customHeight="1">
      <c r="A5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599" s="87" t="str">
        <f>IFERROR(__xludf.DUMMYFUNCTION("IFERROR(IF(F599&lt;&gt;"""",""WHSE ""&amp;LEFT(F599,1),REGEXEXTRACT(E599,""-(?:\d{2}-)?([A-Z]+)"")),"""")
"),"")</f>
        <v/>
      </c>
      <c r="C599" s="117"/>
      <c r="D599" s="118"/>
      <c r="E599" s="87"/>
      <c r="F599" s="87"/>
      <c r="G599" s="125"/>
      <c r="H599" s="120"/>
      <c r="I599" s="121"/>
      <c r="J599" s="122"/>
      <c r="K599" s="123"/>
      <c r="L599" s="123"/>
      <c r="M599" s="123"/>
      <c r="N599" s="124"/>
      <c r="O599" s="122"/>
      <c r="P599" s="124"/>
      <c r="Q599" s="109"/>
      <c r="R599" s="103">
        <f t="shared" si="1"/>
        <v>0</v>
      </c>
      <c r="S599" s="103">
        <f t="shared" si="2"/>
        <v>0</v>
      </c>
      <c r="T599" s="103">
        <f t="shared" si="3"/>
        <v>0</v>
      </c>
      <c r="U599" s="103">
        <f t="shared" si="4"/>
        <v>0</v>
      </c>
      <c r="V599" s="103">
        <f t="shared" si="5"/>
        <v>0</v>
      </c>
      <c r="W599" s="103">
        <f t="shared" si="6"/>
        <v>0</v>
      </c>
      <c r="X599" s="103">
        <f t="shared" si="7"/>
        <v>0</v>
      </c>
    </row>
    <row r="600" ht="12.0" customHeight="1">
      <c r="A6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00" s="87" t="str">
        <f>IFERROR(__xludf.DUMMYFUNCTION("IFERROR(IF(F600&lt;&gt;"""",""WHSE ""&amp;LEFT(F600,1),REGEXEXTRACT(E600,""-(?:\d{2}-)?([A-Z]+)"")),"""")
"),"WHSE A")</f>
        <v>WHSE A</v>
      </c>
      <c r="C600" s="117">
        <v>46041.0</v>
      </c>
      <c r="D600" s="118" t="s">
        <v>72</v>
      </c>
      <c r="E600" s="87" t="s">
        <v>622</v>
      </c>
      <c r="F600" s="87" t="s">
        <v>623</v>
      </c>
      <c r="G600" s="119" t="s">
        <v>73</v>
      </c>
      <c r="H600" s="120">
        <v>18220.0</v>
      </c>
      <c r="I600" s="121">
        <v>437.0</v>
      </c>
      <c r="J600" s="122">
        <v>11.54</v>
      </c>
      <c r="K600" s="123">
        <v>2.66</v>
      </c>
      <c r="L600" s="123">
        <v>0.578</v>
      </c>
      <c r="M600" s="123">
        <v>0.598</v>
      </c>
      <c r="N600" s="124">
        <v>12.64</v>
      </c>
      <c r="O600" s="122">
        <v>3.79</v>
      </c>
      <c r="P600" s="124">
        <v>83.57</v>
      </c>
      <c r="Q600" s="109"/>
      <c r="R600" s="103">
        <f t="shared" si="1"/>
        <v>210258.8</v>
      </c>
      <c r="S600" s="103">
        <f t="shared" si="2"/>
        <v>48465.2</v>
      </c>
      <c r="T600" s="103">
        <f t="shared" si="3"/>
        <v>10531.16</v>
      </c>
      <c r="U600" s="103">
        <f t="shared" si="4"/>
        <v>10895.56</v>
      </c>
      <c r="V600" s="103">
        <f t="shared" si="5"/>
        <v>230300.8</v>
      </c>
      <c r="W600" s="103">
        <f t="shared" si="6"/>
        <v>69053.8</v>
      </c>
      <c r="X600" s="103">
        <f t="shared" si="7"/>
        <v>1522645.4</v>
      </c>
    </row>
    <row r="601" ht="12.0" customHeight="1">
      <c r="A6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01" s="87" t="str">
        <f>IFERROR(__xludf.DUMMYFUNCTION("IFERROR(IF(F601&lt;&gt;"""",""WHSE ""&amp;LEFT(F601,1),REGEXEXTRACT(E601,""-(?:\d{2}-)?([A-Z]+)"")),"""")
"),"WHSE A")</f>
        <v>WHSE A</v>
      </c>
      <c r="C601" s="117">
        <v>46041.0</v>
      </c>
      <c r="D601" s="118" t="s">
        <v>232</v>
      </c>
      <c r="E601" s="87" t="s">
        <v>616</v>
      </c>
      <c r="F601" s="87" t="s">
        <v>617</v>
      </c>
      <c r="G601" s="119" t="s">
        <v>235</v>
      </c>
      <c r="H601" s="120">
        <v>11885.0</v>
      </c>
      <c r="I601" s="121">
        <v>376.0</v>
      </c>
      <c r="J601" s="122">
        <v>9.87</v>
      </c>
      <c r="K601" s="123">
        <v>3.11</v>
      </c>
      <c r="L601" s="123">
        <v>0.581</v>
      </c>
      <c r="M601" s="123">
        <v>0.601</v>
      </c>
      <c r="N601" s="124">
        <v>13.41</v>
      </c>
      <c r="O601" s="122">
        <v>2.84</v>
      </c>
      <c r="P601" s="124">
        <v>83.75</v>
      </c>
      <c r="Q601" s="109"/>
      <c r="R601" s="103">
        <f t="shared" si="1"/>
        <v>117304.95</v>
      </c>
      <c r="S601" s="103">
        <f t="shared" si="2"/>
        <v>36962.35</v>
      </c>
      <c r="T601" s="103">
        <f t="shared" si="3"/>
        <v>6905.185</v>
      </c>
      <c r="U601" s="103">
        <f t="shared" si="4"/>
        <v>7142.885</v>
      </c>
      <c r="V601" s="103">
        <f t="shared" si="5"/>
        <v>159377.85</v>
      </c>
      <c r="W601" s="103">
        <f t="shared" si="6"/>
        <v>33753.4</v>
      </c>
      <c r="X601" s="103">
        <f t="shared" si="7"/>
        <v>995368.75</v>
      </c>
    </row>
    <row r="602" ht="12.0" customHeight="1">
      <c r="A6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02" s="87" t="str">
        <f>IFERROR(__xludf.DUMMYFUNCTION("IFERROR(IF(F602&lt;&gt;"""",""WHSE ""&amp;LEFT(F602,1),REGEXEXTRACT(E602,""-(?:\d{2}-)?([A-Z]+)"")),"""")
"),"")</f>
        <v/>
      </c>
      <c r="C602" s="108"/>
      <c r="D602" s="109"/>
      <c r="E602" s="110"/>
      <c r="F602" s="110"/>
      <c r="G602" s="111"/>
      <c r="H602" s="112"/>
      <c r="I602" s="113"/>
      <c r="J602" s="114"/>
      <c r="K602" s="115"/>
      <c r="L602" s="115"/>
      <c r="M602" s="115"/>
      <c r="N602" s="116"/>
      <c r="O602" s="114"/>
      <c r="P602" s="116"/>
      <c r="Q602" s="109"/>
      <c r="R602" s="103">
        <f t="shared" si="1"/>
        <v>0</v>
      </c>
      <c r="S602" s="103">
        <f t="shared" si="2"/>
        <v>0</v>
      </c>
      <c r="T602" s="103">
        <f t="shared" si="3"/>
        <v>0</v>
      </c>
      <c r="U602" s="103">
        <f t="shared" si="4"/>
        <v>0</v>
      </c>
      <c r="V602" s="103">
        <f t="shared" si="5"/>
        <v>0</v>
      </c>
      <c r="W602" s="103">
        <f t="shared" si="6"/>
        <v>0</v>
      </c>
      <c r="X602" s="103">
        <f t="shared" si="7"/>
        <v>0</v>
      </c>
    </row>
    <row r="603" ht="12.0" customHeight="1">
      <c r="A6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03" s="87" t="str">
        <f>IFERROR(__xludf.DUMMYFUNCTION("IFERROR(IF(F603&lt;&gt;"""",""WHSE ""&amp;LEFT(F603,1),REGEXEXTRACT(E603,""-(?:\d{2}-)?([A-Z]+)"")),"""")
"),"WHSE A")</f>
        <v>WHSE A</v>
      </c>
      <c r="C603" s="117">
        <v>46042.0</v>
      </c>
      <c r="D603" s="118" t="s">
        <v>232</v>
      </c>
      <c r="E603" s="87" t="s">
        <v>616</v>
      </c>
      <c r="F603" s="87" t="s">
        <v>617</v>
      </c>
      <c r="G603" s="119" t="s">
        <v>235</v>
      </c>
      <c r="H603" s="120">
        <v>11720.0</v>
      </c>
      <c r="I603" s="121">
        <v>314.0</v>
      </c>
      <c r="J603" s="122">
        <v>9.2</v>
      </c>
      <c r="K603" s="123">
        <v>3.11</v>
      </c>
      <c r="L603" s="123">
        <v>0.575</v>
      </c>
      <c r="M603" s="123">
        <v>0.595</v>
      </c>
      <c r="N603" s="124">
        <v>13.34</v>
      </c>
      <c r="O603" s="122">
        <v>2.94</v>
      </c>
      <c r="P603" s="124">
        <v>83.72</v>
      </c>
      <c r="Q603" s="118"/>
      <c r="R603" s="86">
        <f t="shared" si="1"/>
        <v>107824</v>
      </c>
      <c r="S603" s="86">
        <f t="shared" si="2"/>
        <v>36449.2</v>
      </c>
      <c r="T603" s="86">
        <f t="shared" si="3"/>
        <v>6739</v>
      </c>
      <c r="U603" s="86">
        <f t="shared" si="4"/>
        <v>6973.4</v>
      </c>
      <c r="V603" s="86">
        <f t="shared" si="5"/>
        <v>156344.8</v>
      </c>
      <c r="W603" s="86">
        <f t="shared" si="6"/>
        <v>34456.8</v>
      </c>
      <c r="X603" s="86">
        <f t="shared" si="7"/>
        <v>981198.4</v>
      </c>
    </row>
    <row r="604" ht="12.0" customHeight="1">
      <c r="A6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04" s="87" t="str">
        <f>IFERROR(__xludf.DUMMYFUNCTION("IFERROR(IF(F604&lt;&gt;"""",""WHSE ""&amp;LEFT(F604,1),REGEXEXTRACT(E604,""-(?:\d{2}-)?([A-Z]+)"")),"""")
"),"")</f>
        <v/>
      </c>
      <c r="C604" s="117"/>
      <c r="D604" s="118"/>
      <c r="E604" s="87"/>
      <c r="F604" s="87"/>
      <c r="G604" s="125"/>
      <c r="H604" s="120"/>
      <c r="I604" s="121"/>
      <c r="J604" s="122"/>
      <c r="K604" s="123"/>
      <c r="L604" s="123"/>
      <c r="M604" s="123"/>
      <c r="N604" s="124"/>
      <c r="O604" s="122"/>
      <c r="P604" s="124"/>
      <c r="Q604" s="118"/>
      <c r="R604" s="86">
        <f t="shared" si="1"/>
        <v>0</v>
      </c>
      <c r="S604" s="86">
        <f t="shared" si="2"/>
        <v>0</v>
      </c>
      <c r="T604" s="86">
        <f t="shared" si="3"/>
        <v>0</v>
      </c>
      <c r="U604" s="86">
        <f t="shared" si="4"/>
        <v>0</v>
      </c>
      <c r="V604" s="86">
        <f t="shared" si="5"/>
        <v>0</v>
      </c>
      <c r="W604" s="86">
        <f t="shared" si="6"/>
        <v>0</v>
      </c>
      <c r="X604" s="86">
        <f t="shared" si="7"/>
        <v>0</v>
      </c>
    </row>
    <row r="605" ht="12.0" customHeight="1">
      <c r="A6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05" s="87" t="str">
        <f>IFERROR(__xludf.DUMMYFUNCTION("IFERROR(IF(F605&lt;&gt;"""",""WHSE ""&amp;LEFT(F605,1),REGEXEXTRACT(E605,""-(?:\d{2}-)?([A-Z]+)"")),"""")
"),"WHSE A")</f>
        <v>WHSE A</v>
      </c>
      <c r="C605" s="117">
        <v>46043.0</v>
      </c>
      <c r="D605" s="118" t="s">
        <v>72</v>
      </c>
      <c r="E605" s="87" t="s">
        <v>622</v>
      </c>
      <c r="F605" s="87" t="s">
        <v>623</v>
      </c>
      <c r="G605" s="119" t="s">
        <v>73</v>
      </c>
      <c r="H605" s="120">
        <v>19125.0</v>
      </c>
      <c r="I605" s="121">
        <v>438.0</v>
      </c>
      <c r="J605" s="122">
        <v>12.34</v>
      </c>
      <c r="K605" s="123">
        <v>2.61</v>
      </c>
      <c r="L605" s="123">
        <v>0.575</v>
      </c>
      <c r="M605" s="123">
        <v>0.595</v>
      </c>
      <c r="N605" s="124">
        <v>13.42</v>
      </c>
      <c r="O605" s="122">
        <v>2.86</v>
      </c>
      <c r="P605" s="124">
        <v>83.72</v>
      </c>
      <c r="Q605" s="118" t="s">
        <v>624</v>
      </c>
      <c r="R605" s="86">
        <f t="shared" si="1"/>
        <v>236002.5</v>
      </c>
      <c r="S605" s="86">
        <f t="shared" si="2"/>
        <v>49916.25</v>
      </c>
      <c r="T605" s="86">
        <f t="shared" si="3"/>
        <v>10996.875</v>
      </c>
      <c r="U605" s="86">
        <f t="shared" si="4"/>
        <v>11379.375</v>
      </c>
      <c r="V605" s="86">
        <f t="shared" si="5"/>
        <v>256657.5</v>
      </c>
      <c r="W605" s="86">
        <f t="shared" si="6"/>
        <v>54697.5</v>
      </c>
      <c r="X605" s="86">
        <f t="shared" si="7"/>
        <v>1601145</v>
      </c>
    </row>
    <row r="606" ht="12.0" customHeight="1">
      <c r="A6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06" s="87" t="str">
        <f>IFERROR(__xludf.DUMMYFUNCTION("IFERROR(IF(F606&lt;&gt;"""",""WHSE ""&amp;LEFT(F606,1),REGEXEXTRACT(E606,""-(?:\d{2}-)?([A-Z]+)"")),"""")
"),"WHSE A")</f>
        <v>WHSE A</v>
      </c>
      <c r="C606" s="117">
        <v>46043.0</v>
      </c>
      <c r="D606" s="118" t="s">
        <v>72</v>
      </c>
      <c r="E606" s="87" t="s">
        <v>622</v>
      </c>
      <c r="F606" s="87" t="s">
        <v>623</v>
      </c>
      <c r="G606" s="119" t="s">
        <v>77</v>
      </c>
      <c r="H606" s="120">
        <v>18275.0</v>
      </c>
      <c r="I606" s="121">
        <v>436.0</v>
      </c>
      <c r="J606" s="122">
        <v>12.87</v>
      </c>
      <c r="K606" s="123">
        <v>2.53</v>
      </c>
      <c r="L606" s="123">
        <v>0.571</v>
      </c>
      <c r="M606" s="123">
        <v>0.591</v>
      </c>
      <c r="N606" s="124">
        <v>12.15</v>
      </c>
      <c r="O606" s="122">
        <v>3.89</v>
      </c>
      <c r="P606" s="124">
        <v>83.96</v>
      </c>
      <c r="Q606" s="118" t="s">
        <v>625</v>
      </c>
      <c r="R606" s="86">
        <f t="shared" si="1"/>
        <v>235199.25</v>
      </c>
      <c r="S606" s="86">
        <f t="shared" si="2"/>
        <v>46235.75</v>
      </c>
      <c r="T606" s="86">
        <f t="shared" si="3"/>
        <v>10435.025</v>
      </c>
      <c r="U606" s="86">
        <f t="shared" si="4"/>
        <v>10800.525</v>
      </c>
      <c r="V606" s="86">
        <f t="shared" si="5"/>
        <v>222041.25</v>
      </c>
      <c r="W606" s="86">
        <f t="shared" si="6"/>
        <v>71089.75</v>
      </c>
      <c r="X606" s="86">
        <f t="shared" si="7"/>
        <v>1534369</v>
      </c>
    </row>
    <row r="607" ht="12.0" customHeight="1">
      <c r="A6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07" s="87" t="str">
        <f>IFERROR(__xludf.DUMMYFUNCTION("IFERROR(IF(F607&lt;&gt;"""",""WHSE ""&amp;LEFT(F607,1),REGEXEXTRACT(E607,""-(?:\d{2}-)?([A-Z]+)"")),"""")
"),"WHSE D")</f>
        <v>WHSE D</v>
      </c>
      <c r="C607" s="117">
        <v>46043.0</v>
      </c>
      <c r="D607" s="118" t="s">
        <v>64</v>
      </c>
      <c r="E607" s="87" t="s">
        <v>603</v>
      </c>
      <c r="F607" s="87" t="s">
        <v>281</v>
      </c>
      <c r="G607" s="119" t="s">
        <v>65</v>
      </c>
      <c r="H607" s="120">
        <v>22783.0</v>
      </c>
      <c r="I607" s="121">
        <v>523.0</v>
      </c>
      <c r="J607" s="122">
        <v>12.14</v>
      </c>
      <c r="K607" s="123">
        <v>2.44</v>
      </c>
      <c r="L607" s="123">
        <v>0.578</v>
      </c>
      <c r="M607" s="123">
        <v>0.598</v>
      </c>
      <c r="N607" s="124">
        <v>13.78</v>
      </c>
      <c r="O607" s="122">
        <v>2.54</v>
      </c>
      <c r="P607" s="124">
        <v>83.68</v>
      </c>
      <c r="Q607" s="118" t="s">
        <v>626</v>
      </c>
      <c r="R607" s="86">
        <f t="shared" si="1"/>
        <v>276585.62</v>
      </c>
      <c r="S607" s="86">
        <f t="shared" si="2"/>
        <v>55590.52</v>
      </c>
      <c r="T607" s="86">
        <f t="shared" si="3"/>
        <v>13168.574</v>
      </c>
      <c r="U607" s="86">
        <f t="shared" si="4"/>
        <v>13624.234</v>
      </c>
      <c r="V607" s="86">
        <f t="shared" si="5"/>
        <v>313949.74</v>
      </c>
      <c r="W607" s="86">
        <f t="shared" si="6"/>
        <v>57868.82</v>
      </c>
      <c r="X607" s="86">
        <f t="shared" si="7"/>
        <v>1906481.44</v>
      </c>
    </row>
    <row r="608" ht="12.0" customHeight="1">
      <c r="A6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08" s="87" t="str">
        <f>IFERROR(__xludf.DUMMYFUNCTION("IFERROR(IF(F608&lt;&gt;"""",""WHSE ""&amp;LEFT(F608,1),REGEXEXTRACT(E608,""-(?:\d{2}-)?([A-Z]+)"")),"""")
"),"WHSE D")</f>
        <v>WHSE D</v>
      </c>
      <c r="C608" s="117">
        <v>46043.0</v>
      </c>
      <c r="D608" s="118" t="s">
        <v>232</v>
      </c>
      <c r="E608" s="87" t="s">
        <v>627</v>
      </c>
      <c r="F608" s="87" t="s">
        <v>628</v>
      </c>
      <c r="G608" s="119" t="s">
        <v>235</v>
      </c>
      <c r="H608" s="120">
        <v>11547.0</v>
      </c>
      <c r="I608" s="121">
        <v>244.0</v>
      </c>
      <c r="J608" s="122">
        <v>11.27</v>
      </c>
      <c r="K608" s="123">
        <v>3.73</v>
      </c>
      <c r="L608" s="123">
        <v>0.581</v>
      </c>
      <c r="M608" s="123">
        <v>0.601</v>
      </c>
      <c r="N608" s="124">
        <v>12.76</v>
      </c>
      <c r="O608" s="122">
        <v>23.75</v>
      </c>
      <c r="P608" s="124">
        <v>63.49</v>
      </c>
      <c r="Q608" s="118" t="s">
        <v>629</v>
      </c>
      <c r="R608" s="86">
        <f t="shared" si="1"/>
        <v>130134.69</v>
      </c>
      <c r="S608" s="86">
        <f t="shared" si="2"/>
        <v>43070.31</v>
      </c>
      <c r="T608" s="86">
        <f t="shared" si="3"/>
        <v>6708.807</v>
      </c>
      <c r="U608" s="86">
        <f t="shared" si="4"/>
        <v>6939.747</v>
      </c>
      <c r="V608" s="86">
        <f t="shared" si="5"/>
        <v>147339.72</v>
      </c>
      <c r="W608" s="86">
        <f t="shared" si="6"/>
        <v>274241.25</v>
      </c>
      <c r="X608" s="86">
        <f t="shared" si="7"/>
        <v>733119.03</v>
      </c>
    </row>
    <row r="609" ht="12.0" customHeight="1">
      <c r="A6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09" s="87" t="str">
        <f>IFERROR(__xludf.DUMMYFUNCTION("IFERROR(IF(F609&lt;&gt;"""",""WHSE ""&amp;LEFT(F609,1),REGEXEXTRACT(E609,""-(?:\d{2}-)?([A-Z]+)"")),"""")
"),"")</f>
        <v/>
      </c>
      <c r="C609" s="117"/>
      <c r="D609" s="118"/>
      <c r="E609" s="87"/>
      <c r="F609" s="87"/>
      <c r="G609" s="125"/>
      <c r="H609" s="120"/>
      <c r="I609" s="121"/>
      <c r="J609" s="122"/>
      <c r="K609" s="123"/>
      <c r="L609" s="123"/>
      <c r="M609" s="123"/>
      <c r="N609" s="124"/>
      <c r="O609" s="122"/>
      <c r="P609" s="124"/>
      <c r="Q609" s="118"/>
      <c r="R609" s="86">
        <f t="shared" si="1"/>
        <v>0</v>
      </c>
      <c r="S609" s="86">
        <f t="shared" si="2"/>
        <v>0</v>
      </c>
      <c r="T609" s="86">
        <f t="shared" si="3"/>
        <v>0</v>
      </c>
      <c r="U609" s="86">
        <f t="shared" si="4"/>
        <v>0</v>
      </c>
      <c r="V609" s="86">
        <f t="shared" si="5"/>
        <v>0</v>
      </c>
      <c r="W609" s="86">
        <f t="shared" si="6"/>
        <v>0</v>
      </c>
      <c r="X609" s="86">
        <f t="shared" si="7"/>
        <v>0</v>
      </c>
    </row>
    <row r="610" ht="12.0" customHeight="1">
      <c r="A6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10" s="87" t="str">
        <f>IFERROR(__xludf.DUMMYFUNCTION("IFERROR(IF(F610&lt;&gt;"""",""WHSE ""&amp;LEFT(F610,1),REGEXEXTRACT(E610,""-(?:\d{2}-)?([A-Z]+)"")),"""")
"),"WHSE A")</f>
        <v>WHSE A</v>
      </c>
      <c r="C610" s="117">
        <v>46044.0</v>
      </c>
      <c r="D610" s="118" t="s">
        <v>232</v>
      </c>
      <c r="E610" s="87" t="s">
        <v>616</v>
      </c>
      <c r="F610" s="87" t="s">
        <v>617</v>
      </c>
      <c r="G610" s="119" t="s">
        <v>235</v>
      </c>
      <c r="H610" s="120">
        <v>9725.0</v>
      </c>
      <c r="I610" s="121">
        <v>368.0</v>
      </c>
      <c r="J610" s="122">
        <v>10.34</v>
      </c>
      <c r="K610" s="123">
        <v>2.31</v>
      </c>
      <c r="L610" s="123">
        <v>0.581</v>
      </c>
      <c r="M610" s="123">
        <v>0.601</v>
      </c>
      <c r="N610" s="124">
        <v>14.51</v>
      </c>
      <c r="O610" s="122">
        <v>2.77</v>
      </c>
      <c r="P610" s="124">
        <v>82.72</v>
      </c>
      <c r="Q610" s="118"/>
      <c r="R610" s="86">
        <f t="shared" si="1"/>
        <v>100556.5</v>
      </c>
      <c r="S610" s="86">
        <f t="shared" si="2"/>
        <v>22464.75</v>
      </c>
      <c r="T610" s="86">
        <f t="shared" si="3"/>
        <v>5650.225</v>
      </c>
      <c r="U610" s="86">
        <f t="shared" si="4"/>
        <v>5844.725</v>
      </c>
      <c r="V610" s="86">
        <f t="shared" si="5"/>
        <v>141109.75</v>
      </c>
      <c r="W610" s="86">
        <f t="shared" si="6"/>
        <v>26938.25</v>
      </c>
      <c r="X610" s="86">
        <f t="shared" si="7"/>
        <v>804452</v>
      </c>
    </row>
    <row r="611" ht="12.0" customHeight="1">
      <c r="A6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11" s="87" t="str">
        <f>IFERROR(__xludf.DUMMYFUNCTION("IFERROR(IF(F611&lt;&gt;"""",""WHSE ""&amp;LEFT(F611,1),REGEXEXTRACT(E611,""-(?:\d{2}-)?([A-Z]+)"")),"""")
"),"WHSE A")</f>
        <v>WHSE A</v>
      </c>
      <c r="C611" s="117">
        <v>46044.0</v>
      </c>
      <c r="D611" s="118" t="s">
        <v>232</v>
      </c>
      <c r="E611" s="87" t="s">
        <v>630</v>
      </c>
      <c r="F611" s="87" t="s">
        <v>631</v>
      </c>
      <c r="G611" s="119" t="s">
        <v>272</v>
      </c>
      <c r="H611" s="120">
        <v>21760.0</v>
      </c>
      <c r="I611" s="121">
        <v>436.0</v>
      </c>
      <c r="J611" s="122">
        <v>13.07</v>
      </c>
      <c r="K611" s="123">
        <v>3.43</v>
      </c>
      <c r="L611" s="123">
        <v>0.559</v>
      </c>
      <c r="M611" s="123">
        <v>0.579</v>
      </c>
      <c r="N611" s="124">
        <v>11.39</v>
      </c>
      <c r="O611" s="122">
        <v>4.04</v>
      </c>
      <c r="P611" s="124">
        <v>84.57</v>
      </c>
      <c r="Q611" s="118" t="s">
        <v>632</v>
      </c>
      <c r="R611" s="86">
        <f t="shared" si="1"/>
        <v>284403.2</v>
      </c>
      <c r="S611" s="86">
        <f t="shared" si="2"/>
        <v>74636.8</v>
      </c>
      <c r="T611" s="86">
        <f t="shared" si="3"/>
        <v>12163.84</v>
      </c>
      <c r="U611" s="86">
        <f t="shared" si="4"/>
        <v>12599.04</v>
      </c>
      <c r="V611" s="86">
        <f t="shared" si="5"/>
        <v>247846.4</v>
      </c>
      <c r="W611" s="86">
        <f t="shared" si="6"/>
        <v>87910.4</v>
      </c>
      <c r="X611" s="86">
        <f t="shared" si="7"/>
        <v>1840243.2</v>
      </c>
    </row>
    <row r="612" ht="12.0" customHeight="1">
      <c r="A6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12" s="87" t="str">
        <f>IFERROR(__xludf.DUMMYFUNCTION("IFERROR(IF(F612&lt;&gt;"""",""WHSE ""&amp;LEFT(F612,1),REGEXEXTRACT(E612,""-(?:\d{2}-)?([A-Z]+)"")),"""")
"),"WHSE A")</f>
        <v>WHSE A</v>
      </c>
      <c r="C612" s="117">
        <v>46044.0</v>
      </c>
      <c r="D612" s="118" t="s">
        <v>72</v>
      </c>
      <c r="E612" s="87" t="s">
        <v>633</v>
      </c>
      <c r="F612" s="87" t="s">
        <v>634</v>
      </c>
      <c r="G612" s="119" t="s">
        <v>73</v>
      </c>
      <c r="H612" s="120">
        <v>18170.0</v>
      </c>
      <c r="I612" s="121">
        <v>450.0</v>
      </c>
      <c r="J612" s="122">
        <v>12.6</v>
      </c>
      <c r="K612" s="123">
        <v>2.91</v>
      </c>
      <c r="L612" s="123">
        <v>0.575</v>
      </c>
      <c r="M612" s="123">
        <v>0.595</v>
      </c>
      <c r="N612" s="124">
        <v>13.59</v>
      </c>
      <c r="O612" s="122">
        <v>3.81</v>
      </c>
      <c r="P612" s="124">
        <v>82.6</v>
      </c>
      <c r="Q612" s="118" t="s">
        <v>635</v>
      </c>
      <c r="R612" s="86">
        <f t="shared" si="1"/>
        <v>228942</v>
      </c>
      <c r="S612" s="86">
        <f t="shared" si="2"/>
        <v>52874.7</v>
      </c>
      <c r="T612" s="86">
        <f t="shared" si="3"/>
        <v>10447.75</v>
      </c>
      <c r="U612" s="86">
        <f t="shared" si="4"/>
        <v>10811.15</v>
      </c>
      <c r="V612" s="86">
        <f t="shared" si="5"/>
        <v>246930.3</v>
      </c>
      <c r="W612" s="86">
        <f t="shared" si="6"/>
        <v>69227.7</v>
      </c>
      <c r="X612" s="86">
        <f t="shared" si="7"/>
        <v>1500842</v>
      </c>
    </row>
    <row r="613" ht="12.0" customHeight="1">
      <c r="A6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13" s="87" t="str">
        <f>IFERROR(__xludf.DUMMYFUNCTION("IFERROR(IF(F613&lt;&gt;"""",""WHSE ""&amp;LEFT(F613,1),REGEXEXTRACT(E613,""-(?:\d{2}-)?([A-Z]+)"")),"""")
"),"FEED")</f>
        <v>FEED</v>
      </c>
      <c r="C613" s="117">
        <v>46044.0</v>
      </c>
      <c r="D613" s="118" t="s">
        <v>286</v>
      </c>
      <c r="E613" s="87" t="s">
        <v>636</v>
      </c>
      <c r="F613" s="110"/>
      <c r="G613" s="119" t="s">
        <v>77</v>
      </c>
      <c r="H613" s="120">
        <v>17230.0</v>
      </c>
      <c r="I613" s="121">
        <v>452.0</v>
      </c>
      <c r="J613" s="122">
        <v>11.67</v>
      </c>
      <c r="K613" s="123">
        <v>3.37</v>
      </c>
      <c r="L613" s="123">
        <v>0.578</v>
      </c>
      <c r="M613" s="123">
        <v>0.598</v>
      </c>
      <c r="N613" s="124">
        <v>13.73</v>
      </c>
      <c r="O613" s="122">
        <v>2.36</v>
      </c>
      <c r="P613" s="124">
        <v>83.91</v>
      </c>
      <c r="Q613" s="118" t="s">
        <v>469</v>
      </c>
      <c r="R613" s="86">
        <f t="shared" si="1"/>
        <v>201074.1</v>
      </c>
      <c r="S613" s="86">
        <f t="shared" si="2"/>
        <v>58065.1</v>
      </c>
      <c r="T613" s="86">
        <f t="shared" si="3"/>
        <v>9958.94</v>
      </c>
      <c r="U613" s="86">
        <f t="shared" si="4"/>
        <v>10303.54</v>
      </c>
      <c r="V613" s="86">
        <f t="shared" si="5"/>
        <v>236567.9</v>
      </c>
      <c r="W613" s="86">
        <f t="shared" si="6"/>
        <v>40662.8</v>
      </c>
      <c r="X613" s="86">
        <f t="shared" si="7"/>
        <v>1445769.3</v>
      </c>
    </row>
    <row r="614" ht="12.0" customHeight="1">
      <c r="A6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14" s="87" t="str">
        <f>IFERROR(__xludf.DUMMYFUNCTION("IFERROR(IF(F614&lt;&gt;"""",""WHSE ""&amp;LEFT(F614,1),REGEXEXTRACT(E614,""-(?:\d{2}-)?([A-Z]+)"")),"""")
"),"WHSE D")</f>
        <v>WHSE D</v>
      </c>
      <c r="C614" s="117">
        <v>46044.0</v>
      </c>
      <c r="D614" s="118" t="s">
        <v>60</v>
      </c>
      <c r="E614" s="87" t="s">
        <v>593</v>
      </c>
      <c r="F614" s="87" t="s">
        <v>594</v>
      </c>
      <c r="G614" s="119" t="s">
        <v>63</v>
      </c>
      <c r="H614" s="120">
        <v>19510.0</v>
      </c>
      <c r="I614" s="121">
        <v>426.0</v>
      </c>
      <c r="J614" s="122">
        <v>17.74</v>
      </c>
      <c r="K614" s="123">
        <v>2.61</v>
      </c>
      <c r="L614" s="123">
        <v>0.571</v>
      </c>
      <c r="M614" s="123">
        <v>0.591</v>
      </c>
      <c r="N614" s="124">
        <v>11.99</v>
      </c>
      <c r="O614" s="122">
        <v>3.44</v>
      </c>
      <c r="P614" s="124">
        <v>84.57</v>
      </c>
      <c r="Q614" s="118" t="s">
        <v>637</v>
      </c>
      <c r="R614" s="86">
        <f t="shared" si="1"/>
        <v>346107.4</v>
      </c>
      <c r="S614" s="86">
        <f t="shared" si="2"/>
        <v>50921.1</v>
      </c>
      <c r="T614" s="86">
        <f t="shared" si="3"/>
        <v>11140.21</v>
      </c>
      <c r="U614" s="86">
        <f t="shared" si="4"/>
        <v>11530.41</v>
      </c>
      <c r="V614" s="86">
        <f t="shared" si="5"/>
        <v>233924.9</v>
      </c>
      <c r="W614" s="86">
        <f t="shared" si="6"/>
        <v>67114.4</v>
      </c>
      <c r="X614" s="86">
        <f t="shared" si="7"/>
        <v>1649960.7</v>
      </c>
    </row>
    <row r="615" ht="12.0" customHeight="1">
      <c r="A6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15" s="87" t="str">
        <f>IFERROR(__xludf.DUMMYFUNCTION("IFERROR(IF(F615&lt;&gt;"""",""WHSE ""&amp;LEFT(F615,1),REGEXEXTRACT(E615,""-(?:\d{2}-)?([A-Z]+)"")),"""")
"),"")</f>
        <v/>
      </c>
      <c r="C615" s="117"/>
      <c r="D615" s="118"/>
      <c r="E615" s="87"/>
      <c r="F615" s="87"/>
      <c r="G615" s="125"/>
      <c r="H615" s="120"/>
      <c r="I615" s="121"/>
      <c r="J615" s="122"/>
      <c r="K615" s="123"/>
      <c r="L615" s="123"/>
      <c r="M615" s="123"/>
      <c r="N615" s="124"/>
      <c r="O615" s="122"/>
      <c r="P615" s="124"/>
      <c r="Q615" s="118"/>
      <c r="R615" s="86">
        <f t="shared" si="1"/>
        <v>0</v>
      </c>
      <c r="S615" s="86">
        <f t="shared" si="2"/>
        <v>0</v>
      </c>
      <c r="T615" s="86">
        <f t="shared" si="3"/>
        <v>0</v>
      </c>
      <c r="U615" s="86">
        <f t="shared" si="4"/>
        <v>0</v>
      </c>
      <c r="V615" s="86">
        <f t="shared" si="5"/>
        <v>0</v>
      </c>
      <c r="W615" s="86">
        <f t="shared" si="6"/>
        <v>0</v>
      </c>
      <c r="X615" s="86">
        <f t="shared" si="7"/>
        <v>0</v>
      </c>
    </row>
    <row r="616" ht="12.0" customHeight="1">
      <c r="A6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16" s="87" t="str">
        <f>IFERROR(__xludf.DUMMYFUNCTION("IFERROR(IF(F616&lt;&gt;"""",""WHSE ""&amp;LEFT(F616,1),REGEXEXTRACT(E616,""-(?:\d{2}-)?([A-Z]+)"")),"""")
"),"WHSE A")</f>
        <v>WHSE A</v>
      </c>
      <c r="C616" s="117">
        <v>46045.0</v>
      </c>
      <c r="D616" s="118" t="s">
        <v>265</v>
      </c>
      <c r="E616" s="87" t="s">
        <v>630</v>
      </c>
      <c r="F616" s="87" t="s">
        <v>631</v>
      </c>
      <c r="G616" s="119" t="s">
        <v>334</v>
      </c>
      <c r="H616" s="120">
        <v>6555.0</v>
      </c>
      <c r="I616" s="121">
        <v>178.0</v>
      </c>
      <c r="J616" s="122">
        <v>9.34</v>
      </c>
      <c r="K616" s="123">
        <v>3.61</v>
      </c>
      <c r="L616" s="123">
        <v>0.565</v>
      </c>
      <c r="M616" s="123">
        <v>0.585</v>
      </c>
      <c r="N616" s="124">
        <v>14.98</v>
      </c>
      <c r="O616" s="122">
        <v>3.26</v>
      </c>
      <c r="P616" s="124">
        <v>81.76</v>
      </c>
      <c r="Q616" s="118"/>
      <c r="R616" s="86">
        <f t="shared" si="1"/>
        <v>61223.7</v>
      </c>
      <c r="S616" s="86">
        <f t="shared" si="2"/>
        <v>23663.55</v>
      </c>
      <c r="T616" s="86">
        <f t="shared" si="3"/>
        <v>3703.575</v>
      </c>
      <c r="U616" s="86">
        <f t="shared" si="4"/>
        <v>3834.675</v>
      </c>
      <c r="V616" s="86">
        <f t="shared" si="5"/>
        <v>98193.9</v>
      </c>
      <c r="W616" s="86">
        <f t="shared" si="6"/>
        <v>21369.3</v>
      </c>
      <c r="X616" s="86">
        <f t="shared" si="7"/>
        <v>535936.8</v>
      </c>
    </row>
    <row r="617" ht="12.0" customHeight="1">
      <c r="A6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17" s="87" t="str">
        <f>IFERROR(__xludf.DUMMYFUNCTION("IFERROR(IF(F617&lt;&gt;"""",""WHSE ""&amp;LEFT(F617,1),REGEXEXTRACT(E617,""-(?:\d{2}-)?([A-Z]+)"")),"""")
"),"WHSE A")</f>
        <v>WHSE A</v>
      </c>
      <c r="C617" s="117">
        <v>46045.0</v>
      </c>
      <c r="D617" s="118" t="s">
        <v>72</v>
      </c>
      <c r="E617" s="87" t="s">
        <v>622</v>
      </c>
      <c r="F617" s="87" t="s">
        <v>623</v>
      </c>
      <c r="G617" s="119" t="s">
        <v>77</v>
      </c>
      <c r="H617" s="120">
        <v>17759.0</v>
      </c>
      <c r="I617" s="121">
        <v>425.0</v>
      </c>
      <c r="J617" s="122">
        <v>12.2</v>
      </c>
      <c r="K617" s="123">
        <v>2.31</v>
      </c>
      <c r="L617" s="123">
        <v>0.578</v>
      </c>
      <c r="M617" s="123">
        <v>0.598</v>
      </c>
      <c r="N617" s="124">
        <v>13.67</v>
      </c>
      <c r="O617" s="122">
        <v>3.09</v>
      </c>
      <c r="P617" s="124">
        <v>83.24</v>
      </c>
      <c r="Q617" s="118" t="s">
        <v>638</v>
      </c>
      <c r="R617" s="86">
        <f t="shared" si="1"/>
        <v>216659.8</v>
      </c>
      <c r="S617" s="86">
        <f t="shared" si="2"/>
        <v>41023.29</v>
      </c>
      <c r="T617" s="86">
        <f t="shared" si="3"/>
        <v>10264.702</v>
      </c>
      <c r="U617" s="86">
        <f t="shared" si="4"/>
        <v>10619.882</v>
      </c>
      <c r="V617" s="86">
        <f t="shared" si="5"/>
        <v>242765.53</v>
      </c>
      <c r="W617" s="86">
        <f t="shared" si="6"/>
        <v>54875.31</v>
      </c>
      <c r="X617" s="86">
        <f t="shared" si="7"/>
        <v>1478259.16</v>
      </c>
    </row>
    <row r="618" ht="12.0" customHeight="1">
      <c r="A6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18" s="87" t="str">
        <f>IFERROR(__xludf.DUMMYFUNCTION("IFERROR(IF(F618&lt;&gt;"""",""WHSE ""&amp;LEFT(F618,1),REGEXEXTRACT(E618,""-(?:\d{2}-)?([A-Z]+)"")),"""")
"),"WHSE A")</f>
        <v>WHSE A</v>
      </c>
      <c r="C618" s="117">
        <v>46045.0</v>
      </c>
      <c r="D618" s="118" t="s">
        <v>72</v>
      </c>
      <c r="E618" s="87" t="s">
        <v>633</v>
      </c>
      <c r="F618" s="87" t="s">
        <v>634</v>
      </c>
      <c r="G618" s="119" t="s">
        <v>639</v>
      </c>
      <c r="H618" s="120">
        <v>1708.0</v>
      </c>
      <c r="I618" s="121">
        <v>30.0</v>
      </c>
      <c r="J618" s="122">
        <v>12.67</v>
      </c>
      <c r="K618" s="123">
        <v>2.16</v>
      </c>
      <c r="L618" s="123">
        <v>0.571</v>
      </c>
      <c r="M618" s="123">
        <v>0.591</v>
      </c>
      <c r="N618" s="124">
        <v>11.51</v>
      </c>
      <c r="O618" s="122">
        <v>3.84</v>
      </c>
      <c r="P618" s="124">
        <v>84.65</v>
      </c>
      <c r="Q618" s="118" t="s">
        <v>640</v>
      </c>
      <c r="R618" s="86">
        <f t="shared" si="1"/>
        <v>21640.36</v>
      </c>
      <c r="S618" s="86">
        <f t="shared" si="2"/>
        <v>3689.28</v>
      </c>
      <c r="T618" s="86">
        <f t="shared" si="3"/>
        <v>975.268</v>
      </c>
      <c r="U618" s="86">
        <f t="shared" si="4"/>
        <v>1009.428</v>
      </c>
      <c r="V618" s="86">
        <f t="shared" si="5"/>
        <v>19659.08</v>
      </c>
      <c r="W618" s="86">
        <f t="shared" si="6"/>
        <v>6558.72</v>
      </c>
      <c r="X618" s="86">
        <f t="shared" si="7"/>
        <v>144582.2</v>
      </c>
    </row>
    <row r="619" ht="12.0" customHeight="1">
      <c r="A6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19" s="87" t="str">
        <f>IFERROR(__xludf.DUMMYFUNCTION("IFERROR(IF(F619&lt;&gt;"""",""WHSE ""&amp;LEFT(F619,1),REGEXEXTRACT(E619,""-(?:\d{2}-)?([A-Z]+)"")),"""")
"),"WHSE D")</f>
        <v>WHSE D</v>
      </c>
      <c r="C619" s="117">
        <v>46045.0</v>
      </c>
      <c r="D619" s="118" t="s">
        <v>88</v>
      </c>
      <c r="E619" s="87" t="s">
        <v>607</v>
      </c>
      <c r="F619" s="87" t="s">
        <v>608</v>
      </c>
      <c r="G619" s="119" t="s">
        <v>89</v>
      </c>
      <c r="H619" s="120">
        <v>4453.0</v>
      </c>
      <c r="I619" s="121">
        <v>116.0</v>
      </c>
      <c r="J619" s="122">
        <v>12.94</v>
      </c>
      <c r="K619" s="123">
        <v>2.27</v>
      </c>
      <c r="L619" s="123">
        <v>0.585</v>
      </c>
      <c r="M619" s="123">
        <v>0.605</v>
      </c>
      <c r="N619" s="124">
        <v>15.41</v>
      </c>
      <c r="O619" s="122">
        <v>3.4</v>
      </c>
      <c r="P619" s="124">
        <v>81.19</v>
      </c>
      <c r="Q619" s="118" t="s">
        <v>641</v>
      </c>
      <c r="R619" s="86">
        <f t="shared" si="1"/>
        <v>57621.82</v>
      </c>
      <c r="S619" s="86">
        <f t="shared" si="2"/>
        <v>10108.31</v>
      </c>
      <c r="T619" s="86">
        <f t="shared" si="3"/>
        <v>2605.005</v>
      </c>
      <c r="U619" s="86">
        <f t="shared" si="4"/>
        <v>2694.065</v>
      </c>
      <c r="V619" s="86">
        <f t="shared" si="5"/>
        <v>68620.73</v>
      </c>
      <c r="W619" s="86">
        <f t="shared" si="6"/>
        <v>15140.2</v>
      </c>
      <c r="X619" s="86">
        <f t="shared" si="7"/>
        <v>361539.07</v>
      </c>
    </row>
    <row r="620" ht="12.0" customHeight="1">
      <c r="A6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20" s="87" t="str">
        <f>IFERROR(__xludf.DUMMYFUNCTION("IFERROR(IF(F620&lt;&gt;"""",""WHSE ""&amp;LEFT(F620,1),REGEXEXTRACT(E620,""-(?:\d{2}-)?([A-Z]+)"")),"""")
"),"FEED")</f>
        <v>FEED</v>
      </c>
      <c r="C620" s="117">
        <v>46045.0</v>
      </c>
      <c r="D620" s="118" t="s">
        <v>286</v>
      </c>
      <c r="E620" s="87" t="s">
        <v>642</v>
      </c>
      <c r="F620" s="87"/>
      <c r="G620" s="119" t="s">
        <v>73</v>
      </c>
      <c r="H620" s="120">
        <v>17020.0</v>
      </c>
      <c r="I620" s="121">
        <v>465.0</v>
      </c>
      <c r="J620" s="122">
        <v>11.74</v>
      </c>
      <c r="K620" s="123">
        <v>3.14</v>
      </c>
      <c r="L620" s="123">
        <v>0.575</v>
      </c>
      <c r="M620" s="123">
        <v>0.595</v>
      </c>
      <c r="N620" s="124">
        <v>13.54</v>
      </c>
      <c r="O620" s="122">
        <v>2.58</v>
      </c>
      <c r="P620" s="124">
        <v>83.88</v>
      </c>
      <c r="Q620" s="118"/>
      <c r="R620" s="86">
        <f t="shared" si="1"/>
        <v>199814.8</v>
      </c>
      <c r="S620" s="86">
        <f t="shared" si="2"/>
        <v>53442.8</v>
      </c>
      <c r="T620" s="86">
        <f t="shared" si="3"/>
        <v>9786.5</v>
      </c>
      <c r="U620" s="86">
        <f t="shared" si="4"/>
        <v>10126.9</v>
      </c>
      <c r="V620" s="86">
        <f t="shared" si="5"/>
        <v>230450.8</v>
      </c>
      <c r="W620" s="86">
        <f t="shared" si="6"/>
        <v>43911.6</v>
      </c>
      <c r="X620" s="86">
        <f t="shared" si="7"/>
        <v>1427637.6</v>
      </c>
    </row>
    <row r="621" ht="12.0" customHeight="1">
      <c r="A6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21" s="87" t="str">
        <f>IFERROR(__xludf.DUMMYFUNCTION("IFERROR(IF(F621&lt;&gt;"""",""WHSE ""&amp;LEFT(F621,1),REGEXEXTRACT(E621,""-(?:\d{2}-)?([A-Z]+)"")),"""")
"),"WHSE A")</f>
        <v>WHSE A</v>
      </c>
      <c r="C621" s="117">
        <v>46045.0</v>
      </c>
      <c r="D621" s="118" t="s">
        <v>232</v>
      </c>
      <c r="E621" s="87" t="s">
        <v>630</v>
      </c>
      <c r="F621" s="87" t="s">
        <v>631</v>
      </c>
      <c r="G621" s="119" t="s">
        <v>272</v>
      </c>
      <c r="H621" s="120">
        <v>21150.0</v>
      </c>
      <c r="I621" s="121">
        <v>585.0</v>
      </c>
      <c r="J621" s="122">
        <v>10.47</v>
      </c>
      <c r="K621" s="123">
        <v>3.18</v>
      </c>
      <c r="L621" s="123">
        <v>0.568</v>
      </c>
      <c r="M621" s="123">
        <v>0.588</v>
      </c>
      <c r="N621" s="124">
        <v>14.04</v>
      </c>
      <c r="O621" s="122">
        <v>3.49</v>
      </c>
      <c r="P621" s="124">
        <v>82.47</v>
      </c>
      <c r="Q621" s="109"/>
      <c r="R621" s="103">
        <f t="shared" si="1"/>
        <v>221440.5</v>
      </c>
      <c r="S621" s="103">
        <f t="shared" si="2"/>
        <v>67257</v>
      </c>
      <c r="T621" s="103">
        <f t="shared" si="3"/>
        <v>12013.2</v>
      </c>
      <c r="U621" s="103">
        <f t="shared" si="4"/>
        <v>12436.2</v>
      </c>
      <c r="V621" s="103">
        <f t="shared" si="5"/>
        <v>296946</v>
      </c>
      <c r="W621" s="103">
        <f t="shared" si="6"/>
        <v>73813.5</v>
      </c>
      <c r="X621" s="103">
        <f t="shared" si="7"/>
        <v>1744240.5</v>
      </c>
    </row>
    <row r="622" ht="12.0" customHeight="1">
      <c r="A6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22" s="87" t="str">
        <f>IFERROR(__xludf.DUMMYFUNCTION("IFERROR(IF(F622&lt;&gt;"""",""WHSE ""&amp;LEFT(F622,1),REGEXEXTRACT(E622,""-(?:\d{2}-)?([A-Z]+)"")),"""")
"),"WHSE D")</f>
        <v>WHSE D</v>
      </c>
      <c r="C622" s="117">
        <v>46045.0</v>
      </c>
      <c r="D622" s="118" t="s">
        <v>232</v>
      </c>
      <c r="E622" s="87" t="s">
        <v>627</v>
      </c>
      <c r="F622" s="87" t="s">
        <v>628</v>
      </c>
      <c r="G622" s="119" t="s">
        <v>235</v>
      </c>
      <c r="H622" s="120">
        <v>11761.0</v>
      </c>
      <c r="I622" s="121">
        <v>335.0</v>
      </c>
      <c r="J622" s="122">
        <v>12.87</v>
      </c>
      <c r="K622" s="123">
        <v>3.78</v>
      </c>
      <c r="L622" s="123">
        <v>0.581</v>
      </c>
      <c r="M622" s="123">
        <v>0.601</v>
      </c>
      <c r="N622" s="124">
        <v>10.38</v>
      </c>
      <c r="O622" s="122">
        <v>12.92</v>
      </c>
      <c r="P622" s="124">
        <v>76.7</v>
      </c>
      <c r="Q622" s="118" t="s">
        <v>643</v>
      </c>
      <c r="R622" s="86">
        <f t="shared" si="1"/>
        <v>151364.07</v>
      </c>
      <c r="S622" s="86">
        <f t="shared" si="2"/>
        <v>44456.58</v>
      </c>
      <c r="T622" s="86">
        <f t="shared" si="3"/>
        <v>6833.141</v>
      </c>
      <c r="U622" s="86">
        <f t="shared" si="4"/>
        <v>7068.361</v>
      </c>
      <c r="V622" s="86">
        <f t="shared" si="5"/>
        <v>122079.18</v>
      </c>
      <c r="W622" s="86">
        <f t="shared" si="6"/>
        <v>151952.12</v>
      </c>
      <c r="X622" s="86">
        <f t="shared" si="7"/>
        <v>902068.7</v>
      </c>
    </row>
    <row r="623" ht="12.0" customHeight="1">
      <c r="A6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23" s="87" t="str">
        <f>IFERROR(__xludf.DUMMYFUNCTION("IFERROR(IF(F623&lt;&gt;"""",""WHSE ""&amp;LEFT(F623,1),REGEXEXTRACT(E623,""-(?:\d{2}-)?([A-Z]+)"")),"""")
"),"")</f>
        <v/>
      </c>
      <c r="C623" s="117"/>
      <c r="D623" s="118"/>
      <c r="E623" s="87"/>
      <c r="F623" s="87"/>
      <c r="G623" s="125"/>
      <c r="H623" s="120"/>
      <c r="I623" s="121"/>
      <c r="J623" s="122"/>
      <c r="K623" s="123"/>
      <c r="L623" s="123"/>
      <c r="M623" s="123"/>
      <c r="N623" s="124"/>
      <c r="O623" s="122"/>
      <c r="P623" s="124"/>
      <c r="Q623" s="109"/>
      <c r="R623" s="103">
        <f t="shared" si="1"/>
        <v>0</v>
      </c>
      <c r="S623" s="103">
        <f t="shared" si="2"/>
        <v>0</v>
      </c>
      <c r="T623" s="103">
        <f t="shared" si="3"/>
        <v>0</v>
      </c>
      <c r="U623" s="103">
        <f t="shared" si="4"/>
        <v>0</v>
      </c>
      <c r="V623" s="103">
        <f t="shared" si="5"/>
        <v>0</v>
      </c>
      <c r="W623" s="103">
        <f t="shared" si="6"/>
        <v>0</v>
      </c>
      <c r="X623" s="103">
        <f t="shared" si="7"/>
        <v>0</v>
      </c>
    </row>
    <row r="624" ht="12.0" customHeight="1">
      <c r="A6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24" s="87" t="str">
        <f>IFERROR(__xludf.DUMMYFUNCTION("IFERROR(IF(F624&lt;&gt;"""",""WHSE ""&amp;LEFT(F624,1),REGEXEXTRACT(E624,""-(?:\d{2}-)?([A-Z]+)"")),"""")
"),"WHSE A")</f>
        <v>WHSE A</v>
      </c>
      <c r="C624" s="117">
        <v>46046.0</v>
      </c>
      <c r="D624" s="118" t="s">
        <v>265</v>
      </c>
      <c r="E624" s="87" t="s">
        <v>644</v>
      </c>
      <c r="F624" s="87" t="s">
        <v>645</v>
      </c>
      <c r="G624" s="119" t="s">
        <v>334</v>
      </c>
      <c r="H624" s="120">
        <v>6725.0</v>
      </c>
      <c r="I624" s="121">
        <v>173.0</v>
      </c>
      <c r="J624" s="122">
        <v>9.74</v>
      </c>
      <c r="K624" s="123">
        <v>3.8</v>
      </c>
      <c r="L624" s="123">
        <v>0.559</v>
      </c>
      <c r="M624" s="123">
        <v>0.579</v>
      </c>
      <c r="N624" s="124">
        <v>13.61</v>
      </c>
      <c r="O624" s="122">
        <v>2.47</v>
      </c>
      <c r="P624" s="124">
        <v>83.92</v>
      </c>
      <c r="Q624" s="109"/>
      <c r="R624" s="103">
        <f t="shared" si="1"/>
        <v>65501.5</v>
      </c>
      <c r="S624" s="103">
        <f t="shared" si="2"/>
        <v>25555</v>
      </c>
      <c r="T624" s="103">
        <f t="shared" si="3"/>
        <v>3759.275</v>
      </c>
      <c r="U624" s="103">
        <f t="shared" si="4"/>
        <v>3893.775</v>
      </c>
      <c r="V624" s="103">
        <f t="shared" si="5"/>
        <v>91527.25</v>
      </c>
      <c r="W624" s="103">
        <f t="shared" si="6"/>
        <v>16610.75</v>
      </c>
      <c r="X624" s="103">
        <f t="shared" si="7"/>
        <v>564362</v>
      </c>
    </row>
    <row r="625" ht="12.0" customHeight="1">
      <c r="A6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25" s="87" t="str">
        <f>IFERROR(__xludf.DUMMYFUNCTION("IFERROR(IF(F625&lt;&gt;"""",""WHSE ""&amp;LEFT(F625,1),REGEXEXTRACT(E625,""-(?:\d{2}-)?([A-Z]+)"")),"""")
"),"WHSE A")</f>
        <v>WHSE A</v>
      </c>
      <c r="C625" s="117">
        <v>46046.0</v>
      </c>
      <c r="D625" s="118" t="s">
        <v>232</v>
      </c>
      <c r="E625" s="87" t="s">
        <v>630</v>
      </c>
      <c r="F625" s="87" t="s">
        <v>631</v>
      </c>
      <c r="G625" s="119" t="s">
        <v>235</v>
      </c>
      <c r="H625" s="120">
        <v>9755.0</v>
      </c>
      <c r="I625" s="121">
        <v>335.0</v>
      </c>
      <c r="J625" s="122">
        <v>9.54</v>
      </c>
      <c r="K625" s="123">
        <v>3.12</v>
      </c>
      <c r="L625" s="123">
        <v>0.585</v>
      </c>
      <c r="M625" s="123">
        <v>0.605</v>
      </c>
      <c r="N625" s="124">
        <v>12.98</v>
      </c>
      <c r="O625" s="122">
        <v>2.81</v>
      </c>
      <c r="P625" s="124">
        <v>84.21</v>
      </c>
      <c r="Q625" s="109"/>
      <c r="R625" s="103">
        <f t="shared" si="1"/>
        <v>93062.7</v>
      </c>
      <c r="S625" s="103">
        <f t="shared" si="2"/>
        <v>30435.6</v>
      </c>
      <c r="T625" s="103">
        <f t="shared" si="3"/>
        <v>5706.675</v>
      </c>
      <c r="U625" s="103">
        <f t="shared" si="4"/>
        <v>5901.775</v>
      </c>
      <c r="V625" s="103">
        <f t="shared" si="5"/>
        <v>126619.9</v>
      </c>
      <c r="W625" s="103">
        <f t="shared" si="6"/>
        <v>27411.55</v>
      </c>
      <c r="X625" s="103">
        <f t="shared" si="7"/>
        <v>821468.55</v>
      </c>
    </row>
    <row r="626" ht="12.0" customHeight="1">
      <c r="A6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26" s="87" t="str">
        <f>IFERROR(__xludf.DUMMYFUNCTION("IFERROR(IF(F626&lt;&gt;"""",""WHSE ""&amp;LEFT(F626,1),REGEXEXTRACT(E626,""-(?:\d{2}-)?([A-Z]+)"")),"""")
"),"")</f>
        <v/>
      </c>
      <c r="C626" s="117"/>
      <c r="D626" s="118"/>
      <c r="E626" s="87"/>
      <c r="F626" s="87"/>
      <c r="G626" s="125"/>
      <c r="H626" s="120"/>
      <c r="I626" s="121"/>
      <c r="J626" s="122"/>
      <c r="K626" s="123"/>
      <c r="L626" s="123"/>
      <c r="M626" s="123"/>
      <c r="N626" s="124"/>
      <c r="O626" s="122"/>
      <c r="P626" s="124"/>
      <c r="Q626" s="109"/>
      <c r="R626" s="103">
        <f t="shared" si="1"/>
        <v>0</v>
      </c>
      <c r="S626" s="103">
        <f t="shared" si="2"/>
        <v>0</v>
      </c>
      <c r="T626" s="103">
        <f t="shared" si="3"/>
        <v>0</v>
      </c>
      <c r="U626" s="103">
        <f t="shared" si="4"/>
        <v>0</v>
      </c>
      <c r="V626" s="103">
        <f t="shared" si="5"/>
        <v>0</v>
      </c>
      <c r="W626" s="103">
        <f t="shared" si="6"/>
        <v>0</v>
      </c>
      <c r="X626" s="103">
        <f t="shared" si="7"/>
        <v>0</v>
      </c>
    </row>
    <row r="627" ht="12.0" customHeight="1">
      <c r="A6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27" s="87" t="str">
        <f>IFERROR(__xludf.DUMMYFUNCTION("IFERROR(IF(F627&lt;&gt;"""",""WHSE ""&amp;LEFT(F627,1),REGEXEXTRACT(E627,""-(?:\d{2}-)?([A-Z]+)"")),"""")
"),"WHSE A")</f>
        <v>WHSE A</v>
      </c>
      <c r="C627" s="117">
        <v>46048.0</v>
      </c>
      <c r="D627" s="118" t="s">
        <v>72</v>
      </c>
      <c r="E627" s="87" t="s">
        <v>633</v>
      </c>
      <c r="F627" s="87" t="s">
        <v>634</v>
      </c>
      <c r="G627" s="119" t="s">
        <v>77</v>
      </c>
      <c r="H627" s="120">
        <v>17480.0</v>
      </c>
      <c r="I627" s="121">
        <v>453.0</v>
      </c>
      <c r="J627" s="122">
        <v>11.87</v>
      </c>
      <c r="K627" s="123">
        <v>2.43</v>
      </c>
      <c r="L627" s="123">
        <v>0.578</v>
      </c>
      <c r="M627" s="123">
        <v>0.598</v>
      </c>
      <c r="N627" s="124">
        <v>14.4</v>
      </c>
      <c r="O627" s="122">
        <v>3.9</v>
      </c>
      <c r="P627" s="124">
        <v>81.7</v>
      </c>
      <c r="Q627" s="109"/>
      <c r="R627" s="103">
        <f t="shared" si="1"/>
        <v>207487.6</v>
      </c>
      <c r="S627" s="103">
        <f t="shared" si="2"/>
        <v>42476.4</v>
      </c>
      <c r="T627" s="103">
        <f t="shared" si="3"/>
        <v>10103.44</v>
      </c>
      <c r="U627" s="103">
        <f t="shared" si="4"/>
        <v>10453.04</v>
      </c>
      <c r="V627" s="103">
        <f t="shared" si="5"/>
        <v>251712</v>
      </c>
      <c r="W627" s="103">
        <f t="shared" si="6"/>
        <v>68172</v>
      </c>
      <c r="X627" s="103">
        <f t="shared" si="7"/>
        <v>1428116</v>
      </c>
    </row>
    <row r="628" ht="12.0" customHeight="1">
      <c r="A6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28" s="87" t="str">
        <f>IFERROR(__xludf.DUMMYFUNCTION("IFERROR(IF(F628&lt;&gt;"""",""WHSE ""&amp;LEFT(F628,1),REGEXEXTRACT(E628,""-(?:\d{2}-)?([A-Z]+)"")),"""")
"),"WHSE D")</f>
        <v>WHSE D</v>
      </c>
      <c r="C628" s="117">
        <v>46048.0</v>
      </c>
      <c r="D628" s="118" t="s">
        <v>64</v>
      </c>
      <c r="E628" s="87" t="s">
        <v>646</v>
      </c>
      <c r="F628" s="87" t="s">
        <v>647</v>
      </c>
      <c r="G628" s="119" t="s">
        <v>65</v>
      </c>
      <c r="H628" s="120">
        <v>25590.0</v>
      </c>
      <c r="I628" s="121">
        <v>536.0</v>
      </c>
      <c r="J628" s="122">
        <v>11.94</v>
      </c>
      <c r="K628" s="123">
        <v>2.73</v>
      </c>
      <c r="L628" s="123">
        <v>0.578</v>
      </c>
      <c r="M628" s="123">
        <v>0.598</v>
      </c>
      <c r="N628" s="124">
        <v>12.76</v>
      </c>
      <c r="O628" s="122">
        <v>2.54</v>
      </c>
      <c r="P628" s="124">
        <v>84.7</v>
      </c>
      <c r="Q628" s="109"/>
      <c r="R628" s="103">
        <f t="shared" si="1"/>
        <v>305544.6</v>
      </c>
      <c r="S628" s="103">
        <f t="shared" si="2"/>
        <v>69860.7</v>
      </c>
      <c r="T628" s="103">
        <f t="shared" si="3"/>
        <v>14791.02</v>
      </c>
      <c r="U628" s="103">
        <f t="shared" si="4"/>
        <v>15302.82</v>
      </c>
      <c r="V628" s="103">
        <f t="shared" si="5"/>
        <v>326528.4</v>
      </c>
      <c r="W628" s="103">
        <f t="shared" si="6"/>
        <v>64998.6</v>
      </c>
      <c r="X628" s="103">
        <f t="shared" si="7"/>
        <v>2167473</v>
      </c>
    </row>
    <row r="629" ht="12.0" customHeight="1">
      <c r="A6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29" s="87" t="str">
        <f>IFERROR(__xludf.DUMMYFUNCTION("IFERROR(IF(F629&lt;&gt;"""",""WHSE ""&amp;LEFT(F629,1),REGEXEXTRACT(E629,""-(?:\d{2}-)?([A-Z]+)"")),"""")
"),"WHSE D")</f>
        <v>WHSE D</v>
      </c>
      <c r="C629" s="117">
        <v>46048.0</v>
      </c>
      <c r="D629" s="118" t="s">
        <v>432</v>
      </c>
      <c r="E629" s="87" t="s">
        <v>646</v>
      </c>
      <c r="F629" s="87" t="s">
        <v>647</v>
      </c>
      <c r="G629" s="119" t="s">
        <v>433</v>
      </c>
      <c r="H629" s="120">
        <v>15860.0</v>
      </c>
      <c r="I629" s="121">
        <v>459.0</v>
      </c>
      <c r="J629" s="122">
        <v>11.54</v>
      </c>
      <c r="K629" s="123">
        <v>2.68</v>
      </c>
      <c r="L629" s="123">
        <v>0.581</v>
      </c>
      <c r="M629" s="123">
        <v>0.601</v>
      </c>
      <c r="N629" s="124">
        <v>12.52</v>
      </c>
      <c r="O629" s="122">
        <v>3.36</v>
      </c>
      <c r="P629" s="124">
        <v>84.12</v>
      </c>
      <c r="Q629" s="118"/>
      <c r="R629" s="86">
        <f t="shared" si="1"/>
        <v>183024.4</v>
      </c>
      <c r="S629" s="86">
        <f t="shared" si="2"/>
        <v>42504.8</v>
      </c>
      <c r="T629" s="86">
        <f t="shared" si="3"/>
        <v>9214.66</v>
      </c>
      <c r="U629" s="86">
        <f t="shared" si="4"/>
        <v>9531.86</v>
      </c>
      <c r="V629" s="86">
        <f t="shared" si="5"/>
        <v>198567.2</v>
      </c>
      <c r="W629" s="86">
        <f t="shared" si="6"/>
        <v>53289.6</v>
      </c>
      <c r="X629" s="86">
        <f t="shared" si="7"/>
        <v>1334143.2</v>
      </c>
    </row>
    <row r="630" ht="12.0" customHeight="1">
      <c r="A6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30" s="87" t="str">
        <f>IFERROR(__xludf.DUMMYFUNCTION("IFERROR(IF(F630&lt;&gt;"""",""WHSE ""&amp;LEFT(F630,1),REGEXEXTRACT(E630,""-(?:\d{2}-)?([A-Z]+)"")),"""")
"),"WHSE A")</f>
        <v>WHSE A</v>
      </c>
      <c r="C630" s="117">
        <v>46048.0</v>
      </c>
      <c r="D630" s="118" t="s">
        <v>232</v>
      </c>
      <c r="E630" s="87" t="s">
        <v>644</v>
      </c>
      <c r="F630" s="87" t="s">
        <v>645</v>
      </c>
      <c r="G630" s="119" t="s">
        <v>235</v>
      </c>
      <c r="H630" s="120">
        <v>12245.0</v>
      </c>
      <c r="I630" s="121">
        <v>333.0</v>
      </c>
      <c r="J630" s="122">
        <v>10.07</v>
      </c>
      <c r="K630" s="123">
        <v>3.71</v>
      </c>
      <c r="L630" s="123">
        <v>0.585</v>
      </c>
      <c r="M630" s="123">
        <v>0.605</v>
      </c>
      <c r="N630" s="124">
        <v>13.95</v>
      </c>
      <c r="O630" s="122">
        <v>3.28</v>
      </c>
      <c r="P630" s="124">
        <v>82.77</v>
      </c>
      <c r="Q630" s="109"/>
      <c r="R630" s="103">
        <f t="shared" si="1"/>
        <v>123307.15</v>
      </c>
      <c r="S630" s="103">
        <f t="shared" si="2"/>
        <v>45428.95</v>
      </c>
      <c r="T630" s="103">
        <f t="shared" si="3"/>
        <v>7163.325</v>
      </c>
      <c r="U630" s="103">
        <f t="shared" si="4"/>
        <v>7408.225</v>
      </c>
      <c r="V630" s="103">
        <f t="shared" si="5"/>
        <v>170817.75</v>
      </c>
      <c r="W630" s="103">
        <f t="shared" si="6"/>
        <v>40163.6</v>
      </c>
      <c r="X630" s="103">
        <f t="shared" si="7"/>
        <v>1013518.65</v>
      </c>
    </row>
    <row r="631" ht="12.0" customHeight="1">
      <c r="A6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31" s="87" t="str">
        <f>IFERROR(__xludf.DUMMYFUNCTION("IFERROR(IF(F631&lt;&gt;"""",""WHSE ""&amp;LEFT(F631,1),REGEXEXTRACT(E631,""-(?:\d{2}-)?([A-Z]+)"")),"""")
"),"WHSE D")</f>
        <v>WHSE D</v>
      </c>
      <c r="C631" s="117">
        <v>46048.0</v>
      </c>
      <c r="D631" s="118" t="s">
        <v>60</v>
      </c>
      <c r="E631" s="87" t="s">
        <v>593</v>
      </c>
      <c r="F631" s="87" t="s">
        <v>594</v>
      </c>
      <c r="G631" s="119" t="s">
        <v>514</v>
      </c>
      <c r="H631" s="120">
        <v>21179.0</v>
      </c>
      <c r="I631" s="121">
        <v>436.0</v>
      </c>
      <c r="J631" s="122">
        <v>17.87</v>
      </c>
      <c r="K631" s="123">
        <v>2.61</v>
      </c>
      <c r="L631" s="123">
        <v>0.575</v>
      </c>
      <c r="M631" s="123">
        <v>0.595</v>
      </c>
      <c r="N631" s="124">
        <v>12.24</v>
      </c>
      <c r="O631" s="122">
        <v>3.4</v>
      </c>
      <c r="P631" s="124">
        <v>84.36</v>
      </c>
      <c r="Q631" s="118" t="s">
        <v>648</v>
      </c>
      <c r="R631" s="86">
        <f t="shared" si="1"/>
        <v>378468.73</v>
      </c>
      <c r="S631" s="86">
        <f t="shared" si="2"/>
        <v>55277.19</v>
      </c>
      <c r="T631" s="86">
        <f t="shared" si="3"/>
        <v>12177.925</v>
      </c>
      <c r="U631" s="86">
        <f t="shared" si="4"/>
        <v>12601.505</v>
      </c>
      <c r="V631" s="86">
        <f t="shared" si="5"/>
        <v>259230.96</v>
      </c>
      <c r="W631" s="86">
        <f t="shared" si="6"/>
        <v>72008.6</v>
      </c>
      <c r="X631" s="86">
        <f t="shared" si="7"/>
        <v>1786660.44</v>
      </c>
    </row>
    <row r="632" ht="12.0" customHeight="1">
      <c r="A6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32" s="87" t="str">
        <f>IFERROR(__xludf.DUMMYFUNCTION("IFERROR(IF(F632&lt;&gt;"""",""WHSE ""&amp;LEFT(F632,1),REGEXEXTRACT(E632,""-(?:\d{2}-)?([A-Z]+)"")),"""")
"),"WHSE A")</f>
        <v>WHSE A</v>
      </c>
      <c r="C632" s="117">
        <v>46048.0</v>
      </c>
      <c r="D632" s="118" t="s">
        <v>265</v>
      </c>
      <c r="E632" s="87" t="s">
        <v>644</v>
      </c>
      <c r="F632" s="87" t="s">
        <v>645</v>
      </c>
      <c r="G632" s="119" t="s">
        <v>334</v>
      </c>
      <c r="H632" s="120">
        <v>7360.0</v>
      </c>
      <c r="I632" s="121">
        <v>184.0</v>
      </c>
      <c r="J632" s="122">
        <v>11.07</v>
      </c>
      <c r="K632" s="123">
        <v>3.81</v>
      </c>
      <c r="L632" s="123">
        <v>0.562</v>
      </c>
      <c r="M632" s="123">
        <v>0.582</v>
      </c>
      <c r="N632" s="124">
        <v>13.39</v>
      </c>
      <c r="O632" s="122">
        <v>3.85</v>
      </c>
      <c r="P632" s="124">
        <v>82.76</v>
      </c>
      <c r="Q632" s="109"/>
      <c r="R632" s="103">
        <f t="shared" si="1"/>
        <v>81475.2</v>
      </c>
      <c r="S632" s="103">
        <f t="shared" si="2"/>
        <v>28041.6</v>
      </c>
      <c r="T632" s="103">
        <f t="shared" si="3"/>
        <v>4136.32</v>
      </c>
      <c r="U632" s="103">
        <f t="shared" si="4"/>
        <v>4283.52</v>
      </c>
      <c r="V632" s="103">
        <f t="shared" si="5"/>
        <v>98550.4</v>
      </c>
      <c r="W632" s="103">
        <f t="shared" si="6"/>
        <v>28336</v>
      </c>
      <c r="X632" s="103">
        <f t="shared" si="7"/>
        <v>609113.6</v>
      </c>
    </row>
    <row r="633" ht="12.0" customHeight="1">
      <c r="A6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33" s="87" t="str">
        <f>IFERROR(__xludf.DUMMYFUNCTION("IFERROR(IF(F633&lt;&gt;"""",""WHSE ""&amp;LEFT(F633,1),REGEXEXTRACT(E633,""-(?:\d{2}-)?([A-Z]+)"")),"""")
"),"")</f>
        <v/>
      </c>
      <c r="C633" s="108"/>
      <c r="D633" s="109"/>
      <c r="E633" s="110"/>
      <c r="F633" s="110"/>
      <c r="G633" s="111"/>
      <c r="H633" s="112"/>
      <c r="I633" s="113"/>
      <c r="J633" s="114"/>
      <c r="K633" s="115"/>
      <c r="L633" s="115"/>
      <c r="M633" s="115"/>
      <c r="N633" s="116"/>
      <c r="O633" s="114"/>
      <c r="P633" s="116"/>
      <c r="Q633" s="109"/>
      <c r="R633" s="103">
        <f t="shared" si="1"/>
        <v>0</v>
      </c>
      <c r="S633" s="103">
        <f t="shared" si="2"/>
        <v>0</v>
      </c>
      <c r="T633" s="103">
        <f t="shared" si="3"/>
        <v>0</v>
      </c>
      <c r="U633" s="103">
        <f t="shared" si="4"/>
        <v>0</v>
      </c>
      <c r="V633" s="103">
        <f t="shared" si="5"/>
        <v>0</v>
      </c>
      <c r="W633" s="103">
        <f t="shared" si="6"/>
        <v>0</v>
      </c>
      <c r="X633" s="103">
        <f t="shared" si="7"/>
        <v>0</v>
      </c>
    </row>
    <row r="634" ht="12.0" customHeight="1">
      <c r="A6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34" s="87" t="str">
        <f>IFERROR(__xludf.DUMMYFUNCTION("IFERROR(IF(F634&lt;&gt;"""",""WHSE ""&amp;LEFT(F634,1),REGEXEXTRACT(E634,""-(?:\d{2}-)?([A-Z]+)"")),"""")
"),"WHSE A")</f>
        <v>WHSE A</v>
      </c>
      <c r="C634" s="117">
        <v>46049.0</v>
      </c>
      <c r="D634" s="118" t="s">
        <v>72</v>
      </c>
      <c r="E634" s="87" t="s">
        <v>633</v>
      </c>
      <c r="F634" s="87" t="s">
        <v>634</v>
      </c>
      <c r="G634" s="119" t="s">
        <v>73</v>
      </c>
      <c r="H634" s="120">
        <v>16750.0</v>
      </c>
      <c r="I634" s="121">
        <v>432.0</v>
      </c>
      <c r="J634" s="122">
        <v>11.47</v>
      </c>
      <c r="K634" s="123">
        <v>2.61</v>
      </c>
      <c r="L634" s="123">
        <v>0.575</v>
      </c>
      <c r="M634" s="123">
        <v>0.595</v>
      </c>
      <c r="N634" s="124">
        <v>13.36</v>
      </c>
      <c r="O634" s="122">
        <v>3.74</v>
      </c>
      <c r="P634" s="124">
        <v>82.9</v>
      </c>
      <c r="Q634" s="109"/>
      <c r="R634" s="103">
        <f t="shared" si="1"/>
        <v>192122.5</v>
      </c>
      <c r="S634" s="103">
        <f t="shared" si="2"/>
        <v>43717.5</v>
      </c>
      <c r="T634" s="103">
        <f t="shared" si="3"/>
        <v>9631.25</v>
      </c>
      <c r="U634" s="103">
        <f t="shared" si="4"/>
        <v>9966.25</v>
      </c>
      <c r="V634" s="103">
        <f t="shared" si="5"/>
        <v>223780</v>
      </c>
      <c r="W634" s="103">
        <f t="shared" si="6"/>
        <v>62645</v>
      </c>
      <c r="X634" s="103">
        <f t="shared" si="7"/>
        <v>1388575</v>
      </c>
    </row>
    <row r="635" ht="12.0" customHeight="1">
      <c r="A6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35" s="87" t="str">
        <f>IFERROR(__xludf.DUMMYFUNCTION("IFERROR(IF(F635&lt;&gt;"""",""WHSE ""&amp;LEFT(F635,1),REGEXEXTRACT(E635,""-(?:\d{2}-)?([A-Z]+)"")),"""")
"),"FEED")</f>
        <v>FEED</v>
      </c>
      <c r="C635" s="117">
        <v>46049.0</v>
      </c>
      <c r="D635" s="118" t="s">
        <v>286</v>
      </c>
      <c r="E635" s="87" t="s">
        <v>649</v>
      </c>
      <c r="F635" s="110"/>
      <c r="G635" s="119" t="s">
        <v>77</v>
      </c>
      <c r="H635" s="120">
        <v>17450.0</v>
      </c>
      <c r="I635" s="121">
        <v>469.0</v>
      </c>
      <c r="J635" s="122">
        <v>11.8</v>
      </c>
      <c r="K635" s="123">
        <v>3.18</v>
      </c>
      <c r="L635" s="123">
        <v>0.568</v>
      </c>
      <c r="M635" s="123">
        <v>0.588</v>
      </c>
      <c r="N635" s="124">
        <v>14.13</v>
      </c>
      <c r="O635" s="122">
        <v>2.52</v>
      </c>
      <c r="P635" s="124">
        <v>83.35</v>
      </c>
      <c r="Q635" s="118" t="s">
        <v>229</v>
      </c>
      <c r="R635" s="86">
        <f t="shared" si="1"/>
        <v>205910</v>
      </c>
      <c r="S635" s="86">
        <f t="shared" si="2"/>
        <v>55491</v>
      </c>
      <c r="T635" s="86">
        <f t="shared" si="3"/>
        <v>9911.6</v>
      </c>
      <c r="U635" s="86">
        <f t="shared" si="4"/>
        <v>10260.6</v>
      </c>
      <c r="V635" s="86">
        <f t="shared" si="5"/>
        <v>246568.5</v>
      </c>
      <c r="W635" s="86">
        <f t="shared" si="6"/>
        <v>43974</v>
      </c>
      <c r="X635" s="86">
        <f t="shared" si="7"/>
        <v>1454457.5</v>
      </c>
    </row>
    <row r="636" ht="12.0" customHeight="1">
      <c r="A6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36" s="87" t="str">
        <f>IFERROR(__xludf.DUMMYFUNCTION("IFERROR(IF(F636&lt;&gt;"""",""WHSE ""&amp;LEFT(F636,1),REGEXEXTRACT(E636,""-(?:\d{2}-)?([A-Z]+)"")),"""")
"),"WHSE D")</f>
        <v>WHSE D</v>
      </c>
      <c r="C636" s="117">
        <v>46049.0</v>
      </c>
      <c r="D636" s="118" t="s">
        <v>577</v>
      </c>
      <c r="E636" s="87" t="s">
        <v>646</v>
      </c>
      <c r="F636" s="87" t="s">
        <v>647</v>
      </c>
      <c r="G636" s="119" t="s">
        <v>491</v>
      </c>
      <c r="H636" s="120">
        <v>5905.0</v>
      </c>
      <c r="I636" s="121">
        <v>170.0</v>
      </c>
      <c r="J636" s="122">
        <v>12.0</v>
      </c>
      <c r="K636" s="123">
        <v>2.18</v>
      </c>
      <c r="L636" s="123">
        <v>0.578</v>
      </c>
      <c r="M636" s="123">
        <v>0.598</v>
      </c>
      <c r="N636" s="124">
        <v>14.71</v>
      </c>
      <c r="O636" s="122">
        <v>2.42</v>
      </c>
      <c r="P636" s="124">
        <v>82.87</v>
      </c>
      <c r="Q636" s="109"/>
      <c r="R636" s="103">
        <f t="shared" si="1"/>
        <v>70860</v>
      </c>
      <c r="S636" s="103">
        <f t="shared" si="2"/>
        <v>12872.9</v>
      </c>
      <c r="T636" s="103">
        <f t="shared" si="3"/>
        <v>3413.09</v>
      </c>
      <c r="U636" s="103">
        <f t="shared" si="4"/>
        <v>3531.19</v>
      </c>
      <c r="V636" s="103">
        <f t="shared" si="5"/>
        <v>86862.55</v>
      </c>
      <c r="W636" s="103">
        <f t="shared" si="6"/>
        <v>14290.1</v>
      </c>
      <c r="X636" s="103">
        <f t="shared" si="7"/>
        <v>489347.35</v>
      </c>
    </row>
    <row r="637" ht="12.0" customHeight="1">
      <c r="A6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37" s="87" t="str">
        <f>IFERROR(__xludf.DUMMYFUNCTION("IFERROR(IF(F637&lt;&gt;"""",""WHSE ""&amp;LEFT(F637,1),REGEXEXTRACT(E637,""-(?:\d{2}-)?([A-Z]+)"")),"""")
"),"WHSE A")</f>
        <v>WHSE A</v>
      </c>
      <c r="C637" s="117">
        <v>46049.0</v>
      </c>
      <c r="D637" s="118" t="s">
        <v>232</v>
      </c>
      <c r="E637" s="87" t="s">
        <v>644</v>
      </c>
      <c r="F637" s="87" t="s">
        <v>645</v>
      </c>
      <c r="G637" s="119" t="s">
        <v>235</v>
      </c>
      <c r="H637" s="120">
        <v>12565.0</v>
      </c>
      <c r="I637" s="121">
        <v>312.0</v>
      </c>
      <c r="J637" s="122">
        <v>11.74</v>
      </c>
      <c r="K637" s="123">
        <v>3.49</v>
      </c>
      <c r="L637" s="123">
        <v>0.565</v>
      </c>
      <c r="M637" s="123">
        <v>0.585</v>
      </c>
      <c r="N637" s="124">
        <v>12.27</v>
      </c>
      <c r="O637" s="122">
        <v>3.53</v>
      </c>
      <c r="P637" s="124">
        <v>84.2</v>
      </c>
      <c r="Q637" s="109"/>
      <c r="R637" s="103">
        <f t="shared" si="1"/>
        <v>147513.1</v>
      </c>
      <c r="S637" s="103">
        <f t="shared" si="2"/>
        <v>43851.85</v>
      </c>
      <c r="T637" s="103">
        <f t="shared" si="3"/>
        <v>7099.225</v>
      </c>
      <c r="U637" s="103">
        <f t="shared" si="4"/>
        <v>7350.525</v>
      </c>
      <c r="V637" s="103">
        <f t="shared" si="5"/>
        <v>154172.55</v>
      </c>
      <c r="W637" s="103">
        <f t="shared" si="6"/>
        <v>44354.45</v>
      </c>
      <c r="X637" s="103">
        <f t="shared" si="7"/>
        <v>1057973</v>
      </c>
    </row>
    <row r="638" ht="12.0" customHeight="1">
      <c r="A6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38" s="87" t="str">
        <f>IFERROR(__xludf.DUMMYFUNCTION("IFERROR(IF(F638&lt;&gt;"""",""WHSE ""&amp;LEFT(F638,1),REGEXEXTRACT(E638,""-(?:\d{2}-)?([A-Z]+)"")),"""")
"),"WHSE A")</f>
        <v>WHSE A</v>
      </c>
      <c r="C638" s="117">
        <v>46049.0</v>
      </c>
      <c r="D638" s="118" t="s">
        <v>232</v>
      </c>
      <c r="E638" s="87" t="s">
        <v>644</v>
      </c>
      <c r="F638" s="87" t="s">
        <v>645</v>
      </c>
      <c r="G638" s="119" t="s">
        <v>272</v>
      </c>
      <c r="H638" s="120">
        <v>22655.0</v>
      </c>
      <c r="I638" s="121">
        <v>543.0</v>
      </c>
      <c r="J638" s="122">
        <v>11.27</v>
      </c>
      <c r="K638" s="123">
        <v>3.62</v>
      </c>
      <c r="L638" s="123">
        <v>0.559</v>
      </c>
      <c r="M638" s="123">
        <v>0.579</v>
      </c>
      <c r="N638" s="124">
        <v>12.71</v>
      </c>
      <c r="O638" s="122">
        <v>4.08</v>
      </c>
      <c r="P638" s="124">
        <v>83.21</v>
      </c>
      <c r="Q638" s="109"/>
      <c r="R638" s="103">
        <f t="shared" si="1"/>
        <v>255321.85</v>
      </c>
      <c r="S638" s="103">
        <f t="shared" si="2"/>
        <v>82011.1</v>
      </c>
      <c r="T638" s="103">
        <f t="shared" si="3"/>
        <v>12664.145</v>
      </c>
      <c r="U638" s="103">
        <f t="shared" si="4"/>
        <v>13117.245</v>
      </c>
      <c r="V638" s="103">
        <f t="shared" si="5"/>
        <v>287945.05</v>
      </c>
      <c r="W638" s="103">
        <f t="shared" si="6"/>
        <v>92432.4</v>
      </c>
      <c r="X638" s="103">
        <f t="shared" si="7"/>
        <v>1885122.55</v>
      </c>
    </row>
    <row r="639" ht="12.0" customHeight="1">
      <c r="A6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39" s="87" t="str">
        <f>IFERROR(__xludf.DUMMYFUNCTION("IFERROR(IF(F639&lt;&gt;"""",""WHSE ""&amp;LEFT(F639,1),REGEXEXTRACT(E639,""-(?:\d{2}-)?([A-Z]+)"")),"""")
"),"")</f>
        <v/>
      </c>
      <c r="C639" s="108"/>
      <c r="D639" s="109"/>
      <c r="E639" s="110"/>
      <c r="F639" s="110"/>
      <c r="G639" s="111"/>
      <c r="H639" s="112"/>
      <c r="I639" s="113"/>
      <c r="J639" s="114"/>
      <c r="K639" s="115"/>
      <c r="L639" s="115"/>
      <c r="M639" s="115"/>
      <c r="N639" s="116"/>
      <c r="O639" s="114"/>
      <c r="P639" s="116"/>
      <c r="Q639" s="109"/>
      <c r="R639" s="103">
        <f t="shared" si="1"/>
        <v>0</v>
      </c>
      <c r="S639" s="103">
        <f t="shared" si="2"/>
        <v>0</v>
      </c>
      <c r="T639" s="103">
        <f t="shared" si="3"/>
        <v>0</v>
      </c>
      <c r="U639" s="103">
        <f t="shared" si="4"/>
        <v>0</v>
      </c>
      <c r="V639" s="103">
        <f t="shared" si="5"/>
        <v>0</v>
      </c>
      <c r="W639" s="103">
        <f t="shared" si="6"/>
        <v>0</v>
      </c>
      <c r="X639" s="103">
        <f t="shared" si="7"/>
        <v>0</v>
      </c>
    </row>
    <row r="640" ht="12.0" customHeight="1">
      <c r="A6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40" s="87" t="str">
        <f>IFERROR(__xludf.DUMMYFUNCTION("IFERROR(IF(F640&lt;&gt;"""",""WHSE ""&amp;LEFT(F640,1),REGEXEXTRACT(E640,""-(?:\d{2}-)?([A-Z]+)"")),"""")
"),"WHSE A")</f>
        <v>WHSE A</v>
      </c>
      <c r="C640" s="117">
        <v>46050.0</v>
      </c>
      <c r="D640" s="118" t="s">
        <v>72</v>
      </c>
      <c r="E640" s="87" t="s">
        <v>650</v>
      </c>
      <c r="F640" s="87" t="s">
        <v>651</v>
      </c>
      <c r="G640" s="119" t="s">
        <v>73</v>
      </c>
      <c r="H640" s="120">
        <v>18145.0</v>
      </c>
      <c r="I640" s="121">
        <v>444.0</v>
      </c>
      <c r="J640" s="122">
        <v>11.74</v>
      </c>
      <c r="K640" s="123">
        <v>2.73</v>
      </c>
      <c r="L640" s="123">
        <v>0.575</v>
      </c>
      <c r="M640" s="123">
        <v>0.595</v>
      </c>
      <c r="N640" s="124">
        <v>12.14</v>
      </c>
      <c r="O640" s="122">
        <v>3.8</v>
      </c>
      <c r="P640" s="124">
        <v>84.06</v>
      </c>
      <c r="Q640" s="109"/>
      <c r="R640" s="103">
        <f t="shared" si="1"/>
        <v>213022.3</v>
      </c>
      <c r="S640" s="103">
        <f t="shared" si="2"/>
        <v>49535.85</v>
      </c>
      <c r="T640" s="103">
        <f t="shared" si="3"/>
        <v>10433.375</v>
      </c>
      <c r="U640" s="103">
        <f t="shared" si="4"/>
        <v>10796.275</v>
      </c>
      <c r="V640" s="103">
        <f t="shared" si="5"/>
        <v>220280.3</v>
      </c>
      <c r="W640" s="103">
        <f t="shared" si="6"/>
        <v>68951</v>
      </c>
      <c r="X640" s="103">
        <f t="shared" si="7"/>
        <v>1525268.7</v>
      </c>
    </row>
    <row r="641" ht="12.0" customHeight="1">
      <c r="A6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41" s="87" t="str">
        <f>IFERROR(__xludf.DUMMYFUNCTION("IFERROR(IF(F641&lt;&gt;"""",""WHSE ""&amp;LEFT(F641,1),REGEXEXTRACT(E641,""-(?:\d{2}-)?([A-Z]+)"")),"""")
"),"WHSE D")</f>
        <v>WHSE D</v>
      </c>
      <c r="C641" s="117">
        <v>46050.0</v>
      </c>
      <c r="D641" s="118" t="s">
        <v>279</v>
      </c>
      <c r="E641" s="87" t="s">
        <v>603</v>
      </c>
      <c r="F641" s="87" t="s">
        <v>281</v>
      </c>
      <c r="G641" s="119" t="s">
        <v>547</v>
      </c>
      <c r="H641" s="120">
        <v>7245.0</v>
      </c>
      <c r="I641" s="121">
        <v>132.0</v>
      </c>
      <c r="J641" s="122">
        <v>11.94</v>
      </c>
      <c r="K641" s="123">
        <v>2.81</v>
      </c>
      <c r="L641" s="123">
        <v>0.581</v>
      </c>
      <c r="M641" s="123">
        <v>0.601</v>
      </c>
      <c r="N641" s="124">
        <v>14.88</v>
      </c>
      <c r="O641" s="122">
        <v>3.14</v>
      </c>
      <c r="P641" s="124">
        <v>81.98</v>
      </c>
      <c r="Q641" s="109"/>
      <c r="R641" s="103">
        <f t="shared" si="1"/>
        <v>86505.3</v>
      </c>
      <c r="S641" s="103">
        <f t="shared" si="2"/>
        <v>20358.45</v>
      </c>
      <c r="T641" s="103">
        <f t="shared" si="3"/>
        <v>4209.345</v>
      </c>
      <c r="U641" s="103">
        <f t="shared" si="4"/>
        <v>4354.245</v>
      </c>
      <c r="V641" s="103">
        <f t="shared" si="5"/>
        <v>107805.6</v>
      </c>
      <c r="W641" s="103">
        <f t="shared" si="6"/>
        <v>22749.3</v>
      </c>
      <c r="X641" s="103">
        <f t="shared" si="7"/>
        <v>593945.1</v>
      </c>
    </row>
    <row r="642" ht="12.0" customHeight="1">
      <c r="A6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42" s="87" t="str">
        <f>IFERROR(__xludf.DUMMYFUNCTION("IFERROR(IF(F642&lt;&gt;"""",""WHSE ""&amp;LEFT(F642,1),REGEXEXTRACT(E642,""-(?:\d{2}-)?([A-Z]+)"")),"""")
"),"WHSE A")</f>
        <v>WHSE A</v>
      </c>
      <c r="C642" s="117">
        <v>46050.0</v>
      </c>
      <c r="D642" s="118" t="s">
        <v>265</v>
      </c>
      <c r="E642" s="87" t="s">
        <v>652</v>
      </c>
      <c r="F642" s="87" t="s">
        <v>653</v>
      </c>
      <c r="G642" s="119" t="s">
        <v>334</v>
      </c>
      <c r="H642" s="120">
        <v>6320.0</v>
      </c>
      <c r="I642" s="121">
        <v>190.0</v>
      </c>
      <c r="J642" s="122">
        <v>9.74</v>
      </c>
      <c r="K642" s="123">
        <v>3.59</v>
      </c>
      <c r="L642" s="123">
        <v>0.562</v>
      </c>
      <c r="M642" s="123">
        <v>0.582</v>
      </c>
      <c r="N642" s="124">
        <v>12.78</v>
      </c>
      <c r="O642" s="122">
        <v>2.66</v>
      </c>
      <c r="P642" s="124">
        <v>84.56</v>
      </c>
      <c r="Q642" s="109"/>
      <c r="R642" s="103">
        <f t="shared" si="1"/>
        <v>61556.8</v>
      </c>
      <c r="S642" s="103">
        <f t="shared" si="2"/>
        <v>22688.8</v>
      </c>
      <c r="T642" s="103">
        <f t="shared" si="3"/>
        <v>3551.84</v>
      </c>
      <c r="U642" s="103">
        <f t="shared" si="4"/>
        <v>3678.24</v>
      </c>
      <c r="V642" s="103">
        <f t="shared" si="5"/>
        <v>80769.6</v>
      </c>
      <c r="W642" s="103">
        <f t="shared" si="6"/>
        <v>16811.2</v>
      </c>
      <c r="X642" s="103">
        <f t="shared" si="7"/>
        <v>534419.2</v>
      </c>
    </row>
    <row r="643" ht="12.0" customHeight="1">
      <c r="A6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43" s="87" t="str">
        <f>IFERROR(__xludf.DUMMYFUNCTION("IFERROR(IF(F643&lt;&gt;"""",""WHSE ""&amp;LEFT(F643,1),REGEXEXTRACT(E643,""-(?:\d{2}-)?([A-Z]+)"")),"""")
"),"WHSE A")</f>
        <v>WHSE A</v>
      </c>
      <c r="C643" s="117">
        <v>46050.0</v>
      </c>
      <c r="D643" s="118" t="s">
        <v>618</v>
      </c>
      <c r="E643" s="87" t="s">
        <v>619</v>
      </c>
      <c r="F643" s="87" t="s">
        <v>620</v>
      </c>
      <c r="G643" s="111"/>
      <c r="H643" s="120">
        <v>1850.0</v>
      </c>
      <c r="I643" s="121">
        <v>4.0</v>
      </c>
      <c r="J643" s="122">
        <v>9.2</v>
      </c>
      <c r="K643" s="123">
        <v>2.67</v>
      </c>
      <c r="L643" s="123">
        <v>0.5715</v>
      </c>
      <c r="M643" s="123">
        <v>0.5915</v>
      </c>
      <c r="N643" s="124">
        <v>12.19</v>
      </c>
      <c r="O643" s="122">
        <v>3.54</v>
      </c>
      <c r="P643" s="124">
        <v>84.27</v>
      </c>
      <c r="Q643" s="118" t="s">
        <v>621</v>
      </c>
      <c r="R643" s="86">
        <f t="shared" si="1"/>
        <v>17020</v>
      </c>
      <c r="S643" s="86">
        <f t="shared" si="2"/>
        <v>4939.5</v>
      </c>
      <c r="T643" s="86">
        <f t="shared" si="3"/>
        <v>1057.275</v>
      </c>
      <c r="U643" s="86">
        <f t="shared" si="4"/>
        <v>1094.275</v>
      </c>
      <c r="V643" s="86">
        <f t="shared" si="5"/>
        <v>22551.5</v>
      </c>
      <c r="W643" s="86">
        <f t="shared" si="6"/>
        <v>6549</v>
      </c>
      <c r="X643" s="86">
        <f t="shared" si="7"/>
        <v>155899.5</v>
      </c>
    </row>
    <row r="644" ht="12.0" customHeight="1">
      <c r="A6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44" s="87" t="str">
        <f>IFERROR(__xludf.DUMMYFUNCTION("IFERROR(IF(F644&lt;&gt;"""",""WHSE ""&amp;LEFT(F644,1),REGEXEXTRACT(E644,""-(?:\d{2}-)?([A-Z]+)"")),"""")
"),"")</f>
        <v/>
      </c>
      <c r="C644" s="108"/>
      <c r="D644" s="109"/>
      <c r="E644" s="110"/>
      <c r="F644" s="110"/>
      <c r="G644" s="111"/>
      <c r="H644" s="112"/>
      <c r="I644" s="113"/>
      <c r="J644" s="114"/>
      <c r="K644" s="115"/>
      <c r="L644" s="115"/>
      <c r="M644" s="115"/>
      <c r="N644" s="116"/>
      <c r="O644" s="114"/>
      <c r="P644" s="116"/>
      <c r="Q644" s="109"/>
      <c r="R644" s="103">
        <f t="shared" si="1"/>
        <v>0</v>
      </c>
      <c r="S644" s="103">
        <f t="shared" si="2"/>
        <v>0</v>
      </c>
      <c r="T644" s="103">
        <f t="shared" si="3"/>
        <v>0</v>
      </c>
      <c r="U644" s="103">
        <f t="shared" si="4"/>
        <v>0</v>
      </c>
      <c r="V644" s="103">
        <f t="shared" si="5"/>
        <v>0</v>
      </c>
      <c r="W644" s="103">
        <f t="shared" si="6"/>
        <v>0</v>
      </c>
      <c r="X644" s="103">
        <f t="shared" si="7"/>
        <v>0</v>
      </c>
    </row>
    <row r="645" ht="12.0" customHeight="1">
      <c r="A6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45" s="87" t="str">
        <f>IFERROR(__xludf.DUMMYFUNCTION("IFERROR(IF(F645&lt;&gt;"""",""WHSE ""&amp;LEFT(F645,1),REGEXEXTRACT(E645,""-(?:\d{2}-)?([A-Z]+)"")),"""")
"),"WHSE A")</f>
        <v>WHSE A</v>
      </c>
      <c r="C645" s="117">
        <v>46051.0</v>
      </c>
      <c r="D645" s="118" t="s">
        <v>232</v>
      </c>
      <c r="E645" s="87" t="s">
        <v>652</v>
      </c>
      <c r="F645" s="87" t="s">
        <v>653</v>
      </c>
      <c r="G645" s="119" t="s">
        <v>235</v>
      </c>
      <c r="H645" s="120">
        <v>11434.0</v>
      </c>
      <c r="I645" s="121">
        <v>375.0</v>
      </c>
      <c r="J645" s="122">
        <v>13.6</v>
      </c>
      <c r="K645" s="123">
        <v>3.6</v>
      </c>
      <c r="L645" s="123">
        <v>0.562</v>
      </c>
      <c r="M645" s="123">
        <v>0.582</v>
      </c>
      <c r="N645" s="124">
        <v>11.78</v>
      </c>
      <c r="O645" s="122">
        <v>4.66</v>
      </c>
      <c r="P645" s="124">
        <v>83.56</v>
      </c>
      <c r="Q645" s="118" t="s">
        <v>654</v>
      </c>
      <c r="R645" s="86">
        <f t="shared" si="1"/>
        <v>155502.4</v>
      </c>
      <c r="S645" s="86">
        <f t="shared" si="2"/>
        <v>41162.4</v>
      </c>
      <c r="T645" s="86">
        <f t="shared" si="3"/>
        <v>6425.908</v>
      </c>
      <c r="U645" s="86">
        <f t="shared" si="4"/>
        <v>6654.588</v>
      </c>
      <c r="V645" s="86">
        <f t="shared" si="5"/>
        <v>134692.52</v>
      </c>
      <c r="W645" s="86">
        <f t="shared" si="6"/>
        <v>53282.44</v>
      </c>
      <c r="X645" s="86">
        <f t="shared" si="7"/>
        <v>955425.04</v>
      </c>
    </row>
    <row r="646" ht="12.0" customHeight="1">
      <c r="A6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46" s="87" t="str">
        <f>IFERROR(__xludf.DUMMYFUNCTION("IFERROR(IF(F646&lt;&gt;"""",""WHSE ""&amp;LEFT(F646,1),REGEXEXTRACT(E646,""-(?:\d{2}-)?([A-Z]+)"")),"""")
"),"WHSE A")</f>
        <v>WHSE A</v>
      </c>
      <c r="C646" s="117">
        <v>46051.0</v>
      </c>
      <c r="D646" s="118" t="s">
        <v>72</v>
      </c>
      <c r="E646" s="87" t="s">
        <v>650</v>
      </c>
      <c r="F646" s="87" t="s">
        <v>651</v>
      </c>
      <c r="G646" s="119" t="s">
        <v>73</v>
      </c>
      <c r="H646" s="120">
        <v>17810.0</v>
      </c>
      <c r="I646" s="121">
        <v>441.0</v>
      </c>
      <c r="J646" s="122">
        <v>11.27</v>
      </c>
      <c r="K646" s="123">
        <v>2.73</v>
      </c>
      <c r="L646" s="123">
        <v>0.575</v>
      </c>
      <c r="M646" s="123">
        <v>0.595</v>
      </c>
      <c r="N646" s="124">
        <v>13.2</v>
      </c>
      <c r="O646" s="122">
        <v>3.45</v>
      </c>
      <c r="P646" s="124">
        <v>83.35</v>
      </c>
      <c r="Q646" s="109"/>
      <c r="R646" s="103">
        <f t="shared" si="1"/>
        <v>200718.7</v>
      </c>
      <c r="S646" s="103">
        <f t="shared" si="2"/>
        <v>48621.3</v>
      </c>
      <c r="T646" s="103">
        <f t="shared" si="3"/>
        <v>10240.75</v>
      </c>
      <c r="U646" s="103">
        <f t="shared" si="4"/>
        <v>10596.95</v>
      </c>
      <c r="V646" s="103">
        <f t="shared" si="5"/>
        <v>235092</v>
      </c>
      <c r="W646" s="103">
        <f t="shared" si="6"/>
        <v>61444.5</v>
      </c>
      <c r="X646" s="103">
        <f t="shared" si="7"/>
        <v>1484463.5</v>
      </c>
    </row>
    <row r="647" ht="12.0" customHeight="1">
      <c r="A6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47" s="87" t="str">
        <f>IFERROR(__xludf.DUMMYFUNCTION("IFERROR(IF(F647&lt;&gt;"""",""WHSE ""&amp;LEFT(F647,1),REGEXEXTRACT(E647,""-(?:\d{2}-)?([A-Z]+)"")),"""")
"),"FEED")</f>
        <v>FEED</v>
      </c>
      <c r="C647" s="117">
        <v>46051.0</v>
      </c>
      <c r="D647" s="118" t="s">
        <v>286</v>
      </c>
      <c r="E647" s="87" t="s">
        <v>655</v>
      </c>
      <c r="F647" s="110"/>
      <c r="G647" s="119" t="s">
        <v>77</v>
      </c>
      <c r="H647" s="120">
        <v>16887.0</v>
      </c>
      <c r="I647" s="121">
        <v>449.0</v>
      </c>
      <c r="J647" s="122">
        <v>12.34</v>
      </c>
      <c r="K647" s="123">
        <v>3.88</v>
      </c>
      <c r="L647" s="123">
        <v>0.571</v>
      </c>
      <c r="M647" s="123">
        <v>0.591</v>
      </c>
      <c r="N647" s="124">
        <v>13.41</v>
      </c>
      <c r="O647" s="122">
        <v>3.68</v>
      </c>
      <c r="P647" s="124">
        <v>82.91</v>
      </c>
      <c r="Q647" s="118" t="s">
        <v>656</v>
      </c>
      <c r="R647" s="86">
        <f t="shared" si="1"/>
        <v>208385.58</v>
      </c>
      <c r="S647" s="86">
        <f t="shared" si="2"/>
        <v>65521.56</v>
      </c>
      <c r="T647" s="86">
        <f t="shared" si="3"/>
        <v>9642.477</v>
      </c>
      <c r="U647" s="86">
        <f t="shared" si="4"/>
        <v>9980.217</v>
      </c>
      <c r="V647" s="86">
        <f t="shared" si="5"/>
        <v>226454.67</v>
      </c>
      <c r="W647" s="86">
        <f t="shared" si="6"/>
        <v>62144.16</v>
      </c>
      <c r="X647" s="86">
        <f t="shared" si="7"/>
        <v>1400101.17</v>
      </c>
    </row>
    <row r="648" ht="12.0" customHeight="1">
      <c r="A6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48" s="87" t="str">
        <f>IFERROR(__xludf.DUMMYFUNCTION("IFERROR(IF(F648&lt;&gt;"""",""WHSE ""&amp;LEFT(F648,1),REGEXEXTRACT(E648,""-(?:\d{2}-)?([A-Z]+)"")),"""")
"),"WHSE A")</f>
        <v>WHSE A</v>
      </c>
      <c r="C648" s="117">
        <v>46051.0</v>
      </c>
      <c r="D648" s="118" t="s">
        <v>618</v>
      </c>
      <c r="E648" s="87" t="s">
        <v>619</v>
      </c>
      <c r="F648" s="87" t="s">
        <v>620</v>
      </c>
      <c r="G648" s="111"/>
      <c r="H648" s="120">
        <v>6279.0</v>
      </c>
      <c r="I648" s="121">
        <v>12.0</v>
      </c>
      <c r="J648" s="122">
        <v>10.14</v>
      </c>
      <c r="K648" s="123">
        <v>2.67</v>
      </c>
      <c r="L648" s="123">
        <v>0.5715</v>
      </c>
      <c r="M648" s="123">
        <v>0.5915</v>
      </c>
      <c r="N648" s="124">
        <v>12.19</v>
      </c>
      <c r="O648" s="122">
        <v>3.54</v>
      </c>
      <c r="P648" s="124">
        <v>84.27</v>
      </c>
      <c r="Q648" s="118" t="s">
        <v>621</v>
      </c>
      <c r="R648" s="86">
        <f t="shared" si="1"/>
        <v>63669.06</v>
      </c>
      <c r="S648" s="86">
        <f t="shared" si="2"/>
        <v>16764.93</v>
      </c>
      <c r="T648" s="86">
        <f t="shared" si="3"/>
        <v>3588.4485</v>
      </c>
      <c r="U648" s="86">
        <f t="shared" si="4"/>
        <v>3714.0285</v>
      </c>
      <c r="V648" s="86">
        <f t="shared" si="5"/>
        <v>76541.01</v>
      </c>
      <c r="W648" s="86">
        <f t="shared" si="6"/>
        <v>22227.66</v>
      </c>
      <c r="X648" s="86">
        <f t="shared" si="7"/>
        <v>529131.33</v>
      </c>
    </row>
    <row r="649" ht="12.0" customHeight="1">
      <c r="A6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49" s="87" t="str">
        <f>IFERROR(__xludf.DUMMYFUNCTION("IFERROR(IF(F649&lt;&gt;"""",""WHSE ""&amp;LEFT(F649,1),REGEXEXTRACT(E649,""-(?:\d{2}-)?([A-Z]+)"")),"""")
"),"")</f>
        <v/>
      </c>
      <c r="C649" s="108"/>
      <c r="D649" s="109"/>
      <c r="E649" s="110"/>
      <c r="F649" s="110"/>
      <c r="G649" s="111"/>
      <c r="H649" s="112"/>
      <c r="I649" s="113"/>
      <c r="J649" s="114"/>
      <c r="K649" s="115"/>
      <c r="L649" s="115"/>
      <c r="M649" s="115"/>
      <c r="N649" s="116"/>
      <c r="O649" s="114"/>
      <c r="P649" s="116"/>
      <c r="Q649" s="109"/>
      <c r="R649" s="103">
        <f t="shared" si="1"/>
        <v>0</v>
      </c>
      <c r="S649" s="103">
        <f t="shared" si="2"/>
        <v>0</v>
      </c>
      <c r="T649" s="103">
        <f t="shared" si="3"/>
        <v>0</v>
      </c>
      <c r="U649" s="103">
        <f t="shared" si="4"/>
        <v>0</v>
      </c>
      <c r="V649" s="103">
        <f t="shared" si="5"/>
        <v>0</v>
      </c>
      <c r="W649" s="103">
        <f t="shared" si="6"/>
        <v>0</v>
      </c>
      <c r="X649" s="103">
        <f t="shared" si="7"/>
        <v>0</v>
      </c>
    </row>
    <row r="650" ht="12.0" customHeight="1">
      <c r="A6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50" s="87" t="str">
        <f>IFERROR(__xludf.DUMMYFUNCTION("IFERROR(IF(F650&lt;&gt;"""",""WHSE ""&amp;LEFT(F650,1),REGEXEXTRACT(E650,""-(?:\d{2}-)?([A-Z]+)"")),"""")
"),"WHSE A")</f>
        <v>WHSE A</v>
      </c>
      <c r="C650" s="117">
        <v>46052.0</v>
      </c>
      <c r="D650" s="118" t="s">
        <v>232</v>
      </c>
      <c r="E650" s="87" t="s">
        <v>652</v>
      </c>
      <c r="F650" s="87" t="s">
        <v>653</v>
      </c>
      <c r="G650" s="119" t="s">
        <v>77</v>
      </c>
      <c r="H650" s="120">
        <v>18100.0</v>
      </c>
      <c r="I650" s="121">
        <v>462.0</v>
      </c>
      <c r="J650" s="122">
        <v>11.34</v>
      </c>
      <c r="K650" s="123">
        <v>3.11</v>
      </c>
      <c r="L650" s="123">
        <v>0.578</v>
      </c>
      <c r="M650" s="123">
        <v>0.598</v>
      </c>
      <c r="N650" s="124">
        <v>13.77</v>
      </c>
      <c r="O650" s="122">
        <v>3.5</v>
      </c>
      <c r="P650" s="124">
        <v>82.73</v>
      </c>
      <c r="Q650" s="109"/>
      <c r="R650" s="103">
        <f t="shared" si="1"/>
        <v>205254</v>
      </c>
      <c r="S650" s="103">
        <f t="shared" si="2"/>
        <v>56291</v>
      </c>
      <c r="T650" s="103">
        <f t="shared" si="3"/>
        <v>10461.8</v>
      </c>
      <c r="U650" s="103">
        <f t="shared" si="4"/>
        <v>10823.8</v>
      </c>
      <c r="V650" s="103">
        <f t="shared" si="5"/>
        <v>249237</v>
      </c>
      <c r="W650" s="103">
        <f t="shared" si="6"/>
        <v>63350</v>
      </c>
      <c r="X650" s="103">
        <f t="shared" si="7"/>
        <v>1497413</v>
      </c>
    </row>
    <row r="651" ht="12.0" customHeight="1">
      <c r="A6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51" s="87" t="str">
        <f>IFERROR(__xludf.DUMMYFUNCTION("IFERROR(IF(F651&lt;&gt;"""",""WHSE ""&amp;LEFT(F651,1),REGEXEXTRACT(E651,""-(?:\d{2}-)?([A-Z]+)"")),"""")
"),"WHSE A")</f>
        <v>WHSE A</v>
      </c>
      <c r="C651" s="117">
        <v>46052.0</v>
      </c>
      <c r="D651" s="118" t="s">
        <v>265</v>
      </c>
      <c r="E651" s="87" t="s">
        <v>652</v>
      </c>
      <c r="F651" s="87" t="s">
        <v>653</v>
      </c>
      <c r="G651" s="119" t="s">
        <v>657</v>
      </c>
      <c r="H651" s="120">
        <v>9730.0</v>
      </c>
      <c r="I651" s="121">
        <v>247.0</v>
      </c>
      <c r="J651" s="122">
        <v>11.47</v>
      </c>
      <c r="K651" s="123">
        <v>3.77</v>
      </c>
      <c r="L651" s="123">
        <v>0.562</v>
      </c>
      <c r="M651" s="123">
        <v>0.582</v>
      </c>
      <c r="N651" s="124">
        <v>12.43</v>
      </c>
      <c r="O651" s="122">
        <v>2.54</v>
      </c>
      <c r="P651" s="124">
        <v>85.03</v>
      </c>
      <c r="Q651" s="109"/>
      <c r="R651" s="103">
        <f t="shared" si="1"/>
        <v>111603.1</v>
      </c>
      <c r="S651" s="103">
        <f t="shared" si="2"/>
        <v>36682.1</v>
      </c>
      <c r="T651" s="103">
        <f t="shared" si="3"/>
        <v>5468.26</v>
      </c>
      <c r="U651" s="103">
        <f t="shared" si="4"/>
        <v>5662.86</v>
      </c>
      <c r="V651" s="103">
        <f t="shared" si="5"/>
        <v>120943.9</v>
      </c>
      <c r="W651" s="103">
        <f t="shared" si="6"/>
        <v>24714.2</v>
      </c>
      <c r="X651" s="103">
        <f t="shared" si="7"/>
        <v>827341.9</v>
      </c>
    </row>
    <row r="652" ht="12.0" customHeight="1">
      <c r="A6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52" s="87" t="str">
        <f>IFERROR(__xludf.DUMMYFUNCTION("IFERROR(IF(F652&lt;&gt;"""",""WHSE ""&amp;LEFT(F652,1),REGEXEXTRACT(E652,""-(?:\d{2}-)?([A-Z]+)"")),"""")
"),"WHSE D")</f>
        <v>WHSE D</v>
      </c>
      <c r="C652" s="117">
        <v>46052.0</v>
      </c>
      <c r="D652" s="118" t="s">
        <v>577</v>
      </c>
      <c r="E652" s="87" t="s">
        <v>646</v>
      </c>
      <c r="F652" s="87" t="s">
        <v>647</v>
      </c>
      <c r="G652" s="119" t="s">
        <v>491</v>
      </c>
      <c r="H652" s="120">
        <v>5165.0</v>
      </c>
      <c r="I652" s="121">
        <v>172.0</v>
      </c>
      <c r="J652" s="122">
        <v>11.94</v>
      </c>
      <c r="K652" s="123">
        <v>2.69</v>
      </c>
      <c r="L652" s="123">
        <v>0.581</v>
      </c>
      <c r="M652" s="123">
        <v>0.601</v>
      </c>
      <c r="N652" s="124">
        <v>15.39</v>
      </c>
      <c r="O652" s="122">
        <v>2.99</v>
      </c>
      <c r="P652" s="124">
        <v>81.62</v>
      </c>
      <c r="Q652" s="109"/>
      <c r="R652" s="103">
        <f t="shared" si="1"/>
        <v>61670.1</v>
      </c>
      <c r="S652" s="103">
        <f t="shared" si="2"/>
        <v>13893.85</v>
      </c>
      <c r="T652" s="103">
        <f t="shared" si="3"/>
        <v>3000.865</v>
      </c>
      <c r="U652" s="103">
        <f t="shared" si="4"/>
        <v>3104.165</v>
      </c>
      <c r="V652" s="103">
        <f t="shared" si="5"/>
        <v>79489.35</v>
      </c>
      <c r="W652" s="103">
        <f t="shared" si="6"/>
        <v>15443.35</v>
      </c>
      <c r="X652" s="103">
        <f t="shared" si="7"/>
        <v>421567.3</v>
      </c>
    </row>
    <row r="653" ht="12.0" customHeight="1">
      <c r="A6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53" s="87" t="str">
        <f>IFERROR(__xludf.DUMMYFUNCTION("IFERROR(IF(F653&lt;&gt;"""",""WHSE ""&amp;LEFT(F653,1),REGEXEXTRACT(E653,""-(?:\d{2}-)?([A-Z]+)"")),"""")
"),"WHSE A")</f>
        <v>WHSE A</v>
      </c>
      <c r="C653" s="117">
        <v>46052.0</v>
      </c>
      <c r="D653" s="118" t="s">
        <v>618</v>
      </c>
      <c r="E653" s="87" t="s">
        <v>619</v>
      </c>
      <c r="F653" s="87" t="s">
        <v>620</v>
      </c>
      <c r="G653" s="111"/>
      <c r="H653" s="120">
        <v>7104.0</v>
      </c>
      <c r="I653" s="121">
        <v>13.0</v>
      </c>
      <c r="J653" s="122">
        <v>9.87</v>
      </c>
      <c r="K653" s="123">
        <v>2.67</v>
      </c>
      <c r="L653" s="123">
        <v>0.5715</v>
      </c>
      <c r="M653" s="123">
        <v>0.5915</v>
      </c>
      <c r="N653" s="124">
        <v>12.19</v>
      </c>
      <c r="O653" s="122">
        <v>3.54</v>
      </c>
      <c r="P653" s="124">
        <v>84.27</v>
      </c>
      <c r="Q653" s="118" t="s">
        <v>621</v>
      </c>
      <c r="R653" s="86">
        <f t="shared" si="1"/>
        <v>70116.48</v>
      </c>
      <c r="S653" s="86">
        <f t="shared" si="2"/>
        <v>18967.68</v>
      </c>
      <c r="T653" s="86">
        <f t="shared" si="3"/>
        <v>4059.936</v>
      </c>
      <c r="U653" s="86">
        <f t="shared" si="4"/>
        <v>4202.016</v>
      </c>
      <c r="V653" s="86">
        <f t="shared" si="5"/>
        <v>86597.76</v>
      </c>
      <c r="W653" s="86">
        <f t="shared" si="6"/>
        <v>25148.16</v>
      </c>
      <c r="X653" s="86">
        <f t="shared" si="7"/>
        <v>598654.08</v>
      </c>
    </row>
    <row r="654" ht="12.0" customHeight="1">
      <c r="A6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54" s="87" t="str">
        <f>IFERROR(__xludf.DUMMYFUNCTION("IFERROR(IF(F654&lt;&gt;"""",""WHSE ""&amp;LEFT(F654,1),REGEXEXTRACT(E654,""-(?:\d{2}-)?([A-Z]+)"")),"""")
"),"")</f>
        <v/>
      </c>
      <c r="C654" s="108"/>
      <c r="D654" s="109"/>
      <c r="E654" s="110"/>
      <c r="F654" s="110"/>
      <c r="G654" s="111"/>
      <c r="H654" s="112"/>
      <c r="I654" s="113"/>
      <c r="J654" s="114"/>
      <c r="K654" s="115"/>
      <c r="L654" s="115"/>
      <c r="M654" s="115"/>
      <c r="N654" s="116"/>
      <c r="O654" s="114"/>
      <c r="P654" s="116"/>
      <c r="Q654" s="109"/>
      <c r="R654" s="103">
        <f t="shared" si="1"/>
        <v>0</v>
      </c>
      <c r="S654" s="103">
        <f t="shared" si="2"/>
        <v>0</v>
      </c>
      <c r="T654" s="103">
        <f t="shared" si="3"/>
        <v>0</v>
      </c>
      <c r="U654" s="103">
        <f t="shared" si="4"/>
        <v>0</v>
      </c>
      <c r="V654" s="103">
        <f t="shared" si="5"/>
        <v>0</v>
      </c>
      <c r="W654" s="103">
        <f t="shared" si="6"/>
        <v>0</v>
      </c>
      <c r="X654" s="103">
        <f t="shared" si="7"/>
        <v>0</v>
      </c>
    </row>
    <row r="655" ht="12.0" customHeight="1">
      <c r="A6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55" s="87" t="str">
        <f>IFERROR(__xludf.DUMMYFUNCTION("IFERROR(IF(F655&lt;&gt;"""",""WHSE ""&amp;LEFT(F655,1),REGEXEXTRACT(E655,""-(?:\d{2}-)?([A-Z]+)"")),"""")
"),"WHSE A")</f>
        <v>WHSE A</v>
      </c>
      <c r="C655" s="117">
        <v>46053.0</v>
      </c>
      <c r="D655" s="118" t="s">
        <v>72</v>
      </c>
      <c r="E655" s="87" t="s">
        <v>650</v>
      </c>
      <c r="F655" s="87" t="s">
        <v>651</v>
      </c>
      <c r="G655" s="119" t="s">
        <v>73</v>
      </c>
      <c r="H655" s="120">
        <v>18870.0</v>
      </c>
      <c r="I655" s="121">
        <v>459.0</v>
      </c>
      <c r="J655" s="122">
        <v>11.67</v>
      </c>
      <c r="K655" s="123">
        <v>2.61</v>
      </c>
      <c r="L655" s="123">
        <v>0.575</v>
      </c>
      <c r="M655" s="123">
        <v>0.595</v>
      </c>
      <c r="N655" s="124">
        <v>12.66</v>
      </c>
      <c r="O655" s="122">
        <v>2.27</v>
      </c>
      <c r="P655" s="124">
        <v>85.07</v>
      </c>
      <c r="Q655" s="109"/>
      <c r="R655" s="103">
        <f t="shared" si="1"/>
        <v>220212.9</v>
      </c>
      <c r="S655" s="103">
        <f t="shared" si="2"/>
        <v>49250.7</v>
      </c>
      <c r="T655" s="103">
        <f t="shared" si="3"/>
        <v>10850.25</v>
      </c>
      <c r="U655" s="103">
        <f t="shared" si="4"/>
        <v>11227.65</v>
      </c>
      <c r="V655" s="103">
        <f t="shared" si="5"/>
        <v>238894.2</v>
      </c>
      <c r="W655" s="103">
        <f t="shared" si="6"/>
        <v>42834.9</v>
      </c>
      <c r="X655" s="103">
        <f t="shared" si="7"/>
        <v>1605270.9</v>
      </c>
    </row>
    <row r="656" ht="12.0" customHeight="1">
      <c r="A6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56" s="87" t="str">
        <f>IFERROR(__xludf.DUMMYFUNCTION("IFERROR(IF(F656&lt;&gt;"""",""WHSE ""&amp;LEFT(F656,1),REGEXEXTRACT(E656,""-(?:\d{2}-)?([A-Z]+)"")),"""")
"),"WHSE D")</f>
        <v>WHSE D</v>
      </c>
      <c r="C656" s="117">
        <v>46053.0</v>
      </c>
      <c r="D656" s="118" t="s">
        <v>64</v>
      </c>
      <c r="E656" s="87" t="s">
        <v>646</v>
      </c>
      <c r="F656" s="87" t="s">
        <v>647</v>
      </c>
      <c r="G656" s="119" t="s">
        <v>380</v>
      </c>
      <c r="H656" s="120">
        <v>15625.0</v>
      </c>
      <c r="I656" s="121">
        <v>363.0</v>
      </c>
      <c r="J656" s="122">
        <v>11.87</v>
      </c>
      <c r="K656" s="123">
        <v>2.44</v>
      </c>
      <c r="L656" s="123">
        <v>0.578</v>
      </c>
      <c r="M656" s="123">
        <v>0.598</v>
      </c>
      <c r="N656" s="124">
        <v>13.27</v>
      </c>
      <c r="O656" s="122">
        <v>2.53</v>
      </c>
      <c r="P656" s="124">
        <v>84.2</v>
      </c>
      <c r="Q656" s="109"/>
      <c r="R656" s="103">
        <f t="shared" si="1"/>
        <v>185468.75</v>
      </c>
      <c r="S656" s="103">
        <f t="shared" si="2"/>
        <v>38125</v>
      </c>
      <c r="T656" s="103">
        <f t="shared" si="3"/>
        <v>9031.25</v>
      </c>
      <c r="U656" s="103">
        <f t="shared" si="4"/>
        <v>9343.75</v>
      </c>
      <c r="V656" s="103">
        <f t="shared" si="5"/>
        <v>207343.75</v>
      </c>
      <c r="W656" s="103">
        <f t="shared" si="6"/>
        <v>39531.25</v>
      </c>
      <c r="X656" s="103">
        <f t="shared" si="7"/>
        <v>1315625</v>
      </c>
    </row>
    <row r="657" ht="12.0" customHeight="1">
      <c r="A6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57" s="87" t="str">
        <f>IFERROR(__xludf.DUMMYFUNCTION("IFERROR(IF(F657&lt;&gt;"""",""WHSE ""&amp;LEFT(F657,1),REGEXEXTRACT(E657,""-(?:\d{2}-)?([A-Z]+)"")),"""")
"),"WHSE C")</f>
        <v>WHSE C</v>
      </c>
      <c r="C657" s="117">
        <v>46053.0</v>
      </c>
      <c r="D657" s="118" t="s">
        <v>232</v>
      </c>
      <c r="E657" s="87" t="s">
        <v>658</v>
      </c>
      <c r="F657" s="87" t="s">
        <v>455</v>
      </c>
      <c r="G657" s="119" t="s">
        <v>272</v>
      </c>
      <c r="H657" s="120">
        <v>23005.0</v>
      </c>
      <c r="I657" s="121">
        <v>576.0</v>
      </c>
      <c r="J657" s="122">
        <v>9.87</v>
      </c>
      <c r="K657" s="123">
        <v>3.18</v>
      </c>
      <c r="L657" s="123">
        <v>0.562</v>
      </c>
      <c r="M657" s="123">
        <v>0.582</v>
      </c>
      <c r="N657" s="124">
        <v>14.2</v>
      </c>
      <c r="O657" s="122">
        <v>3.8</v>
      </c>
      <c r="P657" s="124">
        <v>82.0</v>
      </c>
      <c r="Q657" s="109"/>
      <c r="R657" s="103">
        <f t="shared" si="1"/>
        <v>227059.35</v>
      </c>
      <c r="S657" s="103">
        <f t="shared" si="2"/>
        <v>73155.9</v>
      </c>
      <c r="T657" s="103">
        <f t="shared" si="3"/>
        <v>12928.81</v>
      </c>
      <c r="U657" s="103">
        <f t="shared" si="4"/>
        <v>13388.91</v>
      </c>
      <c r="V657" s="103">
        <f t="shared" si="5"/>
        <v>326671</v>
      </c>
      <c r="W657" s="103">
        <f t="shared" si="6"/>
        <v>87419</v>
      </c>
      <c r="X657" s="103">
        <f t="shared" si="7"/>
        <v>1886410</v>
      </c>
    </row>
    <row r="658" ht="12.0" customHeight="1">
      <c r="A6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58" s="87" t="str">
        <f>IFERROR(__xludf.DUMMYFUNCTION("IFERROR(IF(F658&lt;&gt;"""",""WHSE ""&amp;LEFT(F658,1),REGEXEXTRACT(E658,""-(?:\d{2}-)?([A-Z]+)"")),"""")
"),"WHSE A")</f>
        <v>WHSE A</v>
      </c>
      <c r="C658" s="117">
        <v>46053.0</v>
      </c>
      <c r="D658" s="118" t="s">
        <v>232</v>
      </c>
      <c r="E658" s="87" t="s">
        <v>652</v>
      </c>
      <c r="F658" s="87" t="s">
        <v>653</v>
      </c>
      <c r="G658" s="119" t="s">
        <v>235</v>
      </c>
      <c r="H658" s="120">
        <v>10650.0</v>
      </c>
      <c r="I658" s="121">
        <v>338.0</v>
      </c>
      <c r="J658" s="122">
        <v>10.34</v>
      </c>
      <c r="K658" s="123">
        <v>3.19</v>
      </c>
      <c r="L658" s="123">
        <v>0.581</v>
      </c>
      <c r="M658" s="123">
        <v>0.601</v>
      </c>
      <c r="N658" s="124">
        <v>13.87</v>
      </c>
      <c r="O658" s="122">
        <v>3.47</v>
      </c>
      <c r="P658" s="124">
        <v>82.66</v>
      </c>
      <c r="Q658" s="109"/>
      <c r="R658" s="103">
        <f t="shared" si="1"/>
        <v>110121</v>
      </c>
      <c r="S658" s="103">
        <f t="shared" si="2"/>
        <v>33973.5</v>
      </c>
      <c r="T658" s="103">
        <f t="shared" si="3"/>
        <v>6187.65</v>
      </c>
      <c r="U658" s="103">
        <f t="shared" si="4"/>
        <v>6400.65</v>
      </c>
      <c r="V658" s="103">
        <f t="shared" si="5"/>
        <v>147715.5</v>
      </c>
      <c r="W658" s="103">
        <f t="shared" si="6"/>
        <v>36955.5</v>
      </c>
      <c r="X658" s="103">
        <f t="shared" si="7"/>
        <v>880329</v>
      </c>
    </row>
    <row r="659" ht="12.0" customHeight="1">
      <c r="A6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59" s="87" t="str">
        <f>IFERROR(__xludf.DUMMYFUNCTION("IFERROR(IF(F659&lt;&gt;"""",""WHSE ""&amp;LEFT(F659,1),REGEXEXTRACT(E659,""-(?:\d{2}-)?([A-Z]+)"")),"""")
"),"WHSE A")</f>
        <v>WHSE A</v>
      </c>
      <c r="C659" s="117">
        <v>46053.0</v>
      </c>
      <c r="D659" s="118" t="s">
        <v>618</v>
      </c>
      <c r="E659" s="87" t="s">
        <v>619</v>
      </c>
      <c r="F659" s="87" t="s">
        <v>620</v>
      </c>
      <c r="G659" s="111"/>
      <c r="H659" s="120">
        <v>7340.0</v>
      </c>
      <c r="I659" s="121">
        <v>14.0</v>
      </c>
      <c r="J659" s="122">
        <v>7.07</v>
      </c>
      <c r="K659" s="123">
        <v>2.67</v>
      </c>
      <c r="L659" s="123">
        <v>0.5715</v>
      </c>
      <c r="M659" s="123">
        <v>0.5915</v>
      </c>
      <c r="N659" s="124">
        <v>12.19</v>
      </c>
      <c r="O659" s="122">
        <v>3.54</v>
      </c>
      <c r="P659" s="124">
        <v>84.27</v>
      </c>
      <c r="Q659" s="118" t="s">
        <v>621</v>
      </c>
      <c r="R659" s="86">
        <f t="shared" si="1"/>
        <v>51893.8</v>
      </c>
      <c r="S659" s="86">
        <f t="shared" si="2"/>
        <v>19597.8</v>
      </c>
      <c r="T659" s="86">
        <f t="shared" si="3"/>
        <v>4194.81</v>
      </c>
      <c r="U659" s="86">
        <f t="shared" si="4"/>
        <v>4341.61</v>
      </c>
      <c r="V659" s="86">
        <f t="shared" si="5"/>
        <v>89474.6</v>
      </c>
      <c r="W659" s="86">
        <f t="shared" si="6"/>
        <v>25983.6</v>
      </c>
      <c r="X659" s="86">
        <f t="shared" si="7"/>
        <v>618541.8</v>
      </c>
    </row>
    <row r="660" ht="12.0" customHeight="1">
      <c r="A6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60" s="87" t="str">
        <f>IFERROR(__xludf.DUMMYFUNCTION("IFERROR(IF(F660&lt;&gt;"""",""WHSE ""&amp;LEFT(F660,1),REGEXEXTRACT(E660,""-(?:\d{2}-)?([A-Z]+)"")),"""")
"),"")</f>
        <v/>
      </c>
      <c r="C660" s="108"/>
      <c r="D660" s="109"/>
      <c r="E660" s="110"/>
      <c r="F660" s="110"/>
      <c r="G660" s="111"/>
      <c r="H660" s="112"/>
      <c r="I660" s="113"/>
      <c r="J660" s="114"/>
      <c r="K660" s="115"/>
      <c r="L660" s="115"/>
      <c r="M660" s="115"/>
      <c r="N660" s="116"/>
      <c r="O660" s="114"/>
      <c r="P660" s="116"/>
      <c r="Q660" s="109"/>
      <c r="R660" s="103">
        <f t="shared" si="1"/>
        <v>0</v>
      </c>
      <c r="S660" s="103">
        <f t="shared" si="2"/>
        <v>0</v>
      </c>
      <c r="T660" s="103">
        <f t="shared" si="3"/>
        <v>0</v>
      </c>
      <c r="U660" s="103">
        <f t="shared" si="4"/>
        <v>0</v>
      </c>
      <c r="V660" s="103">
        <f t="shared" si="5"/>
        <v>0</v>
      </c>
      <c r="W660" s="103">
        <f t="shared" si="6"/>
        <v>0</v>
      </c>
      <c r="X660" s="103">
        <f t="shared" si="7"/>
        <v>0</v>
      </c>
    </row>
    <row r="661" ht="12.0" customHeight="1">
      <c r="A6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61" s="87" t="str">
        <f>IFERROR(__xludf.DUMMYFUNCTION("IFERROR(IF(F661&lt;&gt;"""",""WHSE ""&amp;LEFT(F661,1),REGEXEXTRACT(E661,""-(?:\d{2}-)?([A-Z]+)"")),"""")
"),"WHSE A")</f>
        <v>WHSE A</v>
      </c>
      <c r="C661" s="117">
        <v>46054.0</v>
      </c>
      <c r="D661" s="118" t="s">
        <v>618</v>
      </c>
      <c r="E661" s="87" t="s">
        <v>619</v>
      </c>
      <c r="F661" s="87" t="s">
        <v>620</v>
      </c>
      <c r="G661" s="111"/>
      <c r="H661" s="120">
        <v>1767.0</v>
      </c>
      <c r="I661" s="121">
        <v>3.0</v>
      </c>
      <c r="J661" s="122">
        <v>9.8</v>
      </c>
      <c r="K661" s="123">
        <v>2.67</v>
      </c>
      <c r="L661" s="123">
        <v>0.5715</v>
      </c>
      <c r="M661" s="123">
        <v>0.5915</v>
      </c>
      <c r="N661" s="124">
        <v>12.19</v>
      </c>
      <c r="O661" s="122">
        <v>3.54</v>
      </c>
      <c r="P661" s="124">
        <v>84.27</v>
      </c>
      <c r="Q661" s="118" t="s">
        <v>621</v>
      </c>
      <c r="R661" s="86">
        <f t="shared" si="1"/>
        <v>17316.6</v>
      </c>
      <c r="S661" s="86">
        <f t="shared" si="2"/>
        <v>4717.89</v>
      </c>
      <c r="T661" s="86">
        <f t="shared" si="3"/>
        <v>1009.8405</v>
      </c>
      <c r="U661" s="86">
        <f t="shared" si="4"/>
        <v>1045.1805</v>
      </c>
      <c r="V661" s="86">
        <f t="shared" si="5"/>
        <v>21539.73</v>
      </c>
      <c r="W661" s="86">
        <f t="shared" si="6"/>
        <v>6255.18</v>
      </c>
      <c r="X661" s="86">
        <f t="shared" si="7"/>
        <v>148905.09</v>
      </c>
    </row>
    <row r="662" ht="12.0" customHeight="1">
      <c r="A6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62" s="87" t="str">
        <f>IFERROR(__xludf.DUMMYFUNCTION("IFERROR(IF(F662&lt;&gt;"""",""WHSE ""&amp;LEFT(F662,1),REGEXEXTRACT(E662,""-(?:\d{2}-)?([A-Z]+)"")),"""")
"),"WHSE A")</f>
        <v>WHSE A</v>
      </c>
      <c r="C662" s="117">
        <v>46054.0</v>
      </c>
      <c r="D662" s="118" t="s">
        <v>659</v>
      </c>
      <c r="E662" s="87" t="s">
        <v>660</v>
      </c>
      <c r="F662" s="87" t="s">
        <v>661</v>
      </c>
      <c r="G662" s="111"/>
      <c r="H662" s="120">
        <v>7502.0</v>
      </c>
      <c r="I662" s="121">
        <v>14.0</v>
      </c>
      <c r="J662" s="122">
        <v>10.94</v>
      </c>
      <c r="K662" s="123">
        <v>2.61</v>
      </c>
      <c r="L662" s="123">
        <v>0.571</v>
      </c>
      <c r="M662" s="123">
        <v>0.591</v>
      </c>
      <c r="N662" s="124">
        <v>11.99</v>
      </c>
      <c r="O662" s="122">
        <v>3.44</v>
      </c>
      <c r="P662" s="124">
        <v>84.57</v>
      </c>
      <c r="Q662" s="109"/>
      <c r="R662" s="103">
        <f t="shared" si="1"/>
        <v>82071.88</v>
      </c>
      <c r="S662" s="103">
        <f t="shared" si="2"/>
        <v>19580.22</v>
      </c>
      <c r="T662" s="103">
        <f t="shared" si="3"/>
        <v>4283.642</v>
      </c>
      <c r="U662" s="103">
        <f t="shared" si="4"/>
        <v>4433.682</v>
      </c>
      <c r="V662" s="103">
        <f t="shared" si="5"/>
        <v>89948.98</v>
      </c>
      <c r="W662" s="103">
        <f t="shared" si="6"/>
        <v>25806.88</v>
      </c>
      <c r="X662" s="103">
        <f t="shared" si="7"/>
        <v>634444.14</v>
      </c>
    </row>
    <row r="663" ht="12.0" customHeight="1">
      <c r="A6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63" s="87" t="str">
        <f>IFERROR(__xludf.DUMMYFUNCTION("IFERROR(IF(F663&lt;&gt;"""",""WHSE ""&amp;LEFT(F663,1),REGEXEXTRACT(E663,""-(?:\d{2}-)?([A-Z]+)"")),"""")
"),"")</f>
        <v/>
      </c>
      <c r="C663" s="108"/>
      <c r="D663" s="109"/>
      <c r="E663" s="110"/>
      <c r="F663" s="110"/>
      <c r="G663" s="111"/>
      <c r="H663" s="112"/>
      <c r="I663" s="113"/>
      <c r="J663" s="114"/>
      <c r="K663" s="115"/>
      <c r="L663" s="115"/>
      <c r="M663" s="115"/>
      <c r="N663" s="116"/>
      <c r="O663" s="114"/>
      <c r="P663" s="116"/>
      <c r="Q663" s="109"/>
      <c r="R663" s="103">
        <f t="shared" si="1"/>
        <v>0</v>
      </c>
      <c r="S663" s="103">
        <f t="shared" si="2"/>
        <v>0</v>
      </c>
      <c r="T663" s="103">
        <f t="shared" si="3"/>
        <v>0</v>
      </c>
      <c r="U663" s="103">
        <f t="shared" si="4"/>
        <v>0</v>
      </c>
      <c r="V663" s="103">
        <f t="shared" si="5"/>
        <v>0</v>
      </c>
      <c r="W663" s="103">
        <f t="shared" si="6"/>
        <v>0</v>
      </c>
      <c r="X663" s="103">
        <f t="shared" si="7"/>
        <v>0</v>
      </c>
    </row>
    <row r="664" ht="12.0" customHeight="1">
      <c r="A6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64" s="87" t="str">
        <f>IFERROR(__xludf.DUMMYFUNCTION("IFERROR(IF(F664&lt;&gt;"""",""WHSE ""&amp;LEFT(F664,1),REGEXEXTRACT(E664,""-(?:\d{2}-)?([A-Z]+)"")),"""")
"),"WHSE A")</f>
        <v>WHSE A</v>
      </c>
      <c r="C664" s="117">
        <v>46055.0</v>
      </c>
      <c r="D664" s="118" t="s">
        <v>659</v>
      </c>
      <c r="E664" s="87" t="s">
        <v>660</v>
      </c>
      <c r="F664" s="87" t="s">
        <v>661</v>
      </c>
      <c r="G664" s="111"/>
      <c r="H664" s="120">
        <v>7020.0</v>
      </c>
      <c r="I664" s="121">
        <v>14.0</v>
      </c>
      <c r="J664" s="122">
        <v>7.47</v>
      </c>
      <c r="K664" s="123">
        <v>2.61</v>
      </c>
      <c r="L664" s="123">
        <v>0.571</v>
      </c>
      <c r="M664" s="123">
        <v>0.591</v>
      </c>
      <c r="N664" s="124">
        <v>11.99</v>
      </c>
      <c r="O664" s="122">
        <v>3.44</v>
      </c>
      <c r="P664" s="124">
        <v>84.57</v>
      </c>
      <c r="Q664" s="109"/>
      <c r="R664" s="103">
        <f t="shared" si="1"/>
        <v>52439.4</v>
      </c>
      <c r="S664" s="103">
        <f t="shared" si="2"/>
        <v>18322.2</v>
      </c>
      <c r="T664" s="103">
        <f t="shared" si="3"/>
        <v>4008.42</v>
      </c>
      <c r="U664" s="103">
        <f t="shared" si="4"/>
        <v>4148.82</v>
      </c>
      <c r="V664" s="103">
        <f t="shared" si="5"/>
        <v>84169.8</v>
      </c>
      <c r="W664" s="103">
        <f t="shared" si="6"/>
        <v>24148.8</v>
      </c>
      <c r="X664" s="103">
        <f t="shared" si="7"/>
        <v>593681.4</v>
      </c>
    </row>
    <row r="665" ht="12.0" customHeight="1">
      <c r="A6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65" s="87" t="str">
        <f>IFERROR(__xludf.DUMMYFUNCTION("IFERROR(IF(F665&lt;&gt;"""",""WHSE ""&amp;LEFT(F665,1),REGEXEXTRACT(E665,""-(?:\d{2}-)?([A-Z]+)"")),"""")
"),"WHSE A")</f>
        <v>WHSE A</v>
      </c>
      <c r="C665" s="117">
        <v>46055.0</v>
      </c>
      <c r="D665" s="118" t="s">
        <v>72</v>
      </c>
      <c r="E665" s="87" t="s">
        <v>650</v>
      </c>
      <c r="F665" s="87" t="s">
        <v>651</v>
      </c>
      <c r="G665" s="119" t="s">
        <v>77</v>
      </c>
      <c r="H665" s="120">
        <v>17475.0</v>
      </c>
      <c r="I665" s="121">
        <v>457.0</v>
      </c>
      <c r="J665" s="122">
        <v>11.34</v>
      </c>
      <c r="K665" s="123">
        <v>2.46</v>
      </c>
      <c r="L665" s="123">
        <v>0.571</v>
      </c>
      <c r="M665" s="123">
        <v>0.591</v>
      </c>
      <c r="N665" s="124">
        <v>12.57</v>
      </c>
      <c r="O665" s="122">
        <v>2.76</v>
      </c>
      <c r="P665" s="124">
        <v>84.67</v>
      </c>
      <c r="Q665" s="118" t="s">
        <v>662</v>
      </c>
      <c r="R665" s="86">
        <f t="shared" si="1"/>
        <v>198166.5</v>
      </c>
      <c r="S665" s="86">
        <f t="shared" si="2"/>
        <v>42988.5</v>
      </c>
      <c r="T665" s="86">
        <f t="shared" si="3"/>
        <v>9978.225</v>
      </c>
      <c r="U665" s="86">
        <f t="shared" si="4"/>
        <v>10327.725</v>
      </c>
      <c r="V665" s="86">
        <f t="shared" si="5"/>
        <v>219660.75</v>
      </c>
      <c r="W665" s="86">
        <f t="shared" si="6"/>
        <v>48231</v>
      </c>
      <c r="X665" s="86">
        <f t="shared" si="7"/>
        <v>1479608.25</v>
      </c>
    </row>
    <row r="666" ht="12.0" customHeight="1">
      <c r="A6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66" s="87" t="str">
        <f>IFERROR(__xludf.DUMMYFUNCTION("IFERROR(IF(F666&lt;&gt;"""",""WHSE ""&amp;LEFT(F666,1),REGEXEXTRACT(E666,""-(?:\d{2}-)?([A-Z]+)"")),"""")
"),"WHSE D")</f>
        <v>WHSE D</v>
      </c>
      <c r="C666" s="117">
        <v>46055.0</v>
      </c>
      <c r="D666" s="118" t="s">
        <v>64</v>
      </c>
      <c r="E666" s="87" t="s">
        <v>663</v>
      </c>
      <c r="F666" s="87" t="s">
        <v>664</v>
      </c>
      <c r="G666" s="119" t="s">
        <v>65</v>
      </c>
      <c r="H666" s="120">
        <v>24790.0</v>
      </c>
      <c r="I666" s="121">
        <v>563.0</v>
      </c>
      <c r="J666" s="122">
        <v>12.0</v>
      </c>
      <c r="K666" s="123">
        <v>2.32</v>
      </c>
      <c r="L666" s="123">
        <v>0.581</v>
      </c>
      <c r="M666" s="123">
        <v>0.601</v>
      </c>
      <c r="N666" s="124">
        <v>13.88</v>
      </c>
      <c r="O666" s="122">
        <v>3.19</v>
      </c>
      <c r="P666" s="124">
        <v>82.93</v>
      </c>
      <c r="Q666" s="109"/>
      <c r="R666" s="103">
        <f t="shared" si="1"/>
        <v>297480</v>
      </c>
      <c r="S666" s="103">
        <f t="shared" si="2"/>
        <v>57512.8</v>
      </c>
      <c r="T666" s="103">
        <f t="shared" si="3"/>
        <v>14402.99</v>
      </c>
      <c r="U666" s="103">
        <f t="shared" si="4"/>
        <v>14898.79</v>
      </c>
      <c r="V666" s="103">
        <f t="shared" si="5"/>
        <v>344085.2</v>
      </c>
      <c r="W666" s="103">
        <f t="shared" si="6"/>
        <v>79080.1</v>
      </c>
      <c r="X666" s="103">
        <f t="shared" si="7"/>
        <v>2055834.7</v>
      </c>
    </row>
    <row r="667" ht="12.0" customHeight="1">
      <c r="A6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67" s="87" t="str">
        <f>IFERROR(__xludf.DUMMYFUNCTION("IFERROR(IF(F667&lt;&gt;"""",""WHSE ""&amp;LEFT(F667,1),REGEXEXTRACT(E667,""-(?:\d{2}-)?([A-Z]+)"")),"""")
"),"FEED")</f>
        <v>FEED</v>
      </c>
      <c r="C667" s="117">
        <v>46055.0</v>
      </c>
      <c r="D667" s="118" t="s">
        <v>286</v>
      </c>
      <c r="E667" s="87" t="s">
        <v>665</v>
      </c>
      <c r="F667" s="110"/>
      <c r="G667" s="119" t="s">
        <v>73</v>
      </c>
      <c r="H667" s="120">
        <v>16480.0</v>
      </c>
      <c r="I667" s="121">
        <v>443.0</v>
      </c>
      <c r="J667" s="122">
        <v>10.54</v>
      </c>
      <c r="K667" s="123">
        <v>2.33</v>
      </c>
      <c r="L667" s="123">
        <v>0.581</v>
      </c>
      <c r="M667" s="123">
        <v>0.601</v>
      </c>
      <c r="N667" s="124">
        <v>13.48</v>
      </c>
      <c r="O667" s="122">
        <v>2.52</v>
      </c>
      <c r="P667" s="124">
        <v>84.0</v>
      </c>
      <c r="Q667" s="109"/>
      <c r="R667" s="103">
        <f t="shared" si="1"/>
        <v>173699.2</v>
      </c>
      <c r="S667" s="103">
        <f t="shared" si="2"/>
        <v>38398.4</v>
      </c>
      <c r="T667" s="103">
        <f t="shared" si="3"/>
        <v>9574.88</v>
      </c>
      <c r="U667" s="103">
        <f t="shared" si="4"/>
        <v>9904.48</v>
      </c>
      <c r="V667" s="103">
        <f t="shared" si="5"/>
        <v>222150.4</v>
      </c>
      <c r="W667" s="103">
        <f t="shared" si="6"/>
        <v>41529.6</v>
      </c>
      <c r="X667" s="103">
        <f t="shared" si="7"/>
        <v>1384320</v>
      </c>
    </row>
    <row r="668" ht="12.0" customHeight="1">
      <c r="A6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68" s="87" t="str">
        <f>IFERROR(__xludf.DUMMYFUNCTION("IFERROR(IF(F668&lt;&gt;"""",""WHSE ""&amp;LEFT(F668,1),REGEXEXTRACT(E668,""-(?:\d{2}-)?([A-Z]+)"")),"""")
"),"WHSE A")</f>
        <v>WHSE A</v>
      </c>
      <c r="C668" s="117">
        <v>46055.0</v>
      </c>
      <c r="D668" s="118" t="s">
        <v>232</v>
      </c>
      <c r="E668" s="87" t="s">
        <v>666</v>
      </c>
      <c r="F668" s="87" t="s">
        <v>667</v>
      </c>
      <c r="G668" s="119" t="s">
        <v>235</v>
      </c>
      <c r="H668" s="120">
        <v>11060.0</v>
      </c>
      <c r="I668" s="121">
        <v>331.0</v>
      </c>
      <c r="J668" s="122">
        <v>9.6</v>
      </c>
      <c r="K668" s="123">
        <v>3.27</v>
      </c>
      <c r="L668" s="123">
        <v>0.575</v>
      </c>
      <c r="M668" s="123">
        <v>0.595</v>
      </c>
      <c r="N668" s="124">
        <v>13.57</v>
      </c>
      <c r="O668" s="122">
        <v>2.71</v>
      </c>
      <c r="P668" s="124">
        <v>83.72</v>
      </c>
      <c r="Q668" s="109"/>
      <c r="R668" s="103">
        <f t="shared" si="1"/>
        <v>106176</v>
      </c>
      <c r="S668" s="103">
        <f t="shared" si="2"/>
        <v>36166.2</v>
      </c>
      <c r="T668" s="103">
        <f t="shared" si="3"/>
        <v>6359.5</v>
      </c>
      <c r="U668" s="103">
        <f t="shared" si="4"/>
        <v>6580.7</v>
      </c>
      <c r="V668" s="103">
        <f t="shared" si="5"/>
        <v>150084.2</v>
      </c>
      <c r="W668" s="103">
        <f t="shared" si="6"/>
        <v>29972.6</v>
      </c>
      <c r="X668" s="103">
        <f t="shared" si="7"/>
        <v>925943.2</v>
      </c>
    </row>
    <row r="669" ht="12.0" customHeight="1">
      <c r="A6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69" s="87" t="str">
        <f>IFERROR(__xludf.DUMMYFUNCTION("IFERROR(IF(F669&lt;&gt;"""",""WHSE ""&amp;LEFT(F669,1),REGEXEXTRACT(E669,""-(?:\d{2}-)?([A-Z]+)"")),"""")
"),"WHSE A")</f>
        <v>WHSE A</v>
      </c>
      <c r="C669" s="117">
        <v>46055.0</v>
      </c>
      <c r="D669" s="118" t="s">
        <v>232</v>
      </c>
      <c r="E669" s="87" t="s">
        <v>666</v>
      </c>
      <c r="F669" s="87" t="s">
        <v>667</v>
      </c>
      <c r="G669" s="119" t="s">
        <v>668</v>
      </c>
      <c r="H669" s="120">
        <v>10040.0</v>
      </c>
      <c r="I669" s="121">
        <v>245.0</v>
      </c>
      <c r="J669" s="122">
        <v>10.07</v>
      </c>
      <c r="K669" s="123">
        <v>3.38</v>
      </c>
      <c r="L669" s="123">
        <v>0.559</v>
      </c>
      <c r="M669" s="123">
        <v>0.579</v>
      </c>
      <c r="N669" s="124">
        <v>11.68</v>
      </c>
      <c r="O669" s="122">
        <v>3.89</v>
      </c>
      <c r="P669" s="124">
        <v>84.43</v>
      </c>
      <c r="Q669" s="109"/>
      <c r="R669" s="103">
        <f t="shared" si="1"/>
        <v>101102.8</v>
      </c>
      <c r="S669" s="103">
        <f t="shared" si="2"/>
        <v>33935.2</v>
      </c>
      <c r="T669" s="103">
        <f t="shared" si="3"/>
        <v>5612.36</v>
      </c>
      <c r="U669" s="103">
        <f t="shared" si="4"/>
        <v>5813.16</v>
      </c>
      <c r="V669" s="103">
        <f t="shared" si="5"/>
        <v>117267.2</v>
      </c>
      <c r="W669" s="103">
        <f t="shared" si="6"/>
        <v>39055.6</v>
      </c>
      <c r="X669" s="103">
        <f t="shared" si="7"/>
        <v>847677.2</v>
      </c>
    </row>
    <row r="670" ht="12.0" customHeight="1">
      <c r="A6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70" s="87" t="str">
        <f>IFERROR(__xludf.DUMMYFUNCTION("IFERROR(IF(F670&lt;&gt;"""",""WHSE ""&amp;LEFT(F670,1),REGEXEXTRACT(E670,""-(?:\d{2}-)?([A-Z]+)"")),"""")
"),"WHSE A")</f>
        <v>WHSE A</v>
      </c>
      <c r="C670" s="117">
        <v>46055.0</v>
      </c>
      <c r="D670" s="118" t="s">
        <v>232</v>
      </c>
      <c r="E670" s="87" t="s">
        <v>666</v>
      </c>
      <c r="F670" s="87" t="s">
        <v>667</v>
      </c>
      <c r="G670" s="119" t="s">
        <v>669</v>
      </c>
      <c r="H670" s="120">
        <v>20215.0</v>
      </c>
      <c r="I670" s="121">
        <v>572.0</v>
      </c>
      <c r="J670" s="122">
        <v>11.47</v>
      </c>
      <c r="K670" s="123">
        <v>3.51</v>
      </c>
      <c r="L670" s="123">
        <v>0.552</v>
      </c>
      <c r="M670" s="123">
        <v>0.572</v>
      </c>
      <c r="N670" s="124">
        <v>14.12</v>
      </c>
      <c r="O670" s="122">
        <v>3.58</v>
      </c>
      <c r="P670" s="124">
        <v>82.3</v>
      </c>
      <c r="Q670" s="109"/>
      <c r="R670" s="103">
        <f t="shared" si="1"/>
        <v>231866.05</v>
      </c>
      <c r="S670" s="103">
        <f t="shared" si="2"/>
        <v>70954.65</v>
      </c>
      <c r="T670" s="103">
        <f t="shared" si="3"/>
        <v>11158.68</v>
      </c>
      <c r="U670" s="103">
        <f t="shared" si="4"/>
        <v>11562.98</v>
      </c>
      <c r="V670" s="103">
        <f t="shared" si="5"/>
        <v>285435.8</v>
      </c>
      <c r="W670" s="103">
        <f t="shared" si="6"/>
        <v>72369.7</v>
      </c>
      <c r="X670" s="103">
        <f t="shared" si="7"/>
        <v>1663694.5</v>
      </c>
    </row>
    <row r="671" ht="12.0" customHeight="1">
      <c r="A6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71" s="87" t="str">
        <f>IFERROR(__xludf.DUMMYFUNCTION("IFERROR(IF(F671&lt;&gt;"""",""WHSE ""&amp;LEFT(F671,1),REGEXEXTRACT(E671,""-(?:\d{2}-)?([A-Z]+)"")),"""")
"),"WHSE A")</f>
        <v>WHSE A</v>
      </c>
      <c r="C671" s="117">
        <v>46055.0</v>
      </c>
      <c r="D671" s="118" t="s">
        <v>232</v>
      </c>
      <c r="E671" s="87" t="s">
        <v>666</v>
      </c>
      <c r="F671" s="87" t="s">
        <v>667</v>
      </c>
      <c r="G671" s="119" t="s">
        <v>532</v>
      </c>
      <c r="H671" s="120">
        <v>4355.0</v>
      </c>
      <c r="I671" s="121">
        <v>100.0</v>
      </c>
      <c r="J671" s="122">
        <v>9.14</v>
      </c>
      <c r="K671" s="123">
        <v>3.2</v>
      </c>
      <c r="L671" s="123">
        <v>0.546</v>
      </c>
      <c r="M671" s="123">
        <v>0.566</v>
      </c>
      <c r="N671" s="124">
        <v>14.57</v>
      </c>
      <c r="O671" s="122">
        <v>3.58</v>
      </c>
      <c r="P671" s="124">
        <v>81.85</v>
      </c>
      <c r="Q671" s="109"/>
      <c r="R671" s="103">
        <f t="shared" si="1"/>
        <v>39804.7</v>
      </c>
      <c r="S671" s="103">
        <f t="shared" si="2"/>
        <v>13936</v>
      </c>
      <c r="T671" s="103">
        <f t="shared" si="3"/>
        <v>2377.83</v>
      </c>
      <c r="U671" s="103">
        <f t="shared" si="4"/>
        <v>2464.93</v>
      </c>
      <c r="V671" s="103">
        <f t="shared" si="5"/>
        <v>63452.35</v>
      </c>
      <c r="W671" s="103">
        <f t="shared" si="6"/>
        <v>15590.9</v>
      </c>
      <c r="X671" s="103">
        <f t="shared" si="7"/>
        <v>356456.75</v>
      </c>
    </row>
    <row r="672" ht="12.0" customHeight="1">
      <c r="A6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72" s="87" t="str">
        <f>IFERROR(__xludf.DUMMYFUNCTION("IFERROR(IF(F672&lt;&gt;"""",""WHSE ""&amp;LEFT(F672,1),REGEXEXTRACT(E672,""-(?:\d{2}-)?([A-Z]+)"")),"""")
"),"WHSE D")</f>
        <v>WHSE D</v>
      </c>
      <c r="C672" s="117">
        <v>46055.0</v>
      </c>
      <c r="D672" s="118" t="s">
        <v>289</v>
      </c>
      <c r="E672" s="87" t="s">
        <v>670</v>
      </c>
      <c r="F672" s="87" t="s">
        <v>291</v>
      </c>
      <c r="G672" s="119" t="s">
        <v>414</v>
      </c>
      <c r="H672" s="120">
        <v>30490.0</v>
      </c>
      <c r="I672" s="121">
        <v>799.0</v>
      </c>
      <c r="J672" s="122">
        <v>11.2</v>
      </c>
      <c r="K672" s="123">
        <v>3.43</v>
      </c>
      <c r="L672" s="123">
        <v>0.559</v>
      </c>
      <c r="M672" s="123">
        <v>0.579</v>
      </c>
      <c r="N672" s="124">
        <v>11.6</v>
      </c>
      <c r="O672" s="122">
        <v>4.28</v>
      </c>
      <c r="P672" s="124">
        <v>84.12</v>
      </c>
      <c r="Q672" s="109"/>
      <c r="R672" s="103">
        <f t="shared" si="1"/>
        <v>341488</v>
      </c>
      <c r="S672" s="103">
        <f t="shared" si="2"/>
        <v>104580.7</v>
      </c>
      <c r="T672" s="103">
        <f t="shared" si="3"/>
        <v>17043.91</v>
      </c>
      <c r="U672" s="103">
        <f t="shared" si="4"/>
        <v>17653.71</v>
      </c>
      <c r="V672" s="103">
        <f t="shared" si="5"/>
        <v>353684</v>
      </c>
      <c r="W672" s="103">
        <f t="shared" si="6"/>
        <v>130497.2</v>
      </c>
      <c r="X672" s="103">
        <f t="shared" si="7"/>
        <v>2564818.8</v>
      </c>
    </row>
    <row r="673" ht="12.0" customHeight="1">
      <c r="A6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73" s="87" t="str">
        <f>IFERROR(__xludf.DUMMYFUNCTION("IFERROR(IF(F673&lt;&gt;"""",""WHSE ""&amp;LEFT(F673,1),REGEXEXTRACT(E673,""-(?:\d{2}-)?([A-Z]+)"")),"""")
"),"")</f>
        <v/>
      </c>
      <c r="C673" s="108"/>
      <c r="D673" s="109"/>
      <c r="E673" s="110"/>
      <c r="F673" s="110"/>
      <c r="G673" s="111"/>
      <c r="H673" s="112"/>
      <c r="I673" s="113"/>
      <c r="J673" s="114"/>
      <c r="K673" s="115"/>
      <c r="L673" s="115"/>
      <c r="M673" s="115"/>
      <c r="N673" s="116"/>
      <c r="O673" s="114"/>
      <c r="P673" s="116"/>
      <c r="Q673" s="109"/>
      <c r="R673" s="103">
        <f t="shared" si="1"/>
        <v>0</v>
      </c>
      <c r="S673" s="103">
        <f t="shared" si="2"/>
        <v>0</v>
      </c>
      <c r="T673" s="103">
        <f t="shared" si="3"/>
        <v>0</v>
      </c>
      <c r="U673" s="103">
        <f t="shared" si="4"/>
        <v>0</v>
      </c>
      <c r="V673" s="103">
        <f t="shared" si="5"/>
        <v>0</v>
      </c>
      <c r="W673" s="103">
        <f t="shared" si="6"/>
        <v>0</v>
      </c>
      <c r="X673" s="103">
        <f t="shared" si="7"/>
        <v>0</v>
      </c>
    </row>
    <row r="674" ht="12.0" customHeight="1">
      <c r="A6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74" s="87" t="str">
        <f>IFERROR(__xludf.DUMMYFUNCTION("IFERROR(IF(F674&lt;&gt;"""",""WHSE ""&amp;LEFT(F674,1),REGEXEXTRACT(E674,""-(?:\d{2}-)?([A-Z]+)"")),"""")
"),"WHSE A")</f>
        <v>WHSE A</v>
      </c>
      <c r="C674" s="117">
        <v>46056.0</v>
      </c>
      <c r="D674" s="118" t="s">
        <v>72</v>
      </c>
      <c r="E674" s="87" t="s">
        <v>671</v>
      </c>
      <c r="F674" s="87" t="s">
        <v>672</v>
      </c>
      <c r="G674" s="119" t="s">
        <v>73</v>
      </c>
      <c r="H674" s="120">
        <v>18295.0</v>
      </c>
      <c r="I674" s="121">
        <v>471.0</v>
      </c>
      <c r="J674" s="122">
        <v>11.4</v>
      </c>
      <c r="K674" s="123">
        <v>2.45</v>
      </c>
      <c r="L674" s="123">
        <v>0.578</v>
      </c>
      <c r="M674" s="123">
        <v>0.598</v>
      </c>
      <c r="N674" s="124">
        <v>12.27</v>
      </c>
      <c r="O674" s="122">
        <v>2.66</v>
      </c>
      <c r="P674" s="124">
        <v>85.07</v>
      </c>
      <c r="Q674" s="109"/>
      <c r="R674" s="103">
        <f t="shared" si="1"/>
        <v>208563</v>
      </c>
      <c r="S674" s="103">
        <f t="shared" si="2"/>
        <v>44822.75</v>
      </c>
      <c r="T674" s="103">
        <f t="shared" si="3"/>
        <v>10574.51</v>
      </c>
      <c r="U674" s="103">
        <f t="shared" si="4"/>
        <v>10940.41</v>
      </c>
      <c r="V674" s="103">
        <f t="shared" si="5"/>
        <v>224479.65</v>
      </c>
      <c r="W674" s="103">
        <f t="shared" si="6"/>
        <v>48664.7</v>
      </c>
      <c r="X674" s="103">
        <f t="shared" si="7"/>
        <v>1556355.65</v>
      </c>
    </row>
    <row r="675" ht="12.0" customHeight="1">
      <c r="A6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75" s="87" t="str">
        <f>IFERROR(__xludf.DUMMYFUNCTION("IFERROR(IF(F675&lt;&gt;"""",""WHSE ""&amp;LEFT(F675,1),REGEXEXTRACT(E675,""-(?:\d{2}-)?([A-Z]+)"")),"""")
"),"FEED")</f>
        <v>FEED</v>
      </c>
      <c r="C675" s="117">
        <v>46056.0</v>
      </c>
      <c r="D675" s="118" t="s">
        <v>286</v>
      </c>
      <c r="E675" s="87" t="s">
        <v>673</v>
      </c>
      <c r="F675" s="110"/>
      <c r="G675" s="119" t="s">
        <v>77</v>
      </c>
      <c r="H675" s="120">
        <v>17480.0</v>
      </c>
      <c r="I675" s="121">
        <v>459.0</v>
      </c>
      <c r="J675" s="122">
        <v>11.27</v>
      </c>
      <c r="K675" s="123">
        <v>2.68</v>
      </c>
      <c r="L675" s="123">
        <v>0.575</v>
      </c>
      <c r="M675" s="123">
        <v>0.595</v>
      </c>
      <c r="N675" s="124">
        <v>11.34</v>
      </c>
      <c r="O675" s="122">
        <v>2.73</v>
      </c>
      <c r="P675" s="124">
        <v>85.93</v>
      </c>
      <c r="Q675" s="109"/>
      <c r="R675" s="103">
        <f t="shared" si="1"/>
        <v>196999.6</v>
      </c>
      <c r="S675" s="103">
        <f t="shared" si="2"/>
        <v>46846.4</v>
      </c>
      <c r="T675" s="103">
        <f t="shared" si="3"/>
        <v>10051</v>
      </c>
      <c r="U675" s="103">
        <f t="shared" si="4"/>
        <v>10400.6</v>
      </c>
      <c r="V675" s="103">
        <f t="shared" si="5"/>
        <v>198223.2</v>
      </c>
      <c r="W675" s="103">
        <f t="shared" si="6"/>
        <v>47720.4</v>
      </c>
      <c r="X675" s="103">
        <f t="shared" si="7"/>
        <v>1502056.4</v>
      </c>
    </row>
    <row r="676" ht="12.0" customHeight="1">
      <c r="A6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76" s="87" t="str">
        <f>IFERROR(__xludf.DUMMYFUNCTION("IFERROR(IF(F676&lt;&gt;"""",""WHSE ""&amp;LEFT(F676,1),REGEXEXTRACT(E676,""-(?:\d{2}-)?([A-Z]+)"")),"""")
"),"WHSE A")</f>
        <v>WHSE A</v>
      </c>
      <c r="C676" s="117">
        <v>46056.0</v>
      </c>
      <c r="D676" s="118" t="s">
        <v>232</v>
      </c>
      <c r="E676" s="87" t="s">
        <v>666</v>
      </c>
      <c r="F676" s="87" t="s">
        <v>667</v>
      </c>
      <c r="G676" s="119" t="s">
        <v>235</v>
      </c>
      <c r="H676" s="120">
        <v>10515.0</v>
      </c>
      <c r="I676" s="121">
        <v>333.0</v>
      </c>
      <c r="J676" s="122">
        <v>10.2</v>
      </c>
      <c r="K676" s="123">
        <v>3.41</v>
      </c>
      <c r="L676" s="123">
        <v>0.568</v>
      </c>
      <c r="M676" s="123">
        <v>0.588</v>
      </c>
      <c r="N676" s="124">
        <v>12.07</v>
      </c>
      <c r="O676" s="122">
        <v>2.47</v>
      </c>
      <c r="P676" s="124">
        <v>85.46</v>
      </c>
      <c r="Q676" s="109"/>
      <c r="R676" s="103">
        <f t="shared" si="1"/>
        <v>107253</v>
      </c>
      <c r="S676" s="103">
        <f t="shared" si="2"/>
        <v>35856.15</v>
      </c>
      <c r="T676" s="103">
        <f t="shared" si="3"/>
        <v>5972.52</v>
      </c>
      <c r="U676" s="103">
        <f t="shared" si="4"/>
        <v>6182.82</v>
      </c>
      <c r="V676" s="103">
        <f t="shared" si="5"/>
        <v>126916.05</v>
      </c>
      <c r="W676" s="103">
        <f t="shared" si="6"/>
        <v>25972.05</v>
      </c>
      <c r="X676" s="103">
        <f t="shared" si="7"/>
        <v>898611.9</v>
      </c>
    </row>
    <row r="677" ht="12.0" customHeight="1">
      <c r="A6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677" s="87" t="str">
        <f>IFERROR(__xludf.DUMMYFUNCTION("IFERROR(IF(F677&lt;&gt;"""",""WHSE ""&amp;LEFT(F677,1),REGEXEXTRACT(E677,""-(?:\d{2}-)?([A-Z]+)"")),"""")
"),"WHSE A")</f>
        <v>WHSE A</v>
      </c>
      <c r="C677" s="117">
        <v>46056.0</v>
      </c>
      <c r="D677" s="118" t="s">
        <v>232</v>
      </c>
      <c r="E677" s="87" t="s">
        <v>674</v>
      </c>
      <c r="F677" s="87" t="s">
        <v>675</v>
      </c>
      <c r="G677" s="119" t="s">
        <v>272</v>
      </c>
      <c r="H677" s="120">
        <v>21410.0</v>
      </c>
      <c r="I677" s="121">
        <v>534.0</v>
      </c>
      <c r="J677" s="122">
        <v>10.34</v>
      </c>
      <c r="K677" s="123">
        <v>3.24</v>
      </c>
      <c r="L677" s="123">
        <v>0.556</v>
      </c>
      <c r="M677" s="123">
        <v>0.576</v>
      </c>
      <c r="N677" s="124">
        <v>13.54</v>
      </c>
      <c r="O677" s="122">
        <v>3.54</v>
      </c>
      <c r="P677" s="124">
        <v>82.92</v>
      </c>
      <c r="Q677" s="109"/>
      <c r="R677" s="103">
        <f t="shared" si="1"/>
        <v>221379.4</v>
      </c>
      <c r="S677" s="103">
        <f t="shared" si="2"/>
        <v>69368.4</v>
      </c>
      <c r="T677" s="103">
        <f t="shared" si="3"/>
        <v>11903.96</v>
      </c>
      <c r="U677" s="103">
        <f t="shared" si="4"/>
        <v>12332.16</v>
      </c>
      <c r="V677" s="103">
        <f t="shared" si="5"/>
        <v>289891.4</v>
      </c>
      <c r="W677" s="103">
        <f t="shared" si="6"/>
        <v>75791.4</v>
      </c>
      <c r="X677" s="103">
        <f t="shared" si="7"/>
        <v>1775317.2</v>
      </c>
    </row>
    <row r="678" ht="12.0" customHeight="1">
      <c r="A6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78" s="87" t="str">
        <f>IFERROR(__xludf.DUMMYFUNCTION("IFERROR(IF(F678&lt;&gt;"""",""WHSE ""&amp;LEFT(F678,1),REGEXEXTRACT(E678,""-(?:\d{2}-)?([A-Z]+)"")),"""")
"),"")</f>
        <v/>
      </c>
      <c r="C678" s="108"/>
      <c r="D678" s="109"/>
      <c r="E678" s="110"/>
      <c r="F678" s="110"/>
      <c r="G678" s="111"/>
      <c r="H678" s="112"/>
      <c r="I678" s="113"/>
      <c r="J678" s="114"/>
      <c r="K678" s="115"/>
      <c r="L678" s="115"/>
      <c r="M678" s="115"/>
      <c r="N678" s="116"/>
      <c r="O678" s="114"/>
      <c r="P678" s="116"/>
      <c r="Q678" s="109"/>
      <c r="R678" s="103">
        <f t="shared" si="1"/>
        <v>0</v>
      </c>
      <c r="S678" s="103">
        <f t="shared" si="2"/>
        <v>0</v>
      </c>
      <c r="T678" s="103">
        <f t="shared" si="3"/>
        <v>0</v>
      </c>
      <c r="U678" s="103">
        <f t="shared" si="4"/>
        <v>0</v>
      </c>
      <c r="V678" s="103">
        <f t="shared" si="5"/>
        <v>0</v>
      </c>
      <c r="W678" s="103">
        <f t="shared" si="6"/>
        <v>0</v>
      </c>
      <c r="X678" s="103">
        <f t="shared" si="7"/>
        <v>0</v>
      </c>
    </row>
    <row r="679" ht="12.0" customHeight="1">
      <c r="A6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79" s="87" t="str">
        <f>IFERROR(__xludf.DUMMYFUNCTION("IFERROR(IF(F679&lt;&gt;"""",""WHSE ""&amp;LEFT(F679,1),REGEXEXTRACT(E679,""-(?:\d{2}-)?([A-Z]+)"")),"""")
"),"WHSE C")</f>
        <v>WHSE C</v>
      </c>
      <c r="C679" s="117">
        <v>46057.0</v>
      </c>
      <c r="D679" s="118" t="s">
        <v>232</v>
      </c>
      <c r="E679" s="87" t="s">
        <v>676</v>
      </c>
      <c r="F679" s="87" t="s">
        <v>677</v>
      </c>
      <c r="G679" s="119" t="s">
        <v>669</v>
      </c>
      <c r="H679" s="120">
        <v>21333.0</v>
      </c>
      <c r="I679" s="121">
        <v>540.0</v>
      </c>
      <c r="J679" s="122">
        <v>9.74</v>
      </c>
      <c r="K679" s="123">
        <v>3.12</v>
      </c>
      <c r="L679" s="123">
        <v>0.565</v>
      </c>
      <c r="M679" s="123">
        <v>0.585</v>
      </c>
      <c r="N679" s="124">
        <v>10.71</v>
      </c>
      <c r="O679" s="122">
        <v>6.42</v>
      </c>
      <c r="P679" s="124">
        <v>82.87</v>
      </c>
      <c r="Q679" s="118" t="s">
        <v>678</v>
      </c>
      <c r="R679" s="86">
        <f t="shared" si="1"/>
        <v>207783.42</v>
      </c>
      <c r="S679" s="86">
        <f t="shared" si="2"/>
        <v>66558.96</v>
      </c>
      <c r="T679" s="86">
        <f t="shared" si="3"/>
        <v>12053.145</v>
      </c>
      <c r="U679" s="86">
        <f t="shared" si="4"/>
        <v>12479.805</v>
      </c>
      <c r="V679" s="86">
        <f t="shared" si="5"/>
        <v>228476.43</v>
      </c>
      <c r="W679" s="86">
        <f t="shared" si="6"/>
        <v>136957.86</v>
      </c>
      <c r="X679" s="86">
        <f t="shared" si="7"/>
        <v>1767865.71</v>
      </c>
    </row>
    <row r="680" ht="12.0" customHeight="1">
      <c r="A6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680" s="87" t="str">
        <f>IFERROR(__xludf.DUMMYFUNCTION("IFERROR(IF(F680&lt;&gt;"""",""WHSE ""&amp;LEFT(F680,1),REGEXEXTRACT(E680,""-(?:\d{2}-)?([A-Z]+)"")),"""")
"),"WHSE A")</f>
        <v>WHSE A</v>
      </c>
      <c r="C680" s="117">
        <v>46057.0</v>
      </c>
      <c r="D680" s="118" t="s">
        <v>232</v>
      </c>
      <c r="E680" s="87" t="s">
        <v>674</v>
      </c>
      <c r="F680" s="87" t="s">
        <v>675</v>
      </c>
      <c r="G680" s="119" t="s">
        <v>235</v>
      </c>
      <c r="H680" s="120">
        <v>11495.0</v>
      </c>
      <c r="I680" s="121">
        <v>334.0</v>
      </c>
      <c r="J680" s="122">
        <v>9.94</v>
      </c>
      <c r="K680" s="123">
        <v>3.17</v>
      </c>
      <c r="L680" s="123">
        <v>0.578</v>
      </c>
      <c r="M680" s="123">
        <v>0.598</v>
      </c>
      <c r="N680" s="124">
        <v>13.65</v>
      </c>
      <c r="O680" s="122">
        <v>3.57</v>
      </c>
      <c r="P680" s="124">
        <v>82.78</v>
      </c>
      <c r="Q680" s="109"/>
      <c r="R680" s="103">
        <f t="shared" si="1"/>
        <v>114260.3</v>
      </c>
      <c r="S680" s="103">
        <f t="shared" si="2"/>
        <v>36439.15</v>
      </c>
      <c r="T680" s="103">
        <f t="shared" si="3"/>
        <v>6644.11</v>
      </c>
      <c r="U680" s="103">
        <f t="shared" si="4"/>
        <v>6874.01</v>
      </c>
      <c r="V680" s="103">
        <f t="shared" si="5"/>
        <v>156906.75</v>
      </c>
      <c r="W680" s="103">
        <f t="shared" si="6"/>
        <v>41037.15</v>
      </c>
      <c r="X680" s="103">
        <f t="shared" si="7"/>
        <v>951556.1</v>
      </c>
    </row>
    <row r="681" ht="12.0" customHeight="1">
      <c r="A6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81" s="87" t="str">
        <f>IFERROR(__xludf.DUMMYFUNCTION("IFERROR(IF(F681&lt;&gt;"""",""WHSE ""&amp;LEFT(F681,1),REGEXEXTRACT(E681,""-(?:\d{2}-)?([A-Z]+)"")),"""")
"),"WHSE A")</f>
        <v>WHSE A</v>
      </c>
      <c r="C681" s="117">
        <v>46057.0</v>
      </c>
      <c r="D681" s="118" t="s">
        <v>72</v>
      </c>
      <c r="E681" s="87" t="s">
        <v>671</v>
      </c>
      <c r="F681" s="87" t="s">
        <v>672</v>
      </c>
      <c r="G681" s="119" t="s">
        <v>679</v>
      </c>
      <c r="H681" s="120">
        <v>18910.0</v>
      </c>
      <c r="I681" s="121">
        <v>457.0</v>
      </c>
      <c r="J681" s="122">
        <v>11.4</v>
      </c>
      <c r="K681" s="123">
        <v>2.15</v>
      </c>
      <c r="L681" s="123">
        <v>0.578</v>
      </c>
      <c r="M681" s="123">
        <v>0.598</v>
      </c>
      <c r="N681" s="124">
        <v>12.48</v>
      </c>
      <c r="O681" s="122">
        <v>3.44</v>
      </c>
      <c r="P681" s="124">
        <v>84.08</v>
      </c>
      <c r="Q681" s="109"/>
      <c r="R681" s="103">
        <f t="shared" si="1"/>
        <v>215574</v>
      </c>
      <c r="S681" s="103">
        <f t="shared" si="2"/>
        <v>40656.5</v>
      </c>
      <c r="T681" s="103">
        <f t="shared" si="3"/>
        <v>10929.98</v>
      </c>
      <c r="U681" s="103">
        <f t="shared" si="4"/>
        <v>11308.18</v>
      </c>
      <c r="V681" s="103">
        <f t="shared" si="5"/>
        <v>235996.8</v>
      </c>
      <c r="W681" s="103">
        <f t="shared" si="6"/>
        <v>65050.4</v>
      </c>
      <c r="X681" s="103">
        <f t="shared" si="7"/>
        <v>1589952.8</v>
      </c>
    </row>
    <row r="682" ht="12.0" customHeight="1">
      <c r="A6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82" s="87" t="str">
        <f>IFERROR(__xludf.DUMMYFUNCTION("IFERROR(IF(F682&lt;&gt;"""",""WHSE ""&amp;LEFT(F682,1),REGEXEXTRACT(E682,""-(?:\d{2}-)?([A-Z]+)"")),"""")
"),"WHSE D")</f>
        <v>WHSE D</v>
      </c>
      <c r="C682" s="117">
        <v>46057.0</v>
      </c>
      <c r="D682" s="118" t="s">
        <v>592</v>
      </c>
      <c r="E682" s="87" t="s">
        <v>578</v>
      </c>
      <c r="F682" s="87" t="s">
        <v>579</v>
      </c>
      <c r="G682" s="119" t="s">
        <v>680</v>
      </c>
      <c r="H682" s="120">
        <v>17866.0</v>
      </c>
      <c r="I682" s="121">
        <v>481.0</v>
      </c>
      <c r="J682" s="122">
        <v>12.8</v>
      </c>
      <c r="K682" s="123">
        <v>2.43</v>
      </c>
      <c r="L682" s="123">
        <v>0.585</v>
      </c>
      <c r="M682" s="123">
        <v>0.605</v>
      </c>
      <c r="N682" s="124">
        <v>15.44</v>
      </c>
      <c r="O682" s="122">
        <v>3.92</v>
      </c>
      <c r="P682" s="124">
        <v>80.64</v>
      </c>
      <c r="Q682" s="118" t="s">
        <v>681</v>
      </c>
      <c r="R682" s="86">
        <f t="shared" si="1"/>
        <v>228684.8</v>
      </c>
      <c r="S682" s="86">
        <f t="shared" si="2"/>
        <v>43414.38</v>
      </c>
      <c r="T682" s="86">
        <f t="shared" si="3"/>
        <v>10451.61</v>
      </c>
      <c r="U682" s="86">
        <f t="shared" si="4"/>
        <v>10808.93</v>
      </c>
      <c r="V682" s="86">
        <f t="shared" si="5"/>
        <v>275851.04</v>
      </c>
      <c r="W682" s="86">
        <f t="shared" si="6"/>
        <v>70034.72</v>
      </c>
      <c r="X682" s="86">
        <f t="shared" si="7"/>
        <v>1440714.24</v>
      </c>
    </row>
    <row r="683" ht="12.0" customHeight="1">
      <c r="A6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83" s="87" t="str">
        <f>IFERROR(__xludf.DUMMYFUNCTION("IFERROR(IF(F683&lt;&gt;"""",""WHSE ""&amp;LEFT(F683,1),REGEXEXTRACT(E683,""-(?:\d{2}-)?([A-Z]+)"")),"""")
"),"WHSE A")</f>
        <v>WHSE A</v>
      </c>
      <c r="C683" s="117">
        <v>46057.0</v>
      </c>
      <c r="D683" s="118" t="s">
        <v>659</v>
      </c>
      <c r="E683" s="87" t="s">
        <v>660</v>
      </c>
      <c r="F683" s="87" t="s">
        <v>661</v>
      </c>
      <c r="G683" s="111"/>
      <c r="H683" s="120">
        <v>8157.0</v>
      </c>
      <c r="I683" s="121">
        <v>15.0</v>
      </c>
      <c r="J683" s="122">
        <v>8.4</v>
      </c>
      <c r="K683" s="123">
        <v>2.61</v>
      </c>
      <c r="L683" s="123">
        <v>0.571</v>
      </c>
      <c r="M683" s="123">
        <v>0.591</v>
      </c>
      <c r="N683" s="124">
        <v>11.99</v>
      </c>
      <c r="O683" s="122">
        <v>3.44</v>
      </c>
      <c r="P683" s="124">
        <v>84.57</v>
      </c>
      <c r="Q683" s="109"/>
      <c r="R683" s="103">
        <f t="shared" si="1"/>
        <v>68518.8</v>
      </c>
      <c r="S683" s="103">
        <f t="shared" si="2"/>
        <v>21289.77</v>
      </c>
      <c r="T683" s="103">
        <f t="shared" si="3"/>
        <v>4657.647</v>
      </c>
      <c r="U683" s="103">
        <f t="shared" si="4"/>
        <v>4820.787</v>
      </c>
      <c r="V683" s="103">
        <f t="shared" si="5"/>
        <v>97802.43</v>
      </c>
      <c r="W683" s="103">
        <f t="shared" si="6"/>
        <v>28060.08</v>
      </c>
      <c r="X683" s="103">
        <f t="shared" si="7"/>
        <v>689837.49</v>
      </c>
    </row>
    <row r="684" ht="12.0" customHeight="1">
      <c r="A6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84" s="87" t="str">
        <f>IFERROR(__xludf.DUMMYFUNCTION("IFERROR(IF(F684&lt;&gt;"""",""WHSE ""&amp;LEFT(F684,1),REGEXEXTRACT(E684,""-(?:\d{2}-)?([A-Z]+)"")),"""")
"),"")</f>
        <v/>
      </c>
      <c r="C684" s="108"/>
      <c r="D684" s="109"/>
      <c r="E684" s="110"/>
      <c r="F684" s="110"/>
      <c r="G684" s="111"/>
      <c r="H684" s="112"/>
      <c r="I684" s="113"/>
      <c r="J684" s="114"/>
      <c r="K684" s="115"/>
      <c r="L684" s="115"/>
      <c r="M684" s="115"/>
      <c r="N684" s="116"/>
      <c r="O684" s="114"/>
      <c r="P684" s="116"/>
      <c r="Q684" s="109"/>
      <c r="R684" s="103">
        <f t="shared" si="1"/>
        <v>0</v>
      </c>
      <c r="S684" s="103">
        <f t="shared" si="2"/>
        <v>0</v>
      </c>
      <c r="T684" s="103">
        <f t="shared" si="3"/>
        <v>0</v>
      </c>
      <c r="U684" s="103">
        <f t="shared" si="4"/>
        <v>0</v>
      </c>
      <c r="V684" s="103">
        <f t="shared" si="5"/>
        <v>0</v>
      </c>
      <c r="W684" s="103">
        <f t="shared" si="6"/>
        <v>0</v>
      </c>
      <c r="X684" s="103">
        <f t="shared" si="7"/>
        <v>0</v>
      </c>
    </row>
    <row r="685" ht="12.0" customHeight="1">
      <c r="A6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85" s="87" t="str">
        <f>IFERROR(__xludf.DUMMYFUNCTION("IFERROR(IF(F685&lt;&gt;"""",""WHSE ""&amp;LEFT(F685,1),REGEXEXTRACT(E685,""-(?:\d{2}-)?([A-Z]+)"")),"""")
"),"WHSE A")</f>
        <v>WHSE A</v>
      </c>
      <c r="C685" s="117">
        <v>46058.0</v>
      </c>
      <c r="D685" s="118" t="s">
        <v>659</v>
      </c>
      <c r="E685" s="87" t="s">
        <v>660</v>
      </c>
      <c r="F685" s="87" t="s">
        <v>661</v>
      </c>
      <c r="G685" s="111"/>
      <c r="H685" s="120">
        <v>7078.0</v>
      </c>
      <c r="I685" s="121">
        <v>14.0</v>
      </c>
      <c r="J685" s="122">
        <v>8.4</v>
      </c>
      <c r="K685" s="123">
        <v>2.61</v>
      </c>
      <c r="L685" s="123">
        <v>0.571</v>
      </c>
      <c r="M685" s="123">
        <v>0.591</v>
      </c>
      <c r="N685" s="124">
        <v>11.99</v>
      </c>
      <c r="O685" s="122">
        <v>3.44</v>
      </c>
      <c r="P685" s="124">
        <v>84.57</v>
      </c>
      <c r="Q685" s="109"/>
      <c r="R685" s="103">
        <f t="shared" si="1"/>
        <v>59455.2</v>
      </c>
      <c r="S685" s="103">
        <f t="shared" si="2"/>
        <v>18473.58</v>
      </c>
      <c r="T685" s="103">
        <f t="shared" si="3"/>
        <v>4041.538</v>
      </c>
      <c r="U685" s="103">
        <f t="shared" si="4"/>
        <v>4183.098</v>
      </c>
      <c r="V685" s="103">
        <f t="shared" si="5"/>
        <v>84865.22</v>
      </c>
      <c r="W685" s="103">
        <f t="shared" si="6"/>
        <v>24348.32</v>
      </c>
      <c r="X685" s="103">
        <f t="shared" si="7"/>
        <v>598586.46</v>
      </c>
    </row>
    <row r="686" ht="12.0" customHeight="1">
      <c r="A6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86" s="87" t="str">
        <f>IFERROR(__xludf.DUMMYFUNCTION("IFERROR(IF(F686&lt;&gt;"""",""WHSE ""&amp;LEFT(F686,1),REGEXEXTRACT(E686,""-(?:\d{2}-)?([A-Z]+)"")),"""")
"),"WHSE A")</f>
        <v>WHSE A</v>
      </c>
      <c r="C686" s="117">
        <v>46058.0</v>
      </c>
      <c r="D686" s="118" t="s">
        <v>72</v>
      </c>
      <c r="E686" s="87" t="s">
        <v>671</v>
      </c>
      <c r="F686" s="87" t="s">
        <v>672</v>
      </c>
      <c r="G686" s="119" t="s">
        <v>77</v>
      </c>
      <c r="H686" s="120">
        <v>18360.0</v>
      </c>
      <c r="I686" s="121">
        <v>421.0</v>
      </c>
      <c r="J686" s="122">
        <v>11.34</v>
      </c>
      <c r="K686" s="123">
        <v>2.56</v>
      </c>
      <c r="L686" s="123">
        <v>0.571</v>
      </c>
      <c r="M686" s="123">
        <v>0.591</v>
      </c>
      <c r="N686" s="124">
        <v>13.65</v>
      </c>
      <c r="O686" s="122">
        <v>3.25</v>
      </c>
      <c r="P686" s="124">
        <v>83.1</v>
      </c>
      <c r="Q686" s="109"/>
      <c r="R686" s="103">
        <f t="shared" si="1"/>
        <v>208202.4</v>
      </c>
      <c r="S686" s="103">
        <f t="shared" si="2"/>
        <v>47001.6</v>
      </c>
      <c r="T686" s="103">
        <f t="shared" si="3"/>
        <v>10483.56</v>
      </c>
      <c r="U686" s="103">
        <f t="shared" si="4"/>
        <v>10850.76</v>
      </c>
      <c r="V686" s="103">
        <f t="shared" si="5"/>
        <v>250614</v>
      </c>
      <c r="W686" s="103">
        <f t="shared" si="6"/>
        <v>59670</v>
      </c>
      <c r="X686" s="103">
        <f t="shared" si="7"/>
        <v>1525716</v>
      </c>
    </row>
    <row r="687" ht="12.0" customHeight="1">
      <c r="A6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87" s="87" t="str">
        <f>IFERROR(__xludf.DUMMYFUNCTION("IFERROR(IF(F687&lt;&gt;"""",""WHSE ""&amp;LEFT(F687,1),REGEXEXTRACT(E687,""-(?:\d{2}-)?([A-Z]+)"")),"""")
"),"WHSE D")</f>
        <v>WHSE D</v>
      </c>
      <c r="C687" s="117">
        <v>46058.0</v>
      </c>
      <c r="D687" s="118" t="s">
        <v>432</v>
      </c>
      <c r="E687" s="87" t="s">
        <v>663</v>
      </c>
      <c r="F687" s="87" t="s">
        <v>664</v>
      </c>
      <c r="G687" s="119" t="s">
        <v>433</v>
      </c>
      <c r="H687" s="120">
        <v>16030.0</v>
      </c>
      <c r="I687" s="121">
        <v>457.0</v>
      </c>
      <c r="J687" s="122">
        <v>11.8</v>
      </c>
      <c r="K687" s="123">
        <v>2.33</v>
      </c>
      <c r="L687" s="123">
        <v>0.575</v>
      </c>
      <c r="M687" s="123">
        <v>0.595</v>
      </c>
      <c r="N687" s="124">
        <v>12.44</v>
      </c>
      <c r="O687" s="122">
        <v>3.85</v>
      </c>
      <c r="P687" s="124">
        <v>83.71</v>
      </c>
      <c r="Q687" s="109"/>
      <c r="R687" s="103">
        <f t="shared" si="1"/>
        <v>189154</v>
      </c>
      <c r="S687" s="103">
        <f t="shared" si="2"/>
        <v>37349.9</v>
      </c>
      <c r="T687" s="103">
        <f t="shared" si="3"/>
        <v>9217.25</v>
      </c>
      <c r="U687" s="103">
        <f t="shared" si="4"/>
        <v>9537.85</v>
      </c>
      <c r="V687" s="103">
        <f t="shared" si="5"/>
        <v>199413.2</v>
      </c>
      <c r="W687" s="103">
        <f t="shared" si="6"/>
        <v>61715.5</v>
      </c>
      <c r="X687" s="103">
        <f t="shared" si="7"/>
        <v>1341871.3</v>
      </c>
    </row>
    <row r="688" ht="12.0" customHeight="1">
      <c r="A6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688" s="87" t="str">
        <f>IFERROR(__xludf.DUMMYFUNCTION("IFERROR(IF(F688&lt;&gt;"""",""WHSE ""&amp;LEFT(F688,1),REGEXEXTRACT(E688,""-(?:\d{2}-)?([A-Z]+)"")),"""")
"),"WHSE A")</f>
        <v>WHSE A</v>
      </c>
      <c r="C688" s="117">
        <v>46058.0</v>
      </c>
      <c r="D688" s="118" t="s">
        <v>232</v>
      </c>
      <c r="E688" s="87" t="s">
        <v>674</v>
      </c>
      <c r="F688" s="87" t="s">
        <v>675</v>
      </c>
      <c r="G688" s="119" t="s">
        <v>668</v>
      </c>
      <c r="H688" s="120">
        <v>10210.0</v>
      </c>
      <c r="I688" s="121">
        <v>253.0</v>
      </c>
      <c r="J688" s="122">
        <v>10.47</v>
      </c>
      <c r="K688" s="123">
        <v>3.28</v>
      </c>
      <c r="L688" s="123">
        <v>0.556</v>
      </c>
      <c r="M688" s="123">
        <v>0.576</v>
      </c>
      <c r="N688" s="124">
        <v>13.24</v>
      </c>
      <c r="O688" s="122">
        <v>2.78</v>
      </c>
      <c r="P688" s="124">
        <v>83.98</v>
      </c>
      <c r="Q688" s="109"/>
      <c r="R688" s="103">
        <f t="shared" si="1"/>
        <v>106898.7</v>
      </c>
      <c r="S688" s="103">
        <f t="shared" si="2"/>
        <v>33488.8</v>
      </c>
      <c r="T688" s="103">
        <f t="shared" si="3"/>
        <v>5676.76</v>
      </c>
      <c r="U688" s="103">
        <f t="shared" si="4"/>
        <v>5880.96</v>
      </c>
      <c r="V688" s="103">
        <f t="shared" si="5"/>
        <v>135180.4</v>
      </c>
      <c r="W688" s="103">
        <f t="shared" si="6"/>
        <v>28383.8</v>
      </c>
      <c r="X688" s="103">
        <f t="shared" si="7"/>
        <v>857435.8</v>
      </c>
    </row>
    <row r="689" ht="12.0" customHeight="1">
      <c r="A6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689" s="87" t="str">
        <f>IFERROR(__xludf.DUMMYFUNCTION("IFERROR(IF(F689&lt;&gt;"""",""WHSE ""&amp;LEFT(F689,1),REGEXEXTRACT(E689,""-(?:\d{2}-)?([A-Z]+)"")),"""")
"),"WHSE A")</f>
        <v>WHSE A</v>
      </c>
      <c r="C689" s="117">
        <v>46058.0</v>
      </c>
      <c r="D689" s="118" t="s">
        <v>232</v>
      </c>
      <c r="E689" s="87" t="s">
        <v>674</v>
      </c>
      <c r="F689" s="87" t="s">
        <v>675</v>
      </c>
      <c r="G689" s="119" t="s">
        <v>235</v>
      </c>
      <c r="H689" s="120">
        <v>12205.0</v>
      </c>
      <c r="I689" s="121">
        <v>339.0</v>
      </c>
      <c r="J689" s="122">
        <v>10.27</v>
      </c>
      <c r="K689" s="123">
        <v>3.24</v>
      </c>
      <c r="L689" s="123">
        <v>0.565</v>
      </c>
      <c r="M689" s="123">
        <v>0.585</v>
      </c>
      <c r="N689" s="124">
        <v>14.4</v>
      </c>
      <c r="O689" s="122">
        <v>2.46</v>
      </c>
      <c r="P689" s="124">
        <v>83.14</v>
      </c>
      <c r="Q689" s="109"/>
      <c r="R689" s="103">
        <f t="shared" si="1"/>
        <v>125345.35</v>
      </c>
      <c r="S689" s="103">
        <f t="shared" si="2"/>
        <v>39544.2</v>
      </c>
      <c r="T689" s="103">
        <f t="shared" si="3"/>
        <v>6895.825</v>
      </c>
      <c r="U689" s="103">
        <f t="shared" si="4"/>
        <v>7139.925</v>
      </c>
      <c r="V689" s="103">
        <f t="shared" si="5"/>
        <v>175752</v>
      </c>
      <c r="W689" s="103">
        <f t="shared" si="6"/>
        <v>30024.3</v>
      </c>
      <c r="X689" s="103">
        <f t="shared" si="7"/>
        <v>1014723.7</v>
      </c>
    </row>
    <row r="690" ht="12.0" customHeight="1">
      <c r="A6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90" s="87" t="str">
        <f>IFERROR(__xludf.DUMMYFUNCTION("IFERROR(IF(F690&lt;&gt;"""",""WHSE ""&amp;LEFT(F690,1),REGEXEXTRACT(E690,""-(?:\d{2}-)?([A-Z]+)"")),"""")
"),"WHSE A")</f>
        <v>WHSE A</v>
      </c>
      <c r="C690" s="117">
        <v>46058.0</v>
      </c>
      <c r="D690" s="118" t="s">
        <v>232</v>
      </c>
      <c r="E690" s="87" t="s">
        <v>682</v>
      </c>
      <c r="F690" s="87" t="s">
        <v>683</v>
      </c>
      <c r="G690" s="119" t="s">
        <v>272</v>
      </c>
      <c r="H690" s="120">
        <v>22815.0</v>
      </c>
      <c r="I690" s="121">
        <v>671.0</v>
      </c>
      <c r="J690" s="122">
        <v>10.34</v>
      </c>
      <c r="K690" s="123">
        <v>3.14</v>
      </c>
      <c r="L690" s="123">
        <v>0.552</v>
      </c>
      <c r="M690" s="123">
        <v>0.572</v>
      </c>
      <c r="N690" s="124">
        <v>12.37</v>
      </c>
      <c r="O690" s="122">
        <v>3.08</v>
      </c>
      <c r="P690" s="124">
        <v>84.55</v>
      </c>
      <c r="Q690" s="109"/>
      <c r="R690" s="103">
        <f t="shared" si="1"/>
        <v>235907.1</v>
      </c>
      <c r="S690" s="103">
        <f t="shared" si="2"/>
        <v>71639.1</v>
      </c>
      <c r="T690" s="103">
        <f t="shared" si="3"/>
        <v>12593.88</v>
      </c>
      <c r="U690" s="103">
        <f t="shared" si="4"/>
        <v>13050.18</v>
      </c>
      <c r="V690" s="103">
        <f t="shared" si="5"/>
        <v>282221.55</v>
      </c>
      <c r="W690" s="103">
        <f t="shared" si="6"/>
        <v>70270.2</v>
      </c>
      <c r="X690" s="103">
        <f t="shared" si="7"/>
        <v>1929008.25</v>
      </c>
    </row>
    <row r="691" ht="12.0" customHeight="1">
      <c r="A6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91" s="87" t="str">
        <f>IFERROR(__xludf.DUMMYFUNCTION("IFERROR(IF(F691&lt;&gt;"""",""WHSE ""&amp;LEFT(F691,1),REGEXEXTRACT(E691,""-(?:\d{2}-)?([A-Z]+)"")),"""")
"),"")</f>
        <v/>
      </c>
      <c r="C691" s="108"/>
      <c r="D691" s="109"/>
      <c r="E691" s="110"/>
      <c r="F691" s="110"/>
      <c r="G691" s="111"/>
      <c r="H691" s="112"/>
      <c r="I691" s="113"/>
      <c r="J691" s="114"/>
      <c r="K691" s="115"/>
      <c r="L691" s="115"/>
      <c r="M691" s="115"/>
      <c r="N691" s="116"/>
      <c r="O691" s="114"/>
      <c r="P691" s="116"/>
      <c r="Q691" s="109"/>
      <c r="R691" s="103">
        <f t="shared" si="1"/>
        <v>0</v>
      </c>
      <c r="S691" s="103">
        <f t="shared" si="2"/>
        <v>0</v>
      </c>
      <c r="T691" s="103">
        <f t="shared" si="3"/>
        <v>0</v>
      </c>
      <c r="U691" s="103">
        <f t="shared" si="4"/>
        <v>0</v>
      </c>
      <c r="V691" s="103">
        <f t="shared" si="5"/>
        <v>0</v>
      </c>
      <c r="W691" s="103">
        <f t="shared" si="6"/>
        <v>0</v>
      </c>
      <c r="X691" s="103">
        <f t="shared" si="7"/>
        <v>0</v>
      </c>
    </row>
    <row r="692" ht="12.0" customHeight="1">
      <c r="A6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92" s="87" t="str">
        <f>IFERROR(__xludf.DUMMYFUNCTION("IFERROR(IF(F692&lt;&gt;"""",""WHSE ""&amp;LEFT(F692,1),REGEXEXTRACT(E692,""-(?:\d{2}-)?([A-Z]+)"")),"""")
"),"WHSE A")</f>
        <v>WHSE A</v>
      </c>
      <c r="C692" s="117">
        <v>46059.0</v>
      </c>
      <c r="D692" s="118" t="s">
        <v>232</v>
      </c>
      <c r="E692" s="87" t="s">
        <v>682</v>
      </c>
      <c r="F692" s="87" t="s">
        <v>683</v>
      </c>
      <c r="G692" s="119" t="s">
        <v>235</v>
      </c>
      <c r="H692" s="120">
        <v>10800.0</v>
      </c>
      <c r="I692" s="121">
        <v>360.0</v>
      </c>
      <c r="J692" s="122">
        <v>9.67</v>
      </c>
      <c r="K692" s="123">
        <v>3.17</v>
      </c>
      <c r="L692" s="123">
        <v>0.581</v>
      </c>
      <c r="M692" s="123">
        <v>0.601</v>
      </c>
      <c r="N692" s="124">
        <v>13.42</v>
      </c>
      <c r="O692" s="122">
        <v>2.88</v>
      </c>
      <c r="P692" s="124">
        <v>83.7</v>
      </c>
      <c r="Q692" s="109"/>
      <c r="R692" s="103">
        <f t="shared" si="1"/>
        <v>104436</v>
      </c>
      <c r="S692" s="103">
        <f t="shared" si="2"/>
        <v>34236</v>
      </c>
      <c r="T692" s="103">
        <f t="shared" si="3"/>
        <v>6274.8</v>
      </c>
      <c r="U692" s="103">
        <f t="shared" si="4"/>
        <v>6490.8</v>
      </c>
      <c r="V692" s="103">
        <f t="shared" si="5"/>
        <v>144936</v>
      </c>
      <c r="W692" s="103">
        <f t="shared" si="6"/>
        <v>31104</v>
      </c>
      <c r="X692" s="103">
        <f t="shared" si="7"/>
        <v>903960</v>
      </c>
    </row>
    <row r="693" ht="12.0" customHeight="1">
      <c r="A6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93" s="87" t="str">
        <f>IFERROR(__xludf.DUMMYFUNCTION("IFERROR(IF(F693&lt;&gt;"""",""WHSE ""&amp;LEFT(F693,1),REGEXEXTRACT(E693,""-(?:\d{2}-)?([A-Z]+)"")),"""")
"),"WHSE A")</f>
        <v>WHSE A</v>
      </c>
      <c r="C693" s="117">
        <v>46059.0</v>
      </c>
      <c r="D693" s="118" t="s">
        <v>72</v>
      </c>
      <c r="E693" s="87" t="s">
        <v>671</v>
      </c>
      <c r="F693" s="87" t="s">
        <v>672</v>
      </c>
      <c r="G693" s="119" t="s">
        <v>77</v>
      </c>
      <c r="H693" s="120">
        <v>18010.0</v>
      </c>
      <c r="I693" s="121">
        <v>435.0</v>
      </c>
      <c r="J693" s="122">
        <v>11.8</v>
      </c>
      <c r="K693" s="123">
        <v>2.61</v>
      </c>
      <c r="L693" s="123">
        <v>0.578</v>
      </c>
      <c r="M693" s="123">
        <v>0.598</v>
      </c>
      <c r="N693" s="124">
        <v>12.71</v>
      </c>
      <c r="O693" s="122">
        <v>3.02</v>
      </c>
      <c r="P693" s="124">
        <v>84.27</v>
      </c>
      <c r="Q693" s="109"/>
      <c r="R693" s="103">
        <f t="shared" si="1"/>
        <v>212518</v>
      </c>
      <c r="S693" s="103">
        <f t="shared" si="2"/>
        <v>47006.1</v>
      </c>
      <c r="T693" s="103">
        <f t="shared" si="3"/>
        <v>10409.78</v>
      </c>
      <c r="U693" s="103">
        <f t="shared" si="4"/>
        <v>10769.98</v>
      </c>
      <c r="V693" s="103">
        <f t="shared" si="5"/>
        <v>228907.1</v>
      </c>
      <c r="W693" s="103">
        <f t="shared" si="6"/>
        <v>54390.2</v>
      </c>
      <c r="X693" s="103">
        <f t="shared" si="7"/>
        <v>1517702.7</v>
      </c>
    </row>
    <row r="694" ht="12.0" customHeight="1">
      <c r="A6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694" s="87" t="str">
        <f>IFERROR(__xludf.DUMMYFUNCTION("IFERROR(IF(F694&lt;&gt;"""",""WHSE ""&amp;LEFT(F694,1),REGEXEXTRACT(E694,""-(?:\d{2}-)?([A-Z]+)"")),"""")
"),"FEED")</f>
        <v>FEED</v>
      </c>
      <c r="C694" s="117">
        <v>46059.0</v>
      </c>
      <c r="D694" s="118" t="s">
        <v>286</v>
      </c>
      <c r="E694" s="87" t="s">
        <v>684</v>
      </c>
      <c r="F694" s="110"/>
      <c r="G694" s="119" t="s">
        <v>73</v>
      </c>
      <c r="H694" s="120">
        <v>17955.0</v>
      </c>
      <c r="I694" s="121">
        <v>447.0</v>
      </c>
      <c r="J694" s="122">
        <v>11.54</v>
      </c>
      <c r="K694" s="123">
        <v>2.63</v>
      </c>
      <c r="L694" s="123">
        <v>0.575</v>
      </c>
      <c r="M694" s="123">
        <v>0.595</v>
      </c>
      <c r="N694" s="124">
        <v>13.2</v>
      </c>
      <c r="O694" s="122">
        <v>2.98</v>
      </c>
      <c r="P694" s="124">
        <v>83.82</v>
      </c>
      <c r="Q694" s="109"/>
      <c r="R694" s="103">
        <f t="shared" si="1"/>
        <v>207200.7</v>
      </c>
      <c r="S694" s="103">
        <f t="shared" si="2"/>
        <v>47221.65</v>
      </c>
      <c r="T694" s="103">
        <f t="shared" si="3"/>
        <v>10324.125</v>
      </c>
      <c r="U694" s="103">
        <f t="shared" si="4"/>
        <v>10683.225</v>
      </c>
      <c r="V694" s="103">
        <f t="shared" si="5"/>
        <v>237006</v>
      </c>
      <c r="W694" s="103">
        <f t="shared" si="6"/>
        <v>53505.9</v>
      </c>
      <c r="X694" s="103">
        <f t="shared" si="7"/>
        <v>1504988.1</v>
      </c>
    </row>
    <row r="695" ht="12.0" customHeight="1">
      <c r="A6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695" s="87" t="str">
        <f>IFERROR(__xludf.DUMMYFUNCTION("IFERROR(IF(F695&lt;&gt;"""",""WHSE ""&amp;LEFT(F695,1),REGEXEXTRACT(E695,""-(?:\d{2}-)?([A-Z]+)"")),"""")
"),"WHSE D")</f>
        <v>WHSE D</v>
      </c>
      <c r="C695" s="117">
        <v>46059.0</v>
      </c>
      <c r="D695" s="118" t="s">
        <v>60</v>
      </c>
      <c r="E695" s="87" t="s">
        <v>685</v>
      </c>
      <c r="F695" s="87" t="s">
        <v>526</v>
      </c>
      <c r="G695" s="119" t="s">
        <v>514</v>
      </c>
      <c r="H695" s="120">
        <v>17828.0</v>
      </c>
      <c r="I695" s="121">
        <v>344.0</v>
      </c>
      <c r="J695" s="122">
        <v>17.07</v>
      </c>
      <c r="K695" s="123">
        <v>2.11</v>
      </c>
      <c r="L695" s="123">
        <v>0.571</v>
      </c>
      <c r="M695" s="123">
        <v>0.591</v>
      </c>
      <c r="N695" s="124">
        <v>11.76</v>
      </c>
      <c r="O695" s="122">
        <v>3.81</v>
      </c>
      <c r="P695" s="124">
        <v>84.43</v>
      </c>
      <c r="Q695" s="118" t="s">
        <v>686</v>
      </c>
      <c r="R695" s="86">
        <f t="shared" si="1"/>
        <v>304323.96</v>
      </c>
      <c r="S695" s="86">
        <f t="shared" si="2"/>
        <v>37617.08</v>
      </c>
      <c r="T695" s="86">
        <f t="shared" si="3"/>
        <v>10179.788</v>
      </c>
      <c r="U695" s="86">
        <f t="shared" si="4"/>
        <v>10536.348</v>
      </c>
      <c r="V695" s="86">
        <f t="shared" si="5"/>
        <v>209657.28</v>
      </c>
      <c r="W695" s="86">
        <f t="shared" si="6"/>
        <v>67924.68</v>
      </c>
      <c r="X695" s="86">
        <f t="shared" si="7"/>
        <v>1505218.04</v>
      </c>
    </row>
    <row r="696" ht="12.0" customHeight="1">
      <c r="A6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96" s="87" t="str">
        <f>IFERROR(__xludf.DUMMYFUNCTION("IFERROR(IF(F696&lt;&gt;"""",""WHSE ""&amp;LEFT(F696,1),REGEXEXTRACT(E696,""-(?:\d{2}-)?([A-Z]+)"")),"""")
"),"WHSE D")</f>
        <v>WHSE D</v>
      </c>
      <c r="C696" s="117">
        <v>46059.0</v>
      </c>
      <c r="D696" s="118" t="s">
        <v>289</v>
      </c>
      <c r="E696" s="87" t="s">
        <v>670</v>
      </c>
      <c r="F696" s="87" t="s">
        <v>291</v>
      </c>
      <c r="G696" s="119" t="s">
        <v>414</v>
      </c>
      <c r="H696" s="120">
        <v>29845.0</v>
      </c>
      <c r="I696" s="121">
        <v>803.0</v>
      </c>
      <c r="J696" s="122">
        <v>10.34</v>
      </c>
      <c r="K696" s="123">
        <v>3.8</v>
      </c>
      <c r="L696" s="123">
        <v>0.549</v>
      </c>
      <c r="M696" s="123">
        <v>0.569</v>
      </c>
      <c r="N696" s="124">
        <v>11.38</v>
      </c>
      <c r="O696" s="122">
        <v>4.59</v>
      </c>
      <c r="P696" s="124">
        <v>84.03</v>
      </c>
      <c r="Q696" s="109"/>
      <c r="R696" s="103">
        <f t="shared" si="1"/>
        <v>308597.3</v>
      </c>
      <c r="S696" s="103">
        <f t="shared" si="2"/>
        <v>113411</v>
      </c>
      <c r="T696" s="103">
        <f t="shared" si="3"/>
        <v>16384.905</v>
      </c>
      <c r="U696" s="103">
        <f t="shared" si="4"/>
        <v>16981.805</v>
      </c>
      <c r="V696" s="103">
        <f t="shared" si="5"/>
        <v>339636.1</v>
      </c>
      <c r="W696" s="103">
        <f t="shared" si="6"/>
        <v>136988.55</v>
      </c>
      <c r="X696" s="103">
        <f t="shared" si="7"/>
        <v>2507875.35</v>
      </c>
    </row>
    <row r="697" ht="12.0" customHeight="1">
      <c r="A6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97" s="87" t="str">
        <f>IFERROR(__xludf.DUMMYFUNCTION("IFERROR(IF(F697&lt;&gt;"""",""WHSE ""&amp;LEFT(F697,1),REGEXEXTRACT(E697,""-(?:\d{2}-)?([A-Z]+)"")),"""")
"),"")</f>
        <v/>
      </c>
      <c r="C697" s="108"/>
      <c r="D697" s="109"/>
      <c r="E697" s="110"/>
      <c r="F697" s="110"/>
      <c r="G697" s="111"/>
      <c r="H697" s="112"/>
      <c r="I697" s="113"/>
      <c r="J697" s="114"/>
      <c r="K697" s="115"/>
      <c r="L697" s="115"/>
      <c r="M697" s="115"/>
      <c r="N697" s="116"/>
      <c r="O697" s="114"/>
      <c r="P697" s="116"/>
      <c r="Q697" s="109"/>
      <c r="R697" s="103">
        <f t="shared" si="1"/>
        <v>0</v>
      </c>
      <c r="S697" s="103">
        <f t="shared" si="2"/>
        <v>0</v>
      </c>
      <c r="T697" s="103">
        <f t="shared" si="3"/>
        <v>0</v>
      </c>
      <c r="U697" s="103">
        <f t="shared" si="4"/>
        <v>0</v>
      </c>
      <c r="V697" s="103">
        <f t="shared" si="5"/>
        <v>0</v>
      </c>
      <c r="W697" s="103">
        <f t="shared" si="6"/>
        <v>0</v>
      </c>
      <c r="X697" s="103">
        <f t="shared" si="7"/>
        <v>0</v>
      </c>
    </row>
    <row r="698" ht="12.0" customHeight="1">
      <c r="A6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98" s="87" t="str">
        <f>IFERROR(__xludf.DUMMYFUNCTION("IFERROR(IF(F698&lt;&gt;"""",""WHSE ""&amp;LEFT(F698,1),REGEXEXTRACT(E698,""-(?:\d{2}-)?([A-Z]+)"")),"""")
"),"WHSE A")</f>
        <v>WHSE A</v>
      </c>
      <c r="C698" s="117">
        <v>46060.0</v>
      </c>
      <c r="D698" s="118" t="s">
        <v>72</v>
      </c>
      <c r="E698" s="87" t="s">
        <v>687</v>
      </c>
      <c r="F698" s="87" t="s">
        <v>688</v>
      </c>
      <c r="G698" s="119" t="s">
        <v>73</v>
      </c>
      <c r="H698" s="120">
        <v>18545.0</v>
      </c>
      <c r="I698" s="121">
        <v>435.0</v>
      </c>
      <c r="J698" s="122">
        <v>11.74</v>
      </c>
      <c r="K698" s="123">
        <v>2.6</v>
      </c>
      <c r="L698" s="123">
        <v>0.575</v>
      </c>
      <c r="M698" s="123">
        <v>0.595</v>
      </c>
      <c r="N698" s="124">
        <v>12.34</v>
      </c>
      <c r="O698" s="122">
        <v>2.72</v>
      </c>
      <c r="P698" s="124">
        <v>84.94</v>
      </c>
      <c r="Q698" s="109"/>
      <c r="R698" s="103">
        <f t="shared" si="1"/>
        <v>217718.3</v>
      </c>
      <c r="S698" s="103">
        <f t="shared" si="2"/>
        <v>48217</v>
      </c>
      <c r="T698" s="103">
        <f t="shared" si="3"/>
        <v>10663.375</v>
      </c>
      <c r="U698" s="103">
        <f t="shared" si="4"/>
        <v>11034.275</v>
      </c>
      <c r="V698" s="103">
        <f t="shared" si="5"/>
        <v>228845.3</v>
      </c>
      <c r="W698" s="103">
        <f t="shared" si="6"/>
        <v>50442.4</v>
      </c>
      <c r="X698" s="103">
        <f t="shared" si="7"/>
        <v>1575212.3</v>
      </c>
    </row>
    <row r="699" ht="12.0" customHeight="1">
      <c r="A6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699" s="87" t="str">
        <f>IFERROR(__xludf.DUMMYFUNCTION("IFERROR(IF(F699&lt;&gt;"""",""WHSE ""&amp;LEFT(F699,1),REGEXEXTRACT(E699,""-(?:\d{2}-)?([A-Z]+)"")),"""")
"),"WHSE A")</f>
        <v>WHSE A</v>
      </c>
      <c r="C699" s="117">
        <v>46060.0</v>
      </c>
      <c r="D699" s="118" t="s">
        <v>232</v>
      </c>
      <c r="E699" s="87" t="s">
        <v>682</v>
      </c>
      <c r="F699" s="87" t="s">
        <v>683</v>
      </c>
      <c r="G699" s="119" t="s">
        <v>668</v>
      </c>
      <c r="H699" s="120">
        <v>10090.0</v>
      </c>
      <c r="I699" s="121">
        <v>270.0</v>
      </c>
      <c r="J699" s="122">
        <v>9.87</v>
      </c>
      <c r="K699" s="123">
        <v>3.28</v>
      </c>
      <c r="L699" s="123">
        <v>0.549</v>
      </c>
      <c r="M699" s="123">
        <v>0.569</v>
      </c>
      <c r="N699" s="124">
        <v>13.53</v>
      </c>
      <c r="O699" s="122">
        <v>3.8</v>
      </c>
      <c r="P699" s="124">
        <v>82.67</v>
      </c>
      <c r="Q699" s="109"/>
      <c r="R699" s="103">
        <f t="shared" si="1"/>
        <v>99588.3</v>
      </c>
      <c r="S699" s="103">
        <f t="shared" si="2"/>
        <v>33095.2</v>
      </c>
      <c r="T699" s="103">
        <f t="shared" si="3"/>
        <v>5539.41</v>
      </c>
      <c r="U699" s="103">
        <f t="shared" si="4"/>
        <v>5741.21</v>
      </c>
      <c r="V699" s="103">
        <f t="shared" si="5"/>
        <v>136517.7</v>
      </c>
      <c r="W699" s="103">
        <f t="shared" si="6"/>
        <v>38342</v>
      </c>
      <c r="X699" s="103">
        <f t="shared" si="7"/>
        <v>834140.3</v>
      </c>
    </row>
    <row r="700" ht="12.0" customHeight="1">
      <c r="A7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00" s="87" t="str">
        <f>IFERROR(__xludf.DUMMYFUNCTION("IFERROR(IF(F700&lt;&gt;"""",""WHSE ""&amp;LEFT(F700,1),REGEXEXTRACT(E700,""-(?:\d{2}-)?([A-Z]+)"")),"""")
"),"WHSE C")</f>
        <v>WHSE C</v>
      </c>
      <c r="C700" s="117">
        <v>46060.0</v>
      </c>
      <c r="D700" s="118" t="s">
        <v>232</v>
      </c>
      <c r="E700" s="87" t="s">
        <v>676</v>
      </c>
      <c r="F700" s="87" t="s">
        <v>677</v>
      </c>
      <c r="G700" s="119" t="s">
        <v>272</v>
      </c>
      <c r="H700" s="120">
        <v>21550.0</v>
      </c>
      <c r="I700" s="121">
        <v>576.0</v>
      </c>
      <c r="J700" s="122">
        <v>9.4</v>
      </c>
      <c r="K700" s="123">
        <v>3.14</v>
      </c>
      <c r="L700" s="123">
        <v>0.559</v>
      </c>
      <c r="M700" s="123">
        <v>0.579</v>
      </c>
      <c r="N700" s="124">
        <v>12.77</v>
      </c>
      <c r="O700" s="122">
        <v>3.63</v>
      </c>
      <c r="P700" s="124">
        <v>83.6</v>
      </c>
      <c r="Q700" s="109"/>
      <c r="R700" s="103">
        <f t="shared" si="1"/>
        <v>202570</v>
      </c>
      <c r="S700" s="103">
        <f t="shared" si="2"/>
        <v>67667</v>
      </c>
      <c r="T700" s="103">
        <f t="shared" si="3"/>
        <v>12046.45</v>
      </c>
      <c r="U700" s="103">
        <f t="shared" si="4"/>
        <v>12477.45</v>
      </c>
      <c r="V700" s="103">
        <f t="shared" si="5"/>
        <v>275193.5</v>
      </c>
      <c r="W700" s="103">
        <f t="shared" si="6"/>
        <v>78226.5</v>
      </c>
      <c r="X700" s="103">
        <f t="shared" si="7"/>
        <v>1801580</v>
      </c>
    </row>
    <row r="701" ht="12.0" customHeight="1">
      <c r="A7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01" s="87" t="str">
        <f>IFERROR(__xludf.DUMMYFUNCTION("IFERROR(IF(F701&lt;&gt;"""",""WHSE ""&amp;LEFT(F701,1),REGEXEXTRACT(E701,""-(?:\d{2}-)?([A-Z]+)"")),"""")
"),"WHSE A")</f>
        <v>WHSE A</v>
      </c>
      <c r="C701" s="117">
        <v>46060.0</v>
      </c>
      <c r="D701" s="118" t="s">
        <v>659</v>
      </c>
      <c r="E701" s="87" t="s">
        <v>660</v>
      </c>
      <c r="F701" s="87" t="s">
        <v>661</v>
      </c>
      <c r="G701" s="111"/>
      <c r="H701" s="120">
        <v>7553.0</v>
      </c>
      <c r="I701" s="121">
        <v>15.0</v>
      </c>
      <c r="J701" s="122">
        <v>8.74</v>
      </c>
      <c r="K701" s="123">
        <v>3.14</v>
      </c>
      <c r="L701" s="123">
        <v>0.559</v>
      </c>
      <c r="M701" s="123">
        <v>0.579</v>
      </c>
      <c r="N701" s="124">
        <v>12.77</v>
      </c>
      <c r="O701" s="122">
        <v>3.63</v>
      </c>
      <c r="P701" s="124">
        <v>83.6</v>
      </c>
      <c r="Q701" s="109"/>
      <c r="R701" s="103">
        <f t="shared" si="1"/>
        <v>66013.22</v>
      </c>
      <c r="S701" s="103">
        <f t="shared" si="2"/>
        <v>23716.42</v>
      </c>
      <c r="T701" s="103">
        <f t="shared" si="3"/>
        <v>4222.127</v>
      </c>
      <c r="U701" s="103">
        <f t="shared" si="4"/>
        <v>4373.187</v>
      </c>
      <c r="V701" s="103">
        <f t="shared" si="5"/>
        <v>96451.81</v>
      </c>
      <c r="W701" s="103">
        <f t="shared" si="6"/>
        <v>27417.39</v>
      </c>
      <c r="X701" s="103">
        <f t="shared" si="7"/>
        <v>631430.8</v>
      </c>
    </row>
    <row r="702" ht="12.0" customHeight="1">
      <c r="A7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02" s="87" t="str">
        <f>IFERROR(__xludf.DUMMYFUNCTION("IFERROR(IF(F702&lt;&gt;"""",""WHSE ""&amp;LEFT(F702,1),REGEXEXTRACT(E702,""-(?:\d{2}-)?([A-Z]+)"")),"""")
"),"")</f>
        <v/>
      </c>
      <c r="C702" s="108"/>
      <c r="D702" s="109"/>
      <c r="E702" s="110"/>
      <c r="F702" s="110"/>
      <c r="G702" s="111"/>
      <c r="H702" s="112"/>
      <c r="I702" s="113"/>
      <c r="J702" s="114"/>
      <c r="K702" s="115"/>
      <c r="L702" s="115"/>
      <c r="M702" s="115"/>
      <c r="N702" s="116"/>
      <c r="O702" s="114"/>
      <c r="P702" s="116"/>
      <c r="Q702" s="109"/>
      <c r="R702" s="103">
        <f t="shared" si="1"/>
        <v>0</v>
      </c>
      <c r="S702" s="103">
        <f t="shared" si="2"/>
        <v>0</v>
      </c>
      <c r="T702" s="103">
        <f t="shared" si="3"/>
        <v>0</v>
      </c>
      <c r="U702" s="103">
        <f t="shared" si="4"/>
        <v>0</v>
      </c>
      <c r="V702" s="103">
        <f t="shared" si="5"/>
        <v>0</v>
      </c>
      <c r="W702" s="103">
        <f t="shared" si="6"/>
        <v>0</v>
      </c>
      <c r="X702" s="103">
        <f t="shared" si="7"/>
        <v>0</v>
      </c>
    </row>
    <row r="703" ht="12.0" customHeight="1">
      <c r="A7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03" s="87" t="str">
        <f>IFERROR(__xludf.DUMMYFUNCTION("IFERROR(IF(F703&lt;&gt;"""",""WHSE ""&amp;LEFT(F703,1),REGEXEXTRACT(E703,""-(?:\d{2}-)?([A-Z]+)"")),"""")
"),"WHSE A")</f>
        <v>WHSE A</v>
      </c>
      <c r="C703" s="117">
        <v>46061.0</v>
      </c>
      <c r="D703" s="118" t="s">
        <v>659</v>
      </c>
      <c r="E703" s="87" t="s">
        <v>660</v>
      </c>
      <c r="F703" s="87" t="s">
        <v>661</v>
      </c>
      <c r="G703" s="111"/>
      <c r="H703" s="120">
        <v>10903.0</v>
      </c>
      <c r="I703" s="121">
        <v>20.0</v>
      </c>
      <c r="J703" s="122">
        <v>9.07</v>
      </c>
      <c r="K703" s="123">
        <v>3.14</v>
      </c>
      <c r="L703" s="123">
        <v>0.559</v>
      </c>
      <c r="M703" s="123">
        <v>0.579</v>
      </c>
      <c r="N703" s="124">
        <v>12.77</v>
      </c>
      <c r="O703" s="122">
        <v>3.63</v>
      </c>
      <c r="P703" s="124">
        <v>83.6</v>
      </c>
      <c r="Q703" s="109"/>
      <c r="R703" s="103">
        <f t="shared" si="1"/>
        <v>98890.21</v>
      </c>
      <c r="S703" s="103">
        <f t="shared" si="2"/>
        <v>34235.42</v>
      </c>
      <c r="T703" s="103">
        <f t="shared" si="3"/>
        <v>6094.777</v>
      </c>
      <c r="U703" s="103">
        <f t="shared" si="4"/>
        <v>6312.837</v>
      </c>
      <c r="V703" s="103">
        <f t="shared" si="5"/>
        <v>139231.31</v>
      </c>
      <c r="W703" s="103">
        <f t="shared" si="6"/>
        <v>39577.89</v>
      </c>
      <c r="X703" s="103">
        <f t="shared" si="7"/>
        <v>911490.8</v>
      </c>
    </row>
    <row r="704" ht="12.0" customHeight="1">
      <c r="A7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04" s="87" t="str">
        <f>IFERROR(__xludf.DUMMYFUNCTION("IFERROR(IF(F704&lt;&gt;"""",""WHSE ""&amp;LEFT(F704,1),REGEXEXTRACT(E704,""-(?:\d{2}-)?([A-Z]+)"")),"""")
"),"")</f>
        <v/>
      </c>
      <c r="C704" s="108"/>
      <c r="D704" s="109"/>
      <c r="E704" s="110"/>
      <c r="F704" s="110"/>
      <c r="G704" s="111"/>
      <c r="H704" s="112"/>
      <c r="I704" s="113"/>
      <c r="J704" s="114"/>
      <c r="K704" s="115"/>
      <c r="L704" s="115"/>
      <c r="M704" s="115"/>
      <c r="N704" s="116"/>
      <c r="O704" s="114"/>
      <c r="P704" s="116"/>
      <c r="Q704" s="109"/>
      <c r="R704" s="103">
        <f t="shared" si="1"/>
        <v>0</v>
      </c>
      <c r="S704" s="103">
        <f t="shared" si="2"/>
        <v>0</v>
      </c>
      <c r="T704" s="103">
        <f t="shared" si="3"/>
        <v>0</v>
      </c>
      <c r="U704" s="103">
        <f t="shared" si="4"/>
        <v>0</v>
      </c>
      <c r="V704" s="103">
        <f t="shared" si="5"/>
        <v>0</v>
      </c>
      <c r="W704" s="103">
        <f t="shared" si="6"/>
        <v>0</v>
      </c>
      <c r="X704" s="103">
        <f t="shared" si="7"/>
        <v>0</v>
      </c>
    </row>
    <row r="705" ht="12.0" customHeight="1">
      <c r="A7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705" s="87" t="str">
        <f>IFERROR(__xludf.DUMMYFUNCTION("IFERROR(IF(F705&lt;&gt;"""",""WHSE ""&amp;LEFT(F705,1),REGEXEXTRACT(E705,""-(?:\d{2}-)?([A-Z]+)"")),"""")
"),"WHSE A")</f>
        <v>WHSE A</v>
      </c>
      <c r="C705" s="117">
        <v>46062.0</v>
      </c>
      <c r="D705" s="118" t="s">
        <v>232</v>
      </c>
      <c r="E705" s="87" t="s">
        <v>674</v>
      </c>
      <c r="F705" s="87" t="s">
        <v>675</v>
      </c>
      <c r="G705" s="119" t="s">
        <v>235</v>
      </c>
      <c r="H705" s="120">
        <v>10500.0</v>
      </c>
      <c r="I705" s="121">
        <v>317.0</v>
      </c>
      <c r="J705" s="122">
        <v>9.2</v>
      </c>
      <c r="K705" s="123">
        <v>3.12</v>
      </c>
      <c r="L705" s="123">
        <v>0.578</v>
      </c>
      <c r="M705" s="123">
        <v>0.598</v>
      </c>
      <c r="N705" s="124">
        <v>13.44</v>
      </c>
      <c r="O705" s="122">
        <v>3.58</v>
      </c>
      <c r="P705" s="124">
        <v>82.98</v>
      </c>
      <c r="Q705" s="109"/>
      <c r="R705" s="103">
        <f t="shared" si="1"/>
        <v>96600</v>
      </c>
      <c r="S705" s="103">
        <f t="shared" si="2"/>
        <v>32760</v>
      </c>
      <c r="T705" s="103">
        <f t="shared" si="3"/>
        <v>6069</v>
      </c>
      <c r="U705" s="103">
        <f t="shared" si="4"/>
        <v>6279</v>
      </c>
      <c r="V705" s="103">
        <f t="shared" si="5"/>
        <v>141120</v>
      </c>
      <c r="W705" s="103">
        <f t="shared" si="6"/>
        <v>37590</v>
      </c>
      <c r="X705" s="103">
        <f t="shared" si="7"/>
        <v>871290</v>
      </c>
    </row>
    <row r="706" ht="12.0" customHeight="1">
      <c r="A7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06" s="87" t="str">
        <f>IFERROR(__xludf.DUMMYFUNCTION("IFERROR(IF(F706&lt;&gt;"""",""WHSE ""&amp;LEFT(F706,1),REGEXEXTRACT(E706,""-(?:\d{2}-)?([A-Z]+)"")),"""")
"),"WHSE A")</f>
        <v>WHSE A</v>
      </c>
      <c r="C706" s="117">
        <v>46062.0</v>
      </c>
      <c r="D706" s="118" t="s">
        <v>72</v>
      </c>
      <c r="E706" s="87" t="s">
        <v>687</v>
      </c>
      <c r="F706" s="87" t="s">
        <v>688</v>
      </c>
      <c r="G706" s="119" t="s">
        <v>77</v>
      </c>
      <c r="H706" s="120">
        <v>17570.0</v>
      </c>
      <c r="I706" s="121">
        <v>457.0</v>
      </c>
      <c r="J706" s="122">
        <v>11.27</v>
      </c>
      <c r="K706" s="123">
        <v>2.54</v>
      </c>
      <c r="L706" s="123">
        <v>0.575</v>
      </c>
      <c r="M706" s="123">
        <v>0.595</v>
      </c>
      <c r="N706" s="124">
        <v>12.28</v>
      </c>
      <c r="O706" s="122">
        <v>3.34</v>
      </c>
      <c r="P706" s="124">
        <v>84.38</v>
      </c>
      <c r="Q706" s="109"/>
      <c r="R706" s="103">
        <f t="shared" si="1"/>
        <v>198013.9</v>
      </c>
      <c r="S706" s="103">
        <f t="shared" si="2"/>
        <v>44627.8</v>
      </c>
      <c r="T706" s="103">
        <f t="shared" si="3"/>
        <v>10102.75</v>
      </c>
      <c r="U706" s="103">
        <f t="shared" si="4"/>
        <v>10454.15</v>
      </c>
      <c r="V706" s="103">
        <f t="shared" si="5"/>
        <v>215759.6</v>
      </c>
      <c r="W706" s="103">
        <f t="shared" si="6"/>
        <v>58683.8</v>
      </c>
      <c r="X706" s="103">
        <f t="shared" si="7"/>
        <v>1482556.6</v>
      </c>
    </row>
    <row r="707" ht="12.0" customHeight="1">
      <c r="A7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07" s="87" t="str">
        <f>IFERROR(__xludf.DUMMYFUNCTION("IFERROR(IF(F707&lt;&gt;"""",""WHSE ""&amp;LEFT(F707,1),REGEXEXTRACT(E707,""-(?:\d{2}-)?([A-Z]+)"")),"""")
"),"WHSE D")</f>
        <v>WHSE D</v>
      </c>
      <c r="C707" s="117">
        <v>46062.0</v>
      </c>
      <c r="D707" s="118" t="s">
        <v>64</v>
      </c>
      <c r="E707" s="87" t="s">
        <v>663</v>
      </c>
      <c r="F707" s="87" t="s">
        <v>664</v>
      </c>
      <c r="G707" s="119" t="s">
        <v>65</v>
      </c>
      <c r="H707" s="120">
        <v>14385.0</v>
      </c>
      <c r="I707" s="121">
        <v>339.0</v>
      </c>
      <c r="J707" s="122">
        <v>11.74</v>
      </c>
      <c r="K707" s="123">
        <v>2.6</v>
      </c>
      <c r="L707" s="123">
        <v>0.578</v>
      </c>
      <c r="M707" s="123">
        <v>0.598</v>
      </c>
      <c r="N707" s="124">
        <v>13.24</v>
      </c>
      <c r="O707" s="122">
        <v>2.84</v>
      </c>
      <c r="P707" s="124">
        <v>83.92</v>
      </c>
      <c r="Q707" s="109"/>
      <c r="R707" s="103">
        <f t="shared" si="1"/>
        <v>168879.9</v>
      </c>
      <c r="S707" s="103">
        <f t="shared" si="2"/>
        <v>37401</v>
      </c>
      <c r="T707" s="103">
        <f t="shared" si="3"/>
        <v>8314.53</v>
      </c>
      <c r="U707" s="103">
        <f t="shared" si="4"/>
        <v>8602.23</v>
      </c>
      <c r="V707" s="103">
        <f t="shared" si="5"/>
        <v>190457.4</v>
      </c>
      <c r="W707" s="103">
        <f t="shared" si="6"/>
        <v>40853.4</v>
      </c>
      <c r="X707" s="103">
        <f t="shared" si="7"/>
        <v>1207189.2</v>
      </c>
    </row>
    <row r="708" ht="12.0" customHeight="1">
      <c r="A7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08" s="87" t="str">
        <f>IFERROR(__xludf.DUMMYFUNCTION("IFERROR(IF(F708&lt;&gt;"""",""WHSE ""&amp;LEFT(F708,1),REGEXEXTRACT(E708,""-(?:\d{2}-)?([A-Z]+)"")),"""")
"),"WHSE D")</f>
        <v>WHSE D</v>
      </c>
      <c r="C708" s="117">
        <v>46062.0</v>
      </c>
      <c r="D708" s="118" t="s">
        <v>279</v>
      </c>
      <c r="E708" s="87" t="s">
        <v>663</v>
      </c>
      <c r="F708" s="87" t="s">
        <v>664</v>
      </c>
      <c r="G708" s="119" t="s">
        <v>547</v>
      </c>
      <c r="H708" s="120">
        <v>9582.0</v>
      </c>
      <c r="I708" s="121">
        <v>171.0</v>
      </c>
      <c r="J708" s="122">
        <v>12.14</v>
      </c>
      <c r="K708" s="123">
        <v>2.3</v>
      </c>
      <c r="L708" s="123">
        <v>0.585</v>
      </c>
      <c r="M708" s="123">
        <v>0.605</v>
      </c>
      <c r="N708" s="124">
        <v>14.78</v>
      </c>
      <c r="O708" s="122">
        <v>3.75</v>
      </c>
      <c r="P708" s="124">
        <v>81.47</v>
      </c>
      <c r="Q708" s="118" t="s">
        <v>689</v>
      </c>
      <c r="R708" s="86">
        <f t="shared" si="1"/>
        <v>116325.48</v>
      </c>
      <c r="S708" s="86">
        <f t="shared" si="2"/>
        <v>22038.6</v>
      </c>
      <c r="T708" s="86">
        <f t="shared" si="3"/>
        <v>5605.47</v>
      </c>
      <c r="U708" s="86">
        <f t="shared" si="4"/>
        <v>5797.11</v>
      </c>
      <c r="V708" s="86">
        <f t="shared" si="5"/>
        <v>141621.96</v>
      </c>
      <c r="W708" s="86">
        <f t="shared" si="6"/>
        <v>35932.5</v>
      </c>
      <c r="X708" s="86">
        <f t="shared" si="7"/>
        <v>780645.54</v>
      </c>
    </row>
    <row r="709" ht="12.0" customHeight="1">
      <c r="A7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09" s="87" t="str">
        <f>IFERROR(__xludf.DUMMYFUNCTION("IFERROR(IF(F709&lt;&gt;"""",""WHSE ""&amp;LEFT(F709,1),REGEXEXTRACT(E709,""-(?:\d{2}-)?([A-Z]+)"")),"""")
"),"WHSE A")</f>
        <v>WHSE A</v>
      </c>
      <c r="C709" s="117">
        <v>46062.0</v>
      </c>
      <c r="D709" s="118" t="s">
        <v>690</v>
      </c>
      <c r="E709" s="87" t="s">
        <v>691</v>
      </c>
      <c r="F709" s="87" t="s">
        <v>582</v>
      </c>
      <c r="G709" s="111"/>
      <c r="H709" s="120">
        <v>6086.0</v>
      </c>
      <c r="I709" s="121">
        <v>12.0</v>
      </c>
      <c r="J709" s="122">
        <v>8.54</v>
      </c>
      <c r="K709" s="123">
        <v>2.725</v>
      </c>
      <c r="L709" s="123">
        <v>0.573</v>
      </c>
      <c r="M709" s="123">
        <v>0.593</v>
      </c>
      <c r="N709" s="124">
        <v>12.12</v>
      </c>
      <c r="O709" s="122">
        <v>3.83</v>
      </c>
      <c r="P709" s="124">
        <v>84.06</v>
      </c>
      <c r="Q709" s="109"/>
      <c r="R709" s="103">
        <f t="shared" si="1"/>
        <v>51974.44</v>
      </c>
      <c r="S709" s="103">
        <f t="shared" si="2"/>
        <v>16584.35</v>
      </c>
      <c r="T709" s="103">
        <f t="shared" si="3"/>
        <v>3487.278</v>
      </c>
      <c r="U709" s="103">
        <f t="shared" si="4"/>
        <v>3608.998</v>
      </c>
      <c r="V709" s="103">
        <f t="shared" si="5"/>
        <v>73762.32</v>
      </c>
      <c r="W709" s="103">
        <f t="shared" si="6"/>
        <v>23309.38</v>
      </c>
      <c r="X709" s="103">
        <f t="shared" si="7"/>
        <v>511589.16</v>
      </c>
    </row>
    <row r="710" ht="12.0" customHeight="1">
      <c r="A7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10" s="87" t="str">
        <f>IFERROR(__xludf.DUMMYFUNCTION("IFERROR(IF(F710&lt;&gt;"""",""WHSE ""&amp;LEFT(F710,1),REGEXEXTRACT(E710,""-(?:\d{2}-)?([A-Z]+)"")),"""")
"),"")</f>
        <v/>
      </c>
      <c r="C710" s="108"/>
      <c r="D710" s="109"/>
      <c r="E710" s="110"/>
      <c r="F710" s="110"/>
      <c r="G710" s="111"/>
      <c r="H710" s="112"/>
      <c r="I710" s="113"/>
      <c r="J710" s="114"/>
      <c r="K710" s="115"/>
      <c r="L710" s="115"/>
      <c r="M710" s="115"/>
      <c r="N710" s="116"/>
      <c r="O710" s="114"/>
      <c r="P710" s="116"/>
      <c r="Q710" s="109"/>
      <c r="R710" s="103">
        <f t="shared" si="1"/>
        <v>0</v>
      </c>
      <c r="S710" s="103">
        <f t="shared" si="2"/>
        <v>0</v>
      </c>
      <c r="T710" s="103">
        <f t="shared" si="3"/>
        <v>0</v>
      </c>
      <c r="U710" s="103">
        <f t="shared" si="4"/>
        <v>0</v>
      </c>
      <c r="V710" s="103">
        <f t="shared" si="5"/>
        <v>0</v>
      </c>
      <c r="W710" s="103">
        <f t="shared" si="6"/>
        <v>0</v>
      </c>
      <c r="X710" s="103">
        <f t="shared" si="7"/>
        <v>0</v>
      </c>
    </row>
    <row r="711" ht="12.0" customHeight="1">
      <c r="A7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11" s="87" t="str">
        <f>IFERROR(__xludf.DUMMYFUNCTION("IFERROR(IF(F711&lt;&gt;"""",""WHSE ""&amp;LEFT(F711,1),REGEXEXTRACT(E711,""-(?:\d{2}-)?([A-Z]+)"")),"""")
"),"WHSE C")</f>
        <v>WHSE C</v>
      </c>
      <c r="C711" s="117">
        <v>46063.0</v>
      </c>
      <c r="D711" s="118" t="s">
        <v>232</v>
      </c>
      <c r="E711" s="87" t="s">
        <v>692</v>
      </c>
      <c r="F711" s="87" t="s">
        <v>447</v>
      </c>
      <c r="G711" s="119" t="s">
        <v>272</v>
      </c>
      <c r="H711" s="120">
        <v>22620.0</v>
      </c>
      <c r="I711" s="121">
        <v>547.0</v>
      </c>
      <c r="J711" s="122">
        <v>9.8</v>
      </c>
      <c r="K711" s="123">
        <v>3.29</v>
      </c>
      <c r="L711" s="123">
        <v>0.568</v>
      </c>
      <c r="M711" s="123">
        <v>0.588</v>
      </c>
      <c r="N711" s="124">
        <v>12.6</v>
      </c>
      <c r="O711" s="122">
        <v>4.08</v>
      </c>
      <c r="P711" s="124">
        <v>83.32</v>
      </c>
      <c r="Q711" s="109"/>
      <c r="R711" s="103">
        <f t="shared" si="1"/>
        <v>221676</v>
      </c>
      <c r="S711" s="103">
        <f t="shared" si="2"/>
        <v>74419.8</v>
      </c>
      <c r="T711" s="103">
        <f t="shared" si="3"/>
        <v>12848.16</v>
      </c>
      <c r="U711" s="103">
        <f t="shared" si="4"/>
        <v>13300.56</v>
      </c>
      <c r="V711" s="103">
        <f t="shared" si="5"/>
        <v>285012</v>
      </c>
      <c r="W711" s="103">
        <f t="shared" si="6"/>
        <v>92289.6</v>
      </c>
      <c r="X711" s="103">
        <f t="shared" si="7"/>
        <v>1884698.4</v>
      </c>
    </row>
    <row r="712" ht="12.0" customHeight="1">
      <c r="A7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12" s="87" t="str">
        <f>IFERROR(__xludf.DUMMYFUNCTION("IFERROR(IF(F712&lt;&gt;"""",""WHSE ""&amp;LEFT(F712,1),REGEXEXTRACT(E712,""-(?:\d{2}-)?([A-Z]+)"")),"""")
"),"WHSE A")</f>
        <v>WHSE A</v>
      </c>
      <c r="C712" s="117">
        <v>46063.0</v>
      </c>
      <c r="D712" s="118" t="s">
        <v>232</v>
      </c>
      <c r="E712" s="87" t="s">
        <v>693</v>
      </c>
      <c r="F712" s="87" t="s">
        <v>694</v>
      </c>
      <c r="G712" s="119" t="s">
        <v>73</v>
      </c>
      <c r="H712" s="120">
        <v>20325.0</v>
      </c>
      <c r="I712" s="121">
        <v>541.0</v>
      </c>
      <c r="J712" s="122">
        <v>11.2</v>
      </c>
      <c r="K712" s="123">
        <v>3.21</v>
      </c>
      <c r="L712" s="123">
        <v>0.556</v>
      </c>
      <c r="M712" s="123">
        <v>0.576</v>
      </c>
      <c r="N712" s="124">
        <v>14.14</v>
      </c>
      <c r="O712" s="122">
        <v>2.68</v>
      </c>
      <c r="P712" s="124">
        <v>83.18</v>
      </c>
      <c r="Q712" s="109"/>
      <c r="R712" s="103">
        <f t="shared" si="1"/>
        <v>227640</v>
      </c>
      <c r="S712" s="103">
        <f t="shared" si="2"/>
        <v>65243.25</v>
      </c>
      <c r="T712" s="103">
        <f t="shared" si="3"/>
        <v>11300.7</v>
      </c>
      <c r="U712" s="103">
        <f t="shared" si="4"/>
        <v>11707.2</v>
      </c>
      <c r="V712" s="103">
        <f t="shared" si="5"/>
        <v>287395.5</v>
      </c>
      <c r="W712" s="103">
        <f t="shared" si="6"/>
        <v>54471</v>
      </c>
      <c r="X712" s="103">
        <f t="shared" si="7"/>
        <v>1690633.5</v>
      </c>
    </row>
    <row r="713" ht="12.0" customHeight="1">
      <c r="A7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13" s="87" t="str">
        <f>IFERROR(__xludf.DUMMYFUNCTION("IFERROR(IF(F713&lt;&gt;"""",""WHSE ""&amp;LEFT(F713,1),REGEXEXTRACT(E713,""-(?:\d{2}-)?([A-Z]+)"")),"""")
"),"WHSE A")</f>
        <v>WHSE A</v>
      </c>
      <c r="C713" s="117">
        <v>46063.0</v>
      </c>
      <c r="D713" s="118" t="s">
        <v>232</v>
      </c>
      <c r="E713" s="87" t="s">
        <v>693</v>
      </c>
      <c r="F713" s="87" t="s">
        <v>694</v>
      </c>
      <c r="G713" s="119" t="s">
        <v>668</v>
      </c>
      <c r="H713" s="120">
        <v>11515.0</v>
      </c>
      <c r="I713" s="121">
        <v>277.0</v>
      </c>
      <c r="J713" s="122">
        <v>9.6</v>
      </c>
      <c r="K713" s="123">
        <v>3.24</v>
      </c>
      <c r="L713" s="123">
        <v>0.562</v>
      </c>
      <c r="M713" s="123">
        <v>0.582</v>
      </c>
      <c r="N713" s="124">
        <v>12.29</v>
      </c>
      <c r="O713" s="122">
        <v>3.74</v>
      </c>
      <c r="P713" s="124">
        <v>83.97</v>
      </c>
      <c r="Q713" s="109"/>
      <c r="R713" s="103">
        <f t="shared" si="1"/>
        <v>110544</v>
      </c>
      <c r="S713" s="103">
        <f t="shared" si="2"/>
        <v>37308.6</v>
      </c>
      <c r="T713" s="103">
        <f t="shared" si="3"/>
        <v>6471.43</v>
      </c>
      <c r="U713" s="103">
        <f t="shared" si="4"/>
        <v>6701.73</v>
      </c>
      <c r="V713" s="103">
        <f t="shared" si="5"/>
        <v>141519.35</v>
      </c>
      <c r="W713" s="103">
        <f t="shared" si="6"/>
        <v>43066.1</v>
      </c>
      <c r="X713" s="103">
        <f t="shared" si="7"/>
        <v>966914.55</v>
      </c>
    </row>
    <row r="714" ht="12.0" customHeight="1">
      <c r="A7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14" s="87" t="str">
        <f>IFERROR(__xludf.DUMMYFUNCTION("IFERROR(IF(F714&lt;&gt;"""",""WHSE ""&amp;LEFT(F714,1),REGEXEXTRACT(E714,""-(?:\d{2}-)?([A-Z]+)"")),"""")
"),"WHSE A")</f>
        <v>WHSE A</v>
      </c>
      <c r="C714" s="117">
        <v>46063.0</v>
      </c>
      <c r="D714" s="118" t="s">
        <v>265</v>
      </c>
      <c r="E714" s="87" t="s">
        <v>682</v>
      </c>
      <c r="F714" s="87" t="s">
        <v>683</v>
      </c>
      <c r="G714" s="119" t="s">
        <v>334</v>
      </c>
      <c r="H714" s="120">
        <v>5390.0</v>
      </c>
      <c r="I714" s="121">
        <v>155.0</v>
      </c>
      <c r="J714" s="122">
        <v>9.34</v>
      </c>
      <c r="K714" s="123">
        <v>3.78</v>
      </c>
      <c r="L714" s="123">
        <v>0.556</v>
      </c>
      <c r="M714" s="123">
        <v>0.576</v>
      </c>
      <c r="N714" s="124">
        <v>13.7</v>
      </c>
      <c r="O714" s="122">
        <v>2.89</v>
      </c>
      <c r="P714" s="124">
        <v>83.41</v>
      </c>
      <c r="Q714" s="109"/>
      <c r="R714" s="103">
        <f t="shared" si="1"/>
        <v>50342.6</v>
      </c>
      <c r="S714" s="103">
        <f t="shared" si="2"/>
        <v>20374.2</v>
      </c>
      <c r="T714" s="103">
        <f t="shared" si="3"/>
        <v>2996.84</v>
      </c>
      <c r="U714" s="103">
        <f t="shared" si="4"/>
        <v>3104.64</v>
      </c>
      <c r="V714" s="103">
        <f t="shared" si="5"/>
        <v>73843</v>
      </c>
      <c r="W714" s="103">
        <f t="shared" si="6"/>
        <v>15577.1</v>
      </c>
      <c r="X714" s="103">
        <f t="shared" si="7"/>
        <v>449579.9</v>
      </c>
    </row>
    <row r="715" ht="12.0" customHeight="1">
      <c r="A7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15" s="87" t="str">
        <f>IFERROR(__xludf.DUMMYFUNCTION("IFERROR(IF(F715&lt;&gt;"""",""WHSE ""&amp;LEFT(F715,1),REGEXEXTRACT(E715,""-(?:\d{2}-)?([A-Z]+)"")),"""")
"),"WHSE D")</f>
        <v>WHSE D</v>
      </c>
      <c r="C715" s="117">
        <v>46063.0</v>
      </c>
      <c r="D715" s="118" t="s">
        <v>289</v>
      </c>
      <c r="E715" s="87" t="s">
        <v>695</v>
      </c>
      <c r="F715" s="87" t="s">
        <v>357</v>
      </c>
      <c r="G715" s="119" t="s">
        <v>414</v>
      </c>
      <c r="H715" s="120">
        <v>30115.0</v>
      </c>
      <c r="I715" s="121">
        <v>803.0</v>
      </c>
      <c r="J715" s="122">
        <v>9.74</v>
      </c>
      <c r="K715" s="123">
        <v>3.34</v>
      </c>
      <c r="L715" s="123">
        <v>0.549</v>
      </c>
      <c r="M715" s="123">
        <v>0.569</v>
      </c>
      <c r="N715" s="124">
        <v>11.38</v>
      </c>
      <c r="O715" s="122">
        <v>4.2</v>
      </c>
      <c r="P715" s="124">
        <v>84.42</v>
      </c>
      <c r="Q715" s="109"/>
      <c r="R715" s="103">
        <f t="shared" si="1"/>
        <v>293320.1</v>
      </c>
      <c r="S715" s="103">
        <f t="shared" si="2"/>
        <v>100584.1</v>
      </c>
      <c r="T715" s="103">
        <f t="shared" si="3"/>
        <v>16533.135</v>
      </c>
      <c r="U715" s="103">
        <f t="shared" si="4"/>
        <v>17135.435</v>
      </c>
      <c r="V715" s="103">
        <f t="shared" si="5"/>
        <v>342708.7</v>
      </c>
      <c r="W715" s="103">
        <f t="shared" si="6"/>
        <v>126483</v>
      </c>
      <c r="X715" s="103">
        <f t="shared" si="7"/>
        <v>2542308.3</v>
      </c>
    </row>
    <row r="716" ht="12.0" customHeight="1">
      <c r="A7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16" s="87" t="str">
        <f>IFERROR(__xludf.DUMMYFUNCTION("IFERROR(IF(F716&lt;&gt;"""",""WHSE ""&amp;LEFT(F716,1),REGEXEXTRACT(E716,""-(?:\d{2}-)?([A-Z]+)"")),"""")
"),"WHSE A")</f>
        <v>WHSE A</v>
      </c>
      <c r="C716" s="117">
        <v>46063.0</v>
      </c>
      <c r="D716" s="118" t="s">
        <v>690</v>
      </c>
      <c r="E716" s="87" t="s">
        <v>691</v>
      </c>
      <c r="F716" s="87" t="s">
        <v>582</v>
      </c>
      <c r="G716" s="111"/>
      <c r="H716" s="120">
        <v>6642.0</v>
      </c>
      <c r="I716" s="121">
        <v>13.0</v>
      </c>
      <c r="J716" s="122">
        <v>9.2</v>
      </c>
      <c r="K716" s="123">
        <v>2.725</v>
      </c>
      <c r="L716" s="123">
        <v>0.573</v>
      </c>
      <c r="M716" s="123">
        <v>0.593</v>
      </c>
      <c r="N716" s="124">
        <v>12.12</v>
      </c>
      <c r="O716" s="122">
        <v>3.83</v>
      </c>
      <c r="P716" s="124">
        <v>84.06</v>
      </c>
      <c r="Q716" s="109"/>
      <c r="R716" s="103">
        <f t="shared" si="1"/>
        <v>61106.4</v>
      </c>
      <c r="S716" s="103">
        <f t="shared" si="2"/>
        <v>18099.45</v>
      </c>
      <c r="T716" s="103">
        <f t="shared" si="3"/>
        <v>3805.866</v>
      </c>
      <c r="U716" s="103">
        <f t="shared" si="4"/>
        <v>3938.706</v>
      </c>
      <c r="V716" s="103">
        <f t="shared" si="5"/>
        <v>80501.04</v>
      </c>
      <c r="W716" s="103">
        <f t="shared" si="6"/>
        <v>25438.86</v>
      </c>
      <c r="X716" s="103">
        <f t="shared" si="7"/>
        <v>558326.52</v>
      </c>
    </row>
    <row r="717" ht="12.0" customHeight="1">
      <c r="A7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17" s="87" t="str">
        <f>IFERROR(__xludf.DUMMYFUNCTION("IFERROR(IF(F717&lt;&gt;"""",""WHSE ""&amp;LEFT(F717,1),REGEXEXTRACT(E717,""-(?:\d{2}-)?([A-Z]+)"")),"""")
"),"")</f>
        <v/>
      </c>
      <c r="C717" s="108"/>
      <c r="D717" s="109"/>
      <c r="E717" s="110"/>
      <c r="F717" s="110"/>
      <c r="G717" s="111"/>
      <c r="H717" s="112"/>
      <c r="I717" s="113"/>
      <c r="J717" s="114"/>
      <c r="K717" s="115"/>
      <c r="L717" s="115"/>
      <c r="M717" s="115"/>
      <c r="N717" s="116"/>
      <c r="O717" s="114"/>
      <c r="P717" s="116"/>
      <c r="Q717" s="109"/>
      <c r="R717" s="103">
        <f t="shared" si="1"/>
        <v>0</v>
      </c>
      <c r="S717" s="103">
        <f t="shared" si="2"/>
        <v>0</v>
      </c>
      <c r="T717" s="103">
        <f t="shared" si="3"/>
        <v>0</v>
      </c>
      <c r="U717" s="103">
        <f t="shared" si="4"/>
        <v>0</v>
      </c>
      <c r="V717" s="103">
        <f t="shared" si="5"/>
        <v>0</v>
      </c>
      <c r="W717" s="103">
        <f t="shared" si="6"/>
        <v>0</v>
      </c>
      <c r="X717" s="103">
        <f t="shared" si="7"/>
        <v>0</v>
      </c>
    </row>
    <row r="718" ht="12.0" customHeight="1">
      <c r="A7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18" s="87" t="str">
        <f>IFERROR(__xludf.DUMMYFUNCTION("IFERROR(IF(F718&lt;&gt;"""",""WHSE ""&amp;LEFT(F718,1),REGEXEXTRACT(E718,""-(?:\d{2}-)?([A-Z]+)"")),"""")
"),"FEED")</f>
        <v>FEED</v>
      </c>
      <c r="C718" s="117">
        <v>46064.0</v>
      </c>
      <c r="D718" s="118" t="s">
        <v>286</v>
      </c>
      <c r="E718" s="87" t="s">
        <v>696</v>
      </c>
      <c r="F718" s="110"/>
      <c r="G718" s="119" t="s">
        <v>77</v>
      </c>
      <c r="H718" s="120">
        <v>17540.0</v>
      </c>
      <c r="I718" s="121">
        <v>445.0</v>
      </c>
      <c r="J718" s="122">
        <v>11.14</v>
      </c>
      <c r="K718" s="123">
        <v>3.14</v>
      </c>
      <c r="L718" s="123">
        <v>0.575</v>
      </c>
      <c r="M718" s="123">
        <v>0.595</v>
      </c>
      <c r="N718" s="124">
        <v>14.45</v>
      </c>
      <c r="O718" s="122">
        <v>2.99</v>
      </c>
      <c r="P718" s="124">
        <v>82.56</v>
      </c>
      <c r="Q718" s="109"/>
      <c r="R718" s="103">
        <f t="shared" si="1"/>
        <v>195395.6</v>
      </c>
      <c r="S718" s="103">
        <f t="shared" si="2"/>
        <v>55075.6</v>
      </c>
      <c r="T718" s="103">
        <f t="shared" si="3"/>
        <v>10085.5</v>
      </c>
      <c r="U718" s="103">
        <f t="shared" si="4"/>
        <v>10436.3</v>
      </c>
      <c r="V718" s="103">
        <f t="shared" si="5"/>
        <v>253453</v>
      </c>
      <c r="W718" s="103">
        <f t="shared" si="6"/>
        <v>52444.6</v>
      </c>
      <c r="X718" s="103">
        <f t="shared" si="7"/>
        <v>1448102.4</v>
      </c>
    </row>
    <row r="719" ht="12.0" customHeight="1">
      <c r="A7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19" s="87" t="str">
        <f>IFERROR(__xludf.DUMMYFUNCTION("IFERROR(IF(F719&lt;&gt;"""",""WHSE ""&amp;LEFT(F719,1),REGEXEXTRACT(E719,""-(?:\d{2}-)?([A-Z]+)"")),"""")
"),"WHSE A")</f>
        <v>WHSE A</v>
      </c>
      <c r="C719" s="117">
        <v>46064.0</v>
      </c>
      <c r="D719" s="118" t="s">
        <v>72</v>
      </c>
      <c r="E719" s="87" t="s">
        <v>687</v>
      </c>
      <c r="F719" s="87" t="s">
        <v>688</v>
      </c>
      <c r="G719" s="119" t="s">
        <v>73</v>
      </c>
      <c r="H719" s="120">
        <v>17420.0</v>
      </c>
      <c r="I719" s="121">
        <v>453.0</v>
      </c>
      <c r="J719" s="122">
        <v>11.8</v>
      </c>
      <c r="K719" s="123">
        <v>2.73</v>
      </c>
      <c r="L719" s="123">
        <v>0.578</v>
      </c>
      <c r="M719" s="123">
        <v>0.598</v>
      </c>
      <c r="N719" s="124">
        <v>13.71</v>
      </c>
      <c r="O719" s="122">
        <v>3.36</v>
      </c>
      <c r="P719" s="124">
        <v>82.93</v>
      </c>
      <c r="Q719" s="109"/>
      <c r="R719" s="103">
        <f t="shared" si="1"/>
        <v>205556</v>
      </c>
      <c r="S719" s="103">
        <f t="shared" si="2"/>
        <v>47556.6</v>
      </c>
      <c r="T719" s="103">
        <f t="shared" si="3"/>
        <v>10068.76</v>
      </c>
      <c r="U719" s="103">
        <f t="shared" si="4"/>
        <v>10417.16</v>
      </c>
      <c r="V719" s="103">
        <f t="shared" si="5"/>
        <v>238828.2</v>
      </c>
      <c r="W719" s="103">
        <f t="shared" si="6"/>
        <v>58531.2</v>
      </c>
      <c r="X719" s="103">
        <f t="shared" si="7"/>
        <v>1444640.6</v>
      </c>
    </row>
    <row r="720" ht="12.0" customHeight="1">
      <c r="A7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20" s="87" t="str">
        <f>IFERROR(__xludf.DUMMYFUNCTION("IFERROR(IF(F720&lt;&gt;"""",""WHSE ""&amp;LEFT(F720,1),REGEXEXTRACT(E720,""-(?:\d{2}-)?([A-Z]+)"")),"""")
"),"WHSE A")</f>
        <v>WHSE A</v>
      </c>
      <c r="C720" s="117">
        <v>46064.0</v>
      </c>
      <c r="D720" s="118" t="s">
        <v>232</v>
      </c>
      <c r="E720" s="87" t="s">
        <v>682</v>
      </c>
      <c r="F720" s="87" t="s">
        <v>683</v>
      </c>
      <c r="G720" s="119" t="s">
        <v>235</v>
      </c>
      <c r="H720" s="120">
        <v>10755.0</v>
      </c>
      <c r="I720" s="121">
        <v>308.0</v>
      </c>
      <c r="J720" s="122">
        <v>9.74</v>
      </c>
      <c r="K720" s="123">
        <v>2.77</v>
      </c>
      <c r="L720" s="123">
        <v>0.581</v>
      </c>
      <c r="M720" s="123">
        <v>0.601</v>
      </c>
      <c r="N720" s="124">
        <v>13.65</v>
      </c>
      <c r="O720" s="122">
        <v>3.67</v>
      </c>
      <c r="P720" s="124">
        <v>82.68</v>
      </c>
      <c r="Q720" s="109"/>
      <c r="R720" s="103">
        <f t="shared" si="1"/>
        <v>104753.7</v>
      </c>
      <c r="S720" s="103">
        <f t="shared" si="2"/>
        <v>29791.35</v>
      </c>
      <c r="T720" s="103">
        <f t="shared" si="3"/>
        <v>6248.655</v>
      </c>
      <c r="U720" s="103">
        <f t="shared" si="4"/>
        <v>6463.755</v>
      </c>
      <c r="V720" s="103">
        <f t="shared" si="5"/>
        <v>146805.75</v>
      </c>
      <c r="W720" s="103">
        <f t="shared" si="6"/>
        <v>39470.85</v>
      </c>
      <c r="X720" s="103">
        <f t="shared" si="7"/>
        <v>889223.4</v>
      </c>
    </row>
    <row r="721" ht="12.0" customHeight="1">
      <c r="A7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21" s="87" t="str">
        <f>IFERROR(__xludf.DUMMYFUNCTION("IFERROR(IF(F721&lt;&gt;"""",""WHSE ""&amp;LEFT(F721,1),REGEXEXTRACT(E721,""-(?:\d{2}-)?([A-Z]+)"")),"""")
"),"WHSE C")</f>
        <v>WHSE C</v>
      </c>
      <c r="C721" s="117">
        <v>46064.0</v>
      </c>
      <c r="D721" s="118" t="s">
        <v>232</v>
      </c>
      <c r="E721" s="87" t="s">
        <v>692</v>
      </c>
      <c r="F721" s="87" t="s">
        <v>447</v>
      </c>
      <c r="G721" s="119" t="s">
        <v>669</v>
      </c>
      <c r="H721" s="120">
        <v>22930.0</v>
      </c>
      <c r="I721" s="121">
        <v>598.0</v>
      </c>
      <c r="J721" s="122">
        <v>10.4</v>
      </c>
      <c r="K721" s="123">
        <v>3.61</v>
      </c>
      <c r="L721" s="123">
        <v>0.562</v>
      </c>
      <c r="M721" s="123">
        <v>0.582</v>
      </c>
      <c r="N721" s="124">
        <v>11.49</v>
      </c>
      <c r="O721" s="122">
        <v>4.12</v>
      </c>
      <c r="P721" s="124">
        <v>84.39</v>
      </c>
      <c r="Q721" s="109"/>
      <c r="R721" s="103">
        <f t="shared" si="1"/>
        <v>238472</v>
      </c>
      <c r="S721" s="103">
        <f t="shared" si="2"/>
        <v>82777.3</v>
      </c>
      <c r="T721" s="103">
        <f t="shared" si="3"/>
        <v>12886.66</v>
      </c>
      <c r="U721" s="103">
        <f t="shared" si="4"/>
        <v>13345.26</v>
      </c>
      <c r="V721" s="103">
        <f t="shared" si="5"/>
        <v>263465.7</v>
      </c>
      <c r="W721" s="103">
        <f t="shared" si="6"/>
        <v>94471.6</v>
      </c>
      <c r="X721" s="103">
        <f t="shared" si="7"/>
        <v>1935062.7</v>
      </c>
    </row>
    <row r="722" ht="12.0" customHeight="1">
      <c r="A7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22" s="87" t="str">
        <f>IFERROR(__xludf.DUMMYFUNCTION("IFERROR(IF(F722&lt;&gt;"""",""WHSE ""&amp;LEFT(F722,1),REGEXEXTRACT(E722,""-(?:\d{2}-)?([A-Z]+)"")),"""")
"),"WHSE A")</f>
        <v>WHSE A</v>
      </c>
      <c r="C722" s="117">
        <v>46064.0</v>
      </c>
      <c r="D722" s="118" t="s">
        <v>690</v>
      </c>
      <c r="E722" s="87" t="s">
        <v>691</v>
      </c>
      <c r="F722" s="87" t="s">
        <v>582</v>
      </c>
      <c r="G722" s="111"/>
      <c r="H722" s="120">
        <v>6863.0</v>
      </c>
      <c r="I722" s="121">
        <v>14.0</v>
      </c>
      <c r="J722" s="122">
        <v>9.74</v>
      </c>
      <c r="K722" s="123">
        <v>2.725</v>
      </c>
      <c r="L722" s="123">
        <v>0.573</v>
      </c>
      <c r="M722" s="123">
        <v>0.593</v>
      </c>
      <c r="N722" s="124">
        <v>12.12</v>
      </c>
      <c r="O722" s="122">
        <v>3.83</v>
      </c>
      <c r="P722" s="124">
        <v>84.06</v>
      </c>
      <c r="Q722" s="109"/>
      <c r="R722" s="103">
        <f t="shared" si="1"/>
        <v>66845.62</v>
      </c>
      <c r="S722" s="103">
        <f t="shared" si="2"/>
        <v>18701.675</v>
      </c>
      <c r="T722" s="103">
        <f t="shared" si="3"/>
        <v>3932.499</v>
      </c>
      <c r="U722" s="103">
        <f t="shared" si="4"/>
        <v>4069.759</v>
      </c>
      <c r="V722" s="103">
        <f t="shared" si="5"/>
        <v>83179.56</v>
      </c>
      <c r="W722" s="103">
        <f t="shared" si="6"/>
        <v>26285.29</v>
      </c>
      <c r="X722" s="103">
        <f t="shared" si="7"/>
        <v>576903.78</v>
      </c>
    </row>
    <row r="723" ht="12.0" customHeight="1">
      <c r="A7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23" s="87" t="str">
        <f>IFERROR(__xludf.DUMMYFUNCTION("IFERROR(IF(F723&lt;&gt;"""",""WHSE ""&amp;LEFT(F723,1),REGEXEXTRACT(E723,""-(?:\d{2}-)?([A-Z]+)"")),"""")
"),"")</f>
        <v/>
      </c>
      <c r="C723" s="108"/>
      <c r="D723" s="109"/>
      <c r="E723" s="110"/>
      <c r="F723" s="110"/>
      <c r="G723" s="111"/>
      <c r="H723" s="112"/>
      <c r="I723" s="113"/>
      <c r="J723" s="114"/>
      <c r="K723" s="115"/>
      <c r="L723" s="115"/>
      <c r="M723" s="115"/>
      <c r="N723" s="116"/>
      <c r="O723" s="114"/>
      <c r="P723" s="116"/>
      <c r="Q723" s="109"/>
      <c r="R723" s="103">
        <f t="shared" si="1"/>
        <v>0</v>
      </c>
      <c r="S723" s="103">
        <f t="shared" si="2"/>
        <v>0</v>
      </c>
      <c r="T723" s="103">
        <f t="shared" si="3"/>
        <v>0</v>
      </c>
      <c r="U723" s="103">
        <f t="shared" si="4"/>
        <v>0</v>
      </c>
      <c r="V723" s="103">
        <f t="shared" si="5"/>
        <v>0</v>
      </c>
      <c r="W723" s="103">
        <f t="shared" si="6"/>
        <v>0</v>
      </c>
      <c r="X723" s="103">
        <f t="shared" si="7"/>
        <v>0</v>
      </c>
    </row>
    <row r="724" ht="12.0" customHeight="1">
      <c r="A7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24" s="87" t="str">
        <f>IFERROR(__xludf.DUMMYFUNCTION("IFERROR(IF(F724&lt;&gt;"""",""WHSE ""&amp;LEFT(F724,1),REGEXEXTRACT(E724,""-(?:\d{2}-)?([A-Z]+)"")),"""")
"),"WHSE A")</f>
        <v>WHSE A</v>
      </c>
      <c r="C724" s="117">
        <v>46065.0</v>
      </c>
      <c r="D724" s="118" t="s">
        <v>232</v>
      </c>
      <c r="E724" s="87" t="s">
        <v>693</v>
      </c>
      <c r="F724" s="87" t="s">
        <v>694</v>
      </c>
      <c r="G724" s="119" t="s">
        <v>235</v>
      </c>
      <c r="H724" s="120">
        <v>11010.0</v>
      </c>
      <c r="I724" s="121">
        <v>317.0</v>
      </c>
      <c r="J724" s="122">
        <v>10.27</v>
      </c>
      <c r="K724" s="123">
        <v>3.19</v>
      </c>
      <c r="L724" s="123">
        <v>0.581</v>
      </c>
      <c r="M724" s="123">
        <v>0.601</v>
      </c>
      <c r="N724" s="124">
        <v>14.7</v>
      </c>
      <c r="O724" s="122">
        <v>3.9</v>
      </c>
      <c r="P724" s="124">
        <v>81.4</v>
      </c>
      <c r="Q724" s="109"/>
      <c r="R724" s="103">
        <f t="shared" si="1"/>
        <v>113072.7</v>
      </c>
      <c r="S724" s="103">
        <f t="shared" si="2"/>
        <v>35121.9</v>
      </c>
      <c r="T724" s="103">
        <f t="shared" si="3"/>
        <v>6396.81</v>
      </c>
      <c r="U724" s="103">
        <f t="shared" si="4"/>
        <v>6617.01</v>
      </c>
      <c r="V724" s="103">
        <f t="shared" si="5"/>
        <v>161847</v>
      </c>
      <c r="W724" s="103">
        <f t="shared" si="6"/>
        <v>42939</v>
      </c>
      <c r="X724" s="103">
        <f t="shared" si="7"/>
        <v>896214</v>
      </c>
    </row>
    <row r="725" ht="12.0" customHeight="1">
      <c r="A7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25" s="87" t="str">
        <f>IFERROR(__xludf.DUMMYFUNCTION("IFERROR(IF(F725&lt;&gt;"""",""WHSE ""&amp;LEFT(F725,1),REGEXEXTRACT(E725,""-(?:\d{2}-)?([A-Z]+)"")),"""")
"),"WHSE A")</f>
        <v>WHSE A</v>
      </c>
      <c r="C725" s="117">
        <v>46065.0</v>
      </c>
      <c r="D725" s="118" t="s">
        <v>232</v>
      </c>
      <c r="E725" s="87" t="s">
        <v>697</v>
      </c>
      <c r="F725" s="87" t="s">
        <v>698</v>
      </c>
      <c r="G725" s="119" t="s">
        <v>272</v>
      </c>
      <c r="H725" s="120">
        <v>21440.0</v>
      </c>
      <c r="I725" s="121">
        <v>598.0</v>
      </c>
      <c r="J725" s="122">
        <v>9.6</v>
      </c>
      <c r="K725" s="123">
        <v>3.53</v>
      </c>
      <c r="L725" s="123">
        <v>0.556</v>
      </c>
      <c r="M725" s="123">
        <v>0.576</v>
      </c>
      <c r="N725" s="124">
        <v>11.49</v>
      </c>
      <c r="O725" s="122">
        <v>4.28</v>
      </c>
      <c r="P725" s="124">
        <v>84.23</v>
      </c>
      <c r="Q725" s="109"/>
      <c r="R725" s="103">
        <f t="shared" si="1"/>
        <v>205824</v>
      </c>
      <c r="S725" s="103">
        <f t="shared" si="2"/>
        <v>75683.2</v>
      </c>
      <c r="T725" s="103">
        <f t="shared" si="3"/>
        <v>11920.64</v>
      </c>
      <c r="U725" s="103">
        <f t="shared" si="4"/>
        <v>12349.44</v>
      </c>
      <c r="V725" s="103">
        <f t="shared" si="5"/>
        <v>246345.6</v>
      </c>
      <c r="W725" s="103">
        <f t="shared" si="6"/>
        <v>91763.2</v>
      </c>
      <c r="X725" s="103">
        <f t="shared" si="7"/>
        <v>1805891.2</v>
      </c>
    </row>
    <row r="726" ht="12.0" customHeight="1">
      <c r="A7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26" s="87" t="str">
        <f>IFERROR(__xludf.DUMMYFUNCTION("IFERROR(IF(F726&lt;&gt;"""",""WHSE ""&amp;LEFT(F726,1),REGEXEXTRACT(E726,""-(?:\d{2}-)?([A-Z]+)"")),"""")
"),"WHSE A")</f>
        <v>WHSE A</v>
      </c>
      <c r="C726" s="117">
        <v>46065.0</v>
      </c>
      <c r="D726" s="118" t="s">
        <v>232</v>
      </c>
      <c r="E726" s="87" t="s">
        <v>697</v>
      </c>
      <c r="F726" s="87" t="s">
        <v>698</v>
      </c>
      <c r="G726" s="119" t="s">
        <v>668</v>
      </c>
      <c r="H726" s="120">
        <v>10385.0</v>
      </c>
      <c r="I726" s="121">
        <v>220.0</v>
      </c>
      <c r="J726" s="122">
        <v>10.2</v>
      </c>
      <c r="K726" s="123">
        <v>3.14</v>
      </c>
      <c r="L726" s="123">
        <v>0.546</v>
      </c>
      <c r="M726" s="123">
        <v>0.566</v>
      </c>
      <c r="N726" s="124">
        <v>12.46</v>
      </c>
      <c r="O726" s="122">
        <v>4.41</v>
      </c>
      <c r="P726" s="124">
        <v>83.13</v>
      </c>
      <c r="Q726" s="109"/>
      <c r="R726" s="103">
        <f t="shared" si="1"/>
        <v>105927</v>
      </c>
      <c r="S726" s="103">
        <f t="shared" si="2"/>
        <v>32608.9</v>
      </c>
      <c r="T726" s="103">
        <f t="shared" si="3"/>
        <v>5670.21</v>
      </c>
      <c r="U726" s="103">
        <f t="shared" si="4"/>
        <v>5877.91</v>
      </c>
      <c r="V726" s="103">
        <f t="shared" si="5"/>
        <v>129397.1</v>
      </c>
      <c r="W726" s="103">
        <f t="shared" si="6"/>
        <v>45797.85</v>
      </c>
      <c r="X726" s="103">
        <f t="shared" si="7"/>
        <v>863305.05</v>
      </c>
    </row>
    <row r="727" ht="12.0" customHeight="1">
      <c r="A7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27" s="87" t="str">
        <f>IFERROR(__xludf.DUMMYFUNCTION("IFERROR(IF(F727&lt;&gt;"""",""WHSE ""&amp;LEFT(F727,1),REGEXEXTRACT(E727,""-(?:\d{2}-)?([A-Z]+)"")),"""")
"),"WHSE A")</f>
        <v>WHSE A</v>
      </c>
      <c r="C727" s="117">
        <v>46065.0</v>
      </c>
      <c r="D727" s="118" t="s">
        <v>265</v>
      </c>
      <c r="E727" s="87" t="s">
        <v>697</v>
      </c>
      <c r="F727" s="87" t="s">
        <v>698</v>
      </c>
      <c r="G727" s="119" t="s">
        <v>457</v>
      </c>
      <c r="H727" s="120">
        <v>9365.0</v>
      </c>
      <c r="I727" s="121">
        <v>180.0</v>
      </c>
      <c r="J727" s="122">
        <v>10.14</v>
      </c>
      <c r="K727" s="123">
        <v>3.76</v>
      </c>
      <c r="L727" s="123">
        <v>0.562</v>
      </c>
      <c r="M727" s="123">
        <v>0.582</v>
      </c>
      <c r="N727" s="124">
        <v>15.78</v>
      </c>
      <c r="O727" s="122">
        <v>2.59</v>
      </c>
      <c r="P727" s="124">
        <v>81.63</v>
      </c>
      <c r="Q727" s="109"/>
      <c r="R727" s="103">
        <f t="shared" si="1"/>
        <v>94961.1</v>
      </c>
      <c r="S727" s="103">
        <f t="shared" si="2"/>
        <v>35212.4</v>
      </c>
      <c r="T727" s="103">
        <f t="shared" si="3"/>
        <v>5263.13</v>
      </c>
      <c r="U727" s="103">
        <f t="shared" si="4"/>
        <v>5450.43</v>
      </c>
      <c r="V727" s="103">
        <f t="shared" si="5"/>
        <v>147779.7</v>
      </c>
      <c r="W727" s="103">
        <f t="shared" si="6"/>
        <v>24255.35</v>
      </c>
      <c r="X727" s="103">
        <f t="shared" si="7"/>
        <v>764464.95</v>
      </c>
    </row>
    <row r="728" ht="12.0" customHeight="1">
      <c r="A7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28" s="87" t="str">
        <f>IFERROR(__xludf.DUMMYFUNCTION("IFERROR(IF(F728&lt;&gt;"""",""WHSE ""&amp;LEFT(F728,1),REGEXEXTRACT(E728,""-(?:\d{2}-)?([A-Z]+)"")),"""")
"),"FEED")</f>
        <v>FEED</v>
      </c>
      <c r="C728" s="117">
        <v>46065.0</v>
      </c>
      <c r="D728" s="118" t="s">
        <v>286</v>
      </c>
      <c r="E728" s="87" t="s">
        <v>699</v>
      </c>
      <c r="F728" s="110"/>
      <c r="G728" s="119" t="s">
        <v>77</v>
      </c>
      <c r="H728" s="120">
        <v>16380.0</v>
      </c>
      <c r="I728" s="121">
        <v>443.0</v>
      </c>
      <c r="J728" s="122">
        <v>9.87</v>
      </c>
      <c r="K728" s="123">
        <v>3.12</v>
      </c>
      <c r="L728" s="123">
        <v>0.578</v>
      </c>
      <c r="M728" s="123">
        <v>0.598</v>
      </c>
      <c r="N728" s="124">
        <v>13.94</v>
      </c>
      <c r="O728" s="122">
        <v>3.56</v>
      </c>
      <c r="P728" s="124">
        <v>82.5</v>
      </c>
      <c r="Q728" s="109"/>
      <c r="R728" s="103">
        <f t="shared" si="1"/>
        <v>161670.6</v>
      </c>
      <c r="S728" s="103">
        <f t="shared" si="2"/>
        <v>51105.6</v>
      </c>
      <c r="T728" s="103">
        <f t="shared" si="3"/>
        <v>9467.64</v>
      </c>
      <c r="U728" s="103">
        <f t="shared" si="4"/>
        <v>9795.24</v>
      </c>
      <c r="V728" s="103">
        <f t="shared" si="5"/>
        <v>228337.2</v>
      </c>
      <c r="W728" s="103">
        <f t="shared" si="6"/>
        <v>58312.8</v>
      </c>
      <c r="X728" s="103">
        <f t="shared" si="7"/>
        <v>1351350</v>
      </c>
    </row>
    <row r="729" ht="12.0" customHeight="1">
      <c r="A7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29" s="87" t="str">
        <f>IFERROR(__xludf.DUMMYFUNCTION("IFERROR(IF(F729&lt;&gt;"""",""WHSE ""&amp;LEFT(F729,1),REGEXEXTRACT(E729,""-(?:\d{2}-)?([A-Z]+)"")),"""")
"),"WHSE A")</f>
        <v>WHSE A</v>
      </c>
      <c r="C729" s="117">
        <v>46065.0</v>
      </c>
      <c r="D729" s="118" t="s">
        <v>72</v>
      </c>
      <c r="E729" s="87" t="s">
        <v>700</v>
      </c>
      <c r="F729" s="87" t="s">
        <v>701</v>
      </c>
      <c r="G729" s="119" t="s">
        <v>512</v>
      </c>
      <c r="H729" s="120">
        <v>20635.0</v>
      </c>
      <c r="I729" s="121">
        <v>540.0</v>
      </c>
      <c r="J729" s="122">
        <v>11.67</v>
      </c>
      <c r="K729" s="123">
        <v>3.18</v>
      </c>
      <c r="L729" s="123">
        <v>0.575</v>
      </c>
      <c r="M729" s="123">
        <v>0.595</v>
      </c>
      <c r="N729" s="124">
        <v>12.85</v>
      </c>
      <c r="O729" s="122">
        <v>3.41</v>
      </c>
      <c r="P729" s="124">
        <v>83.74</v>
      </c>
      <c r="Q729" s="109"/>
      <c r="R729" s="103">
        <f t="shared" si="1"/>
        <v>240810.45</v>
      </c>
      <c r="S729" s="103">
        <f t="shared" si="2"/>
        <v>65619.3</v>
      </c>
      <c r="T729" s="103">
        <f t="shared" si="3"/>
        <v>11865.125</v>
      </c>
      <c r="U729" s="103">
        <f t="shared" si="4"/>
        <v>12277.825</v>
      </c>
      <c r="V729" s="103">
        <f t="shared" si="5"/>
        <v>265159.75</v>
      </c>
      <c r="W729" s="103">
        <f t="shared" si="6"/>
        <v>70365.35</v>
      </c>
      <c r="X729" s="103">
        <f t="shared" si="7"/>
        <v>1727974.9</v>
      </c>
    </row>
    <row r="730" ht="12.0" customHeight="1">
      <c r="A7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30" s="87" t="str">
        <f>IFERROR(__xludf.DUMMYFUNCTION("IFERROR(IF(F730&lt;&gt;"""",""WHSE ""&amp;LEFT(F730,1),REGEXEXTRACT(E730,""-(?:\d{2}-)?([A-Z]+)"")),"""")
"),"WHSE A")</f>
        <v>WHSE A</v>
      </c>
      <c r="C730" s="117">
        <v>46065.0</v>
      </c>
      <c r="D730" s="118" t="s">
        <v>690</v>
      </c>
      <c r="E730" s="87" t="s">
        <v>691</v>
      </c>
      <c r="F730" s="87" t="s">
        <v>582</v>
      </c>
      <c r="G730" s="111"/>
      <c r="H730" s="120">
        <v>7457.0</v>
      </c>
      <c r="I730" s="121">
        <v>14.0</v>
      </c>
      <c r="J730" s="122">
        <v>9.74</v>
      </c>
      <c r="K730" s="123">
        <v>2.73</v>
      </c>
      <c r="L730" s="123">
        <v>0.573</v>
      </c>
      <c r="M730" s="123">
        <v>0.593</v>
      </c>
      <c r="N730" s="124">
        <v>12.12</v>
      </c>
      <c r="O730" s="122">
        <v>3.83</v>
      </c>
      <c r="P730" s="124">
        <v>84.06</v>
      </c>
      <c r="Q730" s="109"/>
      <c r="R730" s="103">
        <f t="shared" si="1"/>
        <v>72631.18</v>
      </c>
      <c r="S730" s="103">
        <f t="shared" si="2"/>
        <v>20357.61</v>
      </c>
      <c r="T730" s="103">
        <f t="shared" si="3"/>
        <v>4272.861</v>
      </c>
      <c r="U730" s="103">
        <f t="shared" si="4"/>
        <v>4422.001</v>
      </c>
      <c r="V730" s="103">
        <f t="shared" si="5"/>
        <v>90378.84</v>
      </c>
      <c r="W730" s="103">
        <f t="shared" si="6"/>
        <v>28560.31</v>
      </c>
      <c r="X730" s="103">
        <f t="shared" si="7"/>
        <v>626835.42</v>
      </c>
    </row>
    <row r="731" ht="12.0" customHeight="1">
      <c r="A7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31" s="87" t="str">
        <f>IFERROR(__xludf.DUMMYFUNCTION("IFERROR(IF(F731&lt;&gt;"""",""WHSE ""&amp;LEFT(F731,1),REGEXEXTRACT(E731,""-(?:\d{2}-)?([A-Z]+)"")),"""")
"),"")</f>
        <v/>
      </c>
      <c r="C731" s="108"/>
      <c r="D731" s="109"/>
      <c r="E731" s="110"/>
      <c r="F731" s="110"/>
      <c r="G731" s="111"/>
      <c r="H731" s="112"/>
      <c r="I731" s="113"/>
      <c r="J731" s="114"/>
      <c r="K731" s="115"/>
      <c r="L731" s="115"/>
      <c r="M731" s="115"/>
      <c r="N731" s="116"/>
      <c r="O731" s="114"/>
      <c r="P731" s="116"/>
      <c r="Q731" s="109"/>
      <c r="R731" s="103">
        <f t="shared" si="1"/>
        <v>0</v>
      </c>
      <c r="S731" s="103">
        <f t="shared" si="2"/>
        <v>0</v>
      </c>
      <c r="T731" s="103">
        <f t="shared" si="3"/>
        <v>0</v>
      </c>
      <c r="U731" s="103">
        <f t="shared" si="4"/>
        <v>0</v>
      </c>
      <c r="V731" s="103">
        <f t="shared" si="5"/>
        <v>0</v>
      </c>
      <c r="W731" s="103">
        <f t="shared" si="6"/>
        <v>0</v>
      </c>
      <c r="X731" s="103">
        <f t="shared" si="7"/>
        <v>0</v>
      </c>
    </row>
    <row r="732" ht="12.0" customHeight="1">
      <c r="A7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32" s="87" t="str">
        <f>IFERROR(__xludf.DUMMYFUNCTION("IFERROR(IF(F732&lt;&gt;"""",""WHSE ""&amp;LEFT(F732,1),REGEXEXTRACT(E732,""-(?:\d{2}-)?([A-Z]+)"")),"""")
"),"FEED")</f>
        <v>FEED</v>
      </c>
      <c r="C732" s="117">
        <v>46066.0</v>
      </c>
      <c r="D732" s="118" t="s">
        <v>72</v>
      </c>
      <c r="E732" s="87" t="s">
        <v>702</v>
      </c>
      <c r="F732" s="110"/>
      <c r="G732" s="119" t="s">
        <v>77</v>
      </c>
      <c r="H732" s="120">
        <v>17265.0</v>
      </c>
      <c r="I732" s="121">
        <v>467.0</v>
      </c>
      <c r="J732" s="122">
        <v>10.94</v>
      </c>
      <c r="K732" s="123">
        <v>2.73</v>
      </c>
      <c r="L732" s="123">
        <v>0.578</v>
      </c>
      <c r="M732" s="123">
        <v>0.598</v>
      </c>
      <c r="N732" s="124">
        <v>14.65</v>
      </c>
      <c r="O732" s="122">
        <v>2.38</v>
      </c>
      <c r="P732" s="124">
        <v>82.97</v>
      </c>
      <c r="Q732" s="109"/>
      <c r="R732" s="103">
        <f t="shared" si="1"/>
        <v>188879.1</v>
      </c>
      <c r="S732" s="103">
        <f t="shared" si="2"/>
        <v>47133.45</v>
      </c>
      <c r="T732" s="103">
        <f t="shared" si="3"/>
        <v>9979.17</v>
      </c>
      <c r="U732" s="103">
        <f t="shared" si="4"/>
        <v>10324.47</v>
      </c>
      <c r="V732" s="103">
        <f t="shared" si="5"/>
        <v>252932.25</v>
      </c>
      <c r="W732" s="103">
        <f t="shared" si="6"/>
        <v>41090.7</v>
      </c>
      <c r="X732" s="103">
        <f t="shared" si="7"/>
        <v>1432477.05</v>
      </c>
    </row>
    <row r="733" ht="12.0" customHeight="1">
      <c r="A7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33" s="87" t="str">
        <f>IFERROR(__xludf.DUMMYFUNCTION("IFERROR(IF(F733&lt;&gt;"""",""WHSE ""&amp;LEFT(F733,1),REGEXEXTRACT(E733,""-(?:\d{2}-)?([A-Z]+)"")),"""")
"),"WHSE A")</f>
        <v>WHSE A</v>
      </c>
      <c r="C733" s="117">
        <v>46066.0</v>
      </c>
      <c r="D733" s="118" t="s">
        <v>72</v>
      </c>
      <c r="E733" s="87" t="s">
        <v>700</v>
      </c>
      <c r="F733" s="87" t="s">
        <v>701</v>
      </c>
      <c r="G733" s="119" t="s">
        <v>512</v>
      </c>
      <c r="H733" s="120">
        <v>21180.0</v>
      </c>
      <c r="I733" s="121">
        <v>562.0</v>
      </c>
      <c r="J733" s="122">
        <v>11.54</v>
      </c>
      <c r="K733" s="123">
        <v>2.55</v>
      </c>
      <c r="L733" s="123">
        <v>0.575</v>
      </c>
      <c r="M733" s="123">
        <v>0.595</v>
      </c>
      <c r="N733" s="124">
        <v>12.28</v>
      </c>
      <c r="O733" s="122">
        <v>3.49</v>
      </c>
      <c r="P733" s="124">
        <v>84.23</v>
      </c>
      <c r="Q733" s="109"/>
      <c r="R733" s="103">
        <f t="shared" si="1"/>
        <v>244417.2</v>
      </c>
      <c r="S733" s="103">
        <f t="shared" si="2"/>
        <v>54009</v>
      </c>
      <c r="T733" s="103">
        <f t="shared" si="3"/>
        <v>12178.5</v>
      </c>
      <c r="U733" s="103">
        <f t="shared" si="4"/>
        <v>12602.1</v>
      </c>
      <c r="V733" s="103">
        <f t="shared" si="5"/>
        <v>260090.4</v>
      </c>
      <c r="W733" s="103">
        <f t="shared" si="6"/>
        <v>73918.2</v>
      </c>
      <c r="X733" s="103">
        <f t="shared" si="7"/>
        <v>1783991.4</v>
      </c>
    </row>
    <row r="734" ht="12.0" customHeight="1">
      <c r="A7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34" s="87" t="str">
        <f>IFERROR(__xludf.DUMMYFUNCTION("IFERROR(IF(F734&lt;&gt;"""",""WHSE ""&amp;LEFT(F734,1),REGEXEXTRACT(E734,""-(?:\d{2}-)?([A-Z]+)"")),"""")
"),"WHSE C")</f>
        <v>WHSE C</v>
      </c>
      <c r="C734" s="117">
        <v>46066.0</v>
      </c>
      <c r="D734" s="118" t="s">
        <v>232</v>
      </c>
      <c r="E734" s="87" t="s">
        <v>692</v>
      </c>
      <c r="F734" s="87" t="s">
        <v>447</v>
      </c>
      <c r="G734" s="119" t="s">
        <v>272</v>
      </c>
      <c r="H734" s="120">
        <v>20460.0</v>
      </c>
      <c r="I734" s="121">
        <v>575.0</v>
      </c>
      <c r="J734" s="122">
        <v>10.74</v>
      </c>
      <c r="K734" s="123">
        <v>3.47</v>
      </c>
      <c r="L734" s="123">
        <v>0.556</v>
      </c>
      <c r="M734" s="123">
        <v>0.576</v>
      </c>
      <c r="N734" s="124">
        <v>12.33</v>
      </c>
      <c r="O734" s="122">
        <v>4.19</v>
      </c>
      <c r="P734" s="124">
        <v>83.48</v>
      </c>
      <c r="Q734" s="109"/>
      <c r="R734" s="103">
        <f t="shared" si="1"/>
        <v>219740.4</v>
      </c>
      <c r="S734" s="103">
        <f t="shared" si="2"/>
        <v>70996.2</v>
      </c>
      <c r="T734" s="103">
        <f t="shared" si="3"/>
        <v>11375.76</v>
      </c>
      <c r="U734" s="103">
        <f t="shared" si="4"/>
        <v>11784.96</v>
      </c>
      <c r="V734" s="103">
        <f t="shared" si="5"/>
        <v>252271.8</v>
      </c>
      <c r="W734" s="103">
        <f t="shared" si="6"/>
        <v>85727.4</v>
      </c>
      <c r="X734" s="103">
        <f t="shared" si="7"/>
        <v>1708000.8</v>
      </c>
    </row>
    <row r="735" ht="12.0" customHeight="1">
      <c r="A7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35" s="87" t="str">
        <f>IFERROR(__xludf.DUMMYFUNCTION("IFERROR(IF(F735&lt;&gt;"""",""WHSE ""&amp;LEFT(F735,1),REGEXEXTRACT(E735,""-(?:\d{2}-)?([A-Z]+)"")),"""")
"),"WHSE A")</f>
        <v>WHSE A</v>
      </c>
      <c r="C735" s="117">
        <v>46066.0</v>
      </c>
      <c r="D735" s="118" t="s">
        <v>232</v>
      </c>
      <c r="E735" s="87" t="s">
        <v>693</v>
      </c>
      <c r="F735" s="87" t="s">
        <v>694</v>
      </c>
      <c r="G735" s="119" t="s">
        <v>235</v>
      </c>
      <c r="H735" s="120">
        <v>10010.0</v>
      </c>
      <c r="I735" s="121">
        <v>330.0</v>
      </c>
      <c r="J735" s="122">
        <v>9.47</v>
      </c>
      <c r="K735" s="123">
        <v>3.32</v>
      </c>
      <c r="L735" s="123">
        <v>0.578</v>
      </c>
      <c r="M735" s="123">
        <v>0.598</v>
      </c>
      <c r="N735" s="124">
        <v>13.2</v>
      </c>
      <c r="O735" s="122">
        <v>3.68</v>
      </c>
      <c r="P735" s="124">
        <v>83.12</v>
      </c>
      <c r="Q735" s="109"/>
      <c r="R735" s="103">
        <f t="shared" si="1"/>
        <v>94794.7</v>
      </c>
      <c r="S735" s="103">
        <f t="shared" si="2"/>
        <v>33233.2</v>
      </c>
      <c r="T735" s="103">
        <f t="shared" si="3"/>
        <v>5785.78</v>
      </c>
      <c r="U735" s="103">
        <f t="shared" si="4"/>
        <v>5985.98</v>
      </c>
      <c r="V735" s="103">
        <f t="shared" si="5"/>
        <v>132132</v>
      </c>
      <c r="W735" s="103">
        <f t="shared" si="6"/>
        <v>36836.8</v>
      </c>
      <c r="X735" s="103">
        <f t="shared" si="7"/>
        <v>832031.2</v>
      </c>
    </row>
    <row r="736" ht="12.0" customHeight="1">
      <c r="A7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36" s="87" t="str">
        <f>IFERROR(__xludf.DUMMYFUNCTION("IFERROR(IF(F736&lt;&gt;"""",""WHSE ""&amp;LEFT(F736,1),REGEXEXTRACT(E736,""-(?:\d{2}-)?([A-Z]+)"")),"""")
"),"")</f>
        <v/>
      </c>
      <c r="C736" s="108"/>
      <c r="D736" s="109"/>
      <c r="E736" s="110"/>
      <c r="F736" s="110"/>
      <c r="G736" s="111"/>
      <c r="H736" s="112"/>
      <c r="I736" s="113"/>
      <c r="J736" s="114"/>
      <c r="K736" s="115"/>
      <c r="L736" s="115"/>
      <c r="M736" s="115"/>
      <c r="N736" s="116"/>
      <c r="O736" s="114"/>
      <c r="P736" s="116"/>
      <c r="Q736" s="109"/>
      <c r="R736" s="103">
        <f t="shared" si="1"/>
        <v>0</v>
      </c>
      <c r="S736" s="103">
        <f t="shared" si="2"/>
        <v>0</v>
      </c>
      <c r="T736" s="103">
        <f t="shared" si="3"/>
        <v>0</v>
      </c>
      <c r="U736" s="103">
        <f t="shared" si="4"/>
        <v>0</v>
      </c>
      <c r="V736" s="103">
        <f t="shared" si="5"/>
        <v>0</v>
      </c>
      <c r="W736" s="103">
        <f t="shared" si="6"/>
        <v>0</v>
      </c>
      <c r="X736" s="103">
        <f t="shared" si="7"/>
        <v>0</v>
      </c>
    </row>
    <row r="737" ht="12.0" customHeight="1">
      <c r="A7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37" s="87" t="str">
        <f>IFERROR(__xludf.DUMMYFUNCTION("IFERROR(IF(F737&lt;&gt;"""",""WHSE ""&amp;LEFT(F737,1),REGEXEXTRACT(E737,""-(?:\d{2}-)?([A-Z]+)"")),"""")
"),"WHSE A")</f>
        <v>WHSE A</v>
      </c>
      <c r="C737" s="117">
        <v>46067.0</v>
      </c>
      <c r="D737" s="118" t="s">
        <v>232</v>
      </c>
      <c r="E737" s="87" t="s">
        <v>697</v>
      </c>
      <c r="F737" s="87" t="s">
        <v>698</v>
      </c>
      <c r="G737" s="119" t="s">
        <v>668</v>
      </c>
      <c r="H737" s="120">
        <v>12515.0</v>
      </c>
      <c r="I737" s="121">
        <v>310.0</v>
      </c>
      <c r="J737" s="122">
        <v>10.94</v>
      </c>
      <c r="K737" s="123">
        <v>3.11</v>
      </c>
      <c r="L737" s="123">
        <v>0.565</v>
      </c>
      <c r="M737" s="123">
        <v>0.585</v>
      </c>
      <c r="N737" s="124">
        <v>13.85</v>
      </c>
      <c r="O737" s="122">
        <v>3.68</v>
      </c>
      <c r="P737" s="124">
        <v>82.47</v>
      </c>
      <c r="Q737" s="109"/>
      <c r="R737" s="103">
        <f t="shared" si="1"/>
        <v>136914.1</v>
      </c>
      <c r="S737" s="103">
        <f t="shared" si="2"/>
        <v>38921.65</v>
      </c>
      <c r="T737" s="103">
        <f t="shared" si="3"/>
        <v>7070.975</v>
      </c>
      <c r="U737" s="103">
        <f t="shared" si="4"/>
        <v>7321.275</v>
      </c>
      <c r="V737" s="103">
        <f t="shared" si="5"/>
        <v>173332.75</v>
      </c>
      <c r="W737" s="103">
        <f t="shared" si="6"/>
        <v>46055.2</v>
      </c>
      <c r="X737" s="103">
        <f t="shared" si="7"/>
        <v>1032112.05</v>
      </c>
    </row>
    <row r="738" ht="12.0" customHeight="1">
      <c r="A7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38" s="87" t="str">
        <f>IFERROR(__xludf.DUMMYFUNCTION("IFERROR(IF(F738&lt;&gt;"""",""WHSE ""&amp;LEFT(F738,1),REGEXEXTRACT(E738,""-(?:\d{2}-)?([A-Z]+)"")),"""")
"),"WHSE C")</f>
        <v>WHSE C</v>
      </c>
      <c r="C738" s="117">
        <v>46067.0</v>
      </c>
      <c r="D738" s="118" t="s">
        <v>232</v>
      </c>
      <c r="E738" s="87" t="s">
        <v>703</v>
      </c>
      <c r="F738" s="87" t="s">
        <v>531</v>
      </c>
      <c r="G738" s="119" t="s">
        <v>255</v>
      </c>
      <c r="H738" s="120">
        <v>19538.0</v>
      </c>
      <c r="I738" s="121">
        <v>435.0</v>
      </c>
      <c r="J738" s="122">
        <v>12.87</v>
      </c>
      <c r="K738" s="123">
        <v>3.23</v>
      </c>
      <c r="L738" s="123">
        <v>0.559</v>
      </c>
      <c r="M738" s="123">
        <v>0.579</v>
      </c>
      <c r="N738" s="124">
        <v>13.24</v>
      </c>
      <c r="O738" s="122">
        <v>2.74</v>
      </c>
      <c r="P738" s="124">
        <v>84.02</v>
      </c>
      <c r="Q738" s="118" t="s">
        <v>704</v>
      </c>
      <c r="R738" s="86">
        <f t="shared" si="1"/>
        <v>251454.06</v>
      </c>
      <c r="S738" s="86">
        <f t="shared" si="2"/>
        <v>63107.74</v>
      </c>
      <c r="T738" s="86">
        <f t="shared" si="3"/>
        <v>10921.742</v>
      </c>
      <c r="U738" s="86">
        <f t="shared" si="4"/>
        <v>11312.502</v>
      </c>
      <c r="V738" s="86">
        <f t="shared" si="5"/>
        <v>258683.12</v>
      </c>
      <c r="W738" s="86">
        <f t="shared" si="6"/>
        <v>53534.12</v>
      </c>
      <c r="X738" s="86">
        <f t="shared" si="7"/>
        <v>1641582.76</v>
      </c>
    </row>
    <row r="739" ht="12.0" customHeight="1">
      <c r="A7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39" s="87" t="str">
        <f>IFERROR(__xludf.DUMMYFUNCTION("IFERROR(IF(F739&lt;&gt;"""",""WHSE ""&amp;LEFT(F739,1),REGEXEXTRACT(E739,""-(?:\d{2}-)?([A-Z]+)"")),"""")
"),"WHSE C")</f>
        <v>WHSE C</v>
      </c>
      <c r="C739" s="117">
        <v>46067.0</v>
      </c>
      <c r="D739" s="118" t="s">
        <v>232</v>
      </c>
      <c r="E739" s="87" t="s">
        <v>703</v>
      </c>
      <c r="F739" s="87" t="s">
        <v>531</v>
      </c>
      <c r="G739" s="119" t="s">
        <v>402</v>
      </c>
      <c r="H739" s="120">
        <v>2805.0</v>
      </c>
      <c r="I739" s="121">
        <v>102.0</v>
      </c>
      <c r="J739" s="122">
        <v>8.94</v>
      </c>
      <c r="K739" s="123">
        <v>3.26</v>
      </c>
      <c r="L739" s="123">
        <v>0.562</v>
      </c>
      <c r="M739" s="123">
        <v>0.582</v>
      </c>
      <c r="N739" s="124">
        <v>10.7</v>
      </c>
      <c r="O739" s="122">
        <v>3.94</v>
      </c>
      <c r="P739" s="124">
        <v>85.36</v>
      </c>
      <c r="Q739" s="109"/>
      <c r="R739" s="103">
        <f t="shared" si="1"/>
        <v>25076.7</v>
      </c>
      <c r="S739" s="103">
        <f t="shared" si="2"/>
        <v>9144.3</v>
      </c>
      <c r="T739" s="103">
        <f t="shared" si="3"/>
        <v>1576.41</v>
      </c>
      <c r="U739" s="103">
        <f t="shared" si="4"/>
        <v>1632.51</v>
      </c>
      <c r="V739" s="103">
        <f t="shared" si="5"/>
        <v>30013.5</v>
      </c>
      <c r="W739" s="103">
        <f t="shared" si="6"/>
        <v>11051.7</v>
      </c>
      <c r="X739" s="103">
        <f t="shared" si="7"/>
        <v>239434.8</v>
      </c>
    </row>
    <row r="740" ht="12.0" customHeight="1">
      <c r="A7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40" s="87" t="str">
        <f>IFERROR(__xludf.DUMMYFUNCTION("IFERROR(IF(F740&lt;&gt;"""",""WHSE ""&amp;LEFT(F740,1),REGEXEXTRACT(E740,""-(?:\d{2}-)?([A-Z]+)"")),"""")
"),"RECOOKED")</f>
        <v>RECOOKED</v>
      </c>
      <c r="C740" s="117">
        <v>46067.0</v>
      </c>
      <c r="D740" s="118" t="s">
        <v>705</v>
      </c>
      <c r="E740" s="126" t="s">
        <v>706</v>
      </c>
      <c r="F740" s="110"/>
      <c r="G740" s="119" t="s">
        <v>707</v>
      </c>
      <c r="H740" s="120">
        <v>1650.0</v>
      </c>
      <c r="I740" s="121">
        <v>55.0</v>
      </c>
      <c r="J740" s="122">
        <v>9.48</v>
      </c>
      <c r="K740" s="123">
        <v>2.11</v>
      </c>
      <c r="L740" s="123">
        <v>0.57</v>
      </c>
      <c r="M740" s="123">
        <v>0.59</v>
      </c>
      <c r="N740" s="124">
        <v>14.21</v>
      </c>
      <c r="O740" s="122">
        <v>2.36</v>
      </c>
      <c r="P740" s="124">
        <v>83.43</v>
      </c>
      <c r="Q740" s="109"/>
      <c r="R740" s="103">
        <f t="shared" si="1"/>
        <v>15642</v>
      </c>
      <c r="S740" s="103">
        <f t="shared" si="2"/>
        <v>3481.5</v>
      </c>
      <c r="T740" s="103">
        <f t="shared" si="3"/>
        <v>940.5</v>
      </c>
      <c r="U740" s="103">
        <f t="shared" si="4"/>
        <v>973.5</v>
      </c>
      <c r="V740" s="103">
        <f t="shared" si="5"/>
        <v>23446.5</v>
      </c>
      <c r="W740" s="103">
        <f t="shared" si="6"/>
        <v>3894</v>
      </c>
      <c r="X740" s="103">
        <f t="shared" si="7"/>
        <v>137659.5</v>
      </c>
    </row>
    <row r="741" ht="12.0" customHeight="1">
      <c r="A7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41" s="87" t="str">
        <f>IFERROR(__xludf.DUMMYFUNCTION("IFERROR(IF(F741&lt;&gt;"""",""WHSE ""&amp;LEFT(F741,1),REGEXEXTRACT(E741,""-(?:\d{2}-)?([A-Z]+)"")),"""")
"),"")</f>
        <v/>
      </c>
      <c r="C741" s="108"/>
      <c r="D741" s="109"/>
      <c r="E741" s="110"/>
      <c r="F741" s="110"/>
      <c r="G741" s="111"/>
      <c r="H741" s="112"/>
      <c r="I741" s="113"/>
      <c r="J741" s="114"/>
      <c r="K741" s="115"/>
      <c r="L741" s="115"/>
      <c r="M741" s="115"/>
      <c r="N741" s="116"/>
      <c r="O741" s="114"/>
      <c r="P741" s="116"/>
      <c r="Q741" s="109"/>
      <c r="R741" s="103">
        <f t="shared" si="1"/>
        <v>0</v>
      </c>
      <c r="S741" s="103">
        <f t="shared" si="2"/>
        <v>0</v>
      </c>
      <c r="T741" s="103">
        <f t="shared" si="3"/>
        <v>0</v>
      </c>
      <c r="U741" s="103">
        <f t="shared" si="4"/>
        <v>0</v>
      </c>
      <c r="V741" s="103">
        <f t="shared" si="5"/>
        <v>0</v>
      </c>
      <c r="W741" s="103">
        <f t="shared" si="6"/>
        <v>0</v>
      </c>
      <c r="X741" s="103">
        <f t="shared" si="7"/>
        <v>0</v>
      </c>
    </row>
    <row r="742" ht="12.0" customHeight="1">
      <c r="A7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42" s="87" t="str">
        <f>IFERROR(__xludf.DUMMYFUNCTION("IFERROR(IF(F742&lt;&gt;"""",""WHSE ""&amp;LEFT(F742,1),REGEXEXTRACT(E742,""-(?:\d{2}-)?([A-Z]+)"")),"""")
"),"WHSE A")</f>
        <v>WHSE A</v>
      </c>
      <c r="C742" s="117">
        <v>46068.0</v>
      </c>
      <c r="D742" s="118" t="s">
        <v>72</v>
      </c>
      <c r="E742" s="87" t="s">
        <v>687</v>
      </c>
      <c r="F742" s="87" t="s">
        <v>688</v>
      </c>
      <c r="G742" s="119" t="s">
        <v>77</v>
      </c>
      <c r="H742" s="120">
        <v>18300.0</v>
      </c>
      <c r="I742" s="121">
        <v>440.0</v>
      </c>
      <c r="J742" s="122">
        <v>11.14</v>
      </c>
      <c r="K742" s="123">
        <v>2.43</v>
      </c>
      <c r="L742" s="123">
        <v>0.578</v>
      </c>
      <c r="M742" s="123">
        <v>0.598</v>
      </c>
      <c r="N742" s="124">
        <v>12.66</v>
      </c>
      <c r="O742" s="122">
        <v>3.18</v>
      </c>
      <c r="P742" s="124">
        <v>84.16</v>
      </c>
      <c r="Q742" s="109"/>
      <c r="R742" s="103">
        <f t="shared" si="1"/>
        <v>203862</v>
      </c>
      <c r="S742" s="103">
        <f t="shared" si="2"/>
        <v>44469</v>
      </c>
      <c r="T742" s="103">
        <f t="shared" si="3"/>
        <v>10577.4</v>
      </c>
      <c r="U742" s="103">
        <f t="shared" si="4"/>
        <v>10943.4</v>
      </c>
      <c r="V742" s="103">
        <f t="shared" si="5"/>
        <v>231678</v>
      </c>
      <c r="W742" s="103">
        <f t="shared" si="6"/>
        <v>58194</v>
      </c>
      <c r="X742" s="103">
        <f t="shared" si="7"/>
        <v>1540128</v>
      </c>
    </row>
    <row r="743" ht="12.0" customHeight="1">
      <c r="A7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43" s="87" t="str">
        <f>IFERROR(__xludf.DUMMYFUNCTION("IFERROR(IF(F743&lt;&gt;"""",""WHSE ""&amp;LEFT(F743,1),REGEXEXTRACT(E743,""-(?:\d{2}-)?([A-Z]+)"")),"""")
"),"WHSE C")</f>
        <v>WHSE C</v>
      </c>
      <c r="C743" s="117">
        <v>46068.0</v>
      </c>
      <c r="D743" s="118" t="s">
        <v>232</v>
      </c>
      <c r="E743" s="87" t="s">
        <v>703</v>
      </c>
      <c r="F743" s="87" t="s">
        <v>531</v>
      </c>
      <c r="G743" s="119" t="s">
        <v>235</v>
      </c>
      <c r="H743" s="120">
        <v>11910.0</v>
      </c>
      <c r="I743" s="121">
        <v>327.0</v>
      </c>
      <c r="J743" s="122">
        <v>10.14</v>
      </c>
      <c r="K743" s="123">
        <v>3.74</v>
      </c>
      <c r="L743" s="123">
        <v>0.546</v>
      </c>
      <c r="M743" s="123">
        <v>0.566</v>
      </c>
      <c r="N743" s="124">
        <v>10.61</v>
      </c>
      <c r="O743" s="122">
        <v>4.38</v>
      </c>
      <c r="P743" s="124">
        <v>85.01</v>
      </c>
      <c r="Q743" s="109"/>
      <c r="R743" s="103">
        <f t="shared" si="1"/>
        <v>120767.4</v>
      </c>
      <c r="S743" s="103">
        <f t="shared" si="2"/>
        <v>44543.4</v>
      </c>
      <c r="T743" s="103">
        <f t="shared" si="3"/>
        <v>6502.86</v>
      </c>
      <c r="U743" s="103">
        <f t="shared" si="4"/>
        <v>6741.06</v>
      </c>
      <c r="V743" s="103">
        <f t="shared" si="5"/>
        <v>126365.1</v>
      </c>
      <c r="W743" s="103">
        <f t="shared" si="6"/>
        <v>52165.8</v>
      </c>
      <c r="X743" s="103">
        <f t="shared" si="7"/>
        <v>1012469.1</v>
      </c>
    </row>
    <row r="744" ht="12.0" customHeight="1">
      <c r="A7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44" s="87" t="str">
        <f>IFERROR(__xludf.DUMMYFUNCTION("IFERROR(IF(F744&lt;&gt;"""",""WHSE ""&amp;LEFT(F744,1),REGEXEXTRACT(E744,""-(?:\d{2}-)?([A-Z]+)"")),"""")
"),"")</f>
        <v/>
      </c>
      <c r="C744" s="108"/>
      <c r="D744" s="109"/>
      <c r="E744" s="110"/>
      <c r="F744" s="110"/>
      <c r="G744" s="111"/>
      <c r="H744" s="112"/>
      <c r="I744" s="113"/>
      <c r="J744" s="114"/>
      <c r="K744" s="115"/>
      <c r="L744" s="115"/>
      <c r="M744" s="115"/>
      <c r="N744" s="116"/>
      <c r="O744" s="114"/>
      <c r="P744" s="116"/>
      <c r="Q744" s="109"/>
      <c r="R744" s="103">
        <f t="shared" si="1"/>
        <v>0</v>
      </c>
      <c r="S744" s="103">
        <f t="shared" si="2"/>
        <v>0</v>
      </c>
      <c r="T744" s="103">
        <f t="shared" si="3"/>
        <v>0</v>
      </c>
      <c r="U744" s="103">
        <f t="shared" si="4"/>
        <v>0</v>
      </c>
      <c r="V744" s="103">
        <f t="shared" si="5"/>
        <v>0</v>
      </c>
      <c r="W744" s="103">
        <f t="shared" si="6"/>
        <v>0</v>
      </c>
      <c r="X744" s="103">
        <f t="shared" si="7"/>
        <v>0</v>
      </c>
    </row>
    <row r="745" ht="12.0" customHeight="1">
      <c r="A7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45" s="87" t="str">
        <f>IFERROR(__xludf.DUMMYFUNCTION("IFERROR(IF(F745&lt;&gt;"""",""WHSE ""&amp;LEFT(F745,1),REGEXEXTRACT(E745,""-(?:\d{2}-)?([A-Z]+)"")),"""")
"),"WHSE C")</f>
        <v>WHSE C</v>
      </c>
      <c r="C745" s="117">
        <v>46069.0</v>
      </c>
      <c r="D745" s="118" t="s">
        <v>232</v>
      </c>
      <c r="E745" s="87" t="s">
        <v>703</v>
      </c>
      <c r="F745" s="87" t="s">
        <v>531</v>
      </c>
      <c r="G745" s="119" t="s">
        <v>235</v>
      </c>
      <c r="H745" s="120">
        <v>12225.0</v>
      </c>
      <c r="I745" s="121">
        <v>325.0</v>
      </c>
      <c r="J745" s="122">
        <v>10.14</v>
      </c>
      <c r="K745" s="123">
        <v>3.66</v>
      </c>
      <c r="L745" s="123">
        <v>0.552</v>
      </c>
      <c r="M745" s="123">
        <v>0.572</v>
      </c>
      <c r="N745" s="124">
        <v>11.28</v>
      </c>
      <c r="O745" s="122">
        <v>4.26</v>
      </c>
      <c r="P745" s="124">
        <v>84.46</v>
      </c>
      <c r="Q745" s="109"/>
      <c r="R745" s="103">
        <f t="shared" si="1"/>
        <v>123961.5</v>
      </c>
      <c r="S745" s="103">
        <f t="shared" si="2"/>
        <v>44743.5</v>
      </c>
      <c r="T745" s="103">
        <f t="shared" si="3"/>
        <v>6748.2</v>
      </c>
      <c r="U745" s="103">
        <f t="shared" si="4"/>
        <v>6992.7</v>
      </c>
      <c r="V745" s="103">
        <f t="shared" si="5"/>
        <v>137898</v>
      </c>
      <c r="W745" s="103">
        <f t="shared" si="6"/>
        <v>52078.5</v>
      </c>
      <c r="X745" s="103">
        <f t="shared" si="7"/>
        <v>1032523.5</v>
      </c>
    </row>
    <row r="746" ht="12.0" customHeight="1">
      <c r="A7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46" s="87" t="str">
        <f>IFERROR(__xludf.DUMMYFUNCTION("IFERROR(IF(F746&lt;&gt;"""",""WHSE ""&amp;LEFT(F746,1),REGEXEXTRACT(E746,""-(?:\d{2}-)?([A-Z]+)"")),"""")
"),"WHSE D")</f>
        <v>WHSE D</v>
      </c>
      <c r="C746" s="117">
        <v>46069.0</v>
      </c>
      <c r="D746" s="118" t="s">
        <v>708</v>
      </c>
      <c r="E746" s="87" t="s">
        <v>603</v>
      </c>
      <c r="F746" s="87" t="s">
        <v>281</v>
      </c>
      <c r="G746" s="119" t="s">
        <v>491</v>
      </c>
      <c r="H746" s="120">
        <v>5275.0</v>
      </c>
      <c r="I746" s="121">
        <v>142.0</v>
      </c>
      <c r="J746" s="122">
        <v>11.74</v>
      </c>
      <c r="K746" s="123">
        <v>2.16</v>
      </c>
      <c r="L746" s="123">
        <v>0.581</v>
      </c>
      <c r="M746" s="123">
        <v>0.601</v>
      </c>
      <c r="N746" s="124">
        <v>14.95</v>
      </c>
      <c r="O746" s="122">
        <v>2.45</v>
      </c>
      <c r="P746" s="124">
        <v>82.6</v>
      </c>
      <c r="Q746" s="118" t="s">
        <v>709</v>
      </c>
      <c r="R746" s="86">
        <f t="shared" si="1"/>
        <v>61928.5</v>
      </c>
      <c r="S746" s="86">
        <f t="shared" si="2"/>
        <v>11394</v>
      </c>
      <c r="T746" s="86">
        <f t="shared" si="3"/>
        <v>3064.775</v>
      </c>
      <c r="U746" s="86">
        <f t="shared" si="4"/>
        <v>3170.275</v>
      </c>
      <c r="V746" s="86">
        <f t="shared" si="5"/>
        <v>78861.25</v>
      </c>
      <c r="W746" s="86">
        <f t="shared" si="6"/>
        <v>12923.75</v>
      </c>
      <c r="X746" s="86">
        <f t="shared" si="7"/>
        <v>435715</v>
      </c>
    </row>
    <row r="747" ht="12.0" customHeight="1">
      <c r="A7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47" s="87" t="str">
        <f>IFERROR(__xludf.DUMMYFUNCTION("IFERROR(IF(F747&lt;&gt;"""",""WHSE ""&amp;LEFT(F747,1),REGEXEXTRACT(E747,""-(?:\d{2}-)?([A-Z]+)"")),"""")
"),"")</f>
        <v/>
      </c>
      <c r="C747" s="108"/>
      <c r="D747" s="109"/>
      <c r="E747" s="110"/>
      <c r="F747" s="110"/>
      <c r="G747" s="111"/>
      <c r="H747" s="112"/>
      <c r="I747" s="113"/>
      <c r="J747" s="114"/>
      <c r="K747" s="115"/>
      <c r="L747" s="115"/>
      <c r="M747" s="115"/>
      <c r="N747" s="116"/>
      <c r="O747" s="114"/>
      <c r="P747" s="116"/>
      <c r="Q747" s="109"/>
      <c r="R747" s="103">
        <f t="shared" si="1"/>
        <v>0</v>
      </c>
      <c r="S747" s="103">
        <f t="shared" si="2"/>
        <v>0</v>
      </c>
      <c r="T747" s="103">
        <f t="shared" si="3"/>
        <v>0</v>
      </c>
      <c r="U747" s="103">
        <f t="shared" si="4"/>
        <v>0</v>
      </c>
      <c r="V747" s="103">
        <f t="shared" si="5"/>
        <v>0</v>
      </c>
      <c r="W747" s="103">
        <f t="shared" si="6"/>
        <v>0</v>
      </c>
      <c r="X747" s="103">
        <f t="shared" si="7"/>
        <v>0</v>
      </c>
    </row>
    <row r="748" ht="12.0" customHeight="1">
      <c r="A7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48" s="87" t="str">
        <f>IFERROR(__xludf.DUMMYFUNCTION("IFERROR(IF(F748&lt;&gt;"""",""WHSE ""&amp;LEFT(F748,1),REGEXEXTRACT(E748,""-(?:\d{2}-)?([A-Z]+)"")),"""")
"),"")</f>
        <v/>
      </c>
      <c r="C748" s="108"/>
      <c r="D748" s="109"/>
      <c r="E748" s="110"/>
      <c r="F748" s="110"/>
      <c r="G748" s="111"/>
      <c r="H748" s="112"/>
      <c r="I748" s="113"/>
      <c r="J748" s="114"/>
      <c r="K748" s="115"/>
      <c r="L748" s="115"/>
      <c r="M748" s="115"/>
      <c r="N748" s="116"/>
      <c r="O748" s="114"/>
      <c r="P748" s="116"/>
      <c r="Q748" s="109"/>
      <c r="R748" s="103">
        <f t="shared" si="1"/>
        <v>0</v>
      </c>
      <c r="S748" s="103">
        <f t="shared" si="2"/>
        <v>0</v>
      </c>
      <c r="T748" s="103">
        <f t="shared" si="3"/>
        <v>0</v>
      </c>
      <c r="U748" s="103">
        <f t="shared" si="4"/>
        <v>0</v>
      </c>
      <c r="V748" s="103">
        <f t="shared" si="5"/>
        <v>0</v>
      </c>
      <c r="W748" s="103">
        <f t="shared" si="6"/>
        <v>0</v>
      </c>
      <c r="X748" s="103">
        <f t="shared" si="7"/>
        <v>0</v>
      </c>
    </row>
    <row r="749" ht="12.0" customHeight="1">
      <c r="A7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49" s="87" t="str">
        <f>IFERROR(__xludf.DUMMYFUNCTION("IFERROR(IF(F749&lt;&gt;"""",""WHSE ""&amp;LEFT(F749,1),REGEXEXTRACT(E749,""-(?:\d{2}-)?([A-Z]+)"")),"""")
"),"WHSE A")</f>
        <v>WHSE A</v>
      </c>
      <c r="C749" s="117">
        <v>46067.0</v>
      </c>
      <c r="D749" s="118" t="s">
        <v>690</v>
      </c>
      <c r="E749" s="87" t="s">
        <v>691</v>
      </c>
      <c r="F749" s="87" t="s">
        <v>582</v>
      </c>
      <c r="G749" s="111"/>
      <c r="H749" s="120">
        <v>7003.0</v>
      </c>
      <c r="I749" s="121">
        <v>13.0</v>
      </c>
      <c r="J749" s="122">
        <v>8.8</v>
      </c>
      <c r="K749" s="123">
        <v>2.73</v>
      </c>
      <c r="L749" s="123">
        <v>0.573</v>
      </c>
      <c r="M749" s="123">
        <v>0.593</v>
      </c>
      <c r="N749" s="124">
        <v>12.12</v>
      </c>
      <c r="O749" s="122">
        <v>3.83</v>
      </c>
      <c r="P749" s="124">
        <v>84.06</v>
      </c>
      <c r="Q749" s="109"/>
      <c r="R749" s="103">
        <f t="shared" si="1"/>
        <v>61626.4</v>
      </c>
      <c r="S749" s="103">
        <f t="shared" si="2"/>
        <v>19118.19</v>
      </c>
      <c r="T749" s="103">
        <f t="shared" si="3"/>
        <v>4012.719</v>
      </c>
      <c r="U749" s="103">
        <f t="shared" si="4"/>
        <v>4152.779</v>
      </c>
      <c r="V749" s="103">
        <f t="shared" si="5"/>
        <v>84876.36</v>
      </c>
      <c r="W749" s="103">
        <f t="shared" si="6"/>
        <v>26821.49</v>
      </c>
      <c r="X749" s="103">
        <f t="shared" si="7"/>
        <v>588672.18</v>
      </c>
    </row>
    <row r="750" ht="12.0" customHeight="1">
      <c r="A7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50" s="87" t="str">
        <f>IFERROR(__xludf.DUMMYFUNCTION("IFERROR(IF(F750&lt;&gt;"""",""WHSE ""&amp;LEFT(F750,1),REGEXEXTRACT(E750,""-(?:\d{2}-)?([A-Z]+)"")),"""")
"),"WHSE A")</f>
        <v>WHSE A</v>
      </c>
      <c r="C750" s="117">
        <v>46068.0</v>
      </c>
      <c r="D750" s="118" t="s">
        <v>690</v>
      </c>
      <c r="E750" s="87" t="s">
        <v>691</v>
      </c>
      <c r="F750" s="87" t="s">
        <v>582</v>
      </c>
      <c r="G750" s="111"/>
      <c r="H750" s="120">
        <v>15633.0</v>
      </c>
      <c r="I750" s="121">
        <v>30.0</v>
      </c>
      <c r="J750" s="122">
        <v>8.47</v>
      </c>
      <c r="K750" s="123">
        <v>2.73</v>
      </c>
      <c r="L750" s="123">
        <v>0.573</v>
      </c>
      <c r="M750" s="123">
        <v>0.593</v>
      </c>
      <c r="N750" s="124">
        <v>12.12</v>
      </c>
      <c r="O750" s="122">
        <v>3.83</v>
      </c>
      <c r="P750" s="124">
        <v>84.06</v>
      </c>
      <c r="Q750" s="109"/>
      <c r="R750" s="103">
        <f t="shared" si="1"/>
        <v>132411.51</v>
      </c>
      <c r="S750" s="103">
        <f t="shared" si="2"/>
        <v>42678.09</v>
      </c>
      <c r="T750" s="103">
        <f t="shared" si="3"/>
        <v>8957.709</v>
      </c>
      <c r="U750" s="103">
        <f t="shared" si="4"/>
        <v>9270.369</v>
      </c>
      <c r="V750" s="103">
        <f t="shared" si="5"/>
        <v>189471.96</v>
      </c>
      <c r="W750" s="103">
        <f t="shared" si="6"/>
        <v>59874.39</v>
      </c>
      <c r="X750" s="103">
        <f t="shared" si="7"/>
        <v>1314109.98</v>
      </c>
    </row>
    <row r="751" ht="12.0" customHeight="1">
      <c r="A7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51" s="87" t="str">
        <f>IFERROR(__xludf.DUMMYFUNCTION("IFERROR(IF(F751&lt;&gt;"""",""WHSE ""&amp;LEFT(F751,1),REGEXEXTRACT(E751,""-(?:\d{2}-)?([A-Z]+)"")),"""")
"),"WHSE A")</f>
        <v>WHSE A</v>
      </c>
      <c r="C751" s="117">
        <v>46069.0</v>
      </c>
      <c r="D751" s="118" t="s">
        <v>690</v>
      </c>
      <c r="E751" s="87" t="s">
        <v>691</v>
      </c>
      <c r="F751" s="87" t="s">
        <v>582</v>
      </c>
      <c r="G751" s="111"/>
      <c r="H751" s="120">
        <v>2119.0</v>
      </c>
      <c r="I751" s="121">
        <v>4.0</v>
      </c>
      <c r="J751" s="122">
        <v>8.87</v>
      </c>
      <c r="K751" s="123">
        <v>2.73</v>
      </c>
      <c r="L751" s="123">
        <v>0.573</v>
      </c>
      <c r="M751" s="123">
        <v>0.593</v>
      </c>
      <c r="N751" s="124">
        <v>12.12</v>
      </c>
      <c r="O751" s="122">
        <v>3.83</v>
      </c>
      <c r="P751" s="124">
        <v>84.06</v>
      </c>
      <c r="Q751" s="109"/>
      <c r="R751" s="103">
        <f t="shared" si="1"/>
        <v>18795.53</v>
      </c>
      <c r="S751" s="103">
        <f t="shared" si="2"/>
        <v>5784.87</v>
      </c>
      <c r="T751" s="103">
        <f t="shared" si="3"/>
        <v>1214.187</v>
      </c>
      <c r="U751" s="103">
        <f t="shared" si="4"/>
        <v>1256.567</v>
      </c>
      <c r="V751" s="103">
        <f t="shared" si="5"/>
        <v>25682.28</v>
      </c>
      <c r="W751" s="103">
        <f t="shared" si="6"/>
        <v>8115.77</v>
      </c>
      <c r="X751" s="103">
        <f t="shared" si="7"/>
        <v>178123.14</v>
      </c>
    </row>
    <row r="752" ht="12.0" customHeight="1">
      <c r="A7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52" s="87" t="str">
        <f>IFERROR(__xludf.DUMMYFUNCTION("IFERROR(IF(F752&lt;&gt;"""",""WHSE ""&amp;LEFT(F752,1),REGEXEXTRACT(E752,""-(?:\d{2}-)?([A-Z]+)"")),"""")
"),"WHSE P")</f>
        <v>WHSE P</v>
      </c>
      <c r="C752" s="117">
        <v>46069.0</v>
      </c>
      <c r="D752" s="118" t="s">
        <v>710</v>
      </c>
      <c r="E752" s="87" t="s">
        <v>711</v>
      </c>
      <c r="F752" s="87" t="s">
        <v>712</v>
      </c>
      <c r="G752" s="111"/>
      <c r="H752" s="120">
        <v>13048.0</v>
      </c>
      <c r="I752" s="121">
        <v>24.0</v>
      </c>
      <c r="J752" s="122">
        <v>7.14</v>
      </c>
      <c r="K752" s="123">
        <v>2.11</v>
      </c>
      <c r="L752" s="123">
        <v>0.571</v>
      </c>
      <c r="M752" s="123">
        <v>0.591</v>
      </c>
      <c r="N752" s="124">
        <v>11.76</v>
      </c>
      <c r="O752" s="122">
        <v>3.81</v>
      </c>
      <c r="P752" s="124">
        <v>84.43</v>
      </c>
      <c r="Q752" s="118" t="s">
        <v>686</v>
      </c>
      <c r="R752" s="86">
        <f t="shared" si="1"/>
        <v>93162.72</v>
      </c>
      <c r="S752" s="86">
        <f t="shared" si="2"/>
        <v>27531.28</v>
      </c>
      <c r="T752" s="86">
        <f t="shared" si="3"/>
        <v>7450.408</v>
      </c>
      <c r="U752" s="86">
        <f t="shared" si="4"/>
        <v>7711.368</v>
      </c>
      <c r="V752" s="86">
        <f t="shared" si="5"/>
        <v>153444.48</v>
      </c>
      <c r="W752" s="86">
        <f t="shared" si="6"/>
        <v>49712.88</v>
      </c>
      <c r="X752" s="86">
        <f t="shared" si="7"/>
        <v>1101642.64</v>
      </c>
    </row>
    <row r="753" ht="12.0" customHeight="1">
      <c r="A7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53" s="87" t="str">
        <f>IFERROR(__xludf.DUMMYFUNCTION("IFERROR(IF(F753&lt;&gt;"""",""WHSE ""&amp;LEFT(F753,1),REGEXEXTRACT(E753,""-(?:\d{2}-)?([A-Z]+)"")),"""")
"),"")</f>
        <v/>
      </c>
      <c r="C753" s="108"/>
      <c r="D753" s="109"/>
      <c r="E753" s="110"/>
      <c r="F753" s="110"/>
      <c r="G753" s="111"/>
      <c r="H753" s="112"/>
      <c r="I753" s="113"/>
      <c r="J753" s="114"/>
      <c r="K753" s="115"/>
      <c r="L753" s="115"/>
      <c r="M753" s="115"/>
      <c r="N753" s="116"/>
      <c r="O753" s="114"/>
      <c r="P753" s="116"/>
      <c r="Q753" s="109"/>
      <c r="R753" s="103">
        <f t="shared" si="1"/>
        <v>0</v>
      </c>
      <c r="S753" s="103">
        <f t="shared" si="2"/>
        <v>0</v>
      </c>
      <c r="T753" s="103">
        <f t="shared" si="3"/>
        <v>0</v>
      </c>
      <c r="U753" s="103">
        <f t="shared" si="4"/>
        <v>0</v>
      </c>
      <c r="V753" s="103">
        <f t="shared" si="5"/>
        <v>0</v>
      </c>
      <c r="W753" s="103">
        <f t="shared" si="6"/>
        <v>0</v>
      </c>
      <c r="X753" s="103">
        <f t="shared" si="7"/>
        <v>0</v>
      </c>
    </row>
    <row r="754" ht="12.0" customHeight="1">
      <c r="A7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54" s="87" t="str">
        <f>IFERROR(__xludf.DUMMYFUNCTION("IFERROR(IF(F754&lt;&gt;"""",""WHSE ""&amp;LEFT(F754,1),REGEXEXTRACT(E754,""-(?:\d{2}-)?([A-Z]+)"")),"""")
"),"WHSE A")</f>
        <v>WHSE A</v>
      </c>
      <c r="C754" s="117">
        <v>46070.0</v>
      </c>
      <c r="D754" s="118" t="s">
        <v>72</v>
      </c>
      <c r="E754" s="87" t="s">
        <v>700</v>
      </c>
      <c r="F754" s="87" t="s">
        <v>701</v>
      </c>
      <c r="G754" s="119" t="s">
        <v>512</v>
      </c>
      <c r="H754" s="120">
        <v>21300.0</v>
      </c>
      <c r="I754" s="121">
        <v>458.0</v>
      </c>
      <c r="J754" s="122">
        <v>11.2</v>
      </c>
      <c r="K754" s="123">
        <v>2.51</v>
      </c>
      <c r="L754" s="123">
        <v>0.575</v>
      </c>
      <c r="M754" s="123">
        <v>0.595</v>
      </c>
      <c r="N754" s="124">
        <v>12.04</v>
      </c>
      <c r="O754" s="122">
        <v>3.49</v>
      </c>
      <c r="P754" s="124">
        <v>84.47</v>
      </c>
      <c r="Q754" s="109"/>
      <c r="R754" s="103">
        <f t="shared" si="1"/>
        <v>238560</v>
      </c>
      <c r="S754" s="103">
        <f t="shared" si="2"/>
        <v>53463</v>
      </c>
      <c r="T754" s="103">
        <f t="shared" si="3"/>
        <v>12247.5</v>
      </c>
      <c r="U754" s="103">
        <f t="shared" si="4"/>
        <v>12673.5</v>
      </c>
      <c r="V754" s="103">
        <f t="shared" si="5"/>
        <v>256452</v>
      </c>
      <c r="W754" s="103">
        <f t="shared" si="6"/>
        <v>74337</v>
      </c>
      <c r="X754" s="103">
        <f t="shared" si="7"/>
        <v>1799211</v>
      </c>
    </row>
    <row r="755" ht="12.0" customHeight="1">
      <c r="A7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55" s="87" t="str">
        <f>IFERROR(__xludf.DUMMYFUNCTION("IFERROR(IF(F755&lt;&gt;"""",""WHSE ""&amp;LEFT(F755,1),REGEXEXTRACT(E755,""-(?:\d{2}-)?([A-Z]+)"")),"""")
"),"WHSE D")</f>
        <v>WHSE D</v>
      </c>
      <c r="C755" s="117">
        <v>46070.0</v>
      </c>
      <c r="D755" s="118" t="s">
        <v>279</v>
      </c>
      <c r="E755" s="87" t="s">
        <v>713</v>
      </c>
      <c r="F755" s="87" t="s">
        <v>503</v>
      </c>
      <c r="G755" s="119" t="s">
        <v>714</v>
      </c>
      <c r="H755" s="120">
        <v>6450.0</v>
      </c>
      <c r="I755" s="121">
        <v>130.0</v>
      </c>
      <c r="J755" s="122">
        <v>12.0</v>
      </c>
      <c r="K755" s="123">
        <v>2.6</v>
      </c>
      <c r="L755" s="123">
        <v>0.585</v>
      </c>
      <c r="M755" s="123">
        <v>0.605</v>
      </c>
      <c r="N755" s="124">
        <v>13.86</v>
      </c>
      <c r="O755" s="122">
        <v>3.61</v>
      </c>
      <c r="P755" s="124">
        <v>82.53</v>
      </c>
      <c r="Q755" s="109"/>
      <c r="R755" s="103">
        <f t="shared" si="1"/>
        <v>77400</v>
      </c>
      <c r="S755" s="103">
        <f t="shared" si="2"/>
        <v>16770</v>
      </c>
      <c r="T755" s="103">
        <f t="shared" si="3"/>
        <v>3773.25</v>
      </c>
      <c r="U755" s="103">
        <f t="shared" si="4"/>
        <v>3902.25</v>
      </c>
      <c r="V755" s="103">
        <f t="shared" si="5"/>
        <v>89397</v>
      </c>
      <c r="W755" s="103">
        <f t="shared" si="6"/>
        <v>23284.5</v>
      </c>
      <c r="X755" s="103">
        <f t="shared" si="7"/>
        <v>532318.5</v>
      </c>
    </row>
    <row r="756" ht="12.0" customHeight="1">
      <c r="A7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56" s="87" t="str">
        <f>IFERROR(__xludf.DUMMYFUNCTION("IFERROR(IF(F756&lt;&gt;"""",""WHSE ""&amp;LEFT(F756,1),REGEXEXTRACT(E756,""-(?:\d{2}-)?([A-Z]+)"")),"""")
"),"WHSE C")</f>
        <v>WHSE C</v>
      </c>
      <c r="C756" s="117">
        <v>46070.0</v>
      </c>
      <c r="D756" s="118" t="s">
        <v>232</v>
      </c>
      <c r="E756" s="87" t="s">
        <v>703</v>
      </c>
      <c r="F756" s="87" t="s">
        <v>531</v>
      </c>
      <c r="G756" s="119" t="s">
        <v>235</v>
      </c>
      <c r="H756" s="120">
        <v>13750.0</v>
      </c>
      <c r="I756" s="121">
        <v>290.0</v>
      </c>
      <c r="J756" s="122">
        <v>10.34</v>
      </c>
      <c r="K756" s="123">
        <v>2.99</v>
      </c>
      <c r="L756" s="123">
        <v>0.571</v>
      </c>
      <c r="M756" s="123">
        <v>0.591</v>
      </c>
      <c r="N756" s="124">
        <v>13.6</v>
      </c>
      <c r="O756" s="122">
        <v>2.61</v>
      </c>
      <c r="P756" s="124">
        <v>83.79</v>
      </c>
      <c r="Q756" s="109"/>
      <c r="R756" s="103">
        <f t="shared" si="1"/>
        <v>142175</v>
      </c>
      <c r="S756" s="103">
        <f t="shared" si="2"/>
        <v>41112.5</v>
      </c>
      <c r="T756" s="103">
        <f t="shared" si="3"/>
        <v>7851.25</v>
      </c>
      <c r="U756" s="103">
        <f t="shared" si="4"/>
        <v>8126.25</v>
      </c>
      <c r="V756" s="103">
        <f t="shared" si="5"/>
        <v>187000</v>
      </c>
      <c r="W756" s="103">
        <f t="shared" si="6"/>
        <v>35887.5</v>
      </c>
      <c r="X756" s="103">
        <f t="shared" si="7"/>
        <v>1152112.5</v>
      </c>
    </row>
    <row r="757" ht="12.0" customHeight="1">
      <c r="A7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57" s="87" t="str">
        <f>IFERROR(__xludf.DUMMYFUNCTION("IFERROR(IF(F757&lt;&gt;"""",""WHSE ""&amp;LEFT(F757,1),REGEXEXTRACT(E757,""-(?:\d{2}-)?([A-Z]+)"")),"""")
"),"WHSE C")</f>
        <v>WHSE C</v>
      </c>
      <c r="C757" s="117">
        <v>46070.0</v>
      </c>
      <c r="D757" s="118" t="s">
        <v>232</v>
      </c>
      <c r="E757" s="87" t="s">
        <v>703</v>
      </c>
      <c r="F757" s="87" t="s">
        <v>531</v>
      </c>
      <c r="G757" s="119" t="s">
        <v>668</v>
      </c>
      <c r="H757" s="120">
        <v>11037.0</v>
      </c>
      <c r="I757" s="121">
        <v>280.0</v>
      </c>
      <c r="J757" s="122">
        <v>9.8</v>
      </c>
      <c r="K757" s="123">
        <v>3.71</v>
      </c>
      <c r="L757" s="123">
        <v>0.556</v>
      </c>
      <c r="M757" s="123">
        <v>0.576</v>
      </c>
      <c r="N757" s="124">
        <v>11.99</v>
      </c>
      <c r="O757" s="122">
        <v>5.48</v>
      </c>
      <c r="P757" s="124">
        <v>82.53</v>
      </c>
      <c r="Q757" s="118" t="s">
        <v>715</v>
      </c>
      <c r="R757" s="86">
        <f t="shared" si="1"/>
        <v>108162.6</v>
      </c>
      <c r="S757" s="86">
        <f t="shared" si="2"/>
        <v>40947.27</v>
      </c>
      <c r="T757" s="86">
        <f t="shared" si="3"/>
        <v>6136.572</v>
      </c>
      <c r="U757" s="86">
        <f t="shared" si="4"/>
        <v>6357.312</v>
      </c>
      <c r="V757" s="86">
        <f t="shared" si="5"/>
        <v>132333.63</v>
      </c>
      <c r="W757" s="86">
        <f t="shared" si="6"/>
        <v>60482.76</v>
      </c>
      <c r="X757" s="86">
        <f t="shared" si="7"/>
        <v>910883.61</v>
      </c>
    </row>
    <row r="758" ht="12.0" customHeight="1">
      <c r="A7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58" s="87" t="str">
        <f>IFERROR(__xludf.DUMMYFUNCTION("IFERROR(IF(F758&lt;&gt;"""",""WHSE ""&amp;LEFT(F758,1),REGEXEXTRACT(E758,""-(?:\d{2}-)?([A-Z]+)"")),"""")
"),"WHSE D")</f>
        <v>WHSE D</v>
      </c>
      <c r="C758" s="117">
        <v>46070.0</v>
      </c>
      <c r="D758" s="118" t="s">
        <v>716</v>
      </c>
      <c r="E758" s="87" t="s">
        <v>717</v>
      </c>
      <c r="F758" s="87" t="s">
        <v>526</v>
      </c>
      <c r="G758" s="119" t="s">
        <v>610</v>
      </c>
      <c r="H758" s="120">
        <v>11892.0</v>
      </c>
      <c r="I758" s="121">
        <v>214.0</v>
      </c>
      <c r="J758" s="122">
        <v>14.2</v>
      </c>
      <c r="K758" s="123">
        <v>2.68</v>
      </c>
      <c r="L758" s="123">
        <v>0.575</v>
      </c>
      <c r="M758" s="123">
        <v>0.595</v>
      </c>
      <c r="N758" s="124">
        <v>11.38</v>
      </c>
      <c r="O758" s="122">
        <v>3.94</v>
      </c>
      <c r="P758" s="124">
        <v>84.68</v>
      </c>
      <c r="Q758" s="118" t="s">
        <v>718</v>
      </c>
      <c r="R758" s="86">
        <f t="shared" si="1"/>
        <v>168866.4</v>
      </c>
      <c r="S758" s="86">
        <f t="shared" si="2"/>
        <v>31870.56</v>
      </c>
      <c r="T758" s="86">
        <f t="shared" si="3"/>
        <v>6837.9</v>
      </c>
      <c r="U758" s="86">
        <f t="shared" si="4"/>
        <v>7075.74</v>
      </c>
      <c r="V758" s="86">
        <f t="shared" si="5"/>
        <v>135330.96</v>
      </c>
      <c r="W758" s="86">
        <f t="shared" si="6"/>
        <v>46854.48</v>
      </c>
      <c r="X758" s="86">
        <f t="shared" si="7"/>
        <v>1007014.56</v>
      </c>
    </row>
    <row r="759" ht="12.0" customHeight="1">
      <c r="A7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59" s="87" t="str">
        <f>IFERROR(__xludf.DUMMYFUNCTION("IFERROR(IF(F759&lt;&gt;"""",""WHSE ""&amp;LEFT(F759,1),REGEXEXTRACT(E759,""-(?:\d{2}-)?([A-Z]+)"")),"""")
"),"WHSE P")</f>
        <v>WHSE P</v>
      </c>
      <c r="C759" s="117">
        <v>46070.0</v>
      </c>
      <c r="D759" s="118" t="s">
        <v>710</v>
      </c>
      <c r="E759" s="87" t="s">
        <v>711</v>
      </c>
      <c r="F759" s="87" t="s">
        <v>712</v>
      </c>
      <c r="G759" s="111"/>
      <c r="H759" s="120">
        <v>1620.0</v>
      </c>
      <c r="I759" s="121">
        <v>3.0</v>
      </c>
      <c r="J759" s="122">
        <v>7.27</v>
      </c>
      <c r="K759" s="123">
        <v>2.11</v>
      </c>
      <c r="L759" s="123">
        <v>0.571</v>
      </c>
      <c r="M759" s="123">
        <v>0.591</v>
      </c>
      <c r="N759" s="124">
        <v>11.76</v>
      </c>
      <c r="O759" s="122">
        <v>3.81</v>
      </c>
      <c r="P759" s="124">
        <v>84.43</v>
      </c>
      <c r="Q759" s="118" t="s">
        <v>686</v>
      </c>
      <c r="R759" s="86">
        <f t="shared" si="1"/>
        <v>11777.4</v>
      </c>
      <c r="S759" s="86">
        <f t="shared" si="2"/>
        <v>3418.2</v>
      </c>
      <c r="T759" s="86">
        <f t="shared" si="3"/>
        <v>925.02</v>
      </c>
      <c r="U759" s="86">
        <f t="shared" si="4"/>
        <v>957.42</v>
      </c>
      <c r="V759" s="86">
        <f t="shared" si="5"/>
        <v>19051.2</v>
      </c>
      <c r="W759" s="86">
        <f t="shared" si="6"/>
        <v>6172.2</v>
      </c>
      <c r="X759" s="86">
        <f t="shared" si="7"/>
        <v>136776.6</v>
      </c>
    </row>
    <row r="760" ht="12.0" customHeight="1">
      <c r="A7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60" s="87" t="str">
        <f>IFERROR(__xludf.DUMMYFUNCTION("IFERROR(IF(F760&lt;&gt;"""",""WHSE ""&amp;LEFT(F760,1),REGEXEXTRACT(E760,""-(?:\d{2}-)?([A-Z]+)"")),"""")
"),"WHSE P")</f>
        <v>WHSE P</v>
      </c>
      <c r="C760" s="117">
        <v>46070.0</v>
      </c>
      <c r="D760" s="118" t="s">
        <v>719</v>
      </c>
      <c r="E760" s="87" t="s">
        <v>720</v>
      </c>
      <c r="F760" s="87" t="s">
        <v>721</v>
      </c>
      <c r="G760" s="111"/>
      <c r="H760" s="120">
        <v>3510.0</v>
      </c>
      <c r="I760" s="121">
        <v>3.0</v>
      </c>
      <c r="J760" s="122">
        <v>7.14</v>
      </c>
      <c r="K760" s="123">
        <v>2.56</v>
      </c>
      <c r="L760" s="123">
        <v>0.578</v>
      </c>
      <c r="M760" s="123">
        <v>0.598</v>
      </c>
      <c r="N760" s="124">
        <v>11.92</v>
      </c>
      <c r="O760" s="122">
        <v>3.98</v>
      </c>
      <c r="P760" s="124">
        <v>84.11</v>
      </c>
      <c r="Q760" s="118" t="s">
        <v>686</v>
      </c>
      <c r="R760" s="86">
        <f t="shared" si="1"/>
        <v>25061.4</v>
      </c>
      <c r="S760" s="86">
        <f t="shared" si="2"/>
        <v>8985.6</v>
      </c>
      <c r="T760" s="86">
        <f t="shared" si="3"/>
        <v>2028.78</v>
      </c>
      <c r="U760" s="86">
        <f t="shared" si="4"/>
        <v>2098.98</v>
      </c>
      <c r="V760" s="86">
        <f t="shared" si="5"/>
        <v>41839.2</v>
      </c>
      <c r="W760" s="86">
        <f t="shared" si="6"/>
        <v>13969.8</v>
      </c>
      <c r="X760" s="86">
        <f t="shared" si="7"/>
        <v>295226.1</v>
      </c>
    </row>
    <row r="761" ht="12.0" customHeight="1">
      <c r="A7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61" s="87" t="str">
        <f>IFERROR(__xludf.DUMMYFUNCTION("IFERROR(IF(F761&lt;&gt;"""",""WHSE ""&amp;LEFT(F761,1),REGEXEXTRACT(E761,""-(?:\d{2}-)?([A-Z]+)"")),"""")
"),"")</f>
        <v/>
      </c>
      <c r="C761" s="108"/>
      <c r="D761" s="109"/>
      <c r="E761" s="110"/>
      <c r="F761" s="110"/>
      <c r="G761" s="111"/>
      <c r="H761" s="112"/>
      <c r="I761" s="113"/>
      <c r="J761" s="114"/>
      <c r="K761" s="115"/>
      <c r="L761" s="115"/>
      <c r="M761" s="115"/>
      <c r="N761" s="116"/>
      <c r="O761" s="114"/>
      <c r="P761" s="116"/>
      <c r="Q761" s="109"/>
      <c r="R761" s="103">
        <f t="shared" si="1"/>
        <v>0</v>
      </c>
      <c r="S761" s="103">
        <f t="shared" si="2"/>
        <v>0</v>
      </c>
      <c r="T761" s="103">
        <f t="shared" si="3"/>
        <v>0</v>
      </c>
      <c r="U761" s="103">
        <f t="shared" si="4"/>
        <v>0</v>
      </c>
      <c r="V761" s="103">
        <f t="shared" si="5"/>
        <v>0</v>
      </c>
      <c r="W761" s="103">
        <f t="shared" si="6"/>
        <v>0</v>
      </c>
      <c r="X761" s="103">
        <f t="shared" si="7"/>
        <v>0</v>
      </c>
    </row>
    <row r="762" ht="12.0" customHeight="1">
      <c r="A7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62" s="87" t="str">
        <f>IFERROR(__xludf.DUMMYFUNCTION("IFERROR(IF(F762&lt;&gt;"""",""WHSE ""&amp;LEFT(F762,1),REGEXEXTRACT(E762,""-(?:\d{2}-)?([A-Z]+)"")),"""")
"),"WHSE D")</f>
        <v>WHSE D</v>
      </c>
      <c r="C762" s="117">
        <v>46071.0</v>
      </c>
      <c r="D762" s="118" t="s">
        <v>72</v>
      </c>
      <c r="E762" s="87" t="s">
        <v>713</v>
      </c>
      <c r="F762" s="87" t="s">
        <v>503</v>
      </c>
      <c r="G762" s="119" t="s">
        <v>722</v>
      </c>
      <c r="H762" s="120">
        <v>2770.0</v>
      </c>
      <c r="I762" s="121">
        <v>53.0</v>
      </c>
      <c r="J762" s="122">
        <v>13.94</v>
      </c>
      <c r="K762" s="123">
        <v>2.53</v>
      </c>
      <c r="L762" s="123">
        <v>0.562</v>
      </c>
      <c r="M762" s="123">
        <v>0.582</v>
      </c>
      <c r="N762" s="124">
        <v>11.74</v>
      </c>
      <c r="O762" s="122">
        <v>3.84</v>
      </c>
      <c r="P762" s="124">
        <v>84.42</v>
      </c>
      <c r="Q762" s="118" t="s">
        <v>723</v>
      </c>
      <c r="R762" s="86">
        <f t="shared" si="1"/>
        <v>38613.8</v>
      </c>
      <c r="S762" s="86">
        <f t="shared" si="2"/>
        <v>7008.1</v>
      </c>
      <c r="T762" s="86">
        <f t="shared" si="3"/>
        <v>1556.74</v>
      </c>
      <c r="U762" s="86">
        <f t="shared" si="4"/>
        <v>1612.14</v>
      </c>
      <c r="V762" s="86">
        <f t="shared" si="5"/>
        <v>32519.8</v>
      </c>
      <c r="W762" s="86">
        <f t="shared" si="6"/>
        <v>10636.8</v>
      </c>
      <c r="X762" s="86">
        <f t="shared" si="7"/>
        <v>233843.4</v>
      </c>
    </row>
    <row r="763" ht="12.0" customHeight="1">
      <c r="A7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63" s="87" t="str">
        <f>IFERROR(__xludf.DUMMYFUNCTION("IFERROR(IF(F763&lt;&gt;"""",""WHSE ""&amp;LEFT(F763,1),REGEXEXTRACT(E763,""-(?:\d{2}-)?([A-Z]+)"")),"""")
"),"WHSE A")</f>
        <v>WHSE A</v>
      </c>
      <c r="C763" s="117">
        <v>46071.0</v>
      </c>
      <c r="D763" s="118" t="s">
        <v>72</v>
      </c>
      <c r="E763" s="87" t="s">
        <v>724</v>
      </c>
      <c r="F763" s="87" t="s">
        <v>725</v>
      </c>
      <c r="G763" s="119" t="s">
        <v>77</v>
      </c>
      <c r="H763" s="120">
        <v>17365.0</v>
      </c>
      <c r="I763" s="121">
        <v>458.0</v>
      </c>
      <c r="J763" s="122">
        <v>10.87</v>
      </c>
      <c r="K763" s="123">
        <v>2.42</v>
      </c>
      <c r="L763" s="123">
        <v>0.578</v>
      </c>
      <c r="M763" s="123">
        <v>0.598</v>
      </c>
      <c r="N763" s="124">
        <v>14.19</v>
      </c>
      <c r="O763" s="122">
        <v>2.68</v>
      </c>
      <c r="P763" s="124">
        <v>83.13</v>
      </c>
      <c r="Q763" s="109"/>
      <c r="R763" s="103">
        <f t="shared" si="1"/>
        <v>188757.55</v>
      </c>
      <c r="S763" s="103">
        <f t="shared" si="2"/>
        <v>42023.3</v>
      </c>
      <c r="T763" s="103">
        <f t="shared" si="3"/>
        <v>10036.97</v>
      </c>
      <c r="U763" s="103">
        <f t="shared" si="4"/>
        <v>10384.27</v>
      </c>
      <c r="V763" s="103">
        <f t="shared" si="5"/>
        <v>246409.35</v>
      </c>
      <c r="W763" s="103">
        <f t="shared" si="6"/>
        <v>46538.2</v>
      </c>
      <c r="X763" s="103">
        <f t="shared" si="7"/>
        <v>1443552.45</v>
      </c>
    </row>
    <row r="764" ht="12.0" customHeight="1">
      <c r="A7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64" s="87" t="str">
        <f>IFERROR(__xludf.DUMMYFUNCTION("IFERROR(IF(F764&lt;&gt;"""",""WHSE ""&amp;LEFT(F764,1),REGEXEXTRACT(E764,""-(?:\d{2}-)?([A-Z]+)"")),"""")
"),"FEED")</f>
        <v>FEED</v>
      </c>
      <c r="C764" s="117">
        <v>46071.0</v>
      </c>
      <c r="D764" s="118" t="s">
        <v>286</v>
      </c>
      <c r="E764" s="87" t="s">
        <v>726</v>
      </c>
      <c r="F764" s="110"/>
      <c r="G764" s="119" t="s">
        <v>73</v>
      </c>
      <c r="H764" s="120">
        <v>19870.0</v>
      </c>
      <c r="I764" s="121">
        <v>495.0</v>
      </c>
      <c r="J764" s="122">
        <v>10.54</v>
      </c>
      <c r="K764" s="123">
        <v>2.17</v>
      </c>
      <c r="L764" s="123">
        <v>0.575</v>
      </c>
      <c r="M764" s="123">
        <v>0.595</v>
      </c>
      <c r="N764" s="124">
        <v>14.38</v>
      </c>
      <c r="O764" s="122">
        <v>2.4</v>
      </c>
      <c r="P764" s="124">
        <v>83.22</v>
      </c>
      <c r="Q764" s="118" t="s">
        <v>229</v>
      </c>
      <c r="R764" s="86">
        <f t="shared" si="1"/>
        <v>209429.8</v>
      </c>
      <c r="S764" s="86">
        <f t="shared" si="2"/>
        <v>43117.9</v>
      </c>
      <c r="T764" s="86">
        <f t="shared" si="3"/>
        <v>11425.25</v>
      </c>
      <c r="U764" s="86">
        <f t="shared" si="4"/>
        <v>11822.65</v>
      </c>
      <c r="V764" s="86">
        <f t="shared" si="5"/>
        <v>285730.6</v>
      </c>
      <c r="W764" s="86">
        <f t="shared" si="6"/>
        <v>47688</v>
      </c>
      <c r="X764" s="86">
        <f t="shared" si="7"/>
        <v>1653581.4</v>
      </c>
    </row>
    <row r="765" ht="12.0" customHeight="1">
      <c r="A7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65" s="87" t="str">
        <f>IFERROR(__xludf.DUMMYFUNCTION("IFERROR(IF(F765&lt;&gt;"""",""WHSE ""&amp;LEFT(F765,1),REGEXEXTRACT(E765,""-(?:\d{2}-)?([A-Z]+)"")),"""")
"),"WHSE C")</f>
        <v>WHSE C</v>
      </c>
      <c r="C765" s="117">
        <v>46071.0</v>
      </c>
      <c r="D765" s="118" t="s">
        <v>232</v>
      </c>
      <c r="E765" s="87" t="s">
        <v>727</v>
      </c>
      <c r="F765" s="87" t="s">
        <v>541</v>
      </c>
      <c r="G765" s="119" t="s">
        <v>235</v>
      </c>
      <c r="H765" s="120">
        <v>12430.0</v>
      </c>
      <c r="I765" s="121">
        <v>296.0</v>
      </c>
      <c r="J765" s="122">
        <v>10.14</v>
      </c>
      <c r="K765" s="123">
        <v>3.14</v>
      </c>
      <c r="L765" s="123">
        <v>0.581</v>
      </c>
      <c r="M765" s="123">
        <v>0.601</v>
      </c>
      <c r="N765" s="124">
        <v>13.79</v>
      </c>
      <c r="O765" s="122">
        <v>2.85</v>
      </c>
      <c r="P765" s="124">
        <v>83.36</v>
      </c>
      <c r="Q765" s="109"/>
      <c r="R765" s="103">
        <f t="shared" si="1"/>
        <v>126040.2</v>
      </c>
      <c r="S765" s="103">
        <f t="shared" si="2"/>
        <v>39030.2</v>
      </c>
      <c r="T765" s="103">
        <f t="shared" si="3"/>
        <v>7221.83</v>
      </c>
      <c r="U765" s="103">
        <f t="shared" si="4"/>
        <v>7470.43</v>
      </c>
      <c r="V765" s="103">
        <f t="shared" si="5"/>
        <v>171409.7</v>
      </c>
      <c r="W765" s="103">
        <f t="shared" si="6"/>
        <v>35425.5</v>
      </c>
      <c r="X765" s="103">
        <f t="shared" si="7"/>
        <v>1036164.8</v>
      </c>
    </row>
    <row r="766" ht="12.0" customHeight="1">
      <c r="A7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66" s="87" t="str">
        <f>IFERROR(__xludf.DUMMYFUNCTION("IFERROR(IF(F766&lt;&gt;"""",""WHSE ""&amp;LEFT(F766,1),REGEXEXTRACT(E766,""-(?:\d{2}-)?([A-Z]+)"")),"""")
"),"WHSE C")</f>
        <v>WHSE C</v>
      </c>
      <c r="C766" s="117">
        <v>46071.0</v>
      </c>
      <c r="D766" s="118" t="s">
        <v>232</v>
      </c>
      <c r="E766" s="87" t="s">
        <v>727</v>
      </c>
      <c r="F766" s="87" t="s">
        <v>541</v>
      </c>
      <c r="G766" s="119" t="s">
        <v>668</v>
      </c>
      <c r="H766" s="120">
        <v>10455.0</v>
      </c>
      <c r="I766" s="121">
        <v>288.0</v>
      </c>
      <c r="J766" s="122">
        <v>13.6</v>
      </c>
      <c r="K766" s="123">
        <v>3.81</v>
      </c>
      <c r="L766" s="123">
        <v>0.541</v>
      </c>
      <c r="M766" s="123">
        <v>0.561</v>
      </c>
      <c r="N766" s="124">
        <v>10.4</v>
      </c>
      <c r="O766" s="122">
        <v>7.88</v>
      </c>
      <c r="P766" s="124">
        <v>81.72</v>
      </c>
      <c r="Q766" s="118" t="s">
        <v>728</v>
      </c>
      <c r="R766" s="86">
        <f t="shared" si="1"/>
        <v>142188</v>
      </c>
      <c r="S766" s="86">
        <f t="shared" si="2"/>
        <v>39833.55</v>
      </c>
      <c r="T766" s="86">
        <f t="shared" si="3"/>
        <v>5656.155</v>
      </c>
      <c r="U766" s="86">
        <f t="shared" si="4"/>
        <v>5865.255</v>
      </c>
      <c r="V766" s="86">
        <f t="shared" si="5"/>
        <v>108732</v>
      </c>
      <c r="W766" s="86">
        <f t="shared" si="6"/>
        <v>82385.4</v>
      </c>
      <c r="X766" s="86">
        <f t="shared" si="7"/>
        <v>854382.6</v>
      </c>
    </row>
    <row r="767" ht="12.0" customHeight="1">
      <c r="A7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67" s="87" t="str">
        <f>IFERROR(__xludf.DUMMYFUNCTION("IFERROR(IF(F767&lt;&gt;"""",""WHSE ""&amp;LEFT(F767,1),REGEXEXTRACT(E767,""-(?:\d{2}-)?([A-Z]+)"")),"""")
"),"WHSE D")</f>
        <v>WHSE D</v>
      </c>
      <c r="C767" s="117">
        <v>46071.0</v>
      </c>
      <c r="D767" s="118" t="s">
        <v>232</v>
      </c>
      <c r="E767" s="87" t="s">
        <v>729</v>
      </c>
      <c r="F767" s="87" t="s">
        <v>301</v>
      </c>
      <c r="G767" s="119" t="s">
        <v>669</v>
      </c>
      <c r="H767" s="120">
        <v>20790.0</v>
      </c>
      <c r="I767" s="121">
        <v>481.0</v>
      </c>
      <c r="J767" s="122">
        <v>10.6</v>
      </c>
      <c r="K767" s="123">
        <v>3.66</v>
      </c>
      <c r="L767" s="123">
        <v>0.546</v>
      </c>
      <c r="M767" s="123">
        <v>0.566</v>
      </c>
      <c r="N767" s="124">
        <v>12.25</v>
      </c>
      <c r="O767" s="122">
        <v>3.86</v>
      </c>
      <c r="P767" s="124">
        <v>83.89</v>
      </c>
      <c r="Q767" s="109"/>
      <c r="R767" s="103">
        <f t="shared" si="1"/>
        <v>220374</v>
      </c>
      <c r="S767" s="103">
        <f t="shared" si="2"/>
        <v>76091.4</v>
      </c>
      <c r="T767" s="103">
        <f t="shared" si="3"/>
        <v>11351.34</v>
      </c>
      <c r="U767" s="103">
        <f t="shared" si="4"/>
        <v>11767.14</v>
      </c>
      <c r="V767" s="103">
        <f t="shared" si="5"/>
        <v>254677.5</v>
      </c>
      <c r="W767" s="103">
        <f t="shared" si="6"/>
        <v>80249.4</v>
      </c>
      <c r="X767" s="103">
        <f t="shared" si="7"/>
        <v>1744073.1</v>
      </c>
    </row>
    <row r="768" ht="12.0" customHeight="1">
      <c r="A7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68" s="87" t="str">
        <f>IFERROR(__xludf.DUMMYFUNCTION("IFERROR(IF(F768&lt;&gt;"""",""WHSE ""&amp;LEFT(F768,1),REGEXEXTRACT(E768,""-(?:\d{2}-)?([A-Z]+)"")),"""")
"),"WHSE D")</f>
        <v>WHSE D</v>
      </c>
      <c r="C768" s="117">
        <v>46071.0</v>
      </c>
      <c r="D768" s="118" t="s">
        <v>232</v>
      </c>
      <c r="E768" s="87" t="s">
        <v>729</v>
      </c>
      <c r="F768" s="87" t="s">
        <v>301</v>
      </c>
      <c r="G768" s="119" t="s">
        <v>730</v>
      </c>
      <c r="H768" s="120">
        <v>21696.0</v>
      </c>
      <c r="I768" s="121">
        <v>497.0</v>
      </c>
      <c r="J768" s="122">
        <v>13.54</v>
      </c>
      <c r="K768" s="123">
        <v>3.73</v>
      </c>
      <c r="L768" s="123">
        <v>0.543</v>
      </c>
      <c r="M768" s="123">
        <v>0.563</v>
      </c>
      <c r="N768" s="124">
        <v>10.04</v>
      </c>
      <c r="O768" s="122">
        <v>8.09</v>
      </c>
      <c r="P768" s="124">
        <v>81.87</v>
      </c>
      <c r="Q768" s="118" t="s">
        <v>731</v>
      </c>
      <c r="R768" s="86">
        <f t="shared" si="1"/>
        <v>293763.84</v>
      </c>
      <c r="S768" s="86">
        <f t="shared" si="2"/>
        <v>80926.08</v>
      </c>
      <c r="T768" s="86">
        <f t="shared" si="3"/>
        <v>11780.928</v>
      </c>
      <c r="U768" s="86">
        <f t="shared" si="4"/>
        <v>12214.848</v>
      </c>
      <c r="V768" s="86">
        <f t="shared" si="5"/>
        <v>217827.84</v>
      </c>
      <c r="W768" s="86">
        <f t="shared" si="6"/>
        <v>175520.64</v>
      </c>
      <c r="X768" s="86">
        <f t="shared" si="7"/>
        <v>1776251.52</v>
      </c>
    </row>
    <row r="769" ht="12.0" customHeight="1">
      <c r="A7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69" s="87" t="str">
        <f>IFERROR(__xludf.DUMMYFUNCTION("IFERROR(IF(F769&lt;&gt;"""",""WHSE ""&amp;LEFT(F769,1),REGEXEXTRACT(E769,""-(?:\d{2}-)?([A-Z]+)"")),"""")
"),"")</f>
        <v/>
      </c>
      <c r="C769" s="108"/>
      <c r="D769" s="109"/>
      <c r="E769" s="110"/>
      <c r="F769" s="110"/>
      <c r="G769" s="111"/>
      <c r="H769" s="112"/>
      <c r="I769" s="113"/>
      <c r="J769" s="114"/>
      <c r="K769" s="115"/>
      <c r="L769" s="115"/>
      <c r="M769" s="115"/>
      <c r="N769" s="116"/>
      <c r="O769" s="114"/>
      <c r="P769" s="116"/>
      <c r="Q769" s="109"/>
      <c r="R769" s="103">
        <f t="shared" si="1"/>
        <v>0</v>
      </c>
      <c r="S769" s="103">
        <f t="shared" si="2"/>
        <v>0</v>
      </c>
      <c r="T769" s="103">
        <f t="shared" si="3"/>
        <v>0</v>
      </c>
      <c r="U769" s="103">
        <f t="shared" si="4"/>
        <v>0</v>
      </c>
      <c r="V769" s="103">
        <f t="shared" si="5"/>
        <v>0</v>
      </c>
      <c r="W769" s="103">
        <f t="shared" si="6"/>
        <v>0</v>
      </c>
      <c r="X769" s="103">
        <f t="shared" si="7"/>
        <v>0</v>
      </c>
    </row>
    <row r="770" ht="12.0" customHeight="1">
      <c r="A7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70" s="87" t="str">
        <f>IFERROR(__xludf.DUMMYFUNCTION("IFERROR(IF(F770&lt;&gt;"""",""WHSE ""&amp;LEFT(F770,1),REGEXEXTRACT(E770,""-(?:\d{2}-)?([A-Z]+)"")),"""")
"),"WHSE D")</f>
        <v>WHSE D</v>
      </c>
      <c r="C770" s="117">
        <v>46072.0</v>
      </c>
      <c r="D770" s="118" t="s">
        <v>232</v>
      </c>
      <c r="E770" s="87" t="s">
        <v>729</v>
      </c>
      <c r="F770" s="87" t="s">
        <v>301</v>
      </c>
      <c r="G770" s="119" t="s">
        <v>732</v>
      </c>
      <c r="H770" s="120">
        <v>29110.0</v>
      </c>
      <c r="I770" s="121">
        <v>612.0</v>
      </c>
      <c r="J770" s="122">
        <v>11.87</v>
      </c>
      <c r="K770" s="123">
        <v>3.79</v>
      </c>
      <c r="L770" s="123">
        <v>0.546</v>
      </c>
      <c r="M770" s="123">
        <v>0.566</v>
      </c>
      <c r="N770" s="124">
        <v>10.49</v>
      </c>
      <c r="O770" s="122">
        <v>6.87</v>
      </c>
      <c r="P770" s="124">
        <v>82.64</v>
      </c>
      <c r="Q770" s="118" t="s">
        <v>733</v>
      </c>
      <c r="R770" s="86">
        <f t="shared" si="1"/>
        <v>345535.7</v>
      </c>
      <c r="S770" s="86">
        <f t="shared" si="2"/>
        <v>110326.9</v>
      </c>
      <c r="T770" s="86">
        <f t="shared" si="3"/>
        <v>15894.06</v>
      </c>
      <c r="U770" s="86">
        <f t="shared" si="4"/>
        <v>16476.26</v>
      </c>
      <c r="V770" s="86">
        <f t="shared" si="5"/>
        <v>305363.9</v>
      </c>
      <c r="W770" s="86">
        <f t="shared" si="6"/>
        <v>199985.7</v>
      </c>
      <c r="X770" s="86">
        <f t="shared" si="7"/>
        <v>2405650.4</v>
      </c>
    </row>
    <row r="771" ht="12.0" customHeight="1">
      <c r="A7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71" s="87" t="str">
        <f>IFERROR(__xludf.DUMMYFUNCTION("IFERROR(IF(F771&lt;&gt;"""",""WHSE ""&amp;LEFT(F771,1),REGEXEXTRACT(E771,""-(?:\d{2}-)?([A-Z]+)"")),"""")
"),"WHSE C")</f>
        <v>WHSE C</v>
      </c>
      <c r="C771" s="117">
        <v>46072.0</v>
      </c>
      <c r="D771" s="118" t="s">
        <v>232</v>
      </c>
      <c r="E771" s="87" t="s">
        <v>727</v>
      </c>
      <c r="F771" s="87" t="s">
        <v>541</v>
      </c>
      <c r="G771" s="119" t="s">
        <v>235</v>
      </c>
      <c r="H771" s="120">
        <v>12835.0</v>
      </c>
      <c r="I771" s="121">
        <v>310.0</v>
      </c>
      <c r="J771" s="122">
        <v>11.07</v>
      </c>
      <c r="K771" s="123">
        <v>3.19</v>
      </c>
      <c r="L771" s="123">
        <v>0.581</v>
      </c>
      <c r="M771" s="123">
        <v>0.601</v>
      </c>
      <c r="N771" s="124">
        <v>12.96</v>
      </c>
      <c r="O771" s="122">
        <v>2.94</v>
      </c>
      <c r="P771" s="124">
        <v>84.1</v>
      </c>
      <c r="Q771" s="109"/>
      <c r="R771" s="103">
        <f t="shared" si="1"/>
        <v>142083.45</v>
      </c>
      <c r="S771" s="103">
        <f t="shared" si="2"/>
        <v>40943.65</v>
      </c>
      <c r="T771" s="103">
        <f t="shared" si="3"/>
        <v>7457.135</v>
      </c>
      <c r="U771" s="103">
        <f t="shared" si="4"/>
        <v>7713.835</v>
      </c>
      <c r="V771" s="103">
        <f t="shared" si="5"/>
        <v>166341.6</v>
      </c>
      <c r="W771" s="103">
        <f t="shared" si="6"/>
        <v>37734.9</v>
      </c>
      <c r="X771" s="103">
        <f t="shared" si="7"/>
        <v>1079423.5</v>
      </c>
    </row>
    <row r="772" ht="12.0" customHeight="1">
      <c r="A7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72" s="87" t="str">
        <f>IFERROR(__xludf.DUMMYFUNCTION("IFERROR(IF(F772&lt;&gt;"""",""WHSE ""&amp;LEFT(F772,1),REGEXEXTRACT(E772,""-(?:\d{2}-)?([A-Z]+)"")),"""")
"),"FEED")</f>
        <v>FEED</v>
      </c>
      <c r="C772" s="117">
        <v>46072.0</v>
      </c>
      <c r="D772" s="118" t="s">
        <v>286</v>
      </c>
      <c r="E772" s="87" t="s">
        <v>734</v>
      </c>
      <c r="F772" s="110"/>
      <c r="G772" s="119" t="s">
        <v>73</v>
      </c>
      <c r="H772" s="120">
        <v>18825.0</v>
      </c>
      <c r="I772" s="121">
        <v>546.0</v>
      </c>
      <c r="J772" s="122">
        <v>10.27</v>
      </c>
      <c r="K772" s="123">
        <v>2.15</v>
      </c>
      <c r="L772" s="123">
        <v>0.578</v>
      </c>
      <c r="M772" s="123">
        <v>0.598</v>
      </c>
      <c r="N772" s="124">
        <v>13.41</v>
      </c>
      <c r="O772" s="122">
        <v>3.28</v>
      </c>
      <c r="P772" s="124">
        <v>83.31</v>
      </c>
      <c r="Q772" s="109"/>
      <c r="R772" s="103">
        <f t="shared" si="1"/>
        <v>193332.75</v>
      </c>
      <c r="S772" s="103">
        <f t="shared" si="2"/>
        <v>40473.75</v>
      </c>
      <c r="T772" s="103">
        <f t="shared" si="3"/>
        <v>10880.85</v>
      </c>
      <c r="U772" s="103">
        <f t="shared" si="4"/>
        <v>11257.35</v>
      </c>
      <c r="V772" s="103">
        <f t="shared" si="5"/>
        <v>252443.25</v>
      </c>
      <c r="W772" s="103">
        <f t="shared" si="6"/>
        <v>61746</v>
      </c>
      <c r="X772" s="103">
        <f t="shared" si="7"/>
        <v>1568310.75</v>
      </c>
    </row>
    <row r="773" ht="12.0" customHeight="1">
      <c r="A7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73" s="87" t="str">
        <f>IFERROR(__xludf.DUMMYFUNCTION("IFERROR(IF(F773&lt;&gt;"""",""WHSE ""&amp;LEFT(F773,1),REGEXEXTRACT(E773,""-(?:\d{2}-)?([A-Z]+)"")),"""")
"),"WHSE A")</f>
        <v>WHSE A</v>
      </c>
      <c r="C773" s="117">
        <v>46072.0</v>
      </c>
      <c r="D773" s="118" t="s">
        <v>72</v>
      </c>
      <c r="E773" s="87" t="s">
        <v>724</v>
      </c>
      <c r="F773" s="87" t="s">
        <v>725</v>
      </c>
      <c r="G773" s="119" t="s">
        <v>77</v>
      </c>
      <c r="H773" s="120">
        <v>16325.0</v>
      </c>
      <c r="I773" s="121">
        <v>426.0</v>
      </c>
      <c r="J773" s="122">
        <v>11.2</v>
      </c>
      <c r="K773" s="123">
        <v>2.41</v>
      </c>
      <c r="L773" s="123">
        <v>0.578</v>
      </c>
      <c r="M773" s="123">
        <v>0.598</v>
      </c>
      <c r="N773" s="124">
        <v>12.2</v>
      </c>
      <c r="O773" s="122">
        <v>3.44</v>
      </c>
      <c r="P773" s="124">
        <v>84.36</v>
      </c>
      <c r="Q773" s="109"/>
      <c r="R773" s="103">
        <f t="shared" si="1"/>
        <v>182840</v>
      </c>
      <c r="S773" s="103">
        <f t="shared" si="2"/>
        <v>39343.25</v>
      </c>
      <c r="T773" s="103">
        <f t="shared" si="3"/>
        <v>9435.85</v>
      </c>
      <c r="U773" s="103">
        <f t="shared" si="4"/>
        <v>9762.35</v>
      </c>
      <c r="V773" s="103">
        <f t="shared" si="5"/>
        <v>199165</v>
      </c>
      <c r="W773" s="103">
        <f t="shared" si="6"/>
        <v>56158</v>
      </c>
      <c r="X773" s="103">
        <f t="shared" si="7"/>
        <v>1377177</v>
      </c>
    </row>
    <row r="774" ht="12.0" customHeight="1">
      <c r="A7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74" s="87" t="str">
        <f>IFERROR(__xludf.DUMMYFUNCTION("IFERROR(IF(F774&lt;&gt;"""",""WHSE ""&amp;LEFT(F774,1),REGEXEXTRACT(E774,""-(?:\d{2}-)?([A-Z]+)"")),"""")
"),"WHSE D")</f>
        <v>WHSE D</v>
      </c>
      <c r="C774" s="117">
        <v>46072.0</v>
      </c>
      <c r="D774" s="118" t="s">
        <v>60</v>
      </c>
      <c r="E774" s="87" t="s">
        <v>735</v>
      </c>
      <c r="F774" s="87" t="s">
        <v>594</v>
      </c>
      <c r="G774" s="119" t="s">
        <v>514</v>
      </c>
      <c r="H774" s="120">
        <v>14961.0</v>
      </c>
      <c r="I774" s="121">
        <v>363.0</v>
      </c>
      <c r="J774" s="122">
        <v>15.07</v>
      </c>
      <c r="K774" s="123">
        <v>2.83</v>
      </c>
      <c r="L774" s="123">
        <v>0.571</v>
      </c>
      <c r="M774" s="123">
        <v>0.591</v>
      </c>
      <c r="N774" s="124">
        <v>12.08</v>
      </c>
      <c r="O774" s="122">
        <v>4.04</v>
      </c>
      <c r="P774" s="124">
        <v>83.88</v>
      </c>
      <c r="Q774" s="118" t="s">
        <v>736</v>
      </c>
      <c r="R774" s="86">
        <f t="shared" si="1"/>
        <v>225462.27</v>
      </c>
      <c r="S774" s="86">
        <f t="shared" si="2"/>
        <v>42339.63</v>
      </c>
      <c r="T774" s="86">
        <f t="shared" si="3"/>
        <v>8542.731</v>
      </c>
      <c r="U774" s="86">
        <f t="shared" si="4"/>
        <v>8841.951</v>
      </c>
      <c r="V774" s="86">
        <f t="shared" si="5"/>
        <v>180728.88</v>
      </c>
      <c r="W774" s="86">
        <f t="shared" si="6"/>
        <v>60442.44</v>
      </c>
      <c r="X774" s="86">
        <f t="shared" si="7"/>
        <v>1254928.68</v>
      </c>
    </row>
    <row r="775" ht="12.0" customHeight="1">
      <c r="A7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75" s="87" t="str">
        <f>IFERROR(__xludf.DUMMYFUNCTION("IFERROR(IF(F775&lt;&gt;"""",""WHSE ""&amp;LEFT(F775,1),REGEXEXTRACT(E775,""-(?:\d{2}-)?([A-Z]+)"")),"""")
"),"")</f>
        <v/>
      </c>
      <c r="C775" s="108"/>
      <c r="D775" s="109"/>
      <c r="E775" s="110"/>
      <c r="F775" s="110"/>
      <c r="G775" s="111"/>
      <c r="H775" s="112"/>
      <c r="I775" s="113"/>
      <c r="J775" s="114"/>
      <c r="K775" s="115"/>
      <c r="L775" s="115"/>
      <c r="M775" s="115"/>
      <c r="N775" s="116"/>
      <c r="O775" s="114"/>
      <c r="P775" s="116"/>
      <c r="Q775" s="109"/>
      <c r="R775" s="103">
        <f t="shared" si="1"/>
        <v>0</v>
      </c>
      <c r="S775" s="103">
        <f t="shared" si="2"/>
        <v>0</v>
      </c>
      <c r="T775" s="103">
        <f t="shared" si="3"/>
        <v>0</v>
      </c>
      <c r="U775" s="103">
        <f t="shared" si="4"/>
        <v>0</v>
      </c>
      <c r="V775" s="103">
        <f t="shared" si="5"/>
        <v>0</v>
      </c>
      <c r="W775" s="103">
        <f t="shared" si="6"/>
        <v>0</v>
      </c>
      <c r="X775" s="103">
        <f t="shared" si="7"/>
        <v>0</v>
      </c>
    </row>
    <row r="776" ht="12.0" customHeight="1">
      <c r="A7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76" s="87" t="str">
        <f>IFERROR(__xludf.DUMMYFUNCTION("IFERROR(IF(F776&lt;&gt;"""",""WHSE ""&amp;LEFT(F776,1),REGEXEXTRACT(E776,""-(?:\d{2}-)?([A-Z]+)"")),"""")
"),"WHSE A")</f>
        <v>WHSE A</v>
      </c>
      <c r="C776" s="117">
        <v>46073.0</v>
      </c>
      <c r="D776" s="118" t="s">
        <v>72</v>
      </c>
      <c r="E776" s="87" t="s">
        <v>724</v>
      </c>
      <c r="F776" s="87" t="s">
        <v>725</v>
      </c>
      <c r="G776" s="119" t="s">
        <v>73</v>
      </c>
      <c r="H776" s="120">
        <v>17625.0</v>
      </c>
      <c r="I776" s="121">
        <v>426.0</v>
      </c>
      <c r="J776" s="122">
        <v>11.07</v>
      </c>
      <c r="K776" s="123">
        <v>2.51</v>
      </c>
      <c r="L776" s="123">
        <v>0.575</v>
      </c>
      <c r="M776" s="123">
        <v>0.595</v>
      </c>
      <c r="N776" s="124">
        <v>13.19</v>
      </c>
      <c r="O776" s="122">
        <v>3.76</v>
      </c>
      <c r="P776" s="124">
        <v>83.05</v>
      </c>
      <c r="Q776" s="109"/>
      <c r="R776" s="103">
        <f t="shared" si="1"/>
        <v>195108.75</v>
      </c>
      <c r="S776" s="103">
        <f t="shared" si="2"/>
        <v>44238.75</v>
      </c>
      <c r="T776" s="103">
        <f t="shared" si="3"/>
        <v>10134.375</v>
      </c>
      <c r="U776" s="103">
        <f t="shared" si="4"/>
        <v>10486.875</v>
      </c>
      <c r="V776" s="103">
        <f t="shared" si="5"/>
        <v>232473.75</v>
      </c>
      <c r="W776" s="103">
        <f t="shared" si="6"/>
        <v>66270</v>
      </c>
      <c r="X776" s="103">
        <f t="shared" si="7"/>
        <v>1463756.25</v>
      </c>
    </row>
    <row r="777" ht="12.0" customHeight="1">
      <c r="A7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77" s="87" t="str">
        <f>IFERROR(__xludf.DUMMYFUNCTION("IFERROR(IF(F777&lt;&gt;"""",""WHSE ""&amp;LEFT(F777,1),REGEXEXTRACT(E777,""-(?:\d{2}-)?([A-Z]+)"")),"""")
"),"FEED")</f>
        <v>FEED</v>
      </c>
      <c r="C777" s="117">
        <v>46073.0</v>
      </c>
      <c r="D777" s="118" t="s">
        <v>286</v>
      </c>
      <c r="E777" s="87" t="s">
        <v>737</v>
      </c>
      <c r="F777" s="110"/>
      <c r="G777" s="119" t="s">
        <v>77</v>
      </c>
      <c r="H777" s="120">
        <v>18880.0</v>
      </c>
      <c r="I777" s="121">
        <v>455.0</v>
      </c>
      <c r="J777" s="122">
        <v>9.87</v>
      </c>
      <c r="K777" s="123">
        <v>2.59</v>
      </c>
      <c r="L777" s="123">
        <v>0.578</v>
      </c>
      <c r="M777" s="123">
        <v>0.598</v>
      </c>
      <c r="N777" s="124">
        <v>13.38</v>
      </c>
      <c r="O777" s="122">
        <v>3.16</v>
      </c>
      <c r="P777" s="124">
        <v>83.46</v>
      </c>
      <c r="Q777" s="109"/>
      <c r="R777" s="103">
        <f t="shared" si="1"/>
        <v>186345.6</v>
      </c>
      <c r="S777" s="103">
        <f t="shared" si="2"/>
        <v>48899.2</v>
      </c>
      <c r="T777" s="103">
        <f t="shared" si="3"/>
        <v>10912.64</v>
      </c>
      <c r="U777" s="103">
        <f t="shared" si="4"/>
        <v>11290.24</v>
      </c>
      <c r="V777" s="103">
        <f t="shared" si="5"/>
        <v>252614.4</v>
      </c>
      <c r="W777" s="103">
        <f t="shared" si="6"/>
        <v>59660.8</v>
      </c>
      <c r="X777" s="103">
        <f t="shared" si="7"/>
        <v>1575724.8</v>
      </c>
    </row>
    <row r="778" ht="12.0" customHeight="1">
      <c r="A7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78" s="87" t="str">
        <f>IFERROR(__xludf.DUMMYFUNCTION("IFERROR(IF(F778&lt;&gt;"""",""WHSE ""&amp;LEFT(F778,1),REGEXEXTRACT(E778,""-(?:\d{2}-)?([A-Z]+)"")),"""")
"),"WHSE C")</f>
        <v>WHSE C</v>
      </c>
      <c r="C778" s="117">
        <v>46073.0</v>
      </c>
      <c r="D778" s="118" t="s">
        <v>232</v>
      </c>
      <c r="E778" s="87" t="s">
        <v>727</v>
      </c>
      <c r="F778" s="87" t="s">
        <v>541</v>
      </c>
      <c r="G778" s="119" t="s">
        <v>235</v>
      </c>
      <c r="H778" s="120">
        <v>11810.0</v>
      </c>
      <c r="I778" s="121">
        <v>326.0</v>
      </c>
      <c r="J778" s="122">
        <v>9.74</v>
      </c>
      <c r="K778" s="123">
        <v>3.16</v>
      </c>
      <c r="L778" s="123">
        <v>0.578</v>
      </c>
      <c r="M778" s="123">
        <v>0.598</v>
      </c>
      <c r="N778" s="124">
        <v>14.76</v>
      </c>
      <c r="O778" s="122">
        <v>3.87</v>
      </c>
      <c r="P778" s="124">
        <v>81.37</v>
      </c>
      <c r="Q778" s="109"/>
      <c r="R778" s="103">
        <f t="shared" si="1"/>
        <v>115029.4</v>
      </c>
      <c r="S778" s="103">
        <f t="shared" si="2"/>
        <v>37319.6</v>
      </c>
      <c r="T778" s="103">
        <f t="shared" si="3"/>
        <v>6826.18</v>
      </c>
      <c r="U778" s="103">
        <f t="shared" si="4"/>
        <v>7062.38</v>
      </c>
      <c r="V778" s="103">
        <f t="shared" si="5"/>
        <v>174315.6</v>
      </c>
      <c r="W778" s="103">
        <f t="shared" si="6"/>
        <v>45704.7</v>
      </c>
      <c r="X778" s="103">
        <f t="shared" si="7"/>
        <v>960979.7</v>
      </c>
    </row>
    <row r="779" ht="12.0" customHeight="1">
      <c r="A7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79" s="87" t="str">
        <f>IFERROR(__xludf.DUMMYFUNCTION("IFERROR(IF(F779&lt;&gt;"""",""WHSE ""&amp;LEFT(F779,1),REGEXEXTRACT(E779,""-(?:\d{2}-)?([A-Z]+)"")),"""")
"),"WHSE D")</f>
        <v>WHSE D</v>
      </c>
      <c r="C779" s="117">
        <v>46073.0</v>
      </c>
      <c r="D779" s="118" t="s">
        <v>232</v>
      </c>
      <c r="E779" s="87" t="s">
        <v>627</v>
      </c>
      <c r="F779" s="87" t="s">
        <v>628</v>
      </c>
      <c r="G779" s="119" t="s">
        <v>272</v>
      </c>
      <c r="H779" s="120">
        <v>21815.0</v>
      </c>
      <c r="I779" s="121">
        <v>550.0</v>
      </c>
      <c r="J779" s="122">
        <v>9.94</v>
      </c>
      <c r="K779" s="123">
        <v>3.66</v>
      </c>
      <c r="L779" s="123">
        <v>0.552</v>
      </c>
      <c r="M779" s="123">
        <v>0.572</v>
      </c>
      <c r="N779" s="124">
        <v>12.42</v>
      </c>
      <c r="O779" s="122">
        <v>3.65</v>
      </c>
      <c r="P779" s="124">
        <v>83.93</v>
      </c>
      <c r="Q779" s="118" t="s">
        <v>738</v>
      </c>
      <c r="R779" s="86">
        <f t="shared" si="1"/>
        <v>216841.1</v>
      </c>
      <c r="S779" s="86">
        <f t="shared" si="2"/>
        <v>79842.9</v>
      </c>
      <c r="T779" s="86">
        <f t="shared" si="3"/>
        <v>12041.88</v>
      </c>
      <c r="U779" s="86">
        <f t="shared" si="4"/>
        <v>12478.18</v>
      </c>
      <c r="V779" s="86">
        <f t="shared" si="5"/>
        <v>270942.3</v>
      </c>
      <c r="W779" s="86">
        <f t="shared" si="6"/>
        <v>79624.75</v>
      </c>
      <c r="X779" s="86">
        <f t="shared" si="7"/>
        <v>1830932.95</v>
      </c>
    </row>
    <row r="780" ht="12.0" customHeight="1">
      <c r="A7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80" s="87" t="str">
        <f>IFERROR(__xludf.DUMMYFUNCTION("IFERROR(IF(F780&lt;&gt;"""",""WHSE ""&amp;LEFT(F780,1),REGEXEXTRACT(E780,""-(?:\d{2}-)?([A-Z]+)"")),"""")
"),"WHSE D")</f>
        <v>WHSE D</v>
      </c>
      <c r="C780" s="117">
        <v>46073.0</v>
      </c>
      <c r="D780" s="118" t="s">
        <v>232</v>
      </c>
      <c r="E780" s="87" t="s">
        <v>739</v>
      </c>
      <c r="F780" s="87" t="s">
        <v>740</v>
      </c>
      <c r="G780" s="119" t="s">
        <v>669</v>
      </c>
      <c r="H780" s="120">
        <v>21007.0</v>
      </c>
      <c r="I780" s="121">
        <v>548.0</v>
      </c>
      <c r="J780" s="122">
        <v>9.8</v>
      </c>
      <c r="K780" s="123">
        <v>3.81</v>
      </c>
      <c r="L780" s="123">
        <v>0.546</v>
      </c>
      <c r="M780" s="123">
        <v>0.566</v>
      </c>
      <c r="N780" s="124">
        <v>12.04</v>
      </c>
      <c r="O780" s="122">
        <v>5.06</v>
      </c>
      <c r="P780" s="124">
        <v>82.9</v>
      </c>
      <c r="Q780" s="118" t="s">
        <v>741</v>
      </c>
      <c r="R780" s="86">
        <f t="shared" si="1"/>
        <v>205868.6</v>
      </c>
      <c r="S780" s="86">
        <f t="shared" si="2"/>
        <v>80036.67</v>
      </c>
      <c r="T780" s="86">
        <f t="shared" si="3"/>
        <v>11469.822</v>
      </c>
      <c r="U780" s="86">
        <f t="shared" si="4"/>
        <v>11889.962</v>
      </c>
      <c r="V780" s="86">
        <f t="shared" si="5"/>
        <v>252924.28</v>
      </c>
      <c r="W780" s="86">
        <f t="shared" si="6"/>
        <v>106295.42</v>
      </c>
      <c r="X780" s="86">
        <f t="shared" si="7"/>
        <v>1741480.3</v>
      </c>
    </row>
    <row r="781" ht="12.0" customHeight="1">
      <c r="A7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81" s="87" t="str">
        <f>IFERROR(__xludf.DUMMYFUNCTION("IFERROR(IF(F781&lt;&gt;"""",""WHSE ""&amp;LEFT(F781,1),REGEXEXTRACT(E781,""-(?:\d{2}-)?([A-Z]+)"")),"""")
"),"WHSE D")</f>
        <v>WHSE D</v>
      </c>
      <c r="C781" s="117">
        <v>46073.0</v>
      </c>
      <c r="D781" s="118" t="s">
        <v>232</v>
      </c>
      <c r="E781" s="87" t="s">
        <v>739</v>
      </c>
      <c r="F781" s="87" t="s">
        <v>740</v>
      </c>
      <c r="G781" s="119" t="s">
        <v>742</v>
      </c>
      <c r="H781" s="120">
        <v>23962.0</v>
      </c>
      <c r="I781" s="121">
        <v>575.0</v>
      </c>
      <c r="J781" s="122">
        <v>13.8</v>
      </c>
      <c r="K781" s="123">
        <v>3.77</v>
      </c>
      <c r="L781" s="123">
        <v>0.549</v>
      </c>
      <c r="M781" s="123">
        <v>0.569</v>
      </c>
      <c r="N781" s="124">
        <v>12.98</v>
      </c>
      <c r="O781" s="122">
        <v>4.71</v>
      </c>
      <c r="P781" s="124">
        <v>82.31</v>
      </c>
      <c r="Q781" s="118" t="s">
        <v>743</v>
      </c>
      <c r="R781" s="86">
        <f t="shared" si="1"/>
        <v>330675.6</v>
      </c>
      <c r="S781" s="86">
        <f t="shared" si="2"/>
        <v>90336.74</v>
      </c>
      <c r="T781" s="86">
        <f t="shared" si="3"/>
        <v>13155.138</v>
      </c>
      <c r="U781" s="86">
        <f t="shared" si="4"/>
        <v>13634.378</v>
      </c>
      <c r="V781" s="86">
        <f t="shared" si="5"/>
        <v>311026.76</v>
      </c>
      <c r="W781" s="86">
        <f t="shared" si="6"/>
        <v>112861.02</v>
      </c>
      <c r="X781" s="86">
        <f t="shared" si="7"/>
        <v>1972312.22</v>
      </c>
    </row>
    <row r="782" ht="12.0" customHeight="1">
      <c r="A7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82" s="87" t="str">
        <f>IFERROR(__xludf.DUMMYFUNCTION("IFERROR(IF(F782&lt;&gt;"""",""WHSE ""&amp;LEFT(F782,1),REGEXEXTRACT(E782,""-(?:\d{2}-)?([A-Z]+)"")),"""")
"),"WHSE C")</f>
        <v>WHSE C</v>
      </c>
      <c r="C782" s="117">
        <v>46073.0</v>
      </c>
      <c r="D782" s="118" t="s">
        <v>232</v>
      </c>
      <c r="E782" s="87" t="s">
        <v>727</v>
      </c>
      <c r="F782" s="87" t="s">
        <v>541</v>
      </c>
      <c r="G782" s="119" t="s">
        <v>668</v>
      </c>
      <c r="H782" s="120">
        <v>9040.0</v>
      </c>
      <c r="I782" s="121">
        <v>252.0</v>
      </c>
      <c r="J782" s="122">
        <v>9.6</v>
      </c>
      <c r="K782" s="123">
        <v>2.78</v>
      </c>
      <c r="L782" s="123">
        <v>0.568</v>
      </c>
      <c r="M782" s="123">
        <v>0.588</v>
      </c>
      <c r="N782" s="124">
        <v>13.84</v>
      </c>
      <c r="O782" s="122">
        <v>3.08</v>
      </c>
      <c r="P782" s="124">
        <v>83.08</v>
      </c>
      <c r="Q782" s="109"/>
      <c r="R782" s="103">
        <f t="shared" si="1"/>
        <v>86784</v>
      </c>
      <c r="S782" s="103">
        <f t="shared" si="2"/>
        <v>25131.2</v>
      </c>
      <c r="T782" s="103">
        <f t="shared" si="3"/>
        <v>5134.72</v>
      </c>
      <c r="U782" s="103">
        <f t="shared" si="4"/>
        <v>5315.52</v>
      </c>
      <c r="V782" s="103">
        <f t="shared" si="5"/>
        <v>125113.6</v>
      </c>
      <c r="W782" s="103">
        <f t="shared" si="6"/>
        <v>27843.2</v>
      </c>
      <c r="X782" s="103">
        <f t="shared" si="7"/>
        <v>751043.2</v>
      </c>
    </row>
    <row r="783" ht="12.0" customHeight="1">
      <c r="A7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83" s="87" t="str">
        <f>IFERROR(__xludf.DUMMYFUNCTION("IFERROR(IF(F783&lt;&gt;"""",""WHSE ""&amp;LEFT(F783,1),REGEXEXTRACT(E783,""-(?:\d{2}-)?([A-Z]+)"")),"""")
"),"WHSE D")</f>
        <v>WHSE D</v>
      </c>
      <c r="C783" s="117">
        <v>46073.0</v>
      </c>
      <c r="D783" s="118" t="s">
        <v>432</v>
      </c>
      <c r="E783" s="87" t="s">
        <v>713</v>
      </c>
      <c r="F783" s="87" t="s">
        <v>503</v>
      </c>
      <c r="G783" s="119" t="s">
        <v>433</v>
      </c>
      <c r="H783" s="120">
        <v>10375.0</v>
      </c>
      <c r="I783" s="121">
        <v>338.0</v>
      </c>
      <c r="J783" s="122">
        <v>11.0</v>
      </c>
      <c r="K783" s="123">
        <v>2.34</v>
      </c>
      <c r="L783" s="123">
        <v>0.575</v>
      </c>
      <c r="M783" s="123">
        <v>0.595</v>
      </c>
      <c r="N783" s="124">
        <v>12.25</v>
      </c>
      <c r="O783" s="122">
        <v>2.84</v>
      </c>
      <c r="P783" s="124">
        <v>84.91</v>
      </c>
      <c r="Q783" s="109"/>
      <c r="R783" s="103">
        <f t="shared" si="1"/>
        <v>114125</v>
      </c>
      <c r="S783" s="103">
        <f t="shared" si="2"/>
        <v>24277.5</v>
      </c>
      <c r="T783" s="103">
        <f t="shared" si="3"/>
        <v>5965.625</v>
      </c>
      <c r="U783" s="103">
        <f t="shared" si="4"/>
        <v>6173.125</v>
      </c>
      <c r="V783" s="103">
        <f t="shared" si="5"/>
        <v>127093.75</v>
      </c>
      <c r="W783" s="103">
        <f t="shared" si="6"/>
        <v>29465</v>
      </c>
      <c r="X783" s="103">
        <f t="shared" si="7"/>
        <v>880941.25</v>
      </c>
    </row>
    <row r="784" ht="12.0" customHeight="1">
      <c r="A7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84" s="87" t="str">
        <f>IFERROR(__xludf.DUMMYFUNCTION("IFERROR(IF(F784&lt;&gt;"""",""WHSE ""&amp;LEFT(F784,1),REGEXEXTRACT(E784,""-(?:\d{2}-)?([A-Z]+)"")),"""")
"),"")</f>
        <v/>
      </c>
      <c r="C784" s="108"/>
      <c r="D784" s="109"/>
      <c r="E784" s="110"/>
      <c r="F784" s="110"/>
      <c r="G784" s="111"/>
      <c r="H784" s="112"/>
      <c r="I784" s="113"/>
      <c r="J784" s="114"/>
      <c r="K784" s="115"/>
      <c r="L784" s="115"/>
      <c r="M784" s="115"/>
      <c r="N784" s="116"/>
      <c r="O784" s="114"/>
      <c r="P784" s="116"/>
      <c r="Q784" s="109"/>
      <c r="R784" s="103">
        <f t="shared" si="1"/>
        <v>0</v>
      </c>
      <c r="S784" s="103">
        <f t="shared" si="2"/>
        <v>0</v>
      </c>
      <c r="T784" s="103">
        <f t="shared" si="3"/>
        <v>0</v>
      </c>
      <c r="U784" s="103">
        <f t="shared" si="4"/>
        <v>0</v>
      </c>
      <c r="V784" s="103">
        <f t="shared" si="5"/>
        <v>0</v>
      </c>
      <c r="W784" s="103">
        <f t="shared" si="6"/>
        <v>0</v>
      </c>
      <c r="X784" s="103">
        <f t="shared" si="7"/>
        <v>0</v>
      </c>
    </row>
    <row r="785" ht="12.0" customHeight="1">
      <c r="A7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85" s="87" t="str">
        <f>IFERROR(__xludf.DUMMYFUNCTION("IFERROR(IF(F785&lt;&gt;"""",""WHSE ""&amp;LEFT(F785,1),REGEXEXTRACT(E785,""-(?:\d{2}-)?([A-Z]+)"")),"""")
"),"FEED")</f>
        <v>FEED</v>
      </c>
      <c r="C785" s="117">
        <v>46074.0</v>
      </c>
      <c r="D785" s="118" t="s">
        <v>286</v>
      </c>
      <c r="E785" s="87" t="s">
        <v>744</v>
      </c>
      <c r="F785" s="110"/>
      <c r="G785" s="119" t="s">
        <v>73</v>
      </c>
      <c r="H785" s="120">
        <v>19405.0</v>
      </c>
      <c r="I785" s="121">
        <v>492.0</v>
      </c>
      <c r="J785" s="122">
        <v>10.34</v>
      </c>
      <c r="K785" s="123">
        <v>2.38</v>
      </c>
      <c r="L785" s="123">
        <v>0.571</v>
      </c>
      <c r="M785" s="123">
        <v>0.591</v>
      </c>
      <c r="N785" s="124">
        <v>13.94</v>
      </c>
      <c r="O785" s="122">
        <v>3.51</v>
      </c>
      <c r="P785" s="124">
        <v>82.55</v>
      </c>
      <c r="Q785" s="109"/>
      <c r="R785" s="103">
        <f t="shared" si="1"/>
        <v>200647.7</v>
      </c>
      <c r="S785" s="103">
        <f t="shared" si="2"/>
        <v>46183.9</v>
      </c>
      <c r="T785" s="103">
        <f t="shared" si="3"/>
        <v>11080.255</v>
      </c>
      <c r="U785" s="103">
        <f t="shared" si="4"/>
        <v>11468.355</v>
      </c>
      <c r="V785" s="103">
        <f t="shared" si="5"/>
        <v>270505.7</v>
      </c>
      <c r="W785" s="103">
        <f t="shared" si="6"/>
        <v>68111.55</v>
      </c>
      <c r="X785" s="103">
        <f t="shared" si="7"/>
        <v>1601882.75</v>
      </c>
    </row>
    <row r="786" ht="12.0" customHeight="1">
      <c r="A7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86" s="87" t="str">
        <f>IFERROR(__xludf.DUMMYFUNCTION("IFERROR(IF(F786&lt;&gt;"""",""WHSE ""&amp;LEFT(F786,1),REGEXEXTRACT(E786,""-(?:\d{2}-)?([A-Z]+)"")),"""")
"),"WHSE A")</f>
        <v>WHSE A</v>
      </c>
      <c r="C786" s="117">
        <v>46074.0</v>
      </c>
      <c r="D786" s="118" t="s">
        <v>72</v>
      </c>
      <c r="E786" s="87" t="s">
        <v>724</v>
      </c>
      <c r="F786" s="87" t="s">
        <v>725</v>
      </c>
      <c r="G786" s="119" t="s">
        <v>77</v>
      </c>
      <c r="H786" s="120">
        <v>19528.0</v>
      </c>
      <c r="I786" s="121">
        <v>426.0</v>
      </c>
      <c r="J786" s="122">
        <v>12.34</v>
      </c>
      <c r="K786" s="123">
        <v>2.62</v>
      </c>
      <c r="L786" s="123">
        <v>0.575</v>
      </c>
      <c r="M786" s="123">
        <v>0.595</v>
      </c>
      <c r="N786" s="124">
        <v>11.91</v>
      </c>
      <c r="O786" s="122">
        <v>3.74</v>
      </c>
      <c r="P786" s="124">
        <v>84.35</v>
      </c>
      <c r="Q786" s="118" t="s">
        <v>745</v>
      </c>
      <c r="R786" s="86">
        <f t="shared" si="1"/>
        <v>240975.52</v>
      </c>
      <c r="S786" s="86">
        <f t="shared" si="2"/>
        <v>51163.36</v>
      </c>
      <c r="T786" s="86">
        <f t="shared" si="3"/>
        <v>11228.6</v>
      </c>
      <c r="U786" s="86">
        <f t="shared" si="4"/>
        <v>11619.16</v>
      </c>
      <c r="V786" s="86">
        <f t="shared" si="5"/>
        <v>232578.48</v>
      </c>
      <c r="W786" s="86">
        <f t="shared" si="6"/>
        <v>73034.72</v>
      </c>
      <c r="X786" s="86">
        <f t="shared" si="7"/>
        <v>1647186.8</v>
      </c>
    </row>
    <row r="787" ht="12.0" customHeight="1">
      <c r="A7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87" s="87" t="str">
        <f>IFERROR(__xludf.DUMMYFUNCTION("IFERROR(IF(F787&lt;&gt;"""",""WHSE ""&amp;LEFT(F787,1),REGEXEXTRACT(E787,""-(?:\d{2}-)?([A-Z]+)"")),"""")
"),"WHSE D")</f>
        <v>WHSE D</v>
      </c>
      <c r="C787" s="117">
        <v>46074.0</v>
      </c>
      <c r="D787" s="118" t="s">
        <v>232</v>
      </c>
      <c r="E787" s="87" t="s">
        <v>739</v>
      </c>
      <c r="F787" s="87" t="s">
        <v>740</v>
      </c>
      <c r="G787" s="119" t="s">
        <v>732</v>
      </c>
      <c r="H787" s="120">
        <v>30954.0</v>
      </c>
      <c r="I787" s="121">
        <v>805.0</v>
      </c>
      <c r="J787" s="122">
        <v>12.54</v>
      </c>
      <c r="K787" s="123">
        <v>3.31</v>
      </c>
      <c r="L787" s="123">
        <v>0.552</v>
      </c>
      <c r="M787" s="123">
        <v>0.572</v>
      </c>
      <c r="N787" s="124">
        <v>10.34</v>
      </c>
      <c r="O787" s="122">
        <v>7.09</v>
      </c>
      <c r="P787" s="124">
        <v>82.57</v>
      </c>
      <c r="Q787" s="118" t="s">
        <v>746</v>
      </c>
      <c r="R787" s="86">
        <f t="shared" si="1"/>
        <v>388163.16</v>
      </c>
      <c r="S787" s="86">
        <f t="shared" si="2"/>
        <v>102457.74</v>
      </c>
      <c r="T787" s="86">
        <f t="shared" si="3"/>
        <v>17086.608</v>
      </c>
      <c r="U787" s="86">
        <f t="shared" si="4"/>
        <v>17705.688</v>
      </c>
      <c r="V787" s="86">
        <f t="shared" si="5"/>
        <v>320064.36</v>
      </c>
      <c r="W787" s="86">
        <f t="shared" si="6"/>
        <v>219463.86</v>
      </c>
      <c r="X787" s="86">
        <f t="shared" si="7"/>
        <v>2555871.78</v>
      </c>
    </row>
    <row r="788" ht="12.0" customHeight="1">
      <c r="A7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88" s="87" t="str">
        <f>IFERROR(__xludf.DUMMYFUNCTION("IFERROR(IF(F788&lt;&gt;"""",""WHSE ""&amp;LEFT(F788,1),REGEXEXTRACT(E788,""-(?:\d{2}-)?([A-Z]+)"")),"""")
"),"WHSE C")</f>
        <v>WHSE C</v>
      </c>
      <c r="C788" s="117">
        <v>46074.0</v>
      </c>
      <c r="D788" s="118" t="s">
        <v>232</v>
      </c>
      <c r="E788" s="87" t="s">
        <v>747</v>
      </c>
      <c r="F788" s="87" t="s">
        <v>748</v>
      </c>
      <c r="G788" s="119" t="s">
        <v>235</v>
      </c>
      <c r="H788" s="120">
        <v>11040.0</v>
      </c>
      <c r="I788" s="121">
        <v>299.0</v>
      </c>
      <c r="J788" s="122">
        <v>9.07</v>
      </c>
      <c r="K788" s="123">
        <v>3.27</v>
      </c>
      <c r="L788" s="123">
        <v>0.549</v>
      </c>
      <c r="M788" s="123">
        <v>0.569</v>
      </c>
      <c r="N788" s="124">
        <v>14.6</v>
      </c>
      <c r="O788" s="122">
        <v>2.56</v>
      </c>
      <c r="P788" s="124">
        <v>82.84</v>
      </c>
      <c r="Q788" s="109"/>
      <c r="R788" s="103">
        <f t="shared" si="1"/>
        <v>100132.8</v>
      </c>
      <c r="S788" s="103">
        <f t="shared" si="2"/>
        <v>36100.8</v>
      </c>
      <c r="T788" s="103">
        <f t="shared" si="3"/>
        <v>6060.96</v>
      </c>
      <c r="U788" s="103">
        <f t="shared" si="4"/>
        <v>6281.76</v>
      </c>
      <c r="V788" s="103">
        <f t="shared" si="5"/>
        <v>161184</v>
      </c>
      <c r="W788" s="103">
        <f t="shared" si="6"/>
        <v>28262.4</v>
      </c>
      <c r="X788" s="103">
        <f t="shared" si="7"/>
        <v>914553.6</v>
      </c>
    </row>
    <row r="789" ht="12.0" customHeight="1">
      <c r="A7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89" s="87" t="str">
        <f>IFERROR(__xludf.DUMMYFUNCTION("IFERROR(IF(F789&lt;&gt;"""",""WHSE ""&amp;LEFT(F789,1),REGEXEXTRACT(E789,""-(?:\d{2}-)?([A-Z]+)"")),"""")
"),"WHSE D")</f>
        <v>WHSE D</v>
      </c>
      <c r="C789" s="117">
        <v>46074.0</v>
      </c>
      <c r="D789" s="118" t="s">
        <v>232</v>
      </c>
      <c r="E789" s="87" t="s">
        <v>627</v>
      </c>
      <c r="F789" s="87" t="s">
        <v>628</v>
      </c>
      <c r="G789" s="119" t="s">
        <v>272</v>
      </c>
      <c r="H789" s="120">
        <v>22340.0</v>
      </c>
      <c r="I789" s="121">
        <v>683.0</v>
      </c>
      <c r="J789" s="122">
        <v>9.54</v>
      </c>
      <c r="K789" s="123">
        <v>3.07</v>
      </c>
      <c r="L789" s="123">
        <v>0.556</v>
      </c>
      <c r="M789" s="123">
        <v>0.576</v>
      </c>
      <c r="N789" s="124">
        <v>12.04</v>
      </c>
      <c r="O789" s="122">
        <v>4.1</v>
      </c>
      <c r="P789" s="124">
        <v>83.86</v>
      </c>
      <c r="Q789" s="118" t="s">
        <v>738</v>
      </c>
      <c r="R789" s="86">
        <f t="shared" si="1"/>
        <v>213123.6</v>
      </c>
      <c r="S789" s="86">
        <f t="shared" si="2"/>
        <v>68583.8</v>
      </c>
      <c r="T789" s="86">
        <f t="shared" si="3"/>
        <v>12421.04</v>
      </c>
      <c r="U789" s="86">
        <f t="shared" si="4"/>
        <v>12867.84</v>
      </c>
      <c r="V789" s="86">
        <f t="shared" si="5"/>
        <v>268973.6</v>
      </c>
      <c r="W789" s="86">
        <f t="shared" si="6"/>
        <v>91594</v>
      </c>
      <c r="X789" s="86">
        <f t="shared" si="7"/>
        <v>1873432.4</v>
      </c>
    </row>
    <row r="790" ht="12.0" customHeight="1">
      <c r="A7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90" s="87" t="str">
        <f>IFERROR(__xludf.DUMMYFUNCTION("IFERROR(IF(F790&lt;&gt;"""",""WHSE ""&amp;LEFT(F790,1),REGEXEXTRACT(E790,""-(?:\d{2}-)?([A-Z]+)"")),"""")
"),"")</f>
        <v/>
      </c>
      <c r="C790" s="108"/>
      <c r="D790" s="109"/>
      <c r="E790" s="110"/>
      <c r="F790" s="110"/>
      <c r="G790" s="111"/>
      <c r="H790" s="112"/>
      <c r="I790" s="113"/>
      <c r="J790" s="114"/>
      <c r="K790" s="115"/>
      <c r="L790" s="115"/>
      <c r="M790" s="115"/>
      <c r="N790" s="116"/>
      <c r="O790" s="114"/>
      <c r="P790" s="116"/>
      <c r="Q790" s="109"/>
      <c r="R790" s="103">
        <f t="shared" si="1"/>
        <v>0</v>
      </c>
      <c r="S790" s="103">
        <f t="shared" si="2"/>
        <v>0</v>
      </c>
      <c r="T790" s="103">
        <f t="shared" si="3"/>
        <v>0</v>
      </c>
      <c r="U790" s="103">
        <f t="shared" si="4"/>
        <v>0</v>
      </c>
      <c r="V790" s="103">
        <f t="shared" si="5"/>
        <v>0</v>
      </c>
      <c r="W790" s="103">
        <f t="shared" si="6"/>
        <v>0</v>
      </c>
      <c r="X790" s="103">
        <f t="shared" si="7"/>
        <v>0</v>
      </c>
    </row>
    <row r="791" ht="12.0" customHeight="1">
      <c r="A7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91" s="87" t="str">
        <f>IFERROR(__xludf.DUMMYFUNCTION("IFERROR(IF(F791&lt;&gt;"""",""WHSE ""&amp;LEFT(F791,1),REGEXEXTRACT(E791,""-(?:\d{2}-)?([A-Z]+)"")),"""")
"),"WHSE C")</f>
        <v>WHSE C</v>
      </c>
      <c r="C791" s="117">
        <v>46076.0</v>
      </c>
      <c r="D791" s="118" t="s">
        <v>232</v>
      </c>
      <c r="E791" s="87" t="s">
        <v>747</v>
      </c>
      <c r="F791" s="87" t="s">
        <v>748</v>
      </c>
      <c r="G791" s="119" t="s">
        <v>235</v>
      </c>
      <c r="H791" s="120">
        <v>11365.0</v>
      </c>
      <c r="I791" s="121">
        <v>336.0</v>
      </c>
      <c r="J791" s="122">
        <v>9.87</v>
      </c>
      <c r="K791" s="123">
        <v>3.13</v>
      </c>
      <c r="L791" s="123">
        <v>0.578</v>
      </c>
      <c r="M791" s="123">
        <v>0.598</v>
      </c>
      <c r="N791" s="124">
        <v>13.45</v>
      </c>
      <c r="O791" s="122">
        <v>2.8</v>
      </c>
      <c r="P791" s="124">
        <v>83.75</v>
      </c>
      <c r="Q791" s="109"/>
      <c r="R791" s="103">
        <f t="shared" si="1"/>
        <v>112172.55</v>
      </c>
      <c r="S791" s="103">
        <f t="shared" si="2"/>
        <v>35572.45</v>
      </c>
      <c r="T791" s="103">
        <f t="shared" si="3"/>
        <v>6568.97</v>
      </c>
      <c r="U791" s="103">
        <f t="shared" si="4"/>
        <v>6796.27</v>
      </c>
      <c r="V791" s="103">
        <f t="shared" si="5"/>
        <v>152859.25</v>
      </c>
      <c r="W791" s="103">
        <f t="shared" si="6"/>
        <v>31822</v>
      </c>
      <c r="X791" s="103">
        <f t="shared" si="7"/>
        <v>951818.75</v>
      </c>
    </row>
    <row r="792" ht="12.0" customHeight="1">
      <c r="A7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92" s="87" t="str">
        <f>IFERROR(__xludf.DUMMYFUNCTION("IFERROR(IF(F792&lt;&gt;"""",""WHSE ""&amp;LEFT(F792,1),REGEXEXTRACT(E792,""-(?:\d{2}-)?([A-Z]+)"")),"""")
"),"WHSE C")</f>
        <v>WHSE C</v>
      </c>
      <c r="C792" s="117">
        <v>46076.0</v>
      </c>
      <c r="D792" s="118" t="s">
        <v>232</v>
      </c>
      <c r="E792" s="87" t="s">
        <v>749</v>
      </c>
      <c r="F792" s="87" t="s">
        <v>750</v>
      </c>
      <c r="G792" s="119" t="s">
        <v>272</v>
      </c>
      <c r="H792" s="120">
        <v>20170.0</v>
      </c>
      <c r="I792" s="121">
        <v>595.0</v>
      </c>
      <c r="J792" s="122">
        <v>10.94</v>
      </c>
      <c r="K792" s="123">
        <v>3.61</v>
      </c>
      <c r="L792" s="123">
        <v>0.552</v>
      </c>
      <c r="M792" s="123">
        <v>0.572</v>
      </c>
      <c r="N792" s="124">
        <v>13.84</v>
      </c>
      <c r="O792" s="122">
        <v>3.66</v>
      </c>
      <c r="P792" s="124">
        <v>82.5</v>
      </c>
      <c r="Q792" s="109"/>
      <c r="R792" s="103">
        <f t="shared" si="1"/>
        <v>220659.8</v>
      </c>
      <c r="S792" s="103">
        <f t="shared" si="2"/>
        <v>72813.7</v>
      </c>
      <c r="T792" s="103">
        <f t="shared" si="3"/>
        <v>11133.84</v>
      </c>
      <c r="U792" s="103">
        <f t="shared" si="4"/>
        <v>11537.24</v>
      </c>
      <c r="V792" s="103">
        <f t="shared" si="5"/>
        <v>279152.8</v>
      </c>
      <c r="W792" s="103">
        <f t="shared" si="6"/>
        <v>73822.2</v>
      </c>
      <c r="X792" s="103">
        <f t="shared" si="7"/>
        <v>1664025</v>
      </c>
    </row>
    <row r="793" ht="12.0" customHeight="1">
      <c r="A7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93" s="87" t="str">
        <f>IFERROR(__xludf.DUMMYFUNCTION("IFERROR(IF(F793&lt;&gt;"""",""WHSE ""&amp;LEFT(F793,1),REGEXEXTRACT(E793,""-(?:\d{2}-)?([A-Z]+)"")),"""")
"),"WHSE D")</f>
        <v>WHSE D</v>
      </c>
      <c r="C793" s="117">
        <v>46076.0</v>
      </c>
      <c r="D793" s="118" t="s">
        <v>232</v>
      </c>
      <c r="E793" s="87" t="s">
        <v>751</v>
      </c>
      <c r="F793" s="87" t="s">
        <v>752</v>
      </c>
      <c r="G793" s="119" t="s">
        <v>732</v>
      </c>
      <c r="H793" s="120">
        <v>32455.0</v>
      </c>
      <c r="I793" s="121">
        <v>755.0</v>
      </c>
      <c r="J793" s="122">
        <v>13.74</v>
      </c>
      <c r="K793" s="123">
        <v>3.75</v>
      </c>
      <c r="L793" s="123">
        <v>0.543</v>
      </c>
      <c r="M793" s="123">
        <v>0.563</v>
      </c>
      <c r="N793" s="124">
        <v>10.36</v>
      </c>
      <c r="O793" s="122">
        <v>7.86</v>
      </c>
      <c r="P793" s="124">
        <v>81.78</v>
      </c>
      <c r="Q793" s="118" t="s">
        <v>753</v>
      </c>
      <c r="R793" s="86">
        <f t="shared" si="1"/>
        <v>445931.7</v>
      </c>
      <c r="S793" s="86">
        <f t="shared" si="2"/>
        <v>121706.25</v>
      </c>
      <c r="T793" s="86">
        <f t="shared" si="3"/>
        <v>17623.065</v>
      </c>
      <c r="U793" s="86">
        <f t="shared" si="4"/>
        <v>18272.165</v>
      </c>
      <c r="V793" s="86">
        <f t="shared" si="5"/>
        <v>336233.8</v>
      </c>
      <c r="W793" s="86">
        <f t="shared" si="6"/>
        <v>255096.3</v>
      </c>
      <c r="X793" s="86">
        <f t="shared" si="7"/>
        <v>2654169.9</v>
      </c>
    </row>
    <row r="794" ht="12.0" customHeight="1">
      <c r="A7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94" s="87" t="str">
        <f>IFERROR(__xludf.DUMMYFUNCTION("IFERROR(IF(F794&lt;&gt;"""",""WHSE ""&amp;LEFT(F794,1),REGEXEXTRACT(E794,""-(?:\d{2}-)?([A-Z]+)"")),"""")
"),"WHSE A")</f>
        <v>WHSE A</v>
      </c>
      <c r="C794" s="117">
        <v>46076.0</v>
      </c>
      <c r="D794" s="118" t="s">
        <v>72</v>
      </c>
      <c r="E794" s="87" t="s">
        <v>754</v>
      </c>
      <c r="F794" s="87" t="s">
        <v>755</v>
      </c>
      <c r="G794" s="119" t="s">
        <v>73</v>
      </c>
      <c r="H794" s="120">
        <v>18300.0</v>
      </c>
      <c r="I794" s="121">
        <v>426.0</v>
      </c>
      <c r="J794" s="122">
        <v>11.0</v>
      </c>
      <c r="K794" s="123">
        <v>2.6</v>
      </c>
      <c r="L794" s="123">
        <v>0.578</v>
      </c>
      <c r="M794" s="123">
        <v>0.598</v>
      </c>
      <c r="N794" s="124">
        <v>12.49</v>
      </c>
      <c r="O794" s="122">
        <v>3.24</v>
      </c>
      <c r="P794" s="124">
        <v>84.27</v>
      </c>
      <c r="Q794" s="109"/>
      <c r="R794" s="103">
        <f t="shared" si="1"/>
        <v>201300</v>
      </c>
      <c r="S794" s="103">
        <f t="shared" si="2"/>
        <v>47580</v>
      </c>
      <c r="T794" s="103">
        <f t="shared" si="3"/>
        <v>10577.4</v>
      </c>
      <c r="U794" s="103">
        <f t="shared" si="4"/>
        <v>10943.4</v>
      </c>
      <c r="V794" s="103">
        <f t="shared" si="5"/>
        <v>228567</v>
      </c>
      <c r="W794" s="103">
        <f t="shared" si="6"/>
        <v>59292</v>
      </c>
      <c r="X794" s="103">
        <f t="shared" si="7"/>
        <v>1542141</v>
      </c>
    </row>
    <row r="795" ht="12.0" customHeight="1">
      <c r="A7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95" s="87" t="str">
        <f>IFERROR(__xludf.DUMMYFUNCTION("IFERROR(IF(F795&lt;&gt;"""",""WHSE ""&amp;LEFT(F795,1),REGEXEXTRACT(E795,""-(?:\d{2}-)?([A-Z]+)"")),"""")
"),"WHSE D")</f>
        <v>WHSE D</v>
      </c>
      <c r="C795" s="117">
        <v>46076.0</v>
      </c>
      <c r="D795" s="118" t="s">
        <v>64</v>
      </c>
      <c r="E795" s="87" t="s">
        <v>713</v>
      </c>
      <c r="F795" s="87" t="s">
        <v>503</v>
      </c>
      <c r="G795" s="119" t="s">
        <v>65</v>
      </c>
      <c r="H795" s="120">
        <v>20820.0</v>
      </c>
      <c r="I795" s="121">
        <v>467.0</v>
      </c>
      <c r="J795" s="122">
        <v>11.2</v>
      </c>
      <c r="K795" s="123">
        <v>2.71</v>
      </c>
      <c r="L795" s="123">
        <v>0.581</v>
      </c>
      <c r="M795" s="123">
        <v>0.601</v>
      </c>
      <c r="N795" s="124">
        <v>13.4</v>
      </c>
      <c r="O795" s="122">
        <v>3.59</v>
      </c>
      <c r="P795" s="124">
        <v>83.01</v>
      </c>
      <c r="Q795" s="109"/>
      <c r="R795" s="103">
        <f t="shared" si="1"/>
        <v>233184</v>
      </c>
      <c r="S795" s="103">
        <f t="shared" si="2"/>
        <v>56422.2</v>
      </c>
      <c r="T795" s="103">
        <f t="shared" si="3"/>
        <v>12096.42</v>
      </c>
      <c r="U795" s="103">
        <f t="shared" si="4"/>
        <v>12512.82</v>
      </c>
      <c r="V795" s="103">
        <f t="shared" si="5"/>
        <v>278988</v>
      </c>
      <c r="W795" s="103">
        <f t="shared" si="6"/>
        <v>74743.8</v>
      </c>
      <c r="X795" s="103">
        <f t="shared" si="7"/>
        <v>1728268.2</v>
      </c>
    </row>
    <row r="796" ht="12.0" customHeight="1">
      <c r="A7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96" s="87" t="str">
        <f>IFERROR(__xludf.DUMMYFUNCTION("IFERROR(IF(F796&lt;&gt;"""",""WHSE ""&amp;LEFT(F796,1),REGEXEXTRACT(E796,""-(?:\d{2}-)?([A-Z]+)"")),"""")
"),"WHSE D")</f>
        <v>WHSE D</v>
      </c>
      <c r="C796" s="117">
        <v>46076.0</v>
      </c>
      <c r="D796" s="118" t="s">
        <v>304</v>
      </c>
      <c r="E796" s="87" t="s">
        <v>713</v>
      </c>
      <c r="F796" s="87" t="s">
        <v>503</v>
      </c>
      <c r="G796" s="119" t="s">
        <v>305</v>
      </c>
      <c r="H796" s="120">
        <v>16330.0</v>
      </c>
      <c r="I796" s="121">
        <v>417.0</v>
      </c>
      <c r="J796" s="122">
        <v>11.0</v>
      </c>
      <c r="K796" s="123">
        <v>2.41</v>
      </c>
      <c r="L796" s="123">
        <v>0.575</v>
      </c>
      <c r="M796" s="123">
        <v>0.595</v>
      </c>
      <c r="N796" s="124">
        <v>15.68</v>
      </c>
      <c r="O796" s="122">
        <v>2.51</v>
      </c>
      <c r="P796" s="124">
        <v>81.81</v>
      </c>
      <c r="Q796" s="109"/>
      <c r="R796" s="103">
        <f t="shared" si="1"/>
        <v>179630</v>
      </c>
      <c r="S796" s="103">
        <f t="shared" si="2"/>
        <v>39355.3</v>
      </c>
      <c r="T796" s="103">
        <f t="shared" si="3"/>
        <v>9389.75</v>
      </c>
      <c r="U796" s="103">
        <f t="shared" si="4"/>
        <v>9716.35</v>
      </c>
      <c r="V796" s="103">
        <f t="shared" si="5"/>
        <v>256054.4</v>
      </c>
      <c r="W796" s="103">
        <f t="shared" si="6"/>
        <v>40988.3</v>
      </c>
      <c r="X796" s="103">
        <f t="shared" si="7"/>
        <v>1335957.3</v>
      </c>
    </row>
    <row r="797" ht="12.0" customHeight="1">
      <c r="A7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797" s="87" t="str">
        <f>IFERROR(__xludf.DUMMYFUNCTION("IFERROR(IF(F797&lt;&gt;"""",""WHSE ""&amp;LEFT(F797,1),REGEXEXTRACT(E797,""-(?:\d{2}-)?([A-Z]+)"")),"""")
"),"")</f>
        <v/>
      </c>
      <c r="C797" s="108"/>
      <c r="D797" s="109"/>
      <c r="E797" s="110"/>
      <c r="F797" s="110"/>
      <c r="G797" s="111"/>
      <c r="H797" s="112"/>
      <c r="I797" s="113"/>
      <c r="J797" s="114"/>
      <c r="K797" s="115"/>
      <c r="L797" s="115"/>
      <c r="M797" s="115"/>
      <c r="N797" s="116"/>
      <c r="O797" s="114"/>
      <c r="P797" s="116"/>
      <c r="Q797" s="109"/>
      <c r="R797" s="103">
        <f t="shared" si="1"/>
        <v>0</v>
      </c>
      <c r="S797" s="103">
        <f t="shared" si="2"/>
        <v>0</v>
      </c>
      <c r="T797" s="103">
        <f t="shared" si="3"/>
        <v>0</v>
      </c>
      <c r="U797" s="103">
        <f t="shared" si="4"/>
        <v>0</v>
      </c>
      <c r="V797" s="103">
        <f t="shared" si="5"/>
        <v>0</v>
      </c>
      <c r="W797" s="103">
        <f t="shared" si="6"/>
        <v>0</v>
      </c>
      <c r="X797" s="103">
        <f t="shared" si="7"/>
        <v>0</v>
      </c>
    </row>
    <row r="798" ht="12.0" customHeight="1">
      <c r="A7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98" s="87" t="str">
        <f>IFERROR(__xludf.DUMMYFUNCTION("IFERROR(IF(F798&lt;&gt;"""",""WHSE ""&amp;LEFT(F798,1),REGEXEXTRACT(E798,""-(?:\d{2}-)?([A-Z]+)"")),"""")
"),"WHSE D")</f>
        <v>WHSE D</v>
      </c>
      <c r="C798" s="117">
        <v>46077.0</v>
      </c>
      <c r="D798" s="118" t="s">
        <v>70</v>
      </c>
      <c r="E798" s="87" t="s">
        <v>717</v>
      </c>
      <c r="F798" s="87" t="s">
        <v>526</v>
      </c>
      <c r="G798" s="119" t="s">
        <v>680</v>
      </c>
      <c r="H798" s="120">
        <v>16786.0</v>
      </c>
      <c r="I798" s="121">
        <v>488.0</v>
      </c>
      <c r="J798" s="122">
        <v>17.0</v>
      </c>
      <c r="K798" s="123">
        <v>2.48</v>
      </c>
      <c r="L798" s="123">
        <v>0.585</v>
      </c>
      <c r="M798" s="123">
        <v>0.605</v>
      </c>
      <c r="N798" s="124">
        <v>14.7</v>
      </c>
      <c r="O798" s="122">
        <v>3.8</v>
      </c>
      <c r="P798" s="124">
        <v>81.5</v>
      </c>
      <c r="Q798" s="118" t="s">
        <v>756</v>
      </c>
      <c r="R798" s="86">
        <f t="shared" si="1"/>
        <v>285362</v>
      </c>
      <c r="S798" s="86">
        <f t="shared" si="2"/>
        <v>41629.28</v>
      </c>
      <c r="T798" s="86">
        <f t="shared" si="3"/>
        <v>9819.81</v>
      </c>
      <c r="U798" s="86">
        <f t="shared" si="4"/>
        <v>10155.53</v>
      </c>
      <c r="V798" s="86">
        <f t="shared" si="5"/>
        <v>246754.2</v>
      </c>
      <c r="W798" s="86">
        <f t="shared" si="6"/>
        <v>63786.8</v>
      </c>
      <c r="X798" s="86">
        <f t="shared" si="7"/>
        <v>1368059</v>
      </c>
    </row>
    <row r="799" ht="12.0" customHeight="1">
      <c r="A7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799" s="87" t="str">
        <f>IFERROR(__xludf.DUMMYFUNCTION("IFERROR(IF(F799&lt;&gt;"""",""WHSE ""&amp;LEFT(F799,1),REGEXEXTRACT(E799,""-(?:\d{2}-)?([A-Z]+)"")),"""")
"),"FEED")</f>
        <v>FEED</v>
      </c>
      <c r="C799" s="117">
        <v>46077.0</v>
      </c>
      <c r="D799" s="118" t="s">
        <v>286</v>
      </c>
      <c r="E799" s="87" t="s">
        <v>757</v>
      </c>
      <c r="F799" s="110"/>
      <c r="G799" s="119" t="s">
        <v>77</v>
      </c>
      <c r="H799" s="120">
        <v>19130.0</v>
      </c>
      <c r="I799" s="121">
        <v>476.0</v>
      </c>
      <c r="J799" s="122">
        <v>9.8</v>
      </c>
      <c r="K799" s="123">
        <v>2.71</v>
      </c>
      <c r="L799" s="123">
        <v>0.575</v>
      </c>
      <c r="M799" s="123">
        <v>0.595</v>
      </c>
      <c r="N799" s="124">
        <v>13.25</v>
      </c>
      <c r="O799" s="122">
        <v>2.84</v>
      </c>
      <c r="P799" s="124">
        <v>83.91</v>
      </c>
      <c r="Q799" s="109"/>
      <c r="R799" s="103">
        <f t="shared" si="1"/>
        <v>187474</v>
      </c>
      <c r="S799" s="103">
        <f t="shared" si="2"/>
        <v>51842.3</v>
      </c>
      <c r="T799" s="103">
        <f t="shared" si="3"/>
        <v>10999.75</v>
      </c>
      <c r="U799" s="103">
        <f t="shared" si="4"/>
        <v>11382.35</v>
      </c>
      <c r="V799" s="103">
        <f t="shared" si="5"/>
        <v>253472.5</v>
      </c>
      <c r="W799" s="103">
        <f t="shared" si="6"/>
        <v>54329.2</v>
      </c>
      <c r="X799" s="103">
        <f t="shared" si="7"/>
        <v>1605198.3</v>
      </c>
    </row>
    <row r="800" ht="12.0" customHeight="1">
      <c r="A8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00" s="87" t="str">
        <f>IFERROR(__xludf.DUMMYFUNCTION("IFERROR(IF(F800&lt;&gt;"""",""WHSE ""&amp;LEFT(F800,1),REGEXEXTRACT(E800,""-(?:\d{2}-)?([A-Z]+)"")),"""")
"),"WHSE D")</f>
        <v>WHSE D</v>
      </c>
      <c r="C800" s="117">
        <v>46077.0</v>
      </c>
      <c r="D800" s="118" t="s">
        <v>232</v>
      </c>
      <c r="E800" s="87" t="s">
        <v>751</v>
      </c>
      <c r="F800" s="87" t="s">
        <v>752</v>
      </c>
      <c r="G800" s="119" t="s">
        <v>758</v>
      </c>
      <c r="H800" s="120">
        <v>23593.0</v>
      </c>
      <c r="I800" s="121">
        <v>455.0</v>
      </c>
      <c r="J800" s="122">
        <v>11.2</v>
      </c>
      <c r="K800" s="123">
        <v>3.88</v>
      </c>
      <c r="L800" s="123">
        <v>0.568</v>
      </c>
      <c r="M800" s="123">
        <v>0.588</v>
      </c>
      <c r="N800" s="124">
        <v>12.43</v>
      </c>
      <c r="O800" s="122">
        <v>5.66</v>
      </c>
      <c r="P800" s="124">
        <v>81.91</v>
      </c>
      <c r="Q800" s="118" t="s">
        <v>759</v>
      </c>
      <c r="R800" s="86">
        <f t="shared" si="1"/>
        <v>264241.6</v>
      </c>
      <c r="S800" s="86">
        <f t="shared" si="2"/>
        <v>91540.84</v>
      </c>
      <c r="T800" s="86">
        <f t="shared" si="3"/>
        <v>13400.824</v>
      </c>
      <c r="U800" s="86">
        <f t="shared" si="4"/>
        <v>13872.684</v>
      </c>
      <c r="V800" s="86">
        <f t="shared" si="5"/>
        <v>293260.99</v>
      </c>
      <c r="W800" s="86">
        <f t="shared" si="6"/>
        <v>133536.38</v>
      </c>
      <c r="X800" s="86">
        <f t="shared" si="7"/>
        <v>1932502.63</v>
      </c>
    </row>
    <row r="801" ht="12.0" customHeight="1">
      <c r="A8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01" s="87" t="str">
        <f>IFERROR(__xludf.DUMMYFUNCTION("IFERROR(IF(F801&lt;&gt;"""",""WHSE ""&amp;LEFT(F801,1),REGEXEXTRACT(E801,""-(?:\d{2}-)?([A-Z]+)"")),"""")
"),"WHSE C")</f>
        <v>WHSE C</v>
      </c>
      <c r="C801" s="117">
        <v>46077.0</v>
      </c>
      <c r="D801" s="118" t="s">
        <v>232</v>
      </c>
      <c r="E801" s="87" t="s">
        <v>747</v>
      </c>
      <c r="F801" s="87" t="s">
        <v>748</v>
      </c>
      <c r="G801" s="119" t="s">
        <v>668</v>
      </c>
      <c r="H801" s="120">
        <v>11665.0</v>
      </c>
      <c r="I801" s="121">
        <v>290.0</v>
      </c>
      <c r="J801" s="122">
        <v>10.07</v>
      </c>
      <c r="K801" s="123">
        <v>3.8</v>
      </c>
      <c r="L801" s="123">
        <v>0.559</v>
      </c>
      <c r="M801" s="123">
        <v>0.579</v>
      </c>
      <c r="N801" s="124">
        <v>14.36</v>
      </c>
      <c r="O801" s="122">
        <v>3.64</v>
      </c>
      <c r="P801" s="124">
        <v>82.0</v>
      </c>
      <c r="Q801" s="109"/>
      <c r="R801" s="103">
        <f t="shared" si="1"/>
        <v>117466.55</v>
      </c>
      <c r="S801" s="103">
        <f t="shared" si="2"/>
        <v>44327</v>
      </c>
      <c r="T801" s="103">
        <f t="shared" si="3"/>
        <v>6520.735</v>
      </c>
      <c r="U801" s="103">
        <f t="shared" si="4"/>
        <v>6754.035</v>
      </c>
      <c r="V801" s="103">
        <f t="shared" si="5"/>
        <v>167509.4</v>
      </c>
      <c r="W801" s="103">
        <f t="shared" si="6"/>
        <v>42460.6</v>
      </c>
      <c r="X801" s="103">
        <f t="shared" si="7"/>
        <v>956530</v>
      </c>
    </row>
    <row r="802" ht="12.0" customHeight="1">
      <c r="A8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02" s="87" t="str">
        <f>IFERROR(__xludf.DUMMYFUNCTION("IFERROR(IF(F802&lt;&gt;"""",""WHSE ""&amp;LEFT(F802,1),REGEXEXTRACT(E802,""-(?:\d{2}-)?([A-Z]+)"")),"""")
"),"WHSE C")</f>
        <v>WHSE C</v>
      </c>
      <c r="C802" s="117">
        <v>46077.0</v>
      </c>
      <c r="D802" s="118" t="s">
        <v>232</v>
      </c>
      <c r="E802" s="87" t="s">
        <v>747</v>
      </c>
      <c r="F802" s="87" t="s">
        <v>748</v>
      </c>
      <c r="G802" s="119" t="s">
        <v>235</v>
      </c>
      <c r="H802" s="120">
        <v>12535.0</v>
      </c>
      <c r="I802" s="121">
        <v>360.0</v>
      </c>
      <c r="J802" s="122">
        <v>9.67</v>
      </c>
      <c r="K802" s="123">
        <v>3.11</v>
      </c>
      <c r="L802" s="123">
        <v>0.578</v>
      </c>
      <c r="M802" s="123">
        <v>0.598</v>
      </c>
      <c r="N802" s="124">
        <v>13.96</v>
      </c>
      <c r="O802" s="122">
        <v>2.93</v>
      </c>
      <c r="P802" s="124">
        <v>83.11</v>
      </c>
      <c r="Q802" s="109"/>
      <c r="R802" s="103">
        <f t="shared" si="1"/>
        <v>121213.45</v>
      </c>
      <c r="S802" s="103">
        <f t="shared" si="2"/>
        <v>38983.85</v>
      </c>
      <c r="T802" s="103">
        <f t="shared" si="3"/>
        <v>7245.23</v>
      </c>
      <c r="U802" s="103">
        <f t="shared" si="4"/>
        <v>7495.93</v>
      </c>
      <c r="V802" s="103">
        <f t="shared" si="5"/>
        <v>174988.6</v>
      </c>
      <c r="W802" s="103">
        <f t="shared" si="6"/>
        <v>36727.55</v>
      </c>
      <c r="X802" s="103">
        <f t="shared" si="7"/>
        <v>1041783.85</v>
      </c>
    </row>
    <row r="803" ht="12.0" customHeight="1">
      <c r="A8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03" s="87" t="str">
        <f>IFERROR(__xludf.DUMMYFUNCTION("IFERROR(IF(F803&lt;&gt;"""",""WHSE ""&amp;LEFT(F803,1),REGEXEXTRACT(E803,""-(?:\d{2}-)?([A-Z]+)"")),"""")
"),"WHSE D")</f>
        <v>WHSE D</v>
      </c>
      <c r="C803" s="117">
        <v>46077.0</v>
      </c>
      <c r="D803" s="118" t="s">
        <v>60</v>
      </c>
      <c r="E803" s="87" t="s">
        <v>760</v>
      </c>
      <c r="F803" s="87" t="s">
        <v>761</v>
      </c>
      <c r="G803" s="119" t="s">
        <v>514</v>
      </c>
      <c r="H803" s="120">
        <v>13580.0</v>
      </c>
      <c r="I803" s="121">
        <v>324.0</v>
      </c>
      <c r="J803" s="122">
        <v>15.14</v>
      </c>
      <c r="K803" s="123">
        <v>2.38</v>
      </c>
      <c r="L803" s="123">
        <v>0.571</v>
      </c>
      <c r="M803" s="123">
        <v>0.591</v>
      </c>
      <c r="N803" s="124">
        <v>12.78</v>
      </c>
      <c r="O803" s="122">
        <v>3.46</v>
      </c>
      <c r="P803" s="124">
        <v>83.76</v>
      </c>
      <c r="Q803" s="118" t="s">
        <v>762</v>
      </c>
      <c r="R803" s="86">
        <f t="shared" si="1"/>
        <v>205601.2</v>
      </c>
      <c r="S803" s="86">
        <f t="shared" si="2"/>
        <v>32320.4</v>
      </c>
      <c r="T803" s="86">
        <f t="shared" si="3"/>
        <v>7754.18</v>
      </c>
      <c r="U803" s="86">
        <f t="shared" si="4"/>
        <v>8025.78</v>
      </c>
      <c r="V803" s="86">
        <f t="shared" si="5"/>
        <v>173552.4</v>
      </c>
      <c r="W803" s="86">
        <f t="shared" si="6"/>
        <v>46986.8</v>
      </c>
      <c r="X803" s="86">
        <f t="shared" si="7"/>
        <v>1137460.8</v>
      </c>
    </row>
    <row r="804" ht="12.0" customHeight="1">
      <c r="A8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04" s="87" t="str">
        <f>IFERROR(__xludf.DUMMYFUNCTION("IFERROR(IF(F804&lt;&gt;"""",""WHSE ""&amp;LEFT(F804,1),REGEXEXTRACT(E804,""-(?:\d{2}-)?([A-Z]+)"")),"""")
"),"")</f>
        <v/>
      </c>
      <c r="C804" s="108"/>
      <c r="D804" s="109"/>
      <c r="E804" s="110"/>
      <c r="F804" s="110"/>
      <c r="G804" s="111"/>
      <c r="H804" s="112"/>
      <c r="I804" s="113"/>
      <c r="J804" s="114"/>
      <c r="K804" s="115"/>
      <c r="L804" s="115"/>
      <c r="M804" s="115"/>
      <c r="N804" s="116"/>
      <c r="O804" s="114"/>
      <c r="P804" s="116"/>
      <c r="Q804" s="109"/>
      <c r="R804" s="103">
        <f t="shared" si="1"/>
        <v>0</v>
      </c>
      <c r="S804" s="103">
        <f t="shared" si="2"/>
        <v>0</v>
      </c>
      <c r="T804" s="103">
        <f t="shared" si="3"/>
        <v>0</v>
      </c>
      <c r="U804" s="103">
        <f t="shared" si="4"/>
        <v>0</v>
      </c>
      <c r="V804" s="103">
        <f t="shared" si="5"/>
        <v>0</v>
      </c>
      <c r="W804" s="103">
        <f t="shared" si="6"/>
        <v>0</v>
      </c>
      <c r="X804" s="103">
        <f t="shared" si="7"/>
        <v>0</v>
      </c>
    </row>
    <row r="805" ht="12.0" customHeight="1">
      <c r="A8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05" s="87" t="str">
        <f>IFERROR(__xludf.DUMMYFUNCTION("IFERROR(IF(F805&lt;&gt;"""",""WHSE ""&amp;LEFT(F805,1),REGEXEXTRACT(E805,""-(?:\d{2}-)?([A-Z]+)"")),"""")
"),"WHSE D")</f>
        <v>WHSE D</v>
      </c>
      <c r="C805" s="117">
        <v>46078.0</v>
      </c>
      <c r="D805" s="118" t="s">
        <v>279</v>
      </c>
      <c r="E805" s="87" t="s">
        <v>713</v>
      </c>
      <c r="F805" s="87" t="s">
        <v>503</v>
      </c>
      <c r="G805" s="119" t="s">
        <v>547</v>
      </c>
      <c r="H805" s="120">
        <v>9995.0</v>
      </c>
      <c r="I805" s="121">
        <v>210.0</v>
      </c>
      <c r="J805" s="122">
        <v>11.24</v>
      </c>
      <c r="K805" s="123">
        <v>2.53</v>
      </c>
      <c r="L805" s="123">
        <v>0.585</v>
      </c>
      <c r="M805" s="123">
        <v>0.605</v>
      </c>
      <c r="N805" s="124">
        <v>14.88</v>
      </c>
      <c r="O805" s="122">
        <v>3.04</v>
      </c>
      <c r="P805" s="124">
        <v>82.08</v>
      </c>
      <c r="Q805" s="109"/>
      <c r="R805" s="103">
        <f t="shared" si="1"/>
        <v>112343.8</v>
      </c>
      <c r="S805" s="103">
        <f t="shared" si="2"/>
        <v>25287.35</v>
      </c>
      <c r="T805" s="103">
        <f t="shared" si="3"/>
        <v>5847.075</v>
      </c>
      <c r="U805" s="103">
        <f t="shared" si="4"/>
        <v>6046.975</v>
      </c>
      <c r="V805" s="103">
        <f t="shared" si="5"/>
        <v>148725.6</v>
      </c>
      <c r="W805" s="103">
        <f t="shared" si="6"/>
        <v>30384.8</v>
      </c>
      <c r="X805" s="103">
        <f t="shared" si="7"/>
        <v>820389.6</v>
      </c>
    </row>
    <row r="806" ht="12.0" customHeight="1">
      <c r="A8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06" s="87" t="str">
        <f>IFERROR(__xludf.DUMMYFUNCTION("IFERROR(IF(F806&lt;&gt;"""",""WHSE ""&amp;LEFT(F806,1),REGEXEXTRACT(E806,""-(?:\d{2}-)?([A-Z]+)"")),"""")
"),"WHSE D")</f>
        <v>WHSE D</v>
      </c>
      <c r="C806" s="117">
        <v>46078.0</v>
      </c>
      <c r="D806" s="118" t="s">
        <v>279</v>
      </c>
      <c r="E806" s="87" t="s">
        <v>713</v>
      </c>
      <c r="F806" s="87" t="s">
        <v>503</v>
      </c>
      <c r="G806" s="125" t="s">
        <v>282</v>
      </c>
      <c r="H806" s="120">
        <v>6270.0</v>
      </c>
      <c r="I806" s="121">
        <v>115.0</v>
      </c>
      <c r="J806" s="122">
        <v>11.54</v>
      </c>
      <c r="K806" s="123">
        <v>2.42</v>
      </c>
      <c r="L806" s="123">
        <v>0.581</v>
      </c>
      <c r="M806" s="123">
        <v>0.601</v>
      </c>
      <c r="N806" s="124">
        <v>14.7</v>
      </c>
      <c r="O806" s="122">
        <v>2.85</v>
      </c>
      <c r="P806" s="124">
        <v>82.45</v>
      </c>
      <c r="Q806" s="109"/>
      <c r="R806" s="103">
        <f t="shared" si="1"/>
        <v>72355.8</v>
      </c>
      <c r="S806" s="103">
        <f t="shared" si="2"/>
        <v>15173.4</v>
      </c>
      <c r="T806" s="103">
        <f t="shared" si="3"/>
        <v>3642.87</v>
      </c>
      <c r="U806" s="103">
        <f t="shared" si="4"/>
        <v>3768.27</v>
      </c>
      <c r="V806" s="103">
        <f t="shared" si="5"/>
        <v>92169</v>
      </c>
      <c r="W806" s="103">
        <f t="shared" si="6"/>
        <v>17869.5</v>
      </c>
      <c r="X806" s="103">
        <f t="shared" si="7"/>
        <v>516961.5</v>
      </c>
    </row>
    <row r="807" ht="12.0" customHeight="1">
      <c r="A8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07" s="87" t="str">
        <f>IFERROR(__xludf.DUMMYFUNCTION("IFERROR(IF(F807&lt;&gt;"""",""WHSE ""&amp;LEFT(F807,1),REGEXEXTRACT(E807,""-(?:\d{2}-)?([A-Z]+)"")),"""")
"),"WHSE C")</f>
        <v>WHSE C</v>
      </c>
      <c r="C807" s="117">
        <v>46078.0</v>
      </c>
      <c r="D807" s="118" t="s">
        <v>232</v>
      </c>
      <c r="E807" s="87" t="s">
        <v>749</v>
      </c>
      <c r="F807" s="87" t="s">
        <v>750</v>
      </c>
      <c r="G807" s="119" t="s">
        <v>669</v>
      </c>
      <c r="H807" s="120">
        <v>17095.0</v>
      </c>
      <c r="I807" s="121">
        <v>474.0</v>
      </c>
      <c r="J807" s="122">
        <v>10.2</v>
      </c>
      <c r="K807" s="123">
        <v>3.66</v>
      </c>
      <c r="L807" s="123">
        <v>0.578</v>
      </c>
      <c r="M807" s="123">
        <v>0.598</v>
      </c>
      <c r="N807" s="124">
        <v>13.43</v>
      </c>
      <c r="O807" s="122">
        <v>4.61</v>
      </c>
      <c r="P807" s="124">
        <v>81.96</v>
      </c>
      <c r="Q807" s="109"/>
      <c r="R807" s="103">
        <f t="shared" si="1"/>
        <v>174369</v>
      </c>
      <c r="S807" s="103">
        <f t="shared" si="2"/>
        <v>62567.7</v>
      </c>
      <c r="T807" s="103">
        <f t="shared" si="3"/>
        <v>9880.91</v>
      </c>
      <c r="U807" s="103">
        <f t="shared" si="4"/>
        <v>10222.81</v>
      </c>
      <c r="V807" s="103">
        <f t="shared" si="5"/>
        <v>229585.85</v>
      </c>
      <c r="W807" s="103">
        <f t="shared" si="6"/>
        <v>78807.95</v>
      </c>
      <c r="X807" s="103">
        <f t="shared" si="7"/>
        <v>1401106.2</v>
      </c>
    </row>
    <row r="808" ht="12.0" customHeight="1">
      <c r="A8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08" s="87" t="str">
        <f>IFERROR(__xludf.DUMMYFUNCTION("IFERROR(IF(F808&lt;&gt;"""",""WHSE ""&amp;LEFT(F808,1),REGEXEXTRACT(E808,""-(?:\d{2}-)?([A-Z]+)"")),"""")
"),"WHSE C")</f>
        <v>WHSE C</v>
      </c>
      <c r="C808" s="117">
        <v>46078.0</v>
      </c>
      <c r="D808" s="118" t="s">
        <v>232</v>
      </c>
      <c r="E808" s="87" t="s">
        <v>763</v>
      </c>
      <c r="F808" s="87" t="s">
        <v>764</v>
      </c>
      <c r="G808" s="119" t="s">
        <v>235</v>
      </c>
      <c r="H808" s="120">
        <v>13010.0</v>
      </c>
      <c r="I808" s="121">
        <v>334.0</v>
      </c>
      <c r="J808" s="122">
        <v>12.8</v>
      </c>
      <c r="K808" s="123">
        <v>3.73</v>
      </c>
      <c r="L808" s="123">
        <v>0.578</v>
      </c>
      <c r="M808" s="123">
        <v>0.598</v>
      </c>
      <c r="N808" s="124">
        <v>13.7</v>
      </c>
      <c r="O808" s="122">
        <v>3.09</v>
      </c>
      <c r="P808" s="124">
        <v>83.21</v>
      </c>
      <c r="Q808" s="118" t="s">
        <v>765</v>
      </c>
      <c r="R808" s="86">
        <f t="shared" si="1"/>
        <v>166528</v>
      </c>
      <c r="S808" s="86">
        <f t="shared" si="2"/>
        <v>48527.3</v>
      </c>
      <c r="T808" s="86">
        <f t="shared" si="3"/>
        <v>7519.78</v>
      </c>
      <c r="U808" s="86">
        <f t="shared" si="4"/>
        <v>7779.98</v>
      </c>
      <c r="V808" s="86">
        <f t="shared" si="5"/>
        <v>178237</v>
      </c>
      <c r="W808" s="86">
        <f t="shared" si="6"/>
        <v>40200.9</v>
      </c>
      <c r="X808" s="86">
        <f t="shared" si="7"/>
        <v>1082562.1</v>
      </c>
    </row>
    <row r="809" ht="12.0" customHeight="1">
      <c r="A8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09" s="87" t="str">
        <f>IFERROR(__xludf.DUMMYFUNCTION("IFERROR(IF(F809&lt;&gt;"""",""WHSE ""&amp;LEFT(F809,1),REGEXEXTRACT(E809,""-(?:\d{2}-)?([A-Z]+)"")),"""")
"),"WHSE P")</f>
        <v>WHSE P</v>
      </c>
      <c r="C809" s="117">
        <v>46078.0</v>
      </c>
      <c r="D809" s="118" t="s">
        <v>719</v>
      </c>
      <c r="E809" s="87" t="s">
        <v>720</v>
      </c>
      <c r="F809" s="87" t="s">
        <v>721</v>
      </c>
      <c r="G809" s="111"/>
      <c r="H809" s="120">
        <v>5765.0</v>
      </c>
      <c r="I809" s="121">
        <v>12.0</v>
      </c>
      <c r="J809" s="122">
        <v>9.64</v>
      </c>
      <c r="K809" s="123">
        <v>2.56</v>
      </c>
      <c r="L809" s="123">
        <v>0.578</v>
      </c>
      <c r="M809" s="123">
        <v>0.598</v>
      </c>
      <c r="N809" s="124">
        <v>11.92</v>
      </c>
      <c r="O809" s="122">
        <v>3.98</v>
      </c>
      <c r="P809" s="124">
        <v>84.11</v>
      </c>
      <c r="Q809" s="118" t="s">
        <v>686</v>
      </c>
      <c r="R809" s="86">
        <f t="shared" si="1"/>
        <v>55574.6</v>
      </c>
      <c r="S809" s="86">
        <f t="shared" si="2"/>
        <v>14758.4</v>
      </c>
      <c r="T809" s="86">
        <f t="shared" si="3"/>
        <v>3332.17</v>
      </c>
      <c r="U809" s="86">
        <f t="shared" si="4"/>
        <v>3447.47</v>
      </c>
      <c r="V809" s="86">
        <f t="shared" si="5"/>
        <v>68718.8</v>
      </c>
      <c r="W809" s="86">
        <f t="shared" si="6"/>
        <v>22944.7</v>
      </c>
      <c r="X809" s="86">
        <f t="shared" si="7"/>
        <v>484894.15</v>
      </c>
    </row>
    <row r="810" ht="12.0" customHeight="1">
      <c r="A8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10" s="87" t="str">
        <f>IFERROR(__xludf.DUMMYFUNCTION("IFERROR(IF(F810&lt;&gt;"""",""WHSE ""&amp;LEFT(F810,1),REGEXEXTRACT(E810,""-(?:\d{2}-)?([A-Z]+)"")),"""")
"),"")</f>
        <v/>
      </c>
      <c r="C810" s="108"/>
      <c r="D810" s="109"/>
      <c r="E810" s="110"/>
      <c r="F810" s="110"/>
      <c r="G810" s="111"/>
      <c r="H810" s="112"/>
      <c r="I810" s="113"/>
      <c r="J810" s="114"/>
      <c r="K810" s="115"/>
      <c r="L810" s="115"/>
      <c r="M810" s="115"/>
      <c r="N810" s="116"/>
      <c r="O810" s="114"/>
      <c r="P810" s="116"/>
      <c r="Q810" s="109"/>
      <c r="R810" s="103">
        <f t="shared" si="1"/>
        <v>0</v>
      </c>
      <c r="S810" s="103">
        <f t="shared" si="2"/>
        <v>0</v>
      </c>
      <c r="T810" s="103">
        <f t="shared" si="3"/>
        <v>0</v>
      </c>
      <c r="U810" s="103">
        <f t="shared" si="4"/>
        <v>0</v>
      </c>
      <c r="V810" s="103">
        <f t="shared" si="5"/>
        <v>0</v>
      </c>
      <c r="W810" s="103">
        <f t="shared" si="6"/>
        <v>0</v>
      </c>
      <c r="X810" s="103">
        <f t="shared" si="7"/>
        <v>0</v>
      </c>
    </row>
    <row r="811" ht="12.0" customHeight="1">
      <c r="A8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11" s="87" t="str">
        <f>IFERROR(__xludf.DUMMYFUNCTION("IFERROR(IF(F811&lt;&gt;"""",""WHSE ""&amp;LEFT(F811,1),REGEXEXTRACT(E811,""-(?:\d{2}-)?([A-Z]+)"")),"""")
"),"WHSE C")</f>
        <v>WHSE C</v>
      </c>
      <c r="C811" s="117">
        <v>46079.0</v>
      </c>
      <c r="D811" s="118" t="s">
        <v>232</v>
      </c>
      <c r="E811" s="87" t="s">
        <v>763</v>
      </c>
      <c r="F811" s="87" t="s">
        <v>764</v>
      </c>
      <c r="G811" s="119" t="s">
        <v>235</v>
      </c>
      <c r="H811" s="120">
        <v>13520.0</v>
      </c>
      <c r="I811" s="121">
        <v>386.0</v>
      </c>
      <c r="J811" s="122">
        <v>12.6</v>
      </c>
      <c r="K811" s="123">
        <v>3.82</v>
      </c>
      <c r="L811" s="123">
        <v>0.568</v>
      </c>
      <c r="M811" s="123">
        <v>0.588</v>
      </c>
      <c r="N811" s="124">
        <v>11.8</v>
      </c>
      <c r="O811" s="122">
        <v>6.36</v>
      </c>
      <c r="P811" s="124">
        <v>81.84</v>
      </c>
      <c r="Q811" s="118" t="s">
        <v>766</v>
      </c>
      <c r="R811" s="86">
        <f t="shared" si="1"/>
        <v>170352</v>
      </c>
      <c r="S811" s="86">
        <f t="shared" si="2"/>
        <v>51646.4</v>
      </c>
      <c r="T811" s="86">
        <f t="shared" si="3"/>
        <v>7679.36</v>
      </c>
      <c r="U811" s="86">
        <f t="shared" si="4"/>
        <v>7949.76</v>
      </c>
      <c r="V811" s="86">
        <f t="shared" si="5"/>
        <v>159536</v>
      </c>
      <c r="W811" s="86">
        <f t="shared" si="6"/>
        <v>85987.2</v>
      </c>
      <c r="X811" s="86">
        <f t="shared" si="7"/>
        <v>1106476.8</v>
      </c>
    </row>
    <row r="812" ht="12.0" customHeight="1">
      <c r="A8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12" s="87" t="str">
        <f>IFERROR(__xludf.DUMMYFUNCTION("IFERROR(IF(F812&lt;&gt;"""",""WHSE ""&amp;LEFT(F812,1),REGEXEXTRACT(E812,""-(?:\d{2}-)?([A-Z]+)"")),"""")
"),"WHSE C")</f>
        <v>WHSE C</v>
      </c>
      <c r="C812" s="117">
        <v>46079.0</v>
      </c>
      <c r="D812" s="118" t="s">
        <v>232</v>
      </c>
      <c r="E812" s="87" t="s">
        <v>767</v>
      </c>
      <c r="F812" s="87" t="s">
        <v>523</v>
      </c>
      <c r="G812" s="119" t="s">
        <v>255</v>
      </c>
      <c r="H812" s="120">
        <v>19855.0</v>
      </c>
      <c r="I812" s="121">
        <v>586.0</v>
      </c>
      <c r="J812" s="122">
        <v>12.0</v>
      </c>
      <c r="K812" s="123">
        <v>2.44</v>
      </c>
      <c r="L812" s="123">
        <v>0.571</v>
      </c>
      <c r="M812" s="123">
        <v>0.591</v>
      </c>
      <c r="N812" s="124">
        <v>13.76</v>
      </c>
      <c r="O812" s="122">
        <v>4.06</v>
      </c>
      <c r="P812" s="124">
        <v>82.18</v>
      </c>
      <c r="Q812" s="109"/>
      <c r="R812" s="103">
        <f t="shared" si="1"/>
        <v>238260</v>
      </c>
      <c r="S812" s="103">
        <f t="shared" si="2"/>
        <v>48446.2</v>
      </c>
      <c r="T812" s="103">
        <f t="shared" si="3"/>
        <v>11337.205</v>
      </c>
      <c r="U812" s="103">
        <f t="shared" si="4"/>
        <v>11734.305</v>
      </c>
      <c r="V812" s="103">
        <f t="shared" si="5"/>
        <v>273204.8</v>
      </c>
      <c r="W812" s="103">
        <f t="shared" si="6"/>
        <v>80611.3</v>
      </c>
      <c r="X812" s="103">
        <f t="shared" si="7"/>
        <v>1631683.9</v>
      </c>
    </row>
    <row r="813" ht="12.0" customHeight="1">
      <c r="A8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13" s="87" t="str">
        <f>IFERROR(__xludf.DUMMYFUNCTION("IFERROR(IF(F813&lt;&gt;"""",""WHSE ""&amp;LEFT(F813,1),REGEXEXTRACT(E813,""-(?:\d{2}-)?([A-Z]+)"")),"""")
"),"WHSE C")</f>
        <v>WHSE C</v>
      </c>
      <c r="C813" s="117">
        <v>46079.0</v>
      </c>
      <c r="D813" s="118" t="s">
        <v>232</v>
      </c>
      <c r="E813" s="87" t="s">
        <v>767</v>
      </c>
      <c r="F813" s="87" t="s">
        <v>523</v>
      </c>
      <c r="G813" s="119" t="s">
        <v>272</v>
      </c>
      <c r="H813" s="120">
        <v>21070.0</v>
      </c>
      <c r="I813" s="121">
        <v>612.0</v>
      </c>
      <c r="J813" s="122">
        <v>10.8</v>
      </c>
      <c r="K813" s="123">
        <v>2.38</v>
      </c>
      <c r="L813" s="123">
        <v>0.578</v>
      </c>
      <c r="M813" s="123">
        <v>0.598</v>
      </c>
      <c r="N813" s="124">
        <v>14.08</v>
      </c>
      <c r="O813" s="122">
        <v>3.84</v>
      </c>
      <c r="P813" s="124">
        <v>82.08</v>
      </c>
      <c r="Q813" s="109"/>
      <c r="R813" s="103">
        <f t="shared" si="1"/>
        <v>227556</v>
      </c>
      <c r="S813" s="103">
        <f t="shared" si="2"/>
        <v>50146.6</v>
      </c>
      <c r="T813" s="103">
        <f t="shared" si="3"/>
        <v>12178.46</v>
      </c>
      <c r="U813" s="103">
        <f t="shared" si="4"/>
        <v>12599.86</v>
      </c>
      <c r="V813" s="103">
        <f t="shared" si="5"/>
        <v>296665.6</v>
      </c>
      <c r="W813" s="103">
        <f t="shared" si="6"/>
        <v>80908.8</v>
      </c>
      <c r="X813" s="103">
        <f t="shared" si="7"/>
        <v>1729425.6</v>
      </c>
    </row>
    <row r="814" ht="12.0" customHeight="1">
      <c r="A8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14" s="87" t="str">
        <f>IFERROR(__xludf.DUMMYFUNCTION("IFERROR(IF(F814&lt;&gt;"""",""WHSE ""&amp;LEFT(F814,1),REGEXEXTRACT(E814,""-(?:\d{2}-)?([A-Z]+)"")),"""")
"),"WHSE A")</f>
        <v>WHSE A</v>
      </c>
      <c r="C814" s="117">
        <v>46079.0</v>
      </c>
      <c r="D814" s="118" t="s">
        <v>72</v>
      </c>
      <c r="E814" s="87" t="s">
        <v>754</v>
      </c>
      <c r="F814" s="87" t="s">
        <v>755</v>
      </c>
      <c r="G814" s="119" t="s">
        <v>73</v>
      </c>
      <c r="H814" s="120">
        <v>18345.0</v>
      </c>
      <c r="I814" s="121">
        <v>516.0</v>
      </c>
      <c r="J814" s="122">
        <v>10.67</v>
      </c>
      <c r="K814" s="123">
        <v>2.37</v>
      </c>
      <c r="L814" s="123">
        <v>0.581</v>
      </c>
      <c r="M814" s="123">
        <v>0.601</v>
      </c>
      <c r="N814" s="124">
        <v>14.56</v>
      </c>
      <c r="O814" s="122">
        <v>2.56</v>
      </c>
      <c r="P814" s="124">
        <v>82.88</v>
      </c>
      <c r="Q814" s="109"/>
      <c r="R814" s="103">
        <f t="shared" si="1"/>
        <v>195741.15</v>
      </c>
      <c r="S814" s="103">
        <f t="shared" si="2"/>
        <v>43477.65</v>
      </c>
      <c r="T814" s="103">
        <f t="shared" si="3"/>
        <v>10658.445</v>
      </c>
      <c r="U814" s="103">
        <f t="shared" si="4"/>
        <v>11025.345</v>
      </c>
      <c r="V814" s="103">
        <f t="shared" si="5"/>
        <v>267103.2</v>
      </c>
      <c r="W814" s="103">
        <f t="shared" si="6"/>
        <v>46963.2</v>
      </c>
      <c r="X814" s="103">
        <f t="shared" si="7"/>
        <v>1520433.6</v>
      </c>
    </row>
    <row r="815" ht="12.0" customHeight="1">
      <c r="A8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15" s="87" t="str">
        <f>IFERROR(__xludf.DUMMYFUNCTION("IFERROR(IF(F815&lt;&gt;"""",""WHSE ""&amp;LEFT(F815,1),REGEXEXTRACT(E815,""-(?:\d{2}-)?([A-Z]+)"")),"""")
"),"WHSE A")</f>
        <v>WHSE A</v>
      </c>
      <c r="C815" s="117">
        <v>46079.0</v>
      </c>
      <c r="D815" s="118" t="s">
        <v>72</v>
      </c>
      <c r="E815" s="87" t="s">
        <v>754</v>
      </c>
      <c r="F815" s="87" t="s">
        <v>755</v>
      </c>
      <c r="G815" s="119" t="s">
        <v>77</v>
      </c>
      <c r="H815" s="120">
        <v>17905.0</v>
      </c>
      <c r="I815" s="121">
        <v>423.0</v>
      </c>
      <c r="J815" s="122">
        <v>11.34</v>
      </c>
      <c r="K815" s="123">
        <v>2.61</v>
      </c>
      <c r="L815" s="123">
        <v>0.578</v>
      </c>
      <c r="M815" s="123">
        <v>0.598</v>
      </c>
      <c r="N815" s="124">
        <v>12.14</v>
      </c>
      <c r="O815" s="122">
        <v>3.67</v>
      </c>
      <c r="P815" s="124">
        <v>84.19</v>
      </c>
      <c r="Q815" s="109"/>
      <c r="R815" s="103">
        <f t="shared" si="1"/>
        <v>203042.7</v>
      </c>
      <c r="S815" s="103">
        <f t="shared" si="2"/>
        <v>46732.05</v>
      </c>
      <c r="T815" s="103">
        <f t="shared" si="3"/>
        <v>10349.09</v>
      </c>
      <c r="U815" s="103">
        <f t="shared" si="4"/>
        <v>10707.19</v>
      </c>
      <c r="V815" s="103">
        <f t="shared" si="5"/>
        <v>217366.7</v>
      </c>
      <c r="W815" s="103">
        <f t="shared" si="6"/>
        <v>65711.35</v>
      </c>
      <c r="X815" s="103">
        <f t="shared" si="7"/>
        <v>1507421.95</v>
      </c>
    </row>
    <row r="816" ht="12.0" customHeight="1">
      <c r="A8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16" s="87" t="str">
        <f>IFERROR(__xludf.DUMMYFUNCTION("IFERROR(IF(F816&lt;&gt;"""",""WHSE ""&amp;LEFT(F816,1),REGEXEXTRACT(E816,""-(?:\d{2}-)?([A-Z]+)"")),"""")
"),"WHSE P")</f>
        <v>WHSE P</v>
      </c>
      <c r="C816" s="117">
        <v>46079.0</v>
      </c>
      <c r="D816" s="118" t="s">
        <v>719</v>
      </c>
      <c r="E816" s="87" t="s">
        <v>720</v>
      </c>
      <c r="F816" s="87" t="s">
        <v>721</v>
      </c>
      <c r="G816" s="111"/>
      <c r="H816" s="120">
        <v>6810.0</v>
      </c>
      <c r="I816" s="121">
        <v>13.0</v>
      </c>
      <c r="J816" s="122">
        <v>10.07</v>
      </c>
      <c r="K816" s="123">
        <v>2.56</v>
      </c>
      <c r="L816" s="123">
        <v>0.578</v>
      </c>
      <c r="M816" s="123">
        <v>0.598</v>
      </c>
      <c r="N816" s="124">
        <v>11.92</v>
      </c>
      <c r="O816" s="122">
        <v>3.98</v>
      </c>
      <c r="P816" s="124">
        <v>84.11</v>
      </c>
      <c r="Q816" s="118" t="s">
        <v>686</v>
      </c>
      <c r="R816" s="86">
        <f t="shared" si="1"/>
        <v>68576.7</v>
      </c>
      <c r="S816" s="86">
        <f t="shared" si="2"/>
        <v>17433.6</v>
      </c>
      <c r="T816" s="86">
        <f t="shared" si="3"/>
        <v>3936.18</v>
      </c>
      <c r="U816" s="86">
        <f t="shared" si="4"/>
        <v>4072.38</v>
      </c>
      <c r="V816" s="86">
        <f t="shared" si="5"/>
        <v>81175.2</v>
      </c>
      <c r="W816" s="86">
        <f t="shared" si="6"/>
        <v>27103.8</v>
      </c>
      <c r="X816" s="86">
        <f t="shared" si="7"/>
        <v>572789.1</v>
      </c>
    </row>
    <row r="817" ht="12.0" customHeight="1">
      <c r="A8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17" s="87" t="str">
        <f>IFERROR(__xludf.DUMMYFUNCTION("IFERROR(IF(F817&lt;&gt;"""",""WHSE ""&amp;LEFT(F817,1),REGEXEXTRACT(E817,""-(?:\d{2}-)?([A-Z]+)"")),"""")
"),"")</f>
        <v/>
      </c>
      <c r="C817" s="108"/>
      <c r="D817" s="109"/>
      <c r="E817" s="110"/>
      <c r="F817" s="110"/>
      <c r="G817" s="111"/>
      <c r="H817" s="112"/>
      <c r="I817" s="113"/>
      <c r="J817" s="114"/>
      <c r="K817" s="115"/>
      <c r="L817" s="115"/>
      <c r="M817" s="115"/>
      <c r="N817" s="116"/>
      <c r="O817" s="114"/>
      <c r="P817" s="116"/>
      <c r="Q817" s="109"/>
      <c r="R817" s="103">
        <f t="shared" si="1"/>
        <v>0</v>
      </c>
      <c r="S817" s="103">
        <f t="shared" si="2"/>
        <v>0</v>
      </c>
      <c r="T817" s="103">
        <f t="shared" si="3"/>
        <v>0</v>
      </c>
      <c r="U817" s="103">
        <f t="shared" si="4"/>
        <v>0</v>
      </c>
      <c r="V817" s="103">
        <f t="shared" si="5"/>
        <v>0</v>
      </c>
      <c r="W817" s="103">
        <f t="shared" si="6"/>
        <v>0</v>
      </c>
      <c r="X817" s="103">
        <f t="shared" si="7"/>
        <v>0</v>
      </c>
    </row>
    <row r="818" ht="12.0" customHeight="1">
      <c r="A8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18" s="87" t="str">
        <f>IFERROR(__xludf.DUMMYFUNCTION("IFERROR(IF(F818&lt;&gt;"""",""WHSE ""&amp;LEFT(F818,1),REGEXEXTRACT(E818,""-(?:\d{2}-)?([A-Z]+)"")),"""")
"),"WHSE A")</f>
        <v>WHSE A</v>
      </c>
      <c r="C818" s="117">
        <v>46080.0</v>
      </c>
      <c r="D818" s="118" t="s">
        <v>72</v>
      </c>
      <c r="E818" s="87" t="s">
        <v>754</v>
      </c>
      <c r="F818" s="87" t="s">
        <v>755</v>
      </c>
      <c r="G818" s="119" t="s">
        <v>73</v>
      </c>
      <c r="H818" s="120">
        <v>19635.0</v>
      </c>
      <c r="I818" s="121">
        <v>421.0</v>
      </c>
      <c r="J818" s="122">
        <v>11.2</v>
      </c>
      <c r="K818" s="123">
        <v>2.52</v>
      </c>
      <c r="L818" s="123">
        <v>0.571</v>
      </c>
      <c r="M818" s="123">
        <v>0.591</v>
      </c>
      <c r="N818" s="124">
        <v>13.41</v>
      </c>
      <c r="O818" s="122">
        <v>3.66</v>
      </c>
      <c r="P818" s="124">
        <v>82.93</v>
      </c>
      <c r="Q818" s="109"/>
      <c r="R818" s="103">
        <f t="shared" si="1"/>
        <v>219912</v>
      </c>
      <c r="S818" s="103">
        <f t="shared" si="2"/>
        <v>49480.2</v>
      </c>
      <c r="T818" s="103">
        <f t="shared" si="3"/>
        <v>11211.585</v>
      </c>
      <c r="U818" s="103">
        <f t="shared" si="4"/>
        <v>11604.285</v>
      </c>
      <c r="V818" s="103">
        <f t="shared" si="5"/>
        <v>263305.35</v>
      </c>
      <c r="W818" s="103">
        <f t="shared" si="6"/>
        <v>71864.1</v>
      </c>
      <c r="X818" s="103">
        <f t="shared" si="7"/>
        <v>1628330.55</v>
      </c>
    </row>
    <row r="819" ht="12.0" customHeight="1">
      <c r="A8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19" s="87" t="str">
        <f>IFERROR(__xludf.DUMMYFUNCTION("IFERROR(IF(F819&lt;&gt;"""",""WHSE ""&amp;LEFT(F819,1),REGEXEXTRACT(E819,""-(?:\d{2}-)?([A-Z]+)"")),"""")
"),"WHSE D")</f>
        <v>WHSE D</v>
      </c>
      <c r="C819" s="117">
        <v>46080.0</v>
      </c>
      <c r="D819" s="118" t="s">
        <v>708</v>
      </c>
      <c r="E819" s="87" t="s">
        <v>768</v>
      </c>
      <c r="F819" s="87" t="s">
        <v>769</v>
      </c>
      <c r="G819" s="119" t="s">
        <v>491</v>
      </c>
      <c r="H819" s="120">
        <v>5430.0</v>
      </c>
      <c r="I819" s="121">
        <v>126.0</v>
      </c>
      <c r="J819" s="122">
        <v>11.47</v>
      </c>
      <c r="K819" s="123">
        <v>2.42</v>
      </c>
      <c r="L819" s="123">
        <v>0.578</v>
      </c>
      <c r="M819" s="123">
        <v>0.598</v>
      </c>
      <c r="N819" s="124">
        <v>14.68</v>
      </c>
      <c r="O819" s="122">
        <v>2.42</v>
      </c>
      <c r="P819" s="124">
        <v>82.9</v>
      </c>
      <c r="Q819" s="109"/>
      <c r="R819" s="103">
        <f t="shared" si="1"/>
        <v>62282.1</v>
      </c>
      <c r="S819" s="103">
        <f t="shared" si="2"/>
        <v>13140.6</v>
      </c>
      <c r="T819" s="103">
        <f t="shared" si="3"/>
        <v>3138.54</v>
      </c>
      <c r="U819" s="103">
        <f t="shared" si="4"/>
        <v>3247.14</v>
      </c>
      <c r="V819" s="103">
        <f t="shared" si="5"/>
        <v>79712.4</v>
      </c>
      <c r="W819" s="103">
        <f t="shared" si="6"/>
        <v>13140.6</v>
      </c>
      <c r="X819" s="103">
        <f t="shared" si="7"/>
        <v>450147</v>
      </c>
    </row>
    <row r="820" ht="12.0" customHeight="1">
      <c r="A8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20" s="87" t="str">
        <f>IFERROR(__xludf.DUMMYFUNCTION("IFERROR(IF(F820&lt;&gt;"""",""WHSE ""&amp;LEFT(F820,1),REGEXEXTRACT(E820,""-(?:\d{2}-)?([A-Z]+)"")),"""")
"),"WHSE C")</f>
        <v>WHSE C</v>
      </c>
      <c r="C820" s="117">
        <v>46080.0</v>
      </c>
      <c r="D820" s="118" t="s">
        <v>232</v>
      </c>
      <c r="E820" s="87" t="s">
        <v>763</v>
      </c>
      <c r="F820" s="87" t="s">
        <v>764</v>
      </c>
      <c r="G820" s="119" t="s">
        <v>235</v>
      </c>
      <c r="H820" s="120">
        <v>13529.0</v>
      </c>
      <c r="I820" s="121">
        <v>368.0</v>
      </c>
      <c r="J820" s="122">
        <v>11.94</v>
      </c>
      <c r="K820" s="123">
        <v>3.23</v>
      </c>
      <c r="L820" s="123">
        <v>0.565</v>
      </c>
      <c r="M820" s="123">
        <v>0.585</v>
      </c>
      <c r="N820" s="124">
        <v>11.6</v>
      </c>
      <c r="O820" s="122">
        <v>7.81</v>
      </c>
      <c r="P820" s="124">
        <v>80.59</v>
      </c>
      <c r="Q820" s="118" t="s">
        <v>770</v>
      </c>
      <c r="R820" s="86">
        <f t="shared" si="1"/>
        <v>161536.26</v>
      </c>
      <c r="S820" s="86">
        <f t="shared" si="2"/>
        <v>43698.67</v>
      </c>
      <c r="T820" s="86">
        <f t="shared" si="3"/>
        <v>7643.885</v>
      </c>
      <c r="U820" s="86">
        <f t="shared" si="4"/>
        <v>7914.465</v>
      </c>
      <c r="V820" s="86">
        <f t="shared" si="5"/>
        <v>156936.4</v>
      </c>
      <c r="W820" s="86">
        <f t="shared" si="6"/>
        <v>105661.49</v>
      </c>
      <c r="X820" s="86">
        <f t="shared" si="7"/>
        <v>1090302.11</v>
      </c>
    </row>
    <row r="821" ht="12.0" customHeight="1">
      <c r="A8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21" s="87" t="str">
        <f>IFERROR(__xludf.DUMMYFUNCTION("IFERROR(IF(F821&lt;&gt;"""",""WHSE ""&amp;LEFT(F821,1),REGEXEXTRACT(E821,""-(?:\d{2}-)?([A-Z]+)"")),"""")
"),"WHSE C")</f>
        <v>WHSE C</v>
      </c>
      <c r="C821" s="117">
        <v>46080.0</v>
      </c>
      <c r="D821" s="118" t="s">
        <v>232</v>
      </c>
      <c r="E821" s="87" t="s">
        <v>767</v>
      </c>
      <c r="F821" s="87" t="s">
        <v>523</v>
      </c>
      <c r="G821" s="119" t="s">
        <v>668</v>
      </c>
      <c r="H821" s="120">
        <v>12795.0</v>
      </c>
      <c r="I821" s="121">
        <v>290.0</v>
      </c>
      <c r="J821" s="122">
        <v>10.47</v>
      </c>
      <c r="K821" s="123">
        <v>2.88</v>
      </c>
      <c r="L821" s="123">
        <v>0.559</v>
      </c>
      <c r="M821" s="123">
        <v>0.579</v>
      </c>
      <c r="N821" s="124">
        <v>13.84</v>
      </c>
      <c r="O821" s="122">
        <v>2.61</v>
      </c>
      <c r="P821" s="124">
        <v>83.55</v>
      </c>
      <c r="Q821" s="109"/>
      <c r="R821" s="103">
        <f t="shared" si="1"/>
        <v>133963.65</v>
      </c>
      <c r="S821" s="103">
        <f t="shared" si="2"/>
        <v>36849.6</v>
      </c>
      <c r="T821" s="103">
        <f t="shared" si="3"/>
        <v>7152.405</v>
      </c>
      <c r="U821" s="103">
        <f t="shared" si="4"/>
        <v>7408.305</v>
      </c>
      <c r="V821" s="103">
        <f t="shared" si="5"/>
        <v>177082.8</v>
      </c>
      <c r="W821" s="103">
        <f t="shared" si="6"/>
        <v>33394.95</v>
      </c>
      <c r="X821" s="103">
        <f t="shared" si="7"/>
        <v>1069022.25</v>
      </c>
    </row>
    <row r="822" ht="12.0" customHeight="1">
      <c r="A8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22" s="87" t="str">
        <f>IFERROR(__xludf.DUMMYFUNCTION("IFERROR(IF(F822&lt;&gt;"""",""WHSE ""&amp;LEFT(F822,1),REGEXEXTRACT(E822,""-(?:\d{2}-)?([A-Z]+)"")),"""")
"),"WHSE P")</f>
        <v>WHSE P</v>
      </c>
      <c r="C822" s="117">
        <v>46080.0</v>
      </c>
      <c r="D822" s="118" t="s">
        <v>719</v>
      </c>
      <c r="E822" s="87" t="s">
        <v>720</v>
      </c>
      <c r="F822" s="87" t="s">
        <v>721</v>
      </c>
      <c r="G822" s="111"/>
      <c r="H822" s="120">
        <v>6052.0</v>
      </c>
      <c r="I822" s="121">
        <v>12.0</v>
      </c>
      <c r="J822" s="122">
        <v>9.94</v>
      </c>
      <c r="K822" s="123">
        <v>2.56</v>
      </c>
      <c r="L822" s="123">
        <v>0.578</v>
      </c>
      <c r="M822" s="123">
        <v>0.598</v>
      </c>
      <c r="N822" s="124">
        <v>11.92</v>
      </c>
      <c r="O822" s="122">
        <v>3.98</v>
      </c>
      <c r="P822" s="124">
        <v>84.11</v>
      </c>
      <c r="Q822" s="118" t="s">
        <v>686</v>
      </c>
      <c r="R822" s="86">
        <f t="shared" si="1"/>
        <v>60156.88</v>
      </c>
      <c r="S822" s="86">
        <f t="shared" si="2"/>
        <v>15493.12</v>
      </c>
      <c r="T822" s="86">
        <f t="shared" si="3"/>
        <v>3498.056</v>
      </c>
      <c r="U822" s="86">
        <f t="shared" si="4"/>
        <v>3619.096</v>
      </c>
      <c r="V822" s="86">
        <f t="shared" si="5"/>
        <v>72139.84</v>
      </c>
      <c r="W822" s="86">
        <f t="shared" si="6"/>
        <v>24086.96</v>
      </c>
      <c r="X822" s="86">
        <f t="shared" si="7"/>
        <v>509033.72</v>
      </c>
    </row>
    <row r="823" ht="12.0" customHeight="1">
      <c r="A8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23" s="87" t="str">
        <f>IFERROR(__xludf.DUMMYFUNCTION("IFERROR(IF(F823&lt;&gt;"""",""WHSE ""&amp;LEFT(F823,1),REGEXEXTRACT(E823,""-(?:\d{2}-)?([A-Z]+)"")),"""")
"),"")</f>
        <v/>
      </c>
      <c r="C823" s="108"/>
      <c r="D823" s="109"/>
      <c r="E823" s="110"/>
      <c r="F823" s="110"/>
      <c r="G823" s="111"/>
      <c r="H823" s="112"/>
      <c r="I823" s="113"/>
      <c r="J823" s="114"/>
      <c r="K823" s="115"/>
      <c r="L823" s="115"/>
      <c r="M823" s="115"/>
      <c r="N823" s="116"/>
      <c r="O823" s="114"/>
      <c r="P823" s="116"/>
      <c r="Q823" s="109"/>
      <c r="R823" s="103">
        <f t="shared" si="1"/>
        <v>0</v>
      </c>
      <c r="S823" s="103">
        <f t="shared" si="2"/>
        <v>0</v>
      </c>
      <c r="T823" s="103">
        <f t="shared" si="3"/>
        <v>0</v>
      </c>
      <c r="U823" s="103">
        <f t="shared" si="4"/>
        <v>0</v>
      </c>
      <c r="V823" s="103">
        <f t="shared" si="5"/>
        <v>0</v>
      </c>
      <c r="W823" s="103">
        <f t="shared" si="6"/>
        <v>0</v>
      </c>
      <c r="X823" s="103">
        <f t="shared" si="7"/>
        <v>0</v>
      </c>
    </row>
    <row r="824" ht="12.0" customHeight="1">
      <c r="A8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24" s="87" t="str">
        <f>IFERROR(__xludf.DUMMYFUNCTION("IFERROR(IF(F824&lt;&gt;"""",""WHSE ""&amp;LEFT(F824,1),REGEXEXTRACT(E824,""-(?:\d{2}-)?([A-Z]+)"")),"""")
"),"WHSE C")</f>
        <v>WHSE C</v>
      </c>
      <c r="C824" s="117">
        <v>46081.0</v>
      </c>
      <c r="D824" s="118" t="s">
        <v>232</v>
      </c>
      <c r="E824" s="87" t="s">
        <v>771</v>
      </c>
      <c r="F824" s="87" t="s">
        <v>508</v>
      </c>
      <c r="G824" s="119" t="s">
        <v>668</v>
      </c>
      <c r="H824" s="120">
        <v>11520.0</v>
      </c>
      <c r="I824" s="121">
        <v>270.0</v>
      </c>
      <c r="J824" s="122">
        <v>9.8</v>
      </c>
      <c r="K824" s="123">
        <v>2.89</v>
      </c>
      <c r="L824" s="123">
        <v>0.568</v>
      </c>
      <c r="M824" s="123">
        <v>0.588</v>
      </c>
      <c r="N824" s="124">
        <v>11.74</v>
      </c>
      <c r="O824" s="122">
        <v>5.13</v>
      </c>
      <c r="P824" s="124">
        <v>83.13</v>
      </c>
      <c r="Q824" s="118" t="s">
        <v>772</v>
      </c>
      <c r="R824" s="86">
        <f t="shared" si="1"/>
        <v>112896</v>
      </c>
      <c r="S824" s="86">
        <f t="shared" si="2"/>
        <v>33292.8</v>
      </c>
      <c r="T824" s="86">
        <f t="shared" si="3"/>
        <v>6543.36</v>
      </c>
      <c r="U824" s="86">
        <f t="shared" si="4"/>
        <v>6773.76</v>
      </c>
      <c r="V824" s="86">
        <f t="shared" si="5"/>
        <v>135244.8</v>
      </c>
      <c r="W824" s="86">
        <f t="shared" si="6"/>
        <v>59097.6</v>
      </c>
      <c r="X824" s="86">
        <f t="shared" si="7"/>
        <v>957657.6</v>
      </c>
    </row>
    <row r="825" ht="12.0" customHeight="1">
      <c r="A8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25" s="87" t="str">
        <f>IFERROR(__xludf.DUMMYFUNCTION("IFERROR(IF(F825&lt;&gt;"""",""WHSE ""&amp;LEFT(F825,1),REGEXEXTRACT(E825,""-(?:\d{2}-)?([A-Z]+)"")),"""")
"),"")</f>
        <v/>
      </c>
      <c r="C825" s="108"/>
      <c r="D825" s="109"/>
      <c r="E825" s="110"/>
      <c r="F825" s="110"/>
      <c r="G825" s="111"/>
      <c r="H825" s="112"/>
      <c r="I825" s="113"/>
      <c r="J825" s="114"/>
      <c r="K825" s="115"/>
      <c r="L825" s="115"/>
      <c r="M825" s="115"/>
      <c r="N825" s="116"/>
      <c r="O825" s="114"/>
      <c r="P825" s="116"/>
      <c r="Q825" s="109"/>
      <c r="R825" s="103">
        <f t="shared" si="1"/>
        <v>0</v>
      </c>
      <c r="S825" s="103">
        <f t="shared" si="2"/>
        <v>0</v>
      </c>
      <c r="T825" s="103">
        <f t="shared" si="3"/>
        <v>0</v>
      </c>
      <c r="U825" s="103">
        <f t="shared" si="4"/>
        <v>0</v>
      </c>
      <c r="V825" s="103">
        <f t="shared" si="5"/>
        <v>0</v>
      </c>
      <c r="W825" s="103">
        <f t="shared" si="6"/>
        <v>0</v>
      </c>
      <c r="X825" s="103">
        <f t="shared" si="7"/>
        <v>0</v>
      </c>
    </row>
    <row r="826" ht="12.0" customHeight="1">
      <c r="A8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26" s="87" t="str">
        <f>IFERROR(__xludf.DUMMYFUNCTION("IFERROR(IF(F826&lt;&gt;"""",""WHSE ""&amp;LEFT(F826,1),REGEXEXTRACT(E826,""-(?:\d{2}-)?([A-Z]+)"")),"""")
"),"FEED")</f>
        <v>FEED</v>
      </c>
      <c r="C826" s="117">
        <v>46083.0</v>
      </c>
      <c r="D826" s="118" t="s">
        <v>286</v>
      </c>
      <c r="E826" s="87" t="s">
        <v>773</v>
      </c>
      <c r="F826" s="110"/>
      <c r="G826" s="119" t="s">
        <v>73</v>
      </c>
      <c r="H826" s="120">
        <v>21155.0</v>
      </c>
      <c r="I826" s="121">
        <v>485.0</v>
      </c>
      <c r="J826" s="122">
        <v>10.8</v>
      </c>
      <c r="K826" s="123">
        <v>2.53</v>
      </c>
      <c r="L826" s="123">
        <v>0.578</v>
      </c>
      <c r="M826" s="123">
        <v>0.598</v>
      </c>
      <c r="N826" s="124">
        <v>13.44</v>
      </c>
      <c r="O826" s="122">
        <v>2.68</v>
      </c>
      <c r="P826" s="124">
        <v>83.88</v>
      </c>
      <c r="Q826" s="109"/>
      <c r="R826" s="103">
        <f t="shared" si="1"/>
        <v>228474</v>
      </c>
      <c r="S826" s="103">
        <f t="shared" si="2"/>
        <v>53522.15</v>
      </c>
      <c r="T826" s="103">
        <f t="shared" si="3"/>
        <v>12227.59</v>
      </c>
      <c r="U826" s="103">
        <f t="shared" si="4"/>
        <v>12650.69</v>
      </c>
      <c r="V826" s="103">
        <f t="shared" si="5"/>
        <v>284323.2</v>
      </c>
      <c r="W826" s="103">
        <f t="shared" si="6"/>
        <v>56695.4</v>
      </c>
      <c r="X826" s="103">
        <f t="shared" si="7"/>
        <v>1774481.4</v>
      </c>
    </row>
    <row r="827" ht="12.0" customHeight="1">
      <c r="A8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27" s="87" t="str">
        <f>IFERROR(__xludf.DUMMYFUNCTION("IFERROR(IF(F827&lt;&gt;"""",""WHSE ""&amp;LEFT(F827,1),REGEXEXTRACT(E827,""-(?:\d{2}-)?([A-Z]+)"")),"""")
"),"WHSE P")</f>
        <v>WHSE P</v>
      </c>
      <c r="C827" s="117">
        <v>46083.0</v>
      </c>
      <c r="D827" s="118" t="s">
        <v>719</v>
      </c>
      <c r="E827" s="87" t="s">
        <v>720</v>
      </c>
      <c r="F827" s="87" t="s">
        <v>721</v>
      </c>
      <c r="G827" s="111"/>
      <c r="H827" s="120">
        <v>2533.0</v>
      </c>
      <c r="I827" s="121">
        <v>5.0</v>
      </c>
      <c r="J827" s="122">
        <v>9.94</v>
      </c>
      <c r="K827" s="123">
        <v>2.56</v>
      </c>
      <c r="L827" s="123">
        <v>0.578</v>
      </c>
      <c r="M827" s="123">
        <v>0.598</v>
      </c>
      <c r="N827" s="124">
        <v>11.92</v>
      </c>
      <c r="O827" s="122">
        <v>3.98</v>
      </c>
      <c r="P827" s="124">
        <v>84.11</v>
      </c>
      <c r="Q827" s="118" t="s">
        <v>686</v>
      </c>
      <c r="R827" s="86">
        <f t="shared" si="1"/>
        <v>25178.02</v>
      </c>
      <c r="S827" s="86">
        <f t="shared" si="2"/>
        <v>6484.48</v>
      </c>
      <c r="T827" s="86">
        <f t="shared" si="3"/>
        <v>1464.074</v>
      </c>
      <c r="U827" s="86">
        <f t="shared" si="4"/>
        <v>1514.734</v>
      </c>
      <c r="V827" s="86">
        <f t="shared" si="5"/>
        <v>30193.36</v>
      </c>
      <c r="W827" s="86">
        <f t="shared" si="6"/>
        <v>10081.34</v>
      </c>
      <c r="X827" s="86">
        <f t="shared" si="7"/>
        <v>213050.63</v>
      </c>
    </row>
    <row r="828" ht="12.0" customHeight="1">
      <c r="A8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28" s="87" t="str">
        <f>IFERROR(__xludf.DUMMYFUNCTION("IFERROR(IF(F828&lt;&gt;"""",""WHSE ""&amp;LEFT(F828,1),REGEXEXTRACT(E828,""-(?:\d{2}-)?([A-Z]+)"")),"""")
"),"WHSE P")</f>
        <v>WHSE P</v>
      </c>
      <c r="C828" s="117">
        <v>46083.0</v>
      </c>
      <c r="D828" s="118" t="s">
        <v>774</v>
      </c>
      <c r="E828" s="87" t="s">
        <v>775</v>
      </c>
      <c r="F828" s="87" t="s">
        <v>776</v>
      </c>
      <c r="G828" s="111"/>
      <c r="H828" s="120">
        <v>6200.0</v>
      </c>
      <c r="I828" s="121">
        <v>11.0</v>
      </c>
      <c r="J828" s="122">
        <v>10.14</v>
      </c>
      <c r="K828" s="123">
        <v>2.95</v>
      </c>
      <c r="L828" s="123">
        <v>0.566</v>
      </c>
      <c r="M828" s="123">
        <v>0.586</v>
      </c>
      <c r="N828" s="124">
        <v>12.7</v>
      </c>
      <c r="O828" s="122">
        <v>4.07</v>
      </c>
      <c r="P828" s="124">
        <v>83.23</v>
      </c>
      <c r="Q828" s="118" t="s">
        <v>777</v>
      </c>
      <c r="R828" s="86">
        <f t="shared" si="1"/>
        <v>62868</v>
      </c>
      <c r="S828" s="86">
        <f t="shared" si="2"/>
        <v>18290</v>
      </c>
      <c r="T828" s="86">
        <f t="shared" si="3"/>
        <v>3509.2</v>
      </c>
      <c r="U828" s="86">
        <f t="shared" si="4"/>
        <v>3633.2</v>
      </c>
      <c r="V828" s="86">
        <f t="shared" si="5"/>
        <v>78740</v>
      </c>
      <c r="W828" s="86">
        <f t="shared" si="6"/>
        <v>25234</v>
      </c>
      <c r="X828" s="86">
        <f t="shared" si="7"/>
        <v>516026</v>
      </c>
    </row>
    <row r="829" ht="12.0" customHeight="1">
      <c r="A8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29" s="87" t="str">
        <f>IFERROR(__xludf.DUMMYFUNCTION("IFERROR(IF(F829&lt;&gt;"""",""WHSE ""&amp;LEFT(F829,1),REGEXEXTRACT(E829,""-(?:\d{2}-)?([A-Z]+)"")),"""")
"),"WHSE P")</f>
        <v>WHSE P</v>
      </c>
      <c r="C829" s="117">
        <v>46084.0</v>
      </c>
      <c r="D829" s="118" t="s">
        <v>774</v>
      </c>
      <c r="E829" s="87" t="s">
        <v>775</v>
      </c>
      <c r="F829" s="87" t="s">
        <v>776</v>
      </c>
      <c r="G829" s="111"/>
      <c r="H829" s="120">
        <v>10208.0</v>
      </c>
      <c r="I829" s="121">
        <v>18.0</v>
      </c>
      <c r="J829" s="122">
        <v>9.67</v>
      </c>
      <c r="K829" s="123">
        <v>2.95</v>
      </c>
      <c r="L829" s="123">
        <v>0.566</v>
      </c>
      <c r="M829" s="123">
        <v>0.586</v>
      </c>
      <c r="N829" s="124">
        <v>12.7</v>
      </c>
      <c r="O829" s="122">
        <v>4.07</v>
      </c>
      <c r="P829" s="124">
        <v>83.23</v>
      </c>
      <c r="Q829" s="118" t="s">
        <v>777</v>
      </c>
      <c r="R829" s="86">
        <f t="shared" si="1"/>
        <v>98711.36</v>
      </c>
      <c r="S829" s="86">
        <f t="shared" si="2"/>
        <v>30113.6</v>
      </c>
      <c r="T829" s="86">
        <f t="shared" si="3"/>
        <v>5777.728</v>
      </c>
      <c r="U829" s="86">
        <f t="shared" si="4"/>
        <v>5981.888</v>
      </c>
      <c r="V829" s="86">
        <f t="shared" si="5"/>
        <v>129641.6</v>
      </c>
      <c r="W829" s="86">
        <f t="shared" si="6"/>
        <v>41546.56</v>
      </c>
      <c r="X829" s="86">
        <f t="shared" si="7"/>
        <v>849611.84</v>
      </c>
    </row>
    <row r="830" ht="12.0" customHeight="1">
      <c r="A8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30" s="87" t="str">
        <f>IFERROR(__xludf.DUMMYFUNCTION("IFERROR(IF(F830&lt;&gt;"""",""WHSE ""&amp;LEFT(F830,1),REGEXEXTRACT(E830,""-(?:\d{2}-)?([A-Z]+)"")),"""")
"),"WHSE P")</f>
        <v>WHSE P</v>
      </c>
      <c r="C830" s="117">
        <v>46085.0</v>
      </c>
      <c r="D830" s="118" t="s">
        <v>774</v>
      </c>
      <c r="E830" s="87" t="s">
        <v>775</v>
      </c>
      <c r="F830" s="87" t="s">
        <v>776</v>
      </c>
      <c r="G830" s="111"/>
      <c r="H830" s="120">
        <v>7694.0</v>
      </c>
      <c r="I830" s="121">
        <v>15.0</v>
      </c>
      <c r="J830" s="122">
        <v>10.2</v>
      </c>
      <c r="K830" s="123">
        <v>2.95</v>
      </c>
      <c r="L830" s="123">
        <v>0.566</v>
      </c>
      <c r="M830" s="123">
        <v>0.586</v>
      </c>
      <c r="N830" s="124">
        <v>12.7</v>
      </c>
      <c r="O830" s="122">
        <v>4.07</v>
      </c>
      <c r="P830" s="124">
        <v>83.23</v>
      </c>
      <c r="Q830" s="118" t="s">
        <v>777</v>
      </c>
      <c r="R830" s="86">
        <f t="shared" si="1"/>
        <v>78478.8</v>
      </c>
      <c r="S830" s="86">
        <f t="shared" si="2"/>
        <v>22697.3</v>
      </c>
      <c r="T830" s="86">
        <f t="shared" si="3"/>
        <v>4354.804</v>
      </c>
      <c r="U830" s="86">
        <f t="shared" si="4"/>
        <v>4508.684</v>
      </c>
      <c r="V830" s="86">
        <f t="shared" si="5"/>
        <v>97713.8</v>
      </c>
      <c r="W830" s="86">
        <f t="shared" si="6"/>
        <v>31314.58</v>
      </c>
      <c r="X830" s="86">
        <f t="shared" si="7"/>
        <v>640371.62</v>
      </c>
    </row>
    <row r="831" ht="12.0" customHeight="1">
      <c r="A8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31" s="87" t="str">
        <f>IFERROR(__xludf.DUMMYFUNCTION("IFERROR(IF(F831&lt;&gt;"""",""WHSE ""&amp;LEFT(F831,1),REGEXEXTRACT(E831,""-(?:\d{2}-)?([A-Z]+)"")),"""")
"),"WHSE P")</f>
        <v>WHSE P</v>
      </c>
      <c r="C831" s="117">
        <v>46085.0</v>
      </c>
      <c r="D831" s="118" t="s">
        <v>778</v>
      </c>
      <c r="E831" s="87" t="s">
        <v>779</v>
      </c>
      <c r="F831" s="87" t="s">
        <v>780</v>
      </c>
      <c r="G831" s="111"/>
      <c r="H831" s="120">
        <v>2437.0</v>
      </c>
      <c r="I831" s="121">
        <v>4.0</v>
      </c>
      <c r="J831" s="122">
        <v>9.67</v>
      </c>
      <c r="K831" s="123">
        <v>2.83</v>
      </c>
      <c r="L831" s="123">
        <v>0.571</v>
      </c>
      <c r="M831" s="123">
        <v>0.591</v>
      </c>
      <c r="N831" s="124">
        <v>12.08</v>
      </c>
      <c r="O831" s="122">
        <v>4.04</v>
      </c>
      <c r="P831" s="124">
        <v>83.88</v>
      </c>
      <c r="Q831" s="118" t="s">
        <v>777</v>
      </c>
      <c r="R831" s="86">
        <f t="shared" si="1"/>
        <v>23565.79</v>
      </c>
      <c r="S831" s="86">
        <f t="shared" si="2"/>
        <v>6896.71</v>
      </c>
      <c r="T831" s="86">
        <f t="shared" si="3"/>
        <v>1391.527</v>
      </c>
      <c r="U831" s="86">
        <f t="shared" si="4"/>
        <v>1440.267</v>
      </c>
      <c r="V831" s="86">
        <f t="shared" si="5"/>
        <v>29438.96</v>
      </c>
      <c r="W831" s="86">
        <f t="shared" si="6"/>
        <v>9845.48</v>
      </c>
      <c r="X831" s="86">
        <f t="shared" si="7"/>
        <v>204415.56</v>
      </c>
    </row>
    <row r="832" ht="12.0" customHeight="1">
      <c r="A8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32" s="87" t="str">
        <f>IFERROR(__xludf.DUMMYFUNCTION("IFERROR(IF(F832&lt;&gt;"""",""WHSE ""&amp;LEFT(F832,1),REGEXEXTRACT(E832,""-(?:\d{2}-)?([A-Z]+)"")),"""")
"),"WHSE P")</f>
        <v>WHSE P</v>
      </c>
      <c r="C832" s="117">
        <v>46086.0</v>
      </c>
      <c r="D832" s="118" t="s">
        <v>778</v>
      </c>
      <c r="E832" s="87" t="s">
        <v>779</v>
      </c>
      <c r="F832" s="87" t="s">
        <v>780</v>
      </c>
      <c r="G832" s="111"/>
      <c r="H832" s="120">
        <v>10016.0</v>
      </c>
      <c r="I832" s="121">
        <v>16.0</v>
      </c>
      <c r="J832" s="122">
        <v>9.4</v>
      </c>
      <c r="K832" s="123">
        <v>2.83</v>
      </c>
      <c r="L832" s="123">
        <v>0.571</v>
      </c>
      <c r="M832" s="123">
        <v>0.591</v>
      </c>
      <c r="N832" s="124">
        <v>12.08</v>
      </c>
      <c r="O832" s="122">
        <v>4.04</v>
      </c>
      <c r="P832" s="124">
        <v>83.88</v>
      </c>
      <c r="Q832" s="118" t="s">
        <v>777</v>
      </c>
      <c r="R832" s="86">
        <f t="shared" si="1"/>
        <v>94150.4</v>
      </c>
      <c r="S832" s="86">
        <f t="shared" si="2"/>
        <v>28345.28</v>
      </c>
      <c r="T832" s="86">
        <f t="shared" si="3"/>
        <v>5719.136</v>
      </c>
      <c r="U832" s="86">
        <f t="shared" si="4"/>
        <v>5919.456</v>
      </c>
      <c r="V832" s="86">
        <f t="shared" si="5"/>
        <v>120993.28</v>
      </c>
      <c r="W832" s="86">
        <f t="shared" si="6"/>
        <v>40464.64</v>
      </c>
      <c r="X832" s="86">
        <f t="shared" si="7"/>
        <v>840142.08</v>
      </c>
    </row>
    <row r="833" ht="12.0" customHeight="1">
      <c r="A8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33" s="87" t="str">
        <f>IFERROR(__xludf.DUMMYFUNCTION("IFERROR(IF(F833&lt;&gt;"""",""WHSE ""&amp;LEFT(F833,1),REGEXEXTRACT(E833,""-(?:\d{2}-)?([A-Z]+)"")),"""")
"),"")</f>
        <v/>
      </c>
      <c r="C833" s="108"/>
      <c r="D833" s="109"/>
      <c r="E833" s="110"/>
      <c r="F833" s="110"/>
      <c r="G833" s="111"/>
      <c r="H833" s="112"/>
      <c r="I833" s="113"/>
      <c r="J833" s="114"/>
      <c r="K833" s="115"/>
      <c r="L833" s="115"/>
      <c r="M833" s="115"/>
      <c r="N833" s="116"/>
      <c r="O833" s="114"/>
      <c r="P833" s="116"/>
      <c r="Q833" s="109"/>
      <c r="R833" s="103">
        <f t="shared" si="1"/>
        <v>0</v>
      </c>
      <c r="S833" s="103">
        <f t="shared" si="2"/>
        <v>0</v>
      </c>
      <c r="T833" s="103">
        <f t="shared" si="3"/>
        <v>0</v>
      </c>
      <c r="U833" s="103">
        <f t="shared" si="4"/>
        <v>0</v>
      </c>
      <c r="V833" s="103">
        <f t="shared" si="5"/>
        <v>0</v>
      </c>
      <c r="W833" s="103">
        <f t="shared" si="6"/>
        <v>0</v>
      </c>
      <c r="X833" s="103">
        <f t="shared" si="7"/>
        <v>0</v>
      </c>
    </row>
    <row r="834" ht="12.0" customHeight="1">
      <c r="A8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34" s="87" t="str">
        <f>IFERROR(__xludf.DUMMYFUNCTION("IFERROR(IF(F834&lt;&gt;"""",""WHSE ""&amp;LEFT(F834,1),REGEXEXTRACT(E834,""-(?:\d{2}-)?([A-Z]+)"")),"""")
"),"WHSE D")</f>
        <v>WHSE D</v>
      </c>
      <c r="C834" s="117">
        <v>46084.0</v>
      </c>
      <c r="D834" s="118" t="s">
        <v>64</v>
      </c>
      <c r="E834" s="87" t="s">
        <v>768</v>
      </c>
      <c r="F834" s="87" t="s">
        <v>769</v>
      </c>
      <c r="G834" s="119" t="s">
        <v>65</v>
      </c>
      <c r="H834" s="120">
        <v>18065.0</v>
      </c>
      <c r="I834" s="121">
        <v>336.0</v>
      </c>
      <c r="J834" s="122">
        <v>12.0</v>
      </c>
      <c r="K834" s="123">
        <v>2.8</v>
      </c>
      <c r="L834" s="123">
        <v>0.578</v>
      </c>
      <c r="M834" s="123">
        <v>0.598</v>
      </c>
      <c r="N834" s="124">
        <v>12.76</v>
      </c>
      <c r="O834" s="122">
        <v>3.02</v>
      </c>
      <c r="P834" s="124">
        <v>84.22</v>
      </c>
      <c r="Q834" s="118" t="s">
        <v>781</v>
      </c>
      <c r="R834" s="86">
        <f t="shared" si="1"/>
        <v>216780</v>
      </c>
      <c r="S834" s="86">
        <f t="shared" si="2"/>
        <v>50582</v>
      </c>
      <c r="T834" s="86">
        <f t="shared" si="3"/>
        <v>10441.57</v>
      </c>
      <c r="U834" s="86">
        <f t="shared" si="4"/>
        <v>10802.87</v>
      </c>
      <c r="V834" s="86">
        <f t="shared" si="5"/>
        <v>230509.4</v>
      </c>
      <c r="W834" s="86">
        <f t="shared" si="6"/>
        <v>54556.3</v>
      </c>
      <c r="X834" s="86">
        <f t="shared" si="7"/>
        <v>1521434.3</v>
      </c>
    </row>
    <row r="835" ht="12.0" customHeight="1">
      <c r="A8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35" s="87" t="str">
        <f>IFERROR(__xludf.DUMMYFUNCTION("IFERROR(IF(F835&lt;&gt;"""",""WHSE ""&amp;LEFT(F835,1),REGEXEXTRACT(E835,""-(?:\d{2}-)?([A-Z]+)"")),"""")
"),"WHSE C")</f>
        <v>WHSE C</v>
      </c>
      <c r="C835" s="117">
        <v>46084.0</v>
      </c>
      <c r="D835" s="118" t="s">
        <v>232</v>
      </c>
      <c r="E835" s="87" t="s">
        <v>771</v>
      </c>
      <c r="F835" s="87" t="s">
        <v>508</v>
      </c>
      <c r="G835" s="119" t="s">
        <v>668</v>
      </c>
      <c r="H835" s="120">
        <v>10420.0</v>
      </c>
      <c r="I835" s="121">
        <v>296.0</v>
      </c>
      <c r="J835" s="122">
        <v>9.34</v>
      </c>
      <c r="K835" s="123">
        <v>3.85</v>
      </c>
      <c r="L835" s="123">
        <v>0.559</v>
      </c>
      <c r="M835" s="123">
        <v>0.579</v>
      </c>
      <c r="N835" s="124">
        <v>14.61</v>
      </c>
      <c r="O835" s="122">
        <v>2.54</v>
      </c>
      <c r="P835" s="124">
        <v>82.85</v>
      </c>
      <c r="Q835" s="109"/>
      <c r="R835" s="103">
        <f t="shared" si="1"/>
        <v>97322.8</v>
      </c>
      <c r="S835" s="103">
        <f t="shared" si="2"/>
        <v>40117</v>
      </c>
      <c r="T835" s="103">
        <f t="shared" si="3"/>
        <v>5824.78</v>
      </c>
      <c r="U835" s="103">
        <f t="shared" si="4"/>
        <v>6033.18</v>
      </c>
      <c r="V835" s="103">
        <f t="shared" si="5"/>
        <v>152236.2</v>
      </c>
      <c r="W835" s="103">
        <f t="shared" si="6"/>
        <v>26466.8</v>
      </c>
      <c r="X835" s="103">
        <f t="shared" si="7"/>
        <v>863297</v>
      </c>
    </row>
    <row r="836" ht="12.0" customHeight="1">
      <c r="A8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36" s="87" t="str">
        <f>IFERROR(__xludf.DUMMYFUNCTION("IFERROR(IF(F836&lt;&gt;"""",""WHSE ""&amp;LEFT(F836,1),REGEXEXTRACT(E836,""-(?:\d{2}-)?([A-Z]+)"")),"""")
"),"WHSE A")</f>
        <v>WHSE A</v>
      </c>
      <c r="C836" s="117">
        <v>46085.0</v>
      </c>
      <c r="D836" s="118" t="s">
        <v>72</v>
      </c>
      <c r="E836" s="87" t="s">
        <v>782</v>
      </c>
      <c r="F836" s="87" t="s">
        <v>783</v>
      </c>
      <c r="G836" s="119" t="s">
        <v>77</v>
      </c>
      <c r="H836" s="120">
        <v>16710.0</v>
      </c>
      <c r="I836" s="121">
        <v>437.0</v>
      </c>
      <c r="J836" s="122">
        <v>11.6</v>
      </c>
      <c r="K836" s="123">
        <v>2.33</v>
      </c>
      <c r="L836" s="123">
        <v>0.575</v>
      </c>
      <c r="M836" s="123">
        <v>0.595</v>
      </c>
      <c r="N836" s="124">
        <v>11.59</v>
      </c>
      <c r="O836" s="122">
        <v>2.73</v>
      </c>
      <c r="P836" s="124">
        <v>85.68</v>
      </c>
      <c r="Q836" s="118" t="s">
        <v>784</v>
      </c>
      <c r="R836" s="86">
        <f t="shared" si="1"/>
        <v>193836</v>
      </c>
      <c r="S836" s="86">
        <f t="shared" si="2"/>
        <v>38934.3</v>
      </c>
      <c r="T836" s="86">
        <f t="shared" si="3"/>
        <v>9608.25</v>
      </c>
      <c r="U836" s="86">
        <f t="shared" si="4"/>
        <v>9942.45</v>
      </c>
      <c r="V836" s="86">
        <f t="shared" si="5"/>
        <v>193668.9</v>
      </c>
      <c r="W836" s="86">
        <f t="shared" si="6"/>
        <v>45618.3</v>
      </c>
      <c r="X836" s="86">
        <f t="shared" si="7"/>
        <v>1431712.8</v>
      </c>
    </row>
    <row r="837" ht="12.0" customHeight="1">
      <c r="A8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37" s="87" t="str">
        <f>IFERROR(__xludf.DUMMYFUNCTION("IFERROR(IF(F837&lt;&gt;"""",""WHSE ""&amp;LEFT(F837,1),REGEXEXTRACT(E837,""-(?:\d{2}-)?([A-Z]+)"")),"""")
"),"WHSE D")</f>
        <v>WHSE D</v>
      </c>
      <c r="C837" s="117">
        <v>46085.0</v>
      </c>
      <c r="D837" s="118" t="s">
        <v>279</v>
      </c>
      <c r="E837" s="87" t="s">
        <v>768</v>
      </c>
      <c r="F837" s="87" t="s">
        <v>769</v>
      </c>
      <c r="G837" s="119" t="s">
        <v>785</v>
      </c>
      <c r="H837" s="120">
        <v>5626.0</v>
      </c>
      <c r="I837" s="121">
        <v>130.0</v>
      </c>
      <c r="J837" s="122">
        <v>12.07</v>
      </c>
      <c r="K837" s="123">
        <v>2.52</v>
      </c>
      <c r="L837" s="123">
        <v>0.571</v>
      </c>
      <c r="M837" s="123">
        <v>0.591</v>
      </c>
      <c r="N837" s="124">
        <v>12.73</v>
      </c>
      <c r="O837" s="122">
        <v>3.14</v>
      </c>
      <c r="P837" s="124">
        <v>84.13</v>
      </c>
      <c r="Q837" s="118" t="s">
        <v>786</v>
      </c>
      <c r="R837" s="86">
        <f t="shared" si="1"/>
        <v>67905.82</v>
      </c>
      <c r="S837" s="86">
        <f t="shared" si="2"/>
        <v>14177.52</v>
      </c>
      <c r="T837" s="86">
        <f t="shared" si="3"/>
        <v>3212.446</v>
      </c>
      <c r="U837" s="86">
        <f t="shared" si="4"/>
        <v>3324.966</v>
      </c>
      <c r="V837" s="86">
        <f t="shared" si="5"/>
        <v>71618.98</v>
      </c>
      <c r="W837" s="86">
        <f t="shared" si="6"/>
        <v>17665.64</v>
      </c>
      <c r="X837" s="86">
        <f t="shared" si="7"/>
        <v>473315.38</v>
      </c>
    </row>
    <row r="838" ht="12.0" customHeight="1">
      <c r="A8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38" s="87" t="str">
        <f>IFERROR(__xludf.DUMMYFUNCTION("IFERROR(IF(F838&lt;&gt;"""",""WHSE ""&amp;LEFT(F838,1),REGEXEXTRACT(E838,""-(?:\d{2}-)?([A-Z]+)"")),"""")
"),"")</f>
        <v/>
      </c>
      <c r="C838" s="108"/>
      <c r="D838" s="109"/>
      <c r="E838" s="110"/>
      <c r="F838" s="110"/>
      <c r="G838" s="111"/>
      <c r="H838" s="112"/>
      <c r="I838" s="113"/>
      <c r="J838" s="114"/>
      <c r="K838" s="115"/>
      <c r="L838" s="115"/>
      <c r="M838" s="115"/>
      <c r="N838" s="116"/>
      <c r="O838" s="114"/>
      <c r="P838" s="116"/>
      <c r="Q838" s="109"/>
      <c r="R838" s="103">
        <f t="shared" si="1"/>
        <v>0</v>
      </c>
      <c r="S838" s="103">
        <f t="shared" si="2"/>
        <v>0</v>
      </c>
      <c r="T838" s="103">
        <f t="shared" si="3"/>
        <v>0</v>
      </c>
      <c r="U838" s="103">
        <f t="shared" si="4"/>
        <v>0</v>
      </c>
      <c r="V838" s="103">
        <f t="shared" si="5"/>
        <v>0</v>
      </c>
      <c r="W838" s="103">
        <f t="shared" si="6"/>
        <v>0</v>
      </c>
      <c r="X838" s="103">
        <f t="shared" si="7"/>
        <v>0</v>
      </c>
    </row>
    <row r="839" ht="12.0" customHeight="1">
      <c r="A8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39" s="87" t="str">
        <f>IFERROR(__xludf.DUMMYFUNCTION("IFERROR(IF(F839&lt;&gt;"""",""WHSE ""&amp;LEFT(F839,1),REGEXEXTRACT(E839,""-(?:\d{2}-)?([A-Z]+)"")),"""")
"),"WHSE A")</f>
        <v>WHSE A</v>
      </c>
      <c r="C839" s="117">
        <v>46086.0</v>
      </c>
      <c r="D839" s="118" t="s">
        <v>72</v>
      </c>
      <c r="E839" s="87" t="s">
        <v>782</v>
      </c>
      <c r="F839" s="87" t="s">
        <v>783</v>
      </c>
      <c r="G839" s="119" t="s">
        <v>73</v>
      </c>
      <c r="H839" s="120">
        <v>19195.0</v>
      </c>
      <c r="I839" s="121">
        <v>458.0</v>
      </c>
      <c r="J839" s="122">
        <v>11.6</v>
      </c>
      <c r="K839" s="123">
        <v>3.48</v>
      </c>
      <c r="L839" s="123">
        <v>0.578</v>
      </c>
      <c r="M839" s="123">
        <v>0.598</v>
      </c>
      <c r="N839" s="124">
        <v>13.41</v>
      </c>
      <c r="O839" s="122">
        <v>3.68</v>
      </c>
      <c r="P839" s="124">
        <v>82.91</v>
      </c>
      <c r="Q839" s="118" t="s">
        <v>784</v>
      </c>
      <c r="R839" s="86">
        <f t="shared" si="1"/>
        <v>222662</v>
      </c>
      <c r="S839" s="86">
        <f t="shared" si="2"/>
        <v>66798.6</v>
      </c>
      <c r="T839" s="86">
        <f t="shared" si="3"/>
        <v>11094.71</v>
      </c>
      <c r="U839" s="86">
        <f t="shared" si="4"/>
        <v>11478.61</v>
      </c>
      <c r="V839" s="86">
        <f t="shared" si="5"/>
        <v>257404.95</v>
      </c>
      <c r="W839" s="86">
        <f t="shared" si="6"/>
        <v>70637.6</v>
      </c>
      <c r="X839" s="86">
        <f t="shared" si="7"/>
        <v>1591457.45</v>
      </c>
    </row>
    <row r="840" ht="12.0" customHeight="1">
      <c r="A8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40" s="87" t="str">
        <f>IFERROR(__xludf.DUMMYFUNCTION("IFERROR(IF(F840&lt;&gt;"""",""WHSE ""&amp;LEFT(F840,1),REGEXEXTRACT(E840,""-(?:\d{2}-)?([A-Z]+)"")),"""")
"),"FEED")</f>
        <v>FEED</v>
      </c>
      <c r="C840" s="117">
        <v>46086.0</v>
      </c>
      <c r="D840" s="118" t="s">
        <v>286</v>
      </c>
      <c r="E840" s="87" t="s">
        <v>787</v>
      </c>
      <c r="F840" s="110"/>
      <c r="G840" s="119" t="s">
        <v>77</v>
      </c>
      <c r="H840" s="120">
        <v>18570.0</v>
      </c>
      <c r="I840" s="121">
        <v>507.0</v>
      </c>
      <c r="J840" s="122">
        <v>10.94</v>
      </c>
      <c r="K840" s="123">
        <v>3.51</v>
      </c>
      <c r="L840" s="123">
        <v>0.581</v>
      </c>
      <c r="M840" s="123">
        <v>0.601</v>
      </c>
      <c r="N840" s="124">
        <v>13.87</v>
      </c>
      <c r="O840" s="122">
        <v>3.11</v>
      </c>
      <c r="P840" s="124">
        <v>83.02</v>
      </c>
      <c r="Q840" s="118" t="s">
        <v>229</v>
      </c>
      <c r="R840" s="86">
        <f t="shared" si="1"/>
        <v>203155.8</v>
      </c>
      <c r="S840" s="86">
        <f t="shared" si="2"/>
        <v>65180.7</v>
      </c>
      <c r="T840" s="86">
        <f t="shared" si="3"/>
        <v>10789.17</v>
      </c>
      <c r="U840" s="86">
        <f t="shared" si="4"/>
        <v>11160.57</v>
      </c>
      <c r="V840" s="86">
        <f t="shared" si="5"/>
        <v>257565.9</v>
      </c>
      <c r="W840" s="86">
        <f t="shared" si="6"/>
        <v>57752.7</v>
      </c>
      <c r="X840" s="86">
        <f t="shared" si="7"/>
        <v>1541681.4</v>
      </c>
    </row>
    <row r="841" ht="12.0" customHeight="1">
      <c r="A8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41" s="87" t="str">
        <f>IFERROR(__xludf.DUMMYFUNCTION("IFERROR(IF(F841&lt;&gt;"""",""WHSE ""&amp;LEFT(F841,1),REGEXEXTRACT(E841,""-(?:\d{2}-)?([A-Z]+)"")),"""")
"),"WHSE C")</f>
        <v>WHSE C</v>
      </c>
      <c r="C841" s="117">
        <v>46086.0</v>
      </c>
      <c r="D841" s="118" t="s">
        <v>232</v>
      </c>
      <c r="E841" s="87" t="s">
        <v>771</v>
      </c>
      <c r="F841" s="87" t="s">
        <v>508</v>
      </c>
      <c r="G841" s="119" t="s">
        <v>328</v>
      </c>
      <c r="H841" s="120">
        <v>21520.0</v>
      </c>
      <c r="I841" s="121">
        <v>603.0</v>
      </c>
      <c r="J841" s="122">
        <v>11.07</v>
      </c>
      <c r="K841" s="123">
        <v>3.6</v>
      </c>
      <c r="L841" s="123">
        <v>0.552</v>
      </c>
      <c r="M841" s="123">
        <v>0.572</v>
      </c>
      <c r="N841" s="124">
        <v>12.62</v>
      </c>
      <c r="O841" s="122">
        <v>4.09</v>
      </c>
      <c r="P841" s="124">
        <v>83.29</v>
      </c>
      <c r="Q841" s="109"/>
      <c r="R841" s="103">
        <f t="shared" si="1"/>
        <v>238226.4</v>
      </c>
      <c r="S841" s="103">
        <f t="shared" si="2"/>
        <v>77472</v>
      </c>
      <c r="T841" s="103">
        <f t="shared" si="3"/>
        <v>11879.04</v>
      </c>
      <c r="U841" s="103">
        <f t="shared" si="4"/>
        <v>12309.44</v>
      </c>
      <c r="V841" s="103">
        <f t="shared" si="5"/>
        <v>271582.4</v>
      </c>
      <c r="W841" s="103">
        <f t="shared" si="6"/>
        <v>88016.8</v>
      </c>
      <c r="X841" s="103">
        <f t="shared" si="7"/>
        <v>1792400.8</v>
      </c>
    </row>
    <row r="842" ht="12.0" customHeight="1">
      <c r="A8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42" s="87" t="str">
        <f>IFERROR(__xludf.DUMMYFUNCTION("IFERROR(IF(F842&lt;&gt;"""",""WHSE ""&amp;LEFT(F842,1),REGEXEXTRACT(E842,""-(?:\d{2}-)?([A-Z]+)"")),"""")
"),"WHSE C")</f>
        <v>WHSE C</v>
      </c>
      <c r="C842" s="117">
        <v>46086.0</v>
      </c>
      <c r="D842" s="118" t="s">
        <v>232</v>
      </c>
      <c r="E842" s="87" t="s">
        <v>771</v>
      </c>
      <c r="F842" s="87" t="s">
        <v>508</v>
      </c>
      <c r="G842" s="119" t="s">
        <v>668</v>
      </c>
      <c r="H842" s="120">
        <v>10705.0</v>
      </c>
      <c r="I842" s="121">
        <v>275.0</v>
      </c>
      <c r="J842" s="122">
        <v>10.27</v>
      </c>
      <c r="K842" s="123">
        <v>3.42</v>
      </c>
      <c r="L842" s="123">
        <v>0.556</v>
      </c>
      <c r="M842" s="123">
        <v>0.576</v>
      </c>
      <c r="N842" s="124">
        <v>14.55</v>
      </c>
      <c r="O842" s="122">
        <v>2.81</v>
      </c>
      <c r="P842" s="124">
        <v>82.64</v>
      </c>
      <c r="Q842" s="109"/>
      <c r="R842" s="103">
        <f t="shared" si="1"/>
        <v>109940.35</v>
      </c>
      <c r="S842" s="103">
        <f t="shared" si="2"/>
        <v>36611.1</v>
      </c>
      <c r="T842" s="103">
        <f t="shared" si="3"/>
        <v>5951.98</v>
      </c>
      <c r="U842" s="103">
        <f t="shared" si="4"/>
        <v>6166.08</v>
      </c>
      <c r="V842" s="103">
        <f t="shared" si="5"/>
        <v>155757.75</v>
      </c>
      <c r="W842" s="103">
        <f t="shared" si="6"/>
        <v>30081.05</v>
      </c>
      <c r="X842" s="103">
        <f t="shared" si="7"/>
        <v>884661.2</v>
      </c>
    </row>
    <row r="843" ht="12.0" customHeight="1">
      <c r="A8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43" s="87" t="str">
        <f>IFERROR(__xludf.DUMMYFUNCTION("IFERROR(IF(F843&lt;&gt;"""",""WHSE ""&amp;LEFT(F843,1),REGEXEXTRACT(E843,""-(?:\d{2}-)?([A-Z]+)"")),"""")
"),"WHSE D")</f>
        <v>WHSE D</v>
      </c>
      <c r="C843" s="117">
        <v>46086.0</v>
      </c>
      <c r="D843" s="118" t="s">
        <v>60</v>
      </c>
      <c r="E843" s="87" t="s">
        <v>788</v>
      </c>
      <c r="F843" s="87" t="s">
        <v>436</v>
      </c>
      <c r="G843" s="119" t="s">
        <v>63</v>
      </c>
      <c r="H843" s="120">
        <v>12664.0</v>
      </c>
      <c r="I843" s="121">
        <v>320.0</v>
      </c>
      <c r="J843" s="122">
        <v>15.07</v>
      </c>
      <c r="K843" s="123">
        <v>2.71</v>
      </c>
      <c r="L843" s="123">
        <v>0.571</v>
      </c>
      <c r="M843" s="123">
        <v>0.591</v>
      </c>
      <c r="N843" s="124">
        <v>12.25</v>
      </c>
      <c r="O843" s="122">
        <v>4.02</v>
      </c>
      <c r="P843" s="124">
        <v>83.73</v>
      </c>
      <c r="Q843" s="118" t="s">
        <v>789</v>
      </c>
      <c r="R843" s="86">
        <f t="shared" si="1"/>
        <v>190846.48</v>
      </c>
      <c r="S843" s="86">
        <f t="shared" si="2"/>
        <v>34319.44</v>
      </c>
      <c r="T843" s="86">
        <f t="shared" si="3"/>
        <v>7231.144</v>
      </c>
      <c r="U843" s="86">
        <f t="shared" si="4"/>
        <v>7484.424</v>
      </c>
      <c r="V843" s="86">
        <f t="shared" si="5"/>
        <v>155134</v>
      </c>
      <c r="W843" s="86">
        <f t="shared" si="6"/>
        <v>50909.28</v>
      </c>
      <c r="X843" s="86">
        <f t="shared" si="7"/>
        <v>1060356.72</v>
      </c>
    </row>
    <row r="844" ht="12.0" customHeight="1">
      <c r="A8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44" s="87" t="str">
        <f>IFERROR(__xludf.DUMMYFUNCTION("IFERROR(IF(F844&lt;&gt;"""",""WHSE ""&amp;LEFT(F844,1),REGEXEXTRACT(E844,""-(?:\d{2}-)?([A-Z]+)"")),"""")
"),"")</f>
        <v/>
      </c>
      <c r="C844" s="108"/>
      <c r="D844" s="109"/>
      <c r="E844" s="110"/>
      <c r="F844" s="110"/>
      <c r="G844" s="111"/>
      <c r="H844" s="112"/>
      <c r="I844" s="113"/>
      <c r="J844" s="114"/>
      <c r="K844" s="115"/>
      <c r="L844" s="115"/>
      <c r="M844" s="115"/>
      <c r="N844" s="116"/>
      <c r="O844" s="114"/>
      <c r="P844" s="116"/>
      <c r="Q844" s="109"/>
      <c r="R844" s="103">
        <f t="shared" si="1"/>
        <v>0</v>
      </c>
      <c r="S844" s="103">
        <f t="shared" si="2"/>
        <v>0</v>
      </c>
      <c r="T844" s="103">
        <f t="shared" si="3"/>
        <v>0</v>
      </c>
      <c r="U844" s="103">
        <f t="shared" si="4"/>
        <v>0</v>
      </c>
      <c r="V844" s="103">
        <f t="shared" si="5"/>
        <v>0</v>
      </c>
      <c r="W844" s="103">
        <f t="shared" si="6"/>
        <v>0</v>
      </c>
      <c r="X844" s="103">
        <f t="shared" si="7"/>
        <v>0</v>
      </c>
    </row>
    <row r="845" ht="12.0" customHeight="1">
      <c r="A8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45" s="87" t="str">
        <f>IFERROR(__xludf.DUMMYFUNCTION("IFERROR(IF(F845&lt;&gt;"""",""WHSE ""&amp;LEFT(F845,1),REGEXEXTRACT(E845,""-(?:\d{2}-)?([A-Z]+)"")),"""")
"),"WHSE C")</f>
        <v>WHSE C</v>
      </c>
      <c r="C845" s="117">
        <v>46087.0</v>
      </c>
      <c r="D845" s="118" t="s">
        <v>232</v>
      </c>
      <c r="E845" s="87" t="s">
        <v>790</v>
      </c>
      <c r="F845" s="87" t="s">
        <v>494</v>
      </c>
      <c r="G845" s="119" t="s">
        <v>328</v>
      </c>
      <c r="H845" s="120">
        <v>21320.0</v>
      </c>
      <c r="I845" s="121">
        <v>633.0</v>
      </c>
      <c r="J845" s="122">
        <v>9.0</v>
      </c>
      <c r="K845" s="123">
        <v>3.18</v>
      </c>
      <c r="L845" s="123">
        <v>0.556</v>
      </c>
      <c r="M845" s="123">
        <v>0.576</v>
      </c>
      <c r="N845" s="124">
        <v>12.63</v>
      </c>
      <c r="O845" s="122">
        <v>3.47</v>
      </c>
      <c r="P845" s="124">
        <v>83.9</v>
      </c>
      <c r="Q845" s="109"/>
      <c r="R845" s="103">
        <f t="shared" si="1"/>
        <v>191880</v>
      </c>
      <c r="S845" s="103">
        <f t="shared" si="2"/>
        <v>67797.6</v>
      </c>
      <c r="T845" s="103">
        <f t="shared" si="3"/>
        <v>11853.92</v>
      </c>
      <c r="U845" s="103">
        <f t="shared" si="4"/>
        <v>12280.32</v>
      </c>
      <c r="V845" s="103">
        <f t="shared" si="5"/>
        <v>269271.6</v>
      </c>
      <c r="W845" s="103">
        <f t="shared" si="6"/>
        <v>73980.4</v>
      </c>
      <c r="X845" s="103">
        <f t="shared" si="7"/>
        <v>1788748</v>
      </c>
    </row>
    <row r="846" ht="12.0" customHeight="1">
      <c r="A8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46" s="87" t="str">
        <f>IFERROR(__xludf.DUMMYFUNCTION("IFERROR(IF(F846&lt;&gt;"""",""WHSE ""&amp;LEFT(F846,1),REGEXEXTRACT(E846,""-(?:\d{2}-)?([A-Z]+)"")),"""")
"),"WHSE C")</f>
        <v>WHSE C</v>
      </c>
      <c r="C846" s="117">
        <v>46087.0</v>
      </c>
      <c r="D846" s="118" t="s">
        <v>232</v>
      </c>
      <c r="E846" s="87" t="s">
        <v>771</v>
      </c>
      <c r="F846" s="87" t="s">
        <v>508</v>
      </c>
      <c r="G846" s="119" t="s">
        <v>668</v>
      </c>
      <c r="H846" s="120">
        <v>9550.0</v>
      </c>
      <c r="I846" s="121">
        <v>208.0</v>
      </c>
      <c r="J846" s="122">
        <v>10.27</v>
      </c>
      <c r="K846" s="123">
        <v>3.12</v>
      </c>
      <c r="L846" s="123">
        <v>0.556</v>
      </c>
      <c r="M846" s="123">
        <v>0.576</v>
      </c>
      <c r="N846" s="124">
        <v>13.08</v>
      </c>
      <c r="O846" s="122">
        <v>2.97</v>
      </c>
      <c r="P846" s="124">
        <v>83.95</v>
      </c>
      <c r="Q846" s="109"/>
      <c r="R846" s="103">
        <f t="shared" si="1"/>
        <v>98078.5</v>
      </c>
      <c r="S846" s="103">
        <f t="shared" si="2"/>
        <v>29796</v>
      </c>
      <c r="T846" s="103">
        <f t="shared" si="3"/>
        <v>5309.8</v>
      </c>
      <c r="U846" s="103">
        <f t="shared" si="4"/>
        <v>5500.8</v>
      </c>
      <c r="V846" s="103">
        <f t="shared" si="5"/>
        <v>124914</v>
      </c>
      <c r="W846" s="103">
        <f t="shared" si="6"/>
        <v>28363.5</v>
      </c>
      <c r="X846" s="103">
        <f t="shared" si="7"/>
        <v>801722.5</v>
      </c>
    </row>
    <row r="847" ht="12.0" customHeight="1">
      <c r="A8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47" s="87" t="str">
        <f>IFERROR(__xludf.DUMMYFUNCTION("IFERROR(IF(F847&lt;&gt;"""",""WHSE ""&amp;LEFT(F847,1),REGEXEXTRACT(E847,""-(?:\d{2}-)?([A-Z]+)"")),"""")
"),"WHSE A")</f>
        <v>WHSE A</v>
      </c>
      <c r="C847" s="117">
        <v>46087.0</v>
      </c>
      <c r="D847" s="118" t="s">
        <v>72</v>
      </c>
      <c r="E847" s="87" t="s">
        <v>791</v>
      </c>
      <c r="F847" s="87" t="s">
        <v>312</v>
      </c>
      <c r="G847" s="119" t="s">
        <v>512</v>
      </c>
      <c r="H847" s="120">
        <v>19955.0</v>
      </c>
      <c r="I847" s="121">
        <v>480.0</v>
      </c>
      <c r="J847" s="122">
        <v>11.8</v>
      </c>
      <c r="K847" s="123">
        <v>2.37</v>
      </c>
      <c r="L847" s="123">
        <v>0.575</v>
      </c>
      <c r="M847" s="123">
        <v>0.595</v>
      </c>
      <c r="N847" s="124">
        <v>11.98</v>
      </c>
      <c r="O847" s="122">
        <v>3.79</v>
      </c>
      <c r="P847" s="124">
        <v>84.23</v>
      </c>
      <c r="Q847" s="109"/>
      <c r="R847" s="103">
        <f t="shared" si="1"/>
        <v>235469</v>
      </c>
      <c r="S847" s="103">
        <f t="shared" si="2"/>
        <v>47293.35</v>
      </c>
      <c r="T847" s="103">
        <f t="shared" si="3"/>
        <v>11474.125</v>
      </c>
      <c r="U847" s="103">
        <f t="shared" si="4"/>
        <v>11873.225</v>
      </c>
      <c r="V847" s="103">
        <f t="shared" si="5"/>
        <v>239060.9</v>
      </c>
      <c r="W847" s="103">
        <f t="shared" si="6"/>
        <v>75629.45</v>
      </c>
      <c r="X847" s="103">
        <f t="shared" si="7"/>
        <v>1680809.65</v>
      </c>
    </row>
    <row r="848" ht="12.0" customHeight="1">
      <c r="A8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48" s="87" t="str">
        <f>IFERROR(__xludf.DUMMYFUNCTION("IFERROR(IF(F848&lt;&gt;"""",""WHSE ""&amp;LEFT(F848,1),REGEXEXTRACT(E848,""-(?:\d{2}-)?([A-Z]+)"")),"""")
"),"WHSE A")</f>
        <v>WHSE A</v>
      </c>
      <c r="C848" s="117">
        <v>46087.0</v>
      </c>
      <c r="D848" s="118" t="s">
        <v>72</v>
      </c>
      <c r="E848" s="87" t="s">
        <v>791</v>
      </c>
      <c r="F848" s="87" t="s">
        <v>312</v>
      </c>
      <c r="G848" s="119" t="s">
        <v>73</v>
      </c>
      <c r="H848" s="120">
        <v>19700.0</v>
      </c>
      <c r="I848" s="121">
        <v>456.0</v>
      </c>
      <c r="J848" s="122">
        <v>11.47</v>
      </c>
      <c r="K848" s="123">
        <v>2.42</v>
      </c>
      <c r="L848" s="123">
        <v>0.578</v>
      </c>
      <c r="M848" s="123">
        <v>0.598</v>
      </c>
      <c r="N848" s="124">
        <v>12.18</v>
      </c>
      <c r="O848" s="122">
        <v>3.61</v>
      </c>
      <c r="P848" s="124">
        <v>84.21</v>
      </c>
      <c r="Q848" s="109"/>
      <c r="R848" s="103">
        <f t="shared" si="1"/>
        <v>225959</v>
      </c>
      <c r="S848" s="103">
        <f t="shared" si="2"/>
        <v>47674</v>
      </c>
      <c r="T848" s="103">
        <f t="shared" si="3"/>
        <v>11386.6</v>
      </c>
      <c r="U848" s="103">
        <f t="shared" si="4"/>
        <v>11780.6</v>
      </c>
      <c r="V848" s="103">
        <f t="shared" si="5"/>
        <v>239946</v>
      </c>
      <c r="W848" s="103">
        <f t="shared" si="6"/>
        <v>71117</v>
      </c>
      <c r="X848" s="103">
        <f t="shared" si="7"/>
        <v>1658937</v>
      </c>
    </row>
    <row r="849" ht="12.0" customHeight="1">
      <c r="A8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49" s="87" t="str">
        <f>IFERROR(__xludf.DUMMYFUNCTION("IFERROR(IF(F849&lt;&gt;"""",""WHSE ""&amp;LEFT(F849,1),REGEXEXTRACT(E849,""-(?:\d{2}-)?([A-Z]+)"")),"""")
"),"")</f>
        <v/>
      </c>
      <c r="C849" s="108"/>
      <c r="D849" s="109"/>
      <c r="E849" s="110"/>
      <c r="F849" s="110"/>
      <c r="G849" s="111"/>
      <c r="H849" s="112"/>
      <c r="I849" s="113"/>
      <c r="J849" s="114"/>
      <c r="K849" s="115"/>
      <c r="L849" s="115"/>
      <c r="M849" s="115"/>
      <c r="N849" s="116"/>
      <c r="O849" s="114"/>
      <c r="P849" s="116"/>
      <c r="Q849" s="109"/>
      <c r="R849" s="103">
        <f t="shared" si="1"/>
        <v>0</v>
      </c>
      <c r="S849" s="103">
        <f t="shared" si="2"/>
        <v>0</v>
      </c>
      <c r="T849" s="103">
        <f t="shared" si="3"/>
        <v>0</v>
      </c>
      <c r="U849" s="103">
        <f t="shared" si="4"/>
        <v>0</v>
      </c>
      <c r="V849" s="103">
        <f t="shared" si="5"/>
        <v>0</v>
      </c>
      <c r="W849" s="103">
        <f t="shared" si="6"/>
        <v>0</v>
      </c>
      <c r="X849" s="103">
        <f t="shared" si="7"/>
        <v>0</v>
      </c>
    </row>
    <row r="850" ht="12.0" customHeight="1">
      <c r="A8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50" s="87" t="str">
        <f>IFERROR(__xludf.DUMMYFUNCTION("IFERROR(IF(F850&lt;&gt;"""",""WHSE ""&amp;LEFT(F850,1),REGEXEXTRACT(E850,""-(?:\d{2}-)?([A-Z]+)"")),"""")
"),"WHSE A")</f>
        <v>WHSE A</v>
      </c>
      <c r="C850" s="117">
        <v>46088.0</v>
      </c>
      <c r="D850" s="118" t="s">
        <v>72</v>
      </c>
      <c r="E850" s="87" t="s">
        <v>791</v>
      </c>
      <c r="F850" s="87" t="s">
        <v>312</v>
      </c>
      <c r="G850" s="119" t="s">
        <v>77</v>
      </c>
      <c r="H850" s="120">
        <v>16425.0</v>
      </c>
      <c r="I850" s="121">
        <v>368.0</v>
      </c>
      <c r="J850" s="122">
        <v>11.2</v>
      </c>
      <c r="K850" s="123">
        <v>2.71</v>
      </c>
      <c r="L850" s="123">
        <v>0.575</v>
      </c>
      <c r="M850" s="123">
        <v>0.595</v>
      </c>
      <c r="N850" s="124">
        <v>12.34</v>
      </c>
      <c r="O850" s="122">
        <v>3.63</v>
      </c>
      <c r="P850" s="124">
        <v>84.03</v>
      </c>
      <c r="Q850" s="109"/>
      <c r="R850" s="103">
        <f t="shared" si="1"/>
        <v>183960</v>
      </c>
      <c r="S850" s="103">
        <f t="shared" si="2"/>
        <v>44511.75</v>
      </c>
      <c r="T850" s="103">
        <f t="shared" si="3"/>
        <v>9444.375</v>
      </c>
      <c r="U850" s="103">
        <f t="shared" si="4"/>
        <v>9772.875</v>
      </c>
      <c r="V850" s="103">
        <f t="shared" si="5"/>
        <v>202684.5</v>
      </c>
      <c r="W850" s="103">
        <f t="shared" si="6"/>
        <v>59622.75</v>
      </c>
      <c r="X850" s="103">
        <f t="shared" si="7"/>
        <v>1380192.75</v>
      </c>
    </row>
    <row r="851" ht="12.0" customHeight="1">
      <c r="A8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51" s="87" t="str">
        <f>IFERROR(__xludf.DUMMYFUNCTION("IFERROR(IF(F851&lt;&gt;"""",""WHSE ""&amp;LEFT(F851,1),REGEXEXTRACT(E851,""-(?:\d{2}-)?([A-Z]+)"")),"""")
"),"WHSE D")</f>
        <v>WHSE D</v>
      </c>
      <c r="C851" s="117">
        <v>46088.0</v>
      </c>
      <c r="D851" s="118" t="s">
        <v>64</v>
      </c>
      <c r="E851" s="87" t="s">
        <v>768</v>
      </c>
      <c r="F851" s="87" t="s">
        <v>769</v>
      </c>
      <c r="G851" s="119" t="s">
        <v>65</v>
      </c>
      <c r="H851" s="120">
        <v>23609.0</v>
      </c>
      <c r="I851" s="121">
        <v>478.0</v>
      </c>
      <c r="J851" s="122">
        <v>12.74</v>
      </c>
      <c r="K851" s="123">
        <v>2.47</v>
      </c>
      <c r="L851" s="123">
        <v>0.578</v>
      </c>
      <c r="M851" s="123">
        <v>0.598</v>
      </c>
      <c r="N851" s="124">
        <v>13.4</v>
      </c>
      <c r="O851" s="122">
        <v>2.94</v>
      </c>
      <c r="P851" s="124">
        <v>83.66</v>
      </c>
      <c r="Q851" s="118" t="s">
        <v>792</v>
      </c>
      <c r="R851" s="86">
        <f t="shared" si="1"/>
        <v>300778.66</v>
      </c>
      <c r="S851" s="86">
        <f t="shared" si="2"/>
        <v>58314.23</v>
      </c>
      <c r="T851" s="86">
        <f t="shared" si="3"/>
        <v>13646.002</v>
      </c>
      <c r="U851" s="86">
        <f t="shared" si="4"/>
        <v>14118.182</v>
      </c>
      <c r="V851" s="86">
        <f t="shared" si="5"/>
        <v>316360.6</v>
      </c>
      <c r="W851" s="86">
        <f t="shared" si="6"/>
        <v>69410.46</v>
      </c>
      <c r="X851" s="86">
        <f t="shared" si="7"/>
        <v>1975128.94</v>
      </c>
    </row>
    <row r="852" ht="12.0" customHeight="1">
      <c r="A8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52" s="87" t="str">
        <f>IFERROR(__xludf.DUMMYFUNCTION("IFERROR(IF(F852&lt;&gt;"""",""WHSE ""&amp;LEFT(F852,1),REGEXEXTRACT(E852,""-(?:\d{2}-)?([A-Z]+)"")),"""")
"),"WHSE D")</f>
        <v>WHSE D</v>
      </c>
      <c r="C852" s="117">
        <v>46088.0</v>
      </c>
      <c r="D852" s="118" t="s">
        <v>432</v>
      </c>
      <c r="E852" s="87" t="s">
        <v>793</v>
      </c>
      <c r="F852" s="87" t="s">
        <v>794</v>
      </c>
      <c r="G852" s="119" t="s">
        <v>433</v>
      </c>
      <c r="H852" s="120">
        <v>14020.0</v>
      </c>
      <c r="I852" s="121">
        <v>388.0</v>
      </c>
      <c r="J852" s="122">
        <v>11.8</v>
      </c>
      <c r="K852" s="123">
        <v>2.64</v>
      </c>
      <c r="L852" s="123">
        <v>0.575</v>
      </c>
      <c r="M852" s="123">
        <v>0.595</v>
      </c>
      <c r="N852" s="124">
        <v>12.22</v>
      </c>
      <c r="O852" s="122">
        <v>3.85</v>
      </c>
      <c r="P852" s="124">
        <v>83.93</v>
      </c>
      <c r="Q852" s="109"/>
      <c r="R852" s="103">
        <f t="shared" si="1"/>
        <v>165436</v>
      </c>
      <c r="S852" s="103">
        <f t="shared" si="2"/>
        <v>37012.8</v>
      </c>
      <c r="T852" s="103">
        <f t="shared" si="3"/>
        <v>8061.5</v>
      </c>
      <c r="U852" s="103">
        <f t="shared" si="4"/>
        <v>8341.9</v>
      </c>
      <c r="V852" s="103">
        <f t="shared" si="5"/>
        <v>171324.4</v>
      </c>
      <c r="W852" s="103">
        <f t="shared" si="6"/>
        <v>53977</v>
      </c>
      <c r="X852" s="103">
        <f t="shared" si="7"/>
        <v>1176698.6</v>
      </c>
    </row>
    <row r="853" ht="12.0" customHeight="1">
      <c r="A8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53" s="87" t="str">
        <f>IFERROR(__xludf.DUMMYFUNCTION("IFERROR(IF(F853&lt;&gt;"""",""WHSE ""&amp;LEFT(F853,1),REGEXEXTRACT(E853,""-(?:\d{2}-)?([A-Z]+)"")),"""")
"),"WHSE C")</f>
        <v>WHSE C</v>
      </c>
      <c r="C853" s="117">
        <v>46088.0</v>
      </c>
      <c r="D853" s="118" t="s">
        <v>232</v>
      </c>
      <c r="E853" s="87" t="s">
        <v>790</v>
      </c>
      <c r="F853" s="87" t="s">
        <v>494</v>
      </c>
      <c r="G853" s="119" t="s">
        <v>235</v>
      </c>
      <c r="H853" s="120">
        <v>12175.0</v>
      </c>
      <c r="I853" s="121">
        <v>305.0</v>
      </c>
      <c r="J853" s="122">
        <v>11.54</v>
      </c>
      <c r="K853" s="123">
        <v>3.42</v>
      </c>
      <c r="L853" s="123">
        <v>0.581</v>
      </c>
      <c r="M853" s="123">
        <v>0.601</v>
      </c>
      <c r="N853" s="124">
        <v>12.52</v>
      </c>
      <c r="O853" s="122">
        <v>3.04</v>
      </c>
      <c r="P853" s="124">
        <v>84.44</v>
      </c>
      <c r="Q853" s="109"/>
      <c r="R853" s="103">
        <f t="shared" si="1"/>
        <v>140499.5</v>
      </c>
      <c r="S853" s="103">
        <f t="shared" si="2"/>
        <v>41638.5</v>
      </c>
      <c r="T853" s="103">
        <f t="shared" si="3"/>
        <v>7073.675</v>
      </c>
      <c r="U853" s="103">
        <f t="shared" si="4"/>
        <v>7317.175</v>
      </c>
      <c r="V853" s="103">
        <f t="shared" si="5"/>
        <v>152431</v>
      </c>
      <c r="W853" s="103">
        <f t="shared" si="6"/>
        <v>37012</v>
      </c>
      <c r="X853" s="103">
        <f t="shared" si="7"/>
        <v>1028057</v>
      </c>
    </row>
    <row r="854" ht="12.0" customHeight="1">
      <c r="A8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54" s="87" t="str">
        <f>IFERROR(__xludf.DUMMYFUNCTION("IFERROR(IF(F854&lt;&gt;"""",""WHSE ""&amp;LEFT(F854,1),REGEXEXTRACT(E854,""-(?:\d{2}-)?([A-Z]+)"")),"""")
"),"")</f>
        <v/>
      </c>
      <c r="C854" s="108"/>
      <c r="D854" s="109"/>
      <c r="E854" s="110"/>
      <c r="F854" s="110"/>
      <c r="G854" s="111"/>
      <c r="H854" s="112"/>
      <c r="I854" s="113"/>
      <c r="J854" s="114"/>
      <c r="K854" s="115"/>
      <c r="L854" s="115"/>
      <c r="M854" s="115"/>
      <c r="N854" s="116"/>
      <c r="O854" s="114"/>
      <c r="P854" s="116"/>
      <c r="Q854" s="109"/>
      <c r="R854" s="103">
        <f t="shared" si="1"/>
        <v>0</v>
      </c>
      <c r="S854" s="103">
        <f t="shared" si="2"/>
        <v>0</v>
      </c>
      <c r="T854" s="103">
        <f t="shared" si="3"/>
        <v>0</v>
      </c>
      <c r="U854" s="103">
        <f t="shared" si="4"/>
        <v>0</v>
      </c>
      <c r="V854" s="103">
        <f t="shared" si="5"/>
        <v>0</v>
      </c>
      <c r="W854" s="103">
        <f t="shared" si="6"/>
        <v>0</v>
      </c>
      <c r="X854" s="103">
        <f t="shared" si="7"/>
        <v>0</v>
      </c>
    </row>
    <row r="855" ht="12.0" customHeight="1">
      <c r="A8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55" s="87" t="str">
        <f>IFERROR(__xludf.DUMMYFUNCTION("IFERROR(IF(F855&lt;&gt;"""",""WHSE ""&amp;LEFT(F855,1),REGEXEXTRACT(E855,""-(?:\d{2}-)?([A-Z]+)"")),"""")
"),"WHSE C")</f>
        <v>WHSE C</v>
      </c>
      <c r="C855" s="117">
        <v>46090.0</v>
      </c>
      <c r="D855" s="118" t="s">
        <v>232</v>
      </c>
      <c r="E855" s="87" t="s">
        <v>790</v>
      </c>
      <c r="F855" s="87" t="s">
        <v>494</v>
      </c>
      <c r="G855" s="119" t="s">
        <v>235</v>
      </c>
      <c r="H855" s="120">
        <v>12795.0</v>
      </c>
      <c r="I855" s="121">
        <v>308.0</v>
      </c>
      <c r="J855" s="122">
        <v>10.94</v>
      </c>
      <c r="K855" s="123">
        <v>3.16</v>
      </c>
      <c r="L855" s="123">
        <v>0.578</v>
      </c>
      <c r="M855" s="123">
        <v>0.598</v>
      </c>
      <c r="N855" s="124">
        <v>13.46</v>
      </c>
      <c r="O855" s="122">
        <v>2.68</v>
      </c>
      <c r="P855" s="124">
        <v>83.86</v>
      </c>
      <c r="Q855" s="109"/>
      <c r="R855" s="103">
        <f t="shared" si="1"/>
        <v>139977.3</v>
      </c>
      <c r="S855" s="103">
        <f t="shared" si="2"/>
        <v>40432.2</v>
      </c>
      <c r="T855" s="103">
        <f t="shared" si="3"/>
        <v>7395.51</v>
      </c>
      <c r="U855" s="103">
        <f t="shared" si="4"/>
        <v>7651.41</v>
      </c>
      <c r="V855" s="103">
        <f t="shared" si="5"/>
        <v>172220.7</v>
      </c>
      <c r="W855" s="103">
        <f t="shared" si="6"/>
        <v>34290.6</v>
      </c>
      <c r="X855" s="103">
        <f t="shared" si="7"/>
        <v>1072988.7</v>
      </c>
    </row>
    <row r="856" ht="12.0" customHeight="1">
      <c r="A8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56" s="87" t="str">
        <f>IFERROR(__xludf.DUMMYFUNCTION("IFERROR(IF(F856&lt;&gt;"""",""WHSE ""&amp;LEFT(F856,1),REGEXEXTRACT(E856,""-(?:\d{2}-)?([A-Z]+)"")),"""")
"),"WHSE C")</f>
        <v>WHSE C</v>
      </c>
      <c r="C856" s="117">
        <v>46090.0</v>
      </c>
      <c r="D856" s="118" t="s">
        <v>232</v>
      </c>
      <c r="E856" s="87" t="s">
        <v>790</v>
      </c>
      <c r="F856" s="87" t="s">
        <v>494</v>
      </c>
      <c r="G856" s="119" t="s">
        <v>668</v>
      </c>
      <c r="H856" s="120">
        <v>11140.0</v>
      </c>
      <c r="I856" s="121">
        <v>299.0</v>
      </c>
      <c r="J856" s="122">
        <v>11.34</v>
      </c>
      <c r="K856" s="123">
        <v>2.85</v>
      </c>
      <c r="L856" s="123">
        <v>0.575</v>
      </c>
      <c r="M856" s="123">
        <v>0.595</v>
      </c>
      <c r="N856" s="124">
        <v>13.68</v>
      </c>
      <c r="O856" s="122">
        <v>3.28</v>
      </c>
      <c r="P856" s="124">
        <v>83.04</v>
      </c>
      <c r="Q856" s="109"/>
      <c r="R856" s="103">
        <f t="shared" si="1"/>
        <v>126327.6</v>
      </c>
      <c r="S856" s="103">
        <f t="shared" si="2"/>
        <v>31749</v>
      </c>
      <c r="T856" s="103">
        <f t="shared" si="3"/>
        <v>6405.5</v>
      </c>
      <c r="U856" s="103">
        <f t="shared" si="4"/>
        <v>6628.3</v>
      </c>
      <c r="V856" s="103">
        <f t="shared" si="5"/>
        <v>152395.2</v>
      </c>
      <c r="W856" s="103">
        <f t="shared" si="6"/>
        <v>36539.2</v>
      </c>
      <c r="X856" s="103">
        <f t="shared" si="7"/>
        <v>925065.6</v>
      </c>
    </row>
    <row r="857" ht="12.0" customHeight="1">
      <c r="A8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57" s="87" t="str">
        <f>IFERROR(__xludf.DUMMYFUNCTION("IFERROR(IF(F857&lt;&gt;"""",""WHSE ""&amp;LEFT(F857,1),REGEXEXTRACT(E857,""-(?:\d{2}-)?([A-Z]+)"")),"""")
"),"WHSE C")</f>
        <v>WHSE C</v>
      </c>
      <c r="C857" s="117">
        <v>46090.0</v>
      </c>
      <c r="D857" s="118" t="s">
        <v>232</v>
      </c>
      <c r="E857" s="87" t="s">
        <v>795</v>
      </c>
      <c r="F857" s="87" t="s">
        <v>677</v>
      </c>
      <c r="G857" s="119" t="s">
        <v>328</v>
      </c>
      <c r="H857" s="120">
        <v>20856.0</v>
      </c>
      <c r="I857" s="121">
        <v>507.0</v>
      </c>
      <c r="J857" s="122">
        <v>11.2</v>
      </c>
      <c r="K857" s="123">
        <v>2.8</v>
      </c>
      <c r="L857" s="123">
        <v>0.568</v>
      </c>
      <c r="M857" s="123">
        <v>0.588</v>
      </c>
      <c r="N857" s="124">
        <v>12.25</v>
      </c>
      <c r="O857" s="122">
        <v>8.51</v>
      </c>
      <c r="P857" s="124">
        <v>79.24</v>
      </c>
      <c r="Q857" s="118" t="s">
        <v>796</v>
      </c>
      <c r="R857" s="86">
        <f t="shared" si="1"/>
        <v>233587.2</v>
      </c>
      <c r="S857" s="86">
        <f t="shared" si="2"/>
        <v>58396.8</v>
      </c>
      <c r="T857" s="86">
        <f t="shared" si="3"/>
        <v>11846.208</v>
      </c>
      <c r="U857" s="86">
        <f t="shared" si="4"/>
        <v>12263.328</v>
      </c>
      <c r="V857" s="86">
        <f t="shared" si="5"/>
        <v>255486</v>
      </c>
      <c r="W857" s="86">
        <f t="shared" si="6"/>
        <v>177484.56</v>
      </c>
      <c r="X857" s="86">
        <f t="shared" si="7"/>
        <v>1652629.44</v>
      </c>
    </row>
    <row r="858" ht="12.0" customHeight="1">
      <c r="A8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58" s="87" t="str">
        <f>IFERROR(__xludf.DUMMYFUNCTION("IFERROR(IF(F858&lt;&gt;"""",""WHSE ""&amp;LEFT(F858,1),REGEXEXTRACT(E858,""-(?:\d{2}-)?([A-Z]+)"")),"""")
"),"WHSE C")</f>
        <v>WHSE C</v>
      </c>
      <c r="C858" s="117">
        <v>46090.0</v>
      </c>
      <c r="D858" s="118" t="s">
        <v>232</v>
      </c>
      <c r="E858" s="87" t="s">
        <v>795</v>
      </c>
      <c r="F858" s="87" t="s">
        <v>677</v>
      </c>
      <c r="G858" s="119" t="s">
        <v>797</v>
      </c>
      <c r="H858" s="120">
        <v>2930.0</v>
      </c>
      <c r="I858" s="121">
        <v>90.0</v>
      </c>
      <c r="J858" s="122">
        <v>10.2</v>
      </c>
      <c r="K858" s="123">
        <v>3.42</v>
      </c>
      <c r="L858" s="123">
        <v>0.562</v>
      </c>
      <c r="M858" s="123">
        <v>0.582</v>
      </c>
      <c r="N858" s="124">
        <v>12.43</v>
      </c>
      <c r="O858" s="122">
        <v>4.15</v>
      </c>
      <c r="P858" s="124">
        <v>83.42</v>
      </c>
      <c r="Q858" s="109"/>
      <c r="R858" s="103">
        <f t="shared" si="1"/>
        <v>29886</v>
      </c>
      <c r="S858" s="103">
        <f t="shared" si="2"/>
        <v>10020.6</v>
      </c>
      <c r="T858" s="103">
        <f t="shared" si="3"/>
        <v>1646.66</v>
      </c>
      <c r="U858" s="103">
        <f t="shared" si="4"/>
        <v>1705.26</v>
      </c>
      <c r="V858" s="103">
        <f t="shared" si="5"/>
        <v>36419.9</v>
      </c>
      <c r="W858" s="103">
        <f t="shared" si="6"/>
        <v>12159.5</v>
      </c>
      <c r="X858" s="103">
        <f t="shared" si="7"/>
        <v>244420.6</v>
      </c>
    </row>
    <row r="859" ht="12.0" customHeight="1">
      <c r="A8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59" s="87" t="str">
        <f>IFERROR(__xludf.DUMMYFUNCTION("IFERROR(IF(F859&lt;&gt;"""",""WHSE ""&amp;LEFT(F859,1),REGEXEXTRACT(E859,""-(?:\d{2}-)?([A-Z]+)"")),"""")
"),"WHSE D")</f>
        <v>WHSE D</v>
      </c>
      <c r="C859" s="117">
        <v>46090.0</v>
      </c>
      <c r="D859" s="118" t="s">
        <v>60</v>
      </c>
      <c r="E859" s="87" t="s">
        <v>798</v>
      </c>
      <c r="F859" s="87" t="s">
        <v>761</v>
      </c>
      <c r="G859" s="119" t="s">
        <v>514</v>
      </c>
      <c r="H859" s="120">
        <v>9288.0</v>
      </c>
      <c r="I859" s="121">
        <v>198.0</v>
      </c>
      <c r="J859" s="122">
        <v>15.6</v>
      </c>
      <c r="K859" s="123">
        <v>2.67</v>
      </c>
      <c r="L859" s="123">
        <v>0.575</v>
      </c>
      <c r="M859" s="123">
        <v>0.595</v>
      </c>
      <c r="N859" s="124">
        <v>11.68</v>
      </c>
      <c r="O859" s="122">
        <v>3.88</v>
      </c>
      <c r="P859" s="124">
        <v>84.44</v>
      </c>
      <c r="Q859" s="118" t="s">
        <v>799</v>
      </c>
      <c r="R859" s="86">
        <f t="shared" si="1"/>
        <v>144892.8</v>
      </c>
      <c r="S859" s="86">
        <f t="shared" si="2"/>
        <v>24798.96</v>
      </c>
      <c r="T859" s="86">
        <f t="shared" si="3"/>
        <v>5340.6</v>
      </c>
      <c r="U859" s="86">
        <f t="shared" si="4"/>
        <v>5526.36</v>
      </c>
      <c r="V859" s="86">
        <f t="shared" si="5"/>
        <v>108483.84</v>
      </c>
      <c r="W859" s="86">
        <f t="shared" si="6"/>
        <v>36037.44</v>
      </c>
      <c r="X859" s="86">
        <f t="shared" si="7"/>
        <v>784278.72</v>
      </c>
    </row>
    <row r="860" ht="12.0" customHeight="1">
      <c r="A8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60" s="87" t="str">
        <f>IFERROR(__xludf.DUMMYFUNCTION("IFERROR(IF(F860&lt;&gt;"""",""WHSE ""&amp;LEFT(F860,1),REGEXEXTRACT(E860,""-(?:\d{2}-)?([A-Z]+)"")),"""")
"),"")</f>
        <v/>
      </c>
      <c r="C860" s="108"/>
      <c r="D860" s="109"/>
      <c r="E860" s="110"/>
      <c r="F860" s="110"/>
      <c r="G860" s="111"/>
      <c r="H860" s="112"/>
      <c r="I860" s="113"/>
      <c r="J860" s="114"/>
      <c r="K860" s="115"/>
      <c r="L860" s="115"/>
      <c r="M860" s="115"/>
      <c r="N860" s="116"/>
      <c r="O860" s="114"/>
      <c r="P860" s="116"/>
      <c r="Q860" s="109"/>
      <c r="R860" s="103">
        <f t="shared" si="1"/>
        <v>0</v>
      </c>
      <c r="S860" s="103">
        <f t="shared" si="2"/>
        <v>0</v>
      </c>
      <c r="T860" s="103">
        <f t="shared" si="3"/>
        <v>0</v>
      </c>
      <c r="U860" s="103">
        <f t="shared" si="4"/>
        <v>0</v>
      </c>
      <c r="V860" s="103">
        <f t="shared" si="5"/>
        <v>0</v>
      </c>
      <c r="W860" s="103">
        <f t="shared" si="6"/>
        <v>0</v>
      </c>
      <c r="X860" s="103">
        <f t="shared" si="7"/>
        <v>0</v>
      </c>
    </row>
    <row r="861" ht="12.0" customHeight="1">
      <c r="A8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61" s="87" t="str">
        <f>IFERROR(__xludf.DUMMYFUNCTION("IFERROR(IF(F861&lt;&gt;"""",""WHSE ""&amp;LEFT(F861,1),REGEXEXTRACT(E861,""-(?:\d{2}-)?([A-Z]+)"")),"""")
"),"FEED")</f>
        <v>FEED</v>
      </c>
      <c r="C861" s="117">
        <v>46091.0</v>
      </c>
      <c r="D861" s="118" t="s">
        <v>286</v>
      </c>
      <c r="E861" s="87" t="s">
        <v>800</v>
      </c>
      <c r="F861" s="110"/>
      <c r="G861" s="119" t="s">
        <v>77</v>
      </c>
      <c r="H861" s="120">
        <v>18885.0</v>
      </c>
      <c r="I861" s="121">
        <v>482.0</v>
      </c>
      <c r="J861" s="122">
        <v>11.6</v>
      </c>
      <c r="K861" s="123">
        <v>2.42</v>
      </c>
      <c r="L861" s="123">
        <v>0.578</v>
      </c>
      <c r="M861" s="123">
        <v>0.598</v>
      </c>
      <c r="N861" s="124">
        <v>13.46</v>
      </c>
      <c r="O861" s="122">
        <v>2.55</v>
      </c>
      <c r="P861" s="124">
        <v>83.99</v>
      </c>
      <c r="Q861" s="118" t="s">
        <v>469</v>
      </c>
      <c r="R861" s="86">
        <f t="shared" si="1"/>
        <v>219066</v>
      </c>
      <c r="S861" s="86">
        <f t="shared" si="2"/>
        <v>45701.7</v>
      </c>
      <c r="T861" s="86">
        <f t="shared" si="3"/>
        <v>10915.53</v>
      </c>
      <c r="U861" s="86">
        <f t="shared" si="4"/>
        <v>11293.23</v>
      </c>
      <c r="V861" s="86">
        <f t="shared" si="5"/>
        <v>254192.1</v>
      </c>
      <c r="W861" s="86">
        <f t="shared" si="6"/>
        <v>48156.75</v>
      </c>
      <c r="X861" s="86">
        <f t="shared" si="7"/>
        <v>1586151.15</v>
      </c>
    </row>
    <row r="862" ht="12.0" customHeight="1">
      <c r="A8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62" s="87" t="str">
        <f>IFERROR(__xludf.DUMMYFUNCTION("IFERROR(IF(F862&lt;&gt;"""",""WHSE ""&amp;LEFT(F862,1),REGEXEXTRACT(E862,""-(?:\d{2}-)?([A-Z]+)"")),"""")
"),"WHSE D")</f>
        <v>WHSE D</v>
      </c>
      <c r="C862" s="117">
        <v>46091.0</v>
      </c>
      <c r="D862" s="118" t="s">
        <v>232</v>
      </c>
      <c r="E862" s="87" t="s">
        <v>801</v>
      </c>
      <c r="F862" s="87" t="s">
        <v>802</v>
      </c>
      <c r="G862" s="119" t="s">
        <v>803</v>
      </c>
      <c r="H862" s="120">
        <v>29215.0</v>
      </c>
      <c r="I862" s="121">
        <v>730.0</v>
      </c>
      <c r="J862" s="122">
        <v>11.74</v>
      </c>
      <c r="K862" s="123">
        <v>3.26</v>
      </c>
      <c r="L862" s="123">
        <v>0.559</v>
      </c>
      <c r="M862" s="123">
        <v>0.579</v>
      </c>
      <c r="N862" s="124">
        <v>11.58</v>
      </c>
      <c r="O862" s="122">
        <v>7.78</v>
      </c>
      <c r="P862" s="124">
        <v>80.64</v>
      </c>
      <c r="Q862" s="118" t="s">
        <v>804</v>
      </c>
      <c r="R862" s="86">
        <f t="shared" si="1"/>
        <v>342984.1</v>
      </c>
      <c r="S862" s="86">
        <f t="shared" si="2"/>
        <v>95240.9</v>
      </c>
      <c r="T862" s="86">
        <f t="shared" si="3"/>
        <v>16331.185</v>
      </c>
      <c r="U862" s="86">
        <f t="shared" si="4"/>
        <v>16915.485</v>
      </c>
      <c r="V862" s="86">
        <f t="shared" si="5"/>
        <v>338309.7</v>
      </c>
      <c r="W862" s="86">
        <f t="shared" si="6"/>
        <v>227292.7</v>
      </c>
      <c r="X862" s="86">
        <f t="shared" si="7"/>
        <v>2355897.6</v>
      </c>
    </row>
    <row r="863" ht="12.0" customHeight="1">
      <c r="A8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63" s="87" t="str">
        <f>IFERROR(__xludf.DUMMYFUNCTION("IFERROR(IF(F863&lt;&gt;"""",""WHSE ""&amp;LEFT(F863,1),REGEXEXTRACT(E863,""-(?:\d{2}-)?([A-Z]+)"")),"""")
"),"WHSE C")</f>
        <v>WHSE C</v>
      </c>
      <c r="C863" s="117">
        <v>46091.0</v>
      </c>
      <c r="D863" s="118" t="s">
        <v>232</v>
      </c>
      <c r="E863" s="87" t="s">
        <v>771</v>
      </c>
      <c r="F863" s="87" t="s">
        <v>508</v>
      </c>
      <c r="G863" s="119" t="s">
        <v>805</v>
      </c>
      <c r="H863" s="120">
        <v>670.0</v>
      </c>
      <c r="I863" s="121">
        <v>30.0</v>
      </c>
      <c r="J863" s="122">
        <v>7.34</v>
      </c>
      <c r="K863" s="123">
        <v>3.71</v>
      </c>
      <c r="L863" s="123">
        <v>0.552</v>
      </c>
      <c r="M863" s="123">
        <v>0.572</v>
      </c>
      <c r="N863" s="124">
        <v>13.39</v>
      </c>
      <c r="O863" s="122">
        <v>2.38</v>
      </c>
      <c r="P863" s="124">
        <v>84.23</v>
      </c>
      <c r="Q863" s="109"/>
      <c r="R863" s="103">
        <f t="shared" si="1"/>
        <v>4917.8</v>
      </c>
      <c r="S863" s="103">
        <f t="shared" si="2"/>
        <v>2485.7</v>
      </c>
      <c r="T863" s="103">
        <f t="shared" si="3"/>
        <v>369.84</v>
      </c>
      <c r="U863" s="103">
        <f t="shared" si="4"/>
        <v>383.24</v>
      </c>
      <c r="V863" s="103">
        <f t="shared" si="5"/>
        <v>8971.3</v>
      </c>
      <c r="W863" s="103">
        <f t="shared" si="6"/>
        <v>1594.6</v>
      </c>
      <c r="X863" s="103">
        <f t="shared" si="7"/>
        <v>56434.1</v>
      </c>
    </row>
    <row r="864" ht="12.0" customHeight="1">
      <c r="A8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64" s="87" t="str">
        <f>IFERROR(__xludf.DUMMYFUNCTION("IFERROR(IF(F864&lt;&gt;"""",""WHSE ""&amp;LEFT(F864,1),REGEXEXTRACT(E864,""-(?:\d{2}-)?([A-Z]+)"")),"""")
"),"WHSE C")</f>
        <v>WHSE C</v>
      </c>
      <c r="C864" s="117">
        <v>46091.0</v>
      </c>
      <c r="D864" s="118" t="s">
        <v>232</v>
      </c>
      <c r="E864" s="87" t="s">
        <v>795</v>
      </c>
      <c r="F864" s="87" t="s">
        <v>677</v>
      </c>
      <c r="G864" s="119" t="s">
        <v>806</v>
      </c>
      <c r="H864" s="120">
        <v>3145.0</v>
      </c>
      <c r="I864" s="121">
        <v>125.0</v>
      </c>
      <c r="J864" s="122">
        <v>7.87</v>
      </c>
      <c r="K864" s="123">
        <v>3.18</v>
      </c>
      <c r="L864" s="123">
        <v>0.546</v>
      </c>
      <c r="M864" s="123">
        <v>0.566</v>
      </c>
      <c r="N864" s="124">
        <v>13.44</v>
      </c>
      <c r="O864" s="122">
        <v>2.64</v>
      </c>
      <c r="P864" s="124">
        <v>83.92</v>
      </c>
      <c r="Q864" s="109"/>
      <c r="R864" s="103">
        <f t="shared" si="1"/>
        <v>24751.15</v>
      </c>
      <c r="S864" s="103">
        <f t="shared" si="2"/>
        <v>10001.1</v>
      </c>
      <c r="T864" s="103">
        <f t="shared" si="3"/>
        <v>1717.17</v>
      </c>
      <c r="U864" s="103">
        <f t="shared" si="4"/>
        <v>1780.07</v>
      </c>
      <c r="V864" s="103">
        <f t="shared" si="5"/>
        <v>42268.8</v>
      </c>
      <c r="W864" s="103">
        <f t="shared" si="6"/>
        <v>8302.8</v>
      </c>
      <c r="X864" s="103">
        <f t="shared" si="7"/>
        <v>263928.4</v>
      </c>
    </row>
    <row r="865" ht="12.0" customHeight="1">
      <c r="A8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65" s="87" t="str">
        <f>IFERROR(__xludf.DUMMYFUNCTION("IFERROR(IF(F865&lt;&gt;"""",""WHSE ""&amp;LEFT(F865,1),REGEXEXTRACT(E865,""-(?:\d{2}-)?([A-Z]+)"")),"""")
"),"")</f>
        <v/>
      </c>
      <c r="C865" s="108"/>
      <c r="D865" s="109"/>
      <c r="E865" s="110"/>
      <c r="F865" s="110"/>
      <c r="G865" s="111"/>
      <c r="H865" s="112"/>
      <c r="I865" s="113"/>
      <c r="J865" s="114"/>
      <c r="K865" s="115"/>
      <c r="L865" s="115"/>
      <c r="M865" s="115"/>
      <c r="N865" s="116"/>
      <c r="O865" s="114"/>
      <c r="P865" s="116"/>
      <c r="Q865" s="109"/>
      <c r="R865" s="103">
        <f t="shared" si="1"/>
        <v>0</v>
      </c>
      <c r="S865" s="103">
        <f t="shared" si="2"/>
        <v>0</v>
      </c>
      <c r="T865" s="103">
        <f t="shared" si="3"/>
        <v>0</v>
      </c>
      <c r="U865" s="103">
        <f t="shared" si="4"/>
        <v>0</v>
      </c>
      <c r="V865" s="103">
        <f t="shared" si="5"/>
        <v>0</v>
      </c>
      <c r="W865" s="103">
        <f t="shared" si="6"/>
        <v>0</v>
      </c>
      <c r="X865" s="103">
        <f t="shared" si="7"/>
        <v>0</v>
      </c>
    </row>
    <row r="866" ht="12.0" customHeight="1">
      <c r="A8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66" s="87" t="str">
        <f>IFERROR(__xludf.DUMMYFUNCTION("IFERROR(IF(F866&lt;&gt;"""",""WHSE ""&amp;LEFT(F866,1),REGEXEXTRACT(E866,""-(?:\d{2}-)?([A-Z]+)"")),"""")
"),"WHSE C")</f>
        <v>WHSE C</v>
      </c>
      <c r="C866" s="117">
        <v>46092.0</v>
      </c>
      <c r="D866" s="118" t="s">
        <v>232</v>
      </c>
      <c r="E866" s="87" t="s">
        <v>658</v>
      </c>
      <c r="F866" s="87" t="s">
        <v>455</v>
      </c>
      <c r="G866" s="119" t="s">
        <v>669</v>
      </c>
      <c r="H866" s="120">
        <v>21608.0</v>
      </c>
      <c r="I866" s="121">
        <v>568.0</v>
      </c>
      <c r="J866" s="122">
        <v>11.94</v>
      </c>
      <c r="K866" s="123">
        <v>3.17</v>
      </c>
      <c r="L866" s="123">
        <v>0.559</v>
      </c>
      <c r="M866" s="123">
        <v>0.579</v>
      </c>
      <c r="N866" s="124">
        <v>12.29</v>
      </c>
      <c r="O866" s="122">
        <v>5.79</v>
      </c>
      <c r="P866" s="124">
        <v>81.92</v>
      </c>
      <c r="Q866" s="118" t="s">
        <v>807</v>
      </c>
      <c r="R866" s="86">
        <f t="shared" si="1"/>
        <v>257999.52</v>
      </c>
      <c r="S866" s="86">
        <f t="shared" si="2"/>
        <v>68497.36</v>
      </c>
      <c r="T866" s="86">
        <f t="shared" si="3"/>
        <v>12078.872</v>
      </c>
      <c r="U866" s="86">
        <f t="shared" si="4"/>
        <v>12511.032</v>
      </c>
      <c r="V866" s="86">
        <f t="shared" si="5"/>
        <v>265562.32</v>
      </c>
      <c r="W866" s="86">
        <f t="shared" si="6"/>
        <v>125110.32</v>
      </c>
      <c r="X866" s="86">
        <f t="shared" si="7"/>
        <v>1770127.36</v>
      </c>
    </row>
    <row r="867" ht="12.0" customHeight="1">
      <c r="A8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67" s="87" t="str">
        <f>IFERROR(__xludf.DUMMYFUNCTION("IFERROR(IF(F867&lt;&gt;"""",""WHSE ""&amp;LEFT(F867,1),REGEXEXTRACT(E867,""-(?:\d{2}-)?([A-Z]+)"")),"""")
"),"WHSE C")</f>
        <v>WHSE C</v>
      </c>
      <c r="C867" s="117">
        <v>46092.0</v>
      </c>
      <c r="D867" s="118" t="s">
        <v>232</v>
      </c>
      <c r="E867" s="87" t="s">
        <v>795</v>
      </c>
      <c r="F867" s="87" t="s">
        <v>677</v>
      </c>
      <c r="G867" s="119" t="s">
        <v>328</v>
      </c>
      <c r="H867" s="120">
        <v>21430.0</v>
      </c>
      <c r="I867" s="121">
        <v>596.0</v>
      </c>
      <c r="J867" s="122">
        <v>9.54</v>
      </c>
      <c r="K867" s="123">
        <v>3.14</v>
      </c>
      <c r="L867" s="123">
        <v>0.556</v>
      </c>
      <c r="M867" s="123">
        <v>0.576</v>
      </c>
      <c r="N867" s="124">
        <v>12.98</v>
      </c>
      <c r="O867" s="122">
        <v>3.65</v>
      </c>
      <c r="P867" s="124">
        <v>83.37</v>
      </c>
      <c r="Q867" s="109"/>
      <c r="R867" s="103">
        <f t="shared" si="1"/>
        <v>204442.2</v>
      </c>
      <c r="S867" s="103">
        <f t="shared" si="2"/>
        <v>67290.2</v>
      </c>
      <c r="T867" s="103">
        <f t="shared" si="3"/>
        <v>11915.08</v>
      </c>
      <c r="U867" s="103">
        <f t="shared" si="4"/>
        <v>12343.68</v>
      </c>
      <c r="V867" s="103">
        <f t="shared" si="5"/>
        <v>278161.4</v>
      </c>
      <c r="W867" s="103">
        <f t="shared" si="6"/>
        <v>78219.5</v>
      </c>
      <c r="X867" s="103">
        <f t="shared" si="7"/>
        <v>1786619.1</v>
      </c>
    </row>
    <row r="868" ht="12.0" customHeight="1">
      <c r="A8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68" s="87" t="str">
        <f>IFERROR(__xludf.DUMMYFUNCTION("IFERROR(IF(F868&lt;&gt;"""",""WHSE ""&amp;LEFT(F868,1),REGEXEXTRACT(E868,""-(?:\d{2}-)?([A-Z]+)"")),"""")
"),"WHSE A")</f>
        <v>WHSE A</v>
      </c>
      <c r="C868" s="117">
        <v>46092.0</v>
      </c>
      <c r="D868" s="118" t="s">
        <v>72</v>
      </c>
      <c r="E868" s="87" t="s">
        <v>791</v>
      </c>
      <c r="F868" s="87" t="s">
        <v>312</v>
      </c>
      <c r="G868" s="119" t="s">
        <v>77</v>
      </c>
      <c r="H868" s="120">
        <v>17500.0</v>
      </c>
      <c r="I868" s="121">
        <v>433.0</v>
      </c>
      <c r="J868" s="122">
        <v>11.6</v>
      </c>
      <c r="K868" s="123">
        <v>2.37</v>
      </c>
      <c r="L868" s="123">
        <v>0.575</v>
      </c>
      <c r="M868" s="123">
        <v>0.595</v>
      </c>
      <c r="N868" s="124">
        <v>11.77</v>
      </c>
      <c r="O868" s="122">
        <v>3.87</v>
      </c>
      <c r="P868" s="124">
        <v>84.36</v>
      </c>
      <c r="Q868" s="109"/>
      <c r="R868" s="103">
        <f t="shared" si="1"/>
        <v>203000</v>
      </c>
      <c r="S868" s="103">
        <f t="shared" si="2"/>
        <v>41475</v>
      </c>
      <c r="T868" s="103">
        <f t="shared" si="3"/>
        <v>10062.5</v>
      </c>
      <c r="U868" s="103">
        <f t="shared" si="4"/>
        <v>10412.5</v>
      </c>
      <c r="V868" s="103">
        <f t="shared" si="5"/>
        <v>205975</v>
      </c>
      <c r="W868" s="103">
        <f t="shared" si="6"/>
        <v>67725</v>
      </c>
      <c r="X868" s="103">
        <f t="shared" si="7"/>
        <v>1476300</v>
      </c>
    </row>
    <row r="869" ht="12.0" customHeight="1">
      <c r="A8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69" s="87" t="str">
        <f>IFERROR(__xludf.DUMMYFUNCTION("IFERROR(IF(F869&lt;&gt;"""",""WHSE ""&amp;LEFT(F869,1),REGEXEXTRACT(E869,""-(?:\d{2}-)?([A-Z]+)"")),"""")
"),"WHSE D")</f>
        <v>WHSE D</v>
      </c>
      <c r="C869" s="117">
        <v>46092.0</v>
      </c>
      <c r="D869" s="118" t="s">
        <v>64</v>
      </c>
      <c r="E869" s="87" t="s">
        <v>793</v>
      </c>
      <c r="F869" s="87" t="s">
        <v>794</v>
      </c>
      <c r="G869" s="119" t="s">
        <v>65</v>
      </c>
      <c r="H869" s="120">
        <v>19745.0</v>
      </c>
      <c r="I869" s="121">
        <v>412.0</v>
      </c>
      <c r="J869" s="122">
        <v>12.0</v>
      </c>
      <c r="K869" s="123">
        <v>2.4</v>
      </c>
      <c r="L869" s="123">
        <v>0.581</v>
      </c>
      <c r="M869" s="123">
        <v>0.601</v>
      </c>
      <c r="N869" s="124">
        <v>13.19</v>
      </c>
      <c r="O869" s="122">
        <v>2.4</v>
      </c>
      <c r="P869" s="124">
        <v>84.41</v>
      </c>
      <c r="Q869" s="109"/>
      <c r="R869" s="103">
        <f t="shared" si="1"/>
        <v>236940</v>
      </c>
      <c r="S869" s="103">
        <f t="shared" si="2"/>
        <v>47388</v>
      </c>
      <c r="T869" s="103">
        <f t="shared" si="3"/>
        <v>11471.845</v>
      </c>
      <c r="U869" s="103">
        <f t="shared" si="4"/>
        <v>11866.745</v>
      </c>
      <c r="V869" s="103">
        <f t="shared" si="5"/>
        <v>260436.55</v>
      </c>
      <c r="W869" s="103">
        <f t="shared" si="6"/>
        <v>47388</v>
      </c>
      <c r="X869" s="103">
        <f t="shared" si="7"/>
        <v>1666675.45</v>
      </c>
    </row>
    <row r="870" ht="12.0" customHeight="1">
      <c r="A8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70" s="87" t="str">
        <f>IFERROR(__xludf.DUMMYFUNCTION("IFERROR(IF(F870&lt;&gt;"""",""WHSE ""&amp;LEFT(F870,1),REGEXEXTRACT(E870,""-(?:\d{2}-)?([A-Z]+)"")),"""")
"),"FEED")</f>
        <v>FEED</v>
      </c>
      <c r="C870" s="117">
        <v>46092.0</v>
      </c>
      <c r="D870" s="118" t="s">
        <v>286</v>
      </c>
      <c r="E870" s="87" t="s">
        <v>808</v>
      </c>
      <c r="F870" s="110"/>
      <c r="G870" s="119" t="s">
        <v>73</v>
      </c>
      <c r="H870" s="120">
        <v>19630.0</v>
      </c>
      <c r="I870" s="121">
        <v>497.0</v>
      </c>
      <c r="J870" s="122">
        <v>11.47</v>
      </c>
      <c r="K870" s="123">
        <v>2.16</v>
      </c>
      <c r="L870" s="123">
        <v>0.578</v>
      </c>
      <c r="M870" s="123">
        <v>0.598</v>
      </c>
      <c r="N870" s="124">
        <v>14.68</v>
      </c>
      <c r="O870" s="122">
        <v>2.94</v>
      </c>
      <c r="P870" s="124">
        <v>82.38</v>
      </c>
      <c r="Q870" s="118" t="s">
        <v>469</v>
      </c>
      <c r="R870" s="86">
        <f t="shared" si="1"/>
        <v>225156.1</v>
      </c>
      <c r="S870" s="86">
        <f t="shared" si="2"/>
        <v>42400.8</v>
      </c>
      <c r="T870" s="86">
        <f t="shared" si="3"/>
        <v>11346.14</v>
      </c>
      <c r="U870" s="86">
        <f t="shared" si="4"/>
        <v>11738.74</v>
      </c>
      <c r="V870" s="86">
        <f t="shared" si="5"/>
        <v>288168.4</v>
      </c>
      <c r="W870" s="86">
        <f t="shared" si="6"/>
        <v>57712.2</v>
      </c>
      <c r="X870" s="86">
        <f t="shared" si="7"/>
        <v>1617119.4</v>
      </c>
    </row>
    <row r="871" ht="12.0" customHeight="1">
      <c r="A8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71" s="87" t="str">
        <f>IFERROR(__xludf.DUMMYFUNCTION("IFERROR(IF(F871&lt;&gt;"""",""WHSE ""&amp;LEFT(F871,1),REGEXEXTRACT(E871,""-(?:\d{2}-)?([A-Z]+)"")),"""")
"),"")</f>
        <v/>
      </c>
      <c r="C871" s="108"/>
      <c r="D871" s="109"/>
      <c r="E871" s="110"/>
      <c r="F871" s="110"/>
      <c r="G871" s="111"/>
      <c r="H871" s="112"/>
      <c r="I871" s="113"/>
      <c r="J871" s="114"/>
      <c r="K871" s="115"/>
      <c r="L871" s="115"/>
      <c r="M871" s="115"/>
      <c r="N871" s="116"/>
      <c r="O871" s="114"/>
      <c r="P871" s="116"/>
      <c r="Q871" s="109"/>
      <c r="R871" s="103">
        <f t="shared" si="1"/>
        <v>0</v>
      </c>
      <c r="S871" s="103">
        <f t="shared" si="2"/>
        <v>0</v>
      </c>
      <c r="T871" s="103">
        <f t="shared" si="3"/>
        <v>0</v>
      </c>
      <c r="U871" s="103">
        <f t="shared" si="4"/>
        <v>0</v>
      </c>
      <c r="V871" s="103">
        <f t="shared" si="5"/>
        <v>0</v>
      </c>
      <c r="W871" s="103">
        <f t="shared" si="6"/>
        <v>0</v>
      </c>
      <c r="X871" s="103">
        <f t="shared" si="7"/>
        <v>0</v>
      </c>
    </row>
    <row r="872" ht="12.0" customHeight="1">
      <c r="A8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72" s="87" t="str">
        <f>IFERROR(__xludf.DUMMYFUNCTION("IFERROR(IF(F872&lt;&gt;"""",""WHSE ""&amp;LEFT(F872,1),REGEXEXTRACT(E872,""-(?:\d{2}-)?([A-Z]+)"")),"""")
"),"FEED")</f>
        <v>FEED</v>
      </c>
      <c r="C872" s="117">
        <v>46093.0</v>
      </c>
      <c r="D872" s="118" t="s">
        <v>72</v>
      </c>
      <c r="E872" s="87" t="s">
        <v>809</v>
      </c>
      <c r="F872" s="110"/>
      <c r="G872" s="119" t="s">
        <v>73</v>
      </c>
      <c r="H872" s="120">
        <v>19245.0</v>
      </c>
      <c r="I872" s="121">
        <v>519.0</v>
      </c>
      <c r="J872" s="122">
        <v>10.07</v>
      </c>
      <c r="K872" s="123">
        <v>2.73</v>
      </c>
      <c r="L872" s="123">
        <v>0.578</v>
      </c>
      <c r="M872" s="123">
        <v>0.598</v>
      </c>
      <c r="N872" s="124">
        <v>13.36</v>
      </c>
      <c r="O872" s="122">
        <v>2.96</v>
      </c>
      <c r="P872" s="124">
        <v>83.68</v>
      </c>
      <c r="Q872" s="118" t="s">
        <v>469</v>
      </c>
      <c r="R872" s="86">
        <f t="shared" si="1"/>
        <v>193797.15</v>
      </c>
      <c r="S872" s="86">
        <f t="shared" si="2"/>
        <v>52538.85</v>
      </c>
      <c r="T872" s="86">
        <f t="shared" si="3"/>
        <v>11123.61</v>
      </c>
      <c r="U872" s="86">
        <f t="shared" si="4"/>
        <v>11508.51</v>
      </c>
      <c r="V872" s="86">
        <f t="shared" si="5"/>
        <v>257113.2</v>
      </c>
      <c r="W872" s="86">
        <f t="shared" si="6"/>
        <v>56965.2</v>
      </c>
      <c r="X872" s="86">
        <f t="shared" si="7"/>
        <v>1610421.6</v>
      </c>
    </row>
    <row r="873" ht="12.0" customHeight="1">
      <c r="A8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73" s="87" t="str">
        <f>IFERROR(__xludf.DUMMYFUNCTION("IFERROR(IF(F873&lt;&gt;"""",""WHSE ""&amp;LEFT(F873,1),REGEXEXTRACT(E873,""-(?:\d{2}-)?([A-Z]+)"")),"""")
"),"WHSE D")</f>
        <v>WHSE D</v>
      </c>
      <c r="C873" s="117">
        <v>46093.0</v>
      </c>
      <c r="D873" s="118" t="s">
        <v>279</v>
      </c>
      <c r="E873" s="87" t="s">
        <v>793</v>
      </c>
      <c r="F873" s="87" t="s">
        <v>794</v>
      </c>
      <c r="G873" s="119" t="s">
        <v>547</v>
      </c>
      <c r="H873" s="120">
        <v>9336.0</v>
      </c>
      <c r="I873" s="121">
        <v>187.0</v>
      </c>
      <c r="J873" s="122">
        <v>13.0</v>
      </c>
      <c r="K873" s="123">
        <v>2.8</v>
      </c>
      <c r="L873" s="123">
        <v>0.585</v>
      </c>
      <c r="M873" s="123">
        <v>0.605</v>
      </c>
      <c r="N873" s="124">
        <v>13.84</v>
      </c>
      <c r="O873" s="122">
        <v>3.49</v>
      </c>
      <c r="P873" s="124">
        <v>82.67</v>
      </c>
      <c r="Q873" s="118" t="s">
        <v>810</v>
      </c>
      <c r="R873" s="86">
        <f t="shared" si="1"/>
        <v>121368</v>
      </c>
      <c r="S873" s="86">
        <f t="shared" si="2"/>
        <v>26140.8</v>
      </c>
      <c r="T873" s="86">
        <f t="shared" si="3"/>
        <v>5461.56</v>
      </c>
      <c r="U873" s="86">
        <f t="shared" si="4"/>
        <v>5648.28</v>
      </c>
      <c r="V873" s="86">
        <f t="shared" si="5"/>
        <v>129210.24</v>
      </c>
      <c r="W873" s="86">
        <f t="shared" si="6"/>
        <v>32582.64</v>
      </c>
      <c r="X873" s="86">
        <f t="shared" si="7"/>
        <v>771807.12</v>
      </c>
    </row>
    <row r="874" ht="12.0" customHeight="1">
      <c r="A8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74" s="87" t="str">
        <f>IFERROR(__xludf.DUMMYFUNCTION("IFERROR(IF(F874&lt;&gt;"""",""WHSE ""&amp;LEFT(F874,1),REGEXEXTRACT(E874,""-(?:\d{2}-)?([A-Z]+)"")),"""")
"),"WHSE C")</f>
        <v>WHSE C</v>
      </c>
      <c r="C874" s="117">
        <v>46093.0</v>
      </c>
      <c r="D874" s="118" t="s">
        <v>232</v>
      </c>
      <c r="E874" s="87" t="s">
        <v>811</v>
      </c>
      <c r="F874" s="87" t="s">
        <v>812</v>
      </c>
      <c r="G874" s="119" t="s">
        <v>813</v>
      </c>
      <c r="H874" s="120">
        <v>19345.0</v>
      </c>
      <c r="I874" s="121">
        <v>495.0</v>
      </c>
      <c r="J874" s="122">
        <v>11.4</v>
      </c>
      <c r="K874" s="123">
        <v>3.17</v>
      </c>
      <c r="L874" s="123">
        <v>0.556</v>
      </c>
      <c r="M874" s="123">
        <v>0.576</v>
      </c>
      <c r="N874" s="124">
        <v>13.71</v>
      </c>
      <c r="O874" s="122">
        <v>3.94</v>
      </c>
      <c r="P874" s="124">
        <v>82.35</v>
      </c>
      <c r="Q874" s="109"/>
      <c r="R874" s="103">
        <f t="shared" si="1"/>
        <v>220533</v>
      </c>
      <c r="S874" s="103">
        <f t="shared" si="2"/>
        <v>61323.65</v>
      </c>
      <c r="T874" s="103">
        <f t="shared" si="3"/>
        <v>10755.82</v>
      </c>
      <c r="U874" s="103">
        <f t="shared" si="4"/>
        <v>11142.72</v>
      </c>
      <c r="V874" s="103">
        <f t="shared" si="5"/>
        <v>265219.95</v>
      </c>
      <c r="W874" s="103">
        <f t="shared" si="6"/>
        <v>76219.3</v>
      </c>
      <c r="X874" s="103">
        <f t="shared" si="7"/>
        <v>1593060.75</v>
      </c>
    </row>
    <row r="875" ht="12.0" customHeight="1">
      <c r="A8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75" s="87" t="str">
        <f>IFERROR(__xludf.DUMMYFUNCTION("IFERROR(IF(F875&lt;&gt;"""",""WHSE ""&amp;LEFT(F875,1),REGEXEXTRACT(E875,""-(?:\d{2}-)?([A-Z]+)"")),"""")
"),"WHSE C")</f>
        <v>WHSE C</v>
      </c>
      <c r="C875" s="117">
        <v>46093.0</v>
      </c>
      <c r="D875" s="118" t="s">
        <v>232</v>
      </c>
      <c r="E875" s="87" t="s">
        <v>814</v>
      </c>
      <c r="F875" s="87" t="s">
        <v>815</v>
      </c>
      <c r="G875" s="119" t="s">
        <v>668</v>
      </c>
      <c r="H875" s="120">
        <v>10795.0</v>
      </c>
      <c r="I875" s="121">
        <v>228.0</v>
      </c>
      <c r="J875" s="122">
        <v>11.14</v>
      </c>
      <c r="K875" s="123">
        <v>3.67</v>
      </c>
      <c r="L875" s="123">
        <v>0.546</v>
      </c>
      <c r="M875" s="123">
        <v>0.566</v>
      </c>
      <c r="N875" s="124">
        <v>14.04</v>
      </c>
      <c r="O875" s="122">
        <v>3.44</v>
      </c>
      <c r="P875" s="124">
        <v>82.52</v>
      </c>
      <c r="Q875" s="109"/>
      <c r="R875" s="103">
        <f t="shared" si="1"/>
        <v>120256.3</v>
      </c>
      <c r="S875" s="103">
        <f t="shared" si="2"/>
        <v>39617.65</v>
      </c>
      <c r="T875" s="103">
        <f t="shared" si="3"/>
        <v>5894.07</v>
      </c>
      <c r="U875" s="103">
        <f t="shared" si="4"/>
        <v>6109.97</v>
      </c>
      <c r="V875" s="103">
        <f t="shared" si="5"/>
        <v>151561.8</v>
      </c>
      <c r="W875" s="103">
        <f t="shared" si="6"/>
        <v>37134.8</v>
      </c>
      <c r="X875" s="103">
        <f t="shared" si="7"/>
        <v>890803.4</v>
      </c>
    </row>
    <row r="876" ht="12.0" customHeight="1">
      <c r="A8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76" s="87" t="str">
        <f>IFERROR(__xludf.DUMMYFUNCTION("IFERROR(IF(F876&lt;&gt;"""",""WHSE ""&amp;LEFT(F876,1),REGEXEXTRACT(E876,""-(?:\d{2}-)?([A-Z]+)"")),"""")
"),"WHSE C")</f>
        <v>WHSE C</v>
      </c>
      <c r="C876" s="117">
        <v>46093.0</v>
      </c>
      <c r="D876" s="118" t="s">
        <v>232</v>
      </c>
      <c r="E876" s="87" t="s">
        <v>814</v>
      </c>
      <c r="F876" s="87" t="s">
        <v>815</v>
      </c>
      <c r="G876" s="119" t="s">
        <v>235</v>
      </c>
      <c r="H876" s="120">
        <v>11543.0</v>
      </c>
      <c r="I876" s="121">
        <v>312.0</v>
      </c>
      <c r="J876" s="122">
        <v>11.6</v>
      </c>
      <c r="K876" s="123">
        <v>3.81</v>
      </c>
      <c r="L876" s="123">
        <v>0.575</v>
      </c>
      <c r="M876" s="123">
        <v>0.595</v>
      </c>
      <c r="N876" s="124">
        <v>12.92</v>
      </c>
      <c r="O876" s="122">
        <v>6.72</v>
      </c>
      <c r="P876" s="124">
        <v>80.36</v>
      </c>
      <c r="Q876" s="118" t="s">
        <v>816</v>
      </c>
      <c r="R876" s="86">
        <f t="shared" si="1"/>
        <v>133898.8</v>
      </c>
      <c r="S876" s="86">
        <f t="shared" si="2"/>
        <v>43978.83</v>
      </c>
      <c r="T876" s="86">
        <f t="shared" si="3"/>
        <v>6637.225</v>
      </c>
      <c r="U876" s="86">
        <f t="shared" si="4"/>
        <v>6868.085</v>
      </c>
      <c r="V876" s="86">
        <f t="shared" si="5"/>
        <v>149135.56</v>
      </c>
      <c r="W876" s="86">
        <f t="shared" si="6"/>
        <v>77568.96</v>
      </c>
      <c r="X876" s="86">
        <f t="shared" si="7"/>
        <v>927595.48</v>
      </c>
    </row>
    <row r="877" ht="12.0" customHeight="1">
      <c r="A8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77" s="87" t="str">
        <f>IFERROR(__xludf.DUMMYFUNCTION("IFERROR(IF(F877&lt;&gt;"""",""WHSE ""&amp;LEFT(F877,1),REGEXEXTRACT(E877,""-(?:\d{2}-)?([A-Z]+)"")),"""")
"),"")</f>
        <v/>
      </c>
      <c r="C877" s="108"/>
      <c r="D877" s="109"/>
      <c r="E877" s="110"/>
      <c r="F877" s="110"/>
      <c r="G877" s="111"/>
      <c r="H877" s="112"/>
      <c r="I877" s="113"/>
      <c r="J877" s="114"/>
      <c r="K877" s="115"/>
      <c r="L877" s="115"/>
      <c r="M877" s="115"/>
      <c r="N877" s="116"/>
      <c r="O877" s="114"/>
      <c r="P877" s="116"/>
      <c r="Q877" s="109"/>
      <c r="R877" s="103">
        <f t="shared" si="1"/>
        <v>0</v>
      </c>
      <c r="S877" s="103">
        <f t="shared" si="2"/>
        <v>0</v>
      </c>
      <c r="T877" s="103">
        <f t="shared" si="3"/>
        <v>0</v>
      </c>
      <c r="U877" s="103">
        <f t="shared" si="4"/>
        <v>0</v>
      </c>
      <c r="V877" s="103">
        <f t="shared" si="5"/>
        <v>0</v>
      </c>
      <c r="W877" s="103">
        <f t="shared" si="6"/>
        <v>0</v>
      </c>
      <c r="X877" s="103">
        <f t="shared" si="7"/>
        <v>0</v>
      </c>
    </row>
    <row r="878" ht="12.0" customHeight="1">
      <c r="A8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78" s="87" t="str">
        <f>IFERROR(__xludf.DUMMYFUNCTION("IFERROR(IF(F878&lt;&gt;"""",""WHSE ""&amp;LEFT(F878,1),REGEXEXTRACT(E878,""-(?:\d{2}-)?([A-Z]+)"")),"""")
"),"WHSE P")</f>
        <v>WHSE P</v>
      </c>
      <c r="C878" s="117">
        <v>46087.0</v>
      </c>
      <c r="D878" s="118" t="s">
        <v>817</v>
      </c>
      <c r="E878" s="87" t="s">
        <v>818</v>
      </c>
      <c r="F878" s="87" t="s">
        <v>819</v>
      </c>
      <c r="G878" s="111"/>
      <c r="H878" s="120">
        <v>8421.0</v>
      </c>
      <c r="I878" s="121">
        <v>14.0</v>
      </c>
      <c r="J878" s="122">
        <v>9.27</v>
      </c>
      <c r="K878" s="123">
        <v>2.38</v>
      </c>
      <c r="L878" s="123">
        <v>0.571</v>
      </c>
      <c r="M878" s="123">
        <v>0.591</v>
      </c>
      <c r="N878" s="124">
        <v>12.78</v>
      </c>
      <c r="O878" s="122">
        <v>3.46</v>
      </c>
      <c r="P878" s="124">
        <v>83.76</v>
      </c>
      <c r="Q878" s="118" t="s">
        <v>820</v>
      </c>
      <c r="R878" s="86">
        <f t="shared" si="1"/>
        <v>78062.67</v>
      </c>
      <c r="S878" s="86">
        <f t="shared" si="2"/>
        <v>20041.98</v>
      </c>
      <c r="T878" s="86">
        <f t="shared" si="3"/>
        <v>4808.391</v>
      </c>
      <c r="U878" s="86">
        <f t="shared" si="4"/>
        <v>4976.811</v>
      </c>
      <c r="V878" s="86">
        <f t="shared" si="5"/>
        <v>107620.38</v>
      </c>
      <c r="W878" s="86">
        <f t="shared" si="6"/>
        <v>29136.66</v>
      </c>
      <c r="X878" s="86">
        <f t="shared" si="7"/>
        <v>705342.96</v>
      </c>
    </row>
    <row r="879" ht="12.0" customHeight="1">
      <c r="A8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79" s="87" t="str">
        <f>IFERROR(__xludf.DUMMYFUNCTION("IFERROR(IF(F879&lt;&gt;"""",""WHSE ""&amp;LEFT(F879,1),REGEXEXTRACT(E879,""-(?:\d{2}-)?([A-Z]+)"")),"""")
"),"WHSE P")</f>
        <v>WHSE P</v>
      </c>
      <c r="C879" s="117">
        <v>46088.0</v>
      </c>
      <c r="D879" s="118" t="s">
        <v>817</v>
      </c>
      <c r="E879" s="87" t="s">
        <v>818</v>
      </c>
      <c r="F879" s="87" t="s">
        <v>819</v>
      </c>
      <c r="G879" s="111"/>
      <c r="H879" s="120">
        <v>3180.0</v>
      </c>
      <c r="I879" s="121">
        <v>6.0</v>
      </c>
      <c r="J879" s="122">
        <v>10.94</v>
      </c>
      <c r="K879" s="123">
        <v>2.38</v>
      </c>
      <c r="L879" s="123">
        <v>0.571</v>
      </c>
      <c r="M879" s="123">
        <v>0.591</v>
      </c>
      <c r="N879" s="124">
        <v>12.78</v>
      </c>
      <c r="O879" s="122">
        <v>3.46</v>
      </c>
      <c r="P879" s="124">
        <v>83.76</v>
      </c>
      <c r="Q879" s="118" t="s">
        <v>820</v>
      </c>
      <c r="R879" s="86">
        <f t="shared" si="1"/>
        <v>34789.2</v>
      </c>
      <c r="S879" s="86">
        <f t="shared" si="2"/>
        <v>7568.4</v>
      </c>
      <c r="T879" s="86">
        <f t="shared" si="3"/>
        <v>1815.78</v>
      </c>
      <c r="U879" s="86">
        <f t="shared" si="4"/>
        <v>1879.38</v>
      </c>
      <c r="V879" s="86">
        <f t="shared" si="5"/>
        <v>40640.4</v>
      </c>
      <c r="W879" s="86">
        <f t="shared" si="6"/>
        <v>11002.8</v>
      </c>
      <c r="X879" s="86">
        <f t="shared" si="7"/>
        <v>266356.8</v>
      </c>
    </row>
    <row r="880" ht="12.0" customHeight="1">
      <c r="A8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80" s="87" t="str">
        <f>IFERROR(__xludf.DUMMYFUNCTION("IFERROR(IF(F880&lt;&gt;"""",""WHSE ""&amp;LEFT(F880,1),REGEXEXTRACT(E880,""-(?:\d{2}-)?([A-Z]+)"")),"""")
"),"WHSE P")</f>
        <v>WHSE P</v>
      </c>
      <c r="C880" s="117">
        <v>46088.0</v>
      </c>
      <c r="D880" s="118" t="s">
        <v>821</v>
      </c>
      <c r="E880" s="87" t="s">
        <v>822</v>
      </c>
      <c r="F880" s="87" t="s">
        <v>823</v>
      </c>
      <c r="G880" s="111"/>
      <c r="H880" s="120">
        <v>3367.0</v>
      </c>
      <c r="I880" s="121">
        <v>6.0</v>
      </c>
      <c r="J880" s="122">
        <v>10.47</v>
      </c>
      <c r="K880" s="123">
        <v>4.94</v>
      </c>
      <c r="L880" s="123">
        <v>0.58</v>
      </c>
      <c r="M880" s="123">
        <v>0.6</v>
      </c>
      <c r="N880" s="124">
        <v>15.08</v>
      </c>
      <c r="O880" s="122">
        <v>9.81</v>
      </c>
      <c r="P880" s="124">
        <v>75.12</v>
      </c>
      <c r="Q880" s="118" t="s">
        <v>824</v>
      </c>
      <c r="R880" s="86">
        <f t="shared" si="1"/>
        <v>35252.49</v>
      </c>
      <c r="S880" s="86">
        <f t="shared" si="2"/>
        <v>16632.98</v>
      </c>
      <c r="T880" s="86">
        <f t="shared" si="3"/>
        <v>1952.86</v>
      </c>
      <c r="U880" s="86">
        <f t="shared" si="4"/>
        <v>2020.2</v>
      </c>
      <c r="V880" s="86">
        <f t="shared" si="5"/>
        <v>50774.36</v>
      </c>
      <c r="W880" s="86">
        <f t="shared" si="6"/>
        <v>33030.27</v>
      </c>
      <c r="X880" s="86">
        <f t="shared" si="7"/>
        <v>252929.04</v>
      </c>
    </row>
    <row r="881" ht="12.0" customHeight="1">
      <c r="A8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81" s="87" t="str">
        <f>IFERROR(__xludf.DUMMYFUNCTION("IFERROR(IF(F881&lt;&gt;"""",""WHSE ""&amp;LEFT(F881,1),REGEXEXTRACT(E881,""-(?:\d{2}-)?([A-Z]+)"")),"""")
"),"WHSE P")</f>
        <v>WHSE P</v>
      </c>
      <c r="C881" s="117">
        <v>46092.0</v>
      </c>
      <c r="D881" s="118" t="s">
        <v>825</v>
      </c>
      <c r="E881" s="87" t="s">
        <v>826</v>
      </c>
      <c r="F881" s="87" t="s">
        <v>827</v>
      </c>
      <c r="G881" s="111"/>
      <c r="H881" s="120">
        <v>6979.0</v>
      </c>
      <c r="I881" s="121">
        <v>12.0</v>
      </c>
      <c r="J881" s="122">
        <v>9.87</v>
      </c>
      <c r="K881" s="123">
        <v>2.71</v>
      </c>
      <c r="L881" s="123">
        <v>0.571</v>
      </c>
      <c r="M881" s="123">
        <v>0.591</v>
      </c>
      <c r="N881" s="124">
        <v>12.25</v>
      </c>
      <c r="O881" s="122">
        <v>4.02</v>
      </c>
      <c r="P881" s="124">
        <v>83.73</v>
      </c>
      <c r="Q881" s="118" t="s">
        <v>828</v>
      </c>
      <c r="R881" s="86">
        <f t="shared" si="1"/>
        <v>68882.73</v>
      </c>
      <c r="S881" s="86">
        <f t="shared" si="2"/>
        <v>18913.09</v>
      </c>
      <c r="T881" s="86">
        <f t="shared" si="3"/>
        <v>3985.009</v>
      </c>
      <c r="U881" s="86">
        <f t="shared" si="4"/>
        <v>4124.589</v>
      </c>
      <c r="V881" s="86">
        <f t="shared" si="5"/>
        <v>85492.75</v>
      </c>
      <c r="W881" s="86">
        <f t="shared" si="6"/>
        <v>28055.58</v>
      </c>
      <c r="X881" s="86">
        <f t="shared" si="7"/>
        <v>584351.67</v>
      </c>
    </row>
    <row r="882" ht="12.0" customHeight="1">
      <c r="A8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82" s="87" t="str">
        <f>IFERROR(__xludf.DUMMYFUNCTION("IFERROR(IF(F882&lt;&gt;"""",""WHSE ""&amp;LEFT(F882,1),REGEXEXTRACT(E882,""-(?:\d{2}-)?([A-Z]+)"")),"""")
"),"WHSE P")</f>
        <v>WHSE P</v>
      </c>
      <c r="C882" s="117">
        <v>46093.0</v>
      </c>
      <c r="D882" s="118" t="s">
        <v>825</v>
      </c>
      <c r="E882" s="87" t="s">
        <v>826</v>
      </c>
      <c r="F882" s="87" t="s">
        <v>827</v>
      </c>
      <c r="G882" s="111"/>
      <c r="H882" s="120">
        <v>3656.0</v>
      </c>
      <c r="I882" s="121">
        <v>7.0</v>
      </c>
      <c r="J882" s="122">
        <v>10.8</v>
      </c>
      <c r="K882" s="123">
        <v>2.71</v>
      </c>
      <c r="L882" s="123">
        <v>0.571</v>
      </c>
      <c r="M882" s="123">
        <v>0.591</v>
      </c>
      <c r="N882" s="124">
        <v>12.25</v>
      </c>
      <c r="O882" s="122">
        <v>4.02</v>
      </c>
      <c r="P882" s="124">
        <v>83.73</v>
      </c>
      <c r="Q882" s="118" t="s">
        <v>828</v>
      </c>
      <c r="R882" s="86">
        <f t="shared" si="1"/>
        <v>39484.8</v>
      </c>
      <c r="S882" s="86">
        <f t="shared" si="2"/>
        <v>9907.76</v>
      </c>
      <c r="T882" s="86">
        <f t="shared" si="3"/>
        <v>2087.576</v>
      </c>
      <c r="U882" s="86">
        <f t="shared" si="4"/>
        <v>2160.696</v>
      </c>
      <c r="V882" s="86">
        <f t="shared" si="5"/>
        <v>44786</v>
      </c>
      <c r="W882" s="86">
        <f t="shared" si="6"/>
        <v>14697.12</v>
      </c>
      <c r="X882" s="86">
        <f t="shared" si="7"/>
        <v>306116.88</v>
      </c>
    </row>
    <row r="883" ht="12.0" customHeight="1">
      <c r="A8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83" s="87" t="str">
        <f>IFERROR(__xludf.DUMMYFUNCTION("IFERROR(IF(F883&lt;&gt;"""",""WHSE ""&amp;LEFT(F883,1),REGEXEXTRACT(E883,""-(?:\d{2}-)?([A-Z]+)"")),"""")
"),"WHSE P")</f>
        <v>WHSE P</v>
      </c>
      <c r="C883" s="117">
        <v>46093.0</v>
      </c>
      <c r="D883" s="118" t="s">
        <v>829</v>
      </c>
      <c r="E883" s="87" t="s">
        <v>830</v>
      </c>
      <c r="F883" s="87" t="s">
        <v>831</v>
      </c>
      <c r="G883" s="111"/>
      <c r="H883" s="120">
        <v>1707.0</v>
      </c>
      <c r="I883" s="121">
        <v>3.0</v>
      </c>
      <c r="J883" s="122">
        <v>10.34</v>
      </c>
      <c r="K883" s="123">
        <v>2.67</v>
      </c>
      <c r="L883" s="123">
        <v>0.575</v>
      </c>
      <c r="M883" s="123">
        <v>0.595</v>
      </c>
      <c r="N883" s="124">
        <v>11.68</v>
      </c>
      <c r="O883" s="122">
        <v>3.88</v>
      </c>
      <c r="P883" s="124">
        <v>84.44</v>
      </c>
      <c r="Q883" s="118" t="s">
        <v>832</v>
      </c>
      <c r="R883" s="86">
        <f t="shared" si="1"/>
        <v>17650.38</v>
      </c>
      <c r="S883" s="86">
        <f t="shared" si="2"/>
        <v>4557.69</v>
      </c>
      <c r="T883" s="86">
        <f t="shared" si="3"/>
        <v>981.525</v>
      </c>
      <c r="U883" s="86">
        <f t="shared" si="4"/>
        <v>1015.665</v>
      </c>
      <c r="V883" s="86">
        <f t="shared" si="5"/>
        <v>19937.76</v>
      </c>
      <c r="W883" s="86">
        <f t="shared" si="6"/>
        <v>6623.16</v>
      </c>
      <c r="X883" s="86">
        <f t="shared" si="7"/>
        <v>144139.08</v>
      </c>
    </row>
    <row r="884" ht="12.0" customHeight="1">
      <c r="A8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84" s="87" t="str">
        <f>IFERROR(__xludf.DUMMYFUNCTION("IFERROR(IF(F884&lt;&gt;"""",""WHSE ""&amp;LEFT(F884,1),REGEXEXTRACT(E884,""-(?:\d{2}-)?([A-Z]+)"")),"""")
"),"")</f>
        <v/>
      </c>
      <c r="C884" s="108"/>
      <c r="D884" s="109"/>
      <c r="E884" s="110"/>
      <c r="F884" s="110"/>
      <c r="G884" s="111"/>
      <c r="H884" s="112"/>
      <c r="I884" s="113"/>
      <c r="J884" s="114"/>
      <c r="K884" s="115"/>
      <c r="L884" s="115"/>
      <c r="M884" s="115"/>
      <c r="N884" s="116"/>
      <c r="O884" s="114"/>
      <c r="P884" s="116"/>
      <c r="Q884" s="109"/>
      <c r="R884" s="103">
        <f t="shared" si="1"/>
        <v>0</v>
      </c>
      <c r="S884" s="103">
        <f t="shared" si="2"/>
        <v>0</v>
      </c>
      <c r="T884" s="103">
        <f t="shared" si="3"/>
        <v>0</v>
      </c>
      <c r="U884" s="103">
        <f t="shared" si="4"/>
        <v>0</v>
      </c>
      <c r="V884" s="103">
        <f t="shared" si="5"/>
        <v>0</v>
      </c>
      <c r="W884" s="103">
        <f t="shared" si="6"/>
        <v>0</v>
      </c>
      <c r="X884" s="103">
        <f t="shared" si="7"/>
        <v>0</v>
      </c>
    </row>
    <row r="885" ht="12.0" customHeight="1">
      <c r="A8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85" s="87" t="str">
        <f>IFERROR(__xludf.DUMMYFUNCTION("IFERROR(IF(F885&lt;&gt;"""",""WHSE ""&amp;LEFT(F885,1),REGEXEXTRACT(E885,""-(?:\d{2}-)?([A-Z]+)"")),"""")
"),"WHSE C")</f>
        <v>WHSE C</v>
      </c>
      <c r="C885" s="117">
        <v>46094.0</v>
      </c>
      <c r="D885" s="118" t="s">
        <v>232</v>
      </c>
      <c r="E885" s="87" t="s">
        <v>658</v>
      </c>
      <c r="F885" s="87" t="s">
        <v>455</v>
      </c>
      <c r="G885" s="119" t="s">
        <v>235</v>
      </c>
      <c r="H885" s="120">
        <v>13242.0</v>
      </c>
      <c r="I885" s="121">
        <v>334.0</v>
      </c>
      <c r="J885" s="122">
        <v>11.54</v>
      </c>
      <c r="K885" s="123">
        <v>3.77</v>
      </c>
      <c r="L885" s="123">
        <v>0.578</v>
      </c>
      <c r="M885" s="123">
        <v>0.598</v>
      </c>
      <c r="N885" s="124">
        <v>12.81</v>
      </c>
      <c r="O885" s="122">
        <v>6.84</v>
      </c>
      <c r="P885" s="124">
        <v>80.35</v>
      </c>
      <c r="Q885" s="118" t="s">
        <v>833</v>
      </c>
      <c r="R885" s="86">
        <f t="shared" si="1"/>
        <v>152812.68</v>
      </c>
      <c r="S885" s="86">
        <f t="shared" si="2"/>
        <v>49922.34</v>
      </c>
      <c r="T885" s="86">
        <f t="shared" si="3"/>
        <v>7653.876</v>
      </c>
      <c r="U885" s="86">
        <f t="shared" si="4"/>
        <v>7918.716</v>
      </c>
      <c r="V885" s="86">
        <f t="shared" si="5"/>
        <v>169630.02</v>
      </c>
      <c r="W885" s="86">
        <f t="shared" si="6"/>
        <v>90575.28</v>
      </c>
      <c r="X885" s="86">
        <f t="shared" si="7"/>
        <v>1063994.7</v>
      </c>
    </row>
    <row r="886" ht="12.0" customHeight="1">
      <c r="A8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86" s="87" t="str">
        <f>IFERROR(__xludf.DUMMYFUNCTION("IFERROR(IF(F886&lt;&gt;"""",""WHSE ""&amp;LEFT(F886,1),REGEXEXTRACT(E886,""-(?:\d{2}-)?([A-Z]+)"")),"""")
"),"WHSE A")</f>
        <v>WHSE A</v>
      </c>
      <c r="C886" s="117">
        <v>46094.0</v>
      </c>
      <c r="D886" s="118" t="s">
        <v>72</v>
      </c>
      <c r="E886" s="87" t="s">
        <v>834</v>
      </c>
      <c r="F886" s="87" t="s">
        <v>582</v>
      </c>
      <c r="G886" s="119" t="s">
        <v>73</v>
      </c>
      <c r="H886" s="120">
        <v>20355.0</v>
      </c>
      <c r="I886" s="121">
        <v>435.0</v>
      </c>
      <c r="J886" s="122">
        <v>11.74</v>
      </c>
      <c r="K886" s="123">
        <v>2.15</v>
      </c>
      <c r="L886" s="123">
        <v>0.575</v>
      </c>
      <c r="M886" s="123">
        <v>0.595</v>
      </c>
      <c r="N886" s="124">
        <v>12.28</v>
      </c>
      <c r="O886" s="122">
        <v>3.61</v>
      </c>
      <c r="P886" s="124">
        <v>84.11</v>
      </c>
      <c r="Q886" s="109"/>
      <c r="R886" s="103">
        <f t="shared" si="1"/>
        <v>238967.7</v>
      </c>
      <c r="S886" s="103">
        <f t="shared" si="2"/>
        <v>43763.25</v>
      </c>
      <c r="T886" s="103">
        <f t="shared" si="3"/>
        <v>11704.125</v>
      </c>
      <c r="U886" s="103">
        <f t="shared" si="4"/>
        <v>12111.225</v>
      </c>
      <c r="V886" s="103">
        <f t="shared" si="5"/>
        <v>249959.4</v>
      </c>
      <c r="W886" s="103">
        <f t="shared" si="6"/>
        <v>73481.55</v>
      </c>
      <c r="X886" s="103">
        <f t="shared" si="7"/>
        <v>1712059.05</v>
      </c>
    </row>
    <row r="887" ht="12.0" customHeight="1">
      <c r="A8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87" s="87" t="str">
        <f>IFERROR(__xludf.DUMMYFUNCTION("IFERROR(IF(F887&lt;&gt;"""",""WHSE ""&amp;LEFT(F887,1),REGEXEXTRACT(E887,""-(?:\d{2}-)?([A-Z]+)"")),"""")
"),"WHSE D")</f>
        <v>WHSE D</v>
      </c>
      <c r="C887" s="117">
        <v>46094.0</v>
      </c>
      <c r="D887" s="118" t="s">
        <v>592</v>
      </c>
      <c r="E887" s="87" t="s">
        <v>835</v>
      </c>
      <c r="F887" s="87" t="s">
        <v>436</v>
      </c>
      <c r="G887" s="119" t="s">
        <v>680</v>
      </c>
      <c r="H887" s="120">
        <v>21234.0</v>
      </c>
      <c r="I887" s="121">
        <v>619.0</v>
      </c>
      <c r="J887" s="122">
        <v>16.07</v>
      </c>
      <c r="K887" s="123">
        <v>2.13</v>
      </c>
      <c r="L887" s="123">
        <v>0.581</v>
      </c>
      <c r="M887" s="123">
        <v>0.601</v>
      </c>
      <c r="N887" s="124">
        <v>13.46</v>
      </c>
      <c r="O887" s="122">
        <v>3.84</v>
      </c>
      <c r="P887" s="124">
        <v>82.7</v>
      </c>
      <c r="Q887" s="118" t="s">
        <v>836</v>
      </c>
      <c r="R887" s="86">
        <f t="shared" si="1"/>
        <v>341230.38</v>
      </c>
      <c r="S887" s="86">
        <f t="shared" si="2"/>
        <v>45228.42</v>
      </c>
      <c r="T887" s="86">
        <f t="shared" si="3"/>
        <v>12336.954</v>
      </c>
      <c r="U887" s="86">
        <f t="shared" si="4"/>
        <v>12761.634</v>
      </c>
      <c r="V887" s="86">
        <f t="shared" si="5"/>
        <v>285809.64</v>
      </c>
      <c r="W887" s="86">
        <f t="shared" si="6"/>
        <v>81538.56</v>
      </c>
      <c r="X887" s="86">
        <f t="shared" si="7"/>
        <v>1756051.8</v>
      </c>
    </row>
    <row r="888" ht="12.0" customHeight="1">
      <c r="A8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88" s="87" t="str">
        <f>IFERROR(__xludf.DUMMYFUNCTION("IFERROR(IF(F888&lt;&gt;"""",""WHSE ""&amp;LEFT(F888,1),REGEXEXTRACT(E888,""-(?:\d{2}-)?([A-Z]+)"")),"""")
"),"WHSE P")</f>
        <v>WHSE P</v>
      </c>
      <c r="C888" s="117">
        <v>46094.0</v>
      </c>
      <c r="D888" s="118" t="s">
        <v>821</v>
      </c>
      <c r="E888" s="87" t="s">
        <v>822</v>
      </c>
      <c r="F888" s="87" t="s">
        <v>823</v>
      </c>
      <c r="G888" s="111"/>
      <c r="H888" s="120">
        <v>2275.0</v>
      </c>
      <c r="I888" s="121">
        <v>4.0</v>
      </c>
      <c r="J888" s="122">
        <v>10.8</v>
      </c>
      <c r="K888" s="123">
        <v>4.94</v>
      </c>
      <c r="L888" s="123">
        <v>0.58</v>
      </c>
      <c r="M888" s="123">
        <v>0.6</v>
      </c>
      <c r="N888" s="124">
        <v>15.08</v>
      </c>
      <c r="O888" s="122">
        <v>9.81</v>
      </c>
      <c r="P888" s="124">
        <v>75.12</v>
      </c>
      <c r="Q888" s="118" t="s">
        <v>824</v>
      </c>
      <c r="R888" s="86">
        <f t="shared" si="1"/>
        <v>24570</v>
      </c>
      <c r="S888" s="86">
        <f t="shared" si="2"/>
        <v>11238.5</v>
      </c>
      <c r="T888" s="86">
        <f t="shared" si="3"/>
        <v>1319.5</v>
      </c>
      <c r="U888" s="86">
        <f t="shared" si="4"/>
        <v>1365</v>
      </c>
      <c r="V888" s="86">
        <f t="shared" si="5"/>
        <v>34307</v>
      </c>
      <c r="W888" s="86">
        <f t="shared" si="6"/>
        <v>22317.75</v>
      </c>
      <c r="X888" s="86">
        <f t="shared" si="7"/>
        <v>170898</v>
      </c>
    </row>
    <row r="889" ht="12.0" customHeight="1">
      <c r="A8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89" s="87" t="str">
        <f>IFERROR(__xludf.DUMMYFUNCTION("IFERROR(IF(F889&lt;&gt;"""",""WHSE ""&amp;LEFT(F889,1),REGEXEXTRACT(E889,""-(?:\d{2}-)?([A-Z]+)"")),"""")
"),"WHSE P")</f>
        <v>WHSE P</v>
      </c>
      <c r="C889" s="117">
        <v>46094.0</v>
      </c>
      <c r="D889" s="118" t="s">
        <v>829</v>
      </c>
      <c r="E889" s="87" t="s">
        <v>830</v>
      </c>
      <c r="F889" s="87" t="s">
        <v>831</v>
      </c>
      <c r="G889" s="111"/>
      <c r="H889" s="120">
        <v>6059.0</v>
      </c>
      <c r="I889" s="121">
        <v>10.0</v>
      </c>
      <c r="J889" s="122">
        <v>10.34</v>
      </c>
      <c r="K889" s="123">
        <v>2.67</v>
      </c>
      <c r="L889" s="123">
        <v>0.575</v>
      </c>
      <c r="M889" s="123">
        <v>0.595</v>
      </c>
      <c r="N889" s="124">
        <v>11.68</v>
      </c>
      <c r="O889" s="122">
        <v>3.88</v>
      </c>
      <c r="P889" s="124">
        <v>84.44</v>
      </c>
      <c r="Q889" s="118" t="s">
        <v>832</v>
      </c>
      <c r="R889" s="86">
        <f t="shared" si="1"/>
        <v>62650.06</v>
      </c>
      <c r="S889" s="86">
        <f t="shared" si="2"/>
        <v>16177.53</v>
      </c>
      <c r="T889" s="86">
        <f t="shared" si="3"/>
        <v>3483.925</v>
      </c>
      <c r="U889" s="86">
        <f t="shared" si="4"/>
        <v>3605.105</v>
      </c>
      <c r="V889" s="86">
        <f t="shared" si="5"/>
        <v>70769.12</v>
      </c>
      <c r="W889" s="86">
        <f t="shared" si="6"/>
        <v>23508.92</v>
      </c>
      <c r="X889" s="86">
        <f t="shared" si="7"/>
        <v>511621.96</v>
      </c>
    </row>
    <row r="890" ht="12.0" customHeight="1">
      <c r="A8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90" s="87" t="str">
        <f>IFERROR(__xludf.DUMMYFUNCTION("IFERROR(IF(F890&lt;&gt;"""",""WHSE ""&amp;LEFT(F890,1),REGEXEXTRACT(E890,""-(?:\d{2}-)?([A-Z]+)"")),"""")
"),"")</f>
        <v/>
      </c>
      <c r="C890" s="108"/>
      <c r="D890" s="109"/>
      <c r="E890" s="110"/>
      <c r="F890" s="110"/>
      <c r="G890" s="111"/>
      <c r="H890" s="112"/>
      <c r="I890" s="113"/>
      <c r="J890" s="114"/>
      <c r="K890" s="115"/>
      <c r="L890" s="115"/>
      <c r="M890" s="115"/>
      <c r="N890" s="116"/>
      <c r="O890" s="114"/>
      <c r="P890" s="116"/>
      <c r="Q890" s="109"/>
      <c r="R890" s="103">
        <f t="shared" si="1"/>
        <v>0</v>
      </c>
      <c r="S890" s="103">
        <f t="shared" si="2"/>
        <v>0</v>
      </c>
      <c r="T890" s="103">
        <f t="shared" si="3"/>
        <v>0</v>
      </c>
      <c r="U890" s="103">
        <f t="shared" si="4"/>
        <v>0</v>
      </c>
      <c r="V890" s="103">
        <f t="shared" si="5"/>
        <v>0</v>
      </c>
      <c r="W890" s="103">
        <f t="shared" si="6"/>
        <v>0</v>
      </c>
      <c r="X890" s="103">
        <f t="shared" si="7"/>
        <v>0</v>
      </c>
    </row>
    <row r="891" ht="12.0" customHeight="1">
      <c r="A8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91" s="87" t="str">
        <f>IFERROR(__xludf.DUMMYFUNCTION("IFERROR(IF(F891&lt;&gt;"""",""WHSE ""&amp;LEFT(F891,1),REGEXEXTRACT(E891,""-(?:\d{2}-)?([A-Z]+)"")),"""")
"),"WHSE A")</f>
        <v>WHSE A</v>
      </c>
      <c r="C891" s="117">
        <v>46095.0</v>
      </c>
      <c r="D891" s="118" t="s">
        <v>72</v>
      </c>
      <c r="E891" s="87" t="s">
        <v>834</v>
      </c>
      <c r="F891" s="87" t="s">
        <v>582</v>
      </c>
      <c r="G891" s="119" t="s">
        <v>73</v>
      </c>
      <c r="H891" s="120">
        <v>17410.0</v>
      </c>
      <c r="I891" s="121">
        <v>484.0</v>
      </c>
      <c r="J891" s="122">
        <v>11.67</v>
      </c>
      <c r="K891" s="123">
        <v>2.6</v>
      </c>
      <c r="L891" s="123">
        <v>0.575</v>
      </c>
      <c r="M891" s="123">
        <v>0.595</v>
      </c>
      <c r="N891" s="124">
        <v>12.24</v>
      </c>
      <c r="O891" s="122">
        <v>3.68</v>
      </c>
      <c r="P891" s="124">
        <v>84.08</v>
      </c>
      <c r="Q891" s="109"/>
      <c r="R891" s="103">
        <f t="shared" si="1"/>
        <v>203174.7</v>
      </c>
      <c r="S891" s="103">
        <f t="shared" si="2"/>
        <v>45266</v>
      </c>
      <c r="T891" s="103">
        <f t="shared" si="3"/>
        <v>10010.75</v>
      </c>
      <c r="U891" s="103">
        <f t="shared" si="4"/>
        <v>10358.95</v>
      </c>
      <c r="V891" s="103">
        <f t="shared" si="5"/>
        <v>213098.4</v>
      </c>
      <c r="W891" s="103">
        <f t="shared" si="6"/>
        <v>64068.8</v>
      </c>
      <c r="X891" s="103">
        <f t="shared" si="7"/>
        <v>1463832.8</v>
      </c>
    </row>
    <row r="892" ht="12.0" customHeight="1">
      <c r="A8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92" s="87" t="str">
        <f>IFERROR(__xludf.DUMMYFUNCTION("IFERROR(IF(F892&lt;&gt;"""",""WHSE ""&amp;LEFT(F892,1),REGEXEXTRACT(E892,""-(?:\d{2}-)?([A-Z]+)"")),"""")
"),"WHSE A")</f>
        <v>WHSE A</v>
      </c>
      <c r="C892" s="117">
        <v>46095.0</v>
      </c>
      <c r="D892" s="118" t="s">
        <v>72</v>
      </c>
      <c r="E892" s="87" t="s">
        <v>834</v>
      </c>
      <c r="F892" s="87" t="s">
        <v>582</v>
      </c>
      <c r="G892" s="119" t="s">
        <v>77</v>
      </c>
      <c r="H892" s="120">
        <v>17465.0</v>
      </c>
      <c r="I892" s="121">
        <v>446.0</v>
      </c>
      <c r="J892" s="122">
        <v>11.8</v>
      </c>
      <c r="K892" s="123">
        <v>2.33</v>
      </c>
      <c r="L892" s="123">
        <v>0.578</v>
      </c>
      <c r="M892" s="123">
        <v>0.598</v>
      </c>
      <c r="N892" s="124">
        <v>11.98</v>
      </c>
      <c r="O892" s="122">
        <v>3.39</v>
      </c>
      <c r="P892" s="124">
        <v>84.63</v>
      </c>
      <c r="Q892" s="109"/>
      <c r="R892" s="103">
        <f t="shared" si="1"/>
        <v>206087</v>
      </c>
      <c r="S892" s="103">
        <f t="shared" si="2"/>
        <v>40693.45</v>
      </c>
      <c r="T892" s="103">
        <f t="shared" si="3"/>
        <v>10094.77</v>
      </c>
      <c r="U892" s="103">
        <f t="shared" si="4"/>
        <v>10444.07</v>
      </c>
      <c r="V892" s="103">
        <f t="shared" si="5"/>
        <v>209230.7</v>
      </c>
      <c r="W892" s="103">
        <f t="shared" si="6"/>
        <v>59206.35</v>
      </c>
      <c r="X892" s="103">
        <f t="shared" si="7"/>
        <v>1478062.95</v>
      </c>
    </row>
    <row r="893" ht="12.0" customHeight="1">
      <c r="A8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93" s="87" t="str">
        <f>IFERROR(__xludf.DUMMYFUNCTION("IFERROR(IF(F893&lt;&gt;"""",""WHSE ""&amp;LEFT(F893,1),REGEXEXTRACT(E893,""-(?:\d{2}-)?([A-Z]+)"")),"""")
"),"WHSE C")</f>
        <v>WHSE C</v>
      </c>
      <c r="C893" s="117">
        <v>46095.0</v>
      </c>
      <c r="D893" s="118" t="s">
        <v>232</v>
      </c>
      <c r="E893" s="87" t="s">
        <v>814</v>
      </c>
      <c r="F893" s="87" t="s">
        <v>815</v>
      </c>
      <c r="G893" s="119" t="s">
        <v>235</v>
      </c>
      <c r="H893" s="120">
        <v>12665.0</v>
      </c>
      <c r="I893" s="121">
        <v>367.0</v>
      </c>
      <c r="J893" s="122">
        <v>11.4</v>
      </c>
      <c r="K893" s="123">
        <v>3.71</v>
      </c>
      <c r="L893" s="123">
        <v>0.578</v>
      </c>
      <c r="M893" s="123">
        <v>0.598</v>
      </c>
      <c r="N893" s="124">
        <v>12.49</v>
      </c>
      <c r="O893" s="122">
        <v>2.84</v>
      </c>
      <c r="P893" s="124">
        <v>84.67</v>
      </c>
      <c r="Q893" s="109"/>
      <c r="R893" s="103">
        <f t="shared" si="1"/>
        <v>144381</v>
      </c>
      <c r="S893" s="103">
        <f t="shared" si="2"/>
        <v>46987.15</v>
      </c>
      <c r="T893" s="103">
        <f t="shared" si="3"/>
        <v>7320.37</v>
      </c>
      <c r="U893" s="103">
        <f t="shared" si="4"/>
        <v>7573.67</v>
      </c>
      <c r="V893" s="103">
        <f t="shared" si="5"/>
        <v>158185.85</v>
      </c>
      <c r="W893" s="103">
        <f t="shared" si="6"/>
        <v>35968.6</v>
      </c>
      <c r="X893" s="103">
        <f t="shared" si="7"/>
        <v>1072345.55</v>
      </c>
    </row>
    <row r="894" ht="12.0" customHeight="1">
      <c r="A8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94" s="87" t="str">
        <f>IFERROR(__xludf.DUMMYFUNCTION("IFERROR(IF(F894&lt;&gt;"""",""WHSE ""&amp;LEFT(F894,1),REGEXEXTRACT(E894,""-(?:\d{2}-)?([A-Z]+)"")),"""")
"),"WHSE D")</f>
        <v>WHSE D</v>
      </c>
      <c r="C894" s="117">
        <v>46095.0</v>
      </c>
      <c r="D894" s="118" t="s">
        <v>60</v>
      </c>
      <c r="E894" s="87" t="s">
        <v>837</v>
      </c>
      <c r="F894" s="87" t="s">
        <v>526</v>
      </c>
      <c r="G894" s="119" t="s">
        <v>63</v>
      </c>
      <c r="H894" s="120">
        <v>15861.0</v>
      </c>
      <c r="I894" s="121">
        <v>346.0</v>
      </c>
      <c r="J894" s="122">
        <v>16.74</v>
      </c>
      <c r="K894" s="123">
        <v>2.61</v>
      </c>
      <c r="L894" s="123">
        <v>0.571</v>
      </c>
      <c r="M894" s="123">
        <v>0.591</v>
      </c>
      <c r="N894" s="124">
        <v>11.68</v>
      </c>
      <c r="O894" s="122">
        <v>4.11</v>
      </c>
      <c r="P894" s="124">
        <v>84.21</v>
      </c>
      <c r="Q894" s="118" t="s">
        <v>838</v>
      </c>
      <c r="R894" s="86">
        <f t="shared" si="1"/>
        <v>265513.14</v>
      </c>
      <c r="S894" s="86">
        <f t="shared" si="2"/>
        <v>41397.21</v>
      </c>
      <c r="T894" s="86">
        <f t="shared" si="3"/>
        <v>9056.631</v>
      </c>
      <c r="U894" s="86">
        <f t="shared" si="4"/>
        <v>9373.851</v>
      </c>
      <c r="V894" s="86">
        <f t="shared" si="5"/>
        <v>185256.48</v>
      </c>
      <c r="W894" s="86">
        <f t="shared" si="6"/>
        <v>65188.71</v>
      </c>
      <c r="X894" s="86">
        <f t="shared" si="7"/>
        <v>1335654.81</v>
      </c>
    </row>
    <row r="895" ht="12.0" customHeight="1">
      <c r="A8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95" s="87" t="str">
        <f>IFERROR(__xludf.DUMMYFUNCTION("IFERROR(IF(F895&lt;&gt;"""",""WHSE ""&amp;LEFT(F895,1),REGEXEXTRACT(E895,""-(?:\d{2}-)?([A-Z]+)"")),"""")
"),"WHSE P")</f>
        <v>WHSE P</v>
      </c>
      <c r="C895" s="117">
        <v>46095.0</v>
      </c>
      <c r="D895" s="118" t="s">
        <v>821</v>
      </c>
      <c r="E895" s="87" t="s">
        <v>822</v>
      </c>
      <c r="F895" s="87" t="s">
        <v>823</v>
      </c>
      <c r="G895" s="111"/>
      <c r="H895" s="120">
        <v>7570.0</v>
      </c>
      <c r="I895" s="121">
        <v>12.0</v>
      </c>
      <c r="J895" s="122">
        <v>11.2</v>
      </c>
      <c r="K895" s="123">
        <v>4.94</v>
      </c>
      <c r="L895" s="123">
        <v>0.58</v>
      </c>
      <c r="M895" s="123">
        <v>0.6</v>
      </c>
      <c r="N895" s="124">
        <v>15.08</v>
      </c>
      <c r="O895" s="122">
        <v>9.81</v>
      </c>
      <c r="P895" s="124">
        <v>75.12</v>
      </c>
      <c r="Q895" s="118" t="s">
        <v>824</v>
      </c>
      <c r="R895" s="86">
        <f t="shared" si="1"/>
        <v>84784</v>
      </c>
      <c r="S895" s="86">
        <f t="shared" si="2"/>
        <v>37395.8</v>
      </c>
      <c r="T895" s="86">
        <f t="shared" si="3"/>
        <v>4390.6</v>
      </c>
      <c r="U895" s="86">
        <f t="shared" si="4"/>
        <v>4542</v>
      </c>
      <c r="V895" s="86">
        <f t="shared" si="5"/>
        <v>114155.6</v>
      </c>
      <c r="W895" s="86">
        <f t="shared" si="6"/>
        <v>74261.7</v>
      </c>
      <c r="X895" s="86">
        <f t="shared" si="7"/>
        <v>568658.4</v>
      </c>
    </row>
    <row r="896" ht="12.0" customHeight="1">
      <c r="A8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96" s="87" t="str">
        <f>IFERROR(__xludf.DUMMYFUNCTION("IFERROR(IF(F896&lt;&gt;"""",""WHSE ""&amp;LEFT(F896,1),REGEXEXTRACT(E896,""-(?:\d{2}-)?([A-Z]+)"")),"""")
"),"")</f>
        <v/>
      </c>
      <c r="C896" s="108"/>
      <c r="D896" s="109"/>
      <c r="E896" s="110"/>
      <c r="F896" s="110"/>
      <c r="G896" s="111"/>
      <c r="H896" s="112"/>
      <c r="I896" s="113"/>
      <c r="J896" s="114"/>
      <c r="K896" s="115"/>
      <c r="L896" s="115"/>
      <c r="M896" s="115"/>
      <c r="N896" s="116"/>
      <c r="O896" s="114"/>
      <c r="P896" s="116"/>
      <c r="Q896" s="109"/>
      <c r="R896" s="103">
        <f t="shared" si="1"/>
        <v>0</v>
      </c>
      <c r="S896" s="103">
        <f t="shared" si="2"/>
        <v>0</v>
      </c>
      <c r="T896" s="103">
        <f t="shared" si="3"/>
        <v>0</v>
      </c>
      <c r="U896" s="103">
        <f t="shared" si="4"/>
        <v>0</v>
      </c>
      <c r="V896" s="103">
        <f t="shared" si="5"/>
        <v>0</v>
      </c>
      <c r="W896" s="103">
        <f t="shared" si="6"/>
        <v>0</v>
      </c>
      <c r="X896" s="103">
        <f t="shared" si="7"/>
        <v>0</v>
      </c>
    </row>
    <row r="897" ht="12.0" customHeight="1">
      <c r="A8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97" s="87" t="str">
        <f>IFERROR(__xludf.DUMMYFUNCTION("IFERROR(IF(F897&lt;&gt;"""",""WHSE ""&amp;LEFT(F897,1),REGEXEXTRACT(E897,""-(?:\d{2}-)?([A-Z]+)"")),"""")
"),"WHSE P")</f>
        <v>WHSE P</v>
      </c>
      <c r="C897" s="117">
        <v>46096.0</v>
      </c>
      <c r="D897" s="118" t="s">
        <v>821</v>
      </c>
      <c r="E897" s="87" t="s">
        <v>822</v>
      </c>
      <c r="F897" s="87" t="s">
        <v>823</v>
      </c>
      <c r="G897" s="111"/>
      <c r="H897" s="120">
        <v>2521.0</v>
      </c>
      <c r="I897" s="121">
        <v>4.0</v>
      </c>
      <c r="J897" s="122">
        <v>10.4</v>
      </c>
      <c r="K897" s="123">
        <v>4.94</v>
      </c>
      <c r="L897" s="123">
        <v>0.58</v>
      </c>
      <c r="M897" s="123">
        <v>0.6</v>
      </c>
      <c r="N897" s="124">
        <v>15.08</v>
      </c>
      <c r="O897" s="122">
        <v>9.81</v>
      </c>
      <c r="P897" s="124">
        <v>75.12</v>
      </c>
      <c r="Q897" s="118" t="s">
        <v>824</v>
      </c>
      <c r="R897" s="86">
        <f t="shared" si="1"/>
        <v>26218.4</v>
      </c>
      <c r="S897" s="86">
        <f t="shared" si="2"/>
        <v>12453.74</v>
      </c>
      <c r="T897" s="86">
        <f t="shared" si="3"/>
        <v>1462.18</v>
      </c>
      <c r="U897" s="86">
        <f t="shared" si="4"/>
        <v>1512.6</v>
      </c>
      <c r="V897" s="86">
        <f t="shared" si="5"/>
        <v>38016.68</v>
      </c>
      <c r="W897" s="86">
        <f t="shared" si="6"/>
        <v>24731.01</v>
      </c>
      <c r="X897" s="86">
        <f t="shared" si="7"/>
        <v>189377.52</v>
      </c>
    </row>
    <row r="898" ht="12.0" customHeight="1">
      <c r="A8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898" s="87" t="str">
        <f>IFERROR(__xludf.DUMMYFUNCTION("IFERROR(IF(F898&lt;&gt;"""",""WHSE ""&amp;LEFT(F898,1),REGEXEXTRACT(E898,""-(?:\d{2}-)?([A-Z]+)"")),"""")
"),"WHSE P")</f>
        <v>WHSE P</v>
      </c>
      <c r="C898" s="117">
        <v>46097.0</v>
      </c>
      <c r="D898" s="118" t="s">
        <v>821</v>
      </c>
      <c r="E898" s="87" t="s">
        <v>822</v>
      </c>
      <c r="F898" s="87" t="s">
        <v>823</v>
      </c>
      <c r="G898" s="111"/>
      <c r="H898" s="120">
        <v>3878.0</v>
      </c>
      <c r="I898" s="121">
        <v>7.0</v>
      </c>
      <c r="J898" s="122">
        <v>11.66</v>
      </c>
      <c r="K898" s="123">
        <v>4.94</v>
      </c>
      <c r="L898" s="123">
        <v>0.58</v>
      </c>
      <c r="M898" s="123">
        <v>0.6</v>
      </c>
      <c r="N898" s="124">
        <v>15.08</v>
      </c>
      <c r="O898" s="122">
        <v>9.81</v>
      </c>
      <c r="P898" s="124">
        <v>75.12</v>
      </c>
      <c r="Q898" s="118" t="s">
        <v>824</v>
      </c>
      <c r="R898" s="86">
        <f t="shared" si="1"/>
        <v>45217.48</v>
      </c>
      <c r="S898" s="86">
        <f t="shared" si="2"/>
        <v>19157.32</v>
      </c>
      <c r="T898" s="86">
        <f t="shared" si="3"/>
        <v>2249.24</v>
      </c>
      <c r="U898" s="86">
        <f t="shared" si="4"/>
        <v>2326.8</v>
      </c>
      <c r="V898" s="86">
        <f t="shared" si="5"/>
        <v>58480.24</v>
      </c>
      <c r="W898" s="86">
        <f t="shared" si="6"/>
        <v>38043.18</v>
      </c>
      <c r="X898" s="86">
        <f t="shared" si="7"/>
        <v>291315.36</v>
      </c>
    </row>
    <row r="899" ht="12.0" customHeight="1">
      <c r="A8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899" s="87" t="str">
        <f>IFERROR(__xludf.DUMMYFUNCTION("IFERROR(IF(F899&lt;&gt;"""",""WHSE ""&amp;LEFT(F899,1),REGEXEXTRACT(E899,""-(?:\d{2}-)?([A-Z]+)"")),"""")
"),"")</f>
        <v/>
      </c>
      <c r="C899" s="108"/>
      <c r="D899" s="109"/>
      <c r="E899" s="110"/>
      <c r="F899" s="110"/>
      <c r="G899" s="111"/>
      <c r="H899" s="112"/>
      <c r="I899" s="113"/>
      <c r="J899" s="114"/>
      <c r="K899" s="115"/>
      <c r="L899" s="115"/>
      <c r="M899" s="115"/>
      <c r="N899" s="116"/>
      <c r="O899" s="114"/>
      <c r="P899" s="116"/>
      <c r="Q899" s="109"/>
      <c r="R899" s="103">
        <f t="shared" si="1"/>
        <v>0</v>
      </c>
      <c r="S899" s="103">
        <f t="shared" si="2"/>
        <v>0</v>
      </c>
      <c r="T899" s="103">
        <f t="shared" si="3"/>
        <v>0</v>
      </c>
      <c r="U899" s="103">
        <f t="shared" si="4"/>
        <v>0</v>
      </c>
      <c r="V899" s="103">
        <f t="shared" si="5"/>
        <v>0</v>
      </c>
      <c r="W899" s="103">
        <f t="shared" si="6"/>
        <v>0</v>
      </c>
      <c r="X899" s="103">
        <f t="shared" si="7"/>
        <v>0</v>
      </c>
    </row>
    <row r="900" ht="12.0" customHeight="1">
      <c r="A9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00" s="87" t="str">
        <f>IFERROR(__xludf.DUMMYFUNCTION("IFERROR(IF(F900&lt;&gt;"""",""WHSE ""&amp;LEFT(F900,1),REGEXEXTRACT(E900,""-(?:\d{2}-)?([A-Z]+)"")),"""")
"),"WHSE D")</f>
        <v>WHSE D</v>
      </c>
      <c r="C900" s="117">
        <v>46098.0</v>
      </c>
      <c r="D900" s="118" t="s">
        <v>72</v>
      </c>
      <c r="E900" s="87" t="s">
        <v>793</v>
      </c>
      <c r="F900" s="87" t="s">
        <v>794</v>
      </c>
      <c r="G900" s="119" t="s">
        <v>839</v>
      </c>
      <c r="H900" s="120">
        <v>1302.0</v>
      </c>
      <c r="I900" s="121">
        <v>26.0</v>
      </c>
      <c r="J900" s="122">
        <v>12.6</v>
      </c>
      <c r="K900" s="123">
        <v>2.66</v>
      </c>
      <c r="L900" s="123">
        <v>0.575</v>
      </c>
      <c r="M900" s="123">
        <v>0.595</v>
      </c>
      <c r="N900" s="124">
        <v>12.04</v>
      </c>
      <c r="O900" s="122">
        <v>4.28</v>
      </c>
      <c r="P900" s="124">
        <v>83.68</v>
      </c>
      <c r="Q900" s="118" t="s">
        <v>840</v>
      </c>
      <c r="R900" s="86">
        <f t="shared" si="1"/>
        <v>16405.2</v>
      </c>
      <c r="S900" s="86">
        <f t="shared" si="2"/>
        <v>3463.32</v>
      </c>
      <c r="T900" s="86">
        <f t="shared" si="3"/>
        <v>748.65</v>
      </c>
      <c r="U900" s="86">
        <f t="shared" si="4"/>
        <v>774.69</v>
      </c>
      <c r="V900" s="86">
        <f t="shared" si="5"/>
        <v>15676.08</v>
      </c>
      <c r="W900" s="86">
        <f t="shared" si="6"/>
        <v>5572.56</v>
      </c>
      <c r="X900" s="86">
        <f t="shared" si="7"/>
        <v>108951.36</v>
      </c>
    </row>
    <row r="901" ht="12.0" customHeight="1">
      <c r="A9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01" s="87" t="str">
        <f>IFERROR(__xludf.DUMMYFUNCTION("IFERROR(IF(F901&lt;&gt;"""",""WHSE ""&amp;LEFT(F901,1),REGEXEXTRACT(E901,""-(?:\d{2}-)?([A-Z]+)"")),"""")
"),"WHSE A")</f>
        <v>WHSE A</v>
      </c>
      <c r="C901" s="117">
        <v>46098.0</v>
      </c>
      <c r="D901" s="118" t="s">
        <v>72</v>
      </c>
      <c r="E901" s="87" t="s">
        <v>841</v>
      </c>
      <c r="F901" s="87" t="s">
        <v>620</v>
      </c>
      <c r="G901" s="119" t="s">
        <v>512</v>
      </c>
      <c r="H901" s="120">
        <v>21470.0</v>
      </c>
      <c r="I901" s="121">
        <v>495.0</v>
      </c>
      <c r="J901" s="122">
        <v>11.74</v>
      </c>
      <c r="K901" s="123">
        <v>2.13</v>
      </c>
      <c r="L901" s="123">
        <v>0.578</v>
      </c>
      <c r="M901" s="123">
        <v>0.598</v>
      </c>
      <c r="N901" s="124">
        <v>13.35</v>
      </c>
      <c r="O901" s="122">
        <v>3.29</v>
      </c>
      <c r="P901" s="124">
        <v>83.36</v>
      </c>
      <c r="Q901" s="109"/>
      <c r="R901" s="103">
        <f t="shared" si="1"/>
        <v>252057.8</v>
      </c>
      <c r="S901" s="103">
        <f t="shared" si="2"/>
        <v>45731.1</v>
      </c>
      <c r="T901" s="103">
        <f t="shared" si="3"/>
        <v>12409.66</v>
      </c>
      <c r="U901" s="103">
        <f t="shared" si="4"/>
        <v>12839.06</v>
      </c>
      <c r="V901" s="103">
        <f t="shared" si="5"/>
        <v>286624.5</v>
      </c>
      <c r="W901" s="103">
        <f t="shared" si="6"/>
        <v>70636.3</v>
      </c>
      <c r="X901" s="103">
        <f t="shared" si="7"/>
        <v>1789739.2</v>
      </c>
    </row>
    <row r="902" ht="12.0" customHeight="1">
      <c r="A9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02" s="87" t="str">
        <f>IFERROR(__xludf.DUMMYFUNCTION("IFERROR(IF(F902&lt;&gt;"""",""WHSE ""&amp;LEFT(F902,1),REGEXEXTRACT(E902,""-(?:\d{2}-)?([A-Z]+)"")),"""")
"),"WHSE D")</f>
        <v>WHSE D</v>
      </c>
      <c r="C902" s="117">
        <v>46098.0</v>
      </c>
      <c r="D902" s="118" t="s">
        <v>64</v>
      </c>
      <c r="E902" s="87" t="s">
        <v>793</v>
      </c>
      <c r="F902" s="87" t="s">
        <v>794</v>
      </c>
      <c r="G902" s="119" t="s">
        <v>65</v>
      </c>
      <c r="H902" s="120">
        <v>21360.0</v>
      </c>
      <c r="I902" s="121">
        <v>483.0</v>
      </c>
      <c r="J902" s="122">
        <v>11.67</v>
      </c>
      <c r="K902" s="123">
        <v>2.51</v>
      </c>
      <c r="L902" s="123">
        <v>0.581</v>
      </c>
      <c r="M902" s="123">
        <v>0.601</v>
      </c>
      <c r="N902" s="124">
        <v>12.71</v>
      </c>
      <c r="O902" s="122">
        <v>2.98</v>
      </c>
      <c r="P902" s="124">
        <v>84.31</v>
      </c>
      <c r="Q902" s="109"/>
      <c r="R902" s="103">
        <f t="shared" si="1"/>
        <v>249271.2</v>
      </c>
      <c r="S902" s="103">
        <f t="shared" si="2"/>
        <v>53613.6</v>
      </c>
      <c r="T902" s="103">
        <f t="shared" si="3"/>
        <v>12410.16</v>
      </c>
      <c r="U902" s="103">
        <f t="shared" si="4"/>
        <v>12837.36</v>
      </c>
      <c r="V902" s="103">
        <f t="shared" si="5"/>
        <v>271485.6</v>
      </c>
      <c r="W902" s="103">
        <f t="shared" si="6"/>
        <v>63652.8</v>
      </c>
      <c r="X902" s="103">
        <f t="shared" si="7"/>
        <v>1800861.6</v>
      </c>
    </row>
    <row r="903" ht="12.0" customHeight="1">
      <c r="A9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03" s="87" t="str">
        <f>IFERROR(__xludf.DUMMYFUNCTION("IFERROR(IF(F903&lt;&gt;"""",""WHSE ""&amp;LEFT(F903,1),REGEXEXTRACT(E903,""-(?:\d{2}-)?([A-Z]+)"")),"""")
"),"FEED")</f>
        <v>FEED</v>
      </c>
      <c r="C903" s="117">
        <v>46098.0</v>
      </c>
      <c r="D903" s="118" t="s">
        <v>286</v>
      </c>
      <c r="E903" s="87" t="s">
        <v>842</v>
      </c>
      <c r="F903" s="110"/>
      <c r="G903" s="119" t="s">
        <v>77</v>
      </c>
      <c r="H903" s="120">
        <v>17895.0</v>
      </c>
      <c r="I903" s="121">
        <v>456.0</v>
      </c>
      <c r="J903" s="122">
        <v>10.67</v>
      </c>
      <c r="K903" s="123">
        <v>2.81</v>
      </c>
      <c r="L903" s="123">
        <v>0.575</v>
      </c>
      <c r="M903" s="123">
        <v>0.595</v>
      </c>
      <c r="N903" s="124">
        <v>13.93</v>
      </c>
      <c r="O903" s="122">
        <v>3.34</v>
      </c>
      <c r="P903" s="124">
        <v>82.73</v>
      </c>
      <c r="Q903" s="118" t="s">
        <v>469</v>
      </c>
      <c r="R903" s="86">
        <f t="shared" si="1"/>
        <v>190939.65</v>
      </c>
      <c r="S903" s="86">
        <f t="shared" si="2"/>
        <v>50284.95</v>
      </c>
      <c r="T903" s="86">
        <f t="shared" si="3"/>
        <v>10289.625</v>
      </c>
      <c r="U903" s="86">
        <f t="shared" si="4"/>
        <v>10647.525</v>
      </c>
      <c r="V903" s="86">
        <f t="shared" si="5"/>
        <v>249277.35</v>
      </c>
      <c r="W903" s="86">
        <f t="shared" si="6"/>
        <v>59769.3</v>
      </c>
      <c r="X903" s="86">
        <f t="shared" si="7"/>
        <v>1480453.35</v>
      </c>
    </row>
    <row r="904" ht="12.0" customHeight="1">
      <c r="A9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04" s="87" t="str">
        <f>IFERROR(__xludf.DUMMYFUNCTION("IFERROR(IF(F904&lt;&gt;"""",""WHSE ""&amp;LEFT(F904,1),REGEXEXTRACT(E904,""-(?:\d{2}-)?([A-Z]+)"")),"""")
"),"WHSE C")</f>
        <v>WHSE C</v>
      </c>
      <c r="C904" s="117">
        <v>46098.0</v>
      </c>
      <c r="D904" s="118" t="s">
        <v>232</v>
      </c>
      <c r="E904" s="87" t="s">
        <v>298</v>
      </c>
      <c r="F904" s="87" t="s">
        <v>299</v>
      </c>
      <c r="G904" s="119" t="s">
        <v>497</v>
      </c>
      <c r="H904" s="120">
        <v>2950.0</v>
      </c>
      <c r="I904" s="121">
        <v>80.0</v>
      </c>
      <c r="J904" s="122">
        <v>10.4</v>
      </c>
      <c r="K904" s="123">
        <v>3.71</v>
      </c>
      <c r="L904" s="123">
        <v>0.556</v>
      </c>
      <c r="M904" s="123">
        <v>0.576</v>
      </c>
      <c r="N904" s="124">
        <v>12.44</v>
      </c>
      <c r="O904" s="122">
        <v>4.19</v>
      </c>
      <c r="P904" s="124">
        <v>83.37</v>
      </c>
      <c r="Q904" s="118" t="s">
        <v>843</v>
      </c>
      <c r="R904" s="86">
        <f t="shared" si="1"/>
        <v>30680</v>
      </c>
      <c r="S904" s="86">
        <f t="shared" si="2"/>
        <v>10944.5</v>
      </c>
      <c r="T904" s="86">
        <f t="shared" si="3"/>
        <v>1640.2</v>
      </c>
      <c r="U904" s="86">
        <f t="shared" si="4"/>
        <v>1699.2</v>
      </c>
      <c r="V904" s="86">
        <f t="shared" si="5"/>
        <v>36698</v>
      </c>
      <c r="W904" s="86">
        <f t="shared" si="6"/>
        <v>12360.5</v>
      </c>
      <c r="X904" s="86">
        <f t="shared" si="7"/>
        <v>245941.5</v>
      </c>
    </row>
    <row r="905" ht="12.0" customHeight="1">
      <c r="A9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05" s="87" t="str">
        <f>IFERROR(__xludf.DUMMYFUNCTION("IFERROR(IF(F905&lt;&gt;"""",""WHSE ""&amp;LEFT(F905,1),REGEXEXTRACT(E905,""-(?:\d{2}-)?([A-Z]+)"")),"""")
"),"WHSE C")</f>
        <v>WHSE C</v>
      </c>
      <c r="C905" s="117">
        <v>46098.0</v>
      </c>
      <c r="D905" s="118" t="s">
        <v>232</v>
      </c>
      <c r="E905" s="87" t="s">
        <v>727</v>
      </c>
      <c r="F905" s="87" t="s">
        <v>541</v>
      </c>
      <c r="G905" s="119" t="s">
        <v>668</v>
      </c>
      <c r="H905" s="120">
        <v>10370.0</v>
      </c>
      <c r="I905" s="121">
        <v>280.0</v>
      </c>
      <c r="J905" s="122">
        <v>10.47</v>
      </c>
      <c r="K905" s="123">
        <v>3.66</v>
      </c>
      <c r="L905" s="123">
        <v>0.549</v>
      </c>
      <c r="M905" s="123">
        <v>0.569</v>
      </c>
      <c r="N905" s="124">
        <v>14.58</v>
      </c>
      <c r="O905" s="122">
        <v>2.86</v>
      </c>
      <c r="P905" s="124">
        <v>82.56</v>
      </c>
      <c r="Q905" s="118" t="s">
        <v>844</v>
      </c>
      <c r="R905" s="86">
        <f t="shared" si="1"/>
        <v>108573.9</v>
      </c>
      <c r="S905" s="86">
        <f t="shared" si="2"/>
        <v>37954.2</v>
      </c>
      <c r="T905" s="86">
        <f t="shared" si="3"/>
        <v>5693.13</v>
      </c>
      <c r="U905" s="86">
        <f t="shared" si="4"/>
        <v>5900.53</v>
      </c>
      <c r="V905" s="86">
        <f t="shared" si="5"/>
        <v>151194.6</v>
      </c>
      <c r="W905" s="86">
        <f t="shared" si="6"/>
        <v>29658.2</v>
      </c>
      <c r="X905" s="86">
        <f t="shared" si="7"/>
        <v>856147.2</v>
      </c>
    </row>
    <row r="906" ht="12.0" customHeight="1">
      <c r="A9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06" s="87" t="str">
        <f>IFERROR(__xludf.DUMMYFUNCTION("IFERROR(IF(F906&lt;&gt;"""",""WHSE ""&amp;LEFT(F906,1),REGEXEXTRACT(E906,""-(?:\d{2}-)?([A-Z]+)"")),"""")
"),"WHSE D")</f>
        <v>WHSE D</v>
      </c>
      <c r="C906" s="117">
        <v>46098.0</v>
      </c>
      <c r="D906" s="118" t="s">
        <v>232</v>
      </c>
      <c r="E906" s="87" t="s">
        <v>845</v>
      </c>
      <c r="F906" s="87" t="s">
        <v>499</v>
      </c>
      <c r="G906" s="119" t="s">
        <v>235</v>
      </c>
      <c r="H906" s="120">
        <v>11614.0</v>
      </c>
      <c r="I906" s="121">
        <v>294.0</v>
      </c>
      <c r="J906" s="122">
        <v>14.34</v>
      </c>
      <c r="K906" s="123">
        <v>3.8</v>
      </c>
      <c r="L906" s="123">
        <v>0.571</v>
      </c>
      <c r="M906" s="123">
        <v>0.591</v>
      </c>
      <c r="N906" s="124">
        <v>18.27</v>
      </c>
      <c r="O906" s="122">
        <v>13.97</v>
      </c>
      <c r="P906" s="124">
        <v>67.76</v>
      </c>
      <c r="Q906" s="118" t="s">
        <v>846</v>
      </c>
      <c r="R906" s="86">
        <f t="shared" si="1"/>
        <v>166544.76</v>
      </c>
      <c r="S906" s="86">
        <f t="shared" si="2"/>
        <v>44133.2</v>
      </c>
      <c r="T906" s="86">
        <f t="shared" si="3"/>
        <v>6631.594</v>
      </c>
      <c r="U906" s="86">
        <f t="shared" si="4"/>
        <v>6863.874</v>
      </c>
      <c r="V906" s="86">
        <f t="shared" si="5"/>
        <v>212187.78</v>
      </c>
      <c r="W906" s="86">
        <f t="shared" si="6"/>
        <v>162247.58</v>
      </c>
      <c r="X906" s="86">
        <f t="shared" si="7"/>
        <v>786964.64</v>
      </c>
    </row>
    <row r="907" ht="12.0" customHeight="1">
      <c r="A9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07" s="87" t="str">
        <f>IFERROR(__xludf.DUMMYFUNCTION("IFERROR(IF(F907&lt;&gt;"""",""WHSE ""&amp;LEFT(F907,1),REGEXEXTRACT(E907,""-(?:\d{2}-)?([A-Z]+)"")),"""")
"),"WHSE C")</f>
        <v>WHSE C</v>
      </c>
      <c r="C907" s="117">
        <v>46098.0</v>
      </c>
      <c r="D907" s="118" t="s">
        <v>232</v>
      </c>
      <c r="E907" s="87" t="s">
        <v>814</v>
      </c>
      <c r="F907" s="87" t="s">
        <v>815</v>
      </c>
      <c r="G907" s="119" t="s">
        <v>328</v>
      </c>
      <c r="H907" s="120">
        <v>21220.0</v>
      </c>
      <c r="I907" s="121">
        <v>561.0</v>
      </c>
      <c r="J907" s="122">
        <v>10.54</v>
      </c>
      <c r="K907" s="123">
        <v>3.17</v>
      </c>
      <c r="L907" s="123">
        <v>0.559</v>
      </c>
      <c r="M907" s="123">
        <v>0.579</v>
      </c>
      <c r="N907" s="124">
        <v>13.24</v>
      </c>
      <c r="O907" s="122">
        <v>3.84</v>
      </c>
      <c r="P907" s="124">
        <v>82.92</v>
      </c>
      <c r="Q907" s="109"/>
      <c r="R907" s="103">
        <f t="shared" si="1"/>
        <v>223658.8</v>
      </c>
      <c r="S907" s="103">
        <f t="shared" si="2"/>
        <v>67267.4</v>
      </c>
      <c r="T907" s="103">
        <f t="shared" si="3"/>
        <v>11861.98</v>
      </c>
      <c r="U907" s="103">
        <f t="shared" si="4"/>
        <v>12286.38</v>
      </c>
      <c r="V907" s="103">
        <f t="shared" si="5"/>
        <v>280952.8</v>
      </c>
      <c r="W907" s="103">
        <f t="shared" si="6"/>
        <v>81484.8</v>
      </c>
      <c r="X907" s="103">
        <f t="shared" si="7"/>
        <v>1759562.4</v>
      </c>
    </row>
    <row r="908" ht="12.0" customHeight="1">
      <c r="A9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08" s="87" t="str">
        <f>IFERROR(__xludf.DUMMYFUNCTION("IFERROR(IF(F908&lt;&gt;"""",""WHSE ""&amp;LEFT(F908,1),REGEXEXTRACT(E908,""-(?:\d{2}-)?([A-Z]+)"")),"""")
"),"WHSE P")</f>
        <v>WHSE P</v>
      </c>
      <c r="C908" s="117">
        <v>46098.0</v>
      </c>
      <c r="D908" s="118" t="s">
        <v>821</v>
      </c>
      <c r="E908" s="87" t="s">
        <v>822</v>
      </c>
      <c r="F908" s="87" t="s">
        <v>823</v>
      </c>
      <c r="G908" s="111"/>
      <c r="H908" s="120">
        <v>11176.0</v>
      </c>
      <c r="I908" s="121">
        <v>16.0</v>
      </c>
      <c r="J908" s="122">
        <v>11.4</v>
      </c>
      <c r="K908" s="123">
        <v>4.94</v>
      </c>
      <c r="L908" s="123">
        <v>0.58</v>
      </c>
      <c r="M908" s="123">
        <v>0.6</v>
      </c>
      <c r="N908" s="124">
        <v>15.08</v>
      </c>
      <c r="O908" s="122">
        <v>9.81</v>
      </c>
      <c r="P908" s="124">
        <v>75.12</v>
      </c>
      <c r="Q908" s="118" t="s">
        <v>824</v>
      </c>
      <c r="R908" s="86">
        <f t="shared" si="1"/>
        <v>127406.4</v>
      </c>
      <c r="S908" s="86">
        <f t="shared" si="2"/>
        <v>55209.44</v>
      </c>
      <c r="T908" s="86">
        <f t="shared" si="3"/>
        <v>6482.08</v>
      </c>
      <c r="U908" s="86">
        <f t="shared" si="4"/>
        <v>6705.6</v>
      </c>
      <c r="V908" s="86">
        <f t="shared" si="5"/>
        <v>168534.08</v>
      </c>
      <c r="W908" s="86">
        <f t="shared" si="6"/>
        <v>109636.56</v>
      </c>
      <c r="X908" s="86">
        <f t="shared" si="7"/>
        <v>839541.12</v>
      </c>
    </row>
    <row r="909" ht="12.0" customHeight="1">
      <c r="A9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09" s="87" t="str">
        <f>IFERROR(__xludf.DUMMYFUNCTION("IFERROR(IF(F909&lt;&gt;"""",""WHSE ""&amp;LEFT(F909,1),REGEXEXTRACT(E909,""-(?:\d{2}-)?([A-Z]+)"")),"""")
"),"")</f>
        <v/>
      </c>
      <c r="C909" s="108"/>
      <c r="D909" s="109"/>
      <c r="E909" s="110"/>
      <c r="F909" s="110"/>
      <c r="G909" s="111"/>
      <c r="H909" s="112"/>
      <c r="I909" s="113"/>
      <c r="J909" s="114"/>
      <c r="K909" s="115"/>
      <c r="L909" s="115"/>
      <c r="M909" s="115"/>
      <c r="N909" s="116"/>
      <c r="O909" s="114"/>
      <c r="P909" s="116"/>
      <c r="Q909" s="109"/>
      <c r="R909" s="103">
        <f t="shared" si="1"/>
        <v>0</v>
      </c>
      <c r="S909" s="103">
        <f t="shared" si="2"/>
        <v>0</v>
      </c>
      <c r="T909" s="103">
        <f t="shared" si="3"/>
        <v>0</v>
      </c>
      <c r="U909" s="103">
        <f t="shared" si="4"/>
        <v>0</v>
      </c>
      <c r="V909" s="103">
        <f t="shared" si="5"/>
        <v>0</v>
      </c>
      <c r="W909" s="103">
        <f t="shared" si="6"/>
        <v>0</v>
      </c>
      <c r="X909" s="103">
        <f t="shared" si="7"/>
        <v>0</v>
      </c>
    </row>
    <row r="910" ht="12.0" customHeight="1">
      <c r="A9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10" s="87" t="str">
        <f>IFERROR(__xludf.DUMMYFUNCTION("IFERROR(IF(F910&lt;&gt;"""",""WHSE ""&amp;LEFT(F910,1),REGEXEXTRACT(E910,""-(?:\d{2}-)?([A-Z]+)"")),"""")
"),"WHSE A")</f>
        <v>WHSE A</v>
      </c>
      <c r="C910" s="117">
        <v>46099.0</v>
      </c>
      <c r="D910" s="118" t="s">
        <v>72</v>
      </c>
      <c r="E910" s="87" t="s">
        <v>834</v>
      </c>
      <c r="F910" s="87" t="s">
        <v>582</v>
      </c>
      <c r="G910" s="127" t="s">
        <v>73</v>
      </c>
      <c r="H910" s="128">
        <v>19280.0</v>
      </c>
      <c r="I910" s="129">
        <v>435.0</v>
      </c>
      <c r="J910" s="130">
        <v>11.47</v>
      </c>
      <c r="K910" s="131">
        <v>2.17</v>
      </c>
      <c r="L910" s="131">
        <v>0.575</v>
      </c>
      <c r="M910" s="131">
        <v>0.595</v>
      </c>
      <c r="N910" s="132">
        <v>12.14</v>
      </c>
      <c r="O910" s="130">
        <v>3.49</v>
      </c>
      <c r="P910" s="133">
        <v>84.37</v>
      </c>
      <c r="Q910" s="134"/>
      <c r="R910" s="103">
        <f t="shared" si="1"/>
        <v>221141.6</v>
      </c>
      <c r="S910" s="103">
        <f t="shared" si="2"/>
        <v>41837.6</v>
      </c>
      <c r="T910" s="103">
        <f t="shared" si="3"/>
        <v>11086</v>
      </c>
      <c r="U910" s="103">
        <f t="shared" si="4"/>
        <v>11471.6</v>
      </c>
      <c r="V910" s="103">
        <f t="shared" si="5"/>
        <v>234059.2</v>
      </c>
      <c r="W910" s="103">
        <f t="shared" si="6"/>
        <v>67287.2</v>
      </c>
      <c r="X910" s="103">
        <f t="shared" si="7"/>
        <v>1626653.6</v>
      </c>
    </row>
    <row r="911" ht="12.0" customHeight="1">
      <c r="A9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11" s="87" t="str">
        <f>IFERROR(__xludf.DUMMYFUNCTION("IFERROR(IF(F911&lt;&gt;"""",""WHSE ""&amp;LEFT(F911,1),REGEXEXTRACT(E911,""-(?:\d{2}-)?([A-Z]+)"")),"""")
"),"WHSE A")</f>
        <v>WHSE A</v>
      </c>
      <c r="C911" s="117">
        <v>46099.0</v>
      </c>
      <c r="D911" s="118" t="s">
        <v>72</v>
      </c>
      <c r="E911" s="87" t="s">
        <v>841</v>
      </c>
      <c r="F911" s="87" t="s">
        <v>620</v>
      </c>
      <c r="G911" s="127" t="s">
        <v>77</v>
      </c>
      <c r="H911" s="128">
        <v>16890.0</v>
      </c>
      <c r="I911" s="129">
        <v>438.0</v>
      </c>
      <c r="J911" s="130">
        <v>11.6</v>
      </c>
      <c r="K911" s="131">
        <v>2.17</v>
      </c>
      <c r="L911" s="131">
        <v>0.578</v>
      </c>
      <c r="M911" s="131">
        <v>0.598</v>
      </c>
      <c r="N911" s="132">
        <v>12.38</v>
      </c>
      <c r="O911" s="130">
        <v>3.98</v>
      </c>
      <c r="P911" s="133">
        <v>83.64</v>
      </c>
      <c r="Q911" s="134"/>
      <c r="R911" s="103">
        <f t="shared" si="1"/>
        <v>195924</v>
      </c>
      <c r="S911" s="103">
        <f t="shared" si="2"/>
        <v>36651.3</v>
      </c>
      <c r="T911" s="103">
        <f t="shared" si="3"/>
        <v>9762.42</v>
      </c>
      <c r="U911" s="103">
        <f t="shared" si="4"/>
        <v>10100.22</v>
      </c>
      <c r="V911" s="103">
        <f t="shared" si="5"/>
        <v>209098.2</v>
      </c>
      <c r="W911" s="103">
        <f t="shared" si="6"/>
        <v>67222.2</v>
      </c>
      <c r="X911" s="103">
        <f t="shared" si="7"/>
        <v>1412679.6</v>
      </c>
    </row>
    <row r="912" ht="12.0" customHeight="1">
      <c r="A9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12" s="87" t="str">
        <f>IFERROR(__xludf.DUMMYFUNCTION("IFERROR(IF(F912&lt;&gt;"""",""WHSE ""&amp;LEFT(F912,1),REGEXEXTRACT(E912,""-(?:\d{2}-)?([A-Z]+)"")),"""")
"),"WHSE C")</f>
        <v>WHSE C</v>
      </c>
      <c r="C912" s="117">
        <v>46099.0</v>
      </c>
      <c r="D912" s="118" t="s">
        <v>232</v>
      </c>
      <c r="E912" s="87" t="s">
        <v>266</v>
      </c>
      <c r="F912" s="87" t="s">
        <v>267</v>
      </c>
      <c r="G912" s="127" t="s">
        <v>668</v>
      </c>
      <c r="H912" s="135">
        <v>12438.0</v>
      </c>
      <c r="I912" s="129">
        <v>296.0</v>
      </c>
      <c r="J912" s="130">
        <v>11.14</v>
      </c>
      <c r="K912" s="131">
        <v>3.11</v>
      </c>
      <c r="L912" s="131">
        <v>0.552</v>
      </c>
      <c r="M912" s="131">
        <v>0.572</v>
      </c>
      <c r="N912" s="132">
        <v>13.84</v>
      </c>
      <c r="O912" s="130">
        <v>5.81</v>
      </c>
      <c r="P912" s="133">
        <v>80.35</v>
      </c>
      <c r="Q912" s="136" t="s">
        <v>847</v>
      </c>
      <c r="R912" s="86">
        <f t="shared" si="1"/>
        <v>138559.32</v>
      </c>
      <c r="S912" s="86">
        <f t="shared" si="2"/>
        <v>38682.18</v>
      </c>
      <c r="T912" s="86">
        <f t="shared" si="3"/>
        <v>6865.776</v>
      </c>
      <c r="U912" s="86">
        <f t="shared" si="4"/>
        <v>7114.536</v>
      </c>
      <c r="V912" s="86">
        <f t="shared" si="5"/>
        <v>172141.92</v>
      </c>
      <c r="W912" s="86">
        <f t="shared" si="6"/>
        <v>72264.78</v>
      </c>
      <c r="X912" s="86">
        <f t="shared" si="7"/>
        <v>999393.3</v>
      </c>
    </row>
    <row r="913" ht="12.0" customHeight="1">
      <c r="A9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13" s="87" t="str">
        <f>IFERROR(__xludf.DUMMYFUNCTION("IFERROR(IF(F913&lt;&gt;"""",""WHSE ""&amp;LEFT(F913,1),REGEXEXTRACT(E913,""-(?:\d{2}-)?([A-Z]+)"")),"""")
"),"WHSE D")</f>
        <v>WHSE D</v>
      </c>
      <c r="C913" s="117">
        <v>46099.0</v>
      </c>
      <c r="D913" s="118" t="s">
        <v>232</v>
      </c>
      <c r="E913" s="87" t="s">
        <v>845</v>
      </c>
      <c r="F913" s="87" t="s">
        <v>499</v>
      </c>
      <c r="G913" s="127" t="s">
        <v>848</v>
      </c>
      <c r="H913" s="128">
        <v>22990.0</v>
      </c>
      <c r="I913" s="129">
        <v>529.0</v>
      </c>
      <c r="J913" s="130">
        <v>9.6</v>
      </c>
      <c r="K913" s="131">
        <v>3.61</v>
      </c>
      <c r="L913" s="131">
        <v>0.543</v>
      </c>
      <c r="M913" s="131">
        <v>0.563</v>
      </c>
      <c r="N913" s="132">
        <v>13.46</v>
      </c>
      <c r="O913" s="130">
        <v>2.64</v>
      </c>
      <c r="P913" s="133">
        <v>83.9</v>
      </c>
      <c r="Q913" s="134"/>
      <c r="R913" s="103">
        <f t="shared" si="1"/>
        <v>220704</v>
      </c>
      <c r="S913" s="103">
        <f t="shared" si="2"/>
        <v>82993.9</v>
      </c>
      <c r="T913" s="103">
        <f t="shared" si="3"/>
        <v>12483.57</v>
      </c>
      <c r="U913" s="103">
        <f t="shared" si="4"/>
        <v>12943.37</v>
      </c>
      <c r="V913" s="103">
        <f t="shared" si="5"/>
        <v>309445.4</v>
      </c>
      <c r="W913" s="103">
        <f t="shared" si="6"/>
        <v>60693.6</v>
      </c>
      <c r="X913" s="103">
        <f t="shared" si="7"/>
        <v>1928861</v>
      </c>
    </row>
    <row r="914" ht="12.0" customHeight="1">
      <c r="A9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14" s="87" t="str">
        <f>IFERROR(__xludf.DUMMYFUNCTION("IFERROR(IF(F914&lt;&gt;"""",""WHSE ""&amp;LEFT(F914,1),REGEXEXTRACT(E914,""-(?:\d{2}-)?([A-Z]+)"")),"""")
"),"WHSE D")</f>
        <v>WHSE D</v>
      </c>
      <c r="C914" s="117">
        <v>46099.0</v>
      </c>
      <c r="D914" s="118" t="s">
        <v>232</v>
      </c>
      <c r="E914" s="87" t="s">
        <v>845</v>
      </c>
      <c r="F914" s="87" t="s">
        <v>499</v>
      </c>
      <c r="G914" s="127" t="s">
        <v>235</v>
      </c>
      <c r="H914" s="137">
        <v>12942.0</v>
      </c>
      <c r="I914" s="129">
        <v>284.0</v>
      </c>
      <c r="J914" s="130">
        <v>13.6</v>
      </c>
      <c r="K914" s="131">
        <v>3.88</v>
      </c>
      <c r="L914" s="131">
        <v>0.568</v>
      </c>
      <c r="M914" s="131">
        <v>0.588</v>
      </c>
      <c r="N914" s="132">
        <v>15.71</v>
      </c>
      <c r="O914" s="130">
        <v>8.38</v>
      </c>
      <c r="P914" s="133">
        <v>75.91</v>
      </c>
      <c r="Q914" s="136" t="s">
        <v>849</v>
      </c>
      <c r="R914" s="86">
        <f t="shared" si="1"/>
        <v>176011.2</v>
      </c>
      <c r="S914" s="86">
        <f t="shared" si="2"/>
        <v>50214.96</v>
      </c>
      <c r="T914" s="86">
        <f t="shared" si="3"/>
        <v>7351.056</v>
      </c>
      <c r="U914" s="86">
        <f t="shared" si="4"/>
        <v>7609.896</v>
      </c>
      <c r="V914" s="86">
        <f t="shared" si="5"/>
        <v>203318.82</v>
      </c>
      <c r="W914" s="86">
        <f t="shared" si="6"/>
        <v>108453.96</v>
      </c>
      <c r="X914" s="86">
        <f t="shared" si="7"/>
        <v>982427.22</v>
      </c>
    </row>
    <row r="915" ht="12.0" customHeight="1">
      <c r="A9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15" s="87" t="str">
        <f>IFERROR(__xludf.DUMMYFUNCTION("IFERROR(IF(F915&lt;&gt;"""",""WHSE ""&amp;LEFT(F915,1),REGEXEXTRACT(E915,""-(?:\d{2}-)?([A-Z]+)"")),"""")
"),"REFEED")</f>
        <v>REFEED</v>
      </c>
      <c r="C915" s="117">
        <v>46099.0</v>
      </c>
      <c r="D915" s="118" t="s">
        <v>850</v>
      </c>
      <c r="E915" s="87" t="s">
        <v>851</v>
      </c>
      <c r="F915" s="110"/>
      <c r="G915" s="111"/>
      <c r="H915" s="138">
        <v>29704.0</v>
      </c>
      <c r="I915" s="113"/>
      <c r="J915" s="114"/>
      <c r="K915" s="115"/>
      <c r="L915" s="115"/>
      <c r="M915" s="115"/>
      <c r="N915" s="116"/>
      <c r="O915" s="114"/>
      <c r="P915" s="116"/>
      <c r="Q915" s="118" t="s">
        <v>852</v>
      </c>
      <c r="R915" s="86">
        <f t="shared" si="1"/>
        <v>0</v>
      </c>
      <c r="S915" s="86">
        <f t="shared" si="2"/>
        <v>0</v>
      </c>
      <c r="T915" s="86">
        <f t="shared" si="3"/>
        <v>0</v>
      </c>
      <c r="U915" s="86">
        <f t="shared" si="4"/>
        <v>0</v>
      </c>
      <c r="V915" s="86">
        <f t="shared" si="5"/>
        <v>0</v>
      </c>
      <c r="W915" s="86">
        <f t="shared" si="6"/>
        <v>0</v>
      </c>
      <c r="X915" s="86">
        <f t="shared" si="7"/>
        <v>0</v>
      </c>
    </row>
    <row r="916" ht="12.0" customHeight="1">
      <c r="A9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16" s="87" t="str">
        <f>IFERROR(__xludf.DUMMYFUNCTION("IFERROR(IF(F916&lt;&gt;"""",""WHSE ""&amp;LEFT(F916,1),REGEXEXTRACT(E916,""-(?:\d{2}-)?([A-Z]+)"")),"""")
"),"WHSE P")</f>
        <v>WHSE P</v>
      </c>
      <c r="C916" s="117">
        <v>46099.0</v>
      </c>
      <c r="D916" s="118" t="s">
        <v>821</v>
      </c>
      <c r="E916" s="87" t="s">
        <v>822</v>
      </c>
      <c r="F916" s="87" t="s">
        <v>823</v>
      </c>
      <c r="G916" s="111"/>
      <c r="H916" s="120">
        <v>7607.0</v>
      </c>
      <c r="I916" s="121">
        <v>12.0</v>
      </c>
      <c r="J916" s="122">
        <v>11.4</v>
      </c>
      <c r="K916" s="123">
        <v>4.94</v>
      </c>
      <c r="L916" s="123">
        <v>0.58</v>
      </c>
      <c r="M916" s="123">
        <v>0.6</v>
      </c>
      <c r="N916" s="124">
        <v>15.08</v>
      </c>
      <c r="O916" s="122">
        <v>9.81</v>
      </c>
      <c r="P916" s="124">
        <v>75.12</v>
      </c>
      <c r="Q916" s="118" t="s">
        <v>824</v>
      </c>
      <c r="R916" s="86">
        <f t="shared" si="1"/>
        <v>86719.8</v>
      </c>
      <c r="S916" s="86">
        <f t="shared" si="2"/>
        <v>37578.58</v>
      </c>
      <c r="T916" s="86">
        <f t="shared" si="3"/>
        <v>4412.06</v>
      </c>
      <c r="U916" s="86">
        <f t="shared" si="4"/>
        <v>4564.2</v>
      </c>
      <c r="V916" s="86">
        <f t="shared" si="5"/>
        <v>114713.56</v>
      </c>
      <c r="W916" s="86">
        <f t="shared" si="6"/>
        <v>74624.67</v>
      </c>
      <c r="X916" s="86">
        <f t="shared" si="7"/>
        <v>571437.84</v>
      </c>
    </row>
    <row r="917" ht="12.0" customHeight="1">
      <c r="A9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17" s="87" t="str">
        <f>IFERROR(__xludf.DUMMYFUNCTION("IFERROR(IF(F917&lt;&gt;"""",""WHSE ""&amp;LEFT(F917,1),REGEXEXTRACT(E917,""-(?:\d{2}-)?([A-Z]+)"")),"""")
"),"")</f>
        <v/>
      </c>
      <c r="C917" s="108"/>
      <c r="D917" s="109"/>
      <c r="E917" s="110"/>
      <c r="F917" s="110"/>
      <c r="G917" s="111"/>
      <c r="H917" s="139"/>
      <c r="I917" s="140"/>
      <c r="J917" s="141"/>
      <c r="K917" s="142"/>
      <c r="L917" s="142"/>
      <c r="M917" s="143"/>
      <c r="N917" s="116"/>
      <c r="O917" s="141"/>
      <c r="P917" s="144"/>
      <c r="Q917" s="109"/>
      <c r="R917" s="103">
        <f t="shared" si="1"/>
        <v>0</v>
      </c>
      <c r="S917" s="103">
        <f t="shared" si="2"/>
        <v>0</v>
      </c>
      <c r="T917" s="103">
        <f t="shared" si="3"/>
        <v>0</v>
      </c>
      <c r="U917" s="103">
        <f t="shared" si="4"/>
        <v>0</v>
      </c>
      <c r="V917" s="103">
        <f t="shared" si="5"/>
        <v>0</v>
      </c>
      <c r="W917" s="103">
        <f t="shared" si="6"/>
        <v>0</v>
      </c>
      <c r="X917" s="103">
        <f t="shared" si="7"/>
        <v>0</v>
      </c>
    </row>
    <row r="918" ht="12.0" customHeight="1">
      <c r="A9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18" s="87" t="str">
        <f>IFERROR(__xludf.DUMMYFUNCTION("IFERROR(IF(F918&lt;&gt;"""",""WHSE ""&amp;LEFT(F918,1),REGEXEXTRACT(E918,""-(?:\d{2}-)?([A-Z]+)"")),"""")
"),"WHSE D")</f>
        <v>WHSE D</v>
      </c>
      <c r="C918" s="117">
        <v>46100.0</v>
      </c>
      <c r="D918" s="118" t="s">
        <v>232</v>
      </c>
      <c r="E918" s="87" t="s">
        <v>853</v>
      </c>
      <c r="F918" s="87" t="s">
        <v>413</v>
      </c>
      <c r="G918" s="119" t="s">
        <v>669</v>
      </c>
      <c r="H918" s="145">
        <v>23035.0</v>
      </c>
      <c r="I918" s="146">
        <v>692.0</v>
      </c>
      <c r="J918" s="147">
        <v>11.07</v>
      </c>
      <c r="K918" s="146">
        <v>2.11</v>
      </c>
      <c r="L918" s="146">
        <v>0.568</v>
      </c>
      <c r="M918" s="148">
        <v>0.588</v>
      </c>
      <c r="N918" s="132">
        <v>12.44</v>
      </c>
      <c r="O918" s="147">
        <v>2.94</v>
      </c>
      <c r="P918" s="149">
        <v>84.62</v>
      </c>
      <c r="Q918" s="109"/>
      <c r="R918" s="103">
        <f t="shared" si="1"/>
        <v>254997.45</v>
      </c>
      <c r="S918" s="103">
        <f t="shared" si="2"/>
        <v>48603.85</v>
      </c>
      <c r="T918" s="103">
        <f t="shared" si="3"/>
        <v>13083.88</v>
      </c>
      <c r="U918" s="103">
        <f t="shared" si="4"/>
        <v>13544.58</v>
      </c>
      <c r="V918" s="103">
        <f t="shared" si="5"/>
        <v>286555.4</v>
      </c>
      <c r="W918" s="103">
        <f t="shared" si="6"/>
        <v>67722.9</v>
      </c>
      <c r="X918" s="103">
        <f t="shared" si="7"/>
        <v>1949221.7</v>
      </c>
    </row>
    <row r="919" ht="12.0" customHeight="1">
      <c r="A9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19" s="87" t="str">
        <f>IFERROR(__xludf.DUMMYFUNCTION("IFERROR(IF(F919&lt;&gt;"""",""WHSE ""&amp;LEFT(F919,1),REGEXEXTRACT(E919,""-(?:\d{2}-)?([A-Z]+)"")),"""")
"),"WHSE D")</f>
        <v>WHSE D</v>
      </c>
      <c r="C919" s="117">
        <v>46100.0</v>
      </c>
      <c r="D919" s="118" t="s">
        <v>232</v>
      </c>
      <c r="E919" s="87" t="s">
        <v>853</v>
      </c>
      <c r="F919" s="87" t="s">
        <v>413</v>
      </c>
      <c r="G919" s="119" t="s">
        <v>854</v>
      </c>
      <c r="H919" s="145">
        <v>21225.0</v>
      </c>
      <c r="I919" s="146">
        <v>507.0</v>
      </c>
      <c r="J919" s="147">
        <v>10.74</v>
      </c>
      <c r="K919" s="146">
        <v>2.51</v>
      </c>
      <c r="L919" s="146">
        <v>0.565</v>
      </c>
      <c r="M919" s="148">
        <v>0.585</v>
      </c>
      <c r="N919" s="132">
        <v>14.18</v>
      </c>
      <c r="O919" s="147">
        <v>3.81</v>
      </c>
      <c r="P919" s="149">
        <v>82.01</v>
      </c>
      <c r="Q919" s="109"/>
      <c r="R919" s="103">
        <f t="shared" si="1"/>
        <v>227956.5</v>
      </c>
      <c r="S919" s="103">
        <f t="shared" si="2"/>
        <v>53274.75</v>
      </c>
      <c r="T919" s="103">
        <f t="shared" si="3"/>
        <v>11992.125</v>
      </c>
      <c r="U919" s="103">
        <f t="shared" si="4"/>
        <v>12416.625</v>
      </c>
      <c r="V919" s="103">
        <f t="shared" si="5"/>
        <v>300970.5</v>
      </c>
      <c r="W919" s="103">
        <f t="shared" si="6"/>
        <v>80867.25</v>
      </c>
      <c r="X919" s="103">
        <f t="shared" si="7"/>
        <v>1740662.25</v>
      </c>
    </row>
    <row r="920" ht="12.0" customHeight="1">
      <c r="A9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20" s="87" t="str">
        <f>IFERROR(__xludf.DUMMYFUNCTION("IFERROR(IF(F920&lt;&gt;"""",""WHSE ""&amp;LEFT(F920,1),REGEXEXTRACT(E920,""-(?:\d{2}-)?([A-Z]+)"")),"""")
"),"WHSE C")</f>
        <v>WHSE C</v>
      </c>
      <c r="C920" s="117">
        <v>46100.0</v>
      </c>
      <c r="D920" s="118" t="s">
        <v>232</v>
      </c>
      <c r="E920" s="87" t="s">
        <v>811</v>
      </c>
      <c r="F920" s="87" t="s">
        <v>812</v>
      </c>
      <c r="G920" s="119" t="s">
        <v>77</v>
      </c>
      <c r="H920" s="145">
        <v>20874.0</v>
      </c>
      <c r="I920" s="146">
        <v>504.0</v>
      </c>
      <c r="J920" s="147">
        <v>12.8</v>
      </c>
      <c r="K920" s="146">
        <v>3.6</v>
      </c>
      <c r="L920" s="146">
        <v>0.571</v>
      </c>
      <c r="M920" s="148">
        <v>0.591</v>
      </c>
      <c r="N920" s="132">
        <v>16.39</v>
      </c>
      <c r="O920" s="147">
        <v>7.56</v>
      </c>
      <c r="P920" s="149">
        <v>76.05</v>
      </c>
      <c r="Q920" s="118" t="s">
        <v>855</v>
      </c>
      <c r="R920" s="86">
        <f t="shared" si="1"/>
        <v>267187.2</v>
      </c>
      <c r="S920" s="86">
        <f t="shared" si="2"/>
        <v>75146.4</v>
      </c>
      <c r="T920" s="86">
        <f t="shared" si="3"/>
        <v>11919.054</v>
      </c>
      <c r="U920" s="86">
        <f t="shared" si="4"/>
        <v>12336.534</v>
      </c>
      <c r="V920" s="86">
        <f t="shared" si="5"/>
        <v>342124.86</v>
      </c>
      <c r="W920" s="86">
        <f t="shared" si="6"/>
        <v>157807.44</v>
      </c>
      <c r="X920" s="86">
        <f t="shared" si="7"/>
        <v>1587467.7</v>
      </c>
    </row>
    <row r="921" ht="12.0" customHeight="1">
      <c r="A9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21" s="87" t="str">
        <f>IFERROR(__xludf.DUMMYFUNCTION("IFERROR(IF(F921&lt;&gt;"""",""WHSE ""&amp;LEFT(F921,1),REGEXEXTRACT(E921,""-(?:\d{2}-)?([A-Z]+)"")),"""")
"),"WHSE D")</f>
        <v>WHSE D</v>
      </c>
      <c r="C921" s="117">
        <v>46100.0</v>
      </c>
      <c r="D921" s="118" t="s">
        <v>232</v>
      </c>
      <c r="E921" s="87" t="s">
        <v>853</v>
      </c>
      <c r="F921" s="87" t="s">
        <v>413</v>
      </c>
      <c r="G921" s="119" t="s">
        <v>856</v>
      </c>
      <c r="H921" s="145">
        <v>4280.0</v>
      </c>
      <c r="I921" s="146">
        <v>166.0</v>
      </c>
      <c r="J921" s="147">
        <v>7.0</v>
      </c>
      <c r="K921" s="146">
        <v>3.41</v>
      </c>
      <c r="L921" s="146">
        <v>0.552</v>
      </c>
      <c r="M921" s="148">
        <v>0.572</v>
      </c>
      <c r="N921" s="132">
        <v>13.94</v>
      </c>
      <c r="O921" s="147">
        <v>3.99</v>
      </c>
      <c r="P921" s="149">
        <v>82.07</v>
      </c>
      <c r="Q921" s="109"/>
      <c r="R921" s="103">
        <f t="shared" si="1"/>
        <v>29960</v>
      </c>
      <c r="S921" s="103">
        <f t="shared" si="2"/>
        <v>14594.8</v>
      </c>
      <c r="T921" s="103">
        <f t="shared" si="3"/>
        <v>2362.56</v>
      </c>
      <c r="U921" s="103">
        <f t="shared" si="4"/>
        <v>2448.16</v>
      </c>
      <c r="V921" s="103">
        <f t="shared" si="5"/>
        <v>59663.2</v>
      </c>
      <c r="W921" s="103">
        <f t="shared" si="6"/>
        <v>17077.2</v>
      </c>
      <c r="X921" s="103">
        <f t="shared" si="7"/>
        <v>351259.6</v>
      </c>
    </row>
    <row r="922" ht="12.0" customHeight="1">
      <c r="A9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22" s="87" t="str">
        <f>IFERROR(__xludf.DUMMYFUNCTION("IFERROR(IF(F922&lt;&gt;"""",""WHSE ""&amp;LEFT(F922,1),REGEXEXTRACT(E922,""-(?:\d{2}-)?([A-Z]+)"")),"""")
"),"WHSE C")</f>
        <v>WHSE C</v>
      </c>
      <c r="C922" s="117">
        <v>46100.0</v>
      </c>
      <c r="D922" s="118" t="s">
        <v>232</v>
      </c>
      <c r="E922" s="87" t="s">
        <v>260</v>
      </c>
      <c r="F922" s="87" t="s">
        <v>261</v>
      </c>
      <c r="G922" s="119" t="s">
        <v>668</v>
      </c>
      <c r="H922" s="145">
        <v>9360.0</v>
      </c>
      <c r="I922" s="146">
        <v>294.0</v>
      </c>
      <c r="J922" s="147">
        <v>9.07</v>
      </c>
      <c r="K922" s="146">
        <v>3.51</v>
      </c>
      <c r="L922" s="146">
        <v>0.556</v>
      </c>
      <c r="M922" s="148">
        <v>0.576</v>
      </c>
      <c r="N922" s="132">
        <v>12.6</v>
      </c>
      <c r="O922" s="147">
        <v>3.05</v>
      </c>
      <c r="P922" s="149">
        <v>84.35</v>
      </c>
      <c r="Q922" s="118" t="s">
        <v>857</v>
      </c>
      <c r="R922" s="86">
        <f t="shared" si="1"/>
        <v>84895.2</v>
      </c>
      <c r="S922" s="86">
        <f t="shared" si="2"/>
        <v>32853.6</v>
      </c>
      <c r="T922" s="86">
        <f t="shared" si="3"/>
        <v>5204.16</v>
      </c>
      <c r="U922" s="86">
        <f t="shared" si="4"/>
        <v>5391.36</v>
      </c>
      <c r="V922" s="86">
        <f t="shared" si="5"/>
        <v>117936</v>
      </c>
      <c r="W922" s="86">
        <f t="shared" si="6"/>
        <v>28548</v>
      </c>
      <c r="X922" s="86">
        <f t="shared" si="7"/>
        <v>789516</v>
      </c>
    </row>
    <row r="923" ht="12.0" customHeight="1">
      <c r="A9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23" s="87" t="str">
        <f>IFERROR(__xludf.DUMMYFUNCTION("IFERROR(IF(F923&lt;&gt;"""",""WHSE ""&amp;LEFT(F923,1),REGEXEXTRACT(E923,""-(?:\d{2}-)?([A-Z]+)"")),"""")
"),"WHSE A")</f>
        <v>WHSE A</v>
      </c>
      <c r="C923" s="117">
        <v>46100.0</v>
      </c>
      <c r="D923" s="118" t="s">
        <v>72</v>
      </c>
      <c r="E923" s="87" t="s">
        <v>841</v>
      </c>
      <c r="F923" s="87" t="s">
        <v>620</v>
      </c>
      <c r="G923" s="119" t="s">
        <v>73</v>
      </c>
      <c r="H923" s="145">
        <v>19320.0</v>
      </c>
      <c r="I923" s="146">
        <v>426.0</v>
      </c>
      <c r="J923" s="147">
        <v>11.54</v>
      </c>
      <c r="K923" s="146">
        <v>2.14</v>
      </c>
      <c r="L923" s="146">
        <v>0.575</v>
      </c>
      <c r="M923" s="148">
        <v>0.595</v>
      </c>
      <c r="N923" s="132">
        <v>13.22</v>
      </c>
      <c r="O923" s="147">
        <v>2.75</v>
      </c>
      <c r="P923" s="149">
        <v>84.03</v>
      </c>
      <c r="Q923" s="109"/>
      <c r="R923" s="103">
        <f t="shared" si="1"/>
        <v>222952.8</v>
      </c>
      <c r="S923" s="103">
        <f t="shared" si="2"/>
        <v>41344.8</v>
      </c>
      <c r="T923" s="103">
        <f t="shared" si="3"/>
        <v>11109</v>
      </c>
      <c r="U923" s="103">
        <f t="shared" si="4"/>
        <v>11495.4</v>
      </c>
      <c r="V923" s="103">
        <f t="shared" si="5"/>
        <v>255410.4</v>
      </c>
      <c r="W923" s="103">
        <f t="shared" si="6"/>
        <v>53130</v>
      </c>
      <c r="X923" s="103">
        <f t="shared" si="7"/>
        <v>1623459.6</v>
      </c>
    </row>
    <row r="924" ht="12.0" customHeight="1">
      <c r="A9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24" s="87" t="str">
        <f>IFERROR(__xludf.DUMMYFUNCTION("IFERROR(IF(F924&lt;&gt;"""",""WHSE ""&amp;LEFT(F924,1),REGEXEXTRACT(E924,""-(?:\d{2}-)?([A-Z]+)"")),"""")
"),"WHSE D")</f>
        <v>WHSE D</v>
      </c>
      <c r="C924" s="117">
        <v>46100.0</v>
      </c>
      <c r="D924" s="118" t="s">
        <v>60</v>
      </c>
      <c r="E924" s="87" t="s">
        <v>837</v>
      </c>
      <c r="F924" s="87" t="s">
        <v>526</v>
      </c>
      <c r="G924" s="119" t="s">
        <v>63</v>
      </c>
      <c r="H924" s="145">
        <v>18011.0</v>
      </c>
      <c r="I924" s="146">
        <v>507.0</v>
      </c>
      <c r="J924" s="147">
        <v>17.8</v>
      </c>
      <c r="K924" s="146">
        <v>2.71</v>
      </c>
      <c r="L924" s="146">
        <v>0.571</v>
      </c>
      <c r="M924" s="148">
        <v>0.591</v>
      </c>
      <c r="N924" s="132">
        <v>12.05</v>
      </c>
      <c r="O924" s="147">
        <v>3.99</v>
      </c>
      <c r="P924" s="149">
        <v>83.96</v>
      </c>
      <c r="Q924" s="118" t="s">
        <v>858</v>
      </c>
      <c r="R924" s="86">
        <f t="shared" si="1"/>
        <v>320595.8</v>
      </c>
      <c r="S924" s="86">
        <f t="shared" si="2"/>
        <v>48809.81</v>
      </c>
      <c r="T924" s="86">
        <f t="shared" si="3"/>
        <v>10284.281</v>
      </c>
      <c r="U924" s="86">
        <f t="shared" si="4"/>
        <v>10644.501</v>
      </c>
      <c r="V924" s="86">
        <f t="shared" si="5"/>
        <v>217032.55</v>
      </c>
      <c r="W924" s="86">
        <f t="shared" si="6"/>
        <v>71863.89</v>
      </c>
      <c r="X924" s="86">
        <f t="shared" si="7"/>
        <v>1512203.56</v>
      </c>
    </row>
    <row r="925" ht="12.0" customHeight="1">
      <c r="A9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25" s="87" t="str">
        <f>IFERROR(__xludf.DUMMYFUNCTION("IFERROR(IF(F925&lt;&gt;"""",""WHSE ""&amp;LEFT(F925,1),REGEXEXTRACT(E925,""-(?:\d{2}-)?([A-Z]+)"")),"""")
"),"WHSE P")</f>
        <v>WHSE P</v>
      </c>
      <c r="C925" s="117">
        <v>46100.0</v>
      </c>
      <c r="D925" s="118" t="s">
        <v>821</v>
      </c>
      <c r="E925" s="87" t="s">
        <v>822</v>
      </c>
      <c r="F925" s="87" t="s">
        <v>823</v>
      </c>
      <c r="G925" s="111"/>
      <c r="H925" s="145">
        <v>6582.0</v>
      </c>
      <c r="I925" s="121">
        <v>11.0</v>
      </c>
      <c r="J925" s="122">
        <v>9.94</v>
      </c>
      <c r="K925" s="123">
        <v>4.94</v>
      </c>
      <c r="L925" s="123">
        <v>0.58</v>
      </c>
      <c r="M925" s="123">
        <v>0.6</v>
      </c>
      <c r="N925" s="124">
        <v>15.08</v>
      </c>
      <c r="O925" s="122">
        <v>9.81</v>
      </c>
      <c r="P925" s="124">
        <v>75.12</v>
      </c>
      <c r="Q925" s="118" t="s">
        <v>824</v>
      </c>
      <c r="R925" s="86">
        <f t="shared" si="1"/>
        <v>65425.08</v>
      </c>
      <c r="S925" s="86">
        <f t="shared" si="2"/>
        <v>32515.08</v>
      </c>
      <c r="T925" s="86">
        <f t="shared" si="3"/>
        <v>3817.56</v>
      </c>
      <c r="U925" s="86">
        <f t="shared" si="4"/>
        <v>3949.2</v>
      </c>
      <c r="V925" s="86">
        <f t="shared" si="5"/>
        <v>99256.56</v>
      </c>
      <c r="W925" s="86">
        <f t="shared" si="6"/>
        <v>64569.42</v>
      </c>
      <c r="X925" s="86">
        <f t="shared" si="7"/>
        <v>494439.84</v>
      </c>
    </row>
    <row r="926" ht="12.0" customHeight="1">
      <c r="A9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26" s="87" t="str">
        <f>IFERROR(__xludf.DUMMYFUNCTION("IFERROR(IF(F926&lt;&gt;"""",""WHSE ""&amp;LEFT(F926,1),REGEXEXTRACT(E926,""-(?:\d{2}-)?([A-Z]+)"")),"""")
"),"")</f>
        <v/>
      </c>
      <c r="C926" s="108"/>
      <c r="D926" s="109"/>
      <c r="E926" s="110"/>
      <c r="F926" s="110"/>
      <c r="G926" s="111"/>
      <c r="H926" s="145"/>
      <c r="I926" s="113"/>
      <c r="J926" s="114"/>
      <c r="K926" s="115"/>
      <c r="L926" s="115"/>
      <c r="M926" s="115"/>
      <c r="N926" s="116"/>
      <c r="O926" s="114"/>
      <c r="P926" s="116"/>
      <c r="Q926" s="109"/>
      <c r="R926" s="103">
        <f t="shared" si="1"/>
        <v>0</v>
      </c>
      <c r="S926" s="103">
        <f t="shared" si="2"/>
        <v>0</v>
      </c>
      <c r="T926" s="103">
        <f t="shared" si="3"/>
        <v>0</v>
      </c>
      <c r="U926" s="103">
        <f t="shared" si="4"/>
        <v>0</v>
      </c>
      <c r="V926" s="103">
        <f t="shared" si="5"/>
        <v>0</v>
      </c>
      <c r="W926" s="103">
        <f t="shared" si="6"/>
        <v>0</v>
      </c>
      <c r="X926" s="103">
        <f t="shared" si="7"/>
        <v>0</v>
      </c>
    </row>
    <row r="927" ht="12.0" customHeight="1">
      <c r="A9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27" s="87" t="str">
        <f>IFERROR(__xludf.DUMMYFUNCTION("IFERROR(IF(F927&lt;&gt;"""",""WHSE ""&amp;LEFT(F927,1),REGEXEXTRACT(E927,""-(?:\d{2}-)?([A-Z]+)"")),"""")
"),"WHSE P")</f>
        <v>WHSE P</v>
      </c>
      <c r="C927" s="117">
        <v>46101.0</v>
      </c>
      <c r="D927" s="118" t="s">
        <v>859</v>
      </c>
      <c r="E927" s="87" t="s">
        <v>860</v>
      </c>
      <c r="F927" s="87" t="s">
        <v>861</v>
      </c>
      <c r="G927" s="111"/>
      <c r="H927" s="145">
        <v>4362.0</v>
      </c>
      <c r="I927" s="121">
        <v>8.0</v>
      </c>
      <c r="J927" s="122">
        <v>9.87</v>
      </c>
      <c r="K927" s="146">
        <v>2.71</v>
      </c>
      <c r="L927" s="146">
        <v>0.571</v>
      </c>
      <c r="M927" s="148">
        <v>0.591</v>
      </c>
      <c r="N927" s="132">
        <v>12.05</v>
      </c>
      <c r="O927" s="147">
        <v>3.99</v>
      </c>
      <c r="P927" s="149">
        <v>83.96</v>
      </c>
      <c r="Q927" s="109"/>
      <c r="R927" s="103">
        <f t="shared" si="1"/>
        <v>43052.94</v>
      </c>
      <c r="S927" s="103">
        <f t="shared" si="2"/>
        <v>11821.02</v>
      </c>
      <c r="T927" s="103">
        <f t="shared" si="3"/>
        <v>2490.702</v>
      </c>
      <c r="U927" s="103">
        <f t="shared" si="4"/>
        <v>2577.942</v>
      </c>
      <c r="V927" s="103">
        <f t="shared" si="5"/>
        <v>52562.1</v>
      </c>
      <c r="W927" s="103">
        <f t="shared" si="6"/>
        <v>17404.38</v>
      </c>
      <c r="X927" s="103">
        <f t="shared" si="7"/>
        <v>366233.52</v>
      </c>
    </row>
    <row r="928" ht="12.0" customHeight="1">
      <c r="A9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28" s="87" t="str">
        <f>IFERROR(__xludf.DUMMYFUNCTION("IFERROR(IF(F928&lt;&gt;"""",""WHSE ""&amp;LEFT(F928,1),REGEXEXTRACT(E928,""-(?:\d{2}-)?([A-Z]+)"")),"""")
"),"FEED")</f>
        <v>FEED</v>
      </c>
      <c r="C928" s="117">
        <v>46101.0</v>
      </c>
      <c r="D928" s="150" t="s">
        <v>286</v>
      </c>
      <c r="E928" s="87" t="s">
        <v>862</v>
      </c>
      <c r="F928" s="110"/>
      <c r="G928" s="119" t="s">
        <v>73</v>
      </c>
      <c r="H928" s="151">
        <v>17660.0</v>
      </c>
      <c r="I928" s="152">
        <v>493.0</v>
      </c>
      <c r="J928" s="153">
        <v>10.74</v>
      </c>
      <c r="K928" s="152">
        <v>2.63</v>
      </c>
      <c r="L928" s="152">
        <v>0.578</v>
      </c>
      <c r="M928" s="154">
        <v>0.598</v>
      </c>
      <c r="N928" s="155">
        <v>13.55</v>
      </c>
      <c r="O928" s="153">
        <v>2.38</v>
      </c>
      <c r="P928" s="156">
        <v>84.07</v>
      </c>
      <c r="Q928" s="118" t="s">
        <v>469</v>
      </c>
      <c r="R928" s="86">
        <f t="shared" si="1"/>
        <v>189668.4</v>
      </c>
      <c r="S928" s="86">
        <f t="shared" si="2"/>
        <v>46445.8</v>
      </c>
      <c r="T928" s="86">
        <f t="shared" si="3"/>
        <v>10207.48</v>
      </c>
      <c r="U928" s="86">
        <f t="shared" si="4"/>
        <v>10560.68</v>
      </c>
      <c r="V928" s="86">
        <f t="shared" si="5"/>
        <v>239293</v>
      </c>
      <c r="W928" s="86">
        <f t="shared" si="6"/>
        <v>42030.8</v>
      </c>
      <c r="X928" s="86">
        <f t="shared" si="7"/>
        <v>1484676.2</v>
      </c>
    </row>
    <row r="929" ht="12.0" customHeight="1">
      <c r="A9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29" s="87" t="str">
        <f>IFERROR(__xludf.DUMMYFUNCTION("IFERROR(IF(F929&lt;&gt;"""",""WHSE ""&amp;LEFT(F929,1),REGEXEXTRACT(E929,""-(?:\d{2}-)?([A-Z]+)"")),"""")
"),"WHSE D")</f>
        <v>WHSE D</v>
      </c>
      <c r="C929" s="117">
        <v>46101.0</v>
      </c>
      <c r="D929" s="157" t="s">
        <v>863</v>
      </c>
      <c r="E929" s="87" t="s">
        <v>864</v>
      </c>
      <c r="F929" s="87" t="s">
        <v>865</v>
      </c>
      <c r="G929" s="119" t="s">
        <v>866</v>
      </c>
      <c r="H929" s="158">
        <v>5390.0</v>
      </c>
      <c r="I929" s="146">
        <v>171.0</v>
      </c>
      <c r="J929" s="147">
        <v>11.67</v>
      </c>
      <c r="K929" s="146">
        <v>2.48</v>
      </c>
      <c r="L929" s="146">
        <v>0.571</v>
      </c>
      <c r="M929" s="148">
        <v>0.591</v>
      </c>
      <c r="N929" s="132">
        <v>14.39</v>
      </c>
      <c r="O929" s="147">
        <v>2.46</v>
      </c>
      <c r="P929" s="149">
        <v>83.15</v>
      </c>
      <c r="Q929" s="109"/>
      <c r="R929" s="103">
        <f t="shared" si="1"/>
        <v>62901.3</v>
      </c>
      <c r="S929" s="103">
        <f t="shared" si="2"/>
        <v>13367.2</v>
      </c>
      <c r="T929" s="103">
        <f t="shared" si="3"/>
        <v>3077.69</v>
      </c>
      <c r="U929" s="103">
        <f t="shared" si="4"/>
        <v>3185.49</v>
      </c>
      <c r="V929" s="103">
        <f t="shared" si="5"/>
        <v>77562.1</v>
      </c>
      <c r="W929" s="103">
        <f t="shared" si="6"/>
        <v>13259.4</v>
      </c>
      <c r="X929" s="103">
        <f t="shared" si="7"/>
        <v>448178.5</v>
      </c>
    </row>
    <row r="930" ht="12.0" customHeight="1">
      <c r="A9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30" s="87" t="str">
        <f>IFERROR(__xludf.DUMMYFUNCTION("IFERROR(IF(F930&lt;&gt;"""",""WHSE ""&amp;LEFT(F930,1),REGEXEXTRACT(E930,""-(?:\d{2}-)?([A-Z]+)"")),"""")
"),"WHSE D")</f>
        <v>WHSE D</v>
      </c>
      <c r="C930" s="117">
        <v>46101.0</v>
      </c>
      <c r="D930" s="157" t="s">
        <v>863</v>
      </c>
      <c r="E930" s="87" t="s">
        <v>864</v>
      </c>
      <c r="F930" s="87" t="s">
        <v>865</v>
      </c>
      <c r="G930" s="119" t="s">
        <v>867</v>
      </c>
      <c r="H930" s="158">
        <v>6080.0</v>
      </c>
      <c r="I930" s="146">
        <v>217.0</v>
      </c>
      <c r="J930" s="147">
        <v>11.87</v>
      </c>
      <c r="K930" s="146">
        <v>2.42</v>
      </c>
      <c r="L930" s="146">
        <v>0.575</v>
      </c>
      <c r="M930" s="148">
        <v>0.595</v>
      </c>
      <c r="N930" s="132">
        <v>13.78</v>
      </c>
      <c r="O930" s="147">
        <v>2.72</v>
      </c>
      <c r="P930" s="149">
        <v>83.5</v>
      </c>
      <c r="Q930" s="109"/>
      <c r="R930" s="103">
        <f t="shared" si="1"/>
        <v>72169.6</v>
      </c>
      <c r="S930" s="103">
        <f t="shared" si="2"/>
        <v>14713.6</v>
      </c>
      <c r="T930" s="103">
        <f t="shared" si="3"/>
        <v>3496</v>
      </c>
      <c r="U930" s="103">
        <f t="shared" si="4"/>
        <v>3617.6</v>
      </c>
      <c r="V930" s="103">
        <f t="shared" si="5"/>
        <v>83782.4</v>
      </c>
      <c r="W930" s="103">
        <f t="shared" si="6"/>
        <v>16537.6</v>
      </c>
      <c r="X930" s="103">
        <f t="shared" si="7"/>
        <v>507680</v>
      </c>
    </row>
    <row r="931" ht="12.0" customHeight="1">
      <c r="A9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31" s="87" t="str">
        <f>IFERROR(__xludf.DUMMYFUNCTION("IFERROR(IF(F931&lt;&gt;"""",""WHSE ""&amp;LEFT(F931,1),REGEXEXTRACT(E931,""-(?:\d{2}-)?([A-Z]+)"")),"""")
"),"WHSE D")</f>
        <v>WHSE D</v>
      </c>
      <c r="C931" s="117">
        <v>46101.0</v>
      </c>
      <c r="D931" s="157" t="s">
        <v>232</v>
      </c>
      <c r="E931" s="87" t="s">
        <v>845</v>
      </c>
      <c r="F931" s="87" t="s">
        <v>499</v>
      </c>
      <c r="G931" s="119" t="s">
        <v>235</v>
      </c>
      <c r="H931" s="158">
        <v>11226.0</v>
      </c>
      <c r="I931" s="146">
        <v>312.0</v>
      </c>
      <c r="J931" s="147">
        <v>11.14</v>
      </c>
      <c r="K931" s="146">
        <v>2.89</v>
      </c>
      <c r="L931" s="146">
        <v>0.575</v>
      </c>
      <c r="M931" s="148">
        <v>0.595</v>
      </c>
      <c r="N931" s="132">
        <v>15.6</v>
      </c>
      <c r="O931" s="147">
        <v>5.3</v>
      </c>
      <c r="P931" s="149">
        <v>79.1</v>
      </c>
      <c r="Q931" s="118" t="s">
        <v>868</v>
      </c>
      <c r="R931" s="86">
        <f t="shared" si="1"/>
        <v>125057.64</v>
      </c>
      <c r="S931" s="86">
        <f t="shared" si="2"/>
        <v>32443.14</v>
      </c>
      <c r="T931" s="86">
        <f t="shared" si="3"/>
        <v>6454.95</v>
      </c>
      <c r="U931" s="86">
        <f t="shared" si="4"/>
        <v>6679.47</v>
      </c>
      <c r="V931" s="86">
        <f t="shared" si="5"/>
        <v>175125.6</v>
      </c>
      <c r="W931" s="86">
        <f t="shared" si="6"/>
        <v>59497.8</v>
      </c>
      <c r="X931" s="86">
        <f t="shared" si="7"/>
        <v>887976.6</v>
      </c>
    </row>
    <row r="932" ht="12.0" customHeight="1">
      <c r="A9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32" s="87" t="str">
        <f>IFERROR(__xludf.DUMMYFUNCTION("IFERROR(IF(F932&lt;&gt;"""",""WHSE ""&amp;LEFT(F932,1),REGEXEXTRACT(E932,""-(?:\d{2}-)?([A-Z]+)"")),"""")
"),"WHSE D")</f>
        <v>WHSE D</v>
      </c>
      <c r="C932" s="117">
        <v>46101.0</v>
      </c>
      <c r="D932" s="157" t="s">
        <v>232</v>
      </c>
      <c r="E932" s="87" t="s">
        <v>853</v>
      </c>
      <c r="F932" s="87" t="s">
        <v>413</v>
      </c>
      <c r="G932" s="119" t="s">
        <v>869</v>
      </c>
      <c r="H932" s="158">
        <v>19480.0</v>
      </c>
      <c r="I932" s="146">
        <v>568.0</v>
      </c>
      <c r="J932" s="147">
        <v>10.8</v>
      </c>
      <c r="K932" s="146">
        <v>3.18</v>
      </c>
      <c r="L932" s="146">
        <v>0.556</v>
      </c>
      <c r="M932" s="148">
        <v>0.576</v>
      </c>
      <c r="N932" s="132">
        <v>12.34</v>
      </c>
      <c r="O932" s="147">
        <v>2.74</v>
      </c>
      <c r="P932" s="149">
        <v>84.92</v>
      </c>
      <c r="Q932" s="109"/>
      <c r="R932" s="103">
        <f t="shared" si="1"/>
        <v>210384</v>
      </c>
      <c r="S932" s="103">
        <f t="shared" si="2"/>
        <v>61946.4</v>
      </c>
      <c r="T932" s="103">
        <f t="shared" si="3"/>
        <v>10830.88</v>
      </c>
      <c r="U932" s="103">
        <f t="shared" si="4"/>
        <v>11220.48</v>
      </c>
      <c r="V932" s="103">
        <f t="shared" si="5"/>
        <v>240383.2</v>
      </c>
      <c r="W932" s="103">
        <f t="shared" si="6"/>
        <v>53375.2</v>
      </c>
      <c r="X932" s="103">
        <f t="shared" si="7"/>
        <v>1654241.6</v>
      </c>
    </row>
    <row r="933" ht="12.0" customHeight="1">
      <c r="A9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33" s="87" t="str">
        <f>IFERROR(__xludf.DUMMYFUNCTION("IFERROR(IF(F933&lt;&gt;"""",""WHSE ""&amp;LEFT(F933,1),REGEXEXTRACT(E933,""-(?:\d{2}-)?([A-Z]+)"")),"""")
"),"")</f>
        <v/>
      </c>
      <c r="C933" s="108"/>
      <c r="D933" s="109"/>
      <c r="E933" s="110"/>
      <c r="F933" s="110"/>
      <c r="G933" s="111"/>
      <c r="H933" s="145"/>
      <c r="I933" s="113"/>
      <c r="J933" s="114"/>
      <c r="K933" s="115"/>
      <c r="L933" s="115"/>
      <c r="M933" s="115"/>
      <c r="N933" s="116"/>
      <c r="O933" s="114"/>
      <c r="P933" s="116"/>
      <c r="Q933" s="109"/>
      <c r="R933" s="103">
        <f t="shared" si="1"/>
        <v>0</v>
      </c>
      <c r="S933" s="103">
        <f t="shared" si="2"/>
        <v>0</v>
      </c>
      <c r="T933" s="103">
        <f t="shared" si="3"/>
        <v>0</v>
      </c>
      <c r="U933" s="103">
        <f t="shared" si="4"/>
        <v>0</v>
      </c>
      <c r="V933" s="103">
        <f t="shared" si="5"/>
        <v>0</v>
      </c>
      <c r="W933" s="103">
        <f t="shared" si="6"/>
        <v>0</v>
      </c>
      <c r="X933" s="103">
        <f t="shared" si="7"/>
        <v>0</v>
      </c>
    </row>
    <row r="934" ht="12.0" customHeight="1">
      <c r="A9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34" s="87" t="str">
        <f>IFERROR(__xludf.DUMMYFUNCTION("IFERROR(IF(F934&lt;&gt;"""",""WHSE ""&amp;LEFT(F934,1),REGEXEXTRACT(E934,""-(?:\d{2}-)?([A-Z]+)"")),"""")
"),"WHSE P")</f>
        <v>WHSE P</v>
      </c>
      <c r="C934" s="117">
        <v>46102.0</v>
      </c>
      <c r="D934" s="118" t="s">
        <v>859</v>
      </c>
      <c r="E934" s="87" t="s">
        <v>860</v>
      </c>
      <c r="F934" s="87" t="s">
        <v>861</v>
      </c>
      <c r="G934" s="111"/>
      <c r="H934" s="145">
        <v>3190.0</v>
      </c>
      <c r="I934" s="121">
        <v>5.0</v>
      </c>
      <c r="J934" s="122">
        <v>9.14</v>
      </c>
      <c r="K934" s="146">
        <v>2.71</v>
      </c>
      <c r="L934" s="146">
        <v>0.571</v>
      </c>
      <c r="M934" s="148">
        <v>0.591</v>
      </c>
      <c r="N934" s="132">
        <v>12.05</v>
      </c>
      <c r="O934" s="147">
        <v>3.99</v>
      </c>
      <c r="P934" s="149">
        <v>83.96</v>
      </c>
      <c r="Q934" s="109"/>
      <c r="R934" s="103">
        <f t="shared" si="1"/>
        <v>29156.6</v>
      </c>
      <c r="S934" s="103">
        <f t="shared" si="2"/>
        <v>8644.9</v>
      </c>
      <c r="T934" s="103">
        <f t="shared" si="3"/>
        <v>1821.49</v>
      </c>
      <c r="U934" s="103">
        <f t="shared" si="4"/>
        <v>1885.29</v>
      </c>
      <c r="V934" s="103">
        <f t="shared" si="5"/>
        <v>38439.5</v>
      </c>
      <c r="W934" s="103">
        <f t="shared" si="6"/>
        <v>12728.1</v>
      </c>
      <c r="X934" s="103">
        <f t="shared" si="7"/>
        <v>267832.4</v>
      </c>
    </row>
    <row r="935" ht="12.0" customHeight="1">
      <c r="A9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35" s="87" t="str">
        <f>IFERROR(__xludf.DUMMYFUNCTION("IFERROR(IF(F935&lt;&gt;"""",""WHSE ""&amp;LEFT(F935,1),REGEXEXTRACT(E935,""-(?:\d{2}-)?([A-Z]+)"")),"""")
"),"WHSE D")</f>
        <v>WHSE D</v>
      </c>
      <c r="C935" s="117">
        <v>46102.0</v>
      </c>
      <c r="D935" s="157" t="s">
        <v>232</v>
      </c>
      <c r="E935" s="87" t="s">
        <v>845</v>
      </c>
      <c r="F935" s="87" t="s">
        <v>499</v>
      </c>
      <c r="G935" s="119" t="s">
        <v>235</v>
      </c>
      <c r="H935" s="158">
        <v>11680.0</v>
      </c>
      <c r="I935" s="146">
        <v>362.0</v>
      </c>
      <c r="J935" s="147">
        <v>10.34</v>
      </c>
      <c r="K935" s="146">
        <v>3.12</v>
      </c>
      <c r="L935" s="146">
        <v>0.568</v>
      </c>
      <c r="M935" s="148">
        <v>0.588</v>
      </c>
      <c r="N935" s="132">
        <v>12.72</v>
      </c>
      <c r="O935" s="147">
        <v>4.68</v>
      </c>
      <c r="P935" s="149">
        <v>82.6</v>
      </c>
      <c r="Q935" s="109"/>
      <c r="R935" s="103">
        <f t="shared" si="1"/>
        <v>120771.2</v>
      </c>
      <c r="S935" s="103">
        <f t="shared" si="2"/>
        <v>36441.6</v>
      </c>
      <c r="T935" s="103">
        <f t="shared" si="3"/>
        <v>6634.24</v>
      </c>
      <c r="U935" s="103">
        <f t="shared" si="4"/>
        <v>6867.84</v>
      </c>
      <c r="V935" s="103">
        <f t="shared" si="5"/>
        <v>148569.6</v>
      </c>
      <c r="W935" s="103">
        <f t="shared" si="6"/>
        <v>54662.4</v>
      </c>
      <c r="X935" s="103">
        <f t="shared" si="7"/>
        <v>964768</v>
      </c>
    </row>
    <row r="936" ht="12.0" customHeight="1">
      <c r="A9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36" s="87" t="str">
        <f>IFERROR(__xludf.DUMMYFUNCTION("IFERROR(IF(F936&lt;&gt;"""",""WHSE ""&amp;LEFT(F936,1),REGEXEXTRACT(E936,""-(?:\d{2}-)?([A-Z]+)"")),"""")
"),"WHSE A")</f>
        <v>WHSE A</v>
      </c>
      <c r="C936" s="117">
        <v>46102.0</v>
      </c>
      <c r="D936" s="118" t="s">
        <v>72</v>
      </c>
      <c r="E936" s="87" t="s">
        <v>841</v>
      </c>
      <c r="F936" s="87" t="s">
        <v>620</v>
      </c>
      <c r="G936" s="119" t="s">
        <v>77</v>
      </c>
      <c r="H936" s="158">
        <v>17690.0</v>
      </c>
      <c r="I936" s="146">
        <v>463.0</v>
      </c>
      <c r="J936" s="147">
        <v>11.74</v>
      </c>
      <c r="K936" s="146">
        <v>2.57</v>
      </c>
      <c r="L936" s="146">
        <v>0.571</v>
      </c>
      <c r="M936" s="148">
        <v>0.591</v>
      </c>
      <c r="N936" s="132">
        <v>12.27</v>
      </c>
      <c r="O936" s="147">
        <v>2.79</v>
      </c>
      <c r="P936" s="149">
        <v>84.94</v>
      </c>
      <c r="Q936" s="109"/>
      <c r="R936" s="103">
        <f t="shared" si="1"/>
        <v>207680.6</v>
      </c>
      <c r="S936" s="103">
        <f t="shared" si="2"/>
        <v>45463.3</v>
      </c>
      <c r="T936" s="103">
        <f t="shared" si="3"/>
        <v>10100.99</v>
      </c>
      <c r="U936" s="103">
        <f t="shared" si="4"/>
        <v>10454.79</v>
      </c>
      <c r="V936" s="103">
        <f t="shared" si="5"/>
        <v>217056.3</v>
      </c>
      <c r="W936" s="103">
        <f t="shared" si="6"/>
        <v>49355.1</v>
      </c>
      <c r="X936" s="103">
        <f t="shared" si="7"/>
        <v>1502588.6</v>
      </c>
    </row>
    <row r="937" ht="12.0" customHeight="1">
      <c r="A9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37" s="87" t="str">
        <f>IFERROR(__xludf.DUMMYFUNCTION("IFERROR(IF(F937&lt;&gt;"""",""WHSE ""&amp;LEFT(F937,1),REGEXEXTRACT(E937,""-(?:\d{2}-)?([A-Z]+)"")),"""")
"),"WHSE A")</f>
        <v>WHSE A</v>
      </c>
      <c r="C937" s="117">
        <v>46102.0</v>
      </c>
      <c r="D937" s="118" t="s">
        <v>72</v>
      </c>
      <c r="E937" s="87" t="s">
        <v>870</v>
      </c>
      <c r="F937" s="87" t="s">
        <v>871</v>
      </c>
      <c r="G937" s="119" t="s">
        <v>73</v>
      </c>
      <c r="H937" s="158">
        <v>18425.0</v>
      </c>
      <c r="I937" s="146">
        <v>459.0</v>
      </c>
      <c r="J937" s="147">
        <v>11.6</v>
      </c>
      <c r="K937" s="146">
        <v>2.68</v>
      </c>
      <c r="L937" s="146">
        <v>0.578</v>
      </c>
      <c r="M937" s="148">
        <v>0.598</v>
      </c>
      <c r="N937" s="132">
        <v>11.94</v>
      </c>
      <c r="O937" s="147">
        <v>2.87</v>
      </c>
      <c r="P937" s="149">
        <v>85.19</v>
      </c>
      <c r="Q937" s="109"/>
      <c r="R937" s="103">
        <f t="shared" si="1"/>
        <v>213730</v>
      </c>
      <c r="S937" s="103">
        <f t="shared" si="2"/>
        <v>49379</v>
      </c>
      <c r="T937" s="103">
        <f t="shared" si="3"/>
        <v>10649.65</v>
      </c>
      <c r="U937" s="103">
        <f t="shared" si="4"/>
        <v>11018.15</v>
      </c>
      <c r="V937" s="103">
        <f t="shared" si="5"/>
        <v>219994.5</v>
      </c>
      <c r="W937" s="103">
        <f t="shared" si="6"/>
        <v>52879.75</v>
      </c>
      <c r="X937" s="103">
        <f t="shared" si="7"/>
        <v>1569625.75</v>
      </c>
    </row>
    <row r="938" ht="12.0" customHeight="1">
      <c r="A9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38" s="87" t="str">
        <f>IFERROR(__xludf.DUMMYFUNCTION("IFERROR(IF(F938&lt;&gt;"""",""WHSE ""&amp;LEFT(F938,1),REGEXEXTRACT(E938,""-(?:\d{2}-)?([A-Z]+)"")),"""")
"),"WHSE D")</f>
        <v>WHSE D</v>
      </c>
      <c r="C938" s="117">
        <v>46102.0</v>
      </c>
      <c r="D938" s="118" t="s">
        <v>60</v>
      </c>
      <c r="E938" s="87" t="s">
        <v>872</v>
      </c>
      <c r="F938" s="87" t="s">
        <v>594</v>
      </c>
      <c r="G938" s="119" t="s">
        <v>514</v>
      </c>
      <c r="H938" s="158">
        <v>11144.0</v>
      </c>
      <c r="I938" s="146">
        <v>235.0</v>
      </c>
      <c r="J938" s="147">
        <v>15.6</v>
      </c>
      <c r="K938" s="146">
        <v>2.32</v>
      </c>
      <c r="L938" s="146">
        <v>0.575</v>
      </c>
      <c r="M938" s="148">
        <v>0.595</v>
      </c>
      <c r="N938" s="132">
        <v>11.66</v>
      </c>
      <c r="O938" s="147">
        <v>3.55</v>
      </c>
      <c r="P938" s="149">
        <v>84.79</v>
      </c>
      <c r="Q938" s="118" t="s">
        <v>873</v>
      </c>
      <c r="R938" s="86">
        <f t="shared" si="1"/>
        <v>173846.4</v>
      </c>
      <c r="S938" s="86">
        <f t="shared" si="2"/>
        <v>25854.08</v>
      </c>
      <c r="T938" s="86">
        <f t="shared" si="3"/>
        <v>6407.8</v>
      </c>
      <c r="U938" s="86">
        <f t="shared" si="4"/>
        <v>6630.68</v>
      </c>
      <c r="V938" s="86">
        <f t="shared" si="5"/>
        <v>129939.04</v>
      </c>
      <c r="W938" s="86">
        <f t="shared" si="6"/>
        <v>39561.2</v>
      </c>
      <c r="X938" s="86">
        <f t="shared" si="7"/>
        <v>944899.76</v>
      </c>
    </row>
    <row r="939" ht="12.0" customHeight="1">
      <c r="A9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39" s="87" t="str">
        <f>IFERROR(__xludf.DUMMYFUNCTION("IFERROR(IF(F939&lt;&gt;"""",""WHSE ""&amp;LEFT(F939,1),REGEXEXTRACT(E939,""-(?:\d{2}-)?([A-Z]+)"")),"""")
"),"")</f>
        <v/>
      </c>
      <c r="C939" s="108"/>
      <c r="D939" s="109"/>
      <c r="E939" s="110"/>
      <c r="F939" s="110"/>
      <c r="G939" s="111"/>
      <c r="H939" s="158"/>
      <c r="I939" s="113"/>
      <c r="J939" s="114"/>
      <c r="K939" s="115"/>
      <c r="L939" s="115"/>
      <c r="M939" s="115"/>
      <c r="N939" s="116"/>
      <c r="O939" s="114"/>
      <c r="P939" s="116"/>
      <c r="Q939" s="109"/>
      <c r="R939" s="103">
        <f t="shared" si="1"/>
        <v>0</v>
      </c>
      <c r="S939" s="103">
        <f t="shared" si="2"/>
        <v>0</v>
      </c>
      <c r="T939" s="103">
        <f t="shared" si="3"/>
        <v>0</v>
      </c>
      <c r="U939" s="103">
        <f t="shared" si="4"/>
        <v>0</v>
      </c>
      <c r="V939" s="103">
        <f t="shared" si="5"/>
        <v>0</v>
      </c>
      <c r="W939" s="103">
        <f t="shared" si="6"/>
        <v>0</v>
      </c>
      <c r="X939" s="103">
        <f t="shared" si="7"/>
        <v>0</v>
      </c>
    </row>
    <row r="940" ht="12.0" customHeight="1">
      <c r="A9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40" s="87" t="str">
        <f>IFERROR(__xludf.DUMMYFUNCTION("IFERROR(IF(F940&lt;&gt;"""",""WHSE ""&amp;LEFT(F940,1),REGEXEXTRACT(E940,""-(?:\d{2}-)?([A-Z]+)"")),"""")
"),"WHSE P")</f>
        <v>WHSE P</v>
      </c>
      <c r="C940" s="117">
        <v>46104.0</v>
      </c>
      <c r="D940" s="118" t="s">
        <v>859</v>
      </c>
      <c r="E940" s="87" t="s">
        <v>860</v>
      </c>
      <c r="F940" s="87" t="s">
        <v>861</v>
      </c>
      <c r="G940" s="111"/>
      <c r="H940" s="120">
        <v>6320.0</v>
      </c>
      <c r="I940" s="159">
        <v>12.0</v>
      </c>
      <c r="J940" s="160">
        <v>9.07</v>
      </c>
      <c r="K940" s="146">
        <v>2.71</v>
      </c>
      <c r="L940" s="146">
        <v>0.571</v>
      </c>
      <c r="M940" s="148">
        <v>0.591</v>
      </c>
      <c r="N940" s="132">
        <v>12.05</v>
      </c>
      <c r="O940" s="147">
        <v>3.99</v>
      </c>
      <c r="P940" s="149">
        <v>83.96</v>
      </c>
      <c r="Q940" s="109"/>
      <c r="R940" s="103">
        <f t="shared" si="1"/>
        <v>57322.4</v>
      </c>
      <c r="S940" s="103">
        <f t="shared" si="2"/>
        <v>17127.2</v>
      </c>
      <c r="T940" s="103">
        <f t="shared" si="3"/>
        <v>3608.72</v>
      </c>
      <c r="U940" s="103">
        <f t="shared" si="4"/>
        <v>3735.12</v>
      </c>
      <c r="V940" s="103">
        <f t="shared" si="5"/>
        <v>76156</v>
      </c>
      <c r="W940" s="103">
        <f t="shared" si="6"/>
        <v>25216.8</v>
      </c>
      <c r="X940" s="103">
        <f t="shared" si="7"/>
        <v>530627.2</v>
      </c>
    </row>
    <row r="941" ht="12.0" customHeight="1">
      <c r="A9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41" s="87" t="str">
        <f>IFERROR(__xludf.DUMMYFUNCTION("IFERROR(IF(F941&lt;&gt;"""",""WHSE ""&amp;LEFT(F941,1),REGEXEXTRACT(E941,""-(?:\d{2}-)?([A-Z]+)"")),"""")
"),"WHSE D")</f>
        <v>WHSE D</v>
      </c>
      <c r="C941" s="117">
        <v>46104.0</v>
      </c>
      <c r="D941" s="118" t="s">
        <v>304</v>
      </c>
      <c r="E941" s="87" t="s">
        <v>864</v>
      </c>
      <c r="F941" s="87" t="s">
        <v>865</v>
      </c>
      <c r="G941" s="119" t="s">
        <v>305</v>
      </c>
      <c r="H941" s="120">
        <v>18860.0</v>
      </c>
      <c r="I941" s="146">
        <v>478.0</v>
      </c>
      <c r="J941" s="147">
        <v>10.94</v>
      </c>
      <c r="K941" s="146">
        <v>2.6</v>
      </c>
      <c r="L941" s="146">
        <v>0.581</v>
      </c>
      <c r="M941" s="148">
        <v>0.601</v>
      </c>
      <c r="N941" s="132">
        <v>12.23</v>
      </c>
      <c r="O941" s="147">
        <v>2.64</v>
      </c>
      <c r="P941" s="149">
        <v>85.13</v>
      </c>
      <c r="Q941" s="109"/>
      <c r="R941" s="103">
        <f t="shared" si="1"/>
        <v>206328.4</v>
      </c>
      <c r="S941" s="103">
        <f t="shared" si="2"/>
        <v>49036</v>
      </c>
      <c r="T941" s="103">
        <f t="shared" si="3"/>
        <v>10957.66</v>
      </c>
      <c r="U941" s="103">
        <f t="shared" si="4"/>
        <v>11334.86</v>
      </c>
      <c r="V941" s="103">
        <f t="shared" si="5"/>
        <v>230657.8</v>
      </c>
      <c r="W941" s="103">
        <f t="shared" si="6"/>
        <v>49790.4</v>
      </c>
      <c r="X941" s="103">
        <f t="shared" si="7"/>
        <v>1605551.8</v>
      </c>
    </row>
    <row r="942" ht="12.0" customHeight="1">
      <c r="A9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42" s="87" t="str">
        <f>IFERROR(__xludf.DUMMYFUNCTION("IFERROR(IF(F942&lt;&gt;"""",""WHSE ""&amp;LEFT(F942,1),REGEXEXTRACT(E942,""-(?:\d{2}-)?([A-Z]+)"")),"""")
"),"WHSE D")</f>
        <v>WHSE D</v>
      </c>
      <c r="C942" s="117">
        <v>46104.0</v>
      </c>
      <c r="D942" s="118" t="s">
        <v>279</v>
      </c>
      <c r="E942" s="87" t="s">
        <v>864</v>
      </c>
      <c r="F942" s="87" t="s">
        <v>865</v>
      </c>
      <c r="G942" s="125" t="s">
        <v>874</v>
      </c>
      <c r="H942" s="120">
        <v>6310.0</v>
      </c>
      <c r="I942" s="146">
        <v>131.0</v>
      </c>
      <c r="J942" s="147">
        <v>11.8</v>
      </c>
      <c r="K942" s="146">
        <v>2.64</v>
      </c>
      <c r="L942" s="146">
        <v>0.585</v>
      </c>
      <c r="M942" s="148">
        <v>0.605</v>
      </c>
      <c r="N942" s="132">
        <v>12.44</v>
      </c>
      <c r="O942" s="147">
        <v>3.33</v>
      </c>
      <c r="P942" s="149">
        <v>84.23</v>
      </c>
      <c r="Q942" s="109"/>
      <c r="R942" s="103">
        <f t="shared" si="1"/>
        <v>74458</v>
      </c>
      <c r="S942" s="103">
        <f t="shared" si="2"/>
        <v>16658.4</v>
      </c>
      <c r="T942" s="103">
        <f t="shared" si="3"/>
        <v>3691.35</v>
      </c>
      <c r="U942" s="103">
        <f t="shared" si="4"/>
        <v>3817.55</v>
      </c>
      <c r="V942" s="103">
        <f t="shared" si="5"/>
        <v>78496.4</v>
      </c>
      <c r="W942" s="103">
        <f t="shared" si="6"/>
        <v>21012.3</v>
      </c>
      <c r="X942" s="103">
        <f t="shared" si="7"/>
        <v>531491.3</v>
      </c>
    </row>
    <row r="943" ht="12.0" customHeight="1">
      <c r="A9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43" s="87" t="str">
        <f>IFERROR(__xludf.DUMMYFUNCTION("IFERROR(IF(F943&lt;&gt;"""",""WHSE ""&amp;LEFT(F943,1),REGEXEXTRACT(E943,""-(?:\d{2}-)?([A-Z]+)"")),"""")
"),"")</f>
        <v/>
      </c>
      <c r="C943" s="108"/>
      <c r="D943" s="109"/>
      <c r="E943" s="110"/>
      <c r="F943" s="110"/>
      <c r="G943" s="111"/>
      <c r="H943" s="112"/>
      <c r="I943" s="161"/>
      <c r="J943" s="162"/>
      <c r="K943" s="163"/>
      <c r="L943" s="163"/>
      <c r="M943" s="163"/>
      <c r="N943" s="164"/>
      <c r="O943" s="162"/>
      <c r="P943" s="164"/>
      <c r="Q943" s="109"/>
      <c r="R943" s="103">
        <f t="shared" si="1"/>
        <v>0</v>
      </c>
      <c r="S943" s="103">
        <f t="shared" si="2"/>
        <v>0</v>
      </c>
      <c r="T943" s="103">
        <f t="shared" si="3"/>
        <v>0</v>
      </c>
      <c r="U943" s="103">
        <f t="shared" si="4"/>
        <v>0</v>
      </c>
      <c r="V943" s="103">
        <f t="shared" si="5"/>
        <v>0</v>
      </c>
      <c r="W943" s="103">
        <f t="shared" si="6"/>
        <v>0</v>
      </c>
      <c r="X943" s="103">
        <f t="shared" si="7"/>
        <v>0</v>
      </c>
    </row>
    <row r="944" ht="12.0" customHeight="1">
      <c r="A9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44" s="87" t="str">
        <f>IFERROR(__xludf.DUMMYFUNCTION("IFERROR(IF(F944&lt;&gt;"""",""WHSE ""&amp;LEFT(F944,1),REGEXEXTRACT(E944,""-(?:\d{2}-)?([A-Z]+)"")),"""")
"),"FEED")</f>
        <v>FEED</v>
      </c>
      <c r="C944" s="117">
        <v>46105.0</v>
      </c>
      <c r="D944" s="118" t="s">
        <v>286</v>
      </c>
      <c r="E944" s="87" t="s">
        <v>875</v>
      </c>
      <c r="F944" s="110"/>
      <c r="G944" s="125" t="s">
        <v>77</v>
      </c>
      <c r="H944" s="158">
        <v>17945.0</v>
      </c>
      <c r="I944" s="146">
        <v>471.0</v>
      </c>
      <c r="J944" s="147">
        <v>11.4</v>
      </c>
      <c r="K944" s="146">
        <v>2.6</v>
      </c>
      <c r="L944" s="146">
        <v>0.578</v>
      </c>
      <c r="M944" s="148">
        <v>0.598</v>
      </c>
      <c r="N944" s="132">
        <v>13.44</v>
      </c>
      <c r="O944" s="147">
        <v>3.14</v>
      </c>
      <c r="P944" s="149">
        <v>83.42</v>
      </c>
      <c r="Q944" s="109"/>
      <c r="R944" s="103">
        <f t="shared" si="1"/>
        <v>204573</v>
      </c>
      <c r="S944" s="103">
        <f t="shared" si="2"/>
        <v>46657</v>
      </c>
      <c r="T944" s="103">
        <f t="shared" si="3"/>
        <v>10372.21</v>
      </c>
      <c r="U944" s="103">
        <f t="shared" si="4"/>
        <v>10731.11</v>
      </c>
      <c r="V944" s="103">
        <f t="shared" si="5"/>
        <v>241180.8</v>
      </c>
      <c r="W944" s="103">
        <f t="shared" si="6"/>
        <v>56347.3</v>
      </c>
      <c r="X944" s="103">
        <f t="shared" si="7"/>
        <v>1496971.9</v>
      </c>
    </row>
    <row r="945" ht="12.0" customHeight="1">
      <c r="A9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45" s="87" t="str">
        <f>IFERROR(__xludf.DUMMYFUNCTION("IFERROR(IF(F945&lt;&gt;"""",""WHSE ""&amp;LEFT(F945,1),REGEXEXTRACT(E945,""-(?:\d{2}-)?([A-Z]+)"")),"""")
"),"WHSE A")</f>
        <v>WHSE A</v>
      </c>
      <c r="C945" s="117">
        <v>46105.0</v>
      </c>
      <c r="D945" s="118" t="s">
        <v>72</v>
      </c>
      <c r="E945" s="87" t="s">
        <v>870</v>
      </c>
      <c r="F945" s="87" t="s">
        <v>871</v>
      </c>
      <c r="G945" s="125" t="s">
        <v>73</v>
      </c>
      <c r="H945" s="158">
        <v>19240.0</v>
      </c>
      <c r="I945" s="146">
        <v>474.0</v>
      </c>
      <c r="J945" s="147">
        <v>11.6</v>
      </c>
      <c r="K945" s="146">
        <v>2.5</v>
      </c>
      <c r="L945" s="146">
        <v>0.575</v>
      </c>
      <c r="M945" s="148">
        <v>0.595</v>
      </c>
      <c r="N945" s="132">
        <v>12.39</v>
      </c>
      <c r="O945" s="147">
        <v>3.64</v>
      </c>
      <c r="P945" s="149">
        <v>83.97</v>
      </c>
      <c r="Q945" s="109"/>
      <c r="R945" s="103">
        <f t="shared" si="1"/>
        <v>223184</v>
      </c>
      <c r="S945" s="103">
        <f t="shared" si="2"/>
        <v>48100</v>
      </c>
      <c r="T945" s="103">
        <f t="shared" si="3"/>
        <v>11063</v>
      </c>
      <c r="U945" s="103">
        <f t="shared" si="4"/>
        <v>11447.8</v>
      </c>
      <c r="V945" s="103">
        <f t="shared" si="5"/>
        <v>238383.6</v>
      </c>
      <c r="W945" s="103">
        <f t="shared" si="6"/>
        <v>70033.6</v>
      </c>
      <c r="X945" s="103">
        <f t="shared" si="7"/>
        <v>1615582.8</v>
      </c>
    </row>
    <row r="946" ht="12.0" customHeight="1">
      <c r="A9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46" s="87" t="str">
        <f>IFERROR(__xludf.DUMMYFUNCTION("IFERROR(IF(F946&lt;&gt;"""",""WHSE ""&amp;LEFT(F946,1),REGEXEXTRACT(E946,""-(?:\d{2}-)?([A-Z]+)"")),"""")
"),"WHSE D")</f>
        <v>WHSE D</v>
      </c>
      <c r="C946" s="117">
        <v>46105.0</v>
      </c>
      <c r="D946" s="118" t="s">
        <v>64</v>
      </c>
      <c r="E946" s="87" t="s">
        <v>876</v>
      </c>
      <c r="F946" s="87" t="s">
        <v>877</v>
      </c>
      <c r="G946" s="125" t="s">
        <v>65</v>
      </c>
      <c r="H946" s="158">
        <v>24355.0</v>
      </c>
      <c r="I946" s="146">
        <v>548.0</v>
      </c>
      <c r="J946" s="147">
        <v>11.94</v>
      </c>
      <c r="K946" s="146">
        <v>2.41</v>
      </c>
      <c r="L946" s="146">
        <v>0.575</v>
      </c>
      <c r="M946" s="148">
        <v>0.595</v>
      </c>
      <c r="N946" s="132">
        <v>13.14</v>
      </c>
      <c r="O946" s="147">
        <v>2.67</v>
      </c>
      <c r="P946" s="149">
        <v>84.19</v>
      </c>
      <c r="Q946" s="109"/>
      <c r="R946" s="103">
        <f t="shared" si="1"/>
        <v>290798.7</v>
      </c>
      <c r="S946" s="103">
        <f t="shared" si="2"/>
        <v>58695.55</v>
      </c>
      <c r="T946" s="103">
        <f t="shared" si="3"/>
        <v>14004.125</v>
      </c>
      <c r="U946" s="103">
        <f t="shared" si="4"/>
        <v>14491.225</v>
      </c>
      <c r="V946" s="103">
        <f t="shared" si="5"/>
        <v>320024.7</v>
      </c>
      <c r="W946" s="103">
        <f t="shared" si="6"/>
        <v>65027.85</v>
      </c>
      <c r="X946" s="103">
        <f t="shared" si="7"/>
        <v>2050447.45</v>
      </c>
    </row>
    <row r="947" ht="12.0" customHeight="1">
      <c r="A9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47" s="87" t="str">
        <f>IFERROR(__xludf.DUMMYFUNCTION("IFERROR(IF(F947&lt;&gt;"""",""WHSE ""&amp;LEFT(F947,1),REGEXEXTRACT(E947,""-(?:\d{2}-)?([A-Z]+)"")),"""")
"),"WHSE D")</f>
        <v>WHSE D</v>
      </c>
      <c r="C947" s="117">
        <v>46105.0</v>
      </c>
      <c r="D947" s="118" t="s">
        <v>232</v>
      </c>
      <c r="E947" s="87" t="s">
        <v>878</v>
      </c>
      <c r="F947" s="87" t="s">
        <v>879</v>
      </c>
      <c r="G947" s="125" t="s">
        <v>880</v>
      </c>
      <c r="H947" s="158">
        <v>18150.0</v>
      </c>
      <c r="I947" s="146">
        <v>630.0</v>
      </c>
      <c r="J947" s="147">
        <v>10.07</v>
      </c>
      <c r="K947" s="146">
        <v>3.52</v>
      </c>
      <c r="L947" s="146">
        <v>0.552</v>
      </c>
      <c r="M947" s="148">
        <v>0.572</v>
      </c>
      <c r="N947" s="132">
        <v>13.25</v>
      </c>
      <c r="O947" s="147">
        <v>3.94</v>
      </c>
      <c r="P947" s="149">
        <v>82.81</v>
      </c>
      <c r="Q947" s="109"/>
      <c r="R947" s="103">
        <f t="shared" si="1"/>
        <v>182770.5</v>
      </c>
      <c r="S947" s="103">
        <f t="shared" si="2"/>
        <v>63888</v>
      </c>
      <c r="T947" s="103">
        <f t="shared" si="3"/>
        <v>10018.8</v>
      </c>
      <c r="U947" s="103">
        <f t="shared" si="4"/>
        <v>10381.8</v>
      </c>
      <c r="V947" s="103">
        <f t="shared" si="5"/>
        <v>240487.5</v>
      </c>
      <c r="W947" s="103">
        <f t="shared" si="6"/>
        <v>71511</v>
      </c>
      <c r="X947" s="103">
        <f t="shared" si="7"/>
        <v>1503001.5</v>
      </c>
    </row>
    <row r="948" ht="12.0" customHeight="1">
      <c r="A9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48" s="87" t="str">
        <f>IFERROR(__xludf.DUMMYFUNCTION("IFERROR(IF(F948&lt;&gt;"""",""WHSE ""&amp;LEFT(F948,1),REGEXEXTRACT(E948,""-(?:\d{2}-)?([A-Z]+)"")),"""")
"),"WHSE D")</f>
        <v>WHSE D</v>
      </c>
      <c r="C948" s="117">
        <v>46105.0</v>
      </c>
      <c r="D948" s="118" t="s">
        <v>232</v>
      </c>
      <c r="E948" s="87" t="s">
        <v>881</v>
      </c>
      <c r="F948" s="87" t="s">
        <v>321</v>
      </c>
      <c r="G948" s="125" t="s">
        <v>732</v>
      </c>
      <c r="H948" s="158">
        <v>28150.0</v>
      </c>
      <c r="I948" s="146">
        <v>783.0</v>
      </c>
      <c r="J948" s="147">
        <v>10.6</v>
      </c>
      <c r="K948" s="146">
        <v>3.6</v>
      </c>
      <c r="L948" s="146">
        <v>0.546</v>
      </c>
      <c r="M948" s="148">
        <v>0.566</v>
      </c>
      <c r="N948" s="132">
        <v>11.46</v>
      </c>
      <c r="O948" s="147">
        <v>4.2</v>
      </c>
      <c r="P948" s="149">
        <v>84.34</v>
      </c>
      <c r="Q948" s="109"/>
      <c r="R948" s="103">
        <f t="shared" si="1"/>
        <v>298390</v>
      </c>
      <c r="S948" s="103">
        <f t="shared" si="2"/>
        <v>101340</v>
      </c>
      <c r="T948" s="103">
        <f t="shared" si="3"/>
        <v>15369.9</v>
      </c>
      <c r="U948" s="103">
        <f t="shared" si="4"/>
        <v>15932.9</v>
      </c>
      <c r="V948" s="103">
        <f t="shared" si="5"/>
        <v>322599</v>
      </c>
      <c r="W948" s="103">
        <f t="shared" si="6"/>
        <v>118230</v>
      </c>
      <c r="X948" s="103">
        <f t="shared" si="7"/>
        <v>2374171</v>
      </c>
    </row>
    <row r="949" ht="12.0" customHeight="1">
      <c r="A9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49" s="87" t="str">
        <f>IFERROR(__xludf.DUMMYFUNCTION("IFERROR(IF(F949&lt;&gt;"""",""WHSE ""&amp;LEFT(F949,1),REGEXEXTRACT(E949,""-(?:\d{2}-)?([A-Z]+)"")),"""")
"),"WHSE C")</f>
        <v>WHSE C</v>
      </c>
      <c r="C949" s="117">
        <v>46105.0</v>
      </c>
      <c r="D949" s="118" t="s">
        <v>232</v>
      </c>
      <c r="E949" s="87" t="s">
        <v>811</v>
      </c>
      <c r="F949" s="87" t="s">
        <v>812</v>
      </c>
      <c r="G949" s="125" t="s">
        <v>668</v>
      </c>
      <c r="H949" s="158">
        <v>10615.0</v>
      </c>
      <c r="I949" s="146">
        <v>314.0</v>
      </c>
      <c r="J949" s="147">
        <v>9.14</v>
      </c>
      <c r="K949" s="146">
        <v>3.73</v>
      </c>
      <c r="L949" s="146">
        <v>0.559</v>
      </c>
      <c r="M949" s="148">
        <v>0.579</v>
      </c>
      <c r="N949" s="132">
        <v>14.6</v>
      </c>
      <c r="O949" s="147">
        <v>2.88</v>
      </c>
      <c r="P949" s="149">
        <v>82.52</v>
      </c>
      <c r="Q949" s="109"/>
      <c r="R949" s="103">
        <f t="shared" si="1"/>
        <v>97021.1</v>
      </c>
      <c r="S949" s="103">
        <f t="shared" si="2"/>
        <v>39593.95</v>
      </c>
      <c r="T949" s="103">
        <f t="shared" si="3"/>
        <v>5933.785</v>
      </c>
      <c r="U949" s="103">
        <f t="shared" si="4"/>
        <v>6146.085</v>
      </c>
      <c r="V949" s="103">
        <f t="shared" si="5"/>
        <v>154979</v>
      </c>
      <c r="W949" s="103">
        <f t="shared" si="6"/>
        <v>30571.2</v>
      </c>
      <c r="X949" s="103">
        <f t="shared" si="7"/>
        <v>875949.8</v>
      </c>
    </row>
    <row r="950" ht="12.0" customHeight="1">
      <c r="A9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50" s="87" t="str">
        <f>IFERROR(__xludf.DUMMYFUNCTION("IFERROR(IF(F950&lt;&gt;"""",""WHSE ""&amp;LEFT(F950,1),REGEXEXTRACT(E950,""-(?:\d{2}-)?([A-Z]+)"")),"""")
"),"WHSE P")</f>
        <v>WHSE P</v>
      </c>
      <c r="C950" s="117">
        <v>46105.0</v>
      </c>
      <c r="D950" s="118" t="s">
        <v>859</v>
      </c>
      <c r="E950" s="87" t="s">
        <v>860</v>
      </c>
      <c r="F950" s="87" t="s">
        <v>861</v>
      </c>
      <c r="G950" s="111"/>
      <c r="H950" s="120">
        <v>8358.0</v>
      </c>
      <c r="I950" s="121">
        <v>15.0</v>
      </c>
      <c r="J950" s="122">
        <v>9.6</v>
      </c>
      <c r="K950" s="146">
        <v>2.71</v>
      </c>
      <c r="L950" s="146">
        <v>0.571</v>
      </c>
      <c r="M950" s="148">
        <v>0.591</v>
      </c>
      <c r="N950" s="132">
        <v>12.05</v>
      </c>
      <c r="O950" s="147">
        <v>3.99</v>
      </c>
      <c r="P950" s="149">
        <v>83.96</v>
      </c>
      <c r="Q950" s="109"/>
      <c r="R950" s="103">
        <f t="shared" si="1"/>
        <v>80236.8</v>
      </c>
      <c r="S950" s="103">
        <f t="shared" si="2"/>
        <v>22650.18</v>
      </c>
      <c r="T950" s="103">
        <f t="shared" si="3"/>
        <v>4772.418</v>
      </c>
      <c r="U950" s="103">
        <f t="shared" si="4"/>
        <v>4939.578</v>
      </c>
      <c r="V950" s="103">
        <f t="shared" si="5"/>
        <v>100713.9</v>
      </c>
      <c r="W950" s="103">
        <f t="shared" si="6"/>
        <v>33348.42</v>
      </c>
      <c r="X950" s="103">
        <f t="shared" si="7"/>
        <v>701737.68</v>
      </c>
    </row>
    <row r="951" ht="12.0" customHeight="1">
      <c r="A9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51" s="87" t="str">
        <f>IFERROR(__xludf.DUMMYFUNCTION("IFERROR(IF(F951&lt;&gt;"""",""WHSE ""&amp;LEFT(F951,1),REGEXEXTRACT(E951,""-(?:\d{2}-)?([A-Z]+)"")),"""")
"),"")</f>
        <v/>
      </c>
      <c r="C951" s="108"/>
      <c r="D951" s="109"/>
      <c r="E951" s="110"/>
      <c r="F951" s="110"/>
      <c r="G951" s="111"/>
      <c r="H951" s="112"/>
      <c r="I951" s="113"/>
      <c r="J951" s="114"/>
      <c r="K951" s="115"/>
      <c r="L951" s="115"/>
      <c r="M951" s="115"/>
      <c r="N951" s="116"/>
      <c r="O951" s="114"/>
      <c r="P951" s="116"/>
      <c r="Q951" s="109"/>
      <c r="R951" s="103">
        <f t="shared" si="1"/>
        <v>0</v>
      </c>
      <c r="S951" s="103">
        <f t="shared" si="2"/>
        <v>0</v>
      </c>
      <c r="T951" s="103">
        <f t="shared" si="3"/>
        <v>0</v>
      </c>
      <c r="U951" s="103">
        <f t="shared" si="4"/>
        <v>0</v>
      </c>
      <c r="V951" s="103">
        <f t="shared" si="5"/>
        <v>0</v>
      </c>
      <c r="W951" s="103">
        <f t="shared" si="6"/>
        <v>0</v>
      </c>
      <c r="X951" s="103">
        <f t="shared" si="7"/>
        <v>0</v>
      </c>
    </row>
    <row r="952" ht="12.0" customHeight="1">
      <c r="A9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52" s="87" t="str">
        <f>IFERROR(__xludf.DUMMYFUNCTION("IFERROR(IF(F952&lt;&gt;"""",""WHSE ""&amp;LEFT(F952,1),REGEXEXTRACT(E952,""-(?:\d{2}-)?([A-Z]+)"")),"""")
"),"WHSE A")</f>
        <v>WHSE A</v>
      </c>
      <c r="C952" s="117">
        <v>46106.0</v>
      </c>
      <c r="D952" s="118" t="s">
        <v>72</v>
      </c>
      <c r="E952" s="87" t="s">
        <v>870</v>
      </c>
      <c r="F952" s="87" t="s">
        <v>871</v>
      </c>
      <c r="G952" s="125" t="s">
        <v>77</v>
      </c>
      <c r="H952" s="158">
        <v>17800.0</v>
      </c>
      <c r="I952" s="146">
        <v>426.0</v>
      </c>
      <c r="J952" s="147">
        <v>11.8</v>
      </c>
      <c r="K952" s="146">
        <v>2.49</v>
      </c>
      <c r="L952" s="146">
        <v>0.575</v>
      </c>
      <c r="M952" s="148">
        <v>0.595</v>
      </c>
      <c r="N952" s="132">
        <v>13.71</v>
      </c>
      <c r="O952" s="147">
        <v>3.48</v>
      </c>
      <c r="P952" s="149">
        <v>82.81</v>
      </c>
      <c r="Q952" s="109"/>
      <c r="R952" s="103">
        <f t="shared" si="1"/>
        <v>210040</v>
      </c>
      <c r="S952" s="103">
        <f t="shared" si="2"/>
        <v>44322</v>
      </c>
      <c r="T952" s="103">
        <f t="shared" si="3"/>
        <v>10235</v>
      </c>
      <c r="U952" s="103">
        <f t="shared" si="4"/>
        <v>10591</v>
      </c>
      <c r="V952" s="103">
        <f t="shared" si="5"/>
        <v>244038</v>
      </c>
      <c r="W952" s="103">
        <f t="shared" si="6"/>
        <v>61944</v>
      </c>
      <c r="X952" s="103">
        <f t="shared" si="7"/>
        <v>1474018</v>
      </c>
    </row>
    <row r="953" ht="12.0" customHeight="1">
      <c r="A9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53" s="87" t="str">
        <f>IFERROR(__xludf.DUMMYFUNCTION("IFERROR(IF(F953&lt;&gt;"""",""WHSE ""&amp;LEFT(F953,1),REGEXEXTRACT(E953,""-(?:\d{2}-)?([A-Z]+)"")),"""")
"),"WHSE D")</f>
        <v>WHSE D</v>
      </c>
      <c r="C953" s="117">
        <v>46106.0</v>
      </c>
      <c r="D953" s="118" t="s">
        <v>232</v>
      </c>
      <c r="E953" s="87" t="s">
        <v>878</v>
      </c>
      <c r="F953" s="87" t="s">
        <v>879</v>
      </c>
      <c r="G953" s="125" t="s">
        <v>328</v>
      </c>
      <c r="H953" s="158">
        <v>21055.0</v>
      </c>
      <c r="I953" s="146">
        <v>503.0</v>
      </c>
      <c r="J953" s="147">
        <v>9.67</v>
      </c>
      <c r="K953" s="146">
        <v>2.88</v>
      </c>
      <c r="L953" s="146">
        <v>0.571</v>
      </c>
      <c r="M953" s="148">
        <v>0.591</v>
      </c>
      <c r="N953" s="132">
        <v>12.43</v>
      </c>
      <c r="O953" s="147">
        <v>3.34</v>
      </c>
      <c r="P953" s="149">
        <v>84.23</v>
      </c>
      <c r="Q953" s="109"/>
      <c r="R953" s="103">
        <f t="shared" si="1"/>
        <v>203601.85</v>
      </c>
      <c r="S953" s="103">
        <f t="shared" si="2"/>
        <v>60638.4</v>
      </c>
      <c r="T953" s="103">
        <f t="shared" si="3"/>
        <v>12022.405</v>
      </c>
      <c r="U953" s="103">
        <f t="shared" si="4"/>
        <v>12443.505</v>
      </c>
      <c r="V953" s="103">
        <f t="shared" si="5"/>
        <v>261713.65</v>
      </c>
      <c r="W953" s="103">
        <f t="shared" si="6"/>
        <v>70323.7</v>
      </c>
      <c r="X953" s="103">
        <f t="shared" si="7"/>
        <v>1773462.65</v>
      </c>
    </row>
    <row r="954" ht="12.0" customHeight="1">
      <c r="A9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54" s="87" t="str">
        <f>IFERROR(__xludf.DUMMYFUNCTION("IFERROR(IF(F954&lt;&gt;"""",""WHSE ""&amp;LEFT(F954,1),REGEXEXTRACT(E954,""-(?:\d{2}-)?([A-Z]+)"")),"""")
"),"WHSE D")</f>
        <v>WHSE D</v>
      </c>
      <c r="C954" s="117">
        <v>46106.0</v>
      </c>
      <c r="D954" s="118" t="s">
        <v>232</v>
      </c>
      <c r="E954" s="87" t="s">
        <v>878</v>
      </c>
      <c r="F954" s="87" t="s">
        <v>879</v>
      </c>
      <c r="G954" s="125" t="s">
        <v>668</v>
      </c>
      <c r="H954" s="158">
        <v>10970.0</v>
      </c>
      <c r="I954" s="146">
        <v>282.0</v>
      </c>
      <c r="J954" s="147">
        <v>9.8</v>
      </c>
      <c r="K954" s="146">
        <v>3.22</v>
      </c>
      <c r="L954" s="146">
        <v>0.568</v>
      </c>
      <c r="M954" s="148">
        <v>0.588</v>
      </c>
      <c r="N954" s="132">
        <v>13.88</v>
      </c>
      <c r="O954" s="147">
        <v>3.8</v>
      </c>
      <c r="P954" s="149">
        <v>82.32</v>
      </c>
      <c r="Q954" s="109"/>
      <c r="R954" s="103">
        <f t="shared" si="1"/>
        <v>107506</v>
      </c>
      <c r="S954" s="103">
        <f t="shared" si="2"/>
        <v>35323.4</v>
      </c>
      <c r="T954" s="103">
        <f t="shared" si="3"/>
        <v>6230.96</v>
      </c>
      <c r="U954" s="103">
        <f t="shared" si="4"/>
        <v>6450.36</v>
      </c>
      <c r="V954" s="103">
        <f t="shared" si="5"/>
        <v>152263.6</v>
      </c>
      <c r="W954" s="103">
        <f t="shared" si="6"/>
        <v>41686</v>
      </c>
      <c r="X954" s="103">
        <f t="shared" si="7"/>
        <v>903050.4</v>
      </c>
    </row>
    <row r="955" ht="12.0" customHeight="1">
      <c r="A9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55" s="87" t="str">
        <f>IFERROR(__xludf.DUMMYFUNCTION("IFERROR(IF(F955&lt;&gt;"""",""WHSE ""&amp;LEFT(F955,1),REGEXEXTRACT(E955,""-(?:\d{2}-)?([A-Z]+)"")),"""")
"),"WHSE D")</f>
        <v>WHSE D</v>
      </c>
      <c r="C955" s="117">
        <v>46106.0</v>
      </c>
      <c r="D955" s="118" t="s">
        <v>232</v>
      </c>
      <c r="E955" s="87" t="s">
        <v>881</v>
      </c>
      <c r="F955" s="87" t="s">
        <v>321</v>
      </c>
      <c r="G955" s="125" t="s">
        <v>882</v>
      </c>
      <c r="H955" s="158">
        <v>25590.0</v>
      </c>
      <c r="I955" s="146">
        <v>550.0</v>
      </c>
      <c r="J955" s="147">
        <v>9.07</v>
      </c>
      <c r="K955" s="146">
        <v>2.78</v>
      </c>
      <c r="L955" s="146">
        <v>0.575</v>
      </c>
      <c r="M955" s="148">
        <v>0.595</v>
      </c>
      <c r="N955" s="132">
        <v>14.18</v>
      </c>
      <c r="O955" s="147">
        <v>2.4</v>
      </c>
      <c r="P955" s="149">
        <v>83.42</v>
      </c>
      <c r="Q955" s="109"/>
      <c r="R955" s="103">
        <f t="shared" si="1"/>
        <v>232101.3</v>
      </c>
      <c r="S955" s="103">
        <f t="shared" si="2"/>
        <v>71140.2</v>
      </c>
      <c r="T955" s="103">
        <f t="shared" si="3"/>
        <v>14714.25</v>
      </c>
      <c r="U955" s="103">
        <f t="shared" si="4"/>
        <v>15226.05</v>
      </c>
      <c r="V955" s="103">
        <f t="shared" si="5"/>
        <v>362866.2</v>
      </c>
      <c r="W955" s="103">
        <f t="shared" si="6"/>
        <v>61416</v>
      </c>
      <c r="X955" s="103">
        <f t="shared" si="7"/>
        <v>2134717.8</v>
      </c>
    </row>
    <row r="956" ht="12.0" customHeight="1">
      <c r="A9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56" s="87" t="str">
        <f>IFERROR(__xludf.DUMMYFUNCTION("IFERROR(IF(F956&lt;&gt;"""",""WHSE ""&amp;LEFT(F956,1),REGEXEXTRACT(E956,""-(?:\d{2}-)?([A-Z]+)"")),"""")
"),"WHSE P")</f>
        <v>WHSE P</v>
      </c>
      <c r="C956" s="117">
        <v>46106.0</v>
      </c>
      <c r="D956" s="118" t="s">
        <v>859</v>
      </c>
      <c r="E956" s="87" t="s">
        <v>860</v>
      </c>
      <c r="F956" s="87" t="s">
        <v>861</v>
      </c>
      <c r="G956" s="125"/>
      <c r="H956" s="158">
        <v>5302.0</v>
      </c>
      <c r="I956" s="146">
        <v>9.0</v>
      </c>
      <c r="J956" s="147">
        <v>9.74</v>
      </c>
      <c r="K956" s="146">
        <v>2.71</v>
      </c>
      <c r="L956" s="146">
        <v>0.571</v>
      </c>
      <c r="M956" s="148">
        <v>0.591</v>
      </c>
      <c r="N956" s="132">
        <v>12.05</v>
      </c>
      <c r="O956" s="147">
        <v>3.99</v>
      </c>
      <c r="P956" s="149">
        <v>83.96</v>
      </c>
      <c r="Q956" s="109"/>
      <c r="R956" s="103">
        <f t="shared" si="1"/>
        <v>51641.48</v>
      </c>
      <c r="S956" s="103">
        <f t="shared" si="2"/>
        <v>14368.42</v>
      </c>
      <c r="T956" s="103">
        <f t="shared" si="3"/>
        <v>3027.442</v>
      </c>
      <c r="U956" s="103">
        <f t="shared" si="4"/>
        <v>3133.482</v>
      </c>
      <c r="V956" s="103">
        <f t="shared" si="5"/>
        <v>63889.1</v>
      </c>
      <c r="W956" s="103">
        <f t="shared" si="6"/>
        <v>21154.98</v>
      </c>
      <c r="X956" s="103">
        <f t="shared" si="7"/>
        <v>445155.92</v>
      </c>
    </row>
    <row r="957" ht="12.0" customHeight="1">
      <c r="A9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57" s="87" t="str">
        <f>IFERROR(__xludf.DUMMYFUNCTION("IFERROR(IF(F957&lt;&gt;"""",""WHSE ""&amp;LEFT(F957,1),REGEXEXTRACT(E957,""-(?:\d{2}-)?([A-Z]+)"")),"""")
"),"")</f>
        <v/>
      </c>
      <c r="C957" s="108"/>
      <c r="D957" s="109"/>
      <c r="E957" s="110"/>
      <c r="F957" s="110"/>
      <c r="G957" s="111"/>
      <c r="H957" s="112"/>
      <c r="I957" s="113"/>
      <c r="J957" s="114"/>
      <c r="K957" s="115"/>
      <c r="L957" s="115"/>
      <c r="M957" s="115"/>
      <c r="N957" s="116"/>
      <c r="O957" s="114"/>
      <c r="P957" s="116"/>
      <c r="Q957" s="109"/>
      <c r="R957" s="103">
        <f t="shared" si="1"/>
        <v>0</v>
      </c>
      <c r="S957" s="103">
        <f t="shared" si="2"/>
        <v>0</v>
      </c>
      <c r="T957" s="103">
        <f t="shared" si="3"/>
        <v>0</v>
      </c>
      <c r="U957" s="103">
        <f t="shared" si="4"/>
        <v>0</v>
      </c>
      <c r="V957" s="103">
        <f t="shared" si="5"/>
        <v>0</v>
      </c>
      <c r="W957" s="103">
        <f t="shared" si="6"/>
        <v>0</v>
      </c>
      <c r="X957" s="103">
        <f t="shared" si="7"/>
        <v>0</v>
      </c>
    </row>
    <row r="958" ht="12.0" customHeight="1">
      <c r="A9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58" s="87" t="str">
        <f>IFERROR(__xludf.DUMMYFUNCTION("IFERROR(IF(F958&lt;&gt;"""",""WHSE ""&amp;LEFT(F958,1),REGEXEXTRACT(E958,""-(?:\d{2}-)?([A-Z]+)"")),"""")
"),"WHSE D")</f>
        <v>WHSE D</v>
      </c>
      <c r="C958" s="117">
        <v>46107.0</v>
      </c>
      <c r="D958" s="118" t="s">
        <v>232</v>
      </c>
      <c r="E958" s="87" t="s">
        <v>878</v>
      </c>
      <c r="F958" s="87" t="s">
        <v>879</v>
      </c>
      <c r="G958" s="125" t="s">
        <v>77</v>
      </c>
      <c r="H958" s="158">
        <v>18400.0</v>
      </c>
      <c r="I958" s="146">
        <v>475.0</v>
      </c>
      <c r="J958" s="147">
        <v>10.8</v>
      </c>
      <c r="K958" s="146">
        <v>3.6</v>
      </c>
      <c r="L958" s="146">
        <v>0.552</v>
      </c>
      <c r="M958" s="148">
        <v>0.572</v>
      </c>
      <c r="N958" s="132">
        <v>13.14</v>
      </c>
      <c r="O958" s="147">
        <v>4.81</v>
      </c>
      <c r="P958" s="149">
        <v>82.05</v>
      </c>
      <c r="Q958" s="109"/>
      <c r="R958" s="103">
        <f t="shared" si="1"/>
        <v>198720</v>
      </c>
      <c r="S958" s="103">
        <f t="shared" si="2"/>
        <v>66240</v>
      </c>
      <c r="T958" s="103">
        <f t="shared" si="3"/>
        <v>10156.8</v>
      </c>
      <c r="U958" s="103">
        <f t="shared" si="4"/>
        <v>10524.8</v>
      </c>
      <c r="V958" s="103">
        <f t="shared" si="5"/>
        <v>241776</v>
      </c>
      <c r="W958" s="103">
        <f t="shared" si="6"/>
        <v>88504</v>
      </c>
      <c r="X958" s="103">
        <f t="shared" si="7"/>
        <v>1509720</v>
      </c>
    </row>
    <row r="959" ht="12.0" customHeight="1">
      <c r="A9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59" s="87" t="str">
        <f>IFERROR(__xludf.DUMMYFUNCTION("IFERROR(IF(F959&lt;&gt;"""",""WHSE ""&amp;LEFT(F959,1),REGEXEXTRACT(E959,""-(?:\d{2}-)?([A-Z]+)"")),"""")
"),"WHSE D")</f>
        <v>WHSE D</v>
      </c>
      <c r="C959" s="117">
        <v>46107.0</v>
      </c>
      <c r="D959" s="118" t="s">
        <v>232</v>
      </c>
      <c r="E959" s="87" t="s">
        <v>883</v>
      </c>
      <c r="F959" s="87" t="s">
        <v>884</v>
      </c>
      <c r="G959" s="125" t="s">
        <v>255</v>
      </c>
      <c r="H959" s="158">
        <v>16570.0</v>
      </c>
      <c r="I959" s="146">
        <v>497.0</v>
      </c>
      <c r="J959" s="147">
        <v>11.34</v>
      </c>
      <c r="K959" s="146">
        <v>2.18</v>
      </c>
      <c r="L959" s="146">
        <v>0.568</v>
      </c>
      <c r="M959" s="148">
        <v>0.588</v>
      </c>
      <c r="N959" s="132">
        <v>11.07</v>
      </c>
      <c r="O959" s="147">
        <v>3.73</v>
      </c>
      <c r="P959" s="149">
        <v>85.2</v>
      </c>
      <c r="Q959" s="109"/>
      <c r="R959" s="103">
        <f t="shared" si="1"/>
        <v>187903.8</v>
      </c>
      <c r="S959" s="103">
        <f t="shared" si="2"/>
        <v>36122.6</v>
      </c>
      <c r="T959" s="103">
        <f t="shared" si="3"/>
        <v>9411.76</v>
      </c>
      <c r="U959" s="103">
        <f t="shared" si="4"/>
        <v>9743.16</v>
      </c>
      <c r="V959" s="103">
        <f t="shared" si="5"/>
        <v>183429.9</v>
      </c>
      <c r="W959" s="103">
        <f t="shared" si="6"/>
        <v>61806.1</v>
      </c>
      <c r="X959" s="103">
        <f t="shared" si="7"/>
        <v>1411764</v>
      </c>
    </row>
    <row r="960" ht="12.0" customHeight="1">
      <c r="A9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60" s="87" t="str">
        <f>IFERROR(__xludf.DUMMYFUNCTION("IFERROR(IF(F960&lt;&gt;"""",""WHSE ""&amp;LEFT(F960,1),REGEXEXTRACT(E960,""-(?:\d{2}-)?([A-Z]+)"")),"""")
"),"WHSE D")</f>
        <v>WHSE D</v>
      </c>
      <c r="C960" s="117">
        <v>46107.0</v>
      </c>
      <c r="D960" s="118" t="s">
        <v>232</v>
      </c>
      <c r="E960" s="87" t="s">
        <v>881</v>
      </c>
      <c r="F960" s="87" t="s">
        <v>321</v>
      </c>
      <c r="G960" s="125" t="s">
        <v>742</v>
      </c>
      <c r="H960" s="158">
        <v>21440.0</v>
      </c>
      <c r="I960" s="146">
        <v>597.0</v>
      </c>
      <c r="J960" s="147">
        <v>9.4</v>
      </c>
      <c r="K960" s="146">
        <v>3.71</v>
      </c>
      <c r="L960" s="146">
        <v>0.546</v>
      </c>
      <c r="M960" s="148">
        <v>0.566</v>
      </c>
      <c r="N960" s="132">
        <v>13.13</v>
      </c>
      <c r="O960" s="147">
        <v>3.42</v>
      </c>
      <c r="P960" s="149">
        <v>83.45</v>
      </c>
      <c r="Q960" s="109"/>
      <c r="R960" s="103">
        <f t="shared" si="1"/>
        <v>201536</v>
      </c>
      <c r="S960" s="103">
        <f t="shared" si="2"/>
        <v>79542.4</v>
      </c>
      <c r="T960" s="103">
        <f t="shared" si="3"/>
        <v>11706.24</v>
      </c>
      <c r="U960" s="103">
        <f t="shared" si="4"/>
        <v>12135.04</v>
      </c>
      <c r="V960" s="103">
        <f t="shared" si="5"/>
        <v>281507.2</v>
      </c>
      <c r="W960" s="103">
        <f t="shared" si="6"/>
        <v>73324.8</v>
      </c>
      <c r="X960" s="103">
        <f t="shared" si="7"/>
        <v>1789168</v>
      </c>
    </row>
    <row r="961" ht="12.0" customHeight="1">
      <c r="A9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61" s="87" t="str">
        <f>IFERROR(__xludf.DUMMYFUNCTION("IFERROR(IF(F961&lt;&gt;"""",""WHSE ""&amp;LEFT(F961,1),REGEXEXTRACT(E961,""-(?:\d{2}-)?([A-Z]+)"")),"""")
"),"WHSE D")</f>
        <v>WHSE D</v>
      </c>
      <c r="C961" s="117">
        <v>46107.0</v>
      </c>
      <c r="D961" s="118" t="s">
        <v>232</v>
      </c>
      <c r="E961" s="87" t="s">
        <v>885</v>
      </c>
      <c r="F961" s="87" t="s">
        <v>372</v>
      </c>
      <c r="G961" s="125" t="s">
        <v>732</v>
      </c>
      <c r="H961" s="158">
        <v>35790.0</v>
      </c>
      <c r="I961" s="146">
        <v>796.0</v>
      </c>
      <c r="J961" s="147">
        <v>9.6</v>
      </c>
      <c r="K961" s="146">
        <v>2.91</v>
      </c>
      <c r="L961" s="146">
        <v>0.549</v>
      </c>
      <c r="M961" s="148">
        <v>0.569</v>
      </c>
      <c r="N961" s="132">
        <v>11.23</v>
      </c>
      <c r="O961" s="147">
        <v>3.57</v>
      </c>
      <c r="P961" s="149">
        <v>85.2</v>
      </c>
      <c r="Q961" s="109"/>
      <c r="R961" s="103">
        <f t="shared" si="1"/>
        <v>343584</v>
      </c>
      <c r="S961" s="103">
        <f t="shared" si="2"/>
        <v>104148.9</v>
      </c>
      <c r="T961" s="103">
        <f t="shared" si="3"/>
        <v>19648.71</v>
      </c>
      <c r="U961" s="103">
        <f t="shared" si="4"/>
        <v>20364.51</v>
      </c>
      <c r="V961" s="103">
        <f t="shared" si="5"/>
        <v>401921.7</v>
      </c>
      <c r="W961" s="103">
        <f t="shared" si="6"/>
        <v>127770.3</v>
      </c>
      <c r="X961" s="103">
        <f t="shared" si="7"/>
        <v>3049308</v>
      </c>
    </row>
    <row r="962" ht="12.0" customHeight="1">
      <c r="A9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62" s="87" t="str">
        <f>IFERROR(__xludf.DUMMYFUNCTION("IFERROR(IF(F962&lt;&gt;"""",""WHSE ""&amp;LEFT(F962,1),REGEXEXTRACT(E962,""-(?:\d{2}-)?([A-Z]+)"")),"""")
"),"WHSE A")</f>
        <v>WHSE A</v>
      </c>
      <c r="C962" s="117">
        <v>46107.0</v>
      </c>
      <c r="D962" s="118" t="s">
        <v>72</v>
      </c>
      <c r="E962" s="87" t="s">
        <v>870</v>
      </c>
      <c r="F962" s="87" t="s">
        <v>871</v>
      </c>
      <c r="G962" s="125" t="s">
        <v>73</v>
      </c>
      <c r="H962" s="158">
        <v>19530.0</v>
      </c>
      <c r="I962" s="146">
        <v>405.0</v>
      </c>
      <c r="J962" s="147">
        <v>11.74</v>
      </c>
      <c r="K962" s="146">
        <v>3.11</v>
      </c>
      <c r="L962" s="146">
        <v>0.575</v>
      </c>
      <c r="M962" s="148">
        <v>0.595</v>
      </c>
      <c r="N962" s="132">
        <v>12.27</v>
      </c>
      <c r="O962" s="147">
        <v>2.6</v>
      </c>
      <c r="P962" s="149">
        <v>85.13</v>
      </c>
      <c r="Q962" s="109"/>
      <c r="R962" s="103">
        <f t="shared" si="1"/>
        <v>229282.2</v>
      </c>
      <c r="S962" s="103">
        <f t="shared" si="2"/>
        <v>60738.3</v>
      </c>
      <c r="T962" s="103">
        <f t="shared" si="3"/>
        <v>11229.75</v>
      </c>
      <c r="U962" s="103">
        <f t="shared" si="4"/>
        <v>11620.35</v>
      </c>
      <c r="V962" s="103">
        <f t="shared" si="5"/>
        <v>239633.1</v>
      </c>
      <c r="W962" s="103">
        <f t="shared" si="6"/>
        <v>50778</v>
      </c>
      <c r="X962" s="103">
        <f t="shared" si="7"/>
        <v>1662588.9</v>
      </c>
    </row>
    <row r="963" ht="12.0" customHeight="1">
      <c r="A9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63" s="87" t="str">
        <f>IFERROR(__xludf.DUMMYFUNCTION("IFERROR(IF(F963&lt;&gt;"""",""WHSE ""&amp;LEFT(F963,1),REGEXEXTRACT(E963,""-(?:\d{2}-)?([A-Z]+)"")),"""")
"),"WHSE D")</f>
        <v>WHSE D</v>
      </c>
      <c r="C963" s="117">
        <v>46107.0</v>
      </c>
      <c r="D963" s="118" t="s">
        <v>72</v>
      </c>
      <c r="E963" s="87" t="s">
        <v>835</v>
      </c>
      <c r="F963" s="87" t="s">
        <v>436</v>
      </c>
      <c r="G963" s="125" t="s">
        <v>886</v>
      </c>
      <c r="H963" s="158">
        <v>2341.0</v>
      </c>
      <c r="I963" s="146">
        <v>40.0</v>
      </c>
      <c r="J963" s="147">
        <v>16.07</v>
      </c>
      <c r="K963" s="146">
        <v>3.8</v>
      </c>
      <c r="L963" s="146">
        <v>0.556</v>
      </c>
      <c r="M963" s="148">
        <v>0.576</v>
      </c>
      <c r="N963" s="132">
        <v>12.34</v>
      </c>
      <c r="O963" s="147">
        <v>2.48</v>
      </c>
      <c r="P963" s="149">
        <v>85.18</v>
      </c>
      <c r="Q963" s="118" t="s">
        <v>887</v>
      </c>
      <c r="R963" s="103">
        <f t="shared" si="1"/>
        <v>37619.87</v>
      </c>
      <c r="S963" s="103">
        <f t="shared" si="2"/>
        <v>8895.8</v>
      </c>
      <c r="T963" s="103">
        <f t="shared" si="3"/>
        <v>1301.596</v>
      </c>
      <c r="U963" s="103">
        <f t="shared" si="4"/>
        <v>1348.416</v>
      </c>
      <c r="V963" s="103">
        <f t="shared" si="5"/>
        <v>28887.94</v>
      </c>
      <c r="W963" s="103">
        <f t="shared" si="6"/>
        <v>5805.68</v>
      </c>
      <c r="X963" s="103">
        <f t="shared" si="7"/>
        <v>199406.38</v>
      </c>
    </row>
    <row r="964" ht="12.0" customHeight="1">
      <c r="A9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64" s="87" t="str">
        <f>IFERROR(__xludf.DUMMYFUNCTION("IFERROR(IF(F964&lt;&gt;"""",""WHSE ""&amp;LEFT(F964,1),REGEXEXTRACT(E964,""-(?:\d{2}-)?([A-Z]+)"")),"""")
"),"")</f>
        <v/>
      </c>
      <c r="C964" s="108"/>
      <c r="D964" s="109"/>
      <c r="E964" s="110"/>
      <c r="F964" s="110"/>
      <c r="G964" s="111"/>
      <c r="H964" s="165"/>
      <c r="I964" s="161"/>
      <c r="J964" s="162"/>
      <c r="K964" s="163"/>
      <c r="L964" s="163"/>
      <c r="M964" s="163"/>
      <c r="N964" s="164"/>
      <c r="O964" s="162"/>
      <c r="P964" s="164"/>
      <c r="Q964" s="109"/>
      <c r="R964" s="103">
        <f t="shared" si="1"/>
        <v>0</v>
      </c>
      <c r="S964" s="103">
        <f t="shared" si="2"/>
        <v>0</v>
      </c>
      <c r="T964" s="103">
        <f t="shared" si="3"/>
        <v>0</v>
      </c>
      <c r="U964" s="103">
        <f t="shared" si="4"/>
        <v>0</v>
      </c>
      <c r="V964" s="103">
        <f t="shared" si="5"/>
        <v>0</v>
      </c>
      <c r="W964" s="103">
        <f t="shared" si="6"/>
        <v>0</v>
      </c>
      <c r="X964" s="103">
        <f t="shared" si="7"/>
        <v>0</v>
      </c>
    </row>
    <row r="965" ht="12.0" customHeight="1">
      <c r="A9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65" s="87" t="str">
        <f>IFERROR(__xludf.DUMMYFUNCTION("IFERROR(IF(F965&lt;&gt;"""",""WHSE ""&amp;LEFT(F965,1),REGEXEXTRACT(E965,""-(?:\d{2}-)?([A-Z]+)"")),"""")
"),"WHSE P")</f>
        <v>WHSE P</v>
      </c>
      <c r="C965" s="117">
        <v>46108.0</v>
      </c>
      <c r="D965" s="118" t="s">
        <v>888</v>
      </c>
      <c r="E965" s="87" t="s">
        <v>889</v>
      </c>
      <c r="F965" s="87" t="s">
        <v>890</v>
      </c>
      <c r="G965" s="111"/>
      <c r="H965" s="166">
        <v>6284.0</v>
      </c>
      <c r="I965" s="159">
        <v>11.0</v>
      </c>
      <c r="J965" s="160">
        <v>8.34</v>
      </c>
      <c r="K965" s="146">
        <v>2.32</v>
      </c>
      <c r="L965" s="146">
        <v>0.575</v>
      </c>
      <c r="M965" s="148">
        <v>0.595</v>
      </c>
      <c r="N965" s="132">
        <v>11.66</v>
      </c>
      <c r="O965" s="147">
        <v>3.55</v>
      </c>
      <c r="P965" s="149">
        <v>84.79</v>
      </c>
      <c r="Q965" s="109"/>
      <c r="R965" s="103">
        <f t="shared" si="1"/>
        <v>52408.56</v>
      </c>
      <c r="S965" s="103">
        <f t="shared" si="2"/>
        <v>14578.88</v>
      </c>
      <c r="T965" s="103">
        <f t="shared" si="3"/>
        <v>3613.3</v>
      </c>
      <c r="U965" s="103">
        <f t="shared" si="4"/>
        <v>3738.98</v>
      </c>
      <c r="V965" s="103">
        <f t="shared" si="5"/>
        <v>73271.44</v>
      </c>
      <c r="W965" s="103">
        <f t="shared" si="6"/>
        <v>22308.2</v>
      </c>
      <c r="X965" s="103">
        <f t="shared" si="7"/>
        <v>532820.36</v>
      </c>
    </row>
    <row r="966" ht="12.0" customHeight="1">
      <c r="A9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66" s="87" t="str">
        <f>IFERROR(__xludf.DUMMYFUNCTION("IFERROR(IF(F966&lt;&gt;"""",""WHSE ""&amp;LEFT(F966,1),REGEXEXTRACT(E966,""-(?:\d{2}-)?([A-Z]+)"")),"""")
"),"WHSE A")</f>
        <v>WHSE A</v>
      </c>
      <c r="C966" s="117">
        <v>46108.0</v>
      </c>
      <c r="D966" s="118" t="s">
        <v>72</v>
      </c>
      <c r="E966" s="87" t="s">
        <v>891</v>
      </c>
      <c r="F966" s="87" t="s">
        <v>892</v>
      </c>
      <c r="G966" s="125" t="s">
        <v>73</v>
      </c>
      <c r="H966" s="158">
        <v>17590.0</v>
      </c>
      <c r="I966" s="146">
        <v>448.0</v>
      </c>
      <c r="J966" s="147">
        <v>11.67</v>
      </c>
      <c r="K966" s="146">
        <v>2.56</v>
      </c>
      <c r="L966" s="146">
        <v>0.578</v>
      </c>
      <c r="M966" s="148">
        <v>0.598</v>
      </c>
      <c r="N966" s="132">
        <v>13.28</v>
      </c>
      <c r="O966" s="147">
        <v>3.65</v>
      </c>
      <c r="P966" s="149">
        <v>83.07</v>
      </c>
      <c r="Q966" s="109"/>
      <c r="R966" s="103">
        <f t="shared" si="1"/>
        <v>205275.3</v>
      </c>
      <c r="S966" s="103">
        <f t="shared" si="2"/>
        <v>45030.4</v>
      </c>
      <c r="T966" s="103">
        <f t="shared" si="3"/>
        <v>10167.02</v>
      </c>
      <c r="U966" s="103">
        <f t="shared" si="4"/>
        <v>10518.82</v>
      </c>
      <c r="V966" s="103">
        <f t="shared" si="5"/>
        <v>233595.2</v>
      </c>
      <c r="W966" s="103">
        <f t="shared" si="6"/>
        <v>64203.5</v>
      </c>
      <c r="X966" s="103">
        <f t="shared" si="7"/>
        <v>1461201.3</v>
      </c>
    </row>
    <row r="967" ht="12.0" customHeight="1">
      <c r="A9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67" s="87" t="str">
        <f>IFERROR(__xludf.DUMMYFUNCTION("IFERROR(IF(F967&lt;&gt;"""",""WHSE ""&amp;LEFT(F967,1),REGEXEXTRACT(E967,""-(?:\d{2}-)?([A-Z]+)"")),"""")
"),"FEED")</f>
        <v>FEED</v>
      </c>
      <c r="C967" s="117">
        <v>46108.0</v>
      </c>
      <c r="D967" s="118" t="s">
        <v>286</v>
      </c>
      <c r="E967" s="87" t="s">
        <v>893</v>
      </c>
      <c r="F967" s="110"/>
      <c r="G967" s="125" t="s">
        <v>77</v>
      </c>
      <c r="H967" s="151">
        <v>19025.0</v>
      </c>
      <c r="I967" s="152">
        <v>443.0</v>
      </c>
      <c r="J967" s="153">
        <v>11.4</v>
      </c>
      <c r="K967" s="152">
        <v>2.49</v>
      </c>
      <c r="L967" s="152">
        <v>0.571</v>
      </c>
      <c r="M967" s="154">
        <v>0.591</v>
      </c>
      <c r="N967" s="155">
        <v>12.71</v>
      </c>
      <c r="O967" s="153">
        <v>2.99</v>
      </c>
      <c r="P967" s="156">
        <v>84.3</v>
      </c>
      <c r="Q967" s="109"/>
      <c r="R967" s="103">
        <f t="shared" si="1"/>
        <v>216885</v>
      </c>
      <c r="S967" s="103">
        <f t="shared" si="2"/>
        <v>47372.25</v>
      </c>
      <c r="T967" s="103">
        <f t="shared" si="3"/>
        <v>10863.275</v>
      </c>
      <c r="U967" s="103">
        <f t="shared" si="4"/>
        <v>11243.775</v>
      </c>
      <c r="V967" s="103">
        <f t="shared" si="5"/>
        <v>241807.75</v>
      </c>
      <c r="W967" s="103">
        <f t="shared" si="6"/>
        <v>56884.75</v>
      </c>
      <c r="X967" s="103">
        <f t="shared" si="7"/>
        <v>1603807.5</v>
      </c>
    </row>
    <row r="968" ht="12.0" customHeight="1">
      <c r="A9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68" s="87" t="str">
        <f>IFERROR(__xludf.DUMMYFUNCTION("IFERROR(IF(F968&lt;&gt;"""",""WHSE ""&amp;LEFT(F968,1),REGEXEXTRACT(E968,""-(?:\d{2}-)?([A-Z]+)"")),"""")
"),"WHSE D")</f>
        <v>WHSE D</v>
      </c>
      <c r="C968" s="117">
        <v>46108.0</v>
      </c>
      <c r="D968" s="118" t="s">
        <v>232</v>
      </c>
      <c r="E968" s="87" t="s">
        <v>883</v>
      </c>
      <c r="F968" s="87" t="s">
        <v>884</v>
      </c>
      <c r="G968" s="125" t="s">
        <v>668</v>
      </c>
      <c r="H968" s="158">
        <v>10350.0</v>
      </c>
      <c r="I968" s="146">
        <v>288.0</v>
      </c>
      <c r="J968" s="147">
        <v>8.87</v>
      </c>
      <c r="K968" s="146">
        <v>3.66</v>
      </c>
      <c r="L968" s="146">
        <v>0.565</v>
      </c>
      <c r="M968" s="148">
        <v>0.585</v>
      </c>
      <c r="N968" s="132">
        <v>14.18</v>
      </c>
      <c r="O968" s="147">
        <v>2.3</v>
      </c>
      <c r="P968" s="149">
        <v>83.52</v>
      </c>
      <c r="Q968" s="109"/>
      <c r="R968" s="103">
        <f t="shared" si="1"/>
        <v>91804.5</v>
      </c>
      <c r="S968" s="103">
        <f t="shared" si="2"/>
        <v>37881</v>
      </c>
      <c r="T968" s="103">
        <f t="shared" si="3"/>
        <v>5847.75</v>
      </c>
      <c r="U968" s="103">
        <f t="shared" si="4"/>
        <v>6054.75</v>
      </c>
      <c r="V968" s="103">
        <f t="shared" si="5"/>
        <v>146763</v>
      </c>
      <c r="W968" s="103">
        <f t="shared" si="6"/>
        <v>23805</v>
      </c>
      <c r="X968" s="103">
        <f t="shared" si="7"/>
        <v>864432</v>
      </c>
    </row>
    <row r="969" ht="12.0" customHeight="1">
      <c r="A9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69" s="87" t="str">
        <f>IFERROR(__xludf.DUMMYFUNCTION("IFERROR(IF(F969&lt;&gt;"""",""WHSE ""&amp;LEFT(F969,1),REGEXEXTRACT(E969,""-(?:\d{2}-)?([A-Z]+)"")),"""")
"),"")</f>
        <v/>
      </c>
      <c r="C969" s="108"/>
      <c r="D969" s="109"/>
      <c r="E969" s="110"/>
      <c r="F969" s="110"/>
      <c r="G969" s="111"/>
      <c r="H969" s="165"/>
      <c r="I969" s="161"/>
      <c r="J969" s="162"/>
      <c r="K969" s="163"/>
      <c r="L969" s="163"/>
      <c r="M969" s="163"/>
      <c r="N969" s="164"/>
      <c r="O969" s="162"/>
      <c r="P969" s="164"/>
      <c r="Q969" s="109"/>
      <c r="R969" s="103">
        <f t="shared" si="1"/>
        <v>0</v>
      </c>
      <c r="S969" s="103">
        <f t="shared" si="2"/>
        <v>0</v>
      </c>
      <c r="T969" s="103">
        <f t="shared" si="3"/>
        <v>0</v>
      </c>
      <c r="U969" s="103">
        <f t="shared" si="4"/>
        <v>0</v>
      </c>
      <c r="V969" s="103">
        <f t="shared" si="5"/>
        <v>0</v>
      </c>
      <c r="W969" s="103">
        <f t="shared" si="6"/>
        <v>0</v>
      </c>
      <c r="X969" s="103">
        <f t="shared" si="7"/>
        <v>0</v>
      </c>
    </row>
    <row r="970" ht="12.0" customHeight="1">
      <c r="A9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70" s="87" t="str">
        <f>IFERROR(__xludf.DUMMYFUNCTION("IFERROR(IF(F970&lt;&gt;"""",""WHSE ""&amp;LEFT(F970,1),REGEXEXTRACT(E970,""-(?:\d{2}-)?([A-Z]+)"")),"""")
"),"WHSE P")</f>
        <v>WHSE P</v>
      </c>
      <c r="C970" s="117">
        <v>46109.0</v>
      </c>
      <c r="D970" s="118" t="s">
        <v>888</v>
      </c>
      <c r="E970" s="87" t="s">
        <v>889</v>
      </c>
      <c r="F970" s="87" t="s">
        <v>890</v>
      </c>
      <c r="G970" s="111"/>
      <c r="H970" s="166">
        <v>2705.0</v>
      </c>
      <c r="I970" s="159">
        <v>5.0</v>
      </c>
      <c r="J970" s="160">
        <v>10.2</v>
      </c>
      <c r="K970" s="146">
        <v>2.32</v>
      </c>
      <c r="L970" s="146">
        <v>0.575</v>
      </c>
      <c r="M970" s="148">
        <v>0.595</v>
      </c>
      <c r="N970" s="132">
        <v>11.66</v>
      </c>
      <c r="O970" s="147">
        <v>3.55</v>
      </c>
      <c r="P970" s="149">
        <v>84.79</v>
      </c>
      <c r="Q970" s="109"/>
      <c r="R970" s="103">
        <f t="shared" si="1"/>
        <v>27591</v>
      </c>
      <c r="S970" s="103">
        <f t="shared" si="2"/>
        <v>6275.6</v>
      </c>
      <c r="T970" s="103">
        <f t="shared" si="3"/>
        <v>1555.375</v>
      </c>
      <c r="U970" s="103">
        <f t="shared" si="4"/>
        <v>1609.475</v>
      </c>
      <c r="V970" s="103">
        <f t="shared" si="5"/>
        <v>31540.3</v>
      </c>
      <c r="W970" s="103">
        <f t="shared" si="6"/>
        <v>9602.75</v>
      </c>
      <c r="X970" s="103">
        <f t="shared" si="7"/>
        <v>229356.95</v>
      </c>
    </row>
    <row r="971" ht="12.0" customHeight="1">
      <c r="A9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71" s="87" t="str">
        <f>IFERROR(__xludf.DUMMYFUNCTION("IFERROR(IF(F971&lt;&gt;"""",""WHSE ""&amp;LEFT(F971,1),REGEXEXTRACT(E971,""-(?:\d{2}-)?([A-Z]+)"")),"""")
"),"WHSE P")</f>
        <v>WHSE P</v>
      </c>
      <c r="C971" s="117">
        <v>46109.0</v>
      </c>
      <c r="D971" s="118" t="s">
        <v>894</v>
      </c>
      <c r="E971" s="87" t="s">
        <v>895</v>
      </c>
      <c r="F971" s="87" t="s">
        <v>896</v>
      </c>
      <c r="G971" s="111"/>
      <c r="H971" s="166">
        <v>3034.0</v>
      </c>
      <c r="I971" s="159">
        <v>6.0</v>
      </c>
      <c r="J971" s="160">
        <v>9.2</v>
      </c>
      <c r="K971" s="146">
        <v>3.8</v>
      </c>
      <c r="L971" s="146">
        <v>0.556</v>
      </c>
      <c r="M971" s="148">
        <v>0.576</v>
      </c>
      <c r="N971" s="132">
        <v>12.34</v>
      </c>
      <c r="O971" s="147">
        <v>2.48</v>
      </c>
      <c r="P971" s="149">
        <v>85.18</v>
      </c>
      <c r="Q971" s="109"/>
      <c r="R971" s="103">
        <f t="shared" si="1"/>
        <v>27912.8</v>
      </c>
      <c r="S971" s="103">
        <f t="shared" si="2"/>
        <v>11529.2</v>
      </c>
      <c r="T971" s="103">
        <f t="shared" si="3"/>
        <v>1686.904</v>
      </c>
      <c r="U971" s="103">
        <f t="shared" si="4"/>
        <v>1747.584</v>
      </c>
      <c r="V971" s="103">
        <f t="shared" si="5"/>
        <v>37439.56</v>
      </c>
      <c r="W971" s="103">
        <f t="shared" si="6"/>
        <v>7524.32</v>
      </c>
      <c r="X971" s="103">
        <f t="shared" si="7"/>
        <v>258436.12</v>
      </c>
    </row>
    <row r="972" ht="12.0" customHeight="1">
      <c r="A9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72" s="87" t="str">
        <f>IFERROR(__xludf.DUMMYFUNCTION("IFERROR(IF(F972&lt;&gt;"""",""WHSE ""&amp;LEFT(F972,1),REGEXEXTRACT(E972,""-(?:\d{2}-)?([A-Z]+)"")),"""")
"),"WHSE D")</f>
        <v>WHSE D</v>
      </c>
      <c r="C972" s="117">
        <v>46109.0</v>
      </c>
      <c r="D972" s="118" t="s">
        <v>232</v>
      </c>
      <c r="E972" s="87" t="s">
        <v>883</v>
      </c>
      <c r="F972" s="87" t="s">
        <v>884</v>
      </c>
      <c r="G972" s="125" t="s">
        <v>869</v>
      </c>
      <c r="H972" s="158">
        <v>17470.0</v>
      </c>
      <c r="I972" s="146">
        <v>473.0</v>
      </c>
      <c r="J972" s="147">
        <v>10.14</v>
      </c>
      <c r="K972" s="146">
        <v>3.42</v>
      </c>
      <c r="L972" s="146">
        <v>0.546</v>
      </c>
      <c r="M972" s="148">
        <v>0.566</v>
      </c>
      <c r="N972" s="132">
        <v>12.65</v>
      </c>
      <c r="O972" s="147">
        <v>4.51</v>
      </c>
      <c r="P972" s="149">
        <v>82.84</v>
      </c>
      <c r="Q972" s="109"/>
      <c r="R972" s="103">
        <f t="shared" si="1"/>
        <v>177145.8</v>
      </c>
      <c r="S972" s="103">
        <f t="shared" si="2"/>
        <v>59747.4</v>
      </c>
      <c r="T972" s="103">
        <f t="shared" si="3"/>
        <v>9538.62</v>
      </c>
      <c r="U972" s="103">
        <f t="shared" si="4"/>
        <v>9888.02</v>
      </c>
      <c r="V972" s="103">
        <f t="shared" si="5"/>
        <v>220995.5</v>
      </c>
      <c r="W972" s="103">
        <f t="shared" si="6"/>
        <v>78789.7</v>
      </c>
      <c r="X972" s="103">
        <f t="shared" si="7"/>
        <v>1447214.8</v>
      </c>
    </row>
    <row r="973" ht="12.0" customHeight="1">
      <c r="A9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73" s="87" t="str">
        <f>IFERROR(__xludf.DUMMYFUNCTION("IFERROR(IF(F973&lt;&gt;"""",""WHSE ""&amp;LEFT(F973,1),REGEXEXTRACT(E973,""-(?:\d{2}-)?([A-Z]+)"")),"""")
"),"WHSE D")</f>
        <v>WHSE D</v>
      </c>
      <c r="C973" s="117">
        <v>46109.0</v>
      </c>
      <c r="D973" s="118" t="s">
        <v>232</v>
      </c>
      <c r="E973" s="87" t="s">
        <v>883</v>
      </c>
      <c r="F973" s="87" t="s">
        <v>884</v>
      </c>
      <c r="G973" s="125" t="s">
        <v>235</v>
      </c>
      <c r="H973" s="158">
        <v>10470.0</v>
      </c>
      <c r="I973" s="146">
        <v>305.0</v>
      </c>
      <c r="J973" s="147">
        <v>9.8</v>
      </c>
      <c r="K973" s="146">
        <v>2.61</v>
      </c>
      <c r="L973" s="146">
        <v>0.578</v>
      </c>
      <c r="M973" s="148">
        <v>0.598</v>
      </c>
      <c r="N973" s="132">
        <v>13.42</v>
      </c>
      <c r="O973" s="147">
        <v>3.81</v>
      </c>
      <c r="P973" s="149">
        <v>82.77</v>
      </c>
      <c r="Q973" s="109"/>
      <c r="R973" s="103">
        <f t="shared" si="1"/>
        <v>102606</v>
      </c>
      <c r="S973" s="103">
        <f t="shared" si="2"/>
        <v>27326.7</v>
      </c>
      <c r="T973" s="103">
        <f t="shared" si="3"/>
        <v>6051.66</v>
      </c>
      <c r="U973" s="103">
        <f t="shared" si="4"/>
        <v>6261.06</v>
      </c>
      <c r="V973" s="103">
        <f t="shared" si="5"/>
        <v>140507.4</v>
      </c>
      <c r="W973" s="103">
        <f t="shared" si="6"/>
        <v>39890.7</v>
      </c>
      <c r="X973" s="103">
        <f t="shared" si="7"/>
        <v>866601.9</v>
      </c>
    </row>
    <row r="974" ht="12.0" customHeight="1">
      <c r="A9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74" s="87" t="str">
        <f>IFERROR(__xludf.DUMMYFUNCTION("IFERROR(IF(F974&lt;&gt;"""",""WHSE ""&amp;LEFT(F974,1),REGEXEXTRACT(E974,""-(?:\d{2}-)?([A-Z]+)"")),"""")
"),"WHSE D")</f>
        <v>WHSE D</v>
      </c>
      <c r="C974" s="117">
        <v>46109.0</v>
      </c>
      <c r="D974" s="118" t="s">
        <v>232</v>
      </c>
      <c r="E974" s="87" t="s">
        <v>897</v>
      </c>
      <c r="F974" s="87" t="s">
        <v>898</v>
      </c>
      <c r="G974" s="125" t="s">
        <v>669</v>
      </c>
      <c r="H974" s="158">
        <v>18140.0</v>
      </c>
      <c r="I974" s="146">
        <v>625.0</v>
      </c>
      <c r="J974" s="147">
        <v>9.94</v>
      </c>
      <c r="K974" s="146">
        <v>3.11</v>
      </c>
      <c r="L974" s="146">
        <v>0.552</v>
      </c>
      <c r="M974" s="148">
        <v>0.572</v>
      </c>
      <c r="N974" s="132">
        <v>12.19</v>
      </c>
      <c r="O974" s="147">
        <v>4.6</v>
      </c>
      <c r="P974" s="149">
        <v>83.21</v>
      </c>
      <c r="Q974" s="109"/>
      <c r="R974" s="103">
        <f t="shared" si="1"/>
        <v>180311.6</v>
      </c>
      <c r="S974" s="103">
        <f t="shared" si="2"/>
        <v>56415.4</v>
      </c>
      <c r="T974" s="103">
        <f t="shared" si="3"/>
        <v>10013.28</v>
      </c>
      <c r="U974" s="103">
        <f t="shared" si="4"/>
        <v>10376.08</v>
      </c>
      <c r="V974" s="103">
        <f t="shared" si="5"/>
        <v>221126.6</v>
      </c>
      <c r="W974" s="103">
        <f t="shared" si="6"/>
        <v>83444</v>
      </c>
      <c r="X974" s="103">
        <f t="shared" si="7"/>
        <v>1509429.4</v>
      </c>
    </row>
    <row r="975" ht="12.0" customHeight="1">
      <c r="A9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75" s="87" t="str">
        <f>IFERROR(__xludf.DUMMYFUNCTION("IFERROR(IF(F975&lt;&gt;"""",""WHSE ""&amp;LEFT(F975,1),REGEXEXTRACT(E975,""-(?:\d{2}-)?([A-Z]+)"")),"""")
"),"WHSE A")</f>
        <v>WHSE A</v>
      </c>
      <c r="C975" s="117">
        <v>46109.0</v>
      </c>
      <c r="D975" s="118" t="s">
        <v>72</v>
      </c>
      <c r="E975" s="87" t="s">
        <v>891</v>
      </c>
      <c r="F975" s="87" t="s">
        <v>892</v>
      </c>
      <c r="G975" s="125" t="s">
        <v>73</v>
      </c>
      <c r="H975" s="158">
        <v>18085.0</v>
      </c>
      <c r="I975" s="146">
        <v>492.0</v>
      </c>
      <c r="J975" s="147">
        <v>11.94</v>
      </c>
      <c r="K975" s="146">
        <v>2.71</v>
      </c>
      <c r="L975" s="146">
        <v>0.578</v>
      </c>
      <c r="M975" s="148">
        <v>0.598</v>
      </c>
      <c r="N975" s="132">
        <v>13.42</v>
      </c>
      <c r="O975" s="147">
        <v>3.79</v>
      </c>
      <c r="P975" s="149">
        <v>82.79</v>
      </c>
      <c r="Q975" s="109"/>
      <c r="R975" s="103">
        <f t="shared" si="1"/>
        <v>215934.9</v>
      </c>
      <c r="S975" s="103">
        <f t="shared" si="2"/>
        <v>49010.35</v>
      </c>
      <c r="T975" s="103">
        <f t="shared" si="3"/>
        <v>10453.13</v>
      </c>
      <c r="U975" s="103">
        <f t="shared" si="4"/>
        <v>10814.83</v>
      </c>
      <c r="V975" s="103">
        <f t="shared" si="5"/>
        <v>242700.7</v>
      </c>
      <c r="W975" s="103">
        <f t="shared" si="6"/>
        <v>68542.15</v>
      </c>
      <c r="X975" s="103">
        <f t="shared" si="7"/>
        <v>1497257.15</v>
      </c>
    </row>
    <row r="976" ht="12.0" customHeight="1">
      <c r="A9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76" s="87" t="str">
        <f>IFERROR(__xludf.DUMMYFUNCTION("IFERROR(IF(F976&lt;&gt;"""",""WHSE ""&amp;LEFT(F976,1),REGEXEXTRACT(E976,""-(?:\d{2}-)?([A-Z]+)"")),"""")
"),"WHSE D")</f>
        <v>WHSE D</v>
      </c>
      <c r="C976" s="117">
        <v>46109.0</v>
      </c>
      <c r="D976" s="118" t="s">
        <v>64</v>
      </c>
      <c r="E976" s="87" t="s">
        <v>876</v>
      </c>
      <c r="F976" s="87" t="s">
        <v>877</v>
      </c>
      <c r="G976" s="125" t="s">
        <v>65</v>
      </c>
      <c r="H976" s="158">
        <v>23870.0</v>
      </c>
      <c r="I976" s="146">
        <v>493.0</v>
      </c>
      <c r="J976" s="147">
        <v>11.8</v>
      </c>
      <c r="K976" s="146">
        <v>2.64</v>
      </c>
      <c r="L976" s="146">
        <v>0.581</v>
      </c>
      <c r="M976" s="148">
        <v>0.601</v>
      </c>
      <c r="N976" s="132">
        <v>12.74</v>
      </c>
      <c r="O976" s="147">
        <v>2.98</v>
      </c>
      <c r="P976" s="149">
        <v>84.28</v>
      </c>
      <c r="Q976" s="109"/>
      <c r="R976" s="103">
        <f t="shared" si="1"/>
        <v>281666</v>
      </c>
      <c r="S976" s="103">
        <f t="shared" si="2"/>
        <v>63016.8</v>
      </c>
      <c r="T976" s="103">
        <f t="shared" si="3"/>
        <v>13868.47</v>
      </c>
      <c r="U976" s="103">
        <f t="shared" si="4"/>
        <v>14345.87</v>
      </c>
      <c r="V976" s="103">
        <f t="shared" si="5"/>
        <v>304103.8</v>
      </c>
      <c r="W976" s="103">
        <f t="shared" si="6"/>
        <v>71132.6</v>
      </c>
      <c r="X976" s="103">
        <f t="shared" si="7"/>
        <v>2011763.6</v>
      </c>
    </row>
    <row r="977" ht="12.0" customHeight="1">
      <c r="A9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77" s="87" t="str">
        <f>IFERROR(__xludf.DUMMYFUNCTION("IFERROR(IF(F977&lt;&gt;"""",""WHSE ""&amp;LEFT(F977,1),REGEXEXTRACT(E977,""-(?:\d{2}-)?([A-Z]+)"")),"""")
"),"FEED")</f>
        <v>FEED</v>
      </c>
      <c r="C977" s="117">
        <v>46109.0</v>
      </c>
      <c r="D977" s="118" t="s">
        <v>286</v>
      </c>
      <c r="E977" s="87" t="s">
        <v>899</v>
      </c>
      <c r="F977" s="110"/>
      <c r="G977" s="125" t="s">
        <v>77</v>
      </c>
      <c r="H977" s="151">
        <v>16470.0</v>
      </c>
      <c r="I977" s="152">
        <v>455.0</v>
      </c>
      <c r="J977" s="153">
        <v>11.47</v>
      </c>
      <c r="K977" s="152">
        <v>2.61</v>
      </c>
      <c r="L977" s="152">
        <v>0.575</v>
      </c>
      <c r="M977" s="154">
        <v>0.595</v>
      </c>
      <c r="N977" s="155">
        <v>14.77</v>
      </c>
      <c r="O977" s="153">
        <v>3.09</v>
      </c>
      <c r="P977" s="156">
        <v>82.14</v>
      </c>
      <c r="Q977" s="109"/>
      <c r="R977" s="103">
        <f t="shared" si="1"/>
        <v>188910.9</v>
      </c>
      <c r="S977" s="103">
        <f t="shared" si="2"/>
        <v>42986.7</v>
      </c>
      <c r="T977" s="103">
        <f t="shared" si="3"/>
        <v>9470.25</v>
      </c>
      <c r="U977" s="103">
        <f t="shared" si="4"/>
        <v>9799.65</v>
      </c>
      <c r="V977" s="103">
        <f t="shared" si="5"/>
        <v>243261.9</v>
      </c>
      <c r="W977" s="103">
        <f t="shared" si="6"/>
        <v>50892.3</v>
      </c>
      <c r="X977" s="103">
        <f t="shared" si="7"/>
        <v>1352845.8</v>
      </c>
    </row>
    <row r="978" ht="12.0" customHeight="1">
      <c r="A9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78" s="87" t="str">
        <f>IFERROR(__xludf.DUMMYFUNCTION("IFERROR(IF(F978&lt;&gt;"""",""WHSE ""&amp;LEFT(F978,1),REGEXEXTRACT(E978,""-(?:\d{2}-)?([A-Z]+)"")),"""")
"),"")</f>
        <v/>
      </c>
      <c r="C978" s="108"/>
      <c r="D978" s="109"/>
      <c r="E978" s="110"/>
      <c r="F978" s="110"/>
      <c r="G978" s="111"/>
      <c r="H978" s="165"/>
      <c r="I978" s="161"/>
      <c r="J978" s="162"/>
      <c r="K978" s="163"/>
      <c r="L978" s="163"/>
      <c r="M978" s="163"/>
      <c r="N978" s="164"/>
      <c r="O978" s="162"/>
      <c r="P978" s="164"/>
      <c r="Q978" s="109"/>
      <c r="R978" s="103">
        <f t="shared" si="1"/>
        <v>0</v>
      </c>
      <c r="S978" s="103">
        <f t="shared" si="2"/>
        <v>0</v>
      </c>
      <c r="T978" s="103">
        <f t="shared" si="3"/>
        <v>0</v>
      </c>
      <c r="U978" s="103">
        <f t="shared" si="4"/>
        <v>0</v>
      </c>
      <c r="V978" s="103">
        <f t="shared" si="5"/>
        <v>0</v>
      </c>
      <c r="W978" s="103">
        <f t="shared" si="6"/>
        <v>0</v>
      </c>
      <c r="X978" s="103">
        <f t="shared" si="7"/>
        <v>0</v>
      </c>
    </row>
    <row r="979" ht="12.0" customHeight="1">
      <c r="A9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79" s="87" t="str">
        <f>IFERROR(__xludf.DUMMYFUNCTION("IFERROR(IF(F979&lt;&gt;"""",""WHSE ""&amp;LEFT(F979,1),REGEXEXTRACT(E979,""-(?:\d{2}-)?([A-Z]+)"")),"""")
"),"WHSE P")</f>
        <v>WHSE P</v>
      </c>
      <c r="C979" s="117">
        <v>46111.0</v>
      </c>
      <c r="D979" s="118" t="s">
        <v>894</v>
      </c>
      <c r="E979" s="87" t="s">
        <v>895</v>
      </c>
      <c r="F979" s="87" t="s">
        <v>896</v>
      </c>
      <c r="G979" s="111"/>
      <c r="H979" s="166">
        <v>8963.0</v>
      </c>
      <c r="I979" s="159">
        <v>16.0</v>
      </c>
      <c r="J979" s="160">
        <v>8.6</v>
      </c>
      <c r="K979" s="146">
        <v>3.8</v>
      </c>
      <c r="L979" s="146">
        <v>0.556</v>
      </c>
      <c r="M979" s="148">
        <v>0.576</v>
      </c>
      <c r="N979" s="132">
        <v>12.34</v>
      </c>
      <c r="O979" s="147">
        <v>2.48</v>
      </c>
      <c r="P979" s="149">
        <v>85.18</v>
      </c>
      <c r="Q979" s="109"/>
      <c r="R979" s="103">
        <f t="shared" si="1"/>
        <v>77081.8</v>
      </c>
      <c r="S979" s="103">
        <f t="shared" si="2"/>
        <v>34059.4</v>
      </c>
      <c r="T979" s="103">
        <f t="shared" si="3"/>
        <v>4983.428</v>
      </c>
      <c r="U979" s="103">
        <f t="shared" si="4"/>
        <v>5162.688</v>
      </c>
      <c r="V979" s="103">
        <f t="shared" si="5"/>
        <v>110603.42</v>
      </c>
      <c r="W979" s="103">
        <f t="shared" si="6"/>
        <v>22228.24</v>
      </c>
      <c r="X979" s="103">
        <f t="shared" si="7"/>
        <v>763468.34</v>
      </c>
    </row>
    <row r="980" ht="12.0" customHeight="1">
      <c r="A9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0" s="87" t="str">
        <f>IFERROR(__xludf.DUMMYFUNCTION("IFERROR(IF(F980&lt;&gt;"""",""WHSE ""&amp;LEFT(F980,1),REGEXEXTRACT(E980,""-(?:\d{2}-)?([A-Z]+)"")),"""")
"),"WHSE A")</f>
        <v>WHSE A</v>
      </c>
      <c r="C980" s="117">
        <v>46111.0</v>
      </c>
      <c r="D980" s="118" t="s">
        <v>72</v>
      </c>
      <c r="E980" s="87" t="s">
        <v>891</v>
      </c>
      <c r="F980" s="87" t="s">
        <v>892</v>
      </c>
      <c r="G980" s="125" t="s">
        <v>73</v>
      </c>
      <c r="H980" s="158">
        <v>18700.0</v>
      </c>
      <c r="I980" s="146">
        <v>433.0</v>
      </c>
      <c r="J980" s="147">
        <v>11.54</v>
      </c>
      <c r="K980" s="146">
        <v>2.39</v>
      </c>
      <c r="L980" s="146">
        <v>0.578</v>
      </c>
      <c r="M980" s="148">
        <v>0.598</v>
      </c>
      <c r="N980" s="132">
        <v>12.8</v>
      </c>
      <c r="O980" s="147">
        <v>3.82</v>
      </c>
      <c r="P980" s="149">
        <v>83.38</v>
      </c>
      <c r="Q980" s="109"/>
      <c r="R980" s="103">
        <f t="shared" si="1"/>
        <v>215798</v>
      </c>
      <c r="S980" s="103">
        <f t="shared" si="2"/>
        <v>44693</v>
      </c>
      <c r="T980" s="103">
        <f t="shared" si="3"/>
        <v>10808.6</v>
      </c>
      <c r="U980" s="103">
        <f t="shared" si="4"/>
        <v>11182.6</v>
      </c>
      <c r="V980" s="103">
        <f t="shared" si="5"/>
        <v>239360</v>
      </c>
      <c r="W980" s="103">
        <f t="shared" si="6"/>
        <v>71434</v>
      </c>
      <c r="X980" s="103">
        <f t="shared" si="7"/>
        <v>1559206</v>
      </c>
    </row>
    <row r="981" ht="12.0" customHeight="1">
      <c r="A9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981" s="87" t="str">
        <f>IFERROR(__xludf.DUMMYFUNCTION("IFERROR(IF(F981&lt;&gt;"""",""WHSE ""&amp;LEFT(F981,1),REGEXEXTRACT(E981,""-(?:\d{2}-)?([A-Z]+)"")),"""")
"),"WHSE A")</f>
        <v>WHSE A</v>
      </c>
      <c r="C981" s="117">
        <v>46111.0</v>
      </c>
      <c r="D981" s="118" t="s">
        <v>72</v>
      </c>
      <c r="E981" s="87" t="s">
        <v>900</v>
      </c>
      <c r="F981" s="87" t="s">
        <v>901</v>
      </c>
      <c r="G981" s="125" t="s">
        <v>512</v>
      </c>
      <c r="H981" s="158">
        <v>19655.0</v>
      </c>
      <c r="I981" s="146">
        <v>500.0</v>
      </c>
      <c r="J981" s="147">
        <v>11.4</v>
      </c>
      <c r="K981" s="146">
        <v>2.6</v>
      </c>
      <c r="L981" s="146">
        <v>0.571</v>
      </c>
      <c r="M981" s="148">
        <v>0.591</v>
      </c>
      <c r="N981" s="132">
        <v>12.77</v>
      </c>
      <c r="O981" s="147">
        <v>3.49</v>
      </c>
      <c r="P981" s="149">
        <v>83.74</v>
      </c>
      <c r="Q981" s="109"/>
      <c r="R981" s="103">
        <f t="shared" si="1"/>
        <v>224067</v>
      </c>
      <c r="S981" s="103">
        <f t="shared" si="2"/>
        <v>51103</v>
      </c>
      <c r="T981" s="103">
        <f t="shared" si="3"/>
        <v>11223.005</v>
      </c>
      <c r="U981" s="103">
        <f t="shared" si="4"/>
        <v>11616.105</v>
      </c>
      <c r="V981" s="103">
        <f t="shared" si="5"/>
        <v>250994.35</v>
      </c>
      <c r="W981" s="103">
        <f t="shared" si="6"/>
        <v>68595.95</v>
      </c>
      <c r="X981" s="103">
        <f t="shared" si="7"/>
        <v>1645909.7</v>
      </c>
    </row>
    <row r="982" ht="12.0" customHeight="1">
      <c r="A9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2" s="87" t="str">
        <f>IFERROR(__xludf.DUMMYFUNCTION("IFERROR(IF(F982&lt;&gt;"""",""WHSE ""&amp;LEFT(F982,1),REGEXEXTRACT(E982,""-(?:\d{2}-)?([A-Z]+)"")),"""")
"),"WHSE D")</f>
        <v>WHSE D</v>
      </c>
      <c r="C982" s="117">
        <v>46111.0</v>
      </c>
      <c r="D982" s="118" t="s">
        <v>232</v>
      </c>
      <c r="E982" s="87" t="s">
        <v>897</v>
      </c>
      <c r="F982" s="87" t="s">
        <v>898</v>
      </c>
      <c r="G982" s="125" t="s">
        <v>77</v>
      </c>
      <c r="H982" s="158">
        <v>18830.0</v>
      </c>
      <c r="I982" s="146">
        <v>526.0</v>
      </c>
      <c r="J982" s="147">
        <v>11.14</v>
      </c>
      <c r="K982" s="146">
        <v>3.14</v>
      </c>
      <c r="L982" s="146">
        <v>0.578</v>
      </c>
      <c r="M982" s="148">
        <v>0.598</v>
      </c>
      <c r="N982" s="132">
        <v>13.41</v>
      </c>
      <c r="O982" s="147">
        <v>2.81</v>
      </c>
      <c r="P982" s="149">
        <v>83.78</v>
      </c>
      <c r="Q982" s="109"/>
      <c r="R982" s="103">
        <f t="shared" si="1"/>
        <v>209766.2</v>
      </c>
      <c r="S982" s="103">
        <f t="shared" si="2"/>
        <v>59126.2</v>
      </c>
      <c r="T982" s="103">
        <f t="shared" si="3"/>
        <v>10883.74</v>
      </c>
      <c r="U982" s="103">
        <f t="shared" si="4"/>
        <v>11260.34</v>
      </c>
      <c r="V982" s="103">
        <f t="shared" si="5"/>
        <v>252510.3</v>
      </c>
      <c r="W982" s="103">
        <f t="shared" si="6"/>
        <v>52912.3</v>
      </c>
      <c r="X982" s="103">
        <f t="shared" si="7"/>
        <v>1577577.4</v>
      </c>
    </row>
    <row r="983" ht="12.0" customHeight="1">
      <c r="A9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3" s="87" t="str">
        <f>IFERROR(__xludf.DUMMYFUNCTION("IFERROR(IF(F983&lt;&gt;"""",""WHSE ""&amp;LEFT(F983,1),REGEXEXTRACT(E983,""-(?:\d{2}-)?([A-Z]+)"")),"""")
"),"WHSE D")</f>
        <v>WHSE D</v>
      </c>
      <c r="C983" s="117">
        <v>46111.0</v>
      </c>
      <c r="D983" s="118" t="s">
        <v>232</v>
      </c>
      <c r="E983" s="87" t="s">
        <v>897</v>
      </c>
      <c r="F983" s="87" t="s">
        <v>898</v>
      </c>
      <c r="G983" s="125" t="s">
        <v>235</v>
      </c>
      <c r="H983" s="158">
        <v>9985.0</v>
      </c>
      <c r="I983" s="146">
        <v>303.0</v>
      </c>
      <c r="J983" s="147">
        <v>10.8</v>
      </c>
      <c r="K983" s="146">
        <v>2.68</v>
      </c>
      <c r="L983" s="146">
        <v>0.565</v>
      </c>
      <c r="M983" s="148">
        <v>0.585</v>
      </c>
      <c r="N983" s="132">
        <v>13.18</v>
      </c>
      <c r="O983" s="147">
        <v>3.88</v>
      </c>
      <c r="P983" s="149">
        <v>82.94</v>
      </c>
      <c r="Q983" s="109"/>
      <c r="R983" s="103">
        <f t="shared" si="1"/>
        <v>107838</v>
      </c>
      <c r="S983" s="103">
        <f t="shared" si="2"/>
        <v>26759.8</v>
      </c>
      <c r="T983" s="103">
        <f t="shared" si="3"/>
        <v>5641.525</v>
      </c>
      <c r="U983" s="103">
        <f t="shared" si="4"/>
        <v>5841.225</v>
      </c>
      <c r="V983" s="103">
        <f t="shared" si="5"/>
        <v>131602.3</v>
      </c>
      <c r="W983" s="103">
        <f t="shared" si="6"/>
        <v>38741.8</v>
      </c>
      <c r="X983" s="103">
        <f t="shared" si="7"/>
        <v>828155.9</v>
      </c>
    </row>
    <row r="984" ht="12.0" customHeight="1">
      <c r="A9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4" s="87" t="str">
        <f>IFERROR(__xludf.DUMMYFUNCTION("IFERROR(IF(F984&lt;&gt;"""",""WHSE ""&amp;LEFT(F984,1),REGEXEXTRACT(E984,""-(?:\d{2}-)?([A-Z]+)"")),"""")
"),"WHSE D")</f>
        <v>WHSE D</v>
      </c>
      <c r="C984" s="117">
        <v>46111.0</v>
      </c>
      <c r="D984" s="118" t="s">
        <v>232</v>
      </c>
      <c r="E984" s="87" t="s">
        <v>897</v>
      </c>
      <c r="F984" s="87" t="s">
        <v>898</v>
      </c>
      <c r="G984" s="125" t="s">
        <v>813</v>
      </c>
      <c r="H984" s="158">
        <v>18605.0</v>
      </c>
      <c r="I984" s="146">
        <v>472.0</v>
      </c>
      <c r="J984" s="147">
        <v>10.2</v>
      </c>
      <c r="K984" s="146">
        <v>3.67</v>
      </c>
      <c r="L984" s="146">
        <v>0.549</v>
      </c>
      <c r="M984" s="148">
        <v>0.569</v>
      </c>
      <c r="N984" s="132">
        <v>15.25</v>
      </c>
      <c r="O984" s="147">
        <v>3.26</v>
      </c>
      <c r="P984" s="149">
        <v>81.49</v>
      </c>
      <c r="Q984" s="109"/>
      <c r="R984" s="103">
        <f t="shared" si="1"/>
        <v>189771</v>
      </c>
      <c r="S984" s="103">
        <f t="shared" si="2"/>
        <v>68280.35</v>
      </c>
      <c r="T984" s="103">
        <f t="shared" si="3"/>
        <v>10214.145</v>
      </c>
      <c r="U984" s="103">
        <f t="shared" si="4"/>
        <v>10586.245</v>
      </c>
      <c r="V984" s="103">
        <f t="shared" si="5"/>
        <v>283726.25</v>
      </c>
      <c r="W984" s="103">
        <f t="shared" si="6"/>
        <v>60652.3</v>
      </c>
      <c r="X984" s="103">
        <f t="shared" si="7"/>
        <v>1516121.45</v>
      </c>
    </row>
    <row r="985" ht="12.0" customHeight="1">
      <c r="A9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5" s="87" t="str">
        <f>IFERROR(__xludf.DUMMYFUNCTION("IFERROR(IF(F985&lt;&gt;"""",""WHSE ""&amp;LEFT(F985,1),REGEXEXTRACT(E985,""-(?:\d{2}-)?([A-Z]+)"")),"""")
"),"WHSE D")</f>
        <v>WHSE D</v>
      </c>
      <c r="C985" s="117">
        <v>46111.0</v>
      </c>
      <c r="D985" s="118" t="s">
        <v>232</v>
      </c>
      <c r="E985" s="87" t="s">
        <v>902</v>
      </c>
      <c r="F985" s="87" t="s">
        <v>903</v>
      </c>
      <c r="G985" s="125" t="s">
        <v>669</v>
      </c>
      <c r="H985" s="158">
        <v>20655.0</v>
      </c>
      <c r="I985" s="146">
        <v>661.0</v>
      </c>
      <c r="J985" s="147">
        <v>10.74</v>
      </c>
      <c r="K985" s="146">
        <v>2.8</v>
      </c>
      <c r="L985" s="146">
        <v>0.562</v>
      </c>
      <c r="M985" s="148">
        <v>0.582</v>
      </c>
      <c r="N985" s="132">
        <v>11.71</v>
      </c>
      <c r="O985" s="147">
        <v>3.71</v>
      </c>
      <c r="P985" s="149">
        <v>84.58</v>
      </c>
      <c r="Q985" s="109"/>
      <c r="R985" s="103">
        <f t="shared" si="1"/>
        <v>221834.7</v>
      </c>
      <c r="S985" s="103">
        <f t="shared" si="2"/>
        <v>57834</v>
      </c>
      <c r="T985" s="103">
        <f t="shared" si="3"/>
        <v>11608.11</v>
      </c>
      <c r="U985" s="103">
        <f t="shared" si="4"/>
        <v>12021.21</v>
      </c>
      <c r="V985" s="103">
        <f t="shared" si="5"/>
        <v>241870.05</v>
      </c>
      <c r="W985" s="103">
        <f t="shared" si="6"/>
        <v>76630.05</v>
      </c>
      <c r="X985" s="103">
        <f t="shared" si="7"/>
        <v>1746999.9</v>
      </c>
    </row>
    <row r="986" ht="12.0" customHeight="1">
      <c r="A9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6" s="87" t="str">
        <f>IFERROR(__xludf.DUMMYFUNCTION("IFERROR(IF(F986&lt;&gt;"""",""WHSE ""&amp;LEFT(F986,1),REGEXEXTRACT(E986,""-(?:\d{2}-)?([A-Z]+)"")),"""")
"),"WHSE D")</f>
        <v>WHSE D</v>
      </c>
      <c r="C986" s="117">
        <v>46111.0</v>
      </c>
      <c r="D986" s="118" t="s">
        <v>232</v>
      </c>
      <c r="E986" s="87" t="s">
        <v>902</v>
      </c>
      <c r="F986" s="87" t="s">
        <v>903</v>
      </c>
      <c r="G986" s="125" t="s">
        <v>255</v>
      </c>
      <c r="H986" s="158">
        <v>19585.0</v>
      </c>
      <c r="I986" s="146">
        <v>490.0</v>
      </c>
      <c r="J986" s="147">
        <v>10.87</v>
      </c>
      <c r="K986" s="146">
        <v>3.2</v>
      </c>
      <c r="L986" s="146">
        <v>0.556</v>
      </c>
      <c r="M986" s="148">
        <v>0.576</v>
      </c>
      <c r="N986" s="132">
        <v>14.68</v>
      </c>
      <c r="O986" s="147">
        <v>3.68</v>
      </c>
      <c r="P986" s="149">
        <v>81.64</v>
      </c>
      <c r="Q986" s="109"/>
      <c r="R986" s="103">
        <f t="shared" si="1"/>
        <v>212888.95</v>
      </c>
      <c r="S986" s="103">
        <f t="shared" si="2"/>
        <v>62672</v>
      </c>
      <c r="T986" s="103">
        <f t="shared" si="3"/>
        <v>10889.26</v>
      </c>
      <c r="U986" s="103">
        <f t="shared" si="4"/>
        <v>11280.96</v>
      </c>
      <c r="V986" s="103">
        <f t="shared" si="5"/>
        <v>287507.8</v>
      </c>
      <c r="W986" s="103">
        <f t="shared" si="6"/>
        <v>72072.8</v>
      </c>
      <c r="X986" s="103">
        <f t="shared" si="7"/>
        <v>1598919.4</v>
      </c>
    </row>
    <row r="987" ht="12.0" customHeight="1">
      <c r="A9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7" s="87" t="str">
        <f>IFERROR(__xludf.DUMMYFUNCTION("IFERROR(IF(F987&lt;&gt;"""",""WHSE ""&amp;LEFT(F987,1),REGEXEXTRACT(E987,""-(?:\d{2}-)?([A-Z]+)"")),"""")
"),"WHSE D")</f>
        <v>WHSE D</v>
      </c>
      <c r="C987" s="117">
        <v>46111.0</v>
      </c>
      <c r="D987" s="118" t="s">
        <v>232</v>
      </c>
      <c r="E987" s="87" t="s">
        <v>883</v>
      </c>
      <c r="F987" s="87" t="s">
        <v>884</v>
      </c>
      <c r="G987" s="125" t="s">
        <v>668</v>
      </c>
      <c r="H987" s="158">
        <v>10605.0</v>
      </c>
      <c r="I987" s="146">
        <v>293.0</v>
      </c>
      <c r="J987" s="147">
        <v>10.47</v>
      </c>
      <c r="K987" s="146">
        <v>3.74</v>
      </c>
      <c r="L987" s="146">
        <v>0.552</v>
      </c>
      <c r="M987" s="148">
        <v>0.572</v>
      </c>
      <c r="N987" s="132">
        <v>13.73</v>
      </c>
      <c r="O987" s="147">
        <v>2.63</v>
      </c>
      <c r="P987" s="149">
        <v>83.64</v>
      </c>
      <c r="Q987" s="109"/>
      <c r="R987" s="103">
        <f t="shared" si="1"/>
        <v>111034.35</v>
      </c>
      <c r="S987" s="103">
        <f t="shared" si="2"/>
        <v>39662.7</v>
      </c>
      <c r="T987" s="103">
        <f t="shared" si="3"/>
        <v>5853.96</v>
      </c>
      <c r="U987" s="103">
        <f t="shared" si="4"/>
        <v>6066.06</v>
      </c>
      <c r="V987" s="103">
        <f t="shared" si="5"/>
        <v>145606.65</v>
      </c>
      <c r="W987" s="103">
        <f t="shared" si="6"/>
        <v>27891.15</v>
      </c>
      <c r="X987" s="103">
        <f t="shared" si="7"/>
        <v>887002.2</v>
      </c>
    </row>
    <row r="988" ht="12.0" customHeight="1">
      <c r="A9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8" s="87" t="str">
        <f>IFERROR(__xludf.DUMMYFUNCTION("IFERROR(IF(F988&lt;&gt;"""",""WHSE ""&amp;LEFT(F988,1),REGEXEXTRACT(E988,""-(?:\d{2}-)?([A-Z]+)"")),"""")
"),"WHSE D")</f>
        <v>WHSE D</v>
      </c>
      <c r="C988" s="117">
        <v>46111.0</v>
      </c>
      <c r="D988" s="118" t="s">
        <v>232</v>
      </c>
      <c r="E988" s="87" t="s">
        <v>902</v>
      </c>
      <c r="F988" s="87" t="s">
        <v>903</v>
      </c>
      <c r="G988" s="125" t="s">
        <v>904</v>
      </c>
      <c r="H988" s="158">
        <v>20145.0</v>
      </c>
      <c r="I988" s="146">
        <v>596.0</v>
      </c>
      <c r="J988" s="147">
        <v>10.54</v>
      </c>
      <c r="K988" s="146">
        <v>2.78</v>
      </c>
      <c r="L988" s="146">
        <v>0.575</v>
      </c>
      <c r="M988" s="148">
        <v>0.595</v>
      </c>
      <c r="N988" s="132">
        <v>11.42</v>
      </c>
      <c r="O988" s="147">
        <v>4.08</v>
      </c>
      <c r="P988" s="149">
        <v>84.5</v>
      </c>
      <c r="Q988" s="109"/>
      <c r="R988" s="103">
        <f t="shared" si="1"/>
        <v>212328.3</v>
      </c>
      <c r="S988" s="103">
        <f t="shared" si="2"/>
        <v>56003.1</v>
      </c>
      <c r="T988" s="103">
        <f t="shared" si="3"/>
        <v>11583.375</v>
      </c>
      <c r="U988" s="103">
        <f t="shared" si="4"/>
        <v>11986.275</v>
      </c>
      <c r="V988" s="103">
        <f t="shared" si="5"/>
        <v>230055.9</v>
      </c>
      <c r="W988" s="103">
        <f t="shared" si="6"/>
        <v>82191.6</v>
      </c>
      <c r="X988" s="103">
        <f t="shared" si="7"/>
        <v>1702252.5</v>
      </c>
    </row>
    <row r="989" ht="12.0" customHeight="1">
      <c r="A9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89" s="87" t="str">
        <f>IFERROR(__xludf.DUMMYFUNCTION("IFERROR(IF(F989&lt;&gt;"""",""WHSE ""&amp;LEFT(F989,1),REGEXEXTRACT(E989,""-(?:\d{2}-)?([A-Z]+)"")),"""")
"),"WHSE D")</f>
        <v>WHSE D</v>
      </c>
      <c r="C989" s="117">
        <v>46111.0</v>
      </c>
      <c r="D989" s="118" t="s">
        <v>232</v>
      </c>
      <c r="E989" s="87" t="s">
        <v>885</v>
      </c>
      <c r="F989" s="87" t="s">
        <v>372</v>
      </c>
      <c r="G989" s="125" t="s">
        <v>732</v>
      </c>
      <c r="H989" s="158">
        <v>31210.0</v>
      </c>
      <c r="I989" s="146">
        <v>798.0</v>
      </c>
      <c r="J989" s="147">
        <v>10.67</v>
      </c>
      <c r="K989" s="146">
        <v>2.82</v>
      </c>
      <c r="L989" s="146">
        <v>0.565</v>
      </c>
      <c r="M989" s="148">
        <v>0.585</v>
      </c>
      <c r="N989" s="132">
        <v>12.11</v>
      </c>
      <c r="O989" s="147">
        <v>4.19</v>
      </c>
      <c r="P989" s="149">
        <v>83.7</v>
      </c>
      <c r="Q989" s="109"/>
      <c r="R989" s="103">
        <f t="shared" si="1"/>
        <v>333010.7</v>
      </c>
      <c r="S989" s="103">
        <f t="shared" si="2"/>
        <v>88012.2</v>
      </c>
      <c r="T989" s="103">
        <f t="shared" si="3"/>
        <v>17633.65</v>
      </c>
      <c r="U989" s="103">
        <f t="shared" si="4"/>
        <v>18257.85</v>
      </c>
      <c r="V989" s="103">
        <f t="shared" si="5"/>
        <v>377953.1</v>
      </c>
      <c r="W989" s="103">
        <f t="shared" si="6"/>
        <v>130769.9</v>
      </c>
      <c r="X989" s="103">
        <f t="shared" si="7"/>
        <v>2612277</v>
      </c>
    </row>
    <row r="990" ht="12.0" customHeight="1">
      <c r="A9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90" s="87" t="str">
        <f>IFERROR(__xludf.DUMMYFUNCTION("IFERROR(IF(F990&lt;&gt;"""",""WHSE ""&amp;LEFT(F990,1),REGEXEXTRACT(E990,""-(?:\d{2}-)?([A-Z]+)"")),"""")
"),"")</f>
        <v/>
      </c>
      <c r="C990" s="108"/>
      <c r="D990" s="109"/>
      <c r="E990" s="110"/>
      <c r="F990" s="110"/>
      <c r="G990" s="111"/>
      <c r="H990" s="165"/>
      <c r="I990" s="161"/>
      <c r="J990" s="162"/>
      <c r="K990" s="163"/>
      <c r="L990" s="163"/>
      <c r="M990" s="163"/>
      <c r="N990" s="164"/>
      <c r="O990" s="162"/>
      <c r="P990" s="164"/>
      <c r="Q990" s="109"/>
      <c r="R990" s="103">
        <f t="shared" si="1"/>
        <v>0</v>
      </c>
      <c r="S990" s="103">
        <f t="shared" si="2"/>
        <v>0</v>
      </c>
      <c r="T990" s="103">
        <f t="shared" si="3"/>
        <v>0</v>
      </c>
      <c r="U990" s="103">
        <f t="shared" si="4"/>
        <v>0</v>
      </c>
      <c r="V990" s="103">
        <f t="shared" si="5"/>
        <v>0</v>
      </c>
      <c r="W990" s="103">
        <f t="shared" si="6"/>
        <v>0</v>
      </c>
      <c r="X990" s="103">
        <f t="shared" si="7"/>
        <v>0</v>
      </c>
    </row>
    <row r="991" ht="12.0" customHeight="1">
      <c r="A9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91" s="87" t="str">
        <f>IFERROR(__xludf.DUMMYFUNCTION("IFERROR(IF(F991&lt;&gt;"""",""WHSE ""&amp;LEFT(F991,1),REGEXEXTRACT(E991,""-(?:\d{2}-)?([A-Z]+)"")),"""")
"),"WHSE P")</f>
        <v>WHSE P</v>
      </c>
      <c r="C991" s="117">
        <v>46112.0</v>
      </c>
      <c r="D991" s="118" t="s">
        <v>894</v>
      </c>
      <c r="E991" s="87" t="s">
        <v>895</v>
      </c>
      <c r="F991" s="87" t="s">
        <v>896</v>
      </c>
      <c r="G991" s="111"/>
      <c r="H991" s="166">
        <v>7588.0</v>
      </c>
      <c r="I991" s="159">
        <v>15.0</v>
      </c>
      <c r="J991" s="160">
        <v>8.27</v>
      </c>
      <c r="K991" s="146">
        <v>3.8</v>
      </c>
      <c r="L991" s="146">
        <v>0.556</v>
      </c>
      <c r="M991" s="148">
        <v>0.576</v>
      </c>
      <c r="N991" s="132">
        <v>12.34</v>
      </c>
      <c r="O991" s="147">
        <v>2.48</v>
      </c>
      <c r="P991" s="149">
        <v>85.18</v>
      </c>
      <c r="Q991" s="109"/>
      <c r="R991" s="103">
        <f t="shared" si="1"/>
        <v>62752.76</v>
      </c>
      <c r="S991" s="103">
        <f t="shared" si="2"/>
        <v>28834.4</v>
      </c>
      <c r="T991" s="103">
        <f t="shared" si="3"/>
        <v>4218.928</v>
      </c>
      <c r="U991" s="103">
        <f t="shared" si="4"/>
        <v>4370.688</v>
      </c>
      <c r="V991" s="103">
        <f t="shared" si="5"/>
        <v>93635.92</v>
      </c>
      <c r="W991" s="103">
        <f t="shared" si="6"/>
        <v>18818.24</v>
      </c>
      <c r="X991" s="103">
        <f t="shared" si="7"/>
        <v>646345.84</v>
      </c>
    </row>
    <row r="992" ht="12.0" customHeight="1">
      <c r="A9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92" s="87" t="str">
        <f>IFERROR(__xludf.DUMMYFUNCTION("IFERROR(IF(F992&lt;&gt;"""",""WHSE ""&amp;LEFT(F992,1),REGEXEXTRACT(E992,""-(?:\d{2}-)?([A-Z]+)"")),"""")
"),"")</f>
        <v/>
      </c>
      <c r="C992" s="108"/>
      <c r="D992" s="109"/>
      <c r="E992" s="110"/>
      <c r="F992" s="110"/>
      <c r="G992" s="111"/>
      <c r="H992" s="165"/>
      <c r="I992" s="161"/>
      <c r="J992" s="162"/>
      <c r="K992" s="163"/>
      <c r="L992" s="163"/>
      <c r="M992" s="163"/>
      <c r="N992" s="164"/>
      <c r="O992" s="162"/>
      <c r="P992" s="164"/>
      <c r="Q992" s="109"/>
      <c r="R992" s="103">
        <f t="shared" si="1"/>
        <v>0</v>
      </c>
      <c r="S992" s="103">
        <f t="shared" si="2"/>
        <v>0</v>
      </c>
      <c r="T992" s="103">
        <f t="shared" si="3"/>
        <v>0</v>
      </c>
      <c r="U992" s="103">
        <f t="shared" si="4"/>
        <v>0</v>
      </c>
      <c r="V992" s="103">
        <f t="shared" si="5"/>
        <v>0</v>
      </c>
      <c r="W992" s="103">
        <f t="shared" si="6"/>
        <v>0</v>
      </c>
      <c r="X992" s="103">
        <f t="shared" si="7"/>
        <v>0</v>
      </c>
    </row>
    <row r="993" ht="12.0" customHeight="1">
      <c r="A9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93" s="87" t="str">
        <f>IFERROR(__xludf.DUMMYFUNCTION("IFERROR(IF(F993&lt;&gt;"""",""WHSE ""&amp;LEFT(F993,1),REGEXEXTRACT(E993,""-(?:\d{2}-)?([A-Z]+)"")),"""")
"),"WHSE P")</f>
        <v>WHSE P</v>
      </c>
      <c r="C993" s="117">
        <v>46113.0</v>
      </c>
      <c r="D993" s="118" t="s">
        <v>905</v>
      </c>
      <c r="E993" s="87" t="s">
        <v>906</v>
      </c>
      <c r="F993" s="87" t="s">
        <v>907</v>
      </c>
      <c r="G993" s="111"/>
      <c r="H993" s="120">
        <v>5753.0</v>
      </c>
      <c r="I993" s="121">
        <v>9.0</v>
      </c>
      <c r="J993" s="122">
        <v>7.27</v>
      </c>
      <c r="K993" s="167">
        <v>3.68</v>
      </c>
      <c r="L993" s="167">
        <v>0.585</v>
      </c>
      <c r="M993" s="167">
        <v>0.605</v>
      </c>
      <c r="N993" s="168">
        <v>11.87</v>
      </c>
      <c r="O993" s="169">
        <v>9.61</v>
      </c>
      <c r="P993" s="168">
        <v>78.52</v>
      </c>
      <c r="Q993" s="109"/>
      <c r="R993" s="103">
        <f t="shared" si="1"/>
        <v>41824.31</v>
      </c>
      <c r="S993" s="103">
        <f t="shared" si="2"/>
        <v>21171.04</v>
      </c>
      <c r="T993" s="103">
        <f t="shared" si="3"/>
        <v>3365.505</v>
      </c>
      <c r="U993" s="103">
        <f t="shared" si="4"/>
        <v>3480.565</v>
      </c>
      <c r="V993" s="103">
        <f t="shared" si="5"/>
        <v>68288.11</v>
      </c>
      <c r="W993" s="103">
        <f t="shared" si="6"/>
        <v>55286.33</v>
      </c>
      <c r="X993" s="103">
        <f t="shared" si="7"/>
        <v>451725.56</v>
      </c>
    </row>
    <row r="994" ht="12.0" customHeight="1">
      <c r="A9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94" s="87" t="str">
        <f>IFERROR(__xludf.DUMMYFUNCTION("IFERROR(IF(F994&lt;&gt;"""",""WHSE ""&amp;LEFT(F994,1),REGEXEXTRACT(E994,""-(?:\d{2}-)?([A-Z]+)"")),"""")
"),"")</f>
        <v/>
      </c>
      <c r="C994" s="108"/>
      <c r="D994" s="109"/>
      <c r="E994" s="110"/>
      <c r="F994" s="110"/>
      <c r="G994" s="111"/>
      <c r="H994" s="112"/>
      <c r="I994" s="113"/>
      <c r="J994" s="114"/>
      <c r="K994" s="115"/>
      <c r="L994" s="115"/>
      <c r="M994" s="115"/>
      <c r="N994" s="116"/>
      <c r="O994" s="114"/>
      <c r="P994" s="116"/>
      <c r="Q994" s="109"/>
      <c r="R994" s="103">
        <f t="shared" si="1"/>
        <v>0</v>
      </c>
      <c r="S994" s="103">
        <f t="shared" si="2"/>
        <v>0</v>
      </c>
      <c r="T994" s="103">
        <f t="shared" si="3"/>
        <v>0</v>
      </c>
      <c r="U994" s="103">
        <f t="shared" si="4"/>
        <v>0</v>
      </c>
      <c r="V994" s="103">
        <f t="shared" si="5"/>
        <v>0</v>
      </c>
      <c r="W994" s="103">
        <f t="shared" si="6"/>
        <v>0</v>
      </c>
      <c r="X994" s="103">
        <f t="shared" si="7"/>
        <v>0</v>
      </c>
    </row>
    <row r="995" ht="12.0" customHeight="1">
      <c r="A9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995" s="87" t="str">
        <f>IFERROR(__xludf.DUMMYFUNCTION("IFERROR(IF(F995&lt;&gt;"""",""WHSE ""&amp;LEFT(F995,1),REGEXEXTRACT(E995,""-(?:\d{2}-)?([A-Z]+)"")),"""")
"),"WHSE P")</f>
        <v>WHSE P</v>
      </c>
      <c r="C995" s="117">
        <v>46118.0</v>
      </c>
      <c r="D995" s="118" t="s">
        <v>905</v>
      </c>
      <c r="E995" s="87" t="s">
        <v>906</v>
      </c>
      <c r="F995" s="87" t="s">
        <v>907</v>
      </c>
      <c r="G995" s="111"/>
      <c r="H995" s="120">
        <v>3077.0</v>
      </c>
      <c r="I995" s="121">
        <v>5.0</v>
      </c>
      <c r="J995" s="122">
        <v>9.27</v>
      </c>
      <c r="K995" s="167">
        <v>3.68</v>
      </c>
      <c r="L995" s="167">
        <v>0.585</v>
      </c>
      <c r="M995" s="167">
        <v>0.605</v>
      </c>
      <c r="N995" s="168">
        <v>11.87</v>
      </c>
      <c r="O995" s="169">
        <v>9.61</v>
      </c>
      <c r="P995" s="168">
        <v>78.52</v>
      </c>
      <c r="Q995" s="109"/>
      <c r="R995" s="103">
        <f t="shared" si="1"/>
        <v>28523.79</v>
      </c>
      <c r="S995" s="103">
        <f t="shared" si="2"/>
        <v>11323.36</v>
      </c>
      <c r="T995" s="103">
        <f t="shared" si="3"/>
        <v>1800.045</v>
      </c>
      <c r="U995" s="103">
        <f t="shared" si="4"/>
        <v>1861.585</v>
      </c>
      <c r="V995" s="103">
        <f t="shared" si="5"/>
        <v>36523.99</v>
      </c>
      <c r="W995" s="103">
        <f t="shared" si="6"/>
        <v>29569.97</v>
      </c>
      <c r="X995" s="103">
        <f t="shared" si="7"/>
        <v>241606.04</v>
      </c>
    </row>
    <row r="996" ht="12.0" customHeight="1">
      <c r="A9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96" s="87" t="str">
        <f>IFERROR(__xludf.DUMMYFUNCTION("IFERROR(IF(F996&lt;&gt;"""",""WHSE ""&amp;LEFT(F996,1),REGEXEXTRACT(E996,""-(?:\d{2}-)?([A-Z]+)"")),"""")
"),"WHSE D")</f>
        <v>WHSE D</v>
      </c>
      <c r="C996" s="117">
        <v>46118.0</v>
      </c>
      <c r="D996" s="118" t="s">
        <v>232</v>
      </c>
      <c r="E996" s="87" t="s">
        <v>897</v>
      </c>
      <c r="F996" s="87" t="s">
        <v>898</v>
      </c>
      <c r="G996" s="125" t="s">
        <v>497</v>
      </c>
      <c r="H996" s="145">
        <v>3570.0</v>
      </c>
      <c r="I996" s="170">
        <v>105.0</v>
      </c>
      <c r="J996" s="171">
        <v>9.6</v>
      </c>
      <c r="K996" s="170">
        <v>3.13</v>
      </c>
      <c r="L996" s="170">
        <v>0.571</v>
      </c>
      <c r="M996" s="172">
        <v>0.591</v>
      </c>
      <c r="N996" s="173">
        <v>13.71</v>
      </c>
      <c r="O996" s="171">
        <v>2.9</v>
      </c>
      <c r="P996" s="174">
        <v>83.39</v>
      </c>
      <c r="Q996" s="118" t="s">
        <v>908</v>
      </c>
      <c r="R996" s="103">
        <f t="shared" si="1"/>
        <v>34272</v>
      </c>
      <c r="S996" s="103">
        <f t="shared" si="2"/>
        <v>11174.1</v>
      </c>
      <c r="T996" s="103">
        <f t="shared" si="3"/>
        <v>2038.47</v>
      </c>
      <c r="U996" s="103">
        <f t="shared" si="4"/>
        <v>2109.87</v>
      </c>
      <c r="V996" s="103">
        <f t="shared" si="5"/>
        <v>48944.7</v>
      </c>
      <c r="W996" s="103">
        <f t="shared" si="6"/>
        <v>10353</v>
      </c>
      <c r="X996" s="103">
        <f t="shared" si="7"/>
        <v>297702.3</v>
      </c>
    </row>
    <row r="997" ht="12.0" customHeight="1">
      <c r="A9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97" s="87" t="str">
        <f>IFERROR(__xludf.DUMMYFUNCTION("IFERROR(IF(F997&lt;&gt;"""",""WHSE ""&amp;LEFT(F997,1),REGEXEXTRACT(E997,""-(?:\d{2}-)?([A-Z]+)"")),"""")
"),"WHSE D")</f>
        <v>WHSE D</v>
      </c>
      <c r="C997" s="117">
        <v>46118.0</v>
      </c>
      <c r="D997" s="118" t="s">
        <v>232</v>
      </c>
      <c r="E997" s="87" t="s">
        <v>909</v>
      </c>
      <c r="F997" s="87" t="s">
        <v>910</v>
      </c>
      <c r="G997" s="125" t="s">
        <v>255</v>
      </c>
      <c r="H997" s="145">
        <v>18485.0</v>
      </c>
      <c r="I997" s="170">
        <v>475.0</v>
      </c>
      <c r="J997" s="171">
        <v>9.54</v>
      </c>
      <c r="K997" s="170">
        <v>2.6</v>
      </c>
      <c r="L997" s="170">
        <v>0.565</v>
      </c>
      <c r="M997" s="172">
        <v>0.585</v>
      </c>
      <c r="N997" s="173">
        <v>13.77</v>
      </c>
      <c r="O997" s="171">
        <v>3.36</v>
      </c>
      <c r="P997" s="174">
        <v>82.87</v>
      </c>
      <c r="Q997" s="109"/>
      <c r="R997" s="103">
        <f t="shared" si="1"/>
        <v>176346.9</v>
      </c>
      <c r="S997" s="103">
        <f t="shared" si="2"/>
        <v>48061</v>
      </c>
      <c r="T997" s="103">
        <f t="shared" si="3"/>
        <v>10444.025</v>
      </c>
      <c r="U997" s="103">
        <f t="shared" si="4"/>
        <v>10813.725</v>
      </c>
      <c r="V997" s="103">
        <f t="shared" si="5"/>
        <v>254538.45</v>
      </c>
      <c r="W997" s="103">
        <f t="shared" si="6"/>
        <v>62109.6</v>
      </c>
      <c r="X997" s="103">
        <f t="shared" si="7"/>
        <v>1531851.95</v>
      </c>
    </row>
    <row r="998" ht="12.0" customHeight="1">
      <c r="A9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98" s="87" t="str">
        <f>IFERROR(__xludf.DUMMYFUNCTION("IFERROR(IF(F998&lt;&gt;"""",""WHSE ""&amp;LEFT(F998,1),REGEXEXTRACT(E998,""-(?:\d{2}-)?([A-Z]+)"")),"""")
"),"WHSE D")</f>
        <v>WHSE D</v>
      </c>
      <c r="C998" s="117">
        <v>46118.0</v>
      </c>
      <c r="D998" s="118" t="s">
        <v>232</v>
      </c>
      <c r="E998" s="87" t="s">
        <v>909</v>
      </c>
      <c r="F998" s="87" t="s">
        <v>910</v>
      </c>
      <c r="G998" s="125" t="s">
        <v>669</v>
      </c>
      <c r="H998" s="145">
        <v>18115.0</v>
      </c>
      <c r="I998" s="170">
        <v>405.0</v>
      </c>
      <c r="J998" s="171">
        <v>9.07</v>
      </c>
      <c r="K998" s="170">
        <v>3.11</v>
      </c>
      <c r="L998" s="170">
        <v>0.556</v>
      </c>
      <c r="M998" s="172">
        <v>0.576</v>
      </c>
      <c r="N998" s="173">
        <v>12.3</v>
      </c>
      <c r="O998" s="171">
        <v>4.09</v>
      </c>
      <c r="P998" s="174">
        <v>83.61</v>
      </c>
      <c r="Q998" s="109"/>
      <c r="R998" s="103">
        <f t="shared" si="1"/>
        <v>164303.05</v>
      </c>
      <c r="S998" s="103">
        <f t="shared" si="2"/>
        <v>56337.65</v>
      </c>
      <c r="T998" s="103">
        <f t="shared" si="3"/>
        <v>10071.94</v>
      </c>
      <c r="U998" s="103">
        <f t="shared" si="4"/>
        <v>10434.24</v>
      </c>
      <c r="V998" s="103">
        <f t="shared" si="5"/>
        <v>222814.5</v>
      </c>
      <c r="W998" s="103">
        <f t="shared" si="6"/>
        <v>74090.35</v>
      </c>
      <c r="X998" s="103">
        <f t="shared" si="7"/>
        <v>1514595.15</v>
      </c>
    </row>
    <row r="999" ht="12.0" customHeight="1">
      <c r="A9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999" s="87" t="str">
        <f>IFERROR(__xludf.DUMMYFUNCTION("IFERROR(IF(F999&lt;&gt;"""",""WHSE ""&amp;LEFT(F999,1),REGEXEXTRACT(E999,""-(?:\d{2}-)?([A-Z]+)"")),"""")
"),"")</f>
        <v/>
      </c>
      <c r="C999" s="108"/>
      <c r="D999" s="109"/>
      <c r="E999" s="110"/>
      <c r="F999" s="110"/>
      <c r="G999" s="111"/>
      <c r="H999" s="112"/>
      <c r="I999" s="113"/>
      <c r="J999" s="114"/>
      <c r="K999" s="115"/>
      <c r="L999" s="115"/>
      <c r="M999" s="115"/>
      <c r="N999" s="116"/>
      <c r="O999" s="114"/>
      <c r="P999" s="116"/>
      <c r="Q999" s="109"/>
      <c r="R999" s="103">
        <f t="shared" si="1"/>
        <v>0</v>
      </c>
      <c r="S999" s="103">
        <f t="shared" si="2"/>
        <v>0</v>
      </c>
      <c r="T999" s="103">
        <f t="shared" si="3"/>
        <v>0</v>
      </c>
      <c r="U999" s="103">
        <f t="shared" si="4"/>
        <v>0</v>
      </c>
      <c r="V999" s="103">
        <f t="shared" si="5"/>
        <v>0</v>
      </c>
      <c r="W999" s="103">
        <f t="shared" si="6"/>
        <v>0</v>
      </c>
      <c r="X999" s="103">
        <f t="shared" si="7"/>
        <v>0</v>
      </c>
    </row>
    <row r="1000" ht="12.0" customHeight="1">
      <c r="A10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00" s="87" t="str">
        <f>IFERROR(__xludf.DUMMYFUNCTION("IFERROR(IF(F1000&lt;&gt;"""",""WHSE ""&amp;LEFT(F1000,1),REGEXEXTRACT(E1000,""-(?:\d{2}-)?([A-Z]+)"")),"""")
"),"WHSE P")</f>
        <v>WHSE P</v>
      </c>
      <c r="C1000" s="117">
        <v>46119.0</v>
      </c>
      <c r="D1000" s="118" t="s">
        <v>905</v>
      </c>
      <c r="E1000" s="87" t="s">
        <v>906</v>
      </c>
      <c r="F1000" s="87" t="s">
        <v>907</v>
      </c>
      <c r="G1000" s="111"/>
      <c r="H1000" s="120">
        <v>10446.0</v>
      </c>
      <c r="I1000" s="121">
        <v>16.0</v>
      </c>
      <c r="J1000" s="122">
        <v>7.67</v>
      </c>
      <c r="K1000" s="167">
        <v>3.68</v>
      </c>
      <c r="L1000" s="167">
        <v>0.585</v>
      </c>
      <c r="M1000" s="167">
        <v>0.605</v>
      </c>
      <c r="N1000" s="168">
        <v>11.87</v>
      </c>
      <c r="O1000" s="169">
        <v>9.61</v>
      </c>
      <c r="P1000" s="168">
        <v>78.52</v>
      </c>
      <c r="Q1000" s="109"/>
      <c r="R1000" s="103">
        <f t="shared" si="1"/>
        <v>80120.82</v>
      </c>
      <c r="S1000" s="103">
        <f t="shared" si="2"/>
        <v>38441.28</v>
      </c>
      <c r="T1000" s="103">
        <f t="shared" si="3"/>
        <v>6110.91</v>
      </c>
      <c r="U1000" s="103">
        <f t="shared" si="4"/>
        <v>6319.83</v>
      </c>
      <c r="V1000" s="103">
        <f t="shared" si="5"/>
        <v>123994.02</v>
      </c>
      <c r="W1000" s="103">
        <f t="shared" si="6"/>
        <v>100386.06</v>
      </c>
      <c r="X1000" s="103">
        <f t="shared" si="7"/>
        <v>820219.92</v>
      </c>
    </row>
    <row r="1001" ht="12.0" customHeight="1">
      <c r="A10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01" s="87" t="str">
        <f>IFERROR(__xludf.DUMMYFUNCTION("IFERROR(IF(F1001&lt;&gt;"""",""WHSE ""&amp;LEFT(F1001,1),REGEXEXTRACT(E1001,""-(?:\d{2}-)?([A-Z]+)"")),"""")
"),"WHSE D")</f>
        <v>WHSE D</v>
      </c>
      <c r="C1001" s="117">
        <v>46119.0</v>
      </c>
      <c r="D1001" s="118" t="s">
        <v>232</v>
      </c>
      <c r="E1001" s="87" t="s">
        <v>909</v>
      </c>
      <c r="F1001" s="87" t="s">
        <v>910</v>
      </c>
      <c r="G1001" s="125" t="s">
        <v>904</v>
      </c>
      <c r="H1001" s="175">
        <v>20685.0</v>
      </c>
      <c r="I1001" s="176">
        <v>604.0</v>
      </c>
      <c r="J1001" s="177">
        <v>10.07</v>
      </c>
      <c r="K1001" s="176">
        <v>2.94</v>
      </c>
      <c r="L1001" s="176">
        <v>0.571</v>
      </c>
      <c r="M1001" s="178">
        <v>0.591</v>
      </c>
      <c r="N1001" s="179">
        <v>14.66</v>
      </c>
      <c r="O1001" s="177">
        <v>4.16</v>
      </c>
      <c r="P1001" s="180">
        <v>81.18</v>
      </c>
      <c r="Q1001" s="109"/>
      <c r="R1001" s="103">
        <f t="shared" si="1"/>
        <v>208297.95</v>
      </c>
      <c r="S1001" s="103">
        <f t="shared" si="2"/>
        <v>60813.9</v>
      </c>
      <c r="T1001" s="103">
        <f t="shared" si="3"/>
        <v>11811.135</v>
      </c>
      <c r="U1001" s="103">
        <f t="shared" si="4"/>
        <v>12224.835</v>
      </c>
      <c r="V1001" s="103">
        <f t="shared" si="5"/>
        <v>303242.1</v>
      </c>
      <c r="W1001" s="103">
        <f t="shared" si="6"/>
        <v>86049.6</v>
      </c>
      <c r="X1001" s="103">
        <f t="shared" si="7"/>
        <v>1679208.3</v>
      </c>
    </row>
    <row r="1002" ht="12.0" customHeight="1">
      <c r="A10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02" s="87" t="str">
        <f>IFERROR(__xludf.DUMMYFUNCTION("IFERROR(IF(F1002&lt;&gt;"""",""WHSE ""&amp;LEFT(F1002,1),REGEXEXTRACT(E1002,""-(?:\d{2}-)?([A-Z]+)"")),"""")
"),"FEED")</f>
        <v>FEED</v>
      </c>
      <c r="C1002" s="117">
        <v>46119.0</v>
      </c>
      <c r="D1002" s="118" t="s">
        <v>286</v>
      </c>
      <c r="E1002" s="87" t="s">
        <v>911</v>
      </c>
      <c r="F1002" s="110"/>
      <c r="G1002" s="125" t="s">
        <v>73</v>
      </c>
      <c r="H1002" s="175">
        <v>17765.0</v>
      </c>
      <c r="I1002" s="176">
        <v>515.0</v>
      </c>
      <c r="J1002" s="177">
        <v>10.74</v>
      </c>
      <c r="K1002" s="176">
        <v>2.14</v>
      </c>
      <c r="L1002" s="176">
        <v>0.578</v>
      </c>
      <c r="M1002" s="178">
        <v>0.598</v>
      </c>
      <c r="N1002" s="179">
        <v>13.86</v>
      </c>
      <c r="O1002" s="177">
        <v>3.58</v>
      </c>
      <c r="P1002" s="180">
        <v>82.56</v>
      </c>
      <c r="Q1002" s="109"/>
      <c r="R1002" s="103">
        <f t="shared" si="1"/>
        <v>190796.1</v>
      </c>
      <c r="S1002" s="103">
        <f t="shared" si="2"/>
        <v>38017.1</v>
      </c>
      <c r="T1002" s="103">
        <f t="shared" si="3"/>
        <v>10268.17</v>
      </c>
      <c r="U1002" s="103">
        <f t="shared" si="4"/>
        <v>10623.47</v>
      </c>
      <c r="V1002" s="103">
        <f t="shared" si="5"/>
        <v>246222.9</v>
      </c>
      <c r="W1002" s="103">
        <f t="shared" si="6"/>
        <v>63598.7</v>
      </c>
      <c r="X1002" s="103">
        <f t="shared" si="7"/>
        <v>1466678.4</v>
      </c>
    </row>
    <row r="1003" ht="12.0" customHeight="1">
      <c r="A10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03" s="87" t="str">
        <f>IFERROR(__xludf.DUMMYFUNCTION("IFERROR(IF(F1003&lt;&gt;"""",""WHSE ""&amp;LEFT(F1003,1),REGEXEXTRACT(E1003,""-(?:\d{2}-)?([A-Z]+)"")),"""")
"),"WHSE A")</f>
        <v>WHSE A</v>
      </c>
      <c r="C1003" s="117">
        <v>46119.0</v>
      </c>
      <c r="D1003" s="118" t="s">
        <v>72</v>
      </c>
      <c r="E1003" s="87" t="s">
        <v>891</v>
      </c>
      <c r="F1003" s="87" t="s">
        <v>892</v>
      </c>
      <c r="G1003" s="125" t="s">
        <v>77</v>
      </c>
      <c r="H1003" s="175">
        <v>16950.0</v>
      </c>
      <c r="I1003" s="176">
        <v>417.0</v>
      </c>
      <c r="J1003" s="177">
        <v>11.4</v>
      </c>
      <c r="K1003" s="176">
        <v>2.33</v>
      </c>
      <c r="L1003" s="176">
        <v>0.575</v>
      </c>
      <c r="M1003" s="178">
        <v>0.595</v>
      </c>
      <c r="N1003" s="179">
        <v>13.24</v>
      </c>
      <c r="O1003" s="177">
        <v>3.29</v>
      </c>
      <c r="P1003" s="180">
        <v>83.47</v>
      </c>
      <c r="Q1003" s="118" t="s">
        <v>912</v>
      </c>
      <c r="R1003" s="103">
        <f t="shared" si="1"/>
        <v>193230</v>
      </c>
      <c r="S1003" s="103">
        <f t="shared" si="2"/>
        <v>39493.5</v>
      </c>
      <c r="T1003" s="103">
        <f t="shared" si="3"/>
        <v>9746.25</v>
      </c>
      <c r="U1003" s="103">
        <f t="shared" si="4"/>
        <v>10085.25</v>
      </c>
      <c r="V1003" s="103">
        <f t="shared" si="5"/>
        <v>224418</v>
      </c>
      <c r="W1003" s="103">
        <f t="shared" si="6"/>
        <v>55765.5</v>
      </c>
      <c r="X1003" s="103">
        <f t="shared" si="7"/>
        <v>1414816.5</v>
      </c>
    </row>
    <row r="1004" ht="12.0" customHeight="1">
      <c r="A10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04" s="87" t="str">
        <f>IFERROR(__xludf.DUMMYFUNCTION("IFERROR(IF(F1004&lt;&gt;"""",""WHSE ""&amp;LEFT(F1004,1),REGEXEXTRACT(E1004,""-(?:\d{2}-)?([A-Z]+)"")),"""")
"),"")</f>
        <v/>
      </c>
      <c r="C1004" s="108"/>
      <c r="D1004" s="109"/>
      <c r="E1004" s="110"/>
      <c r="F1004" s="110"/>
      <c r="G1004" s="111"/>
      <c r="H1004" s="112"/>
      <c r="I1004" s="113"/>
      <c r="J1004" s="114"/>
      <c r="K1004" s="115"/>
      <c r="L1004" s="115"/>
      <c r="M1004" s="115"/>
      <c r="N1004" s="116"/>
      <c r="O1004" s="114"/>
      <c r="P1004" s="116"/>
      <c r="Q1004" s="109"/>
      <c r="R1004" s="103">
        <f t="shared" si="1"/>
        <v>0</v>
      </c>
      <c r="S1004" s="103">
        <f t="shared" si="2"/>
        <v>0</v>
      </c>
      <c r="T1004" s="103">
        <f t="shared" si="3"/>
        <v>0</v>
      </c>
      <c r="U1004" s="103">
        <f t="shared" si="4"/>
        <v>0</v>
      </c>
      <c r="V1004" s="103">
        <f t="shared" si="5"/>
        <v>0</v>
      </c>
      <c r="W1004" s="103">
        <f t="shared" si="6"/>
        <v>0</v>
      </c>
      <c r="X1004" s="103">
        <f t="shared" si="7"/>
        <v>0</v>
      </c>
    </row>
    <row r="1005" ht="12.0" customHeight="1">
      <c r="A10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05" s="87" t="str">
        <f>IFERROR(__xludf.DUMMYFUNCTION("IFERROR(IF(F1005&lt;&gt;"""",""WHSE ""&amp;LEFT(F1005,1),REGEXEXTRACT(E1005,""-(?:\d{2}-)?([A-Z]+)"")),"""")
"),"WHSE P")</f>
        <v>WHSE P</v>
      </c>
      <c r="C1005" s="117">
        <v>46120.0</v>
      </c>
      <c r="D1005" s="118" t="s">
        <v>905</v>
      </c>
      <c r="E1005" s="87" t="s">
        <v>906</v>
      </c>
      <c r="F1005" s="87" t="s">
        <v>907</v>
      </c>
      <c r="G1005" s="111"/>
      <c r="H1005" s="181">
        <v>9639.0</v>
      </c>
      <c r="I1005" s="182">
        <v>14.0</v>
      </c>
      <c r="J1005" s="183">
        <v>7.87</v>
      </c>
      <c r="K1005" s="184">
        <v>3.68</v>
      </c>
      <c r="L1005" s="184">
        <v>0.585</v>
      </c>
      <c r="M1005" s="184">
        <v>0.605</v>
      </c>
      <c r="N1005" s="185">
        <v>11.87</v>
      </c>
      <c r="O1005" s="186">
        <v>9.61</v>
      </c>
      <c r="P1005" s="185">
        <v>78.52</v>
      </c>
      <c r="Q1005" s="109"/>
      <c r="R1005" s="103">
        <f t="shared" si="1"/>
        <v>75858.93</v>
      </c>
      <c r="S1005" s="103">
        <f t="shared" si="2"/>
        <v>35471.52</v>
      </c>
      <c r="T1005" s="103">
        <f t="shared" si="3"/>
        <v>5638.815</v>
      </c>
      <c r="U1005" s="103">
        <f t="shared" si="4"/>
        <v>5831.595</v>
      </c>
      <c r="V1005" s="103">
        <f t="shared" si="5"/>
        <v>114414.93</v>
      </c>
      <c r="W1005" s="103">
        <f t="shared" si="6"/>
        <v>92630.79</v>
      </c>
      <c r="X1005" s="103">
        <f t="shared" si="7"/>
        <v>756854.28</v>
      </c>
    </row>
    <row r="1006" ht="12.0" customHeight="1">
      <c r="A10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06" s="87" t="str">
        <f>IFERROR(__xludf.DUMMYFUNCTION("IFERROR(IF(F1006&lt;&gt;"""",""WHSE ""&amp;LEFT(F1006,1),REGEXEXTRACT(E1006,""-(?:\d{2}-)?([A-Z]+)"")),"""")
"),"FEED")</f>
        <v>FEED</v>
      </c>
      <c r="C1006" s="117">
        <v>46120.0</v>
      </c>
      <c r="D1006" s="118" t="s">
        <v>286</v>
      </c>
      <c r="E1006" s="87" t="s">
        <v>913</v>
      </c>
      <c r="F1006" s="110"/>
      <c r="G1006" s="125" t="s">
        <v>73</v>
      </c>
      <c r="H1006" s="175">
        <v>19220.0</v>
      </c>
      <c r="I1006" s="176">
        <v>505.0</v>
      </c>
      <c r="J1006" s="177">
        <v>11.27</v>
      </c>
      <c r="K1006" s="176">
        <v>2.33</v>
      </c>
      <c r="L1006" s="176">
        <v>0.575</v>
      </c>
      <c r="M1006" s="178">
        <v>0.595</v>
      </c>
      <c r="N1006" s="179">
        <v>12.78</v>
      </c>
      <c r="O1006" s="177">
        <v>2.55</v>
      </c>
      <c r="P1006" s="180">
        <v>84.67</v>
      </c>
      <c r="Q1006" s="109"/>
      <c r="R1006" s="103">
        <f t="shared" si="1"/>
        <v>216609.4</v>
      </c>
      <c r="S1006" s="103">
        <f t="shared" si="2"/>
        <v>44782.6</v>
      </c>
      <c r="T1006" s="103">
        <f t="shared" si="3"/>
        <v>11051.5</v>
      </c>
      <c r="U1006" s="103">
        <f t="shared" si="4"/>
        <v>11435.9</v>
      </c>
      <c r="V1006" s="103">
        <f t="shared" si="5"/>
        <v>245631.6</v>
      </c>
      <c r="W1006" s="103">
        <f t="shared" si="6"/>
        <v>49011</v>
      </c>
      <c r="X1006" s="103">
        <f t="shared" si="7"/>
        <v>1627357.4</v>
      </c>
    </row>
    <row r="1007" ht="12.0" customHeight="1">
      <c r="A10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07" s="87" t="str">
        <f>IFERROR(__xludf.DUMMYFUNCTION("IFERROR(IF(F1007&lt;&gt;"""",""WHSE ""&amp;LEFT(F1007,1),REGEXEXTRACT(E1007,""-(?:\d{2}-)?([A-Z]+)"")),"""")
"),"WHSE D")</f>
        <v>WHSE D</v>
      </c>
      <c r="C1007" s="117">
        <v>46120.0</v>
      </c>
      <c r="D1007" s="118" t="s">
        <v>232</v>
      </c>
      <c r="E1007" s="87" t="s">
        <v>914</v>
      </c>
      <c r="F1007" s="87" t="s">
        <v>915</v>
      </c>
      <c r="G1007" s="125" t="s">
        <v>77</v>
      </c>
      <c r="H1007" s="175">
        <v>16710.0</v>
      </c>
      <c r="I1007" s="176">
        <v>499.0</v>
      </c>
      <c r="J1007" s="177">
        <v>9.74</v>
      </c>
      <c r="K1007" s="176">
        <v>3.11</v>
      </c>
      <c r="L1007" s="176">
        <v>0.571</v>
      </c>
      <c r="M1007" s="178">
        <v>0.591</v>
      </c>
      <c r="N1007" s="179">
        <v>13.61</v>
      </c>
      <c r="O1007" s="177">
        <v>3.08</v>
      </c>
      <c r="P1007" s="180">
        <v>83.31</v>
      </c>
      <c r="R1007" s="103">
        <f t="shared" si="1"/>
        <v>162755.4</v>
      </c>
      <c r="S1007" s="103">
        <f t="shared" si="2"/>
        <v>51968.1</v>
      </c>
      <c r="T1007" s="103">
        <f t="shared" si="3"/>
        <v>9541.41</v>
      </c>
      <c r="U1007" s="103">
        <f t="shared" si="4"/>
        <v>9875.61</v>
      </c>
      <c r="V1007" s="103">
        <f t="shared" si="5"/>
        <v>227423.1</v>
      </c>
      <c r="W1007" s="103">
        <f t="shared" si="6"/>
        <v>51466.8</v>
      </c>
      <c r="X1007" s="103">
        <f t="shared" si="7"/>
        <v>1392110.1</v>
      </c>
    </row>
    <row r="1008" ht="12.0" customHeight="1">
      <c r="A10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08" s="87" t="str">
        <f>IFERROR(__xludf.DUMMYFUNCTION("IFERROR(IF(F1008&lt;&gt;"""",""WHSE ""&amp;LEFT(F1008,1),REGEXEXTRACT(E1008,""-(?:\d{2}-)?([A-Z]+)"")),"""")
"),"WHSE D")</f>
        <v>WHSE D</v>
      </c>
      <c r="C1008" s="117">
        <v>46120.0</v>
      </c>
      <c r="D1008" s="118" t="s">
        <v>232</v>
      </c>
      <c r="E1008" s="87" t="s">
        <v>902</v>
      </c>
      <c r="F1008" s="87" t="s">
        <v>903</v>
      </c>
      <c r="G1008" s="125" t="s">
        <v>668</v>
      </c>
      <c r="H1008" s="175">
        <v>10655.0</v>
      </c>
      <c r="I1008" s="176">
        <v>291.0</v>
      </c>
      <c r="J1008" s="177">
        <v>10.94</v>
      </c>
      <c r="K1008" s="176">
        <v>2.94</v>
      </c>
      <c r="L1008" s="176">
        <v>0.562</v>
      </c>
      <c r="M1008" s="178">
        <v>0.582</v>
      </c>
      <c r="N1008" s="179">
        <v>13.49</v>
      </c>
      <c r="O1008" s="177">
        <v>2.99</v>
      </c>
      <c r="P1008" s="180">
        <v>83.52</v>
      </c>
      <c r="Q1008" s="118" t="s">
        <v>916</v>
      </c>
      <c r="R1008" s="103">
        <f t="shared" si="1"/>
        <v>116565.7</v>
      </c>
      <c r="S1008" s="103">
        <f t="shared" si="2"/>
        <v>31325.7</v>
      </c>
      <c r="T1008" s="103">
        <f t="shared" si="3"/>
        <v>5988.11</v>
      </c>
      <c r="U1008" s="103">
        <f t="shared" si="4"/>
        <v>6201.21</v>
      </c>
      <c r="V1008" s="103">
        <f t="shared" si="5"/>
        <v>143735.95</v>
      </c>
      <c r="W1008" s="103">
        <f t="shared" si="6"/>
        <v>31858.45</v>
      </c>
      <c r="X1008" s="103">
        <f t="shared" si="7"/>
        <v>889905.6</v>
      </c>
    </row>
    <row r="1009" ht="12.0" customHeight="1">
      <c r="A10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09" s="87" t="str">
        <f>IFERROR(__xludf.DUMMYFUNCTION("IFERROR(IF(F1009&lt;&gt;"""",""WHSE ""&amp;LEFT(F1009,1),REGEXEXTRACT(E1009,""-(?:\d{2}-)?([A-Z]+)"")),"""")
"),"WHSE D")</f>
        <v>WHSE D</v>
      </c>
      <c r="C1009" s="117">
        <v>46120.0</v>
      </c>
      <c r="D1009" s="118" t="s">
        <v>232</v>
      </c>
      <c r="E1009" s="87" t="s">
        <v>917</v>
      </c>
      <c r="F1009" s="87" t="s">
        <v>628</v>
      </c>
      <c r="G1009" s="125" t="s">
        <v>882</v>
      </c>
      <c r="H1009" s="175">
        <v>27415.0</v>
      </c>
      <c r="I1009" s="176">
        <v>516.0</v>
      </c>
      <c r="J1009" s="177">
        <v>9.87</v>
      </c>
      <c r="K1009" s="176">
        <v>3.71</v>
      </c>
      <c r="L1009" s="176">
        <v>0.556</v>
      </c>
      <c r="M1009" s="178">
        <v>0.576</v>
      </c>
      <c r="N1009" s="179">
        <v>14.45</v>
      </c>
      <c r="O1009" s="177">
        <v>3.89</v>
      </c>
      <c r="P1009" s="180">
        <v>81.66</v>
      </c>
      <c r="Q1009" s="109"/>
      <c r="R1009" s="103">
        <f t="shared" si="1"/>
        <v>270586.05</v>
      </c>
      <c r="S1009" s="103">
        <f t="shared" si="2"/>
        <v>101709.65</v>
      </c>
      <c r="T1009" s="103">
        <f t="shared" si="3"/>
        <v>15242.74</v>
      </c>
      <c r="U1009" s="103">
        <f t="shared" si="4"/>
        <v>15791.04</v>
      </c>
      <c r="V1009" s="103">
        <f t="shared" si="5"/>
        <v>396146.75</v>
      </c>
      <c r="W1009" s="103">
        <f t="shared" si="6"/>
        <v>106644.35</v>
      </c>
      <c r="X1009" s="103">
        <f t="shared" si="7"/>
        <v>2238708.9</v>
      </c>
    </row>
    <row r="1010" ht="12.0" customHeight="1">
      <c r="A10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10" s="87" t="str">
        <f>IFERROR(__xludf.DUMMYFUNCTION("IFERROR(IF(F1010&lt;&gt;"""",""WHSE ""&amp;LEFT(F1010,1),REGEXEXTRACT(E1010,""-(?:\d{2}-)?([A-Z]+)"")),"""")
"),"WHSE D")</f>
        <v>WHSE D</v>
      </c>
      <c r="C1010" s="117">
        <v>46120.0</v>
      </c>
      <c r="D1010" s="118" t="s">
        <v>232</v>
      </c>
      <c r="E1010" s="87" t="s">
        <v>914</v>
      </c>
      <c r="F1010" s="87" t="s">
        <v>915</v>
      </c>
      <c r="G1010" s="125" t="s">
        <v>918</v>
      </c>
      <c r="H1010" s="175">
        <v>8160.0</v>
      </c>
      <c r="I1010" s="176">
        <v>280.0</v>
      </c>
      <c r="J1010" s="177">
        <v>7.74</v>
      </c>
      <c r="K1010" s="176">
        <v>2.55</v>
      </c>
      <c r="L1010" s="176">
        <v>0.578</v>
      </c>
      <c r="M1010" s="178">
        <v>0.598</v>
      </c>
      <c r="N1010" s="179">
        <v>13.41</v>
      </c>
      <c r="O1010" s="177">
        <v>2.99</v>
      </c>
      <c r="P1010" s="180">
        <v>83.6</v>
      </c>
      <c r="Q1010" s="109"/>
      <c r="R1010" s="103">
        <f t="shared" si="1"/>
        <v>63158.4</v>
      </c>
      <c r="S1010" s="103">
        <f t="shared" si="2"/>
        <v>20808</v>
      </c>
      <c r="T1010" s="103">
        <f t="shared" si="3"/>
        <v>4716.48</v>
      </c>
      <c r="U1010" s="103">
        <f t="shared" si="4"/>
        <v>4879.68</v>
      </c>
      <c r="V1010" s="103">
        <f t="shared" si="5"/>
        <v>109425.6</v>
      </c>
      <c r="W1010" s="103">
        <f t="shared" si="6"/>
        <v>24398.4</v>
      </c>
      <c r="X1010" s="103">
        <f t="shared" si="7"/>
        <v>682176</v>
      </c>
    </row>
    <row r="1011" ht="12.0" customHeight="1">
      <c r="A10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11" s="87" t="str">
        <f>IFERROR(__xludf.DUMMYFUNCTION("IFERROR(IF(F1011&lt;&gt;"""",""WHSE ""&amp;LEFT(F1011,1),REGEXEXTRACT(E1011,""-(?:\d{2}-)?([A-Z]+)"")),"""")
"),"")</f>
        <v/>
      </c>
      <c r="C1011" s="108"/>
      <c r="D1011" s="109"/>
      <c r="E1011" s="110"/>
      <c r="F1011" s="110"/>
      <c r="G1011" s="111"/>
      <c r="H1011" s="187"/>
      <c r="I1011" s="188"/>
      <c r="J1011" s="189"/>
      <c r="K1011" s="190"/>
      <c r="L1011" s="190"/>
      <c r="M1011" s="191"/>
      <c r="N1011" s="192"/>
      <c r="O1011" s="189"/>
      <c r="P1011" s="193"/>
      <c r="Q1011" s="194"/>
      <c r="R1011" s="103">
        <f t="shared" si="1"/>
        <v>0</v>
      </c>
      <c r="S1011" s="103">
        <f t="shared" si="2"/>
        <v>0</v>
      </c>
      <c r="T1011" s="103">
        <f t="shared" si="3"/>
        <v>0</v>
      </c>
      <c r="U1011" s="103">
        <f t="shared" si="4"/>
        <v>0</v>
      </c>
      <c r="V1011" s="103">
        <f t="shared" si="5"/>
        <v>0</v>
      </c>
      <c r="W1011" s="103">
        <f t="shared" si="6"/>
        <v>0</v>
      </c>
      <c r="X1011" s="103">
        <f t="shared" si="7"/>
        <v>0</v>
      </c>
    </row>
    <row r="1012" ht="12.0" customHeight="1">
      <c r="A10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12" s="87" t="str">
        <f>IFERROR(__xludf.DUMMYFUNCTION("IFERROR(IF(F1012&lt;&gt;"""",""WHSE ""&amp;LEFT(F1012,1),REGEXEXTRACT(E1012,""-(?:\d{2}-)?([A-Z]+)"")),"""")
"),"WHSE P")</f>
        <v>WHSE P</v>
      </c>
      <c r="C1012" s="117">
        <v>46121.0</v>
      </c>
      <c r="D1012" s="118" t="s">
        <v>905</v>
      </c>
      <c r="E1012" s="87" t="s">
        <v>906</v>
      </c>
      <c r="F1012" s="87" t="s">
        <v>907</v>
      </c>
      <c r="G1012" s="111"/>
      <c r="H1012" s="195">
        <v>9767.0</v>
      </c>
      <c r="I1012" s="196">
        <v>15.0</v>
      </c>
      <c r="J1012" s="197">
        <v>7.94</v>
      </c>
      <c r="K1012" s="184">
        <v>3.68</v>
      </c>
      <c r="L1012" s="184">
        <v>0.585</v>
      </c>
      <c r="M1012" s="184">
        <v>0.605</v>
      </c>
      <c r="N1012" s="185">
        <v>11.87</v>
      </c>
      <c r="O1012" s="186">
        <v>9.61</v>
      </c>
      <c r="P1012" s="185">
        <v>78.52</v>
      </c>
      <c r="Q1012" s="194"/>
      <c r="R1012" s="103">
        <f t="shared" si="1"/>
        <v>77549.98</v>
      </c>
      <c r="S1012" s="103">
        <f t="shared" si="2"/>
        <v>35942.56</v>
      </c>
      <c r="T1012" s="103">
        <f t="shared" si="3"/>
        <v>5713.695</v>
      </c>
      <c r="U1012" s="103">
        <f t="shared" si="4"/>
        <v>5909.035</v>
      </c>
      <c r="V1012" s="103">
        <f t="shared" si="5"/>
        <v>115934.29</v>
      </c>
      <c r="W1012" s="103">
        <f t="shared" si="6"/>
        <v>93860.87</v>
      </c>
      <c r="X1012" s="103">
        <f t="shared" si="7"/>
        <v>766904.84</v>
      </c>
    </row>
    <row r="1013" ht="12.0" customHeight="1">
      <c r="A10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1013" s="87" t="str">
        <f>IFERROR(__xludf.DUMMYFUNCTION("IFERROR(IF(F1013&lt;&gt;"""",""WHSE ""&amp;LEFT(F1013,1),REGEXEXTRACT(E1013,""-(?:\d{2}-)?([A-Z]+)"")),"""")
"),"WHSE A")</f>
        <v>WHSE A</v>
      </c>
      <c r="C1013" s="117">
        <v>46121.0</v>
      </c>
      <c r="D1013" s="118" t="s">
        <v>72</v>
      </c>
      <c r="E1013" s="87" t="s">
        <v>900</v>
      </c>
      <c r="F1013" s="87" t="s">
        <v>901</v>
      </c>
      <c r="G1013" s="125" t="s">
        <v>77</v>
      </c>
      <c r="H1013" s="175">
        <v>17280.0</v>
      </c>
      <c r="I1013" s="176">
        <v>505.0</v>
      </c>
      <c r="J1013" s="177">
        <v>11.74</v>
      </c>
      <c r="K1013" s="176">
        <v>2.6</v>
      </c>
      <c r="L1013" s="176">
        <v>0.571</v>
      </c>
      <c r="M1013" s="178">
        <v>0.591</v>
      </c>
      <c r="N1013" s="179">
        <v>12.25</v>
      </c>
      <c r="O1013" s="177">
        <v>3.74</v>
      </c>
      <c r="P1013" s="180">
        <v>84.01</v>
      </c>
      <c r="Q1013" s="118" t="s">
        <v>919</v>
      </c>
      <c r="R1013" s="103">
        <f t="shared" si="1"/>
        <v>202867.2</v>
      </c>
      <c r="S1013" s="103">
        <f t="shared" si="2"/>
        <v>44928</v>
      </c>
      <c r="T1013" s="103">
        <f t="shared" si="3"/>
        <v>9866.88</v>
      </c>
      <c r="U1013" s="103">
        <f t="shared" si="4"/>
        <v>10212.48</v>
      </c>
      <c r="V1013" s="103">
        <f t="shared" si="5"/>
        <v>211680</v>
      </c>
      <c r="W1013" s="103">
        <f t="shared" si="6"/>
        <v>64627.2</v>
      </c>
      <c r="X1013" s="103">
        <f t="shared" si="7"/>
        <v>1451692.8</v>
      </c>
    </row>
    <row r="1014" ht="12.0" customHeight="1">
      <c r="A10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14" s="87" t="str">
        <f>IFERROR(__xludf.DUMMYFUNCTION("IFERROR(IF(F1014&lt;&gt;"""",""WHSE ""&amp;LEFT(F1014,1),REGEXEXTRACT(E1014,""-(?:\d{2}-)?([A-Z]+)"")),"""")
"),"FEED")</f>
        <v>FEED</v>
      </c>
      <c r="C1014" s="117">
        <v>46121.0</v>
      </c>
      <c r="D1014" s="118" t="s">
        <v>286</v>
      </c>
      <c r="E1014" s="87" t="s">
        <v>920</v>
      </c>
      <c r="F1014" s="110"/>
      <c r="G1014" s="125" t="s">
        <v>73</v>
      </c>
      <c r="H1014" s="175">
        <v>19530.0</v>
      </c>
      <c r="I1014" s="176">
        <v>510.0</v>
      </c>
      <c r="J1014" s="177">
        <v>11.34</v>
      </c>
      <c r="K1014" s="176">
        <v>2.43</v>
      </c>
      <c r="L1014" s="176">
        <v>0.575</v>
      </c>
      <c r="M1014" s="178">
        <v>0.595</v>
      </c>
      <c r="N1014" s="179">
        <v>12.96</v>
      </c>
      <c r="O1014" s="177">
        <v>3.35</v>
      </c>
      <c r="P1014" s="180">
        <v>83.69</v>
      </c>
      <c r="Q1014" s="194"/>
      <c r="R1014" s="198"/>
      <c r="S1014" s="198"/>
      <c r="T1014" s="198"/>
      <c r="U1014" s="198"/>
      <c r="V1014" s="198"/>
      <c r="W1014" s="198"/>
      <c r="X1014" s="198"/>
    </row>
    <row r="1015" ht="12.0" customHeight="1">
      <c r="A10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15" s="87" t="str">
        <f>IFERROR(__xludf.DUMMYFUNCTION("IFERROR(IF(F1015&lt;&gt;"""",""WHSE ""&amp;LEFT(F1015,1),REGEXEXTRACT(E1015,""-(?:\d{2}-)?([A-Z]+)"")),"""")
"),"WHSE D")</f>
        <v>WHSE D</v>
      </c>
      <c r="C1015" s="117">
        <v>46121.0</v>
      </c>
      <c r="D1015" s="118" t="s">
        <v>232</v>
      </c>
      <c r="E1015" s="87" t="s">
        <v>914</v>
      </c>
      <c r="F1015" s="87" t="s">
        <v>915</v>
      </c>
      <c r="G1015" s="125" t="s">
        <v>255</v>
      </c>
      <c r="H1015" s="175">
        <v>17400.0</v>
      </c>
      <c r="I1015" s="176">
        <v>497.0</v>
      </c>
      <c r="J1015" s="177">
        <v>10.07</v>
      </c>
      <c r="K1015" s="176">
        <v>3.17</v>
      </c>
      <c r="L1015" s="176">
        <v>0.575</v>
      </c>
      <c r="M1015" s="178">
        <v>0.595</v>
      </c>
      <c r="N1015" s="179">
        <v>13.47</v>
      </c>
      <c r="O1015" s="177">
        <v>3.98</v>
      </c>
      <c r="P1015" s="180">
        <v>82.55</v>
      </c>
      <c r="Q1015" s="194"/>
      <c r="R1015" s="198"/>
      <c r="S1015" s="198"/>
      <c r="T1015" s="198"/>
      <c r="U1015" s="198"/>
      <c r="V1015" s="198"/>
      <c r="W1015" s="198"/>
      <c r="X1015" s="198"/>
    </row>
    <row r="1016" ht="12.0" customHeight="1">
      <c r="A10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16" s="87" t="str">
        <f>IFERROR(__xludf.DUMMYFUNCTION("IFERROR(IF(F1016&lt;&gt;"""",""WHSE ""&amp;LEFT(F1016,1),REGEXEXTRACT(E1016,""-(?:\d{2}-)?([A-Z]+)"")),"""")
"),"")</f>
        <v/>
      </c>
      <c r="C1016" s="108"/>
      <c r="D1016" s="109"/>
      <c r="E1016" s="110"/>
      <c r="F1016" s="110"/>
      <c r="G1016" s="199"/>
      <c r="H1016" s="200"/>
      <c r="I1016" s="201"/>
      <c r="J1016" s="202"/>
      <c r="K1016" s="203"/>
      <c r="L1016" s="203"/>
      <c r="M1016" s="203"/>
      <c r="N1016" s="192"/>
      <c r="O1016" s="202"/>
      <c r="P1016" s="192"/>
      <c r="Q1016" s="109"/>
      <c r="R1016" s="198"/>
      <c r="S1016" s="198"/>
      <c r="T1016" s="198"/>
      <c r="U1016" s="198"/>
      <c r="V1016" s="198"/>
      <c r="W1016" s="198"/>
      <c r="X1016" s="198"/>
    </row>
    <row r="1017" ht="12.0" customHeight="1">
      <c r="A10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17" s="87" t="str">
        <f>IFERROR(__xludf.DUMMYFUNCTION("IFERROR(IF(F1017&lt;&gt;"""",""WHSE ""&amp;LEFT(F1017,1),REGEXEXTRACT(E1017,""-(?:\d{2}-)?([A-Z]+)"")),"""")
"),"WHSE P")</f>
        <v>WHSE P</v>
      </c>
      <c r="C1017" s="117">
        <v>46122.0</v>
      </c>
      <c r="D1017" s="118" t="s">
        <v>905</v>
      </c>
      <c r="E1017" s="87" t="s">
        <v>906</v>
      </c>
      <c r="F1017" s="87" t="s">
        <v>907</v>
      </c>
      <c r="G1017" s="199"/>
      <c r="H1017" s="181">
        <v>6316.0</v>
      </c>
      <c r="I1017" s="182">
        <v>10.0</v>
      </c>
      <c r="J1017" s="183">
        <v>7.54</v>
      </c>
      <c r="K1017" s="184">
        <v>3.68</v>
      </c>
      <c r="L1017" s="184">
        <v>0.585</v>
      </c>
      <c r="M1017" s="184">
        <v>0.605</v>
      </c>
      <c r="N1017" s="185">
        <v>11.87</v>
      </c>
      <c r="O1017" s="186">
        <v>9.61</v>
      </c>
      <c r="P1017" s="185">
        <v>78.52</v>
      </c>
      <c r="Q1017" s="109"/>
      <c r="R1017" s="198"/>
      <c r="S1017" s="198"/>
      <c r="T1017" s="198"/>
      <c r="U1017" s="198"/>
      <c r="V1017" s="198"/>
      <c r="W1017" s="198"/>
      <c r="X1017" s="198"/>
    </row>
    <row r="1018" ht="12.0" customHeight="1">
      <c r="A10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18" s="87" t="str">
        <f>IFERROR(__xludf.DUMMYFUNCTION("IFERROR(IF(F1018&lt;&gt;"""",""WHSE ""&amp;LEFT(F1018,1),REGEXEXTRACT(E1018,""-(?:\d{2}-)?([A-Z]+)"")),"""")
"),"WHSE P")</f>
        <v>WHSE P</v>
      </c>
      <c r="C1018" s="117">
        <v>46122.0</v>
      </c>
      <c r="D1018" s="118" t="s">
        <v>905</v>
      </c>
      <c r="E1018" s="87" t="s">
        <v>906</v>
      </c>
      <c r="F1018" s="87" t="s">
        <v>907</v>
      </c>
      <c r="G1018" s="199"/>
      <c r="H1018" s="181">
        <v>706.0</v>
      </c>
      <c r="I1018" s="182">
        <v>1.0</v>
      </c>
      <c r="J1018" s="183">
        <v>9.74</v>
      </c>
      <c r="K1018" s="184">
        <v>3.68</v>
      </c>
      <c r="L1018" s="184">
        <v>0.585</v>
      </c>
      <c r="M1018" s="184">
        <v>0.605</v>
      </c>
      <c r="N1018" s="185">
        <v>11.87</v>
      </c>
      <c r="O1018" s="186">
        <v>9.61</v>
      </c>
      <c r="P1018" s="185">
        <v>78.52</v>
      </c>
      <c r="Q1018" s="109"/>
      <c r="R1018" s="198"/>
      <c r="S1018" s="198"/>
      <c r="T1018" s="198"/>
      <c r="U1018" s="198"/>
      <c r="V1018" s="198"/>
      <c r="W1018" s="198"/>
      <c r="X1018" s="198"/>
    </row>
    <row r="1019" ht="12.0" customHeight="1">
      <c r="A10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19" s="87" t="str">
        <f>IFERROR(__xludf.DUMMYFUNCTION("IFERROR(IF(F1019&lt;&gt;"""",""WHSE ""&amp;LEFT(F1019,1),REGEXEXTRACT(E1019,""-(?:\d{2}-)?([A-Z]+)"")),"""")
"),"WHSE D")</f>
        <v>WHSE D</v>
      </c>
      <c r="C1019" s="117">
        <v>46122.0</v>
      </c>
      <c r="D1019" s="118" t="s">
        <v>232</v>
      </c>
      <c r="E1019" s="87" t="s">
        <v>921</v>
      </c>
      <c r="F1019" s="87" t="s">
        <v>922</v>
      </c>
      <c r="G1019" s="204" t="s">
        <v>730</v>
      </c>
      <c r="H1019" s="175">
        <v>20150.0</v>
      </c>
      <c r="I1019" s="176">
        <v>600.0</v>
      </c>
      <c r="J1019" s="177">
        <v>10.8</v>
      </c>
      <c r="K1019" s="176">
        <v>3.31</v>
      </c>
      <c r="L1019" s="176">
        <v>0.571</v>
      </c>
      <c r="M1019" s="178">
        <v>0.591</v>
      </c>
      <c r="N1019" s="179">
        <v>12.49</v>
      </c>
      <c r="O1019" s="177">
        <v>3.96</v>
      </c>
      <c r="P1019" s="180">
        <v>83.55</v>
      </c>
      <c r="Q1019" s="109"/>
      <c r="R1019" s="198"/>
      <c r="S1019" s="198"/>
      <c r="T1019" s="198"/>
      <c r="U1019" s="198"/>
      <c r="V1019" s="198"/>
      <c r="W1019" s="198"/>
      <c r="X1019" s="198"/>
    </row>
    <row r="1020" ht="12.0" customHeight="1">
      <c r="A10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20" s="87" t="str">
        <f>IFERROR(__xludf.DUMMYFUNCTION("IFERROR(IF(F1020&lt;&gt;"""",""WHSE ""&amp;LEFT(F1020,1),REGEXEXTRACT(E1020,""-(?:\d{2}-)?([A-Z]+)"")),"""")
"),"FEED")</f>
        <v>FEED</v>
      </c>
      <c r="C1020" s="117">
        <v>46122.0</v>
      </c>
      <c r="D1020" s="118" t="s">
        <v>286</v>
      </c>
      <c r="E1020" s="87" t="s">
        <v>923</v>
      </c>
      <c r="F1020" s="110"/>
      <c r="G1020" s="204" t="s">
        <v>77</v>
      </c>
      <c r="H1020" s="175">
        <v>19120.0</v>
      </c>
      <c r="I1020" s="176">
        <v>490.0</v>
      </c>
      <c r="J1020" s="177">
        <v>11.2</v>
      </c>
      <c r="K1020" s="176">
        <v>2.16</v>
      </c>
      <c r="L1020" s="176">
        <v>0.575</v>
      </c>
      <c r="M1020" s="178">
        <v>0.595</v>
      </c>
      <c r="N1020" s="179">
        <v>13.88</v>
      </c>
      <c r="O1020" s="177">
        <v>3.18</v>
      </c>
      <c r="P1020" s="180">
        <v>82.94</v>
      </c>
      <c r="Q1020" s="109"/>
      <c r="R1020" s="198"/>
      <c r="S1020" s="198"/>
      <c r="T1020" s="198"/>
      <c r="U1020" s="198"/>
      <c r="V1020" s="198"/>
      <c r="W1020" s="198"/>
      <c r="X1020" s="198"/>
    </row>
    <row r="1021" ht="12.0" customHeight="1">
      <c r="A10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1021" s="87" t="str">
        <f>IFERROR(__xludf.DUMMYFUNCTION("IFERROR(IF(F1021&lt;&gt;"""",""WHSE ""&amp;LEFT(F1021,1),REGEXEXTRACT(E1021,""-(?:\d{2}-)?([A-Z]+)"")),"""")
"),"WHSE A")</f>
        <v>WHSE A</v>
      </c>
      <c r="C1021" s="117">
        <v>46122.0</v>
      </c>
      <c r="D1021" s="118" t="s">
        <v>72</v>
      </c>
      <c r="E1021" s="87" t="s">
        <v>900</v>
      </c>
      <c r="F1021" s="87" t="s">
        <v>901</v>
      </c>
      <c r="G1021" s="204" t="s">
        <v>73</v>
      </c>
      <c r="H1021" s="175">
        <v>17290.0</v>
      </c>
      <c r="I1021" s="176">
        <v>436.0</v>
      </c>
      <c r="J1021" s="177">
        <v>11.87</v>
      </c>
      <c r="K1021" s="176">
        <v>2.73</v>
      </c>
      <c r="L1021" s="176">
        <v>0.578</v>
      </c>
      <c r="M1021" s="178">
        <v>0.598</v>
      </c>
      <c r="N1021" s="179">
        <v>13.06</v>
      </c>
      <c r="O1021" s="177">
        <v>3.47</v>
      </c>
      <c r="P1021" s="180">
        <v>83.47</v>
      </c>
      <c r="Q1021" s="109"/>
      <c r="R1021" s="198"/>
      <c r="S1021" s="198"/>
      <c r="T1021" s="198"/>
      <c r="U1021" s="198"/>
      <c r="V1021" s="198"/>
      <c r="W1021" s="198"/>
      <c r="X1021" s="198"/>
    </row>
    <row r="1022" ht="12.0" customHeight="1">
      <c r="A10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22" s="205" t="str">
        <f>IFERROR(__xludf.DUMMYFUNCTION("IFERROR(IF(F1022&lt;&gt;"""",""WHSE ""&amp;LEFT(F1022,1),REGEXEXTRACT(E1022,""-(?:\d{2}-)?([A-Z]+)"")),"""")
"),"")</f>
        <v/>
      </c>
      <c r="C1022" s="206"/>
      <c r="D1022" s="194"/>
      <c r="E1022" s="207"/>
      <c r="F1022" s="207"/>
      <c r="G1022" s="199"/>
      <c r="H1022" s="200"/>
      <c r="I1022" s="201"/>
      <c r="J1022" s="202"/>
      <c r="K1022" s="203"/>
      <c r="L1022" s="203"/>
      <c r="M1022" s="203"/>
      <c r="N1022" s="192"/>
      <c r="O1022" s="202"/>
      <c r="P1022" s="192"/>
      <c r="Q1022" s="194"/>
      <c r="R1022" s="198"/>
      <c r="S1022" s="198"/>
      <c r="T1022" s="198"/>
      <c r="U1022" s="198"/>
      <c r="V1022" s="198"/>
      <c r="W1022" s="198"/>
      <c r="X1022" s="198"/>
    </row>
    <row r="1023" ht="12.0" customHeight="1">
      <c r="A10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23" s="87" t="str">
        <f>IFERROR(__xludf.DUMMYFUNCTION("IFERROR(IF(F1023&lt;&gt;"""",""WHSE ""&amp;LEFT(F1023,1),REGEXEXTRACT(E1023,""-(?:\d{2}-)?([A-Z]+)"")),"""")
"),"WHSE P")</f>
        <v>WHSE P</v>
      </c>
      <c r="C1023" s="117">
        <v>46125.0</v>
      </c>
      <c r="D1023" s="118" t="s">
        <v>924</v>
      </c>
      <c r="E1023" s="87" t="s">
        <v>925</v>
      </c>
      <c r="F1023" s="87" t="s">
        <v>776</v>
      </c>
      <c r="G1023" s="199"/>
      <c r="H1023" s="181">
        <v>2843.0</v>
      </c>
      <c r="I1023" s="182">
        <v>5.0</v>
      </c>
      <c r="J1023" s="183">
        <v>9.4</v>
      </c>
      <c r="K1023" s="184">
        <v>2.87</v>
      </c>
      <c r="L1023" s="184">
        <v>0.585</v>
      </c>
      <c r="M1023" s="184">
        <v>0.605</v>
      </c>
      <c r="N1023" s="185">
        <v>17.32</v>
      </c>
      <c r="O1023" s="186">
        <v>6.02</v>
      </c>
      <c r="P1023" s="185">
        <v>76.66</v>
      </c>
      <c r="Q1023" s="109"/>
      <c r="R1023" s="198"/>
      <c r="S1023" s="198"/>
      <c r="T1023" s="198"/>
      <c r="U1023" s="198"/>
      <c r="V1023" s="198"/>
      <c r="W1023" s="198"/>
      <c r="X1023" s="198"/>
    </row>
    <row r="1024" ht="12.0" customHeight="1">
      <c r="A10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24" s="87" t="str">
        <f>IFERROR(__xludf.DUMMYFUNCTION("IFERROR(IF(F1024&lt;&gt;"""",""WHSE ""&amp;LEFT(F1024,1),REGEXEXTRACT(E1024,""-(?:\d{2}-)?([A-Z]+)"")),"""")
"),"WHSE D")</f>
        <v>WHSE D</v>
      </c>
      <c r="C1024" s="117">
        <v>46125.0</v>
      </c>
      <c r="D1024" s="118" t="s">
        <v>64</v>
      </c>
      <c r="E1024" s="87" t="s">
        <v>864</v>
      </c>
      <c r="F1024" s="87" t="s">
        <v>865</v>
      </c>
      <c r="G1024" s="204" t="s">
        <v>65</v>
      </c>
      <c r="H1024" s="175">
        <v>21935.0</v>
      </c>
      <c r="I1024" s="208">
        <v>528.0</v>
      </c>
      <c r="J1024" s="177">
        <v>11.74</v>
      </c>
      <c r="K1024" s="208">
        <v>2.27</v>
      </c>
      <c r="L1024" s="176">
        <v>0.571</v>
      </c>
      <c r="M1024" s="178">
        <v>0.591</v>
      </c>
      <c r="N1024" s="179">
        <v>13.25</v>
      </c>
      <c r="O1024" s="177">
        <v>3.08</v>
      </c>
      <c r="P1024" s="180">
        <v>83.67</v>
      </c>
      <c r="Q1024" s="118" t="s">
        <v>926</v>
      </c>
      <c r="R1024" s="198"/>
      <c r="S1024" s="198"/>
      <c r="T1024" s="198"/>
      <c r="U1024" s="198"/>
      <c r="V1024" s="198"/>
      <c r="W1024" s="198"/>
      <c r="X1024" s="198"/>
    </row>
    <row r="1025" ht="12.0" customHeight="1">
      <c r="A10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25" s="87" t="str">
        <f>IFERROR(__xludf.DUMMYFUNCTION("IFERROR(IF(F1025&lt;&gt;"""",""WHSE ""&amp;LEFT(F1025,1),REGEXEXTRACT(E1025,""-(?:\d{2}-)?([A-Z]+)"")),"""")
"),"WHSE D")</f>
        <v>WHSE D</v>
      </c>
      <c r="C1025" s="117">
        <v>46125.0</v>
      </c>
      <c r="D1025" s="118" t="s">
        <v>232</v>
      </c>
      <c r="E1025" s="87" t="s">
        <v>927</v>
      </c>
      <c r="F1025" s="87" t="s">
        <v>526</v>
      </c>
      <c r="G1025" s="204" t="s">
        <v>77</v>
      </c>
      <c r="H1025" s="175">
        <v>18250.0</v>
      </c>
      <c r="I1025" s="208">
        <v>630.0</v>
      </c>
      <c r="J1025" s="177">
        <v>10.2</v>
      </c>
      <c r="K1025" s="208">
        <v>2.68</v>
      </c>
      <c r="L1025" s="176">
        <v>0.571</v>
      </c>
      <c r="M1025" s="178">
        <v>0.591</v>
      </c>
      <c r="N1025" s="179">
        <v>12.68</v>
      </c>
      <c r="O1025" s="177">
        <v>3.49</v>
      </c>
      <c r="P1025" s="180">
        <v>83.83</v>
      </c>
      <c r="Q1025" s="109"/>
      <c r="R1025" s="198"/>
      <c r="S1025" s="198"/>
      <c r="T1025" s="198"/>
      <c r="U1025" s="198"/>
      <c r="V1025" s="198"/>
      <c r="W1025" s="198"/>
      <c r="X1025" s="198"/>
    </row>
    <row r="1026" ht="12.0" customHeight="1">
      <c r="A10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26" s="87" t="str">
        <f>IFERROR(__xludf.DUMMYFUNCTION("IFERROR(IF(F1026&lt;&gt;"""",""WHSE ""&amp;LEFT(F1026,1),REGEXEXTRACT(E1026,""-(?:\d{2}-)?([A-Z]+)"")),"""")
"),"")</f>
        <v/>
      </c>
      <c r="C1026" s="108"/>
      <c r="D1026" s="109"/>
      <c r="E1026" s="110"/>
      <c r="F1026" s="110"/>
      <c r="G1026" s="199"/>
      <c r="H1026" s="200"/>
      <c r="I1026" s="201"/>
      <c r="J1026" s="202"/>
      <c r="K1026" s="203"/>
      <c r="L1026" s="203"/>
      <c r="M1026" s="203"/>
      <c r="N1026" s="192"/>
      <c r="O1026" s="202"/>
      <c r="P1026" s="192"/>
      <c r="Q1026" s="109"/>
      <c r="R1026" s="198"/>
      <c r="S1026" s="198"/>
      <c r="T1026" s="198"/>
      <c r="U1026" s="198"/>
      <c r="V1026" s="198"/>
      <c r="W1026" s="198"/>
      <c r="X1026" s="198"/>
    </row>
    <row r="1027" ht="12.0" customHeight="1">
      <c r="A10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27" s="87" t="str">
        <f>IFERROR(__xludf.DUMMYFUNCTION("IFERROR(IF(F1027&lt;&gt;"""",""WHSE ""&amp;LEFT(F1027,1),REGEXEXTRACT(E1027,""-(?:\d{2}-)?([A-Z]+)"")),"""")
"),"WHSE P")</f>
        <v>WHSE P</v>
      </c>
      <c r="C1027" s="117">
        <v>46126.0</v>
      </c>
      <c r="D1027" s="118" t="s">
        <v>924</v>
      </c>
      <c r="E1027" s="87" t="s">
        <v>925</v>
      </c>
      <c r="F1027" s="87" t="s">
        <v>776</v>
      </c>
      <c r="G1027" s="199"/>
      <c r="H1027" s="181">
        <v>12146.0</v>
      </c>
      <c r="I1027" s="182">
        <v>20.0</v>
      </c>
      <c r="J1027" s="209">
        <v>8.6</v>
      </c>
      <c r="K1027" s="184">
        <v>2.87</v>
      </c>
      <c r="L1027" s="184">
        <v>0.585</v>
      </c>
      <c r="M1027" s="184">
        <v>0.605</v>
      </c>
      <c r="N1027" s="185">
        <v>17.32</v>
      </c>
      <c r="O1027" s="186">
        <v>6.02</v>
      </c>
      <c r="P1027" s="185">
        <v>76.66</v>
      </c>
      <c r="Q1027" s="109"/>
      <c r="R1027" s="198"/>
      <c r="S1027" s="198"/>
      <c r="T1027" s="198"/>
      <c r="U1027" s="198"/>
      <c r="V1027" s="198"/>
      <c r="W1027" s="198"/>
      <c r="X1027" s="198"/>
    </row>
    <row r="1028" ht="12.0" customHeight="1">
      <c r="A10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28" s="87" t="str">
        <f>IFERROR(__xludf.DUMMYFUNCTION("IFERROR(IF(F1028&lt;&gt;"""",""WHSE ""&amp;LEFT(F1028,1),REGEXEXTRACT(E1028,""-(?:\d{2}-)?([A-Z]+)"")),"""")
"),"WHSE D")</f>
        <v>WHSE D</v>
      </c>
      <c r="C1028" s="117">
        <v>46126.0</v>
      </c>
      <c r="D1028" s="118" t="s">
        <v>232</v>
      </c>
      <c r="E1028" s="87" t="s">
        <v>921</v>
      </c>
      <c r="F1028" s="87" t="s">
        <v>922</v>
      </c>
      <c r="G1028" s="204" t="s">
        <v>328</v>
      </c>
      <c r="H1028" s="175">
        <v>18775.0</v>
      </c>
      <c r="I1028" s="208">
        <v>660.0</v>
      </c>
      <c r="J1028" s="177">
        <v>9.07</v>
      </c>
      <c r="K1028" s="208">
        <v>3.6</v>
      </c>
      <c r="L1028" s="176">
        <v>0.559</v>
      </c>
      <c r="M1028" s="178">
        <v>0.579</v>
      </c>
      <c r="N1028" s="179">
        <v>13.59</v>
      </c>
      <c r="O1028" s="177">
        <v>3.65</v>
      </c>
      <c r="P1028" s="180">
        <v>82.76</v>
      </c>
      <c r="Q1028" s="109"/>
      <c r="R1028" s="198"/>
      <c r="S1028" s="198"/>
      <c r="T1028" s="198"/>
      <c r="U1028" s="198"/>
      <c r="V1028" s="198"/>
      <c r="W1028" s="198"/>
      <c r="X1028" s="198"/>
    </row>
    <row r="1029" ht="12.0" customHeight="1">
      <c r="A10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29" s="87" t="str">
        <f>IFERROR(__xludf.DUMMYFUNCTION("IFERROR(IF(F1029&lt;&gt;"""",""WHSE ""&amp;LEFT(F1029,1),REGEXEXTRACT(E1029,""-(?:\d{2}-)?([A-Z]+)"")),"""")
"),"WHSE D")</f>
        <v>WHSE D</v>
      </c>
      <c r="C1029" s="117">
        <v>46126.0</v>
      </c>
      <c r="D1029" s="118" t="s">
        <v>232</v>
      </c>
      <c r="E1029" s="87" t="s">
        <v>921</v>
      </c>
      <c r="F1029" s="87" t="s">
        <v>922</v>
      </c>
      <c r="G1029" s="125" t="s">
        <v>669</v>
      </c>
      <c r="H1029" s="175">
        <v>18790.0</v>
      </c>
      <c r="I1029" s="208">
        <v>595.0</v>
      </c>
      <c r="J1029" s="177">
        <v>10.6</v>
      </c>
      <c r="K1029" s="208">
        <v>3.5</v>
      </c>
      <c r="L1029" s="176">
        <v>0.565</v>
      </c>
      <c r="M1029" s="178">
        <v>0.585</v>
      </c>
      <c r="N1029" s="179">
        <v>12.44</v>
      </c>
      <c r="O1029" s="177">
        <v>5.79</v>
      </c>
      <c r="P1029" s="180">
        <v>81.77</v>
      </c>
      <c r="Q1029" s="118" t="s">
        <v>928</v>
      </c>
      <c r="R1029" s="198"/>
      <c r="S1029" s="198"/>
      <c r="T1029" s="198"/>
      <c r="U1029" s="198"/>
      <c r="V1029" s="198"/>
      <c r="W1029" s="198"/>
      <c r="X1029" s="198"/>
    </row>
    <row r="1030" ht="12.0" customHeight="1">
      <c r="A10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30" s="87" t="str">
        <f>IFERROR(__xludf.DUMMYFUNCTION("IFERROR(IF(F1030&lt;&gt;"""",""WHSE ""&amp;LEFT(F1030,1),REGEXEXTRACT(E1030,""-(?:\d{2}-)?([A-Z]+)"")),"""")
"),"WHSE D")</f>
        <v>WHSE D</v>
      </c>
      <c r="C1030" s="117">
        <v>46126.0</v>
      </c>
      <c r="D1030" s="118" t="s">
        <v>232</v>
      </c>
      <c r="E1030" s="87" t="s">
        <v>914</v>
      </c>
      <c r="F1030" s="87" t="s">
        <v>915</v>
      </c>
      <c r="G1030" s="125" t="s">
        <v>235</v>
      </c>
      <c r="H1030" s="175">
        <v>11140.0</v>
      </c>
      <c r="I1030" s="208">
        <v>362.0</v>
      </c>
      <c r="J1030" s="177">
        <v>9.47</v>
      </c>
      <c r="K1030" s="208">
        <v>2.39</v>
      </c>
      <c r="L1030" s="176">
        <v>0.575</v>
      </c>
      <c r="M1030" s="178">
        <v>0.595</v>
      </c>
      <c r="N1030" s="179">
        <v>13.16</v>
      </c>
      <c r="O1030" s="177">
        <v>2.94</v>
      </c>
      <c r="P1030" s="180">
        <v>83.9</v>
      </c>
      <c r="Q1030" s="109"/>
      <c r="R1030" s="198"/>
      <c r="S1030" s="198"/>
      <c r="T1030" s="198"/>
      <c r="U1030" s="198"/>
      <c r="V1030" s="198"/>
      <c r="W1030" s="198"/>
      <c r="X1030" s="198"/>
    </row>
    <row r="1031" ht="12.0" customHeight="1">
      <c r="A10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IN-USE</v>
      </c>
      <c r="B1031" s="87" t="str">
        <f>IFERROR(__xludf.DUMMYFUNCTION("IFERROR(IF(F1031&lt;&gt;"""",""WHSE ""&amp;LEFT(F1031,1),REGEXEXTRACT(E1031,""-(?:\d{2}-)?([A-Z]+)"")),"""")
"),"WHSE A")</f>
        <v>WHSE A</v>
      </c>
      <c r="C1031" s="117">
        <v>46126.0</v>
      </c>
      <c r="D1031" s="118" t="s">
        <v>72</v>
      </c>
      <c r="E1031" s="87" t="s">
        <v>900</v>
      </c>
      <c r="F1031" s="87" t="s">
        <v>901</v>
      </c>
      <c r="G1031" s="125" t="s">
        <v>73</v>
      </c>
      <c r="H1031" s="175">
        <v>17410.0</v>
      </c>
      <c r="I1031" s="208">
        <v>434.0</v>
      </c>
      <c r="J1031" s="177">
        <v>11.94</v>
      </c>
      <c r="K1031" s="208">
        <v>3.0</v>
      </c>
      <c r="L1031" s="176">
        <v>0.578</v>
      </c>
      <c r="M1031" s="178">
        <v>0.598</v>
      </c>
      <c r="N1031" s="179">
        <v>12.71</v>
      </c>
      <c r="O1031" s="177">
        <v>3.56</v>
      </c>
      <c r="P1031" s="180">
        <v>83.73</v>
      </c>
      <c r="Q1031" s="118" t="s">
        <v>919</v>
      </c>
      <c r="R1031" s="198"/>
      <c r="S1031" s="198"/>
      <c r="T1031" s="198"/>
      <c r="U1031" s="198"/>
      <c r="V1031" s="198"/>
      <c r="W1031" s="198"/>
      <c r="X1031" s="198"/>
    </row>
    <row r="1032" ht="12.0" customHeight="1">
      <c r="A10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32" s="87" t="str">
        <f>IFERROR(__xludf.DUMMYFUNCTION("IFERROR(IF(F1032&lt;&gt;"""",""WHSE ""&amp;LEFT(F1032,1),REGEXEXTRACT(E1032,""-(?:\d{2}-)?([A-Z]+)"")),"""")
"),"")</f>
        <v/>
      </c>
      <c r="C1032" s="108"/>
      <c r="D1032" s="109"/>
      <c r="E1032" s="110"/>
      <c r="F1032" s="110"/>
      <c r="G1032" s="111"/>
      <c r="H1032" s="200"/>
      <c r="I1032" s="201"/>
      <c r="J1032" s="202"/>
      <c r="K1032" s="203"/>
      <c r="L1032" s="203"/>
      <c r="M1032" s="203"/>
      <c r="N1032" s="192"/>
      <c r="O1032" s="202"/>
      <c r="P1032" s="192"/>
      <c r="Q1032" s="109"/>
      <c r="R1032" s="198"/>
      <c r="S1032" s="198"/>
      <c r="T1032" s="198"/>
      <c r="U1032" s="198"/>
      <c r="V1032" s="198"/>
      <c r="W1032" s="198"/>
      <c r="X1032" s="198"/>
    </row>
    <row r="1033" ht="12.0" customHeight="1">
      <c r="A10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33" s="87" t="str">
        <f>IFERROR(__xludf.DUMMYFUNCTION("IFERROR(IF(F1033&lt;&gt;"""",""WHSE ""&amp;LEFT(F1033,1),REGEXEXTRACT(E1033,""-(?:\d{2}-)?([A-Z]+)"")),"""")
"),"WHSE P")</f>
        <v>WHSE P</v>
      </c>
      <c r="C1033" s="117">
        <v>46127.0</v>
      </c>
      <c r="D1033" s="118" t="s">
        <v>924</v>
      </c>
      <c r="E1033" s="87" t="s">
        <v>925</v>
      </c>
      <c r="F1033" s="87" t="s">
        <v>776</v>
      </c>
      <c r="G1033" s="111"/>
      <c r="H1033" s="181">
        <v>8726.0</v>
      </c>
      <c r="I1033" s="182">
        <v>15.0</v>
      </c>
      <c r="J1033" s="183">
        <v>7.8</v>
      </c>
      <c r="K1033" s="184">
        <v>2.87</v>
      </c>
      <c r="L1033" s="184">
        <v>0.585</v>
      </c>
      <c r="M1033" s="184">
        <v>0.605</v>
      </c>
      <c r="N1033" s="185">
        <v>17.32</v>
      </c>
      <c r="O1033" s="186">
        <v>6.02</v>
      </c>
      <c r="P1033" s="185">
        <v>76.66</v>
      </c>
      <c r="Q1033" s="109"/>
      <c r="R1033" s="198"/>
      <c r="S1033" s="198"/>
      <c r="T1033" s="198"/>
      <c r="U1033" s="198"/>
      <c r="V1033" s="198"/>
      <c r="W1033" s="198"/>
      <c r="X1033" s="198"/>
    </row>
    <row r="1034" ht="12.0" customHeight="1">
      <c r="A10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34" s="87" t="str">
        <f>IFERROR(__xludf.DUMMYFUNCTION("IFERROR(IF(F1034&lt;&gt;"""",""WHSE ""&amp;LEFT(F1034,1),REGEXEXTRACT(E1034,""-(?:\d{2}-)?([A-Z]+)"")),"""")
"),"WHSE A")</f>
        <v>WHSE A</v>
      </c>
      <c r="C1034" s="117">
        <v>46127.0</v>
      </c>
      <c r="D1034" s="118" t="s">
        <v>72</v>
      </c>
      <c r="E1034" s="87" t="s">
        <v>929</v>
      </c>
      <c r="F1034" s="87" t="s">
        <v>567</v>
      </c>
      <c r="G1034" s="204" t="s">
        <v>77</v>
      </c>
      <c r="H1034" s="181">
        <v>17220.0</v>
      </c>
      <c r="I1034" s="182">
        <v>480.0</v>
      </c>
      <c r="J1034" s="183">
        <v>11.87</v>
      </c>
      <c r="K1034" s="210">
        <v>2.38</v>
      </c>
      <c r="L1034" s="210">
        <v>0.578</v>
      </c>
      <c r="M1034" s="210">
        <v>0.598</v>
      </c>
      <c r="N1034" s="211">
        <v>13.58</v>
      </c>
      <c r="O1034" s="183">
        <v>3.28</v>
      </c>
      <c r="P1034" s="211">
        <v>83.14</v>
      </c>
      <c r="Q1034" s="109"/>
      <c r="R1034" s="198"/>
      <c r="S1034" s="198"/>
      <c r="T1034" s="198"/>
      <c r="U1034" s="198"/>
      <c r="V1034" s="198"/>
      <c r="W1034" s="198"/>
      <c r="X1034" s="198"/>
    </row>
    <row r="1035" ht="12.0" customHeight="1">
      <c r="A10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35" s="87" t="str">
        <f>IFERROR(__xludf.DUMMYFUNCTION("IFERROR(IF(F1035&lt;&gt;"""",""WHSE ""&amp;LEFT(F1035,1),REGEXEXTRACT(E1035,""-(?:\d{2}-)?([A-Z]+)"")),"""")
"),"")</f>
        <v/>
      </c>
      <c r="C1035" s="108"/>
      <c r="D1035" s="109"/>
      <c r="E1035" s="110"/>
      <c r="F1035" s="110"/>
      <c r="G1035" s="111"/>
      <c r="H1035" s="112"/>
      <c r="I1035" s="113"/>
      <c r="J1035" s="114"/>
      <c r="K1035" s="115"/>
      <c r="L1035" s="115"/>
      <c r="M1035" s="115"/>
      <c r="N1035" s="116"/>
      <c r="O1035" s="114"/>
      <c r="P1035" s="116"/>
      <c r="Q1035" s="109"/>
      <c r="R1035" s="198"/>
      <c r="S1035" s="198"/>
      <c r="T1035" s="198"/>
      <c r="U1035" s="198"/>
      <c r="V1035" s="198"/>
      <c r="W1035" s="198"/>
      <c r="X1035" s="198"/>
    </row>
    <row r="1036" ht="12.0" customHeight="1">
      <c r="A10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36" s="87" t="str">
        <f>IFERROR(__xludf.DUMMYFUNCTION("IFERROR(IF(F1036&lt;&gt;"""",""WHSE ""&amp;LEFT(F1036,1),REGEXEXTRACT(E1036,""-(?:\d{2}-)?([A-Z]+)"")),"""")
"),"WHSE P")</f>
        <v>WHSE P</v>
      </c>
      <c r="C1036" s="117">
        <v>46128.0</v>
      </c>
      <c r="D1036" s="118" t="s">
        <v>924</v>
      </c>
      <c r="E1036" s="87" t="s">
        <v>925</v>
      </c>
      <c r="F1036" s="87" t="s">
        <v>776</v>
      </c>
      <c r="G1036" s="111"/>
      <c r="H1036" s="120">
        <v>5302.0</v>
      </c>
      <c r="I1036" s="121">
        <v>9.0</v>
      </c>
      <c r="J1036" s="122">
        <v>8.94</v>
      </c>
      <c r="K1036" s="184">
        <v>2.87</v>
      </c>
      <c r="L1036" s="184">
        <v>0.585</v>
      </c>
      <c r="M1036" s="184">
        <v>0.605</v>
      </c>
      <c r="N1036" s="185">
        <v>17.32</v>
      </c>
      <c r="O1036" s="186">
        <v>6.02</v>
      </c>
      <c r="P1036" s="185">
        <v>76.66</v>
      </c>
      <c r="Q1036" s="109"/>
      <c r="R1036" s="198"/>
      <c r="S1036" s="198"/>
      <c r="T1036" s="198"/>
      <c r="U1036" s="198"/>
      <c r="V1036" s="198"/>
      <c r="W1036" s="198"/>
      <c r="X1036" s="198"/>
    </row>
    <row r="1037" ht="12.0" customHeight="1">
      <c r="A10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37" s="87" t="str">
        <f>IFERROR(__xludf.DUMMYFUNCTION("IFERROR(IF(F1037&lt;&gt;"""",""WHSE ""&amp;LEFT(F1037,1),REGEXEXTRACT(E1037,""-(?:\d{2}-)?([A-Z]+)"")),"""")
"),"WHSE A")</f>
        <v>WHSE A</v>
      </c>
      <c r="C1037" s="117">
        <v>46128.0</v>
      </c>
      <c r="D1037" s="118" t="s">
        <v>72</v>
      </c>
      <c r="E1037" s="87" t="s">
        <v>929</v>
      </c>
      <c r="F1037" s="87" t="s">
        <v>567</v>
      </c>
      <c r="G1037" s="204" t="s">
        <v>77</v>
      </c>
      <c r="H1037" s="120">
        <v>16875.0</v>
      </c>
      <c r="I1037" s="121">
        <v>443.0</v>
      </c>
      <c r="J1037" s="122">
        <v>11.74</v>
      </c>
      <c r="K1037" s="123">
        <v>2.9</v>
      </c>
      <c r="L1037" s="123">
        <v>0.578</v>
      </c>
      <c r="M1037" s="123">
        <v>0.598</v>
      </c>
      <c r="N1037" s="124">
        <v>12.38</v>
      </c>
      <c r="O1037" s="122">
        <v>3.96</v>
      </c>
      <c r="P1037" s="124">
        <v>83.66</v>
      </c>
      <c r="Q1037" s="109"/>
      <c r="R1037" s="198"/>
      <c r="S1037" s="198"/>
      <c r="T1037" s="198"/>
      <c r="U1037" s="198"/>
      <c r="V1037" s="198"/>
      <c r="W1037" s="198"/>
      <c r="X1037" s="198"/>
    </row>
    <row r="1038" ht="12.0" customHeight="1">
      <c r="A10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38" s="87" t="str">
        <f>IFERROR(__xludf.DUMMYFUNCTION("IFERROR(IF(F1038&lt;&gt;"""",""WHSE ""&amp;LEFT(F1038,1),REGEXEXTRACT(E1038,""-(?:\d{2}-)?([A-Z]+)"")),"""")
"),"FEED")</f>
        <v>FEED</v>
      </c>
      <c r="C1038" s="117">
        <v>46128.0</v>
      </c>
      <c r="D1038" s="118" t="s">
        <v>286</v>
      </c>
      <c r="E1038" s="87" t="s">
        <v>930</v>
      </c>
      <c r="F1038" s="110"/>
      <c r="G1038" s="125" t="s">
        <v>73</v>
      </c>
      <c r="H1038" s="120">
        <v>19330.0</v>
      </c>
      <c r="I1038" s="121">
        <v>465.0</v>
      </c>
      <c r="J1038" s="122">
        <v>10.94</v>
      </c>
      <c r="K1038" s="123">
        <v>2.4</v>
      </c>
      <c r="L1038" s="123">
        <v>0.581</v>
      </c>
      <c r="M1038" s="123">
        <v>0.601</v>
      </c>
      <c r="N1038" s="124">
        <v>13.25</v>
      </c>
      <c r="O1038" s="122">
        <v>3.51</v>
      </c>
      <c r="P1038" s="124">
        <v>83.24</v>
      </c>
      <c r="Q1038" s="109"/>
      <c r="R1038" s="198"/>
      <c r="S1038" s="198"/>
      <c r="T1038" s="198"/>
      <c r="U1038" s="198"/>
      <c r="V1038" s="198"/>
      <c r="W1038" s="198"/>
      <c r="X1038" s="198"/>
    </row>
    <row r="1039" ht="12.0" customHeight="1">
      <c r="A10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39" s="87" t="str">
        <f>IFERROR(__xludf.DUMMYFUNCTION("IFERROR(IF(F1039&lt;&gt;"""",""WHSE ""&amp;LEFT(F1039,1),REGEXEXTRACT(E1039,""-(?:\d{2}-)?([A-Z]+)"")),"""")
"),"")</f>
        <v/>
      </c>
      <c r="C1039" s="108"/>
      <c r="D1039" s="109"/>
      <c r="E1039" s="110"/>
      <c r="F1039" s="110"/>
      <c r="G1039" s="111"/>
      <c r="H1039" s="112"/>
      <c r="I1039" s="113"/>
      <c r="J1039" s="114"/>
      <c r="K1039" s="115"/>
      <c r="L1039" s="115"/>
      <c r="M1039" s="115"/>
      <c r="N1039" s="116"/>
      <c r="O1039" s="114"/>
      <c r="P1039" s="116"/>
      <c r="Q1039" s="109"/>
      <c r="R1039" s="198"/>
      <c r="S1039" s="198"/>
      <c r="T1039" s="198"/>
      <c r="U1039" s="198"/>
      <c r="V1039" s="198"/>
      <c r="W1039" s="198"/>
      <c r="X1039" s="198"/>
    </row>
    <row r="1040" ht="12.0" customHeight="1">
      <c r="A10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40" s="87" t="str">
        <f>IFERROR(__xludf.DUMMYFUNCTION("IFERROR(IF(F1040&lt;&gt;"""",""WHSE ""&amp;LEFT(F1040,1),REGEXEXTRACT(E1040,""-(?:\d{2}-)?([A-Z]+)"")),"""")
"),"WHSE P")</f>
        <v>WHSE P</v>
      </c>
      <c r="C1040" s="117">
        <v>46129.0</v>
      </c>
      <c r="D1040" s="118" t="s">
        <v>924</v>
      </c>
      <c r="E1040" s="87" t="s">
        <v>925</v>
      </c>
      <c r="F1040" s="87" t="s">
        <v>776</v>
      </c>
      <c r="G1040" s="111"/>
      <c r="H1040" s="120">
        <v>12531.0</v>
      </c>
      <c r="I1040" s="121">
        <v>20.0</v>
      </c>
      <c r="J1040" s="122">
        <v>7.54</v>
      </c>
      <c r="K1040" s="184">
        <v>2.87</v>
      </c>
      <c r="L1040" s="184">
        <v>0.585</v>
      </c>
      <c r="M1040" s="184">
        <v>0.605</v>
      </c>
      <c r="N1040" s="185">
        <v>17.32</v>
      </c>
      <c r="O1040" s="186">
        <v>6.02</v>
      </c>
      <c r="P1040" s="185">
        <v>76.66</v>
      </c>
      <c r="Q1040" s="194"/>
      <c r="R1040" s="198"/>
      <c r="S1040" s="198"/>
      <c r="T1040" s="198"/>
      <c r="U1040" s="198"/>
      <c r="V1040" s="198"/>
      <c r="W1040" s="198"/>
      <c r="X1040" s="198"/>
    </row>
    <row r="1041" ht="12.0" customHeight="1">
      <c r="A10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41" s="87" t="str">
        <f>IFERROR(__xludf.DUMMYFUNCTION("IFERROR(IF(F1041&lt;&gt;"""",""WHSE ""&amp;LEFT(F1041,1),REGEXEXTRACT(E1041,""-(?:\d{2}-)?([A-Z]+)"")),"""")
"),"WHSE A")</f>
        <v>WHSE A</v>
      </c>
      <c r="C1041" s="117">
        <v>46129.0</v>
      </c>
      <c r="D1041" s="118" t="s">
        <v>72</v>
      </c>
      <c r="E1041" s="87" t="s">
        <v>929</v>
      </c>
      <c r="F1041" s="87" t="s">
        <v>567</v>
      </c>
      <c r="G1041" s="125" t="s">
        <v>73</v>
      </c>
      <c r="H1041" s="120">
        <v>18030.0</v>
      </c>
      <c r="I1041" s="121">
        <v>437.0</v>
      </c>
      <c r="J1041" s="122">
        <v>11.8</v>
      </c>
      <c r="K1041" s="123">
        <v>2.52</v>
      </c>
      <c r="L1041" s="123">
        <v>0.578</v>
      </c>
      <c r="M1041" s="123">
        <v>0.598</v>
      </c>
      <c r="N1041" s="124">
        <v>11.95</v>
      </c>
      <c r="O1041" s="122">
        <v>3.56</v>
      </c>
      <c r="P1041" s="124">
        <v>84.49</v>
      </c>
      <c r="Q1041" s="109"/>
      <c r="R1041" s="198"/>
      <c r="S1041" s="198"/>
      <c r="T1041" s="198"/>
      <c r="U1041" s="198"/>
      <c r="V1041" s="198"/>
      <c r="W1041" s="198"/>
      <c r="X1041" s="198"/>
    </row>
    <row r="1042" ht="12.0" customHeight="1">
      <c r="A10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42" s="87" t="str">
        <f>IFERROR(__xludf.DUMMYFUNCTION("IFERROR(IF(F1042&lt;&gt;"""",""WHSE ""&amp;LEFT(F1042,1),REGEXEXTRACT(E1042,""-(?:\d{2}-)?([A-Z]+)"")),"""")
"),"")</f>
        <v/>
      </c>
      <c r="C1042" s="108"/>
      <c r="D1042" s="109"/>
      <c r="E1042" s="110"/>
      <c r="F1042" s="110"/>
      <c r="G1042" s="111"/>
      <c r="H1042" s="112"/>
      <c r="I1042" s="113"/>
      <c r="J1042" s="114"/>
      <c r="K1042" s="115"/>
      <c r="L1042" s="115"/>
      <c r="M1042" s="115"/>
      <c r="N1042" s="116"/>
      <c r="O1042" s="114"/>
      <c r="P1042" s="116"/>
      <c r="Q1042" s="109"/>
      <c r="R1042" s="198"/>
      <c r="S1042" s="198"/>
      <c r="T1042" s="198"/>
      <c r="U1042" s="198"/>
      <c r="V1042" s="198"/>
      <c r="W1042" s="198"/>
      <c r="X1042" s="198"/>
    </row>
    <row r="1043" ht="12.0" customHeight="1">
      <c r="A10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43" s="87" t="str">
        <f>IFERROR(__xludf.DUMMYFUNCTION("IFERROR(IF(F1043&lt;&gt;"""",""WHSE ""&amp;LEFT(F1043,1),REGEXEXTRACT(E1043,""-(?:\d{2}-)?([A-Z]+)"")),"""")
"),"WHSE P")</f>
        <v>WHSE P</v>
      </c>
      <c r="C1043" s="117">
        <v>46130.0</v>
      </c>
      <c r="D1043" s="118" t="s">
        <v>924</v>
      </c>
      <c r="E1043" s="87" t="s">
        <v>925</v>
      </c>
      <c r="F1043" s="87" t="s">
        <v>776</v>
      </c>
      <c r="G1043" s="111"/>
      <c r="H1043" s="120">
        <v>5459.0</v>
      </c>
      <c r="I1043" s="121">
        <v>9.0</v>
      </c>
      <c r="J1043" s="122">
        <v>8.8</v>
      </c>
      <c r="K1043" s="184">
        <v>2.87</v>
      </c>
      <c r="L1043" s="184">
        <v>0.585</v>
      </c>
      <c r="M1043" s="184">
        <v>0.605</v>
      </c>
      <c r="N1043" s="185">
        <v>17.32</v>
      </c>
      <c r="O1043" s="186">
        <v>6.02</v>
      </c>
      <c r="P1043" s="185">
        <v>76.66</v>
      </c>
      <c r="Q1043" s="109"/>
      <c r="R1043" s="198"/>
      <c r="S1043" s="198"/>
      <c r="T1043" s="198"/>
      <c r="U1043" s="198"/>
      <c r="V1043" s="198"/>
      <c r="W1043" s="198"/>
      <c r="X1043" s="198"/>
    </row>
    <row r="1044" ht="12.0" customHeight="1">
      <c r="A10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44" s="87" t="str">
        <f>IFERROR(__xludf.DUMMYFUNCTION("IFERROR(IF(F1044&lt;&gt;"""",""WHSE ""&amp;LEFT(F1044,1),REGEXEXTRACT(E1044,""-(?:\d{2}-)?([A-Z]+)"")),"""")
"),"WHSE P")</f>
        <v>WHSE P</v>
      </c>
      <c r="C1044" s="117">
        <v>46130.0</v>
      </c>
      <c r="D1044" s="118" t="s">
        <v>924</v>
      </c>
      <c r="E1044" s="87" t="s">
        <v>925</v>
      </c>
      <c r="F1044" s="87" t="s">
        <v>776</v>
      </c>
      <c r="G1044" s="111"/>
      <c r="H1044" s="120">
        <v>581.0</v>
      </c>
      <c r="I1044" s="121">
        <v>1.0</v>
      </c>
      <c r="J1044" s="122">
        <v>7.07</v>
      </c>
      <c r="K1044" s="184">
        <v>2.87</v>
      </c>
      <c r="L1044" s="184">
        <v>0.585</v>
      </c>
      <c r="M1044" s="184">
        <v>0.605</v>
      </c>
      <c r="N1044" s="185">
        <v>17.32</v>
      </c>
      <c r="O1044" s="186">
        <v>6.02</v>
      </c>
      <c r="P1044" s="185">
        <v>76.66</v>
      </c>
      <c r="Q1044" s="109"/>
      <c r="R1044" s="198"/>
      <c r="S1044" s="198"/>
      <c r="T1044" s="198"/>
      <c r="U1044" s="198"/>
      <c r="V1044" s="198"/>
      <c r="W1044" s="198"/>
      <c r="X1044" s="198"/>
    </row>
    <row r="1045" ht="12.0" customHeight="1">
      <c r="A10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45" s="87" t="str">
        <f>IFERROR(__xludf.DUMMYFUNCTION("IFERROR(IF(F1045&lt;&gt;"""",""WHSE ""&amp;LEFT(F1045,1),REGEXEXTRACT(E1045,""-(?:\d{2}-)?([A-Z]+)"")),"""")
"),"")</f>
        <v/>
      </c>
      <c r="C1045" s="108"/>
      <c r="D1045" s="109"/>
      <c r="E1045" s="110"/>
      <c r="F1045" s="110"/>
      <c r="G1045" s="111"/>
      <c r="H1045" s="112"/>
      <c r="I1045" s="113"/>
      <c r="J1045" s="114"/>
      <c r="K1045" s="115"/>
      <c r="L1045" s="115"/>
      <c r="M1045" s="115"/>
      <c r="N1045" s="116"/>
      <c r="O1045" s="114"/>
      <c r="P1045" s="116"/>
      <c r="Q1045" s="109"/>
      <c r="R1045" s="198"/>
      <c r="S1045" s="198"/>
      <c r="T1045" s="198"/>
      <c r="U1045" s="198"/>
      <c r="V1045" s="198"/>
      <c r="W1045" s="198"/>
      <c r="X1045" s="198"/>
    </row>
    <row r="1046" ht="12.0" customHeight="1">
      <c r="A10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46" s="87" t="str">
        <f>IFERROR(__xludf.DUMMYFUNCTION("IFERROR(IF(F1046&lt;&gt;"""",""WHSE ""&amp;LEFT(F1046,1),REGEXEXTRACT(E1046,""-(?:\d{2}-)?([A-Z]+)"")),"""")
"),"WHSE A")</f>
        <v>WHSE A</v>
      </c>
      <c r="C1046" s="117">
        <v>46132.0</v>
      </c>
      <c r="D1046" s="118" t="s">
        <v>72</v>
      </c>
      <c r="E1046" s="87" t="s">
        <v>929</v>
      </c>
      <c r="F1046" s="87" t="s">
        <v>567</v>
      </c>
      <c r="G1046" s="204" t="s">
        <v>77</v>
      </c>
      <c r="H1046" s="120">
        <v>17320.0</v>
      </c>
      <c r="I1046" s="121">
        <v>423.0</v>
      </c>
      <c r="J1046" s="122">
        <v>11.67</v>
      </c>
      <c r="K1046" s="123">
        <v>2.61</v>
      </c>
      <c r="L1046" s="123">
        <v>0.575</v>
      </c>
      <c r="M1046" s="123">
        <v>0.595</v>
      </c>
      <c r="N1046" s="124">
        <v>12.57</v>
      </c>
      <c r="O1046" s="122">
        <v>2.66</v>
      </c>
      <c r="P1046" s="124">
        <v>84.77</v>
      </c>
      <c r="Q1046" s="109"/>
      <c r="R1046" s="198"/>
      <c r="S1046" s="198"/>
      <c r="T1046" s="198"/>
      <c r="U1046" s="198"/>
      <c r="V1046" s="198"/>
      <c r="W1046" s="198"/>
      <c r="X1046" s="198"/>
    </row>
    <row r="1047" ht="12.0" customHeight="1">
      <c r="A10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47" s="87" t="str">
        <f>IFERROR(__xludf.DUMMYFUNCTION("IFERROR(IF(F1047&lt;&gt;"""",""WHSE ""&amp;LEFT(F1047,1),REGEXEXTRACT(E1047,""-(?:\d{2}-)?([A-Z]+)"")),"""")
"),"WHSE P")</f>
        <v>WHSE P</v>
      </c>
      <c r="C1047" s="117">
        <v>46132.0</v>
      </c>
      <c r="D1047" s="118" t="s">
        <v>924</v>
      </c>
      <c r="E1047" s="87" t="s">
        <v>925</v>
      </c>
      <c r="F1047" s="87" t="s">
        <v>776</v>
      </c>
      <c r="G1047" s="111"/>
      <c r="H1047" s="120">
        <v>2322.0</v>
      </c>
      <c r="I1047" s="121">
        <v>4.0</v>
      </c>
      <c r="J1047" s="122">
        <v>8.34</v>
      </c>
      <c r="K1047" s="184">
        <v>2.87</v>
      </c>
      <c r="L1047" s="184">
        <v>0.585</v>
      </c>
      <c r="M1047" s="184">
        <v>0.605</v>
      </c>
      <c r="N1047" s="185">
        <v>17.32</v>
      </c>
      <c r="O1047" s="186">
        <v>6.02</v>
      </c>
      <c r="P1047" s="185">
        <v>76.66</v>
      </c>
      <c r="Q1047" s="109"/>
      <c r="R1047" s="198"/>
      <c r="S1047" s="198"/>
      <c r="T1047" s="198"/>
      <c r="U1047" s="198"/>
      <c r="V1047" s="198"/>
      <c r="W1047" s="198"/>
      <c r="X1047" s="198"/>
    </row>
    <row r="1048" ht="12.0" customHeight="1">
      <c r="A10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48" s="87" t="str">
        <f>IFERROR(__xludf.DUMMYFUNCTION("IFERROR(IF(F1048&lt;&gt;"""",""WHSE ""&amp;LEFT(F1048,1),REGEXEXTRACT(E1048,""-(?:\d{2}-)?([A-Z]+)"")),"""")
"),"")</f>
        <v/>
      </c>
      <c r="C1048" s="108"/>
      <c r="D1048" s="109"/>
      <c r="E1048" s="110"/>
      <c r="F1048" s="110"/>
      <c r="G1048" s="111"/>
      <c r="H1048" s="112"/>
      <c r="I1048" s="113"/>
      <c r="J1048" s="114"/>
      <c r="K1048" s="115"/>
      <c r="L1048" s="115"/>
      <c r="M1048" s="115"/>
      <c r="N1048" s="116"/>
      <c r="O1048" s="114"/>
      <c r="P1048" s="116"/>
      <c r="Q1048" s="109"/>
      <c r="R1048" s="198"/>
      <c r="S1048" s="198"/>
      <c r="T1048" s="198"/>
      <c r="U1048" s="198"/>
      <c r="V1048" s="198"/>
      <c r="W1048" s="198"/>
      <c r="X1048" s="198"/>
    </row>
    <row r="1049" ht="12.0" customHeight="1">
      <c r="A10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49" s="87" t="str">
        <f>IFERROR(__xludf.DUMMYFUNCTION("IFERROR(IF(F1049&lt;&gt;"""",""WHSE ""&amp;LEFT(F1049,1),REGEXEXTRACT(E1049,""-(?:\d{2}-)?([A-Z]+)"")),"""")
"),"WHSE P")</f>
        <v>WHSE P</v>
      </c>
      <c r="C1049" s="117">
        <v>46133.0</v>
      </c>
      <c r="D1049" s="118" t="s">
        <v>931</v>
      </c>
      <c r="E1049" s="87" t="s">
        <v>932</v>
      </c>
      <c r="F1049" s="87" t="s">
        <v>827</v>
      </c>
      <c r="G1049" s="111"/>
      <c r="H1049" s="120">
        <v>5595.0</v>
      </c>
      <c r="I1049" s="121">
        <v>6.0</v>
      </c>
      <c r="J1049" s="122">
        <v>9.67</v>
      </c>
      <c r="K1049" s="167">
        <v>2.41</v>
      </c>
      <c r="L1049" s="167">
        <v>0.571</v>
      </c>
      <c r="M1049" s="167">
        <v>0.591</v>
      </c>
      <c r="N1049" s="168">
        <v>11.68</v>
      </c>
      <c r="O1049" s="169">
        <v>3.88</v>
      </c>
      <c r="P1049" s="168">
        <v>84.44</v>
      </c>
      <c r="Q1049" s="194"/>
      <c r="R1049" s="198"/>
      <c r="S1049" s="198"/>
      <c r="T1049" s="198"/>
      <c r="U1049" s="198"/>
      <c r="V1049" s="198"/>
      <c r="W1049" s="198"/>
      <c r="X1049" s="198"/>
    </row>
    <row r="1050" ht="12.0" customHeight="1">
      <c r="A10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50" s="87" t="str">
        <f>IFERROR(__xludf.DUMMYFUNCTION("IFERROR(IF(F1050&lt;&gt;"""",""WHSE ""&amp;LEFT(F1050,1),REGEXEXTRACT(E1050,""-(?:\d{2}-)?([A-Z]+)"")),"""")
"),"FEED")</f>
        <v>FEED</v>
      </c>
      <c r="C1050" s="117">
        <v>46133.0</v>
      </c>
      <c r="D1050" s="118" t="s">
        <v>286</v>
      </c>
      <c r="E1050" s="87" t="s">
        <v>933</v>
      </c>
      <c r="F1050" s="110"/>
      <c r="G1050" s="125" t="s">
        <v>73</v>
      </c>
      <c r="H1050" s="120">
        <v>16270.0</v>
      </c>
      <c r="I1050" s="121">
        <v>474.0</v>
      </c>
      <c r="J1050" s="122">
        <v>11.27</v>
      </c>
      <c r="K1050" s="123">
        <v>2.39</v>
      </c>
      <c r="L1050" s="123">
        <v>0.575</v>
      </c>
      <c r="M1050" s="123">
        <v>0.595</v>
      </c>
      <c r="N1050" s="124">
        <v>12.54</v>
      </c>
      <c r="O1050" s="122">
        <v>2.33</v>
      </c>
      <c r="P1050" s="124">
        <v>85.13</v>
      </c>
      <c r="Q1050" s="109"/>
      <c r="R1050" s="198"/>
      <c r="S1050" s="198"/>
      <c r="T1050" s="198"/>
      <c r="U1050" s="198"/>
      <c r="V1050" s="198"/>
      <c r="W1050" s="198"/>
      <c r="X1050" s="198"/>
    </row>
    <row r="1051" ht="12.0" customHeight="1">
      <c r="A10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51" s="87" t="str">
        <f>IFERROR(__xludf.DUMMYFUNCTION("IFERROR(IF(F1051&lt;&gt;"""",""WHSE ""&amp;LEFT(F1051,1),REGEXEXTRACT(E1051,""-(?:\d{2}-)?([A-Z]+)"")),"""")
"),"")</f>
        <v/>
      </c>
      <c r="C1051" s="108"/>
      <c r="D1051" s="109"/>
      <c r="E1051" s="110"/>
      <c r="F1051" s="110"/>
      <c r="G1051" s="111"/>
      <c r="H1051" s="112"/>
      <c r="I1051" s="113"/>
      <c r="J1051" s="114"/>
      <c r="K1051" s="115"/>
      <c r="L1051" s="115"/>
      <c r="M1051" s="115"/>
      <c r="N1051" s="116"/>
      <c r="O1051" s="114"/>
      <c r="P1051" s="116"/>
      <c r="Q1051" s="109"/>
      <c r="R1051" s="198"/>
      <c r="S1051" s="198"/>
      <c r="T1051" s="198"/>
      <c r="U1051" s="198"/>
      <c r="V1051" s="198"/>
      <c r="W1051" s="198"/>
      <c r="X1051" s="198"/>
    </row>
    <row r="1052" ht="12.0" customHeight="1">
      <c r="A10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52" s="87" t="str">
        <f>IFERROR(__xludf.DUMMYFUNCTION("IFERROR(IF(F1052&lt;&gt;"""",""WHSE ""&amp;LEFT(F1052,1),REGEXEXTRACT(E1052,""-(?:\d{2}-)?([A-Z]+)"")),"""")
"),"WHSE P")</f>
        <v>WHSE P</v>
      </c>
      <c r="C1052" s="117">
        <v>46134.0</v>
      </c>
      <c r="D1052" s="118" t="s">
        <v>931</v>
      </c>
      <c r="E1052" s="87" t="s">
        <v>932</v>
      </c>
      <c r="F1052" s="87" t="s">
        <v>827</v>
      </c>
      <c r="G1052" s="111"/>
      <c r="H1052" s="120">
        <v>7109.0</v>
      </c>
      <c r="I1052" s="121">
        <v>13.0</v>
      </c>
      <c r="J1052" s="122">
        <v>9.6</v>
      </c>
      <c r="K1052" s="167">
        <v>2.41</v>
      </c>
      <c r="L1052" s="167">
        <v>0.571</v>
      </c>
      <c r="M1052" s="167">
        <v>0.591</v>
      </c>
      <c r="N1052" s="168">
        <v>11.68</v>
      </c>
      <c r="O1052" s="169">
        <v>3.88</v>
      </c>
      <c r="P1052" s="168">
        <v>84.44</v>
      </c>
      <c r="Q1052" s="109"/>
      <c r="R1052" s="198"/>
      <c r="S1052" s="198"/>
      <c r="T1052" s="198"/>
      <c r="U1052" s="198"/>
      <c r="V1052" s="198"/>
      <c r="W1052" s="198"/>
      <c r="X1052" s="198"/>
    </row>
    <row r="1053" ht="12.0" customHeight="1">
      <c r="A10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53" s="87" t="str">
        <f>IFERROR(__xludf.DUMMYFUNCTION("IFERROR(IF(F1053&lt;&gt;"""",""WHSE ""&amp;LEFT(F1053,1),REGEXEXTRACT(E1053,""-(?:\d{2}-)?([A-Z]+)"")),"""")
"),"WHSE A")</f>
        <v>WHSE A</v>
      </c>
      <c r="C1053" s="117">
        <v>46134.0</v>
      </c>
      <c r="D1053" s="118" t="s">
        <v>72</v>
      </c>
      <c r="E1053" s="87" t="s">
        <v>934</v>
      </c>
      <c r="F1053" s="87" t="s">
        <v>201</v>
      </c>
      <c r="G1053" s="204" t="s">
        <v>77</v>
      </c>
      <c r="H1053" s="120">
        <v>19180.0</v>
      </c>
      <c r="I1053" s="121">
        <v>511.0</v>
      </c>
      <c r="J1053" s="122">
        <v>11.74</v>
      </c>
      <c r="K1053" s="123">
        <v>2.75</v>
      </c>
      <c r="L1053" s="123">
        <v>0.575</v>
      </c>
      <c r="M1053" s="123">
        <v>0.595</v>
      </c>
      <c r="N1053" s="124">
        <v>12.3</v>
      </c>
      <c r="O1053" s="122">
        <v>2.78</v>
      </c>
      <c r="P1053" s="124">
        <v>84.92</v>
      </c>
      <c r="Q1053" s="109"/>
      <c r="R1053" s="198"/>
      <c r="S1053" s="198"/>
      <c r="T1053" s="198"/>
      <c r="U1053" s="198"/>
      <c r="V1053" s="198"/>
      <c r="W1053" s="198"/>
      <c r="X1053" s="198"/>
    </row>
    <row r="1054" ht="12.0" customHeight="1">
      <c r="A10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54" s="87" t="str">
        <f>IFERROR(__xludf.DUMMYFUNCTION("IFERROR(IF(F1054&lt;&gt;"""",""WHSE ""&amp;LEFT(F1054,1),REGEXEXTRACT(E1054,""-(?:\d{2}-)?([A-Z]+)"")),"""")
"),"")</f>
        <v/>
      </c>
      <c r="C1054" s="108"/>
      <c r="D1054" s="109"/>
      <c r="E1054" s="110"/>
      <c r="F1054" s="110"/>
      <c r="G1054" s="111"/>
      <c r="H1054" s="112"/>
      <c r="I1054" s="113"/>
      <c r="J1054" s="114"/>
      <c r="K1054" s="115"/>
      <c r="L1054" s="115"/>
      <c r="M1054" s="115"/>
      <c r="N1054" s="116"/>
      <c r="O1054" s="114"/>
      <c r="P1054" s="116"/>
      <c r="Q1054" s="109"/>
      <c r="R1054" s="198"/>
      <c r="S1054" s="198"/>
      <c r="T1054" s="198"/>
      <c r="U1054" s="198"/>
      <c r="V1054" s="198"/>
      <c r="W1054" s="198"/>
      <c r="X1054" s="198"/>
    </row>
    <row r="1055" ht="12.0" customHeight="1">
      <c r="A10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55" s="87" t="str">
        <f>IFERROR(__xludf.DUMMYFUNCTION("IFERROR(IF(F1055&lt;&gt;"""",""WHSE ""&amp;LEFT(F1055,1),REGEXEXTRACT(E1055,""-(?:\d{2}-)?([A-Z]+)"")),"""")
"),"WHSE P")</f>
        <v>WHSE P</v>
      </c>
      <c r="C1055" s="117">
        <v>46135.0</v>
      </c>
      <c r="D1055" s="118" t="s">
        <v>931</v>
      </c>
      <c r="E1055" s="87" t="s">
        <v>932</v>
      </c>
      <c r="F1055" s="87" t="s">
        <v>827</v>
      </c>
      <c r="G1055" s="111"/>
      <c r="H1055" s="120">
        <v>7373.0</v>
      </c>
      <c r="I1055" s="121">
        <v>13.0</v>
      </c>
      <c r="J1055" s="122">
        <v>9.94</v>
      </c>
      <c r="K1055" s="167">
        <v>2.41</v>
      </c>
      <c r="L1055" s="167">
        <v>0.571</v>
      </c>
      <c r="M1055" s="167">
        <v>0.591</v>
      </c>
      <c r="N1055" s="168">
        <v>11.68</v>
      </c>
      <c r="O1055" s="169">
        <v>3.88</v>
      </c>
      <c r="P1055" s="168">
        <v>84.44</v>
      </c>
      <c r="Q1055" s="109"/>
      <c r="R1055" s="198"/>
      <c r="S1055" s="198"/>
      <c r="T1055" s="198"/>
      <c r="U1055" s="198"/>
      <c r="V1055" s="198"/>
      <c r="W1055" s="198"/>
      <c r="X1055" s="198"/>
    </row>
    <row r="1056" ht="12.0" customHeight="1">
      <c r="A10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56" s="87" t="str">
        <f>IFERROR(__xludf.DUMMYFUNCTION("IFERROR(IF(F1056&lt;&gt;"""",""WHSE ""&amp;LEFT(F1056,1),REGEXEXTRACT(E1056,""-(?:\d{2}-)?([A-Z]+)"")),"""")
"),"")</f>
        <v/>
      </c>
      <c r="C1056" s="108"/>
      <c r="D1056" s="109"/>
      <c r="E1056" s="110"/>
      <c r="F1056" s="110"/>
      <c r="G1056" s="111"/>
      <c r="H1056" s="112"/>
      <c r="I1056" s="113"/>
      <c r="J1056" s="114"/>
      <c r="K1056" s="115"/>
      <c r="L1056" s="115"/>
      <c r="M1056" s="115"/>
      <c r="N1056" s="116"/>
      <c r="O1056" s="114"/>
      <c r="P1056" s="116"/>
      <c r="Q1056" s="109"/>
      <c r="R1056" s="198"/>
      <c r="S1056" s="198"/>
      <c r="T1056" s="198"/>
      <c r="U1056" s="198"/>
      <c r="V1056" s="198"/>
      <c r="W1056" s="198"/>
      <c r="X1056" s="198"/>
    </row>
    <row r="1057" ht="12.0" customHeight="1">
      <c r="A10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57" s="87" t="str">
        <f>IFERROR(__xludf.DUMMYFUNCTION("IFERROR(IF(F1057&lt;&gt;"""",""WHSE ""&amp;LEFT(F1057,1),REGEXEXTRACT(E1057,""-(?:\d{2}-)?([A-Z]+)"")),"""")
"),"WHSE A")</f>
        <v>WHSE A</v>
      </c>
      <c r="C1057" s="117">
        <v>46136.0</v>
      </c>
      <c r="D1057" s="118" t="s">
        <v>72</v>
      </c>
      <c r="E1057" s="87" t="s">
        <v>934</v>
      </c>
      <c r="F1057" s="87" t="s">
        <v>201</v>
      </c>
      <c r="G1057" s="125" t="s">
        <v>73</v>
      </c>
      <c r="H1057" s="120">
        <v>20780.0</v>
      </c>
      <c r="I1057" s="121">
        <v>520.0</v>
      </c>
      <c r="J1057" s="122">
        <v>11.47</v>
      </c>
      <c r="K1057" s="123">
        <v>2.4</v>
      </c>
      <c r="L1057" s="123">
        <v>0.571</v>
      </c>
      <c r="M1057" s="123">
        <v>0.591</v>
      </c>
      <c r="N1057" s="124">
        <v>12.22</v>
      </c>
      <c r="O1057" s="122">
        <v>3.68</v>
      </c>
      <c r="P1057" s="124">
        <v>84.1</v>
      </c>
      <c r="Q1057" s="109"/>
      <c r="R1057" s="198"/>
      <c r="S1057" s="198"/>
      <c r="T1057" s="198"/>
      <c r="U1057" s="198"/>
      <c r="V1057" s="198"/>
      <c r="W1057" s="198"/>
      <c r="X1057" s="198"/>
    </row>
    <row r="1058" ht="12.0" customHeight="1">
      <c r="A10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58" s="87" t="str">
        <f>IFERROR(__xludf.DUMMYFUNCTION("IFERROR(IF(F1058&lt;&gt;"""",""WHSE ""&amp;LEFT(F1058,1),REGEXEXTRACT(E1058,""-(?:\d{2}-)?([A-Z]+)"")),"""")
"),"")</f>
        <v/>
      </c>
      <c r="C1058" s="108"/>
      <c r="D1058" s="109"/>
      <c r="E1058" s="110"/>
      <c r="F1058" s="110"/>
      <c r="G1058" s="111"/>
      <c r="H1058" s="112"/>
      <c r="I1058" s="113"/>
      <c r="J1058" s="114"/>
      <c r="K1058" s="115"/>
      <c r="L1058" s="115"/>
      <c r="M1058" s="115"/>
      <c r="N1058" s="116"/>
      <c r="O1058" s="114"/>
      <c r="P1058" s="116"/>
      <c r="Q1058" s="194"/>
      <c r="R1058" s="198"/>
      <c r="S1058" s="198"/>
      <c r="T1058" s="198"/>
      <c r="U1058" s="198"/>
      <c r="V1058" s="198"/>
      <c r="W1058" s="198"/>
      <c r="X1058" s="198"/>
    </row>
    <row r="1059" ht="12.0" customHeight="1">
      <c r="A10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59" s="87" t="str">
        <f>IFERROR(__xludf.DUMMYFUNCTION("IFERROR(IF(F1059&lt;&gt;"""",""WHSE ""&amp;LEFT(F1059,1),REGEXEXTRACT(E1059,""-(?:\d{2}-)?([A-Z]+)"")),"""")
"),"WHSE D")</f>
        <v>WHSE D</v>
      </c>
      <c r="C1059" s="117">
        <v>46140.0</v>
      </c>
      <c r="D1059" s="118" t="s">
        <v>64</v>
      </c>
      <c r="E1059" s="87" t="s">
        <v>935</v>
      </c>
      <c r="F1059" s="87" t="s">
        <v>579</v>
      </c>
      <c r="G1059" s="125" t="s">
        <v>65</v>
      </c>
      <c r="H1059" s="120">
        <v>22660.0</v>
      </c>
      <c r="I1059" s="121">
        <v>494.0</v>
      </c>
      <c r="J1059" s="122">
        <v>10.87</v>
      </c>
      <c r="K1059" s="123">
        <v>2.65</v>
      </c>
      <c r="L1059" s="123">
        <v>0.568</v>
      </c>
      <c r="M1059" s="123">
        <v>0.588</v>
      </c>
      <c r="N1059" s="124">
        <v>12.8</v>
      </c>
      <c r="O1059" s="122">
        <v>3.08</v>
      </c>
      <c r="P1059" s="124">
        <v>84.12</v>
      </c>
      <c r="Q1059" s="109"/>
      <c r="R1059" s="198"/>
      <c r="S1059" s="198"/>
      <c r="T1059" s="198"/>
      <c r="U1059" s="198"/>
      <c r="V1059" s="198"/>
      <c r="W1059" s="198"/>
      <c r="X1059" s="198"/>
    </row>
    <row r="1060" ht="12.0" customHeight="1">
      <c r="A10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60" s="87" t="str">
        <f>IFERROR(__xludf.DUMMYFUNCTION("IFERROR(IF(F1060&lt;&gt;"""",""WHSE ""&amp;LEFT(F1060,1),REGEXEXTRACT(E1060,""-(?:\d{2}-)?([A-Z]+)"")),"""")
"),"FEED")</f>
        <v>FEED</v>
      </c>
      <c r="C1060" s="117">
        <v>46140.0</v>
      </c>
      <c r="D1060" s="118" t="s">
        <v>286</v>
      </c>
      <c r="E1060" s="87" t="s">
        <v>936</v>
      </c>
      <c r="F1060" s="110"/>
      <c r="G1060" s="204" t="s">
        <v>77</v>
      </c>
      <c r="H1060" s="120">
        <v>17095.0</v>
      </c>
      <c r="I1060" s="121">
        <v>497.0</v>
      </c>
      <c r="J1060" s="122">
        <v>11.07</v>
      </c>
      <c r="K1060" s="123">
        <v>2.48</v>
      </c>
      <c r="L1060" s="123">
        <v>0.575</v>
      </c>
      <c r="M1060" s="123">
        <v>0.595</v>
      </c>
      <c r="N1060" s="124">
        <v>14.14</v>
      </c>
      <c r="O1060" s="122">
        <v>3.39</v>
      </c>
      <c r="P1060" s="124">
        <v>82.47</v>
      </c>
      <c r="Q1060" s="109"/>
      <c r="R1060" s="198"/>
      <c r="S1060" s="198"/>
      <c r="T1060" s="198"/>
      <c r="U1060" s="198"/>
      <c r="V1060" s="198"/>
      <c r="W1060" s="198"/>
      <c r="X1060" s="198"/>
    </row>
    <row r="1061" ht="12.0" customHeight="1">
      <c r="A10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1" s="87" t="str">
        <f>IFERROR(__xludf.DUMMYFUNCTION("IFERROR(IF(F1061&lt;&gt;"""",""WHSE ""&amp;LEFT(F1061,1),REGEXEXTRACT(E1061,""-(?:\d{2}-)?([A-Z]+)"")),"""")
"),"")</f>
        <v/>
      </c>
      <c r="C1061" s="108"/>
      <c r="D1061" s="109"/>
      <c r="E1061" s="110"/>
      <c r="F1061" s="110"/>
      <c r="G1061" s="111"/>
      <c r="H1061" s="112"/>
      <c r="I1061" s="113"/>
      <c r="J1061" s="114"/>
      <c r="K1061" s="115"/>
      <c r="L1061" s="115"/>
      <c r="M1061" s="115"/>
      <c r="N1061" s="116"/>
      <c r="O1061" s="114"/>
      <c r="P1061" s="116"/>
      <c r="Q1061" s="109"/>
      <c r="R1061" s="198"/>
      <c r="S1061" s="198"/>
      <c r="T1061" s="198"/>
      <c r="U1061" s="198"/>
      <c r="V1061" s="198"/>
      <c r="W1061" s="198"/>
      <c r="X1061" s="198"/>
    </row>
    <row r="1062" ht="12.0" customHeight="1">
      <c r="A10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2" s="87" t="str">
        <f>IFERROR(__xludf.DUMMYFUNCTION("IFERROR(IF(F1062&lt;&gt;"""",""WHSE ""&amp;LEFT(F1062,1),REGEXEXTRACT(E1062,""-(?:\d{2}-)?([A-Z]+)"")),"""")
"),"WHSE C")</f>
        <v>WHSE C</v>
      </c>
      <c r="C1062" s="117">
        <v>46142.0</v>
      </c>
      <c r="D1062" s="118" t="s">
        <v>232</v>
      </c>
      <c r="E1062" s="87" t="s">
        <v>937</v>
      </c>
      <c r="F1062" s="87" t="s">
        <v>399</v>
      </c>
      <c r="G1062" s="125" t="s">
        <v>328</v>
      </c>
      <c r="H1062" s="120">
        <v>18645.0</v>
      </c>
      <c r="I1062" s="121">
        <v>503.0</v>
      </c>
      <c r="J1062" s="122">
        <v>9.07</v>
      </c>
      <c r="K1062" s="123">
        <v>2.88</v>
      </c>
      <c r="L1062" s="123">
        <v>0.565</v>
      </c>
      <c r="M1062" s="123">
        <v>0.585</v>
      </c>
      <c r="N1062" s="124">
        <v>13.41</v>
      </c>
      <c r="O1062" s="122">
        <v>2.38</v>
      </c>
      <c r="P1062" s="124">
        <v>84.21</v>
      </c>
      <c r="Q1062" s="109"/>
      <c r="R1062" s="198"/>
      <c r="S1062" s="198"/>
      <c r="T1062" s="198"/>
      <c r="U1062" s="198"/>
      <c r="V1062" s="198"/>
      <c r="W1062" s="198"/>
      <c r="X1062" s="198"/>
    </row>
    <row r="1063" ht="12.0" customHeight="1">
      <c r="A10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3" s="87" t="str">
        <f>IFERROR(__xludf.DUMMYFUNCTION("IFERROR(IF(F1063&lt;&gt;"""",""WHSE ""&amp;LEFT(F1063,1),REGEXEXTRACT(E1063,""-(?:\d{2}-)?([A-Z]+)"")),"""")
"),"")</f>
        <v/>
      </c>
      <c r="C1063" s="108"/>
      <c r="D1063" s="109"/>
      <c r="E1063" s="110"/>
      <c r="F1063" s="110"/>
      <c r="G1063" s="111"/>
      <c r="H1063" s="112"/>
      <c r="I1063" s="113"/>
      <c r="J1063" s="114"/>
      <c r="K1063" s="115"/>
      <c r="L1063" s="115"/>
      <c r="M1063" s="115"/>
      <c r="N1063" s="116"/>
      <c r="O1063" s="114"/>
      <c r="P1063" s="116"/>
      <c r="Q1063" s="109"/>
      <c r="R1063" s="198"/>
      <c r="S1063" s="198"/>
      <c r="T1063" s="198"/>
      <c r="U1063" s="198"/>
      <c r="V1063" s="198"/>
      <c r="W1063" s="198"/>
      <c r="X1063" s="198"/>
    </row>
    <row r="1064" ht="12.0" customHeight="1">
      <c r="A10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4" s="87" t="str">
        <f>IFERROR(__xludf.DUMMYFUNCTION("IFERROR(IF(F1064&lt;&gt;"""",""WHSE ""&amp;LEFT(F1064,1),REGEXEXTRACT(E1064,""-(?:\d{2}-)?([A-Z]+)"")),"""")
"),"WHSE C")</f>
        <v>WHSE C</v>
      </c>
      <c r="C1064" s="117">
        <v>46146.0</v>
      </c>
      <c r="D1064" s="118" t="s">
        <v>232</v>
      </c>
      <c r="E1064" s="87" t="s">
        <v>937</v>
      </c>
      <c r="F1064" s="87" t="s">
        <v>399</v>
      </c>
      <c r="G1064" s="125" t="s">
        <v>328</v>
      </c>
      <c r="H1064" s="120">
        <v>20970.0</v>
      </c>
      <c r="I1064" s="121">
        <v>520.0</v>
      </c>
      <c r="J1064" s="122">
        <v>9.87</v>
      </c>
      <c r="K1064" s="123">
        <v>3.51</v>
      </c>
      <c r="L1064" s="123">
        <v>0.575</v>
      </c>
      <c r="M1064" s="123">
        <v>0.595</v>
      </c>
      <c r="N1064" s="124">
        <v>13.81</v>
      </c>
      <c r="O1064" s="122">
        <v>3.68</v>
      </c>
      <c r="P1064" s="124">
        <v>82.51</v>
      </c>
      <c r="Q1064" s="118" t="s">
        <v>938</v>
      </c>
      <c r="R1064" s="198"/>
      <c r="S1064" s="198"/>
      <c r="T1064" s="198"/>
      <c r="U1064" s="198"/>
      <c r="V1064" s="198"/>
      <c r="W1064" s="198"/>
      <c r="X1064" s="198"/>
    </row>
    <row r="1065" ht="12.0" customHeight="1">
      <c r="A10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5" s="87" t="str">
        <f>IFERROR(__xludf.DUMMYFUNCTION("IFERROR(IF(F1065&lt;&gt;"""",""WHSE ""&amp;LEFT(F1065,1),REGEXEXTRACT(E1065,""-(?:\d{2}-)?([A-Z]+)"")),"""")
"),"WHSE C")</f>
        <v>WHSE C</v>
      </c>
      <c r="C1065" s="117">
        <v>46146.0</v>
      </c>
      <c r="D1065" s="118" t="s">
        <v>232</v>
      </c>
      <c r="E1065" s="87" t="s">
        <v>937</v>
      </c>
      <c r="F1065" s="87" t="s">
        <v>399</v>
      </c>
      <c r="G1065" s="125" t="s">
        <v>235</v>
      </c>
      <c r="H1065" s="120">
        <v>11410.0</v>
      </c>
      <c r="I1065" s="121">
        <v>273.0</v>
      </c>
      <c r="J1065" s="122">
        <v>10.07</v>
      </c>
      <c r="K1065" s="123">
        <v>2.47</v>
      </c>
      <c r="L1065" s="123">
        <v>0.581</v>
      </c>
      <c r="M1065" s="123">
        <v>0.601</v>
      </c>
      <c r="N1065" s="124">
        <v>12.36</v>
      </c>
      <c r="O1065" s="122">
        <v>2.79</v>
      </c>
      <c r="P1065" s="124">
        <v>84.85</v>
      </c>
      <c r="Q1065" s="118" t="s">
        <v>938</v>
      </c>
      <c r="R1065" s="198"/>
      <c r="S1065" s="198"/>
      <c r="T1065" s="198"/>
      <c r="U1065" s="198"/>
      <c r="V1065" s="198"/>
      <c r="W1065" s="198"/>
      <c r="X1065" s="198"/>
    </row>
    <row r="1066" ht="12.0" customHeight="1">
      <c r="A10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6" s="87" t="str">
        <f>IFERROR(__xludf.DUMMYFUNCTION("IFERROR(IF(F1066&lt;&gt;"""",""WHSE ""&amp;LEFT(F1066,1),REGEXEXTRACT(E1066,""-(?:\d{2}-)?([A-Z]+)"")),"""")
"),"WHSE C")</f>
        <v>WHSE C</v>
      </c>
      <c r="C1066" s="117">
        <v>46146.0</v>
      </c>
      <c r="D1066" s="118" t="s">
        <v>232</v>
      </c>
      <c r="E1066" s="87" t="s">
        <v>939</v>
      </c>
      <c r="F1066" s="87" t="s">
        <v>384</v>
      </c>
      <c r="G1066" s="125" t="s">
        <v>668</v>
      </c>
      <c r="H1066" s="120">
        <v>10630.0</v>
      </c>
      <c r="I1066" s="121">
        <v>192.0</v>
      </c>
      <c r="J1066" s="122">
        <v>10.8</v>
      </c>
      <c r="K1066" s="123">
        <v>3.41</v>
      </c>
      <c r="L1066" s="123">
        <v>0.562</v>
      </c>
      <c r="M1066" s="123">
        <v>0.582</v>
      </c>
      <c r="N1066" s="124">
        <v>14.19</v>
      </c>
      <c r="O1066" s="122">
        <v>3.43</v>
      </c>
      <c r="P1066" s="124">
        <v>82.38</v>
      </c>
      <c r="Q1066" s="109"/>
      <c r="R1066" s="198"/>
      <c r="S1066" s="198"/>
      <c r="T1066" s="198"/>
      <c r="U1066" s="198"/>
      <c r="V1066" s="198"/>
      <c r="W1066" s="198"/>
      <c r="X1066" s="198"/>
    </row>
    <row r="1067" ht="12.0" customHeight="1">
      <c r="A10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7" s="87" t="str">
        <f>IFERROR(__xludf.DUMMYFUNCTION("IFERROR(IF(F1067&lt;&gt;"""",""WHSE ""&amp;LEFT(F1067,1),REGEXEXTRACT(E1067,""-(?:\d{2}-)?([A-Z]+)"")),"""")
"),"WHSE C")</f>
        <v>WHSE C</v>
      </c>
      <c r="C1067" s="117">
        <v>46146.0</v>
      </c>
      <c r="D1067" s="118" t="s">
        <v>232</v>
      </c>
      <c r="E1067" s="87" t="s">
        <v>939</v>
      </c>
      <c r="F1067" s="87" t="s">
        <v>384</v>
      </c>
      <c r="G1067" s="125" t="s">
        <v>278</v>
      </c>
      <c r="H1067" s="120">
        <v>8780.0</v>
      </c>
      <c r="I1067" s="121">
        <v>235.0</v>
      </c>
      <c r="J1067" s="122">
        <v>9.6</v>
      </c>
      <c r="K1067" s="123">
        <v>3.1</v>
      </c>
      <c r="L1067" s="123">
        <v>0.559</v>
      </c>
      <c r="M1067" s="123">
        <v>0.579</v>
      </c>
      <c r="N1067" s="124">
        <v>12.48</v>
      </c>
      <c r="O1067" s="122">
        <v>4.29</v>
      </c>
      <c r="P1067" s="124">
        <v>83.23</v>
      </c>
      <c r="Q1067" s="194"/>
      <c r="R1067" s="198"/>
      <c r="S1067" s="198"/>
      <c r="T1067" s="198"/>
      <c r="U1067" s="198"/>
      <c r="V1067" s="198"/>
      <c r="W1067" s="198"/>
      <c r="X1067" s="198"/>
    </row>
    <row r="1068" ht="12.0" customHeight="1">
      <c r="A10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8" s="87" t="str">
        <f>IFERROR(__xludf.DUMMYFUNCTION("IFERROR(IF(F1068&lt;&gt;"""",""WHSE ""&amp;LEFT(F1068,1),REGEXEXTRACT(E1068,""-(?:\d{2}-)?([A-Z]+)"")),"""")
"),"WHSE A")</f>
        <v>WHSE A</v>
      </c>
      <c r="C1068" s="117">
        <v>46146.0</v>
      </c>
      <c r="D1068" s="118" t="s">
        <v>72</v>
      </c>
      <c r="E1068" s="87" t="s">
        <v>934</v>
      </c>
      <c r="F1068" s="87" t="s">
        <v>201</v>
      </c>
      <c r="G1068" s="125" t="s">
        <v>512</v>
      </c>
      <c r="H1068" s="120">
        <v>20330.0</v>
      </c>
      <c r="I1068" s="121">
        <v>487.0</v>
      </c>
      <c r="J1068" s="122">
        <v>11.0</v>
      </c>
      <c r="K1068" s="123">
        <v>2.31</v>
      </c>
      <c r="L1068" s="123">
        <v>0.578</v>
      </c>
      <c r="M1068" s="123">
        <v>0.598</v>
      </c>
      <c r="N1068" s="124">
        <v>13.25</v>
      </c>
      <c r="O1068" s="122">
        <v>3.19</v>
      </c>
      <c r="P1068" s="124">
        <v>83.56</v>
      </c>
      <c r="Q1068" s="118" t="s">
        <v>940</v>
      </c>
      <c r="R1068" s="198"/>
      <c r="S1068" s="198"/>
      <c r="T1068" s="198"/>
      <c r="U1068" s="198"/>
      <c r="V1068" s="198"/>
      <c r="W1068" s="198"/>
      <c r="X1068" s="198"/>
    </row>
    <row r="1069" ht="12.0" customHeight="1">
      <c r="A10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69" s="87" t="str">
        <f>IFERROR(__xludf.DUMMYFUNCTION("IFERROR(IF(F1069&lt;&gt;"""",""WHSE ""&amp;LEFT(F1069,1),REGEXEXTRACT(E1069,""-(?:\d{2}-)?([A-Z]+)"")),"""")
"),"WHSE D")</f>
        <v>WHSE D</v>
      </c>
      <c r="C1069" s="117">
        <v>46146.0</v>
      </c>
      <c r="D1069" s="118" t="s">
        <v>64</v>
      </c>
      <c r="E1069" s="87" t="s">
        <v>935</v>
      </c>
      <c r="F1069" s="87" t="s">
        <v>579</v>
      </c>
      <c r="G1069" s="125" t="s">
        <v>65</v>
      </c>
      <c r="H1069" s="120">
        <v>23505.0</v>
      </c>
      <c r="I1069" s="121">
        <v>515.0</v>
      </c>
      <c r="J1069" s="122">
        <v>11.34</v>
      </c>
      <c r="K1069" s="123">
        <v>2.16</v>
      </c>
      <c r="L1069" s="123">
        <v>0.578</v>
      </c>
      <c r="M1069" s="123">
        <v>0.598</v>
      </c>
      <c r="N1069" s="124">
        <v>12.76</v>
      </c>
      <c r="O1069" s="122">
        <v>2.88</v>
      </c>
      <c r="P1069" s="124">
        <v>84.36</v>
      </c>
      <c r="Q1069" s="118" t="s">
        <v>941</v>
      </c>
      <c r="R1069" s="198"/>
      <c r="S1069" s="198"/>
      <c r="T1069" s="198"/>
      <c r="U1069" s="198"/>
      <c r="V1069" s="198"/>
      <c r="W1069" s="198"/>
      <c r="X1069" s="198"/>
    </row>
    <row r="1070" ht="12.0" customHeight="1">
      <c r="A10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0" s="87" t="str">
        <f>IFERROR(__xludf.DUMMYFUNCTION("IFERROR(IF(F1070&lt;&gt;"""",""WHSE ""&amp;LEFT(F1070,1),REGEXEXTRACT(E1070,""-(?:\d{2}-)?([A-Z]+)"")),"""")
"),"")</f>
        <v/>
      </c>
      <c r="C1070" s="108"/>
      <c r="D1070" s="109"/>
      <c r="E1070" s="110"/>
      <c r="F1070" s="110"/>
      <c r="G1070" s="111"/>
      <c r="H1070" s="112"/>
      <c r="I1070" s="113"/>
      <c r="J1070" s="114"/>
      <c r="K1070" s="115"/>
      <c r="L1070" s="115"/>
      <c r="M1070" s="115"/>
      <c r="N1070" s="116"/>
      <c r="O1070" s="114"/>
      <c r="P1070" s="116"/>
      <c r="Q1070" s="109"/>
      <c r="R1070" s="198"/>
      <c r="S1070" s="198"/>
      <c r="T1070" s="198"/>
      <c r="U1070" s="198"/>
      <c r="V1070" s="198"/>
      <c r="W1070" s="198"/>
      <c r="X1070" s="198"/>
    </row>
    <row r="1071" ht="12.0" customHeight="1">
      <c r="A10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1" s="87" t="str">
        <f>IFERROR(__xludf.DUMMYFUNCTION("IFERROR(IF(F1071&lt;&gt;"""",""WHSE ""&amp;LEFT(F1071,1),REGEXEXTRACT(E1071,""-(?:\d{2}-)?([A-Z]+)"")),"""")
"),"WHSE A")</f>
        <v>WHSE A</v>
      </c>
      <c r="C1071" s="117">
        <v>46147.0</v>
      </c>
      <c r="D1071" s="118" t="s">
        <v>72</v>
      </c>
      <c r="E1071" s="87" t="s">
        <v>942</v>
      </c>
      <c r="F1071" s="87" t="s">
        <v>208</v>
      </c>
      <c r="G1071" s="125" t="s">
        <v>77</v>
      </c>
      <c r="H1071" s="120">
        <v>18595.0</v>
      </c>
      <c r="I1071" s="121">
        <v>439.0</v>
      </c>
      <c r="J1071" s="122">
        <v>11.87</v>
      </c>
      <c r="K1071" s="123">
        <v>2.8</v>
      </c>
      <c r="L1071" s="123">
        <v>0.578</v>
      </c>
      <c r="M1071" s="123">
        <v>0.598</v>
      </c>
      <c r="N1071" s="124">
        <v>12.23</v>
      </c>
      <c r="O1071" s="122">
        <v>3.56</v>
      </c>
      <c r="P1071" s="124">
        <v>84.21</v>
      </c>
      <c r="Q1071" s="109"/>
      <c r="R1071" s="198"/>
      <c r="S1071" s="198"/>
      <c r="T1071" s="198"/>
      <c r="U1071" s="198"/>
      <c r="V1071" s="198"/>
      <c r="W1071" s="198"/>
      <c r="X1071" s="198"/>
    </row>
    <row r="1072" ht="12.0" customHeight="1">
      <c r="A10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2" s="87" t="str">
        <f>IFERROR(__xludf.DUMMYFUNCTION("IFERROR(IF(F1072&lt;&gt;"""",""WHSE ""&amp;LEFT(F1072,1),REGEXEXTRACT(E1072,""-(?:\d{2}-)?([A-Z]+)"")),"""")
"),"WHSE A")</f>
        <v>WHSE A</v>
      </c>
      <c r="C1072" s="117">
        <v>46147.0</v>
      </c>
      <c r="D1072" s="118" t="s">
        <v>72</v>
      </c>
      <c r="E1072" s="87" t="s">
        <v>942</v>
      </c>
      <c r="F1072" s="87" t="s">
        <v>208</v>
      </c>
      <c r="G1072" s="125" t="s">
        <v>943</v>
      </c>
      <c r="H1072" s="120">
        <v>19710.0</v>
      </c>
      <c r="I1072" s="121">
        <v>513.0</v>
      </c>
      <c r="J1072" s="122">
        <v>8.94</v>
      </c>
      <c r="K1072" s="123">
        <v>2.56</v>
      </c>
      <c r="L1072" s="123">
        <v>0.571</v>
      </c>
      <c r="M1072" s="123">
        <v>0.591</v>
      </c>
      <c r="N1072" s="124">
        <v>13.48</v>
      </c>
      <c r="O1072" s="122">
        <v>2.71</v>
      </c>
      <c r="P1072" s="124">
        <v>83.81</v>
      </c>
      <c r="Q1072" s="109"/>
      <c r="R1072" s="198"/>
      <c r="S1072" s="198"/>
      <c r="T1072" s="198"/>
      <c r="U1072" s="198"/>
      <c r="V1072" s="198"/>
      <c r="W1072" s="198"/>
      <c r="X1072" s="198"/>
    </row>
    <row r="1073" ht="12.0" customHeight="1">
      <c r="A10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3" s="87" t="str">
        <f>IFERROR(__xludf.DUMMYFUNCTION("IFERROR(IF(F1073&lt;&gt;"""",""WHSE ""&amp;LEFT(F1073,1),REGEXEXTRACT(E1073,""-(?:\d{2}-)?([A-Z]+)"")),"""")
"),"WHSE A")</f>
        <v>WHSE A</v>
      </c>
      <c r="C1073" s="117">
        <v>46147.0</v>
      </c>
      <c r="D1073" s="118" t="s">
        <v>72</v>
      </c>
      <c r="E1073" s="87" t="s">
        <v>942</v>
      </c>
      <c r="F1073" s="87" t="s">
        <v>208</v>
      </c>
      <c r="G1073" s="125" t="s">
        <v>944</v>
      </c>
      <c r="H1073" s="120">
        <v>12895.0</v>
      </c>
      <c r="I1073" s="121">
        <v>292.0</v>
      </c>
      <c r="J1073" s="122">
        <v>11.8</v>
      </c>
      <c r="K1073" s="123">
        <v>2.68</v>
      </c>
      <c r="L1073" s="123">
        <v>0.571</v>
      </c>
      <c r="M1073" s="123">
        <v>0.591</v>
      </c>
      <c r="N1073" s="124">
        <v>11.67</v>
      </c>
      <c r="O1073" s="122">
        <v>3.44</v>
      </c>
      <c r="P1073" s="124">
        <v>84.89</v>
      </c>
      <c r="Q1073" s="109"/>
      <c r="R1073" s="198"/>
      <c r="S1073" s="198"/>
      <c r="T1073" s="198"/>
      <c r="U1073" s="198"/>
      <c r="V1073" s="198"/>
      <c r="W1073" s="198"/>
      <c r="X1073" s="198"/>
    </row>
    <row r="1074" ht="12.0" customHeight="1">
      <c r="A10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74" s="87" t="str">
        <f>IFERROR(__xludf.DUMMYFUNCTION("IFERROR(IF(F1074&lt;&gt;"""",""WHSE ""&amp;LEFT(F1074,1),REGEXEXTRACT(E1074,""-(?:\d{2}-)?([A-Z]+)"")),"""")
"),"FEED")</f>
        <v>FEED</v>
      </c>
      <c r="C1074" s="117">
        <v>46147.0</v>
      </c>
      <c r="D1074" s="118" t="s">
        <v>286</v>
      </c>
      <c r="E1074" s="87" t="s">
        <v>945</v>
      </c>
      <c r="F1074" s="110"/>
      <c r="G1074" s="125" t="s">
        <v>946</v>
      </c>
      <c r="H1074" s="120">
        <v>16845.0</v>
      </c>
      <c r="I1074" s="121">
        <v>479.0</v>
      </c>
      <c r="J1074" s="122">
        <v>11.27</v>
      </c>
      <c r="K1074" s="123">
        <v>2.4</v>
      </c>
      <c r="L1074" s="123">
        <v>0.581</v>
      </c>
      <c r="M1074" s="123">
        <v>0.601</v>
      </c>
      <c r="N1074" s="124">
        <v>13.4</v>
      </c>
      <c r="O1074" s="122">
        <v>3.24</v>
      </c>
      <c r="P1074" s="124">
        <v>83.36</v>
      </c>
      <c r="Q1074" s="109"/>
      <c r="R1074" s="198"/>
      <c r="S1074" s="198"/>
      <c r="T1074" s="198"/>
      <c r="U1074" s="198"/>
      <c r="V1074" s="198"/>
      <c r="W1074" s="198"/>
      <c r="X1074" s="198"/>
    </row>
    <row r="1075" ht="12.0" customHeight="1">
      <c r="A10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5" s="87" t="str">
        <f>IFERROR(__xludf.DUMMYFUNCTION("IFERROR(IF(F1075&lt;&gt;"""",""WHSE ""&amp;LEFT(F1075,1),REGEXEXTRACT(E1075,""-(?:\d{2}-)?([A-Z]+)"")),"""")
"),"WHSE C")</f>
        <v>WHSE C</v>
      </c>
      <c r="C1075" s="117">
        <v>46147.0</v>
      </c>
      <c r="D1075" s="118" t="s">
        <v>232</v>
      </c>
      <c r="E1075" s="87" t="s">
        <v>937</v>
      </c>
      <c r="F1075" s="87" t="s">
        <v>399</v>
      </c>
      <c r="G1075" s="125" t="s">
        <v>235</v>
      </c>
      <c r="H1075" s="120">
        <v>8805.0</v>
      </c>
      <c r="I1075" s="121">
        <v>223.0</v>
      </c>
      <c r="J1075" s="122">
        <v>10.87</v>
      </c>
      <c r="K1075" s="123">
        <v>3.18</v>
      </c>
      <c r="L1075" s="123">
        <v>0.578</v>
      </c>
      <c r="M1075" s="123">
        <v>0.598</v>
      </c>
      <c r="N1075" s="124">
        <v>13.71</v>
      </c>
      <c r="O1075" s="122">
        <v>3.09</v>
      </c>
      <c r="P1075" s="124">
        <v>83.2</v>
      </c>
      <c r="Q1075" s="118" t="s">
        <v>938</v>
      </c>
      <c r="R1075" s="198"/>
      <c r="S1075" s="198"/>
      <c r="T1075" s="198"/>
      <c r="U1075" s="198"/>
      <c r="V1075" s="198"/>
      <c r="W1075" s="198"/>
      <c r="X1075" s="198"/>
    </row>
    <row r="1076" ht="12.0" customHeight="1">
      <c r="A10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6" s="87" t="str">
        <f>IFERROR(__xludf.DUMMYFUNCTION("IFERROR(IF(F1076&lt;&gt;"""",""WHSE ""&amp;LEFT(F1076,1),REGEXEXTRACT(E1076,""-(?:\d{2}-)?([A-Z]+)"")),"""")
"),"WHSE C")</f>
        <v>WHSE C</v>
      </c>
      <c r="C1076" s="117">
        <v>46147.0</v>
      </c>
      <c r="D1076" s="118" t="s">
        <v>232</v>
      </c>
      <c r="E1076" s="87" t="s">
        <v>939</v>
      </c>
      <c r="F1076" s="87" t="s">
        <v>384</v>
      </c>
      <c r="G1076" s="125" t="s">
        <v>904</v>
      </c>
      <c r="H1076" s="120">
        <v>22335.0</v>
      </c>
      <c r="I1076" s="121">
        <v>607.0</v>
      </c>
      <c r="J1076" s="122">
        <v>10.67</v>
      </c>
      <c r="K1076" s="123">
        <v>2.9</v>
      </c>
      <c r="L1076" s="123">
        <v>0.571</v>
      </c>
      <c r="M1076" s="123">
        <v>0.591</v>
      </c>
      <c r="N1076" s="124">
        <v>12.8</v>
      </c>
      <c r="O1076" s="122">
        <v>2.9</v>
      </c>
      <c r="P1076" s="124">
        <v>84.3</v>
      </c>
      <c r="Q1076" s="194"/>
      <c r="R1076" s="198"/>
      <c r="S1076" s="198"/>
      <c r="T1076" s="198"/>
      <c r="U1076" s="198"/>
      <c r="V1076" s="198"/>
      <c r="W1076" s="198"/>
      <c r="X1076" s="198"/>
    </row>
    <row r="1077" ht="12.0" customHeight="1">
      <c r="A10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7" s="87" t="str">
        <f>IFERROR(__xludf.DUMMYFUNCTION("IFERROR(IF(F1077&lt;&gt;"""",""WHSE ""&amp;LEFT(F1077,1),REGEXEXTRACT(E1077,""-(?:\d{2}-)?([A-Z]+)"")),"""")
"),"WHSE D")</f>
        <v>WHSE D</v>
      </c>
      <c r="C1077" s="117">
        <v>46147.0</v>
      </c>
      <c r="D1077" s="118" t="s">
        <v>232</v>
      </c>
      <c r="E1077" s="87" t="s">
        <v>917</v>
      </c>
      <c r="F1077" s="87" t="s">
        <v>628</v>
      </c>
      <c r="G1077" s="125" t="s">
        <v>139</v>
      </c>
      <c r="H1077" s="120">
        <v>22693.0</v>
      </c>
      <c r="I1077" s="121">
        <v>440.0</v>
      </c>
      <c r="J1077" s="122">
        <v>9.34</v>
      </c>
      <c r="K1077" s="123">
        <v>2.75</v>
      </c>
      <c r="L1077" s="123">
        <v>0.552</v>
      </c>
      <c r="M1077" s="123">
        <v>0.572</v>
      </c>
      <c r="N1077" s="124">
        <v>10.75</v>
      </c>
      <c r="O1077" s="122">
        <v>7.94</v>
      </c>
      <c r="P1077" s="124">
        <v>81.31</v>
      </c>
      <c r="Q1077" s="118" t="s">
        <v>947</v>
      </c>
      <c r="R1077" s="198"/>
      <c r="S1077" s="198"/>
      <c r="T1077" s="198"/>
      <c r="U1077" s="198"/>
      <c r="V1077" s="198"/>
      <c r="W1077" s="198"/>
      <c r="X1077" s="198"/>
    </row>
    <row r="1078" ht="12.0" customHeight="1">
      <c r="A10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8" s="87" t="str">
        <f>IFERROR(__xludf.DUMMYFUNCTION("IFERROR(IF(F1078&lt;&gt;"""",""WHSE ""&amp;LEFT(F1078,1),REGEXEXTRACT(E1078,""-(?:\d{2}-)?([A-Z]+)"")),"""")
"),"WHSE D")</f>
        <v>WHSE D</v>
      </c>
      <c r="C1078" s="117">
        <v>46147.0</v>
      </c>
      <c r="D1078" s="118" t="s">
        <v>232</v>
      </c>
      <c r="E1078" s="87" t="s">
        <v>948</v>
      </c>
      <c r="F1078" s="87" t="s">
        <v>585</v>
      </c>
      <c r="G1078" s="125" t="s">
        <v>732</v>
      </c>
      <c r="H1078" s="120">
        <v>33312.0</v>
      </c>
      <c r="I1078" s="121">
        <v>895.0</v>
      </c>
      <c r="J1078" s="122">
        <v>10.4</v>
      </c>
      <c r="K1078" s="123">
        <v>3.22</v>
      </c>
      <c r="L1078" s="123">
        <v>0.549</v>
      </c>
      <c r="M1078" s="123">
        <v>0.569</v>
      </c>
      <c r="N1078" s="124">
        <v>10.38</v>
      </c>
      <c r="O1078" s="122">
        <v>6.88</v>
      </c>
      <c r="P1078" s="124">
        <v>82.74</v>
      </c>
      <c r="Q1078" s="118" t="s">
        <v>949</v>
      </c>
      <c r="R1078" s="198"/>
      <c r="S1078" s="198"/>
      <c r="T1078" s="198"/>
      <c r="U1078" s="198"/>
      <c r="V1078" s="198"/>
      <c r="W1078" s="198"/>
      <c r="X1078" s="198"/>
    </row>
    <row r="1079" ht="12.0" customHeight="1">
      <c r="A10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79" s="87" t="str">
        <f>IFERROR(__xludf.DUMMYFUNCTION("IFERROR(IF(F1079&lt;&gt;"""",""WHSE ""&amp;LEFT(F1079,1),REGEXEXTRACT(E1079,""-(?:\d{2}-)?([A-Z]+)"")),"""")
"),"")</f>
        <v/>
      </c>
      <c r="C1079" s="108"/>
      <c r="D1079" s="109"/>
      <c r="E1079" s="110"/>
      <c r="F1079" s="110"/>
      <c r="G1079" s="111"/>
      <c r="H1079" s="112"/>
      <c r="I1079" s="113"/>
      <c r="J1079" s="114"/>
      <c r="K1079" s="115"/>
      <c r="L1079" s="115"/>
      <c r="M1079" s="115"/>
      <c r="N1079" s="116"/>
      <c r="O1079" s="114"/>
      <c r="P1079" s="116"/>
      <c r="Q1079" s="109"/>
      <c r="R1079" s="198"/>
      <c r="S1079" s="198"/>
      <c r="T1079" s="198"/>
      <c r="U1079" s="198"/>
      <c r="V1079" s="198"/>
      <c r="W1079" s="198"/>
      <c r="X1079" s="198"/>
    </row>
    <row r="1080" ht="12.0" customHeight="1">
      <c r="A10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0" s="87" t="str">
        <f>IFERROR(__xludf.DUMMYFUNCTION("IFERROR(IF(F1080&lt;&gt;"""",""WHSE ""&amp;LEFT(F1080,1),REGEXEXTRACT(E1080,""-(?:\d{2}-)?([A-Z]+)"")),"""")
"),"WHSE C")</f>
        <v>WHSE C</v>
      </c>
      <c r="C1080" s="117">
        <v>46148.0</v>
      </c>
      <c r="D1080" s="118" t="s">
        <v>232</v>
      </c>
      <c r="E1080" s="87" t="s">
        <v>939</v>
      </c>
      <c r="F1080" s="87" t="s">
        <v>384</v>
      </c>
      <c r="G1080" s="125" t="s">
        <v>668</v>
      </c>
      <c r="H1080" s="120">
        <v>11385.0</v>
      </c>
      <c r="I1080" s="121">
        <v>312.0</v>
      </c>
      <c r="J1080" s="122">
        <v>8.4</v>
      </c>
      <c r="K1080" s="123">
        <v>2.77</v>
      </c>
      <c r="L1080" s="123">
        <v>0.565</v>
      </c>
      <c r="M1080" s="123">
        <v>0.585</v>
      </c>
      <c r="N1080" s="124">
        <v>13.41</v>
      </c>
      <c r="O1080" s="122">
        <v>2.46</v>
      </c>
      <c r="P1080" s="124">
        <v>84.13</v>
      </c>
      <c r="Q1080" s="109"/>
      <c r="R1080" s="198"/>
      <c r="S1080" s="198"/>
      <c r="T1080" s="198"/>
      <c r="U1080" s="198"/>
      <c r="V1080" s="198"/>
      <c r="W1080" s="198"/>
      <c r="X1080" s="198"/>
    </row>
    <row r="1081" ht="12.0" customHeight="1">
      <c r="A10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1" s="87" t="str">
        <f>IFERROR(__xludf.DUMMYFUNCTION("IFERROR(IF(F1081&lt;&gt;"""",""WHSE ""&amp;LEFT(F1081,1),REGEXEXTRACT(E1081,""-(?:\d{2}-)?([A-Z]+)"")),"""")
"),"WHSE D")</f>
        <v>WHSE D</v>
      </c>
      <c r="C1081" s="117">
        <v>46148.0</v>
      </c>
      <c r="D1081" s="118" t="s">
        <v>232</v>
      </c>
      <c r="E1081" s="87" t="s">
        <v>950</v>
      </c>
      <c r="F1081" s="87" t="s">
        <v>951</v>
      </c>
      <c r="G1081" s="125" t="s">
        <v>497</v>
      </c>
      <c r="H1081" s="120">
        <v>3665.0</v>
      </c>
      <c r="I1081" s="121">
        <v>129.0</v>
      </c>
      <c r="J1081" s="122">
        <v>8.8</v>
      </c>
      <c r="K1081" s="123">
        <v>3.5</v>
      </c>
      <c r="L1081" s="123">
        <v>0.568</v>
      </c>
      <c r="M1081" s="123">
        <v>0.588</v>
      </c>
      <c r="N1081" s="124">
        <v>13.44</v>
      </c>
      <c r="O1081" s="122">
        <v>2.14</v>
      </c>
      <c r="P1081" s="124">
        <v>84.42</v>
      </c>
      <c r="Q1081" s="109"/>
      <c r="R1081" s="198"/>
      <c r="S1081" s="198"/>
      <c r="T1081" s="198"/>
      <c r="U1081" s="198"/>
      <c r="V1081" s="198"/>
      <c r="W1081" s="198"/>
      <c r="X1081" s="198"/>
    </row>
    <row r="1082" ht="12.0" customHeight="1">
      <c r="A10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2" s="87" t="str">
        <f>IFERROR(__xludf.DUMMYFUNCTION("IFERROR(IF(F1082&lt;&gt;"""",""WHSE ""&amp;LEFT(F1082,1),REGEXEXTRACT(E1082,""-(?:\d{2}-)?([A-Z]+)"")),"""")
"),"WHSE D")</f>
        <v>WHSE D</v>
      </c>
      <c r="C1082" s="117">
        <v>46148.0</v>
      </c>
      <c r="D1082" s="118" t="s">
        <v>232</v>
      </c>
      <c r="E1082" s="87" t="s">
        <v>950</v>
      </c>
      <c r="F1082" s="87" t="s">
        <v>951</v>
      </c>
      <c r="G1082" s="125" t="s">
        <v>669</v>
      </c>
      <c r="H1082" s="120">
        <v>20450.0</v>
      </c>
      <c r="I1082" s="121">
        <v>561.0</v>
      </c>
      <c r="J1082" s="122">
        <v>9.34</v>
      </c>
      <c r="K1082" s="123">
        <v>3.16</v>
      </c>
      <c r="L1082" s="123">
        <v>0.568</v>
      </c>
      <c r="M1082" s="123">
        <v>0.588</v>
      </c>
      <c r="N1082" s="124">
        <v>12.28</v>
      </c>
      <c r="O1082" s="122">
        <v>3.98</v>
      </c>
      <c r="P1082" s="124">
        <v>83.74</v>
      </c>
      <c r="Q1082" s="109"/>
      <c r="R1082" s="198"/>
      <c r="S1082" s="198"/>
      <c r="T1082" s="198"/>
      <c r="U1082" s="198"/>
      <c r="V1082" s="198"/>
      <c r="W1082" s="198"/>
      <c r="X1082" s="198"/>
    </row>
    <row r="1083" ht="12.0" customHeight="1">
      <c r="A10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3" s="87" t="str">
        <f>IFERROR(__xludf.DUMMYFUNCTION("IFERROR(IF(F1083&lt;&gt;"""",""WHSE ""&amp;LEFT(F1083,1),REGEXEXTRACT(E1083,""-(?:\d{2}-)?([A-Z]+)"")),"""")
"),"WHSE D")</f>
        <v>WHSE D</v>
      </c>
      <c r="C1083" s="117">
        <v>46148.0</v>
      </c>
      <c r="D1083" s="118" t="s">
        <v>232</v>
      </c>
      <c r="E1083" s="87" t="s">
        <v>950</v>
      </c>
      <c r="F1083" s="87" t="s">
        <v>951</v>
      </c>
      <c r="G1083" s="125" t="s">
        <v>869</v>
      </c>
      <c r="H1083" s="120">
        <v>18165.0</v>
      </c>
      <c r="I1083" s="121">
        <v>553.0</v>
      </c>
      <c r="J1083" s="122">
        <v>9.4</v>
      </c>
      <c r="K1083" s="123">
        <v>3.18</v>
      </c>
      <c r="L1083" s="123">
        <v>0.559</v>
      </c>
      <c r="M1083" s="123">
        <v>0.579</v>
      </c>
      <c r="N1083" s="124">
        <v>13.04</v>
      </c>
      <c r="O1083" s="122">
        <v>3.68</v>
      </c>
      <c r="P1083" s="124">
        <v>83.28</v>
      </c>
      <c r="Q1083" s="109"/>
      <c r="R1083" s="198"/>
      <c r="S1083" s="198"/>
      <c r="T1083" s="198"/>
      <c r="U1083" s="198"/>
      <c r="V1083" s="198"/>
      <c r="W1083" s="198"/>
      <c r="X1083" s="198"/>
    </row>
    <row r="1084" ht="12.0" customHeight="1">
      <c r="A10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4" s="87" t="str">
        <f>IFERROR(__xludf.DUMMYFUNCTION("IFERROR(IF(F1084&lt;&gt;"""",""WHSE ""&amp;LEFT(F1084,1),REGEXEXTRACT(E1084,""-(?:\d{2}-)?([A-Z]+)"")),"""")
"),"WHSE A")</f>
        <v>WHSE A</v>
      </c>
      <c r="C1084" s="117">
        <v>46148.0</v>
      </c>
      <c r="D1084" s="118" t="s">
        <v>72</v>
      </c>
      <c r="E1084" s="87" t="s">
        <v>942</v>
      </c>
      <c r="F1084" s="87" t="s">
        <v>208</v>
      </c>
      <c r="G1084" s="125" t="s">
        <v>73</v>
      </c>
      <c r="H1084" s="120">
        <v>19000.0</v>
      </c>
      <c r="I1084" s="121">
        <v>437.0</v>
      </c>
      <c r="J1084" s="122">
        <v>10.94</v>
      </c>
      <c r="K1084" s="123">
        <v>2.71</v>
      </c>
      <c r="L1084" s="123">
        <v>0.578</v>
      </c>
      <c r="M1084" s="123">
        <v>0.598</v>
      </c>
      <c r="N1084" s="124">
        <v>12.81</v>
      </c>
      <c r="O1084" s="122">
        <v>3.75</v>
      </c>
      <c r="P1084" s="124">
        <v>83.44</v>
      </c>
      <c r="Q1084" s="109"/>
      <c r="R1084" s="198"/>
      <c r="S1084" s="198"/>
      <c r="T1084" s="198"/>
      <c r="U1084" s="198"/>
      <c r="V1084" s="198"/>
      <c r="W1084" s="198"/>
      <c r="X1084" s="198"/>
    </row>
    <row r="1085" ht="12.0" customHeight="1">
      <c r="A10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5" s="87" t="str">
        <f>IFERROR(__xludf.DUMMYFUNCTION("IFERROR(IF(F1085&lt;&gt;"""",""WHSE ""&amp;LEFT(F1085,1),REGEXEXTRACT(E1085,""-(?:\d{2}-)?([A-Z]+)"")),"""")
"),"WHSE A")</f>
        <v>WHSE A</v>
      </c>
      <c r="C1085" s="117">
        <v>46148.0</v>
      </c>
      <c r="D1085" s="118" t="s">
        <v>72</v>
      </c>
      <c r="E1085" s="87" t="s">
        <v>952</v>
      </c>
      <c r="F1085" s="87" t="s">
        <v>475</v>
      </c>
      <c r="G1085" s="125" t="s">
        <v>77</v>
      </c>
      <c r="H1085" s="120">
        <v>17390.0</v>
      </c>
      <c r="I1085" s="121">
        <v>418.0</v>
      </c>
      <c r="J1085" s="122">
        <v>11.4</v>
      </c>
      <c r="K1085" s="123">
        <v>2.61</v>
      </c>
      <c r="L1085" s="123">
        <v>0.575</v>
      </c>
      <c r="M1085" s="123">
        <v>0.595</v>
      </c>
      <c r="N1085" s="124">
        <v>12.77</v>
      </c>
      <c r="O1085" s="122">
        <v>4.1</v>
      </c>
      <c r="P1085" s="124">
        <v>83.13</v>
      </c>
      <c r="Q1085" s="194"/>
      <c r="R1085" s="198"/>
      <c r="S1085" s="198"/>
      <c r="T1085" s="198"/>
      <c r="U1085" s="198"/>
      <c r="V1085" s="198"/>
      <c r="W1085" s="198"/>
      <c r="X1085" s="198"/>
    </row>
    <row r="1086" ht="12.0" customHeight="1">
      <c r="A10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6" s="87" t="str">
        <f>IFERROR(__xludf.DUMMYFUNCTION("IFERROR(IF(F1086&lt;&gt;"""",""WHSE ""&amp;LEFT(F1086,1),REGEXEXTRACT(E1086,""-(?:\d{2}-)?([A-Z]+)"")),"""")
"),"")</f>
        <v/>
      </c>
      <c r="C1086" s="108"/>
      <c r="D1086" s="109"/>
      <c r="E1086" s="110"/>
      <c r="F1086" s="110"/>
      <c r="G1086" s="111"/>
      <c r="H1086" s="112"/>
      <c r="I1086" s="113"/>
      <c r="J1086" s="114"/>
      <c r="K1086" s="115"/>
      <c r="L1086" s="115"/>
      <c r="M1086" s="115"/>
      <c r="N1086" s="116"/>
      <c r="O1086" s="114"/>
      <c r="P1086" s="116"/>
      <c r="Q1086" s="109"/>
      <c r="R1086" s="198"/>
      <c r="S1086" s="198"/>
      <c r="T1086" s="198"/>
      <c r="U1086" s="198"/>
      <c r="V1086" s="198"/>
      <c r="W1086" s="198"/>
      <c r="X1086" s="198"/>
    </row>
    <row r="1087" ht="12.0" customHeight="1">
      <c r="A10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7" s="87" t="str">
        <f>IFERROR(__xludf.DUMMYFUNCTION("IFERROR(IF(F1087&lt;&gt;"""",""WHSE ""&amp;LEFT(F1087,1),REGEXEXTRACT(E1087,""-(?:\d{2}-)?([A-Z]+)"")),"""")
"),"WHSE A")</f>
        <v>WHSE A</v>
      </c>
      <c r="C1087" s="117">
        <v>46149.0</v>
      </c>
      <c r="D1087" s="118" t="s">
        <v>72</v>
      </c>
      <c r="E1087" s="87" t="s">
        <v>952</v>
      </c>
      <c r="F1087" s="87" t="s">
        <v>475</v>
      </c>
      <c r="G1087" s="125" t="s">
        <v>946</v>
      </c>
      <c r="H1087" s="120">
        <v>19405.0</v>
      </c>
      <c r="I1087" s="121">
        <v>456.0</v>
      </c>
      <c r="J1087" s="122">
        <v>11.6</v>
      </c>
      <c r="K1087" s="123">
        <v>2.54</v>
      </c>
      <c r="L1087" s="123">
        <v>0.575</v>
      </c>
      <c r="M1087" s="123">
        <v>0.595</v>
      </c>
      <c r="N1087" s="124">
        <v>12.98</v>
      </c>
      <c r="O1087" s="122">
        <v>3.22</v>
      </c>
      <c r="P1087" s="124">
        <v>83.8</v>
      </c>
      <c r="Q1087" s="109"/>
      <c r="R1087" s="198"/>
      <c r="S1087" s="198"/>
      <c r="T1087" s="198"/>
      <c r="U1087" s="198"/>
      <c r="V1087" s="198"/>
      <c r="W1087" s="198"/>
      <c r="X1087" s="198"/>
    </row>
    <row r="1088" ht="12.0" customHeight="1">
      <c r="A10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8" s="87" t="str">
        <f>IFERROR(__xludf.DUMMYFUNCTION("IFERROR(IF(F1088&lt;&gt;"""",""WHSE ""&amp;LEFT(F1088,1),REGEXEXTRACT(E1088,""-(?:\d{2}-)?([A-Z]+)"")),"""")
"),"WHSE A")</f>
        <v>WHSE A</v>
      </c>
      <c r="C1088" s="117">
        <v>46149.0</v>
      </c>
      <c r="D1088" s="118" t="s">
        <v>72</v>
      </c>
      <c r="E1088" s="87" t="s">
        <v>952</v>
      </c>
      <c r="F1088" s="87" t="s">
        <v>475</v>
      </c>
      <c r="G1088" s="125" t="s">
        <v>77</v>
      </c>
      <c r="H1088" s="120">
        <v>16785.0</v>
      </c>
      <c r="I1088" s="121">
        <v>459.0</v>
      </c>
      <c r="J1088" s="122">
        <v>10.74</v>
      </c>
      <c r="K1088" s="123">
        <v>2.13</v>
      </c>
      <c r="L1088" s="123">
        <v>0.575</v>
      </c>
      <c r="M1088" s="123">
        <v>0.595</v>
      </c>
      <c r="N1088" s="124">
        <v>13.64</v>
      </c>
      <c r="O1088" s="122">
        <v>2.55</v>
      </c>
      <c r="P1088" s="124">
        <v>83.81</v>
      </c>
      <c r="Q1088" s="109"/>
      <c r="R1088" s="198"/>
      <c r="S1088" s="198"/>
      <c r="T1088" s="198"/>
      <c r="U1088" s="198"/>
      <c r="V1088" s="198"/>
      <c r="W1088" s="198"/>
      <c r="X1088" s="198"/>
    </row>
    <row r="1089" ht="12.0" customHeight="1">
      <c r="A10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89" s="87" t="str">
        <f>IFERROR(__xludf.DUMMYFUNCTION("IFERROR(IF(F1089&lt;&gt;"""",""WHSE ""&amp;LEFT(F1089,1),REGEXEXTRACT(E1089,""-(?:\d{2}-)?([A-Z]+)"")),"""")
"),"WHSE A")</f>
        <v>WHSE A</v>
      </c>
      <c r="C1089" s="117">
        <v>46149.0</v>
      </c>
      <c r="D1089" s="118" t="s">
        <v>72</v>
      </c>
      <c r="E1089" s="87" t="s">
        <v>953</v>
      </c>
      <c r="F1089" s="87" t="s">
        <v>511</v>
      </c>
      <c r="G1089" s="125" t="s">
        <v>512</v>
      </c>
      <c r="H1089" s="120">
        <v>19870.0</v>
      </c>
      <c r="I1089" s="121">
        <v>541.0</v>
      </c>
      <c r="J1089" s="122">
        <v>11.07</v>
      </c>
      <c r="K1089" s="123">
        <v>2.66</v>
      </c>
      <c r="L1089" s="123">
        <v>0.578</v>
      </c>
      <c r="M1089" s="123">
        <v>0.598</v>
      </c>
      <c r="N1089" s="124">
        <v>12.36</v>
      </c>
      <c r="O1089" s="122">
        <v>3.86</v>
      </c>
      <c r="P1089" s="124">
        <v>83.78</v>
      </c>
      <c r="Q1089" s="109"/>
      <c r="R1089" s="198"/>
      <c r="S1089" s="198"/>
      <c r="T1089" s="198"/>
      <c r="U1089" s="198"/>
      <c r="V1089" s="198"/>
      <c r="W1089" s="198"/>
      <c r="X1089" s="198"/>
    </row>
    <row r="1090" ht="12.0" customHeight="1">
      <c r="A10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90" s="87" t="str">
        <f>IFERROR(__xludf.DUMMYFUNCTION("IFERROR(IF(F1090&lt;&gt;"""",""WHSE ""&amp;LEFT(F1090,1),REGEXEXTRACT(E1090,""-(?:\d{2}-)?([A-Z]+)"")),"""")
"),"WHSE D")</f>
        <v>WHSE D</v>
      </c>
      <c r="C1090" s="117">
        <v>46149.0</v>
      </c>
      <c r="D1090" s="118" t="s">
        <v>64</v>
      </c>
      <c r="E1090" s="87" t="s">
        <v>935</v>
      </c>
      <c r="F1090" s="87" t="s">
        <v>579</v>
      </c>
      <c r="G1090" s="125" t="s">
        <v>65</v>
      </c>
      <c r="H1090" s="120">
        <v>24305.0</v>
      </c>
      <c r="I1090" s="121">
        <v>568.0</v>
      </c>
      <c r="J1090" s="122">
        <v>11.27</v>
      </c>
      <c r="K1090" s="123">
        <v>2.17</v>
      </c>
      <c r="L1090" s="123">
        <v>0.578</v>
      </c>
      <c r="M1090" s="123">
        <v>0.598</v>
      </c>
      <c r="N1090" s="124">
        <v>13.51</v>
      </c>
      <c r="O1090" s="122">
        <v>2.92</v>
      </c>
      <c r="P1090" s="124">
        <v>83.57</v>
      </c>
      <c r="Q1090" s="118" t="s">
        <v>941</v>
      </c>
      <c r="R1090" s="198"/>
      <c r="S1090" s="198"/>
      <c r="T1090" s="198"/>
      <c r="U1090" s="198"/>
      <c r="V1090" s="198"/>
      <c r="W1090" s="198"/>
      <c r="X1090" s="198"/>
    </row>
    <row r="1091" ht="12.0" customHeight="1">
      <c r="A10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91" s="87" t="str">
        <f>IFERROR(__xludf.DUMMYFUNCTION("IFERROR(IF(F1091&lt;&gt;"""",""WHSE ""&amp;LEFT(F1091,1),REGEXEXTRACT(E1091,""-(?:\d{2}-)?([A-Z]+)"")),"""")
"),"WHSE D")</f>
        <v>WHSE D</v>
      </c>
      <c r="C1091" s="117">
        <v>46149.0</v>
      </c>
      <c r="D1091" s="118" t="s">
        <v>232</v>
      </c>
      <c r="E1091" s="87" t="s">
        <v>950</v>
      </c>
      <c r="F1091" s="87" t="s">
        <v>951</v>
      </c>
      <c r="G1091" s="125" t="s">
        <v>954</v>
      </c>
      <c r="H1091" s="120">
        <v>19940.0</v>
      </c>
      <c r="I1091" s="121">
        <v>603.0</v>
      </c>
      <c r="J1091" s="122">
        <v>9.8</v>
      </c>
      <c r="K1091" s="123">
        <v>3.73</v>
      </c>
      <c r="L1091" s="123">
        <v>0.562</v>
      </c>
      <c r="M1091" s="123">
        <v>0.582</v>
      </c>
      <c r="N1091" s="124">
        <v>14.68</v>
      </c>
      <c r="O1091" s="122">
        <v>3.66</v>
      </c>
      <c r="P1091" s="124">
        <v>81.66</v>
      </c>
      <c r="Q1091" s="109"/>
      <c r="R1091" s="198"/>
      <c r="S1091" s="198"/>
      <c r="T1091" s="198"/>
      <c r="U1091" s="198"/>
      <c r="V1091" s="198"/>
      <c r="W1091" s="198"/>
      <c r="X1091" s="198"/>
    </row>
    <row r="1092" ht="12.0" customHeight="1">
      <c r="A10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92" s="87" t="str">
        <f>IFERROR(__xludf.DUMMYFUNCTION("IFERROR(IF(F1092&lt;&gt;"""",""WHSE ""&amp;LEFT(F1092,1),REGEXEXTRACT(E1092,""-(?:\d{2}-)?([A-Z]+)"")),"""")
"),"")</f>
        <v/>
      </c>
      <c r="C1092" s="117"/>
      <c r="D1092" s="109"/>
      <c r="E1092" s="110"/>
      <c r="F1092" s="110"/>
      <c r="G1092" s="111"/>
      <c r="H1092" s="112"/>
      <c r="I1092" s="113"/>
      <c r="J1092" s="114"/>
      <c r="K1092" s="115"/>
      <c r="L1092" s="115"/>
      <c r="M1092" s="115"/>
      <c r="N1092" s="116"/>
      <c r="O1092" s="114"/>
      <c r="P1092" s="116"/>
      <c r="Q1092" s="109"/>
      <c r="R1092" s="198"/>
      <c r="S1092" s="198"/>
      <c r="T1092" s="198"/>
      <c r="U1092" s="198"/>
      <c r="V1092" s="198"/>
      <c r="W1092" s="198"/>
      <c r="X1092" s="198"/>
    </row>
    <row r="1093" ht="12.0" customHeight="1">
      <c r="A10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93" s="87" t="str">
        <f>IFERROR(__xludf.DUMMYFUNCTION("IFERROR(IF(F1093&lt;&gt;"""",""WHSE ""&amp;LEFT(F1093,1),REGEXEXTRACT(E1093,""-(?:\d{2}-)?([A-Z]+)"")),"""")
"),"WHSE A")</f>
        <v>WHSE A</v>
      </c>
      <c r="C1093" s="117">
        <v>46150.0</v>
      </c>
      <c r="D1093" s="118" t="s">
        <v>72</v>
      </c>
      <c r="E1093" s="87" t="s">
        <v>952</v>
      </c>
      <c r="F1093" s="87" t="s">
        <v>475</v>
      </c>
      <c r="G1093" s="125" t="s">
        <v>946</v>
      </c>
      <c r="H1093" s="120">
        <v>18985.0</v>
      </c>
      <c r="I1093" s="121">
        <v>423.0</v>
      </c>
      <c r="J1093" s="122">
        <v>11.6</v>
      </c>
      <c r="K1093" s="123">
        <v>2.5</v>
      </c>
      <c r="L1093" s="123">
        <v>0.575</v>
      </c>
      <c r="M1093" s="123">
        <v>0.595</v>
      </c>
      <c r="N1093" s="124">
        <v>12.39</v>
      </c>
      <c r="O1093" s="122">
        <v>3.69</v>
      </c>
      <c r="P1093" s="124">
        <v>83.92</v>
      </c>
      <c r="Q1093" s="109"/>
      <c r="R1093" s="198"/>
      <c r="S1093" s="198"/>
      <c r="T1093" s="198"/>
      <c r="U1093" s="198"/>
      <c r="V1093" s="198"/>
      <c r="W1093" s="198"/>
      <c r="X1093" s="198"/>
    </row>
    <row r="1094" ht="12.0" customHeight="1">
      <c r="A10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94" s="87" t="str">
        <f>IFERROR(__xludf.DUMMYFUNCTION("IFERROR(IF(F1094&lt;&gt;"""",""WHSE ""&amp;LEFT(F1094,1),REGEXEXTRACT(E1094,""-(?:\d{2}-)?([A-Z]+)"")),"""")
"),"FEED")</f>
        <v>FEED</v>
      </c>
      <c r="C1094" s="117">
        <v>46150.0</v>
      </c>
      <c r="D1094" s="118" t="s">
        <v>286</v>
      </c>
      <c r="E1094" s="87" t="s">
        <v>955</v>
      </c>
      <c r="F1094" s="110"/>
      <c r="G1094" s="125" t="s">
        <v>77</v>
      </c>
      <c r="H1094" s="120">
        <v>18495.0</v>
      </c>
      <c r="I1094" s="121">
        <v>540.0</v>
      </c>
      <c r="J1094" s="122">
        <v>10.74</v>
      </c>
      <c r="K1094" s="123">
        <v>2.42</v>
      </c>
      <c r="L1094" s="123">
        <v>0.578</v>
      </c>
      <c r="M1094" s="123">
        <v>0.598</v>
      </c>
      <c r="N1094" s="124">
        <v>13.47</v>
      </c>
      <c r="O1094" s="122">
        <v>3.1</v>
      </c>
      <c r="P1094" s="124">
        <v>83.43</v>
      </c>
      <c r="Q1094" s="194"/>
      <c r="R1094" s="198"/>
      <c r="S1094" s="198"/>
      <c r="T1094" s="198"/>
      <c r="U1094" s="198"/>
      <c r="V1094" s="198"/>
      <c r="W1094" s="198"/>
      <c r="X1094" s="198"/>
    </row>
    <row r="1095" ht="12.0" customHeight="1">
      <c r="A10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95" s="87" t="str">
        <f>IFERROR(__xludf.DUMMYFUNCTION("IFERROR(IF(F1095&lt;&gt;"""",""WHSE ""&amp;LEFT(F1095,1),REGEXEXTRACT(E1095,""-(?:\d{2}-)?([A-Z]+)"")),"""")
"),"")</f>
        <v/>
      </c>
      <c r="C1095" s="108"/>
      <c r="D1095" s="109"/>
      <c r="E1095" s="110"/>
      <c r="F1095" s="110"/>
      <c r="G1095" s="111"/>
      <c r="H1095" s="112"/>
      <c r="I1095" s="113"/>
      <c r="J1095" s="114"/>
      <c r="K1095" s="115"/>
      <c r="L1095" s="115"/>
      <c r="M1095" s="115"/>
      <c r="N1095" s="116"/>
      <c r="O1095" s="114"/>
      <c r="P1095" s="116"/>
      <c r="Q1095" s="109"/>
      <c r="R1095" s="198"/>
      <c r="S1095" s="198"/>
      <c r="T1095" s="198"/>
      <c r="U1095" s="198"/>
      <c r="V1095" s="198"/>
      <c r="W1095" s="198"/>
      <c r="X1095" s="198"/>
    </row>
    <row r="1096" ht="12.0" customHeight="1">
      <c r="A10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96" s="87" t="str">
        <f>IFERROR(__xludf.DUMMYFUNCTION("IFERROR(IF(F1096&lt;&gt;"""",""WHSE ""&amp;LEFT(F1096,1),REGEXEXTRACT(E1096,""-(?:\d{2}-)?([A-Z]+)"")),"""")
"),"FEED")</f>
        <v>FEED</v>
      </c>
      <c r="C1096" s="117">
        <v>46151.0</v>
      </c>
      <c r="D1096" s="118" t="s">
        <v>286</v>
      </c>
      <c r="E1096" s="87" t="s">
        <v>956</v>
      </c>
      <c r="F1096" s="110"/>
      <c r="G1096" s="125" t="s">
        <v>946</v>
      </c>
      <c r="H1096" s="120">
        <v>19250.0</v>
      </c>
      <c r="I1096" s="121">
        <v>421.0</v>
      </c>
      <c r="J1096" s="122">
        <v>11.07</v>
      </c>
      <c r="K1096" s="123">
        <v>2.44</v>
      </c>
      <c r="L1096" s="123">
        <v>0.581</v>
      </c>
      <c r="M1096" s="123">
        <v>0.601</v>
      </c>
      <c r="N1096" s="124">
        <v>13.7</v>
      </c>
      <c r="O1096" s="122">
        <v>2.57</v>
      </c>
      <c r="P1096" s="124">
        <v>83.73</v>
      </c>
      <c r="Q1096" s="109"/>
      <c r="R1096" s="198"/>
      <c r="S1096" s="198"/>
      <c r="T1096" s="198"/>
      <c r="U1096" s="198"/>
      <c r="V1096" s="198"/>
      <c r="W1096" s="198"/>
      <c r="X1096" s="198"/>
    </row>
    <row r="1097" ht="12.0" customHeight="1">
      <c r="A10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097" s="87" t="str">
        <f>IFERROR(__xludf.DUMMYFUNCTION("IFERROR(IF(F1097&lt;&gt;"""",""WHSE ""&amp;LEFT(F1097,1),REGEXEXTRACT(E1097,""-(?:\d{2}-)?([A-Z]+)"")),"""")
"),"FEED")</f>
        <v>FEED</v>
      </c>
      <c r="C1097" s="117">
        <v>46151.0</v>
      </c>
      <c r="D1097" s="118" t="s">
        <v>286</v>
      </c>
      <c r="E1097" s="87" t="s">
        <v>957</v>
      </c>
      <c r="F1097" s="110"/>
      <c r="G1097" s="125" t="s">
        <v>958</v>
      </c>
      <c r="H1097" s="120">
        <v>20930.0</v>
      </c>
      <c r="I1097" s="121">
        <v>552.0</v>
      </c>
      <c r="J1097" s="122">
        <v>11.34</v>
      </c>
      <c r="K1097" s="123">
        <v>2.48</v>
      </c>
      <c r="L1097" s="123">
        <v>0.575</v>
      </c>
      <c r="M1097" s="123">
        <v>0.595</v>
      </c>
      <c r="N1097" s="124">
        <v>13.47</v>
      </c>
      <c r="O1097" s="122">
        <v>3.84</v>
      </c>
      <c r="P1097" s="124">
        <v>82.69</v>
      </c>
      <c r="Q1097" s="109"/>
      <c r="R1097" s="198"/>
      <c r="S1097" s="198"/>
      <c r="T1097" s="198"/>
      <c r="U1097" s="198"/>
      <c r="V1097" s="198"/>
      <c r="W1097" s="198"/>
      <c r="X1097" s="198"/>
    </row>
    <row r="1098" ht="12.0" customHeight="1">
      <c r="A10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98" s="87" t="str">
        <f>IFERROR(__xludf.DUMMYFUNCTION("IFERROR(IF(F1098&lt;&gt;"""",""WHSE ""&amp;LEFT(F1098,1),REGEXEXTRACT(E1098,""-(?:\d{2}-)?([A-Z]+)"")),"""")
"),"WHSE A")</f>
        <v>WHSE A</v>
      </c>
      <c r="C1098" s="117">
        <v>46151.0</v>
      </c>
      <c r="D1098" s="118" t="s">
        <v>72</v>
      </c>
      <c r="E1098" s="87" t="s">
        <v>953</v>
      </c>
      <c r="F1098" s="87" t="s">
        <v>511</v>
      </c>
      <c r="G1098" s="125" t="s">
        <v>77</v>
      </c>
      <c r="H1098" s="120">
        <v>17825.0</v>
      </c>
      <c r="I1098" s="121">
        <v>452.0</v>
      </c>
      <c r="J1098" s="122">
        <v>11.4</v>
      </c>
      <c r="K1098" s="123">
        <v>2.33</v>
      </c>
      <c r="L1098" s="123">
        <v>0.578</v>
      </c>
      <c r="M1098" s="123">
        <v>0.598</v>
      </c>
      <c r="N1098" s="124">
        <v>13.75</v>
      </c>
      <c r="O1098" s="122">
        <v>3.77</v>
      </c>
      <c r="P1098" s="124">
        <v>82.48</v>
      </c>
      <c r="Q1098" s="109"/>
      <c r="R1098" s="198"/>
      <c r="S1098" s="198"/>
      <c r="T1098" s="198"/>
      <c r="U1098" s="198"/>
      <c r="V1098" s="198"/>
      <c r="W1098" s="198"/>
      <c r="X1098" s="198"/>
    </row>
    <row r="1099" ht="12.0" customHeight="1">
      <c r="A10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099" s="87" t="str">
        <f>IFERROR(__xludf.DUMMYFUNCTION("IFERROR(IF(F1099&lt;&gt;"""",""WHSE ""&amp;LEFT(F1099,1),REGEXEXTRACT(E1099,""-(?:\d{2}-)?([A-Z]+)"")),"""")
"),"WHSE A")</f>
        <v>WHSE A</v>
      </c>
      <c r="C1099" s="117">
        <v>46151.0</v>
      </c>
      <c r="D1099" s="118" t="s">
        <v>72</v>
      </c>
      <c r="E1099" s="87" t="s">
        <v>953</v>
      </c>
      <c r="F1099" s="87" t="s">
        <v>511</v>
      </c>
      <c r="G1099" s="125" t="s">
        <v>512</v>
      </c>
      <c r="H1099" s="120">
        <v>20555.0</v>
      </c>
      <c r="I1099" s="121">
        <v>497.0</v>
      </c>
      <c r="J1099" s="122">
        <v>11.54</v>
      </c>
      <c r="K1099" s="123">
        <v>2.71</v>
      </c>
      <c r="L1099" s="123">
        <v>0.581</v>
      </c>
      <c r="M1099" s="123">
        <v>0.601</v>
      </c>
      <c r="N1099" s="124">
        <v>12.8</v>
      </c>
      <c r="O1099" s="122">
        <v>4.04</v>
      </c>
      <c r="P1099" s="124">
        <v>83.16</v>
      </c>
      <c r="Q1099" s="109"/>
      <c r="R1099" s="198"/>
      <c r="S1099" s="198"/>
      <c r="T1099" s="198"/>
      <c r="U1099" s="198"/>
      <c r="V1099" s="198"/>
      <c r="W1099" s="198"/>
      <c r="X1099" s="198"/>
    </row>
    <row r="1100" ht="12.0" customHeight="1">
      <c r="A11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0" s="87" t="str">
        <f>IFERROR(__xludf.DUMMYFUNCTION("IFERROR(IF(F1100&lt;&gt;"""",""WHSE ""&amp;LEFT(F1100,1),REGEXEXTRACT(E1100,""-(?:\d{2}-)?([A-Z]+)"")),"""")
"),"")</f>
        <v/>
      </c>
      <c r="C1100" s="108"/>
      <c r="D1100" s="109"/>
      <c r="E1100" s="110"/>
      <c r="F1100" s="110"/>
      <c r="G1100" s="111"/>
      <c r="H1100" s="112"/>
      <c r="I1100" s="113"/>
      <c r="J1100" s="114"/>
      <c r="K1100" s="115"/>
      <c r="L1100" s="115"/>
      <c r="M1100" s="115"/>
      <c r="N1100" s="116"/>
      <c r="O1100" s="114"/>
      <c r="P1100" s="116"/>
      <c r="Q1100" s="109"/>
      <c r="R1100" s="198"/>
      <c r="S1100" s="198"/>
      <c r="T1100" s="198"/>
      <c r="U1100" s="198"/>
      <c r="V1100" s="198"/>
      <c r="W1100" s="198"/>
      <c r="X1100" s="198"/>
    </row>
    <row r="1101" ht="12.0" customHeight="1">
      <c r="A11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01" s="87" t="str">
        <f>IFERROR(__xludf.DUMMYFUNCTION("IFERROR(IF(F1101&lt;&gt;"""",""WHSE ""&amp;LEFT(F1101,1),REGEXEXTRACT(E1101,""-(?:\d{2}-)?([A-Z]+)"")),"""")
"),"FEED")</f>
        <v>FEED</v>
      </c>
      <c r="C1101" s="117">
        <v>46153.0</v>
      </c>
      <c r="D1101" s="118" t="s">
        <v>286</v>
      </c>
      <c r="E1101" s="87" t="s">
        <v>959</v>
      </c>
      <c r="F1101" s="110"/>
      <c r="G1101" s="125" t="s">
        <v>73</v>
      </c>
      <c r="H1101" s="120">
        <v>20060.0</v>
      </c>
      <c r="I1101" s="121">
        <v>463.0</v>
      </c>
      <c r="J1101" s="122">
        <v>10.07</v>
      </c>
      <c r="K1101" s="123">
        <v>2.43</v>
      </c>
      <c r="L1101" s="123">
        <v>0.575</v>
      </c>
      <c r="M1101" s="123">
        <v>0.595</v>
      </c>
      <c r="N1101" s="124">
        <v>13.41</v>
      </c>
      <c r="O1101" s="122">
        <v>3.84</v>
      </c>
      <c r="P1101" s="124">
        <v>82.75</v>
      </c>
      <c r="Q1101" s="109"/>
      <c r="R1101" s="198"/>
      <c r="S1101" s="198"/>
      <c r="T1101" s="198"/>
      <c r="U1101" s="198"/>
      <c r="V1101" s="198"/>
      <c r="W1101" s="198"/>
      <c r="X1101" s="198"/>
    </row>
    <row r="1102" ht="12.0" customHeight="1">
      <c r="A11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2" s="87" t="str">
        <f>IFERROR(__xludf.DUMMYFUNCTION("IFERROR(IF(F1102&lt;&gt;"""",""WHSE ""&amp;LEFT(F1102,1),REGEXEXTRACT(E1102,""-(?:\d{2}-)?([A-Z]+)"")),"""")
"),"WHSE D")</f>
        <v>WHSE D</v>
      </c>
      <c r="C1102" s="117">
        <v>46153.0</v>
      </c>
      <c r="D1102" s="118" t="s">
        <v>232</v>
      </c>
      <c r="E1102" s="87" t="s">
        <v>960</v>
      </c>
      <c r="F1102" s="87" t="s">
        <v>961</v>
      </c>
      <c r="G1102" s="125" t="s">
        <v>328</v>
      </c>
      <c r="H1102" s="120">
        <v>20240.0</v>
      </c>
      <c r="I1102" s="121">
        <v>520.0</v>
      </c>
      <c r="J1102" s="122">
        <v>9.74</v>
      </c>
      <c r="K1102" s="123">
        <v>2.92</v>
      </c>
      <c r="L1102" s="123">
        <v>0.559</v>
      </c>
      <c r="M1102" s="123">
        <v>0.579</v>
      </c>
      <c r="N1102" s="124">
        <v>12.98</v>
      </c>
      <c r="O1102" s="122">
        <v>3.67</v>
      </c>
      <c r="P1102" s="124">
        <v>83.35</v>
      </c>
      <c r="Q1102" s="109"/>
      <c r="R1102" s="198"/>
      <c r="S1102" s="198"/>
      <c r="T1102" s="198"/>
      <c r="U1102" s="198"/>
      <c r="V1102" s="198"/>
      <c r="W1102" s="198"/>
      <c r="X1102" s="198"/>
    </row>
    <row r="1103" ht="12.0" customHeight="1">
      <c r="A11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3" s="205" t="str">
        <f>IFERROR(__xludf.DUMMYFUNCTION("IFERROR(IF(F1103&lt;&gt;"""",""WHSE ""&amp;LEFT(F1103,1),REGEXEXTRACT(E1103,""-(?:\d{2}-)?([A-Z]+)"")),"""")
"),"WHSE D")</f>
        <v>WHSE D</v>
      </c>
      <c r="C1103" s="117">
        <v>46153.0</v>
      </c>
      <c r="D1103" s="212" t="s">
        <v>232</v>
      </c>
      <c r="E1103" s="87" t="s">
        <v>960</v>
      </c>
      <c r="F1103" s="87" t="s">
        <v>961</v>
      </c>
      <c r="G1103" s="213" t="s">
        <v>856</v>
      </c>
      <c r="H1103" s="214">
        <v>2440.0</v>
      </c>
      <c r="I1103" s="215">
        <v>120.0</v>
      </c>
      <c r="J1103" s="216">
        <v>8.27</v>
      </c>
      <c r="K1103" s="217">
        <v>2.82</v>
      </c>
      <c r="L1103" s="217">
        <v>0.562</v>
      </c>
      <c r="M1103" s="217">
        <v>0.582</v>
      </c>
      <c r="N1103" s="218">
        <v>12.68</v>
      </c>
      <c r="O1103" s="216">
        <v>2.85</v>
      </c>
      <c r="P1103" s="218">
        <v>84.47</v>
      </c>
      <c r="Q1103" s="194"/>
      <c r="R1103" s="198"/>
      <c r="S1103" s="198"/>
      <c r="T1103" s="198"/>
      <c r="U1103" s="198"/>
      <c r="V1103" s="198"/>
      <c r="W1103" s="198"/>
      <c r="X1103" s="198"/>
    </row>
    <row r="1104" ht="12.0" customHeight="1">
      <c r="A11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4" s="87" t="str">
        <f>IFERROR(__xludf.DUMMYFUNCTION("IFERROR(IF(F1104&lt;&gt;"""",""WHSE ""&amp;LEFT(F1104,1),REGEXEXTRACT(E1104,""-(?:\d{2}-)?([A-Z]+)"")),"""")
"),"")</f>
        <v/>
      </c>
      <c r="C1104" s="108"/>
      <c r="D1104" s="109"/>
      <c r="E1104" s="110"/>
      <c r="F1104" s="110"/>
      <c r="G1104" s="111"/>
      <c r="H1104" s="112"/>
      <c r="I1104" s="113"/>
      <c r="J1104" s="114"/>
      <c r="K1104" s="115"/>
      <c r="L1104" s="115"/>
      <c r="M1104" s="115"/>
      <c r="N1104" s="116"/>
      <c r="O1104" s="114"/>
      <c r="P1104" s="116"/>
      <c r="Q1104" s="109"/>
      <c r="R1104" s="198"/>
      <c r="S1104" s="198"/>
      <c r="T1104" s="198"/>
      <c r="U1104" s="198"/>
      <c r="V1104" s="198"/>
      <c r="W1104" s="198"/>
      <c r="X1104" s="198"/>
    </row>
    <row r="1105" ht="12.0" customHeight="1">
      <c r="A11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5" s="87" t="str">
        <f>IFERROR(__xludf.DUMMYFUNCTION("IFERROR(IF(F1105&lt;&gt;"""",""WHSE ""&amp;LEFT(F1105,1),REGEXEXTRACT(E1105,""-(?:\d{2}-)?([A-Z]+)"")),"""")
"),"WHSE D")</f>
        <v>WHSE D</v>
      </c>
      <c r="C1105" s="117">
        <v>46154.0</v>
      </c>
      <c r="D1105" s="118" t="s">
        <v>232</v>
      </c>
      <c r="E1105" s="87" t="s">
        <v>960</v>
      </c>
      <c r="F1105" s="87" t="s">
        <v>961</v>
      </c>
      <c r="G1105" s="125" t="s">
        <v>532</v>
      </c>
      <c r="H1105" s="120">
        <v>7175.0</v>
      </c>
      <c r="I1105" s="121">
        <v>237.0</v>
      </c>
      <c r="J1105" s="122">
        <v>8.4</v>
      </c>
      <c r="K1105" s="123">
        <v>3.18</v>
      </c>
      <c r="L1105" s="123">
        <v>0.578</v>
      </c>
      <c r="M1105" s="123">
        <v>0.598</v>
      </c>
      <c r="N1105" s="124">
        <v>13.34</v>
      </c>
      <c r="O1105" s="122">
        <v>2.41</v>
      </c>
      <c r="P1105" s="124">
        <v>84.25</v>
      </c>
      <c r="Q1105" s="109"/>
      <c r="R1105" s="198"/>
      <c r="S1105" s="198"/>
      <c r="T1105" s="198"/>
      <c r="U1105" s="198"/>
      <c r="V1105" s="198"/>
      <c r="W1105" s="198"/>
      <c r="X1105" s="198"/>
    </row>
    <row r="1106" ht="12.0" customHeight="1">
      <c r="A11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6" s="87" t="str">
        <f>IFERROR(__xludf.DUMMYFUNCTION("IFERROR(IF(F1106&lt;&gt;"""",""WHSE ""&amp;LEFT(F1106,1),REGEXEXTRACT(E1106,""-(?:\d{2}-)?([A-Z]+)"")),"""")
"),"WHSE A")</f>
        <v>WHSE A</v>
      </c>
      <c r="C1106" s="117">
        <v>46154.0</v>
      </c>
      <c r="D1106" s="118" t="s">
        <v>72</v>
      </c>
      <c r="E1106" s="87" t="s">
        <v>962</v>
      </c>
      <c r="F1106" s="87" t="s">
        <v>557</v>
      </c>
      <c r="G1106" s="125" t="s">
        <v>73</v>
      </c>
      <c r="H1106" s="120">
        <v>18215.0</v>
      </c>
      <c r="I1106" s="121">
        <v>434.0</v>
      </c>
      <c r="J1106" s="122">
        <v>11.54</v>
      </c>
      <c r="K1106" s="123">
        <v>2.35</v>
      </c>
      <c r="L1106" s="123">
        <v>0.575</v>
      </c>
      <c r="M1106" s="123">
        <v>0.595</v>
      </c>
      <c r="N1106" s="124">
        <v>12.34</v>
      </c>
      <c r="O1106" s="122">
        <v>3.46</v>
      </c>
      <c r="P1106" s="124">
        <v>84.2</v>
      </c>
      <c r="Q1106" s="109"/>
      <c r="R1106" s="198"/>
      <c r="S1106" s="198"/>
      <c r="T1106" s="198"/>
      <c r="U1106" s="198"/>
      <c r="V1106" s="198"/>
      <c r="W1106" s="198"/>
      <c r="X1106" s="198"/>
    </row>
    <row r="1107" ht="12.0" customHeight="1">
      <c r="A11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7" s="87" t="str">
        <f>IFERROR(__xludf.DUMMYFUNCTION("IFERROR(IF(F1107&lt;&gt;"""",""WHSE ""&amp;LEFT(F1107,1),REGEXEXTRACT(E1107,""-(?:\d{2}-)?([A-Z]+)"")),"""")
"),"WHSE A")</f>
        <v>WHSE A</v>
      </c>
      <c r="C1107" s="117">
        <v>46154.0</v>
      </c>
      <c r="D1107" s="118" t="s">
        <v>72</v>
      </c>
      <c r="E1107" s="87" t="s">
        <v>953</v>
      </c>
      <c r="F1107" s="87" t="s">
        <v>511</v>
      </c>
      <c r="G1107" s="125" t="s">
        <v>77</v>
      </c>
      <c r="H1107" s="120">
        <v>17200.0</v>
      </c>
      <c r="I1107" s="121">
        <v>438.0</v>
      </c>
      <c r="J1107" s="122">
        <v>11.74</v>
      </c>
      <c r="K1107" s="123">
        <v>2.47</v>
      </c>
      <c r="L1107" s="123">
        <v>0.575</v>
      </c>
      <c r="M1107" s="123">
        <v>0.595</v>
      </c>
      <c r="N1107" s="124">
        <v>12.81</v>
      </c>
      <c r="O1107" s="122">
        <v>3.6</v>
      </c>
      <c r="P1107" s="124">
        <v>83.59</v>
      </c>
      <c r="Q1107" s="109"/>
      <c r="R1107" s="198"/>
      <c r="S1107" s="198"/>
      <c r="T1107" s="198"/>
      <c r="U1107" s="198"/>
      <c r="V1107" s="198"/>
      <c r="W1107" s="198"/>
      <c r="X1107" s="198"/>
    </row>
    <row r="1108" ht="12.0" customHeight="1">
      <c r="A11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8" s="87" t="str">
        <f>IFERROR(__xludf.DUMMYFUNCTION("IFERROR(IF(F1108&lt;&gt;"""",""WHSE ""&amp;LEFT(F1108,1),REGEXEXTRACT(E1108,""-(?:\d{2}-)?([A-Z]+)"")),"""")
"),"WHSE A")</f>
        <v>WHSE A</v>
      </c>
      <c r="C1108" s="117">
        <v>46154.0</v>
      </c>
      <c r="D1108" s="118" t="s">
        <v>72</v>
      </c>
      <c r="E1108" s="87" t="s">
        <v>962</v>
      </c>
      <c r="F1108" s="87" t="s">
        <v>557</v>
      </c>
      <c r="G1108" s="125" t="s">
        <v>433</v>
      </c>
      <c r="H1108" s="120">
        <v>14165.0</v>
      </c>
      <c r="I1108" s="121">
        <v>420.0</v>
      </c>
      <c r="J1108" s="122">
        <v>10.07</v>
      </c>
      <c r="K1108" s="123">
        <v>2.48</v>
      </c>
      <c r="L1108" s="123">
        <v>0.575</v>
      </c>
      <c r="M1108" s="123">
        <v>0.595</v>
      </c>
      <c r="N1108" s="124">
        <v>12.55</v>
      </c>
      <c r="O1108" s="122">
        <v>2.84</v>
      </c>
      <c r="P1108" s="124">
        <v>84.61</v>
      </c>
      <c r="Q1108" s="109"/>
      <c r="R1108" s="198"/>
      <c r="S1108" s="198"/>
      <c r="T1108" s="198"/>
      <c r="U1108" s="198"/>
      <c r="V1108" s="198"/>
      <c r="W1108" s="198"/>
      <c r="X1108" s="198"/>
    </row>
    <row r="1109" ht="12.0" customHeight="1">
      <c r="A11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09" s="87" t="str">
        <f>IFERROR(__xludf.DUMMYFUNCTION("IFERROR(IF(F1109&lt;&gt;"""",""WHSE ""&amp;LEFT(F1109,1),REGEXEXTRACT(E1109,""-(?:\d{2}-)?([A-Z]+)"")),"""")
"),"")</f>
        <v/>
      </c>
      <c r="C1109" s="108"/>
      <c r="D1109" s="109"/>
      <c r="E1109" s="110"/>
      <c r="F1109" s="110"/>
      <c r="G1109" s="111"/>
      <c r="H1109" s="112"/>
      <c r="I1109" s="113"/>
      <c r="J1109" s="114"/>
      <c r="K1109" s="115"/>
      <c r="L1109" s="115"/>
      <c r="M1109" s="115"/>
      <c r="N1109" s="116"/>
      <c r="O1109" s="114"/>
      <c r="P1109" s="116"/>
      <c r="Q1109" s="109"/>
      <c r="R1109" s="198"/>
      <c r="S1109" s="198"/>
      <c r="T1109" s="198"/>
      <c r="U1109" s="198"/>
      <c r="V1109" s="198"/>
      <c r="W1109" s="198"/>
      <c r="X1109" s="198"/>
    </row>
    <row r="1110" ht="12.0" customHeight="1">
      <c r="A11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10" s="87" t="str">
        <f>IFERROR(__xludf.DUMMYFUNCTION("IFERROR(IF(F1110&lt;&gt;"""",""WHSE ""&amp;LEFT(F1110,1),REGEXEXTRACT(E1110,""-(?:\d{2}-)?([A-Z]+)"")),"""")
"),"WHSE A")</f>
        <v>WHSE A</v>
      </c>
      <c r="C1110" s="117">
        <v>46155.0</v>
      </c>
      <c r="D1110" s="118" t="s">
        <v>72</v>
      </c>
      <c r="E1110" s="87" t="s">
        <v>962</v>
      </c>
      <c r="F1110" s="87" t="s">
        <v>557</v>
      </c>
      <c r="G1110" s="125" t="s">
        <v>73</v>
      </c>
      <c r="H1110" s="120">
        <v>18705.0</v>
      </c>
      <c r="I1110" s="121">
        <v>443.0</v>
      </c>
      <c r="J1110" s="122">
        <v>11.54</v>
      </c>
      <c r="K1110" s="123">
        <v>2.3</v>
      </c>
      <c r="L1110" s="123">
        <v>0.571</v>
      </c>
      <c r="M1110" s="123">
        <v>0.591</v>
      </c>
      <c r="N1110" s="124">
        <v>13.22</v>
      </c>
      <c r="O1110" s="122">
        <v>3.68</v>
      </c>
      <c r="P1110" s="124">
        <v>83.1</v>
      </c>
      <c r="Q1110" s="109"/>
      <c r="R1110" s="198"/>
      <c r="S1110" s="198"/>
      <c r="T1110" s="198"/>
      <c r="U1110" s="198"/>
      <c r="V1110" s="198"/>
      <c r="W1110" s="198"/>
      <c r="X1110" s="198"/>
    </row>
    <row r="1111" ht="12.0" customHeight="1">
      <c r="A11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11" s="87" t="str">
        <f>IFERROR(__xludf.DUMMYFUNCTION("IFERROR(IF(F1111&lt;&gt;"""",""WHSE ""&amp;LEFT(F1111,1),REGEXEXTRACT(E1111,""-(?:\d{2}-)?([A-Z]+)"")),"""")
"),"WHSE D")</f>
        <v>WHSE D</v>
      </c>
      <c r="C1111" s="117">
        <v>46155.0</v>
      </c>
      <c r="D1111" s="118" t="s">
        <v>286</v>
      </c>
      <c r="E1111" s="87" t="s">
        <v>963</v>
      </c>
      <c r="F1111" s="87" t="s">
        <v>281</v>
      </c>
      <c r="G1111" s="125" t="s">
        <v>77</v>
      </c>
      <c r="H1111" s="120">
        <v>19665.0</v>
      </c>
      <c r="I1111" s="121">
        <v>484.0</v>
      </c>
      <c r="J1111" s="122">
        <v>11.07</v>
      </c>
      <c r="K1111" s="123">
        <v>2.38</v>
      </c>
      <c r="L1111" s="123">
        <v>0.575</v>
      </c>
      <c r="M1111" s="123">
        <v>0.595</v>
      </c>
      <c r="N1111" s="124">
        <v>14.35</v>
      </c>
      <c r="O1111" s="122">
        <v>3.45</v>
      </c>
      <c r="P1111" s="124">
        <v>82.2</v>
      </c>
      <c r="Q1111" s="109"/>
      <c r="R1111" s="198"/>
      <c r="S1111" s="198"/>
      <c r="T1111" s="198"/>
      <c r="U1111" s="198"/>
      <c r="V1111" s="198"/>
      <c r="W1111" s="198"/>
      <c r="X1111" s="198"/>
    </row>
    <row r="1112" ht="12.0" customHeight="1">
      <c r="A11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12" s="87" t="str">
        <f>IFERROR(__xludf.DUMMYFUNCTION("IFERROR(IF(F1112&lt;&gt;"""",""WHSE ""&amp;LEFT(F1112,1),REGEXEXTRACT(E1112,""-(?:\d{2}-)?([A-Z]+)"")),"""")
"),"WHSE D")</f>
        <v>WHSE D</v>
      </c>
      <c r="C1112" s="117">
        <v>46155.0</v>
      </c>
      <c r="D1112" s="118" t="s">
        <v>232</v>
      </c>
      <c r="E1112" s="87" t="s">
        <v>964</v>
      </c>
      <c r="F1112" s="87" t="s">
        <v>965</v>
      </c>
      <c r="G1112" s="125" t="s">
        <v>328</v>
      </c>
      <c r="H1112" s="120">
        <v>17765.0</v>
      </c>
      <c r="I1112" s="121">
        <v>598.0</v>
      </c>
      <c r="J1112" s="122">
        <v>9.8</v>
      </c>
      <c r="K1112" s="123">
        <v>2.73</v>
      </c>
      <c r="L1112" s="123">
        <v>0.571</v>
      </c>
      <c r="M1112" s="123">
        <v>0.591</v>
      </c>
      <c r="N1112" s="124">
        <v>13.78</v>
      </c>
      <c r="O1112" s="122">
        <v>4.15</v>
      </c>
      <c r="P1112" s="124">
        <v>82.07</v>
      </c>
      <c r="Q1112" s="194"/>
      <c r="R1112" s="198"/>
      <c r="S1112" s="198"/>
      <c r="T1112" s="198"/>
      <c r="U1112" s="198"/>
      <c r="V1112" s="198"/>
      <c r="W1112" s="198"/>
      <c r="X1112" s="198"/>
    </row>
    <row r="1113" ht="12.0" customHeight="1">
      <c r="A11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13" s="87" t="str">
        <f>IFERROR(__xludf.DUMMYFUNCTION("IFERROR(IF(F1113&lt;&gt;"""",""WHSE ""&amp;LEFT(F1113,1),REGEXEXTRACT(E1113,""-(?:\d{2}-)?([A-Z]+)"")),"""")
"),"")</f>
        <v/>
      </c>
      <c r="C1113" s="108"/>
      <c r="D1113" s="109"/>
      <c r="E1113" s="110"/>
      <c r="F1113" s="110"/>
      <c r="G1113" s="111"/>
      <c r="H1113" s="112"/>
      <c r="I1113" s="113"/>
      <c r="J1113" s="114"/>
      <c r="K1113" s="115"/>
      <c r="L1113" s="115"/>
      <c r="M1113" s="115"/>
      <c r="N1113" s="116"/>
      <c r="O1113" s="114"/>
      <c r="P1113" s="116"/>
      <c r="Q1113" s="109"/>
      <c r="R1113" s="198"/>
      <c r="S1113" s="198"/>
      <c r="T1113" s="198"/>
      <c r="U1113" s="198"/>
      <c r="V1113" s="198"/>
      <c r="W1113" s="198"/>
      <c r="X1113" s="198"/>
    </row>
    <row r="1114" ht="12.0" customHeight="1">
      <c r="A11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14" s="87" t="str">
        <f>IFERROR(__xludf.DUMMYFUNCTION("IFERROR(IF(F1114&lt;&gt;"""",""WHSE ""&amp;LEFT(F1114,1),REGEXEXTRACT(E1114,""-(?:\d{2}-)?([A-Z]+)"")),"""")
"),"WHSE A")</f>
        <v>WHSE A</v>
      </c>
      <c r="C1114" s="117">
        <v>46156.0</v>
      </c>
      <c r="D1114" s="118" t="s">
        <v>72</v>
      </c>
      <c r="E1114" s="87" t="s">
        <v>962</v>
      </c>
      <c r="F1114" s="87" t="s">
        <v>557</v>
      </c>
      <c r="G1114" s="125" t="s">
        <v>77</v>
      </c>
      <c r="H1114" s="120">
        <v>15255.0</v>
      </c>
      <c r="I1114" s="121">
        <v>432.0</v>
      </c>
      <c r="J1114" s="122">
        <v>11.27</v>
      </c>
      <c r="K1114" s="123">
        <v>2.32</v>
      </c>
      <c r="L1114" s="123">
        <v>0.578</v>
      </c>
      <c r="M1114" s="123">
        <v>0.598</v>
      </c>
      <c r="N1114" s="124">
        <v>12.24</v>
      </c>
      <c r="O1114" s="122">
        <v>3.02</v>
      </c>
      <c r="P1114" s="124">
        <v>84.74</v>
      </c>
      <c r="Q1114" s="109"/>
      <c r="R1114" s="198"/>
      <c r="S1114" s="198"/>
      <c r="T1114" s="198"/>
      <c r="U1114" s="198"/>
      <c r="V1114" s="198"/>
      <c r="W1114" s="198"/>
      <c r="X1114" s="198"/>
    </row>
    <row r="1115" ht="12.0" customHeight="1">
      <c r="A11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15" s="87" t="str">
        <f>IFERROR(__xludf.DUMMYFUNCTION("IFERROR(IF(F1115&lt;&gt;"""",""WHSE ""&amp;LEFT(F1115,1),REGEXEXTRACT(E1115,""-(?:\d{2}-)?([A-Z]+)"")),"""")
"),"WHSE D")</f>
        <v>WHSE D</v>
      </c>
      <c r="C1115" s="117">
        <v>46156.0</v>
      </c>
      <c r="D1115" s="118" t="s">
        <v>64</v>
      </c>
      <c r="E1115" s="87" t="s">
        <v>966</v>
      </c>
      <c r="F1115" s="87" t="s">
        <v>344</v>
      </c>
      <c r="G1115" s="125" t="s">
        <v>65</v>
      </c>
      <c r="H1115" s="120">
        <v>24435.0</v>
      </c>
      <c r="I1115" s="121">
        <v>553.0</v>
      </c>
      <c r="J1115" s="122">
        <v>11.8</v>
      </c>
      <c r="K1115" s="123">
        <v>2.72</v>
      </c>
      <c r="L1115" s="123">
        <v>0.571</v>
      </c>
      <c r="M1115" s="123">
        <v>0.591</v>
      </c>
      <c r="N1115" s="124">
        <v>12.79</v>
      </c>
      <c r="O1115" s="122">
        <v>2.93</v>
      </c>
      <c r="P1115" s="124">
        <v>84.28</v>
      </c>
      <c r="Q1115" s="109"/>
      <c r="R1115" s="198"/>
      <c r="S1115" s="198"/>
      <c r="T1115" s="198"/>
      <c r="U1115" s="198"/>
      <c r="V1115" s="198"/>
      <c r="W1115" s="198"/>
      <c r="X1115" s="198"/>
    </row>
    <row r="1116" ht="12.0" customHeight="1">
      <c r="A11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16" s="87" t="str">
        <f>IFERROR(__xludf.DUMMYFUNCTION("IFERROR(IF(F1116&lt;&gt;"""",""WHSE ""&amp;LEFT(F1116,1),REGEXEXTRACT(E1116,""-(?:\d{2}-)?([A-Z]+)"")),"""")
"),"WHSE D")</f>
        <v>WHSE D</v>
      </c>
      <c r="C1116" s="117">
        <v>46156.0</v>
      </c>
      <c r="D1116" s="118" t="s">
        <v>286</v>
      </c>
      <c r="E1116" s="87" t="s">
        <v>963</v>
      </c>
      <c r="F1116" s="87" t="s">
        <v>281</v>
      </c>
      <c r="G1116" s="125" t="s">
        <v>73</v>
      </c>
      <c r="H1116" s="120">
        <v>20175.0</v>
      </c>
      <c r="I1116" s="121">
        <v>470.0</v>
      </c>
      <c r="J1116" s="122">
        <v>11.34</v>
      </c>
      <c r="K1116" s="123">
        <v>2.63</v>
      </c>
      <c r="L1116" s="123">
        <v>0.571</v>
      </c>
      <c r="M1116" s="123">
        <v>0.591</v>
      </c>
      <c r="N1116" s="124">
        <v>13.98</v>
      </c>
      <c r="O1116" s="122">
        <v>2.66</v>
      </c>
      <c r="P1116" s="124">
        <v>83.36</v>
      </c>
      <c r="Q1116" s="109"/>
      <c r="R1116" s="198"/>
      <c r="S1116" s="198"/>
      <c r="T1116" s="198"/>
      <c r="U1116" s="198"/>
      <c r="V1116" s="198"/>
      <c r="W1116" s="198"/>
      <c r="X1116" s="198"/>
    </row>
    <row r="1117" ht="12.0" customHeight="1">
      <c r="A11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17" s="87" t="str">
        <f>IFERROR(__xludf.DUMMYFUNCTION("IFERROR(IF(F1117&lt;&gt;"""",""WHSE ""&amp;LEFT(F1117,1),REGEXEXTRACT(E1117,""-(?:\d{2}-)?([A-Z]+)"")),"""")
"),"")</f>
        <v/>
      </c>
      <c r="C1117" s="108"/>
      <c r="D1117" s="109"/>
      <c r="E1117" s="110"/>
      <c r="F1117" s="110"/>
      <c r="G1117" s="111"/>
      <c r="H1117" s="112"/>
      <c r="I1117" s="113"/>
      <c r="J1117" s="114"/>
      <c r="K1117" s="115"/>
      <c r="L1117" s="115"/>
      <c r="M1117" s="115"/>
      <c r="N1117" s="116"/>
      <c r="O1117" s="114"/>
      <c r="P1117" s="116"/>
      <c r="Q1117" s="109"/>
      <c r="R1117" s="198"/>
      <c r="S1117" s="198"/>
      <c r="T1117" s="198"/>
      <c r="U1117" s="198"/>
      <c r="V1117" s="198"/>
      <c r="W1117" s="198"/>
      <c r="X1117" s="198"/>
    </row>
    <row r="1118" ht="12.0" customHeight="1">
      <c r="A11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18" s="87" t="str">
        <f>IFERROR(__xludf.DUMMYFUNCTION("IFERROR(IF(F1118&lt;&gt;"""",""WHSE ""&amp;LEFT(F1118,1),REGEXEXTRACT(E1118,""-(?:\d{2}-)?([A-Z]+)"")),"""")
"),"WHSE D")</f>
        <v>WHSE D</v>
      </c>
      <c r="C1118" s="117">
        <v>46157.0</v>
      </c>
      <c r="D1118" s="118" t="s">
        <v>286</v>
      </c>
      <c r="E1118" s="87" t="s">
        <v>963</v>
      </c>
      <c r="F1118" s="87" t="s">
        <v>281</v>
      </c>
      <c r="G1118" s="125" t="s">
        <v>77</v>
      </c>
      <c r="H1118" s="120">
        <v>19260.0</v>
      </c>
      <c r="I1118" s="121">
        <v>500.0</v>
      </c>
      <c r="J1118" s="122">
        <v>11.87</v>
      </c>
      <c r="K1118" s="123">
        <v>2.21</v>
      </c>
      <c r="L1118" s="123">
        <v>0.578</v>
      </c>
      <c r="M1118" s="123">
        <v>0.598</v>
      </c>
      <c r="N1118" s="124">
        <v>12.35</v>
      </c>
      <c r="O1118" s="122">
        <v>3.75</v>
      </c>
      <c r="P1118" s="124">
        <v>83.9</v>
      </c>
      <c r="Q1118" s="109"/>
      <c r="R1118" s="198"/>
      <c r="S1118" s="198"/>
      <c r="T1118" s="198"/>
      <c r="U1118" s="198"/>
      <c r="V1118" s="198"/>
      <c r="W1118" s="198"/>
      <c r="X1118" s="198"/>
    </row>
    <row r="1119" ht="12.0" customHeight="1">
      <c r="A11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19" s="87" t="str">
        <f>IFERROR(__xludf.DUMMYFUNCTION("IFERROR(IF(F1119&lt;&gt;"""",""WHSE ""&amp;LEFT(F1119,1),REGEXEXTRACT(E1119,""-(?:\d{2}-)?([A-Z]+)"")),"""")
"),"WHSE D")</f>
        <v>WHSE D</v>
      </c>
      <c r="C1119" s="117">
        <v>46157.0</v>
      </c>
      <c r="D1119" s="118" t="s">
        <v>232</v>
      </c>
      <c r="E1119" s="87" t="s">
        <v>948</v>
      </c>
      <c r="F1119" s="87" t="s">
        <v>585</v>
      </c>
      <c r="G1119" s="125" t="s">
        <v>967</v>
      </c>
      <c r="H1119" s="120">
        <v>28905.0</v>
      </c>
      <c r="I1119" s="121">
        <v>775.0</v>
      </c>
      <c r="J1119" s="122">
        <v>9.6</v>
      </c>
      <c r="K1119" s="123">
        <v>2.6</v>
      </c>
      <c r="L1119" s="123">
        <v>0.562</v>
      </c>
      <c r="M1119" s="123">
        <v>0.582</v>
      </c>
      <c r="N1119" s="124">
        <v>11.35</v>
      </c>
      <c r="O1119" s="122">
        <v>9.7</v>
      </c>
      <c r="P1119" s="124">
        <v>78.95</v>
      </c>
      <c r="Q1119" s="118" t="s">
        <v>968</v>
      </c>
      <c r="R1119" s="198"/>
      <c r="S1119" s="198"/>
      <c r="T1119" s="198"/>
      <c r="U1119" s="198"/>
      <c r="V1119" s="198"/>
      <c r="W1119" s="198"/>
      <c r="X1119" s="198"/>
    </row>
    <row r="1120" ht="12.0" customHeight="1">
      <c r="A11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20" s="87" t="str">
        <f>IFERROR(__xludf.DUMMYFUNCTION("IFERROR(IF(F1120&lt;&gt;"""",""WHSE ""&amp;LEFT(F1120,1),REGEXEXTRACT(E1120,""-(?:\d{2}-)?([A-Z]+)"")),"""")
"),"")</f>
        <v/>
      </c>
      <c r="C1120" s="108"/>
      <c r="D1120" s="109"/>
      <c r="E1120" s="110"/>
      <c r="F1120" s="110"/>
      <c r="G1120" s="111"/>
      <c r="H1120" s="112"/>
      <c r="I1120" s="113"/>
      <c r="J1120" s="114"/>
      <c r="K1120" s="115"/>
      <c r="L1120" s="115"/>
      <c r="M1120" s="115"/>
      <c r="N1120" s="116"/>
      <c r="O1120" s="114"/>
      <c r="P1120" s="116"/>
      <c r="Q1120" s="109"/>
      <c r="R1120" s="198"/>
      <c r="S1120" s="198"/>
      <c r="T1120" s="198"/>
      <c r="U1120" s="198"/>
      <c r="V1120" s="198"/>
      <c r="W1120" s="198"/>
      <c r="X1120" s="198"/>
    </row>
    <row r="1121" ht="12.0" customHeight="1">
      <c r="A11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21" s="87" t="str">
        <f>IFERROR(__xludf.DUMMYFUNCTION("IFERROR(IF(F1121&lt;&gt;"""",""WHSE ""&amp;LEFT(F1121,1),REGEXEXTRACT(E1121,""-(?:\d{2}-)?([A-Z]+)"")),"""")
"),"WHSE A")</f>
        <v>WHSE A</v>
      </c>
      <c r="C1121" s="117">
        <v>46160.0</v>
      </c>
      <c r="D1121" s="118" t="s">
        <v>72</v>
      </c>
      <c r="E1121" s="87" t="s">
        <v>969</v>
      </c>
      <c r="F1121" s="87" t="s">
        <v>550</v>
      </c>
      <c r="G1121" s="125" t="s">
        <v>77</v>
      </c>
      <c r="H1121" s="120">
        <v>16475.0</v>
      </c>
      <c r="I1121" s="121">
        <v>436.0</v>
      </c>
      <c r="J1121" s="122">
        <v>11.6</v>
      </c>
      <c r="K1121" s="123">
        <v>2.61</v>
      </c>
      <c r="L1121" s="123">
        <v>0.578</v>
      </c>
      <c r="M1121" s="123">
        <v>0.598</v>
      </c>
      <c r="N1121" s="124">
        <v>12.37</v>
      </c>
      <c r="O1121" s="122">
        <v>2.63</v>
      </c>
      <c r="P1121" s="124">
        <v>85.0</v>
      </c>
      <c r="Q1121" s="194"/>
      <c r="R1121" s="198"/>
      <c r="S1121" s="198"/>
      <c r="T1121" s="198"/>
      <c r="U1121" s="198"/>
      <c r="V1121" s="198"/>
      <c r="W1121" s="198"/>
      <c r="X1121" s="198"/>
    </row>
    <row r="1122" ht="12.0" customHeight="1">
      <c r="A11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22" s="87" t="str">
        <f>IFERROR(__xludf.DUMMYFUNCTION("IFERROR(IF(F1122&lt;&gt;"""",""WHSE ""&amp;LEFT(F1122,1),REGEXEXTRACT(E1122,""-(?:\d{2}-)?([A-Z]+)"")),"""")
"),"WHSE A")</f>
        <v>WHSE A</v>
      </c>
      <c r="C1122" s="117">
        <v>46160.0</v>
      </c>
      <c r="D1122" s="118" t="s">
        <v>72</v>
      </c>
      <c r="E1122" s="87" t="s">
        <v>969</v>
      </c>
      <c r="F1122" s="87" t="s">
        <v>550</v>
      </c>
      <c r="G1122" s="125" t="s">
        <v>512</v>
      </c>
      <c r="H1122" s="120">
        <v>22275.0</v>
      </c>
      <c r="I1122" s="121">
        <v>516.0</v>
      </c>
      <c r="J1122" s="122">
        <v>11.47</v>
      </c>
      <c r="K1122" s="123">
        <v>2.51</v>
      </c>
      <c r="L1122" s="123">
        <v>0.578</v>
      </c>
      <c r="M1122" s="123">
        <v>0.598</v>
      </c>
      <c r="N1122" s="124">
        <v>12.4</v>
      </c>
      <c r="O1122" s="122">
        <v>2.71</v>
      </c>
      <c r="P1122" s="124">
        <v>84.89</v>
      </c>
      <c r="Q1122" s="109"/>
      <c r="R1122" s="198"/>
      <c r="S1122" s="198"/>
      <c r="T1122" s="198"/>
      <c r="U1122" s="198"/>
      <c r="V1122" s="198"/>
      <c r="W1122" s="198"/>
      <c r="X1122" s="198"/>
    </row>
    <row r="1123" ht="12.0" customHeight="1">
      <c r="A11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23" s="87" t="str">
        <f>IFERROR(__xludf.DUMMYFUNCTION("IFERROR(IF(F1123&lt;&gt;"""",""WHSE ""&amp;LEFT(F1123,1),REGEXEXTRACT(E1123,""-(?:\d{2}-)?([A-Z]+)"")),"""")
"),"WHSE D")</f>
        <v>WHSE D</v>
      </c>
      <c r="C1123" s="117">
        <v>46160.0</v>
      </c>
      <c r="D1123" s="118" t="s">
        <v>64</v>
      </c>
      <c r="E1123" s="87" t="s">
        <v>966</v>
      </c>
      <c r="F1123" s="87" t="s">
        <v>344</v>
      </c>
      <c r="G1123" s="125" t="s">
        <v>65</v>
      </c>
      <c r="H1123" s="120">
        <v>25435.0</v>
      </c>
      <c r="I1123" s="121">
        <v>561.0</v>
      </c>
      <c r="J1123" s="122">
        <v>11.94</v>
      </c>
      <c r="K1123" s="123">
        <v>2.31</v>
      </c>
      <c r="L1123" s="123">
        <v>0.581</v>
      </c>
      <c r="M1123" s="123">
        <v>0.601</v>
      </c>
      <c r="N1123" s="124">
        <v>11.99</v>
      </c>
      <c r="O1123" s="122">
        <v>2.54</v>
      </c>
      <c r="P1123" s="124">
        <v>85.47</v>
      </c>
      <c r="Q1123" s="109"/>
      <c r="R1123" s="198"/>
      <c r="S1123" s="198"/>
      <c r="T1123" s="198"/>
      <c r="U1123" s="198"/>
      <c r="V1123" s="198"/>
      <c r="W1123" s="198"/>
      <c r="X1123" s="198"/>
    </row>
    <row r="1124" ht="12.0" customHeight="1">
      <c r="A11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24" s="87" t="str">
        <f>IFERROR(__xludf.DUMMYFUNCTION("IFERROR(IF(F1124&lt;&gt;"""",""WHSE ""&amp;LEFT(F1124,1),REGEXEXTRACT(E1124,""-(?:\d{2}-)?([A-Z]+)"")),"""")
"),"WHSE D")</f>
        <v>WHSE D</v>
      </c>
      <c r="C1124" s="117">
        <v>46160.0</v>
      </c>
      <c r="D1124" s="118" t="s">
        <v>232</v>
      </c>
      <c r="E1124" s="87" t="s">
        <v>964</v>
      </c>
      <c r="F1124" s="87" t="s">
        <v>965</v>
      </c>
      <c r="G1124" s="125" t="s">
        <v>328</v>
      </c>
      <c r="H1124" s="120">
        <v>18915.0</v>
      </c>
      <c r="I1124" s="121">
        <v>596.0</v>
      </c>
      <c r="J1124" s="122">
        <v>10.87</v>
      </c>
      <c r="K1124" s="123">
        <v>3.11</v>
      </c>
      <c r="L1124" s="123">
        <v>0.565</v>
      </c>
      <c r="M1124" s="123">
        <v>0.585</v>
      </c>
      <c r="N1124" s="124">
        <v>13.41</v>
      </c>
      <c r="O1124" s="122">
        <v>3.49</v>
      </c>
      <c r="P1124" s="124">
        <v>83.1</v>
      </c>
      <c r="Q1124" s="219"/>
      <c r="R1124" s="198"/>
      <c r="S1124" s="198"/>
      <c r="T1124" s="198"/>
      <c r="U1124" s="198"/>
      <c r="V1124" s="198"/>
      <c r="W1124" s="198"/>
      <c r="X1124" s="198"/>
    </row>
    <row r="1125" ht="12.0" customHeight="1">
      <c r="A11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25" s="87" t="str">
        <f>IFERROR(__xludf.DUMMYFUNCTION("IFERROR(IF(F1125&lt;&gt;"""",""WHSE ""&amp;LEFT(F1125,1),REGEXEXTRACT(E1125,""-(?:\d{2}-)?([A-Z]+)"")),"""")
"),"")</f>
        <v/>
      </c>
      <c r="C1125" s="108"/>
      <c r="D1125" s="109"/>
      <c r="E1125" s="110"/>
      <c r="F1125" s="110"/>
      <c r="G1125" s="111"/>
      <c r="H1125" s="112"/>
      <c r="I1125" s="113"/>
      <c r="J1125" s="114"/>
      <c r="K1125" s="115"/>
      <c r="L1125" s="115"/>
      <c r="M1125" s="115"/>
      <c r="N1125" s="116"/>
      <c r="O1125" s="114"/>
      <c r="P1125" s="116"/>
      <c r="Q1125" s="219"/>
      <c r="R1125" s="198"/>
      <c r="S1125" s="198"/>
      <c r="T1125" s="198"/>
      <c r="U1125" s="198"/>
      <c r="V1125" s="198"/>
      <c r="W1125" s="198"/>
      <c r="X1125" s="198"/>
    </row>
    <row r="1126" ht="12.0" customHeight="1">
      <c r="A11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26" s="87" t="str">
        <f>IFERROR(__xludf.DUMMYFUNCTION("IFERROR(IF(F1126&lt;&gt;"""",""WHSE ""&amp;LEFT(F1126,1),REGEXEXTRACT(E1126,""-(?:\d{2}-)?([A-Z]+)"")),"""")
"),"WHSE A")</f>
        <v>WHSE A</v>
      </c>
      <c r="C1126" s="117">
        <v>46161.0</v>
      </c>
      <c r="D1126" s="118" t="s">
        <v>72</v>
      </c>
      <c r="E1126" s="87" t="s">
        <v>969</v>
      </c>
      <c r="F1126" s="87" t="s">
        <v>550</v>
      </c>
      <c r="G1126" s="125" t="s">
        <v>77</v>
      </c>
      <c r="H1126" s="120">
        <v>16895.0</v>
      </c>
      <c r="I1126" s="121">
        <v>449.0</v>
      </c>
      <c r="J1126" s="122">
        <v>11.6</v>
      </c>
      <c r="K1126" s="123">
        <v>2.31</v>
      </c>
      <c r="L1126" s="123">
        <v>0.578</v>
      </c>
      <c r="M1126" s="123">
        <v>0.598</v>
      </c>
      <c r="N1126" s="124">
        <v>13.68</v>
      </c>
      <c r="O1126" s="122">
        <v>2.99</v>
      </c>
      <c r="P1126" s="124">
        <v>83.33</v>
      </c>
      <c r="Q1126" s="219"/>
      <c r="R1126" s="198"/>
      <c r="S1126" s="198"/>
      <c r="T1126" s="198"/>
      <c r="U1126" s="198"/>
      <c r="V1126" s="198"/>
      <c r="W1126" s="198"/>
      <c r="X1126" s="198"/>
    </row>
    <row r="1127" ht="12.0" customHeight="1">
      <c r="A11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27" s="87" t="str">
        <f>IFERROR(__xludf.DUMMYFUNCTION("IFERROR(IF(F1127&lt;&gt;"""",""WHSE ""&amp;LEFT(F1127,1),REGEXEXTRACT(E1127,""-(?:\d{2}-)?([A-Z]+)"")),"""")
"),"WHSE A")</f>
        <v>WHSE A</v>
      </c>
      <c r="C1127" s="117">
        <v>46161.0</v>
      </c>
      <c r="D1127" s="118" t="s">
        <v>72</v>
      </c>
      <c r="E1127" s="87" t="s">
        <v>969</v>
      </c>
      <c r="F1127" s="87" t="s">
        <v>550</v>
      </c>
      <c r="G1127" s="125" t="s">
        <v>946</v>
      </c>
      <c r="H1127" s="120">
        <v>18700.0</v>
      </c>
      <c r="I1127" s="121">
        <v>442.0</v>
      </c>
      <c r="J1127" s="122">
        <v>11.74</v>
      </c>
      <c r="K1127" s="123">
        <v>2.48</v>
      </c>
      <c r="L1127" s="123">
        <v>0.575</v>
      </c>
      <c r="M1127" s="123">
        <v>0.595</v>
      </c>
      <c r="N1127" s="124">
        <v>12.41</v>
      </c>
      <c r="O1127" s="122">
        <v>3.84</v>
      </c>
      <c r="P1127" s="124">
        <v>83.75</v>
      </c>
      <c r="Q1127" s="219"/>
      <c r="R1127" s="198"/>
      <c r="S1127" s="198"/>
      <c r="T1127" s="198"/>
      <c r="U1127" s="198"/>
      <c r="V1127" s="198"/>
      <c r="W1127" s="198"/>
      <c r="X1127" s="198"/>
    </row>
    <row r="1128" ht="12.0" customHeight="1">
      <c r="A11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28" s="87" t="str">
        <f>IFERROR(__xludf.DUMMYFUNCTION("IFERROR(IF(F1128&lt;&gt;"""",""WHSE ""&amp;LEFT(F1128,1),REGEXEXTRACT(E1128,""-(?:\d{2}-)?([A-Z]+)"")),"""")
"),"")</f>
        <v/>
      </c>
      <c r="C1128" s="108"/>
      <c r="D1128" s="109"/>
      <c r="E1128" s="110"/>
      <c r="F1128" s="110"/>
      <c r="G1128" s="111"/>
      <c r="H1128" s="112"/>
      <c r="I1128" s="113"/>
      <c r="J1128" s="114"/>
      <c r="K1128" s="115"/>
      <c r="L1128" s="115"/>
      <c r="M1128" s="115"/>
      <c r="N1128" s="116"/>
      <c r="O1128" s="114"/>
      <c r="P1128" s="116"/>
      <c r="Q1128" s="219"/>
      <c r="R1128" s="198"/>
      <c r="S1128" s="198"/>
      <c r="T1128" s="198"/>
      <c r="U1128" s="198"/>
      <c r="V1128" s="198"/>
      <c r="W1128" s="198"/>
      <c r="X1128" s="198"/>
    </row>
    <row r="1129" ht="12.0" customHeight="1">
      <c r="A11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29" s="87" t="str">
        <f>IFERROR(__xludf.DUMMYFUNCTION("IFERROR(IF(F1129&lt;&gt;"""",""WHSE ""&amp;LEFT(F1129,1),REGEXEXTRACT(E1129,""-(?:\d{2}-)?([A-Z]+)"")),"""")
"),"WHSE D")</f>
        <v>WHSE D</v>
      </c>
      <c r="C1129" s="117">
        <v>46162.0</v>
      </c>
      <c r="D1129" s="118" t="s">
        <v>286</v>
      </c>
      <c r="E1129" s="87" t="s">
        <v>963</v>
      </c>
      <c r="F1129" s="87" t="s">
        <v>281</v>
      </c>
      <c r="G1129" s="125" t="s">
        <v>73</v>
      </c>
      <c r="H1129" s="120">
        <v>20110.0</v>
      </c>
      <c r="I1129" s="121">
        <v>486.0</v>
      </c>
      <c r="J1129" s="122">
        <v>11.8</v>
      </c>
      <c r="K1129" s="123">
        <v>2.38</v>
      </c>
      <c r="L1129" s="123">
        <v>0.571</v>
      </c>
      <c r="M1129" s="123">
        <v>0.591</v>
      </c>
      <c r="N1129" s="124">
        <v>12.34</v>
      </c>
      <c r="O1129" s="122">
        <v>3.99</v>
      </c>
      <c r="P1129" s="124">
        <v>83.67</v>
      </c>
      <c r="Q1129" s="219"/>
      <c r="R1129" s="198"/>
      <c r="S1129" s="198"/>
      <c r="T1129" s="198"/>
      <c r="U1129" s="198"/>
      <c r="V1129" s="198"/>
      <c r="W1129" s="198"/>
      <c r="X1129" s="198"/>
    </row>
    <row r="1130" ht="12.0" customHeight="1">
      <c r="A11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0" s="87" t="str">
        <f>IFERROR(__xludf.DUMMYFUNCTION("IFERROR(IF(F1130&lt;&gt;"""",""WHSE ""&amp;LEFT(F1130,1),REGEXEXTRACT(E1130,""-(?:\d{2}-)?([A-Z]+)"")),"""")
"),"")</f>
        <v/>
      </c>
      <c r="C1130" s="108"/>
      <c r="D1130" s="109"/>
      <c r="E1130" s="110"/>
      <c r="F1130" s="110"/>
      <c r="G1130" s="111"/>
      <c r="H1130" s="112"/>
      <c r="I1130" s="113"/>
      <c r="J1130" s="114"/>
      <c r="K1130" s="115"/>
      <c r="L1130" s="115"/>
      <c r="M1130" s="115"/>
      <c r="N1130" s="116"/>
      <c r="O1130" s="114"/>
      <c r="P1130" s="116"/>
      <c r="Q1130" s="219"/>
      <c r="R1130" s="198"/>
      <c r="S1130" s="198"/>
      <c r="T1130" s="198"/>
      <c r="U1130" s="198"/>
      <c r="V1130" s="198"/>
      <c r="W1130" s="198"/>
      <c r="X1130" s="198"/>
    </row>
    <row r="1131" ht="12.0" customHeight="1">
      <c r="A11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1" s="87" t="str">
        <f>IFERROR(__xludf.DUMMYFUNCTION("IFERROR(IF(F1131&lt;&gt;"""",""WHSE ""&amp;LEFT(F1131,1),REGEXEXTRACT(E1131,""-(?:\d{2}-)?([A-Z]+)"")),"""")
"),"WHSE D")</f>
        <v>WHSE D</v>
      </c>
      <c r="C1131" s="117">
        <v>46163.0</v>
      </c>
      <c r="D1131" s="118" t="s">
        <v>232</v>
      </c>
      <c r="E1131" s="87" t="s">
        <v>960</v>
      </c>
      <c r="F1131" s="87" t="s">
        <v>961</v>
      </c>
      <c r="G1131" s="125" t="s">
        <v>77</v>
      </c>
      <c r="H1131" s="120">
        <v>16135.0</v>
      </c>
      <c r="I1131" s="121">
        <v>504.0</v>
      </c>
      <c r="J1131" s="122">
        <v>8.27</v>
      </c>
      <c r="K1131" s="123">
        <v>2.83</v>
      </c>
      <c r="L1131" s="123">
        <v>0.581</v>
      </c>
      <c r="M1131" s="123">
        <v>0.601</v>
      </c>
      <c r="N1131" s="124">
        <v>13.52</v>
      </c>
      <c r="O1131" s="122">
        <v>3.22</v>
      </c>
      <c r="P1131" s="124">
        <v>83.26</v>
      </c>
      <c r="Q1131" s="219"/>
      <c r="R1131" s="198"/>
      <c r="S1131" s="198"/>
      <c r="T1131" s="198"/>
      <c r="U1131" s="198"/>
      <c r="V1131" s="198"/>
      <c r="W1131" s="198"/>
      <c r="X1131" s="198"/>
    </row>
    <row r="1132" ht="12.0" customHeight="1">
      <c r="A11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2" s="87" t="str">
        <f>IFERROR(__xludf.DUMMYFUNCTION("IFERROR(IF(F1132&lt;&gt;"""",""WHSE ""&amp;LEFT(F1132,1),REGEXEXTRACT(E1132,""-(?:\d{2}-)?([A-Z]+)"")),"""")
"),"")</f>
        <v/>
      </c>
      <c r="C1132" s="108"/>
      <c r="D1132" s="109"/>
      <c r="E1132" s="110"/>
      <c r="F1132" s="110"/>
      <c r="G1132" s="111"/>
      <c r="H1132" s="112"/>
      <c r="I1132" s="113"/>
      <c r="J1132" s="114"/>
      <c r="K1132" s="115"/>
      <c r="L1132" s="115"/>
      <c r="M1132" s="115"/>
      <c r="N1132" s="116"/>
      <c r="O1132" s="114"/>
      <c r="P1132" s="116"/>
      <c r="Q1132" s="219"/>
      <c r="R1132" s="198"/>
      <c r="S1132" s="198"/>
      <c r="T1132" s="198"/>
      <c r="U1132" s="198"/>
      <c r="V1132" s="198"/>
      <c r="W1132" s="198"/>
      <c r="X1132" s="198"/>
    </row>
    <row r="1133" ht="12.0" customHeight="1">
      <c r="A11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3" s="87" t="str">
        <f>IFERROR(__xludf.DUMMYFUNCTION("IFERROR(IF(F1133&lt;&gt;"""",""WHSE ""&amp;LEFT(F1133,1),REGEXEXTRACT(E1133,""-(?:\d{2}-)?([A-Z]+)"")),"""")
"),"WHSE D")</f>
        <v>WHSE D</v>
      </c>
      <c r="C1133" s="117">
        <v>46165.0</v>
      </c>
      <c r="D1133" s="118" t="s">
        <v>232</v>
      </c>
      <c r="E1133" s="87" t="s">
        <v>964</v>
      </c>
      <c r="F1133" s="87" t="s">
        <v>965</v>
      </c>
      <c r="G1133" s="125" t="s">
        <v>73</v>
      </c>
      <c r="H1133" s="120">
        <v>18725.0</v>
      </c>
      <c r="I1133" s="121">
        <v>473.0</v>
      </c>
      <c r="J1133" s="122">
        <v>10.94</v>
      </c>
      <c r="K1133" s="123">
        <v>2.73</v>
      </c>
      <c r="L1133" s="123">
        <v>0.571</v>
      </c>
      <c r="M1133" s="123">
        <v>0.591</v>
      </c>
      <c r="N1133" s="124">
        <v>13.39</v>
      </c>
      <c r="O1133" s="122">
        <v>3.53</v>
      </c>
      <c r="P1133" s="124">
        <v>83.08</v>
      </c>
      <c r="Q1133" s="219"/>
      <c r="R1133" s="198"/>
      <c r="S1133" s="198"/>
      <c r="T1133" s="198"/>
      <c r="U1133" s="198"/>
      <c r="V1133" s="198"/>
      <c r="W1133" s="198"/>
      <c r="X1133" s="198"/>
    </row>
    <row r="1134" ht="12.0" customHeight="1">
      <c r="A11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4" s="87" t="str">
        <f>IFERROR(__xludf.DUMMYFUNCTION("IFERROR(IF(F1134&lt;&gt;"""",""WHSE ""&amp;LEFT(F1134,1),REGEXEXTRACT(E1134,""-(?:\d{2}-)?([A-Z]+)"")),"""")
"),"")</f>
        <v/>
      </c>
      <c r="C1134" s="108"/>
      <c r="D1134" s="109"/>
      <c r="E1134" s="110"/>
      <c r="F1134" s="110"/>
      <c r="G1134" s="111"/>
      <c r="H1134" s="112"/>
      <c r="I1134" s="113"/>
      <c r="J1134" s="114"/>
      <c r="K1134" s="115"/>
      <c r="L1134" s="115"/>
      <c r="M1134" s="115"/>
      <c r="N1134" s="116"/>
      <c r="O1134" s="114"/>
      <c r="P1134" s="116"/>
      <c r="Q1134" s="219"/>
      <c r="R1134" s="198"/>
      <c r="S1134" s="198"/>
      <c r="T1134" s="198"/>
      <c r="U1134" s="198"/>
      <c r="V1134" s="198"/>
      <c r="W1134" s="198"/>
      <c r="X1134" s="198"/>
    </row>
    <row r="1135" ht="12.0" customHeight="1">
      <c r="A11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35" s="87" t="str">
        <f>IFERROR(__xludf.DUMMYFUNCTION("IFERROR(IF(F1135&lt;&gt;"""",""WHSE ""&amp;LEFT(F1135,1),REGEXEXTRACT(E1135,""-(?:\d{2}-)?([A-Z]+)"")),"""")
"),"FEED")</f>
        <v>FEED</v>
      </c>
      <c r="C1135" s="117">
        <v>46168.0</v>
      </c>
      <c r="D1135" s="118" t="s">
        <v>286</v>
      </c>
      <c r="E1135" s="87" t="s">
        <v>970</v>
      </c>
      <c r="F1135" s="110"/>
      <c r="G1135" s="125" t="s">
        <v>77</v>
      </c>
      <c r="H1135" s="120">
        <v>19330.0</v>
      </c>
      <c r="I1135" s="121">
        <v>463.0</v>
      </c>
      <c r="J1135" s="122">
        <v>11.67</v>
      </c>
      <c r="K1135" s="123">
        <v>2.48</v>
      </c>
      <c r="L1135" s="123">
        <v>0.581</v>
      </c>
      <c r="M1135" s="123">
        <v>0.601</v>
      </c>
      <c r="N1135" s="124">
        <v>12.61</v>
      </c>
      <c r="O1135" s="122">
        <v>3.26</v>
      </c>
      <c r="P1135" s="124">
        <v>84.13</v>
      </c>
      <c r="Q1135" s="219"/>
      <c r="R1135" s="198"/>
      <c r="S1135" s="198"/>
      <c r="T1135" s="198"/>
      <c r="U1135" s="198"/>
      <c r="V1135" s="198"/>
      <c r="W1135" s="198"/>
      <c r="X1135" s="198"/>
    </row>
    <row r="1136" ht="12.0" customHeight="1">
      <c r="A11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6" s="87" t="str">
        <f>IFERROR(__xludf.DUMMYFUNCTION("IFERROR(IF(F1136&lt;&gt;"""",""WHSE ""&amp;LEFT(F1136,1),REGEXEXTRACT(E1136,""-(?:\d{2}-)?([A-Z]+)"")),"""")
"),"")</f>
        <v/>
      </c>
      <c r="C1136" s="108"/>
      <c r="D1136" s="109"/>
      <c r="E1136" s="110"/>
      <c r="F1136" s="110"/>
      <c r="G1136" s="111"/>
      <c r="H1136" s="112"/>
      <c r="I1136" s="113"/>
      <c r="J1136" s="114"/>
      <c r="K1136" s="115"/>
      <c r="L1136" s="115"/>
      <c r="M1136" s="115"/>
      <c r="N1136" s="116"/>
      <c r="O1136" s="114"/>
      <c r="P1136" s="116"/>
      <c r="Q1136" s="219"/>
      <c r="R1136" s="198"/>
      <c r="S1136" s="198"/>
      <c r="T1136" s="198"/>
      <c r="U1136" s="198"/>
      <c r="V1136" s="198"/>
      <c r="W1136" s="198"/>
      <c r="X1136" s="198"/>
    </row>
    <row r="1137" ht="12.0" customHeight="1">
      <c r="A11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7" s="87" t="str">
        <f>IFERROR(__xludf.DUMMYFUNCTION("IFERROR(IF(F1137&lt;&gt;"""",""WHSE ""&amp;LEFT(F1137,1),REGEXEXTRACT(E1137,""-(?:\d{2}-)?([A-Z]+)"")),"""")
"),"WHSE D")</f>
        <v>WHSE D</v>
      </c>
      <c r="C1137" s="117">
        <v>46169.0</v>
      </c>
      <c r="D1137" s="118" t="s">
        <v>232</v>
      </c>
      <c r="E1137" s="87" t="s">
        <v>971</v>
      </c>
      <c r="F1137" s="87" t="s">
        <v>430</v>
      </c>
      <c r="G1137" s="125" t="s">
        <v>328</v>
      </c>
      <c r="H1137" s="120">
        <v>20250.0</v>
      </c>
      <c r="I1137" s="121">
        <v>671.0</v>
      </c>
      <c r="J1137" s="122">
        <v>11.34</v>
      </c>
      <c r="K1137" s="123">
        <v>2.83</v>
      </c>
      <c r="L1137" s="123">
        <v>0.568</v>
      </c>
      <c r="M1137" s="123">
        <v>0.588</v>
      </c>
      <c r="N1137" s="124">
        <v>12.93</v>
      </c>
      <c r="O1137" s="122">
        <v>3.4</v>
      </c>
      <c r="P1137" s="124">
        <v>83.67</v>
      </c>
      <c r="Q1137" s="219"/>
      <c r="R1137" s="198"/>
      <c r="S1137" s="198"/>
      <c r="T1137" s="198"/>
      <c r="U1137" s="198"/>
      <c r="V1137" s="198"/>
      <c r="W1137" s="198"/>
      <c r="X1137" s="198"/>
    </row>
    <row r="1138" ht="12.0" customHeight="1">
      <c r="A11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8" s="87" t="str">
        <f>IFERROR(__xludf.DUMMYFUNCTION("IFERROR(IF(F1138&lt;&gt;"""",""WHSE ""&amp;LEFT(F1138,1),REGEXEXTRACT(E1138,""-(?:\d{2}-)?([A-Z]+)"")),"""")
"),"")</f>
        <v/>
      </c>
      <c r="C1138" s="108"/>
      <c r="D1138" s="109"/>
      <c r="E1138" s="110"/>
      <c r="F1138" s="110"/>
      <c r="G1138" s="111"/>
      <c r="H1138" s="112"/>
      <c r="I1138" s="113"/>
      <c r="J1138" s="114"/>
      <c r="K1138" s="115"/>
      <c r="L1138" s="115"/>
      <c r="M1138" s="115"/>
      <c r="N1138" s="116"/>
      <c r="O1138" s="114"/>
      <c r="P1138" s="116"/>
      <c r="Q1138" s="219"/>
      <c r="R1138" s="198"/>
      <c r="S1138" s="198"/>
      <c r="T1138" s="198"/>
      <c r="U1138" s="198"/>
      <c r="V1138" s="198"/>
      <c r="W1138" s="198"/>
      <c r="X1138" s="198"/>
    </row>
    <row r="1139" ht="12.0" customHeight="1">
      <c r="A11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39" s="87" t="str">
        <f>IFERROR(__xludf.DUMMYFUNCTION("IFERROR(IF(F1139&lt;&gt;"""",""WHSE ""&amp;LEFT(F1139,1),REGEXEXTRACT(E1139,""-(?:\d{2}-)?([A-Z]+)"")),"""")
"),"WHSE D")</f>
        <v>WHSE D</v>
      </c>
      <c r="C1139" s="117">
        <v>46174.0</v>
      </c>
      <c r="D1139" s="118" t="s">
        <v>232</v>
      </c>
      <c r="E1139" s="87" t="s">
        <v>971</v>
      </c>
      <c r="F1139" s="87" t="s">
        <v>430</v>
      </c>
      <c r="G1139" s="125" t="s">
        <v>328</v>
      </c>
      <c r="H1139" s="120">
        <v>20450.0</v>
      </c>
      <c r="I1139" s="121">
        <v>468.0</v>
      </c>
      <c r="J1139" s="122">
        <v>10.07</v>
      </c>
      <c r="K1139" s="123">
        <v>2.78</v>
      </c>
      <c r="L1139" s="123">
        <v>0.568</v>
      </c>
      <c r="M1139" s="123">
        <v>0.588</v>
      </c>
      <c r="N1139" s="124">
        <v>12.87</v>
      </c>
      <c r="O1139" s="122">
        <v>3.04</v>
      </c>
      <c r="P1139" s="124">
        <v>84.09</v>
      </c>
      <c r="Q1139" s="219"/>
      <c r="R1139" s="198"/>
      <c r="S1139" s="198"/>
      <c r="T1139" s="198"/>
      <c r="U1139" s="198"/>
      <c r="V1139" s="198"/>
      <c r="W1139" s="198"/>
      <c r="X1139" s="198"/>
    </row>
    <row r="1140" ht="12.0" customHeight="1">
      <c r="A11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0" s="87" t="str">
        <f>IFERROR(__xludf.DUMMYFUNCTION("IFERROR(IF(F1140&lt;&gt;"""",""WHSE ""&amp;LEFT(F1140,1),REGEXEXTRACT(E1140,""-(?:\d{2}-)?([A-Z]+)"")),"""")
"),"")</f>
        <v/>
      </c>
      <c r="C1140" s="108"/>
      <c r="D1140" s="109"/>
      <c r="E1140" s="110"/>
      <c r="F1140" s="110"/>
      <c r="G1140" s="111"/>
      <c r="H1140" s="112"/>
      <c r="I1140" s="113"/>
      <c r="J1140" s="114"/>
      <c r="K1140" s="115"/>
      <c r="L1140" s="115"/>
      <c r="M1140" s="115"/>
      <c r="N1140" s="116"/>
      <c r="O1140" s="114"/>
      <c r="P1140" s="116"/>
      <c r="Q1140" s="219"/>
      <c r="R1140" s="198"/>
      <c r="S1140" s="198"/>
      <c r="T1140" s="198"/>
      <c r="U1140" s="198"/>
      <c r="V1140" s="198"/>
      <c r="W1140" s="198"/>
      <c r="X1140" s="198"/>
    </row>
    <row r="1141" ht="12.0" customHeight="1">
      <c r="A11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1" s="87" t="str">
        <f>IFERROR(__xludf.DUMMYFUNCTION("IFERROR(IF(F1141&lt;&gt;"""",""WHSE ""&amp;LEFT(F1141,1),REGEXEXTRACT(E1141,""-(?:\d{2}-)?([A-Z]+)"")),"""")
"),"WHSE C")</f>
        <v>WHSE C</v>
      </c>
      <c r="C1141" s="117">
        <v>46175.0</v>
      </c>
      <c r="D1141" s="118" t="s">
        <v>232</v>
      </c>
      <c r="E1141" s="87" t="s">
        <v>937</v>
      </c>
      <c r="F1141" s="87" t="s">
        <v>399</v>
      </c>
      <c r="G1141" s="125" t="s">
        <v>668</v>
      </c>
      <c r="H1141" s="120">
        <v>10865.0</v>
      </c>
      <c r="I1141" s="121">
        <v>255.0</v>
      </c>
      <c r="J1141" s="122">
        <v>9.07</v>
      </c>
      <c r="K1141" s="123">
        <v>2.56</v>
      </c>
      <c r="L1141" s="123">
        <v>0.578</v>
      </c>
      <c r="M1141" s="123">
        <v>0.598</v>
      </c>
      <c r="N1141" s="124">
        <v>13.59</v>
      </c>
      <c r="O1141" s="122">
        <v>3.78</v>
      </c>
      <c r="P1141" s="124">
        <v>82.63</v>
      </c>
      <c r="Q1141" s="220" t="s">
        <v>972</v>
      </c>
      <c r="R1141" s="198"/>
      <c r="S1141" s="198"/>
      <c r="T1141" s="198"/>
      <c r="U1141" s="198"/>
      <c r="V1141" s="198"/>
      <c r="W1141" s="198"/>
      <c r="X1141" s="198"/>
    </row>
    <row r="1142" ht="12.0" customHeight="1">
      <c r="A11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2" s="87" t="str">
        <f>IFERROR(__xludf.DUMMYFUNCTION("IFERROR(IF(F1142&lt;&gt;"""",""WHSE ""&amp;LEFT(F1142,1),REGEXEXTRACT(E1142,""-(?:\d{2}-)?([A-Z]+)"")),"""")
"),"")</f>
        <v/>
      </c>
      <c r="C1142" s="108"/>
      <c r="D1142" s="109"/>
      <c r="E1142" s="110"/>
      <c r="F1142" s="110"/>
      <c r="G1142" s="111"/>
      <c r="H1142" s="112"/>
      <c r="I1142" s="113"/>
      <c r="J1142" s="114"/>
      <c r="K1142" s="115"/>
      <c r="L1142" s="115"/>
      <c r="M1142" s="115"/>
      <c r="N1142" s="116"/>
      <c r="O1142" s="114"/>
      <c r="P1142" s="116"/>
      <c r="Q1142" s="219"/>
      <c r="R1142" s="198"/>
      <c r="S1142" s="198"/>
      <c r="T1142" s="198"/>
      <c r="U1142" s="198"/>
      <c r="V1142" s="198"/>
      <c r="W1142" s="198"/>
      <c r="X1142" s="198"/>
    </row>
    <row r="1143" ht="12.0" customHeight="1">
      <c r="A11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3" s="87" t="str">
        <f>IFERROR(__xludf.DUMMYFUNCTION("IFERROR(IF(F1143&lt;&gt;"""",""WHSE ""&amp;LEFT(F1143,1),REGEXEXTRACT(E1143,""-(?:\d{2}-)?([A-Z]+)"")),"""")
"),"WHSE D")</f>
        <v>WHSE D</v>
      </c>
      <c r="C1143" s="117">
        <v>46176.0</v>
      </c>
      <c r="D1143" s="118" t="s">
        <v>232</v>
      </c>
      <c r="E1143" s="87" t="s">
        <v>973</v>
      </c>
      <c r="F1143" s="87" t="s">
        <v>564</v>
      </c>
      <c r="G1143" s="125" t="s">
        <v>328</v>
      </c>
      <c r="H1143" s="120">
        <v>21200.0</v>
      </c>
      <c r="I1143" s="121">
        <v>676.0</v>
      </c>
      <c r="J1143" s="122">
        <v>9.2</v>
      </c>
      <c r="K1143" s="123">
        <v>2.71</v>
      </c>
      <c r="L1143" s="123">
        <v>0.578</v>
      </c>
      <c r="M1143" s="123">
        <v>0.598</v>
      </c>
      <c r="N1143" s="124">
        <v>13.5</v>
      </c>
      <c r="O1143" s="122">
        <v>3.89</v>
      </c>
      <c r="P1143" s="124">
        <v>82.61</v>
      </c>
      <c r="Q1143" s="219"/>
      <c r="R1143" s="198"/>
      <c r="S1143" s="198"/>
      <c r="T1143" s="198"/>
      <c r="U1143" s="198"/>
      <c r="V1143" s="198"/>
      <c r="W1143" s="198"/>
      <c r="X1143" s="198"/>
    </row>
    <row r="1144" ht="12.0" customHeight="1">
      <c r="A11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4" s="87" t="str">
        <f>IFERROR(__xludf.DUMMYFUNCTION("IFERROR(IF(F1144&lt;&gt;"""",""WHSE ""&amp;LEFT(F1144,1),REGEXEXTRACT(E1144,""-(?:\d{2}-)?([A-Z]+)"")),"""")
"),"WHSE C")</f>
        <v>WHSE C</v>
      </c>
      <c r="C1144" s="117">
        <v>46176.0</v>
      </c>
      <c r="D1144" s="118" t="s">
        <v>232</v>
      </c>
      <c r="E1144" s="87" t="s">
        <v>939</v>
      </c>
      <c r="F1144" s="87" t="s">
        <v>384</v>
      </c>
      <c r="G1144" s="125" t="s">
        <v>532</v>
      </c>
      <c r="H1144" s="120">
        <v>4095.0</v>
      </c>
      <c r="I1144" s="121">
        <v>104.0</v>
      </c>
      <c r="J1144" s="122">
        <v>9.4</v>
      </c>
      <c r="K1144" s="123">
        <v>2.91</v>
      </c>
      <c r="L1144" s="123">
        <v>0.556</v>
      </c>
      <c r="M1144" s="123">
        <v>0.576</v>
      </c>
      <c r="N1144" s="124">
        <v>14.14</v>
      </c>
      <c r="O1144" s="122">
        <v>4.24</v>
      </c>
      <c r="P1144" s="124">
        <v>81.62</v>
      </c>
      <c r="Q1144" s="220" t="s">
        <v>974</v>
      </c>
      <c r="R1144" s="198"/>
      <c r="S1144" s="198"/>
      <c r="T1144" s="198"/>
      <c r="U1144" s="198"/>
      <c r="V1144" s="198"/>
      <c r="W1144" s="198"/>
      <c r="X1144" s="198"/>
    </row>
    <row r="1145" ht="12.0" customHeight="1">
      <c r="A11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5" s="87" t="str">
        <f>IFERROR(__xludf.DUMMYFUNCTION("IFERROR(IF(F1145&lt;&gt;"""",""WHSE ""&amp;LEFT(F1145,1),REGEXEXTRACT(E1145,""-(?:\d{2}-)?([A-Z]+)"")),"""")
"),"WHSE A")</f>
        <v>WHSE A</v>
      </c>
      <c r="C1145" s="117">
        <v>46176.0</v>
      </c>
      <c r="D1145" s="118" t="s">
        <v>72</v>
      </c>
      <c r="E1145" s="87" t="s">
        <v>975</v>
      </c>
      <c r="F1145" s="87" t="s">
        <v>257</v>
      </c>
      <c r="G1145" s="125" t="s">
        <v>77</v>
      </c>
      <c r="H1145" s="120">
        <v>16250.0</v>
      </c>
      <c r="I1145" s="121">
        <v>433.0</v>
      </c>
      <c r="J1145" s="122">
        <v>11.2</v>
      </c>
      <c r="K1145" s="123">
        <v>2.33</v>
      </c>
      <c r="L1145" s="123">
        <v>0.575</v>
      </c>
      <c r="M1145" s="123">
        <v>0.595</v>
      </c>
      <c r="N1145" s="124">
        <v>11.79</v>
      </c>
      <c r="O1145" s="122">
        <v>4.05</v>
      </c>
      <c r="P1145" s="124">
        <v>84.16</v>
      </c>
      <c r="Q1145" s="219"/>
      <c r="R1145" s="198"/>
      <c r="S1145" s="198"/>
      <c r="T1145" s="198"/>
      <c r="U1145" s="198"/>
      <c r="V1145" s="198"/>
      <c r="W1145" s="198"/>
      <c r="X1145" s="198"/>
    </row>
    <row r="1146" ht="12.0" customHeight="1">
      <c r="A11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6" s="87" t="str">
        <f>IFERROR(__xludf.DUMMYFUNCTION("IFERROR(IF(F1146&lt;&gt;"""",""WHSE ""&amp;LEFT(F1146,1),REGEXEXTRACT(E1146,""-(?:\d{2}-)?([A-Z]+)"")),"""")
"),"WHSE A")</f>
        <v>WHSE A</v>
      </c>
      <c r="C1146" s="117">
        <v>46176.0</v>
      </c>
      <c r="D1146" s="118" t="s">
        <v>72</v>
      </c>
      <c r="E1146" s="87" t="s">
        <v>975</v>
      </c>
      <c r="F1146" s="87" t="s">
        <v>257</v>
      </c>
      <c r="G1146" s="125" t="s">
        <v>73</v>
      </c>
      <c r="H1146" s="120">
        <v>20130.0</v>
      </c>
      <c r="I1146" s="121">
        <v>451.0</v>
      </c>
      <c r="J1146" s="122">
        <v>11.74</v>
      </c>
      <c r="K1146" s="123">
        <v>2.6</v>
      </c>
      <c r="L1146" s="123">
        <v>0.578</v>
      </c>
      <c r="M1146" s="123">
        <v>0.598</v>
      </c>
      <c r="N1146" s="124">
        <v>12.41</v>
      </c>
      <c r="O1146" s="122">
        <v>3.77</v>
      </c>
      <c r="P1146" s="124">
        <v>83.82</v>
      </c>
      <c r="Q1146" s="219"/>
      <c r="R1146" s="198"/>
      <c r="S1146" s="198"/>
      <c r="T1146" s="198"/>
      <c r="U1146" s="198"/>
      <c r="V1146" s="198"/>
      <c r="W1146" s="198"/>
      <c r="X1146" s="198"/>
    </row>
    <row r="1147" ht="12.0" customHeight="1">
      <c r="A11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7" s="87" t="str">
        <f>IFERROR(__xludf.DUMMYFUNCTION("IFERROR(IF(F1147&lt;&gt;"""",""WHSE ""&amp;LEFT(F1147,1),REGEXEXTRACT(E1147,""-(?:\d{2}-)?([A-Z]+)"")),"""")
"),"WHSE A")</f>
        <v>WHSE A</v>
      </c>
      <c r="C1147" s="117">
        <v>46176.0</v>
      </c>
      <c r="D1147" s="118" t="s">
        <v>72</v>
      </c>
      <c r="E1147" s="87" t="s">
        <v>976</v>
      </c>
      <c r="F1147" s="87" t="s">
        <v>285</v>
      </c>
      <c r="G1147" s="125" t="s">
        <v>512</v>
      </c>
      <c r="H1147" s="120">
        <v>20720.0</v>
      </c>
      <c r="I1147" s="121">
        <v>544.0</v>
      </c>
      <c r="J1147" s="122">
        <v>10.87</v>
      </c>
      <c r="K1147" s="123">
        <v>2.47</v>
      </c>
      <c r="L1147" s="123">
        <v>0.578</v>
      </c>
      <c r="M1147" s="123">
        <v>0.598</v>
      </c>
      <c r="N1147" s="124">
        <v>12.55</v>
      </c>
      <c r="O1147" s="122">
        <v>3.54</v>
      </c>
      <c r="P1147" s="124">
        <v>83.91</v>
      </c>
      <c r="Q1147" s="219"/>
      <c r="R1147" s="198"/>
      <c r="S1147" s="198"/>
      <c r="T1147" s="198"/>
      <c r="U1147" s="198"/>
      <c r="V1147" s="198"/>
      <c r="W1147" s="198"/>
      <c r="X1147" s="198"/>
    </row>
    <row r="1148" ht="12.0" customHeight="1">
      <c r="A11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48" s="87" t="str">
        <f>IFERROR(__xludf.DUMMYFUNCTION("IFERROR(IF(F1148&lt;&gt;"""",""WHSE ""&amp;LEFT(F1148,1),REGEXEXTRACT(E1148,""-(?:\d{2}-)?([A-Z]+)"")),"""")
"),"FEED")</f>
        <v>FEED</v>
      </c>
      <c r="C1148" s="117">
        <v>46176.0</v>
      </c>
      <c r="D1148" s="118" t="s">
        <v>64</v>
      </c>
      <c r="E1148" s="87" t="s">
        <v>977</v>
      </c>
      <c r="F1148" s="110"/>
      <c r="G1148" s="125" t="s">
        <v>65</v>
      </c>
      <c r="H1148" s="120">
        <v>25640.0</v>
      </c>
      <c r="I1148" s="121">
        <v>630.0</v>
      </c>
      <c r="J1148" s="122">
        <v>11.67</v>
      </c>
      <c r="K1148" s="123">
        <v>2.8</v>
      </c>
      <c r="L1148" s="123">
        <v>0.581</v>
      </c>
      <c r="M1148" s="123">
        <v>0.601</v>
      </c>
      <c r="N1148" s="124">
        <v>13.24</v>
      </c>
      <c r="O1148" s="122">
        <v>2.68</v>
      </c>
      <c r="P1148" s="124">
        <v>84.08</v>
      </c>
      <c r="Q1148" s="219"/>
      <c r="R1148" s="198"/>
      <c r="S1148" s="198"/>
      <c r="T1148" s="198"/>
      <c r="U1148" s="198"/>
      <c r="V1148" s="198"/>
      <c r="W1148" s="198"/>
      <c r="X1148" s="198"/>
    </row>
    <row r="1149" ht="12.0" customHeight="1">
      <c r="A11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49" s="87" t="str">
        <f>IFERROR(__xludf.DUMMYFUNCTION("IFERROR(IF(F1149&lt;&gt;"""",""WHSE ""&amp;LEFT(F1149,1),REGEXEXTRACT(E1149,""-(?:\d{2}-)?([A-Z]+)"")),"""")
"),"")</f>
        <v/>
      </c>
      <c r="C1149" s="108"/>
      <c r="D1149" s="109"/>
      <c r="E1149" s="110"/>
      <c r="F1149" s="110"/>
      <c r="G1149" s="111"/>
      <c r="H1149" s="112"/>
      <c r="I1149" s="113"/>
      <c r="J1149" s="114"/>
      <c r="K1149" s="115"/>
      <c r="L1149" s="115"/>
      <c r="M1149" s="115"/>
      <c r="N1149" s="116"/>
      <c r="O1149" s="114"/>
      <c r="P1149" s="116"/>
      <c r="Q1149" s="219"/>
      <c r="R1149" s="198"/>
      <c r="S1149" s="198"/>
      <c r="T1149" s="198"/>
      <c r="U1149" s="198"/>
      <c r="V1149" s="198"/>
      <c r="W1149" s="198"/>
      <c r="X1149" s="198"/>
    </row>
    <row r="1150" ht="12.0" customHeight="1">
      <c r="A11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0" s="87" t="str">
        <f>IFERROR(__xludf.DUMMYFUNCTION("IFERROR(IF(F1150&lt;&gt;"""",""WHSE ""&amp;LEFT(F1150,1),REGEXEXTRACT(E1150,""-(?:\d{2}-)?([A-Z]+)"")),"""")
"),"WHSE A")</f>
        <v>WHSE A</v>
      </c>
      <c r="C1150" s="117">
        <v>46177.0</v>
      </c>
      <c r="D1150" s="118" t="s">
        <v>72</v>
      </c>
      <c r="E1150" s="87" t="s">
        <v>975</v>
      </c>
      <c r="F1150" s="87" t="s">
        <v>257</v>
      </c>
      <c r="G1150" s="125" t="s">
        <v>77</v>
      </c>
      <c r="H1150" s="120">
        <v>17520.0</v>
      </c>
      <c r="I1150" s="121">
        <v>438.0</v>
      </c>
      <c r="J1150" s="122">
        <v>11.4</v>
      </c>
      <c r="K1150" s="123">
        <v>2.62</v>
      </c>
      <c r="L1150" s="123">
        <v>0.571</v>
      </c>
      <c r="M1150" s="123">
        <v>0.591</v>
      </c>
      <c r="N1150" s="124">
        <v>12.64</v>
      </c>
      <c r="O1150" s="122">
        <v>3.2</v>
      </c>
      <c r="P1150" s="124">
        <v>84.16</v>
      </c>
      <c r="Q1150" s="219"/>
      <c r="R1150" s="198"/>
      <c r="S1150" s="198"/>
      <c r="T1150" s="198"/>
      <c r="U1150" s="198"/>
      <c r="V1150" s="198"/>
      <c r="W1150" s="198"/>
      <c r="X1150" s="198"/>
    </row>
    <row r="1151" ht="12.0" customHeight="1">
      <c r="A11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51" s="87" t="str">
        <f>IFERROR(__xludf.DUMMYFUNCTION("IFERROR(IF(F1151&lt;&gt;"""",""WHSE ""&amp;LEFT(F1151,1),REGEXEXTRACT(E1151,""-(?:\d{2}-)?([A-Z]+)"")),"""")
"),"FEED")</f>
        <v>FEED</v>
      </c>
      <c r="C1151" s="117">
        <v>46177.0</v>
      </c>
      <c r="D1151" s="118" t="s">
        <v>286</v>
      </c>
      <c r="E1151" s="87" t="s">
        <v>978</v>
      </c>
      <c r="F1151" s="110"/>
      <c r="G1151" s="125" t="s">
        <v>73</v>
      </c>
      <c r="H1151" s="120">
        <v>20730.0</v>
      </c>
      <c r="I1151" s="121">
        <v>461.0</v>
      </c>
      <c r="J1151" s="122">
        <v>10.67</v>
      </c>
      <c r="K1151" s="123">
        <v>2.58</v>
      </c>
      <c r="L1151" s="123">
        <v>0.575</v>
      </c>
      <c r="M1151" s="123">
        <v>0.595</v>
      </c>
      <c r="N1151" s="124">
        <v>14.49</v>
      </c>
      <c r="O1151" s="122">
        <v>2.95</v>
      </c>
      <c r="P1151" s="124">
        <v>82.56</v>
      </c>
      <c r="Q1151" s="219"/>
      <c r="R1151" s="198"/>
      <c r="S1151" s="198"/>
      <c r="T1151" s="198"/>
      <c r="U1151" s="198"/>
      <c r="V1151" s="198"/>
      <c r="W1151" s="198"/>
      <c r="X1151" s="198"/>
    </row>
    <row r="1152" ht="12.0" customHeight="1">
      <c r="A11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2" s="87" t="str">
        <f>IFERROR(__xludf.DUMMYFUNCTION("IFERROR(IF(F1152&lt;&gt;"""",""WHSE ""&amp;LEFT(F1152,1),REGEXEXTRACT(E1152,""-(?:\d{2}-)?([A-Z]+)"")),"""")
"),"")</f>
        <v/>
      </c>
      <c r="C1152" s="108"/>
      <c r="D1152" s="109"/>
      <c r="E1152" s="110"/>
      <c r="F1152" s="110"/>
      <c r="G1152" s="111"/>
      <c r="H1152" s="112"/>
      <c r="I1152" s="113"/>
      <c r="J1152" s="114"/>
      <c r="K1152" s="115"/>
      <c r="L1152" s="115"/>
      <c r="M1152" s="115"/>
      <c r="N1152" s="116"/>
      <c r="O1152" s="114"/>
      <c r="P1152" s="116"/>
      <c r="Q1152" s="219"/>
      <c r="R1152" s="198"/>
      <c r="S1152" s="198"/>
      <c r="T1152" s="198"/>
      <c r="U1152" s="198"/>
      <c r="V1152" s="198"/>
      <c r="W1152" s="198"/>
      <c r="X1152" s="198"/>
    </row>
    <row r="1153" ht="12.0" customHeight="1">
      <c r="A11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3" s="87" t="str">
        <f>IFERROR(__xludf.DUMMYFUNCTION("IFERROR(IF(F1153&lt;&gt;"""",""WHSE ""&amp;LEFT(F1153,1),REGEXEXTRACT(E1153,""-(?:\d{2}-)?([A-Z]+)"")),"""")
"),"WHSE A")</f>
        <v>WHSE A</v>
      </c>
      <c r="C1153" s="117">
        <v>46178.0</v>
      </c>
      <c r="D1153" s="118" t="s">
        <v>72</v>
      </c>
      <c r="E1153" s="87" t="s">
        <v>975</v>
      </c>
      <c r="F1153" s="87" t="s">
        <v>257</v>
      </c>
      <c r="G1153" s="125" t="s">
        <v>73</v>
      </c>
      <c r="H1153" s="120">
        <v>17880.0</v>
      </c>
      <c r="I1153" s="121">
        <v>437.0</v>
      </c>
      <c r="J1153" s="122">
        <v>11.67</v>
      </c>
      <c r="K1153" s="123">
        <v>2.53</v>
      </c>
      <c r="L1153" s="123">
        <v>0.575</v>
      </c>
      <c r="M1153" s="123">
        <v>0.595</v>
      </c>
      <c r="N1153" s="124">
        <v>13.37</v>
      </c>
      <c r="O1153" s="122">
        <v>2.65</v>
      </c>
      <c r="P1153" s="124">
        <v>83.98</v>
      </c>
      <c r="Q1153" s="219"/>
      <c r="R1153" s="198"/>
      <c r="S1153" s="198"/>
      <c r="T1153" s="198"/>
      <c r="U1153" s="198"/>
      <c r="V1153" s="198"/>
      <c r="W1153" s="198"/>
      <c r="X1153" s="198"/>
    </row>
    <row r="1154" ht="12.0" customHeight="1">
      <c r="A11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4" s="87" t="str">
        <f>IFERROR(__xludf.DUMMYFUNCTION("IFERROR(IF(F1154&lt;&gt;"""",""WHSE ""&amp;LEFT(F1154,1),REGEXEXTRACT(E1154,""-(?:\d{2}-)?([A-Z]+)"")),"""")
"),"")</f>
        <v/>
      </c>
      <c r="C1154" s="108"/>
      <c r="D1154" s="109"/>
      <c r="E1154" s="110"/>
      <c r="F1154" s="110"/>
      <c r="G1154" s="111"/>
      <c r="H1154" s="112"/>
      <c r="I1154" s="113"/>
      <c r="J1154" s="114"/>
      <c r="K1154" s="115"/>
      <c r="L1154" s="115"/>
      <c r="M1154" s="115"/>
      <c r="N1154" s="116"/>
      <c r="O1154" s="114"/>
      <c r="P1154" s="116"/>
      <c r="Q1154" s="219"/>
      <c r="R1154" s="198"/>
      <c r="S1154" s="198"/>
      <c r="T1154" s="198"/>
      <c r="U1154" s="198"/>
      <c r="V1154" s="198"/>
      <c r="W1154" s="198"/>
      <c r="X1154" s="198"/>
    </row>
    <row r="1155" ht="12.0" customHeight="1">
      <c r="A11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5" s="87" t="str">
        <f>IFERROR(__xludf.DUMMYFUNCTION("IFERROR(IF(F1155&lt;&gt;"""",""WHSE ""&amp;LEFT(F1155,1),REGEXEXTRACT(E1155,""-(?:\d{2}-)?([A-Z]+)"")),"""")
"),"WHSE A")</f>
        <v>WHSE A</v>
      </c>
      <c r="C1155" s="117">
        <v>46181.0</v>
      </c>
      <c r="D1155" s="118" t="s">
        <v>72</v>
      </c>
      <c r="E1155" s="87" t="s">
        <v>976</v>
      </c>
      <c r="F1155" s="87" t="s">
        <v>285</v>
      </c>
      <c r="G1155" s="125" t="s">
        <v>77</v>
      </c>
      <c r="H1155" s="120">
        <v>18285.0</v>
      </c>
      <c r="I1155" s="121">
        <v>434.0</v>
      </c>
      <c r="J1155" s="122">
        <v>8.94</v>
      </c>
      <c r="K1155" s="123">
        <v>2.35</v>
      </c>
      <c r="L1155" s="123">
        <v>0.571</v>
      </c>
      <c r="M1155" s="123">
        <v>0.591</v>
      </c>
      <c r="N1155" s="124">
        <v>14.65</v>
      </c>
      <c r="O1155" s="122">
        <v>2.86</v>
      </c>
      <c r="P1155" s="124">
        <v>82.49</v>
      </c>
      <c r="Q1155" s="219"/>
      <c r="R1155" s="198"/>
      <c r="S1155" s="198"/>
      <c r="T1155" s="198"/>
      <c r="U1155" s="198"/>
      <c r="V1155" s="198"/>
      <c r="W1155" s="198"/>
      <c r="X1155" s="198"/>
    </row>
    <row r="1156" ht="12.0" customHeight="1">
      <c r="A11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6" s="87" t="str">
        <f>IFERROR(__xludf.DUMMYFUNCTION("IFERROR(IF(F1156&lt;&gt;"""",""WHSE ""&amp;LEFT(F1156,1),REGEXEXTRACT(E1156,""-(?:\d{2}-)?([A-Z]+)"")),"""")
"),"WHSE D")</f>
        <v>WHSE D</v>
      </c>
      <c r="C1156" s="117">
        <v>46181.0</v>
      </c>
      <c r="D1156" s="118" t="s">
        <v>232</v>
      </c>
      <c r="E1156" s="87" t="s">
        <v>971</v>
      </c>
      <c r="F1156" s="87" t="s">
        <v>430</v>
      </c>
      <c r="G1156" s="221" t="s">
        <v>668</v>
      </c>
      <c r="H1156" s="120">
        <v>9900.0</v>
      </c>
      <c r="I1156" s="121">
        <v>280.0</v>
      </c>
      <c r="J1156" s="122">
        <v>8.54</v>
      </c>
      <c r="K1156" s="123">
        <v>3.24</v>
      </c>
      <c r="L1156" s="123">
        <v>0.568</v>
      </c>
      <c r="M1156" s="123">
        <v>0.588</v>
      </c>
      <c r="N1156" s="124">
        <v>13.26</v>
      </c>
      <c r="O1156" s="122">
        <v>4.28</v>
      </c>
      <c r="P1156" s="124">
        <v>82.46</v>
      </c>
      <c r="Q1156" s="220" t="s">
        <v>979</v>
      </c>
      <c r="R1156" s="198"/>
      <c r="S1156" s="198"/>
      <c r="T1156" s="198"/>
      <c r="U1156" s="198"/>
      <c r="V1156" s="198"/>
      <c r="W1156" s="198"/>
      <c r="X1156" s="198"/>
    </row>
    <row r="1157" ht="12.0" customHeight="1">
      <c r="A11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7" s="87" t="str">
        <f>IFERROR(__xludf.DUMMYFUNCTION("IFERROR(IF(F1157&lt;&gt;"""",""WHSE ""&amp;LEFT(F1157,1),REGEXEXTRACT(E1157,""-(?:\d{2}-)?([A-Z]+)"")),"""")
"),"WHSE D")</f>
        <v>WHSE D</v>
      </c>
      <c r="C1157" s="117">
        <v>46181.0</v>
      </c>
      <c r="D1157" s="118" t="s">
        <v>232</v>
      </c>
      <c r="E1157" s="87" t="s">
        <v>973</v>
      </c>
      <c r="F1157" s="87" t="s">
        <v>564</v>
      </c>
      <c r="G1157" s="125" t="s">
        <v>235</v>
      </c>
      <c r="H1157" s="120">
        <v>11305.0</v>
      </c>
      <c r="I1157" s="121">
        <v>280.0</v>
      </c>
      <c r="J1157" s="122">
        <v>8.74</v>
      </c>
      <c r="K1157" s="123">
        <v>2.73</v>
      </c>
      <c r="L1157" s="123">
        <v>0.578</v>
      </c>
      <c r="M1157" s="123">
        <v>0.598</v>
      </c>
      <c r="N1157" s="124">
        <v>14.58</v>
      </c>
      <c r="O1157" s="122">
        <v>2.44</v>
      </c>
      <c r="P1157" s="124">
        <v>82.98</v>
      </c>
      <c r="Q1157" s="219"/>
      <c r="R1157" s="198"/>
      <c r="S1157" s="198"/>
      <c r="T1157" s="198"/>
      <c r="U1157" s="198"/>
      <c r="V1157" s="198"/>
      <c r="W1157" s="198"/>
      <c r="X1157" s="198"/>
    </row>
    <row r="1158" ht="12.0" customHeight="1">
      <c r="A11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8" s="87" t="str">
        <f>IFERROR(__xludf.DUMMYFUNCTION("IFERROR(IF(F1158&lt;&gt;"""",""WHSE ""&amp;LEFT(F1158,1),REGEXEXTRACT(E1158,""-(?:\d{2}-)?([A-Z]+)"")),"""")
"),"")</f>
        <v/>
      </c>
      <c r="C1158" s="108"/>
      <c r="D1158" s="109"/>
      <c r="E1158" s="110"/>
      <c r="F1158" s="110"/>
      <c r="G1158" s="111"/>
      <c r="H1158" s="112"/>
      <c r="I1158" s="113"/>
      <c r="J1158" s="114"/>
      <c r="K1158" s="115"/>
      <c r="L1158" s="115"/>
      <c r="M1158" s="115"/>
      <c r="N1158" s="116"/>
      <c r="O1158" s="114"/>
      <c r="P1158" s="116"/>
      <c r="Q1158" s="219"/>
      <c r="R1158" s="198"/>
      <c r="S1158" s="198"/>
      <c r="T1158" s="198"/>
      <c r="U1158" s="198"/>
      <c r="V1158" s="198"/>
      <c r="W1158" s="198"/>
      <c r="X1158" s="198"/>
    </row>
    <row r="1159" ht="12.0" customHeight="1">
      <c r="A11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59" s="87" t="str">
        <f>IFERROR(__xludf.DUMMYFUNCTION("IFERROR(IF(F1159&lt;&gt;"""",""WHSE ""&amp;LEFT(F1159,1),REGEXEXTRACT(E1159,""-(?:\d{2}-)?([A-Z]+)"")),"""")
"),"WHSE A")</f>
        <v>WHSE A</v>
      </c>
      <c r="C1159" s="117">
        <v>46182.0</v>
      </c>
      <c r="D1159" s="118" t="s">
        <v>72</v>
      </c>
      <c r="E1159" s="87" t="s">
        <v>980</v>
      </c>
      <c r="F1159" s="87" t="s">
        <v>217</v>
      </c>
      <c r="G1159" s="125" t="s">
        <v>512</v>
      </c>
      <c r="H1159" s="120">
        <v>21295.0</v>
      </c>
      <c r="I1159" s="121">
        <v>670.0</v>
      </c>
      <c r="J1159" s="122">
        <v>11.34</v>
      </c>
      <c r="K1159" s="123">
        <v>2.52</v>
      </c>
      <c r="L1159" s="123">
        <v>0.575</v>
      </c>
      <c r="M1159" s="123">
        <v>0.595</v>
      </c>
      <c r="N1159" s="124">
        <v>12.49</v>
      </c>
      <c r="O1159" s="122">
        <v>3.9</v>
      </c>
      <c r="P1159" s="124">
        <v>83.61</v>
      </c>
      <c r="Q1159" s="219"/>
      <c r="R1159" s="198"/>
      <c r="S1159" s="198"/>
      <c r="T1159" s="198"/>
      <c r="U1159" s="198"/>
      <c r="V1159" s="198"/>
      <c r="W1159" s="198"/>
      <c r="X1159" s="198"/>
    </row>
    <row r="1160" ht="12.0" customHeight="1">
      <c r="A11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60" s="87" t="str">
        <f>IFERROR(__xludf.DUMMYFUNCTION("IFERROR(IF(F1160&lt;&gt;"""",""WHSE ""&amp;LEFT(F1160,1),REGEXEXTRACT(E1160,""-(?:\d{2}-)?([A-Z]+)"")),"""")
"),"")</f>
        <v/>
      </c>
      <c r="C1160" s="108"/>
      <c r="D1160" s="109"/>
      <c r="E1160" s="110"/>
      <c r="F1160" s="110"/>
      <c r="G1160" s="111"/>
      <c r="H1160" s="112"/>
      <c r="I1160" s="113"/>
      <c r="J1160" s="114"/>
      <c r="K1160" s="115"/>
      <c r="L1160" s="115"/>
      <c r="M1160" s="115"/>
      <c r="N1160" s="116"/>
      <c r="O1160" s="114"/>
      <c r="P1160" s="116"/>
      <c r="Q1160" s="219"/>
      <c r="R1160" s="198"/>
      <c r="S1160" s="198"/>
      <c r="T1160" s="198"/>
      <c r="U1160" s="198"/>
      <c r="V1160" s="198"/>
      <c r="W1160" s="198"/>
      <c r="X1160" s="198"/>
    </row>
    <row r="1161" ht="12.0" customHeight="1">
      <c r="A11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61" s="87" t="str">
        <f>IFERROR(__xludf.DUMMYFUNCTION("IFERROR(IF(F1161&lt;&gt;"""",""WHSE ""&amp;LEFT(F1161,1),REGEXEXTRACT(E1161,""-(?:\d{2}-)?([A-Z]+)"")),"""")
"),"WHSE A")</f>
        <v>WHSE A</v>
      </c>
      <c r="C1161" s="117">
        <v>46183.0</v>
      </c>
      <c r="D1161" s="118" t="s">
        <v>72</v>
      </c>
      <c r="E1161" s="87" t="s">
        <v>976</v>
      </c>
      <c r="F1161" s="87" t="s">
        <v>285</v>
      </c>
      <c r="G1161" s="125" t="s">
        <v>73</v>
      </c>
      <c r="H1161" s="120">
        <v>19915.0</v>
      </c>
      <c r="I1161" s="121">
        <v>480.0</v>
      </c>
      <c r="J1161" s="122">
        <v>10.8</v>
      </c>
      <c r="K1161" s="123">
        <v>2.68</v>
      </c>
      <c r="L1161" s="123">
        <v>0.571</v>
      </c>
      <c r="M1161" s="123">
        <v>0.591</v>
      </c>
      <c r="N1161" s="124">
        <v>12.82</v>
      </c>
      <c r="O1161" s="122">
        <v>3.66</v>
      </c>
      <c r="P1161" s="124">
        <v>83.52</v>
      </c>
      <c r="Q1161" s="219"/>
      <c r="R1161" s="198"/>
      <c r="S1161" s="198"/>
      <c r="T1161" s="198"/>
      <c r="U1161" s="198"/>
      <c r="V1161" s="198"/>
      <c r="W1161" s="198"/>
      <c r="X1161" s="198"/>
    </row>
    <row r="1162" ht="12.0" customHeight="1">
      <c r="A11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62" s="87" t="str">
        <f>IFERROR(__xludf.DUMMYFUNCTION("IFERROR(IF(F1162&lt;&gt;"""",""WHSE ""&amp;LEFT(F1162,1),REGEXEXTRACT(E1162,""-(?:\d{2}-)?([A-Z]+)"")),"""")
"),"FEED")</f>
        <v>FEED</v>
      </c>
      <c r="C1162" s="117">
        <v>46183.0</v>
      </c>
      <c r="D1162" s="118" t="s">
        <v>286</v>
      </c>
      <c r="E1162" s="87" t="s">
        <v>981</v>
      </c>
      <c r="F1162" s="110"/>
      <c r="G1162" s="125" t="s">
        <v>77</v>
      </c>
      <c r="H1162" s="120">
        <v>19245.0</v>
      </c>
      <c r="I1162" s="121">
        <v>486.0</v>
      </c>
      <c r="J1162" s="122">
        <v>10.07</v>
      </c>
      <c r="K1162" s="123">
        <v>2.48</v>
      </c>
      <c r="L1162" s="123">
        <v>0.578</v>
      </c>
      <c r="M1162" s="123">
        <v>0.598</v>
      </c>
      <c r="N1162" s="124">
        <v>13.79</v>
      </c>
      <c r="O1162" s="122">
        <v>2.85</v>
      </c>
      <c r="P1162" s="124">
        <v>83.36</v>
      </c>
      <c r="Q1162" s="219"/>
      <c r="R1162" s="198"/>
      <c r="S1162" s="198"/>
      <c r="T1162" s="198"/>
      <c r="U1162" s="198"/>
      <c r="V1162" s="198"/>
      <c r="W1162" s="198"/>
      <c r="X1162" s="198"/>
    </row>
    <row r="1163" ht="12.0" customHeight="1">
      <c r="A11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63" s="87" t="str">
        <f>IFERROR(__xludf.DUMMYFUNCTION("IFERROR(IF(F1163&lt;&gt;"""",""WHSE ""&amp;LEFT(F1163,1),REGEXEXTRACT(E1163,""-(?:\d{2}-)?([A-Z]+)"")),"""")
"),"WHSE D")</f>
        <v>WHSE D</v>
      </c>
      <c r="C1163" s="117">
        <v>46183.0</v>
      </c>
      <c r="D1163" s="118" t="s">
        <v>232</v>
      </c>
      <c r="E1163" s="87" t="s">
        <v>973</v>
      </c>
      <c r="F1163" s="87" t="s">
        <v>564</v>
      </c>
      <c r="G1163" s="125" t="s">
        <v>328</v>
      </c>
      <c r="H1163" s="120">
        <v>21410.0</v>
      </c>
      <c r="I1163" s="121">
        <v>605.0</v>
      </c>
      <c r="J1163" s="122">
        <v>9.07</v>
      </c>
      <c r="K1163" s="123">
        <v>2.83</v>
      </c>
      <c r="L1163" s="123">
        <v>0.565</v>
      </c>
      <c r="M1163" s="123">
        <v>0.585</v>
      </c>
      <c r="N1163" s="124">
        <v>13.33</v>
      </c>
      <c r="O1163" s="122">
        <v>3.79</v>
      </c>
      <c r="P1163" s="124">
        <v>82.88</v>
      </c>
      <c r="Q1163" s="219"/>
      <c r="R1163" s="198"/>
      <c r="S1163" s="198"/>
      <c r="T1163" s="198"/>
      <c r="U1163" s="198"/>
      <c r="V1163" s="198"/>
      <c r="W1163" s="198"/>
      <c r="X1163" s="198"/>
    </row>
    <row r="1164" ht="12.0" customHeight="1">
      <c r="A11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64" s="87" t="str">
        <f>IFERROR(__xludf.DUMMYFUNCTION("IFERROR(IF(F1164&lt;&gt;"""",""WHSE ""&amp;LEFT(F1164,1),REGEXEXTRACT(E1164,""-(?:\d{2}-)?([A-Z]+)"")),"""")
"),"")</f>
        <v/>
      </c>
      <c r="C1164" s="108"/>
      <c r="D1164" s="109"/>
      <c r="E1164" s="110"/>
      <c r="F1164" s="110"/>
      <c r="G1164" s="111"/>
      <c r="H1164" s="112"/>
      <c r="I1164" s="113"/>
      <c r="J1164" s="114"/>
      <c r="K1164" s="115"/>
      <c r="L1164" s="115"/>
      <c r="M1164" s="115"/>
      <c r="N1164" s="116"/>
      <c r="O1164" s="114"/>
      <c r="P1164" s="116"/>
      <c r="Q1164" s="219"/>
      <c r="R1164" s="198"/>
      <c r="S1164" s="198"/>
      <c r="T1164" s="198"/>
      <c r="U1164" s="198"/>
      <c r="V1164" s="198"/>
      <c r="W1164" s="198"/>
      <c r="X1164" s="198"/>
    </row>
    <row r="1165" ht="12.0" customHeight="1">
      <c r="A11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65" s="87" t="str">
        <f>IFERROR(__xludf.DUMMYFUNCTION("IFERROR(IF(F1165&lt;&gt;"""",""WHSE ""&amp;LEFT(F1165,1),REGEXEXTRACT(E1165,""-(?:\d{2}-)?([A-Z]+)"")),"""")
"),"WHSE D")</f>
        <v>WHSE D</v>
      </c>
      <c r="C1165" s="117">
        <v>46185.0</v>
      </c>
      <c r="D1165" s="118" t="s">
        <v>232</v>
      </c>
      <c r="E1165" s="87" t="s">
        <v>982</v>
      </c>
      <c r="F1165" s="87" t="s">
        <v>983</v>
      </c>
      <c r="G1165" s="125" t="s">
        <v>328</v>
      </c>
      <c r="H1165" s="120">
        <v>20950.0</v>
      </c>
      <c r="I1165" s="121">
        <v>602.0</v>
      </c>
      <c r="J1165" s="122">
        <v>9.6</v>
      </c>
      <c r="K1165" s="123">
        <v>2.68</v>
      </c>
      <c r="L1165" s="123">
        <v>0.568</v>
      </c>
      <c r="M1165" s="123">
        <v>0.588</v>
      </c>
      <c r="N1165" s="124">
        <v>12.71</v>
      </c>
      <c r="O1165" s="122">
        <v>3.14</v>
      </c>
      <c r="P1165" s="124">
        <v>84.15</v>
      </c>
      <c r="Q1165" s="219"/>
      <c r="R1165" s="198"/>
      <c r="S1165" s="198"/>
      <c r="T1165" s="198"/>
      <c r="U1165" s="198"/>
      <c r="V1165" s="198"/>
      <c r="W1165" s="198"/>
      <c r="X1165" s="198"/>
    </row>
    <row r="1166" ht="12.0" customHeight="1">
      <c r="A11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66" s="87" t="str">
        <f>IFERROR(__xludf.DUMMYFUNCTION("IFERROR(IF(F1166&lt;&gt;"""",""WHSE ""&amp;LEFT(F1166,1),REGEXEXTRACT(E1166,""-(?:\d{2}-)?([A-Z]+)"")),"""")
"),"")</f>
        <v/>
      </c>
      <c r="C1166" s="108"/>
      <c r="D1166" s="109"/>
      <c r="E1166" s="110"/>
      <c r="F1166" s="110"/>
      <c r="G1166" s="111"/>
      <c r="H1166" s="112"/>
      <c r="I1166" s="113"/>
      <c r="J1166" s="114"/>
      <c r="K1166" s="115"/>
      <c r="L1166" s="115"/>
      <c r="M1166" s="115"/>
      <c r="N1166" s="116"/>
      <c r="O1166" s="114"/>
      <c r="P1166" s="116"/>
      <c r="Q1166" s="219"/>
      <c r="R1166" s="198"/>
      <c r="S1166" s="198"/>
      <c r="T1166" s="198"/>
      <c r="U1166" s="198"/>
      <c r="V1166" s="198"/>
      <c r="W1166" s="198"/>
      <c r="X1166" s="198"/>
    </row>
    <row r="1167" ht="12.0" customHeight="1">
      <c r="A11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67" s="87" t="str">
        <f>IFERROR(__xludf.DUMMYFUNCTION("IFERROR(IF(F1167&lt;&gt;"""",""WHSE ""&amp;LEFT(F1167,1),REGEXEXTRACT(E1167,""-(?:\d{2}-)?([A-Z]+)"")),"""")
"),"WHSE D")</f>
        <v>WHSE D</v>
      </c>
      <c r="C1167" s="117">
        <v>46188.0</v>
      </c>
      <c r="D1167" s="118" t="s">
        <v>232</v>
      </c>
      <c r="E1167" s="87" t="s">
        <v>982</v>
      </c>
      <c r="F1167" s="87" t="s">
        <v>983</v>
      </c>
      <c r="G1167" s="125" t="s">
        <v>328</v>
      </c>
      <c r="H1167" s="120">
        <v>20020.0</v>
      </c>
      <c r="I1167" s="121">
        <v>571.0</v>
      </c>
      <c r="J1167" s="122">
        <v>9.14</v>
      </c>
      <c r="K1167" s="123">
        <v>2.89</v>
      </c>
      <c r="L1167" s="123">
        <v>0.571</v>
      </c>
      <c r="M1167" s="123">
        <v>0.591</v>
      </c>
      <c r="N1167" s="124">
        <v>13.81</v>
      </c>
      <c r="O1167" s="122">
        <v>3.09</v>
      </c>
      <c r="P1167" s="124">
        <v>83.1</v>
      </c>
      <c r="Q1167" s="219"/>
      <c r="R1167" s="198"/>
      <c r="S1167" s="198"/>
      <c r="T1167" s="198"/>
      <c r="U1167" s="198"/>
      <c r="V1167" s="198"/>
      <c r="W1167" s="198"/>
      <c r="X1167" s="198"/>
    </row>
    <row r="1168" ht="12.0" customHeight="1">
      <c r="A11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68" s="87" t="str">
        <f>IFERROR(__xludf.DUMMYFUNCTION("IFERROR(IF(F1168&lt;&gt;"""",""WHSE ""&amp;LEFT(F1168,1),REGEXEXTRACT(E1168,""-(?:\d{2}-)?([A-Z]+)"")),"""")
"),"WHSE D")</f>
        <v>WHSE D</v>
      </c>
      <c r="C1168" s="117">
        <v>46188.0</v>
      </c>
      <c r="D1168" s="118" t="s">
        <v>232</v>
      </c>
      <c r="E1168" s="87" t="s">
        <v>982</v>
      </c>
      <c r="F1168" s="87" t="s">
        <v>983</v>
      </c>
      <c r="G1168" s="125" t="s">
        <v>984</v>
      </c>
      <c r="H1168" s="120">
        <v>10375.0</v>
      </c>
      <c r="I1168" s="121">
        <v>292.0</v>
      </c>
      <c r="J1168" s="122">
        <v>8.87</v>
      </c>
      <c r="K1168" s="123">
        <v>2.77</v>
      </c>
      <c r="L1168" s="123">
        <v>0.578</v>
      </c>
      <c r="M1168" s="123">
        <v>0.598</v>
      </c>
      <c r="N1168" s="124">
        <v>14.65</v>
      </c>
      <c r="O1168" s="122">
        <v>3.38</v>
      </c>
      <c r="P1168" s="124">
        <v>81.97</v>
      </c>
      <c r="Q1168" s="219"/>
      <c r="R1168" s="198"/>
      <c r="S1168" s="198"/>
      <c r="T1168" s="198"/>
      <c r="U1168" s="198"/>
      <c r="V1168" s="198"/>
      <c r="W1168" s="198"/>
      <c r="X1168" s="198"/>
    </row>
    <row r="1169" ht="12.0" customHeight="1">
      <c r="A11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69" s="87" t="str">
        <f>IFERROR(__xludf.DUMMYFUNCTION("IFERROR(IF(F1169&lt;&gt;"""",""WHSE ""&amp;LEFT(F1169,1),REGEXEXTRACT(E1169,""-(?:\d{2}-)?([A-Z]+)"")),"""")
"),"FEED")</f>
        <v>FEED</v>
      </c>
      <c r="C1169" s="117">
        <v>46188.0</v>
      </c>
      <c r="D1169" s="118" t="s">
        <v>286</v>
      </c>
      <c r="E1169" s="87" t="s">
        <v>985</v>
      </c>
      <c r="F1169" s="110"/>
      <c r="G1169" s="125" t="s">
        <v>73</v>
      </c>
      <c r="H1169" s="120">
        <v>18575.0</v>
      </c>
      <c r="I1169" s="121">
        <v>524.0</v>
      </c>
      <c r="J1169" s="122">
        <v>9.54</v>
      </c>
      <c r="K1169" s="123">
        <v>2.36</v>
      </c>
      <c r="L1169" s="123">
        <v>0.575</v>
      </c>
      <c r="M1169" s="123">
        <v>0.595</v>
      </c>
      <c r="N1169" s="124">
        <v>13.13</v>
      </c>
      <c r="O1169" s="122">
        <v>2.86</v>
      </c>
      <c r="P1169" s="124">
        <v>84.01</v>
      </c>
      <c r="Q1169" s="219"/>
      <c r="R1169" s="198"/>
      <c r="S1169" s="198"/>
      <c r="T1169" s="198"/>
      <c r="U1169" s="198"/>
      <c r="V1169" s="198"/>
      <c r="W1169" s="198"/>
      <c r="X1169" s="198"/>
    </row>
    <row r="1170" ht="12.0" customHeight="1">
      <c r="A11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0" s="87" t="str">
        <f>IFERROR(__xludf.DUMMYFUNCTION("IFERROR(IF(F1170&lt;&gt;"""",""WHSE ""&amp;LEFT(F1170,1),REGEXEXTRACT(E1170,""-(?:\d{2}-)?([A-Z]+)"")),"""")
"),"")</f>
        <v/>
      </c>
      <c r="C1170" s="108"/>
      <c r="D1170" s="109"/>
      <c r="E1170" s="110"/>
      <c r="F1170" s="110"/>
      <c r="G1170" s="111"/>
      <c r="H1170" s="112"/>
      <c r="I1170" s="113"/>
      <c r="J1170" s="114"/>
      <c r="K1170" s="115"/>
      <c r="L1170" s="115"/>
      <c r="M1170" s="115"/>
      <c r="N1170" s="116"/>
      <c r="O1170" s="114"/>
      <c r="P1170" s="116"/>
      <c r="Q1170" s="219"/>
      <c r="R1170" s="198"/>
      <c r="S1170" s="198"/>
      <c r="T1170" s="198"/>
      <c r="U1170" s="198"/>
      <c r="V1170" s="198"/>
      <c r="W1170" s="198"/>
      <c r="X1170" s="198"/>
    </row>
    <row r="1171" ht="12.0" customHeight="1">
      <c r="A11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1" s="87" t="str">
        <f>IFERROR(__xludf.DUMMYFUNCTION("IFERROR(IF(F1171&lt;&gt;"""",""WHSE ""&amp;LEFT(F1171,1),REGEXEXTRACT(E1171,""-(?:\d{2}-)?([A-Z]+)"")),"""")
"),"WHSE A")</f>
        <v>WHSE A</v>
      </c>
      <c r="C1171" s="117">
        <v>46189.0</v>
      </c>
      <c r="D1171" s="118" t="s">
        <v>72</v>
      </c>
      <c r="E1171" s="87" t="s">
        <v>976</v>
      </c>
      <c r="F1171" s="87" t="s">
        <v>285</v>
      </c>
      <c r="G1171" s="125" t="s">
        <v>77</v>
      </c>
      <c r="H1171" s="120">
        <v>16657.0</v>
      </c>
      <c r="I1171" s="121">
        <v>446.0</v>
      </c>
      <c r="J1171" s="122">
        <v>12.2</v>
      </c>
      <c r="K1171" s="123">
        <v>2.13</v>
      </c>
      <c r="L1171" s="123">
        <v>0.578</v>
      </c>
      <c r="M1171" s="123">
        <v>0.598</v>
      </c>
      <c r="N1171" s="124">
        <v>13.41</v>
      </c>
      <c r="O1171" s="122">
        <v>3.79</v>
      </c>
      <c r="P1171" s="124">
        <v>82.8</v>
      </c>
      <c r="Q1171" s="219"/>
      <c r="R1171" s="198"/>
      <c r="S1171" s="198"/>
      <c r="T1171" s="198"/>
      <c r="U1171" s="198"/>
      <c r="V1171" s="198"/>
      <c r="W1171" s="198"/>
      <c r="X1171" s="198"/>
    </row>
    <row r="1172" ht="12.0" customHeight="1">
      <c r="A11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72" s="87" t="str">
        <f>IFERROR(__xludf.DUMMYFUNCTION("IFERROR(IF(F1172&lt;&gt;"""",""WHSE ""&amp;LEFT(F1172,1),REGEXEXTRACT(E1172,""-(?:\d{2}-)?([A-Z]+)"")),"""")
"),"FEED")</f>
        <v>FEED</v>
      </c>
      <c r="C1172" s="117">
        <v>46189.0</v>
      </c>
      <c r="D1172" s="118" t="s">
        <v>64</v>
      </c>
      <c r="E1172" s="87" t="s">
        <v>986</v>
      </c>
      <c r="F1172" s="110"/>
      <c r="G1172" s="125" t="s">
        <v>65</v>
      </c>
      <c r="H1172" s="120">
        <v>25990.0</v>
      </c>
      <c r="I1172" s="121">
        <v>643.0</v>
      </c>
      <c r="J1172" s="122">
        <v>11.07</v>
      </c>
      <c r="K1172" s="123">
        <v>2.41</v>
      </c>
      <c r="L1172" s="123">
        <v>0.581</v>
      </c>
      <c r="M1172" s="123">
        <v>0.601</v>
      </c>
      <c r="N1172" s="124">
        <v>13.28</v>
      </c>
      <c r="O1172" s="122">
        <v>2.65</v>
      </c>
      <c r="P1172" s="124">
        <v>84.07</v>
      </c>
      <c r="Q1172" s="219"/>
      <c r="R1172" s="198"/>
      <c r="S1172" s="198"/>
      <c r="T1172" s="198"/>
      <c r="U1172" s="198"/>
      <c r="V1172" s="198"/>
      <c r="W1172" s="198"/>
      <c r="X1172" s="198"/>
    </row>
    <row r="1173" ht="12.0" customHeight="1">
      <c r="A11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3" s="87" t="str">
        <f>IFERROR(__xludf.DUMMYFUNCTION("IFERROR(IF(F1173&lt;&gt;"""",""WHSE ""&amp;LEFT(F1173,1),REGEXEXTRACT(E1173,""-(?:\d{2}-)?([A-Z]+)"")),"""")
"),"WHSE D")</f>
        <v>WHSE D</v>
      </c>
      <c r="C1173" s="117">
        <v>46189.0</v>
      </c>
      <c r="D1173" s="118" t="s">
        <v>232</v>
      </c>
      <c r="E1173" s="87" t="s">
        <v>987</v>
      </c>
      <c r="F1173" s="87" t="s">
        <v>526</v>
      </c>
      <c r="G1173" s="125" t="s">
        <v>988</v>
      </c>
      <c r="H1173" s="120">
        <v>17683.0</v>
      </c>
      <c r="I1173" s="121">
        <v>502.0</v>
      </c>
      <c r="J1173" s="122">
        <v>12.14</v>
      </c>
      <c r="K1173" s="123">
        <v>3.61</v>
      </c>
      <c r="L1173" s="123">
        <v>0.552</v>
      </c>
      <c r="M1173" s="123">
        <v>0.572</v>
      </c>
      <c r="N1173" s="124">
        <v>12.77</v>
      </c>
      <c r="O1173" s="122">
        <v>10.86</v>
      </c>
      <c r="P1173" s="124">
        <v>76.37</v>
      </c>
      <c r="Q1173" s="220" t="s">
        <v>989</v>
      </c>
      <c r="R1173" s="198"/>
      <c r="S1173" s="198"/>
      <c r="T1173" s="198"/>
      <c r="U1173" s="198"/>
      <c r="V1173" s="198"/>
      <c r="W1173" s="198"/>
      <c r="X1173" s="198"/>
    </row>
    <row r="1174" ht="12.0" customHeight="1">
      <c r="A11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4" s="87" t="str">
        <f>IFERROR(__xludf.DUMMYFUNCTION("IFERROR(IF(F1174&lt;&gt;"""",""WHSE ""&amp;LEFT(F1174,1),REGEXEXTRACT(E1174,""-(?:\d{2}-)?([A-Z]+)"")),"""")
"),"WHSE D")</f>
        <v>WHSE D</v>
      </c>
      <c r="C1174" s="117">
        <v>46189.0</v>
      </c>
      <c r="D1174" s="118" t="s">
        <v>232</v>
      </c>
      <c r="E1174" s="87" t="s">
        <v>987</v>
      </c>
      <c r="F1174" s="87" t="s">
        <v>526</v>
      </c>
      <c r="G1174" s="125" t="s">
        <v>988</v>
      </c>
      <c r="H1174" s="120">
        <v>960.0</v>
      </c>
      <c r="I1174" s="121">
        <v>31.0</v>
      </c>
      <c r="J1174" s="122">
        <v>16.07</v>
      </c>
      <c r="K1174" s="123">
        <v>3.61</v>
      </c>
      <c r="L1174" s="123">
        <v>0.552</v>
      </c>
      <c r="M1174" s="123">
        <v>0.572</v>
      </c>
      <c r="N1174" s="124">
        <v>12.77</v>
      </c>
      <c r="O1174" s="122">
        <v>10.86</v>
      </c>
      <c r="P1174" s="124">
        <v>76.37</v>
      </c>
      <c r="Q1174" s="220" t="s">
        <v>990</v>
      </c>
      <c r="R1174" s="198"/>
      <c r="S1174" s="198"/>
      <c r="T1174" s="198"/>
      <c r="U1174" s="198"/>
      <c r="V1174" s="198"/>
      <c r="W1174" s="198"/>
      <c r="X1174" s="198"/>
    </row>
    <row r="1175" ht="12.0" customHeight="1">
      <c r="A11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5" s="87" t="str">
        <f>IFERROR(__xludf.DUMMYFUNCTION("IFERROR(IF(F1175&lt;&gt;"""",""WHSE ""&amp;LEFT(F1175,1),REGEXEXTRACT(E1175,""-(?:\d{2}-)?([A-Z]+)"")),"""")
"),"WHSE D")</f>
        <v>WHSE D</v>
      </c>
      <c r="C1175" s="117">
        <v>46189.0</v>
      </c>
      <c r="D1175" s="118" t="s">
        <v>232</v>
      </c>
      <c r="E1175" s="87" t="s">
        <v>987</v>
      </c>
      <c r="F1175" s="87" t="s">
        <v>526</v>
      </c>
      <c r="G1175" s="125" t="s">
        <v>882</v>
      </c>
      <c r="H1175" s="120">
        <v>25706.0</v>
      </c>
      <c r="I1175" s="121">
        <v>316.0</v>
      </c>
      <c r="J1175" s="122">
        <v>11.74</v>
      </c>
      <c r="K1175" s="123">
        <v>3.44</v>
      </c>
      <c r="L1175" s="123">
        <v>0.556</v>
      </c>
      <c r="M1175" s="123">
        <v>0.576</v>
      </c>
      <c r="N1175" s="124">
        <v>12.58</v>
      </c>
      <c r="O1175" s="122">
        <v>8.75</v>
      </c>
      <c r="P1175" s="124">
        <v>78.67</v>
      </c>
      <c r="Q1175" s="220" t="s">
        <v>991</v>
      </c>
      <c r="R1175" s="198"/>
      <c r="S1175" s="198"/>
      <c r="T1175" s="198"/>
      <c r="U1175" s="198"/>
      <c r="V1175" s="198"/>
      <c r="W1175" s="198"/>
      <c r="X1175" s="198"/>
    </row>
    <row r="1176" ht="12.0" customHeight="1">
      <c r="A11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6" s="87" t="str">
        <f>IFERROR(__xludf.DUMMYFUNCTION("IFERROR(IF(F1176&lt;&gt;"""",""WHSE ""&amp;LEFT(F1176,1),REGEXEXTRACT(E1176,""-(?:\d{2}-)?([A-Z]+)"")),"""")
"),"WHSE D")</f>
        <v>WHSE D</v>
      </c>
      <c r="C1176" s="117">
        <v>46189.0</v>
      </c>
      <c r="D1176" s="118" t="s">
        <v>232</v>
      </c>
      <c r="E1176" s="87" t="s">
        <v>987</v>
      </c>
      <c r="F1176" s="87" t="s">
        <v>526</v>
      </c>
      <c r="G1176" s="125" t="s">
        <v>882</v>
      </c>
      <c r="H1176" s="120">
        <v>1633.0</v>
      </c>
      <c r="I1176" s="121">
        <v>18.0</v>
      </c>
      <c r="J1176" s="122">
        <v>16.87</v>
      </c>
      <c r="K1176" s="123">
        <v>3.44</v>
      </c>
      <c r="L1176" s="123">
        <v>0.556</v>
      </c>
      <c r="M1176" s="123">
        <v>0.576</v>
      </c>
      <c r="N1176" s="124">
        <v>12.58</v>
      </c>
      <c r="O1176" s="122">
        <v>8.75</v>
      </c>
      <c r="P1176" s="124">
        <v>78.67</v>
      </c>
      <c r="Q1176" s="220" t="s">
        <v>992</v>
      </c>
      <c r="R1176" s="198"/>
      <c r="S1176" s="198"/>
      <c r="T1176" s="198"/>
      <c r="U1176" s="198"/>
      <c r="V1176" s="198"/>
      <c r="W1176" s="198"/>
      <c r="X1176" s="198"/>
    </row>
    <row r="1177" ht="12.0" customHeight="1">
      <c r="A11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7" s="87" t="str">
        <f>IFERROR(__xludf.DUMMYFUNCTION("IFERROR(IF(F1177&lt;&gt;"""",""WHSE ""&amp;LEFT(F1177,1),REGEXEXTRACT(E1177,""-(?:\d{2}-)?([A-Z]+)"")),"""")
"),"")</f>
        <v/>
      </c>
      <c r="C1177" s="108"/>
      <c r="D1177" s="109"/>
      <c r="E1177" s="110"/>
      <c r="F1177" s="110"/>
      <c r="G1177" s="111"/>
      <c r="H1177" s="112"/>
      <c r="I1177" s="113"/>
      <c r="J1177" s="114"/>
      <c r="K1177" s="115"/>
      <c r="L1177" s="115"/>
      <c r="M1177" s="115"/>
      <c r="N1177" s="116"/>
      <c r="O1177" s="114"/>
      <c r="P1177" s="116"/>
      <c r="Q1177" s="219"/>
      <c r="R1177" s="198"/>
      <c r="S1177" s="198"/>
      <c r="T1177" s="198"/>
      <c r="U1177" s="198"/>
      <c r="V1177" s="198"/>
      <c r="W1177" s="198"/>
      <c r="X1177" s="198"/>
    </row>
    <row r="1178" ht="12.0" customHeight="1">
      <c r="A11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8" s="87" t="str">
        <f>IFERROR(__xludf.DUMMYFUNCTION("IFERROR(IF(F1178&lt;&gt;"""",""WHSE ""&amp;LEFT(F1178,1),REGEXEXTRACT(E1178,""-(?:\d{2}-)?([A-Z]+)"")),"""")
"),"WHSE A")</f>
        <v>WHSE A</v>
      </c>
      <c r="C1178" s="117">
        <v>46190.0</v>
      </c>
      <c r="D1178" s="118" t="s">
        <v>72</v>
      </c>
      <c r="E1178" s="87" t="s">
        <v>980</v>
      </c>
      <c r="F1178" s="87" t="s">
        <v>217</v>
      </c>
      <c r="G1178" s="125" t="s">
        <v>73</v>
      </c>
      <c r="H1178" s="120">
        <v>17865.0</v>
      </c>
      <c r="I1178" s="121">
        <v>461.0</v>
      </c>
      <c r="J1178" s="122">
        <v>11.94</v>
      </c>
      <c r="K1178" s="123">
        <v>2.55</v>
      </c>
      <c r="L1178" s="123">
        <v>0.575</v>
      </c>
      <c r="M1178" s="123">
        <v>0.595</v>
      </c>
      <c r="N1178" s="124">
        <v>12.34</v>
      </c>
      <c r="O1178" s="122">
        <v>2.64</v>
      </c>
      <c r="P1178" s="124">
        <v>85.02</v>
      </c>
      <c r="Q1178" s="219"/>
      <c r="R1178" s="198"/>
      <c r="S1178" s="198"/>
      <c r="T1178" s="198"/>
      <c r="U1178" s="198"/>
      <c r="V1178" s="198"/>
      <c r="W1178" s="198"/>
      <c r="X1178" s="198"/>
    </row>
    <row r="1179" ht="12.0" customHeight="1">
      <c r="A11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79" s="87" t="str">
        <f>IFERROR(__xludf.DUMMYFUNCTION("IFERROR(IF(F1179&lt;&gt;"""",""WHSE ""&amp;LEFT(F1179,1),REGEXEXTRACT(E1179,""-(?:\d{2}-)?([A-Z]+)"")),"""")
"),"WHSE D")</f>
        <v>WHSE D</v>
      </c>
      <c r="C1179" s="117">
        <v>46190.0</v>
      </c>
      <c r="D1179" s="118" t="s">
        <v>232</v>
      </c>
      <c r="E1179" s="87" t="s">
        <v>993</v>
      </c>
      <c r="F1179" s="87" t="s">
        <v>994</v>
      </c>
      <c r="G1179" s="125" t="s">
        <v>328</v>
      </c>
      <c r="H1179" s="120">
        <v>22610.0</v>
      </c>
      <c r="I1179" s="121">
        <v>627.0</v>
      </c>
      <c r="J1179" s="122">
        <v>10.0</v>
      </c>
      <c r="K1179" s="123">
        <v>3.16</v>
      </c>
      <c r="L1179" s="123">
        <v>0.559</v>
      </c>
      <c r="M1179" s="123">
        <v>0.579</v>
      </c>
      <c r="N1179" s="124">
        <v>11.67</v>
      </c>
      <c r="O1179" s="122">
        <v>3.99</v>
      </c>
      <c r="P1179" s="124">
        <v>84.34</v>
      </c>
      <c r="Q1179" s="219"/>
      <c r="R1179" s="198"/>
      <c r="S1179" s="198"/>
      <c r="T1179" s="198"/>
      <c r="U1179" s="198"/>
      <c r="V1179" s="198"/>
      <c r="W1179" s="198"/>
      <c r="X1179" s="198"/>
    </row>
    <row r="1180" ht="12.0" customHeight="1">
      <c r="A11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0" s="87" t="str">
        <f>IFERROR(__xludf.DUMMYFUNCTION("IFERROR(IF(F1180&lt;&gt;"""",""WHSE ""&amp;LEFT(F1180,1),REGEXEXTRACT(E1180,""-(?:\d{2}-)?([A-Z]+)"")),"""")
"),"")</f>
        <v/>
      </c>
      <c r="C1180" s="108"/>
      <c r="D1180" s="109"/>
      <c r="E1180" s="110"/>
      <c r="F1180" s="110"/>
      <c r="G1180" s="111"/>
      <c r="H1180" s="112"/>
      <c r="I1180" s="113"/>
      <c r="J1180" s="114"/>
      <c r="K1180" s="115"/>
      <c r="L1180" s="115"/>
      <c r="M1180" s="115"/>
      <c r="N1180" s="116"/>
      <c r="O1180" s="114"/>
      <c r="P1180" s="116"/>
      <c r="Q1180" s="219"/>
      <c r="R1180" s="198"/>
      <c r="S1180" s="198"/>
      <c r="T1180" s="198"/>
      <c r="U1180" s="198"/>
      <c r="V1180" s="198"/>
      <c r="W1180" s="198"/>
      <c r="X1180" s="198"/>
    </row>
    <row r="1181" ht="12.0" customHeight="1">
      <c r="A11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1" s="87" t="str">
        <f>IFERROR(__xludf.DUMMYFUNCTION("IFERROR(IF(F1181&lt;&gt;"""",""WHSE ""&amp;LEFT(F1181,1),REGEXEXTRACT(E1181,""-(?:\d{2}-)?([A-Z]+)"")),"""")
"),"WHSE A")</f>
        <v>WHSE A</v>
      </c>
      <c r="C1181" s="117">
        <v>46191.0</v>
      </c>
      <c r="D1181" s="118" t="s">
        <v>72</v>
      </c>
      <c r="E1181" s="87" t="s">
        <v>980</v>
      </c>
      <c r="F1181" s="87" t="s">
        <v>217</v>
      </c>
      <c r="G1181" s="125" t="s">
        <v>73</v>
      </c>
      <c r="H1181" s="120">
        <v>18390.0</v>
      </c>
      <c r="I1181" s="121">
        <v>435.0</v>
      </c>
      <c r="J1181" s="122">
        <v>11.87</v>
      </c>
      <c r="K1181" s="123">
        <v>2.48</v>
      </c>
      <c r="L1181" s="123">
        <v>0.571</v>
      </c>
      <c r="M1181" s="123">
        <v>0.591</v>
      </c>
      <c r="N1181" s="124">
        <v>12.08</v>
      </c>
      <c r="O1181" s="122">
        <v>3.24</v>
      </c>
      <c r="P1181" s="124">
        <v>84.68</v>
      </c>
      <c r="Q1181" s="219"/>
      <c r="R1181" s="198"/>
      <c r="S1181" s="198"/>
      <c r="T1181" s="198"/>
      <c r="U1181" s="198"/>
      <c r="V1181" s="198"/>
      <c r="W1181" s="198"/>
      <c r="X1181" s="198"/>
    </row>
    <row r="1182" ht="12.0" customHeight="1">
      <c r="A11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182" s="87" t="str">
        <f>IFERROR(__xludf.DUMMYFUNCTION("IFERROR(IF(F1182&lt;&gt;"""",""WHSE ""&amp;LEFT(F1182,1),REGEXEXTRACT(E1182,""-(?:\d{2}-)?([A-Z]+)"")),"""")
"),"FEED")</f>
        <v>FEED</v>
      </c>
      <c r="C1182" s="117">
        <v>46191.0</v>
      </c>
      <c r="D1182" s="118" t="s">
        <v>286</v>
      </c>
      <c r="E1182" s="87" t="s">
        <v>995</v>
      </c>
      <c r="F1182" s="110"/>
      <c r="G1182" s="125" t="s">
        <v>77</v>
      </c>
      <c r="H1182" s="120">
        <v>19035.0</v>
      </c>
      <c r="I1182" s="121">
        <v>532.0</v>
      </c>
      <c r="J1182" s="122">
        <v>11.2</v>
      </c>
      <c r="K1182" s="123">
        <v>2.31</v>
      </c>
      <c r="L1182" s="123">
        <v>0.578</v>
      </c>
      <c r="M1182" s="123">
        <v>0.598</v>
      </c>
      <c r="N1182" s="124">
        <v>13.36</v>
      </c>
      <c r="O1182" s="122">
        <v>3.49</v>
      </c>
      <c r="P1182" s="124">
        <v>83.15</v>
      </c>
      <c r="Q1182" s="219"/>
      <c r="R1182" s="198"/>
      <c r="S1182" s="198"/>
      <c r="T1182" s="198"/>
      <c r="U1182" s="198"/>
      <c r="V1182" s="198"/>
      <c r="W1182" s="198"/>
      <c r="X1182" s="198"/>
    </row>
    <row r="1183" ht="12.0" customHeight="1">
      <c r="A11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3" s="87" t="str">
        <f>IFERROR(__xludf.DUMMYFUNCTION("IFERROR(IF(F1183&lt;&gt;"""",""WHSE ""&amp;LEFT(F1183,1),REGEXEXTRACT(E1183,""-(?:\d{2}-)?([A-Z]+)"")),"""")
"),"")</f>
        <v/>
      </c>
      <c r="C1183" s="108"/>
      <c r="D1183" s="109"/>
      <c r="E1183" s="110"/>
      <c r="F1183" s="110"/>
      <c r="G1183" s="111"/>
      <c r="H1183" s="112"/>
      <c r="I1183" s="113"/>
      <c r="J1183" s="114"/>
      <c r="K1183" s="115"/>
      <c r="L1183" s="115"/>
      <c r="M1183" s="115"/>
      <c r="N1183" s="116"/>
      <c r="O1183" s="114"/>
      <c r="P1183" s="116"/>
      <c r="Q1183" s="219"/>
      <c r="R1183" s="198"/>
      <c r="S1183" s="198"/>
      <c r="T1183" s="198"/>
      <c r="U1183" s="198"/>
      <c r="V1183" s="198"/>
      <c r="W1183" s="198"/>
      <c r="X1183" s="198"/>
    </row>
    <row r="1184" ht="12.0" customHeight="1">
      <c r="A11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4" s="87" t="str">
        <f>IFERROR(__xludf.DUMMYFUNCTION("IFERROR(IF(F1184&lt;&gt;"""",""WHSE ""&amp;LEFT(F1184,1),REGEXEXTRACT(E1184,""-(?:\d{2}-)?([A-Z]+)"")),"""")
"),"WHSE A")</f>
        <v>WHSE A</v>
      </c>
      <c r="C1184" s="117">
        <v>46192.0</v>
      </c>
      <c r="D1184" s="118" t="s">
        <v>72</v>
      </c>
      <c r="E1184" s="87" t="s">
        <v>980</v>
      </c>
      <c r="F1184" s="87" t="s">
        <v>217</v>
      </c>
      <c r="G1184" s="125" t="s">
        <v>77</v>
      </c>
      <c r="H1184" s="120">
        <v>17508.0</v>
      </c>
      <c r="I1184" s="121">
        <v>447.0</v>
      </c>
      <c r="J1184" s="122">
        <v>13.14</v>
      </c>
      <c r="K1184" s="123">
        <v>2.68</v>
      </c>
      <c r="L1184" s="123">
        <v>0.568</v>
      </c>
      <c r="M1184" s="123">
        <v>0.588</v>
      </c>
      <c r="N1184" s="124">
        <v>14.56</v>
      </c>
      <c r="O1184" s="122">
        <v>2.88</v>
      </c>
      <c r="P1184" s="124">
        <v>82.56</v>
      </c>
      <c r="Q1184" s="220" t="s">
        <v>996</v>
      </c>
      <c r="R1184" s="198"/>
      <c r="S1184" s="198"/>
      <c r="T1184" s="198"/>
      <c r="U1184" s="198"/>
      <c r="V1184" s="198"/>
      <c r="W1184" s="198"/>
      <c r="X1184" s="198"/>
    </row>
    <row r="1185" ht="12.0" customHeight="1">
      <c r="A11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5" s="87" t="str">
        <f>IFERROR(__xludf.DUMMYFUNCTION("IFERROR(IF(F1185&lt;&gt;"""",""WHSE ""&amp;LEFT(F1185,1),REGEXEXTRACT(E1185,""-(?:\d{2}-)?([A-Z]+)"")),"""")
"),"WHSE D")</f>
        <v>WHSE D</v>
      </c>
      <c r="C1185" s="117">
        <v>46192.0</v>
      </c>
      <c r="D1185" s="118" t="s">
        <v>232</v>
      </c>
      <c r="E1185" s="87" t="s">
        <v>993</v>
      </c>
      <c r="F1185" s="87" t="s">
        <v>994</v>
      </c>
      <c r="G1185" s="125" t="s">
        <v>235</v>
      </c>
      <c r="H1185" s="120">
        <v>11595.0</v>
      </c>
      <c r="I1185" s="121">
        <v>298.0</v>
      </c>
      <c r="J1185" s="122">
        <v>8.8</v>
      </c>
      <c r="K1185" s="123">
        <v>2.61</v>
      </c>
      <c r="L1185" s="123">
        <v>0.571</v>
      </c>
      <c r="M1185" s="123">
        <v>0.591</v>
      </c>
      <c r="N1185" s="124">
        <v>13.85</v>
      </c>
      <c r="O1185" s="122">
        <v>2.64</v>
      </c>
      <c r="P1185" s="124">
        <v>83.51</v>
      </c>
      <c r="Q1185" s="219"/>
      <c r="R1185" s="198"/>
      <c r="S1185" s="198"/>
      <c r="T1185" s="198"/>
      <c r="U1185" s="198"/>
      <c r="V1185" s="198"/>
      <c r="W1185" s="198"/>
      <c r="X1185" s="198"/>
    </row>
    <row r="1186" ht="12.0" customHeight="1">
      <c r="A11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6" s="87" t="str">
        <f>IFERROR(__xludf.DUMMYFUNCTION("IFERROR(IF(F1186&lt;&gt;"""",""WHSE ""&amp;LEFT(F1186,1),REGEXEXTRACT(E1186,""-(?:\d{2}-)?([A-Z]+)"")),"""")
"),"WHSE D")</f>
        <v>WHSE D</v>
      </c>
      <c r="C1186" s="117">
        <v>46192.0</v>
      </c>
      <c r="D1186" s="118" t="s">
        <v>232</v>
      </c>
      <c r="E1186" s="87" t="s">
        <v>993</v>
      </c>
      <c r="F1186" s="87" t="s">
        <v>994</v>
      </c>
      <c r="G1186" s="125" t="s">
        <v>328</v>
      </c>
      <c r="H1186" s="120">
        <v>21255.0</v>
      </c>
      <c r="I1186" s="121">
        <v>605.0</v>
      </c>
      <c r="J1186" s="122">
        <v>8.54</v>
      </c>
      <c r="K1186" s="123">
        <v>2.56</v>
      </c>
      <c r="L1186" s="123">
        <v>0.578</v>
      </c>
      <c r="M1186" s="123">
        <v>0.598</v>
      </c>
      <c r="N1186" s="124">
        <v>13.47</v>
      </c>
      <c r="O1186" s="122">
        <v>3.8</v>
      </c>
      <c r="P1186" s="124">
        <v>82.73</v>
      </c>
      <c r="Q1186" s="219"/>
      <c r="R1186" s="198"/>
      <c r="S1186" s="198"/>
      <c r="T1186" s="198"/>
      <c r="U1186" s="198"/>
      <c r="V1186" s="198"/>
      <c r="W1186" s="198"/>
      <c r="X1186" s="198"/>
    </row>
    <row r="1187" ht="12.0" customHeight="1">
      <c r="A11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7" s="87" t="str">
        <f>IFERROR(__xludf.DUMMYFUNCTION("IFERROR(IF(F1187&lt;&gt;"""",""WHSE ""&amp;LEFT(F1187,1),REGEXEXTRACT(E1187,""-(?:\d{2}-)?([A-Z]+)"")),"""")
"),"")</f>
        <v/>
      </c>
      <c r="C1187" s="108"/>
      <c r="D1187" s="109"/>
      <c r="E1187" s="110"/>
      <c r="F1187" s="110"/>
      <c r="G1187" s="111"/>
      <c r="H1187" s="112"/>
      <c r="I1187" s="113"/>
      <c r="J1187" s="114"/>
      <c r="K1187" s="115"/>
      <c r="L1187" s="115"/>
      <c r="M1187" s="115"/>
      <c r="N1187" s="116"/>
      <c r="O1187" s="114"/>
      <c r="P1187" s="116"/>
      <c r="Q1187" s="219"/>
      <c r="R1187" s="198"/>
      <c r="S1187" s="198"/>
      <c r="T1187" s="198"/>
      <c r="U1187" s="198"/>
      <c r="V1187" s="198"/>
      <c r="W1187" s="198"/>
      <c r="X1187" s="198"/>
    </row>
    <row r="1188" ht="12.0" customHeight="1">
      <c r="A11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8" s="87" t="str">
        <f>IFERROR(__xludf.DUMMYFUNCTION("IFERROR(IF(F1188&lt;&gt;"""",""WHSE ""&amp;LEFT(F1188,1),REGEXEXTRACT(E1188,""-(?:\d{2}-)?([A-Z]+)"")),"""")
"),"WHSE D")</f>
        <v>WHSE D</v>
      </c>
      <c r="C1188" s="117">
        <v>46193.0</v>
      </c>
      <c r="D1188" s="118" t="s">
        <v>232</v>
      </c>
      <c r="E1188" s="87" t="s">
        <v>997</v>
      </c>
      <c r="F1188" s="87" t="s">
        <v>436</v>
      </c>
      <c r="G1188" s="125" t="s">
        <v>328</v>
      </c>
      <c r="H1188" s="120">
        <v>21185.0</v>
      </c>
      <c r="I1188" s="121">
        <v>628.0</v>
      </c>
      <c r="J1188" s="122">
        <v>10.67</v>
      </c>
      <c r="K1188" s="123">
        <v>2.81</v>
      </c>
      <c r="L1188" s="123">
        <v>0.562</v>
      </c>
      <c r="M1188" s="123">
        <v>0.582</v>
      </c>
      <c r="N1188" s="124">
        <v>13.8</v>
      </c>
      <c r="O1188" s="122">
        <v>3.78</v>
      </c>
      <c r="P1188" s="124">
        <v>82.42</v>
      </c>
      <c r="Q1188" s="219"/>
      <c r="R1188" s="198"/>
      <c r="S1188" s="198"/>
      <c r="T1188" s="198"/>
      <c r="U1188" s="198"/>
      <c r="V1188" s="198"/>
      <c r="W1188" s="198"/>
      <c r="X1188" s="198"/>
    </row>
    <row r="1189" ht="12.0" customHeight="1">
      <c r="A11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89" s="87" t="str">
        <f>IFERROR(__xludf.DUMMYFUNCTION("IFERROR(IF(F1189&lt;&gt;"""",""WHSE ""&amp;LEFT(F1189,1),REGEXEXTRACT(E1189,""-(?:\d{2}-)?([A-Z]+)"")),"""")
"),"WHSE A")</f>
        <v>WHSE A</v>
      </c>
      <c r="C1189" s="117">
        <v>46193.0</v>
      </c>
      <c r="D1189" s="118" t="s">
        <v>72</v>
      </c>
      <c r="E1189" s="87" t="s">
        <v>998</v>
      </c>
      <c r="F1189" s="87" t="s">
        <v>516</v>
      </c>
      <c r="G1189" s="125" t="s">
        <v>73</v>
      </c>
      <c r="H1189" s="120">
        <v>17983.0</v>
      </c>
      <c r="I1189" s="121">
        <v>447.0</v>
      </c>
      <c r="J1189" s="122">
        <v>12.4</v>
      </c>
      <c r="K1189" s="123">
        <v>2.8</v>
      </c>
      <c r="L1189" s="123">
        <v>0.575</v>
      </c>
      <c r="M1189" s="123">
        <v>0.595</v>
      </c>
      <c r="N1189" s="124">
        <v>13.4</v>
      </c>
      <c r="O1189" s="122">
        <v>3.96</v>
      </c>
      <c r="P1189" s="124">
        <v>82.64</v>
      </c>
      <c r="Q1189" s="220" t="s">
        <v>999</v>
      </c>
      <c r="R1189" s="198"/>
      <c r="S1189" s="198"/>
      <c r="T1189" s="198"/>
      <c r="U1189" s="198"/>
      <c r="V1189" s="198"/>
      <c r="W1189" s="198"/>
      <c r="X1189" s="198"/>
    </row>
    <row r="1190" ht="12.0" customHeight="1">
      <c r="A11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0" s="87" t="str">
        <f>IFERROR(__xludf.DUMMYFUNCTION("IFERROR(IF(F1190&lt;&gt;"""",""WHSE ""&amp;LEFT(F1190,1),REGEXEXTRACT(E1190,""-(?:\d{2}-)?([A-Z]+)"")),"""")
"),"")</f>
        <v/>
      </c>
      <c r="C1190" s="108"/>
      <c r="D1190" s="109"/>
      <c r="E1190" s="110"/>
      <c r="F1190" s="110"/>
      <c r="G1190" s="111"/>
      <c r="H1190" s="112"/>
      <c r="I1190" s="113"/>
      <c r="J1190" s="114"/>
      <c r="K1190" s="115"/>
      <c r="L1190" s="115"/>
      <c r="M1190" s="115"/>
      <c r="N1190" s="116"/>
      <c r="O1190" s="114"/>
      <c r="P1190" s="116"/>
      <c r="Q1190" s="219"/>
      <c r="R1190" s="198"/>
      <c r="S1190" s="198"/>
      <c r="T1190" s="198"/>
      <c r="U1190" s="198"/>
      <c r="V1190" s="198"/>
      <c r="W1190" s="198"/>
      <c r="X1190" s="198"/>
    </row>
    <row r="1191" ht="12.0" customHeight="1">
      <c r="A11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1" s="87" t="str">
        <f>IFERROR(__xludf.DUMMYFUNCTION("IFERROR(IF(F1191&lt;&gt;"""",""WHSE ""&amp;LEFT(F1191,1),REGEXEXTRACT(E1191,""-(?:\d{2}-)?([A-Z]+)"")),"""")
"),"WHSE A")</f>
        <v>WHSE A</v>
      </c>
      <c r="C1191" s="117">
        <v>46195.0</v>
      </c>
      <c r="D1191" s="118" t="s">
        <v>72</v>
      </c>
      <c r="E1191" s="87" t="s">
        <v>998</v>
      </c>
      <c r="F1191" s="87" t="s">
        <v>516</v>
      </c>
      <c r="G1191" s="125" t="s">
        <v>77</v>
      </c>
      <c r="H1191" s="120">
        <v>15995.0</v>
      </c>
      <c r="I1191" s="121">
        <v>428.0</v>
      </c>
      <c r="J1191" s="122">
        <v>11.34</v>
      </c>
      <c r="K1191" s="123">
        <v>2.36</v>
      </c>
      <c r="L1191" s="123">
        <v>0.578</v>
      </c>
      <c r="M1191" s="123">
        <v>0.598</v>
      </c>
      <c r="N1191" s="124">
        <v>13.35</v>
      </c>
      <c r="O1191" s="122">
        <v>3.04</v>
      </c>
      <c r="P1191" s="124">
        <v>83.61</v>
      </c>
      <c r="Q1191" s="219"/>
      <c r="R1191" s="198"/>
      <c r="S1191" s="198"/>
      <c r="T1191" s="198"/>
      <c r="U1191" s="198"/>
      <c r="V1191" s="198"/>
      <c r="W1191" s="198"/>
      <c r="X1191" s="198"/>
    </row>
    <row r="1192" ht="12.0" customHeight="1">
      <c r="A11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2" s="87" t="str">
        <f>IFERROR(__xludf.DUMMYFUNCTION("IFERROR(IF(F1192&lt;&gt;"""",""WHSE ""&amp;LEFT(F1192,1),REGEXEXTRACT(E1192,""-(?:\d{2}-)?([A-Z]+)"")),"""")
"),"WHSE D")</f>
        <v>WHSE D</v>
      </c>
      <c r="C1192" s="117">
        <v>46195.0</v>
      </c>
      <c r="D1192" s="118" t="s">
        <v>232</v>
      </c>
      <c r="E1192" s="87" t="s">
        <v>997</v>
      </c>
      <c r="F1192" s="87" t="s">
        <v>436</v>
      </c>
      <c r="G1192" s="125" t="s">
        <v>668</v>
      </c>
      <c r="H1192" s="120">
        <v>11330.0</v>
      </c>
      <c r="I1192" s="121">
        <v>269.0</v>
      </c>
      <c r="J1192" s="122">
        <v>9.54</v>
      </c>
      <c r="K1192" s="123">
        <v>2.49</v>
      </c>
      <c r="L1192" s="123">
        <v>0.575</v>
      </c>
      <c r="M1192" s="123">
        <v>0.595</v>
      </c>
      <c r="N1192" s="124">
        <v>14.61</v>
      </c>
      <c r="O1192" s="122">
        <v>2.81</v>
      </c>
      <c r="P1192" s="124">
        <v>82.58</v>
      </c>
      <c r="Q1192" s="219"/>
      <c r="R1192" s="198"/>
      <c r="S1192" s="198"/>
      <c r="T1192" s="198"/>
      <c r="U1192" s="198"/>
      <c r="V1192" s="198"/>
      <c r="W1192" s="198"/>
      <c r="X1192" s="198"/>
    </row>
    <row r="1193" ht="12.0" customHeight="1">
      <c r="A11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3" s="87" t="str">
        <f>IFERROR(__xludf.DUMMYFUNCTION("IFERROR(IF(F1193&lt;&gt;"""",""WHSE ""&amp;LEFT(F1193,1),REGEXEXTRACT(E1193,""-(?:\d{2}-)?([A-Z]+)"")),"""")
"),"WHSE D")</f>
        <v>WHSE D</v>
      </c>
      <c r="C1193" s="117">
        <v>46195.0</v>
      </c>
      <c r="D1193" s="118" t="s">
        <v>232</v>
      </c>
      <c r="E1193" s="87" t="s">
        <v>997</v>
      </c>
      <c r="F1193" s="87" t="s">
        <v>436</v>
      </c>
      <c r="G1193" s="125" t="s">
        <v>669</v>
      </c>
      <c r="H1193" s="120">
        <v>18270.0</v>
      </c>
      <c r="I1193" s="121">
        <v>538.0</v>
      </c>
      <c r="J1193" s="122">
        <v>8.74</v>
      </c>
      <c r="K1193" s="123">
        <v>2.67</v>
      </c>
      <c r="L1193" s="123">
        <v>0.556</v>
      </c>
      <c r="M1193" s="123">
        <v>0.576</v>
      </c>
      <c r="N1193" s="124">
        <v>13.47</v>
      </c>
      <c r="O1193" s="122">
        <v>4.02</v>
      </c>
      <c r="P1193" s="124">
        <v>82.51</v>
      </c>
      <c r="Q1193" s="219"/>
      <c r="R1193" s="198"/>
      <c r="S1193" s="198"/>
      <c r="T1193" s="198"/>
      <c r="U1193" s="198"/>
      <c r="V1193" s="198"/>
      <c r="W1193" s="198"/>
      <c r="X1193" s="198"/>
    </row>
    <row r="1194" ht="12.0" customHeight="1">
      <c r="A11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4" s="87" t="str">
        <f>IFERROR(__xludf.DUMMYFUNCTION("IFERROR(IF(F1194&lt;&gt;"""",""WHSE ""&amp;LEFT(F1194,1),REGEXEXTRACT(E1194,""-(?:\d{2}-)?([A-Z]+)"")),"""")
"),"")</f>
        <v/>
      </c>
      <c r="C1194" s="108"/>
      <c r="D1194" s="109"/>
      <c r="E1194" s="110"/>
      <c r="F1194" s="110"/>
      <c r="G1194" s="111"/>
      <c r="H1194" s="112"/>
      <c r="I1194" s="113"/>
      <c r="J1194" s="114"/>
      <c r="K1194" s="115"/>
      <c r="L1194" s="115"/>
      <c r="M1194" s="115"/>
      <c r="N1194" s="116"/>
      <c r="O1194" s="114"/>
      <c r="P1194" s="116"/>
      <c r="Q1194" s="219"/>
      <c r="R1194" s="198"/>
      <c r="S1194" s="198"/>
      <c r="T1194" s="198"/>
      <c r="U1194" s="198"/>
      <c r="V1194" s="198"/>
      <c r="W1194" s="198"/>
      <c r="X1194" s="198"/>
    </row>
    <row r="1195" ht="12.0" customHeight="1">
      <c r="A11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5" s="87" t="str">
        <f>IFERROR(__xludf.DUMMYFUNCTION("IFERROR(IF(F1195&lt;&gt;"""",""WHSE ""&amp;LEFT(F1195,1),REGEXEXTRACT(E1195,""-(?:\d{2}-)?([A-Z]+)"")),"""")
"),"WHSE D")</f>
        <v>WHSE D</v>
      </c>
      <c r="C1195" s="117">
        <v>46196.0</v>
      </c>
      <c r="D1195" s="118" t="s">
        <v>232</v>
      </c>
      <c r="E1195" s="87" t="s">
        <v>997</v>
      </c>
      <c r="F1195" s="87" t="s">
        <v>436</v>
      </c>
      <c r="G1195" s="125" t="s">
        <v>328</v>
      </c>
      <c r="H1195" s="120">
        <v>20775.0</v>
      </c>
      <c r="I1195" s="121">
        <v>558.0</v>
      </c>
      <c r="J1195" s="122">
        <v>8.47</v>
      </c>
      <c r="K1195" s="123">
        <v>3.77</v>
      </c>
      <c r="L1195" s="123">
        <v>0.568</v>
      </c>
      <c r="M1195" s="123">
        <v>0.588</v>
      </c>
      <c r="N1195" s="124">
        <v>12.94</v>
      </c>
      <c r="O1195" s="122">
        <v>3.43</v>
      </c>
      <c r="P1195" s="124">
        <v>83.63</v>
      </c>
      <c r="Q1195" s="219"/>
      <c r="R1195" s="198"/>
      <c r="S1195" s="198"/>
      <c r="T1195" s="198"/>
      <c r="U1195" s="198"/>
      <c r="V1195" s="198"/>
      <c r="W1195" s="198"/>
      <c r="X1195" s="198"/>
    </row>
    <row r="1196" ht="12.0" customHeight="1">
      <c r="A11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6" s="87" t="str">
        <f>IFERROR(__xludf.DUMMYFUNCTION("IFERROR(IF(F1196&lt;&gt;"""",""WHSE ""&amp;LEFT(F1196,1),REGEXEXTRACT(E1196,""-(?:\d{2}-)?([A-Z]+)"")),"""")
"),"")</f>
        <v/>
      </c>
      <c r="C1196" s="108"/>
      <c r="D1196" s="109"/>
      <c r="E1196" s="110"/>
      <c r="F1196" s="110"/>
      <c r="G1196" s="111"/>
      <c r="H1196" s="112"/>
      <c r="I1196" s="113"/>
      <c r="J1196" s="114"/>
      <c r="K1196" s="115"/>
      <c r="L1196" s="115"/>
      <c r="M1196" s="115"/>
      <c r="N1196" s="116"/>
      <c r="O1196" s="114"/>
      <c r="P1196" s="116"/>
      <c r="Q1196" s="219"/>
      <c r="R1196" s="198"/>
      <c r="S1196" s="198"/>
      <c r="T1196" s="198"/>
      <c r="U1196" s="198"/>
      <c r="V1196" s="198"/>
      <c r="W1196" s="198"/>
      <c r="X1196" s="198"/>
    </row>
    <row r="1197" ht="12.0" customHeight="1">
      <c r="A11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7" s="87" t="str">
        <f>IFERROR(__xludf.DUMMYFUNCTION("IFERROR(IF(F1197&lt;&gt;"""",""WHSE ""&amp;LEFT(F1197,1),REGEXEXTRACT(E1197,""-(?:\d{2}-)?([A-Z]+)"")),"""")
"),"WHSE D")</f>
        <v>WHSE D</v>
      </c>
      <c r="C1197" s="117">
        <v>46198.0</v>
      </c>
      <c r="D1197" s="118" t="s">
        <v>232</v>
      </c>
      <c r="E1197" s="87" t="s">
        <v>1000</v>
      </c>
      <c r="F1197" s="87" t="s">
        <v>1001</v>
      </c>
      <c r="G1197" s="125" t="s">
        <v>328</v>
      </c>
      <c r="H1197" s="120">
        <v>20390.0</v>
      </c>
      <c r="I1197" s="121">
        <v>578.0</v>
      </c>
      <c r="J1197" s="122">
        <v>7.87</v>
      </c>
      <c r="K1197" s="123">
        <v>2.73</v>
      </c>
      <c r="L1197" s="123">
        <v>0.565</v>
      </c>
      <c r="M1197" s="123">
        <v>0.585</v>
      </c>
      <c r="N1197" s="124">
        <v>12.41</v>
      </c>
      <c r="O1197" s="122">
        <v>3.6</v>
      </c>
      <c r="P1197" s="124">
        <v>83.99</v>
      </c>
      <c r="Q1197" s="219"/>
      <c r="R1197" s="198"/>
      <c r="S1197" s="198"/>
      <c r="T1197" s="198"/>
      <c r="U1197" s="198"/>
      <c r="V1197" s="198"/>
      <c r="W1197" s="198"/>
      <c r="X1197" s="198"/>
    </row>
    <row r="1198" ht="12.0" customHeight="1">
      <c r="A11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8" s="87" t="str">
        <f>IFERROR(__xludf.DUMMYFUNCTION("IFERROR(IF(F1198&lt;&gt;"""",""WHSE ""&amp;LEFT(F1198,1),REGEXEXTRACT(E1198,""-(?:\d{2}-)?([A-Z]+)"")),"""")
"),"WHSE D")</f>
        <v>WHSE D</v>
      </c>
      <c r="C1198" s="117">
        <v>46198.0</v>
      </c>
      <c r="D1198" s="118" t="s">
        <v>232</v>
      </c>
      <c r="E1198" s="87" t="s">
        <v>1000</v>
      </c>
      <c r="F1198" s="87" t="s">
        <v>1001</v>
      </c>
      <c r="G1198" s="125" t="s">
        <v>668</v>
      </c>
      <c r="H1198" s="120">
        <v>10530.0</v>
      </c>
      <c r="I1198" s="121">
        <v>271.0</v>
      </c>
      <c r="J1198" s="122">
        <v>11.74</v>
      </c>
      <c r="K1198" s="123">
        <v>3.08</v>
      </c>
      <c r="L1198" s="123">
        <v>0.559</v>
      </c>
      <c r="M1198" s="123">
        <v>0.579</v>
      </c>
      <c r="N1198" s="124">
        <v>13.78</v>
      </c>
      <c r="O1198" s="122">
        <v>2.71</v>
      </c>
      <c r="P1198" s="124">
        <v>83.51</v>
      </c>
      <c r="Q1198" s="219"/>
      <c r="R1198" s="198"/>
      <c r="S1198" s="198"/>
      <c r="T1198" s="198"/>
      <c r="U1198" s="198"/>
      <c r="V1198" s="198"/>
      <c r="W1198" s="198"/>
      <c r="X1198" s="198"/>
    </row>
    <row r="1199" ht="12.0" customHeight="1">
      <c r="A11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199" s="87" t="str">
        <f>IFERROR(__xludf.DUMMYFUNCTION("IFERROR(IF(F1199&lt;&gt;"""",""WHSE ""&amp;LEFT(F1199,1),REGEXEXTRACT(E1199,""-(?:\d{2}-)?([A-Z]+)"")),"""")
"),"")</f>
        <v/>
      </c>
      <c r="C1199" s="108"/>
      <c r="D1199" s="109"/>
      <c r="E1199" s="110"/>
      <c r="F1199" s="110"/>
      <c r="G1199" s="111"/>
      <c r="H1199" s="112"/>
      <c r="I1199" s="113"/>
      <c r="J1199" s="114"/>
      <c r="K1199" s="115"/>
      <c r="L1199" s="115"/>
      <c r="M1199" s="115"/>
      <c r="N1199" s="116"/>
      <c r="O1199" s="114"/>
      <c r="P1199" s="116"/>
      <c r="Q1199" s="219"/>
      <c r="R1199" s="198"/>
      <c r="S1199" s="198"/>
      <c r="T1199" s="198"/>
      <c r="U1199" s="198"/>
      <c r="V1199" s="198"/>
      <c r="W1199" s="198"/>
      <c r="X1199" s="198"/>
    </row>
    <row r="1200" ht="12.0" customHeight="1">
      <c r="A12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0" s="87" t="str">
        <f>IFERROR(__xludf.DUMMYFUNCTION("IFERROR(IF(F1200&lt;&gt;"""",""WHSE ""&amp;LEFT(F1200,1),REGEXEXTRACT(E1200,""-(?:\d{2}-)?([A-Z]+)"")),"""")
"),"WHSE D")</f>
        <v>WHSE D</v>
      </c>
      <c r="C1200" s="117">
        <v>46199.0</v>
      </c>
      <c r="D1200" s="118" t="s">
        <v>232</v>
      </c>
      <c r="E1200" s="87" t="s">
        <v>1000</v>
      </c>
      <c r="F1200" s="87" t="s">
        <v>1001</v>
      </c>
      <c r="G1200" s="125" t="s">
        <v>497</v>
      </c>
      <c r="H1200" s="120">
        <v>2475.0</v>
      </c>
      <c r="I1200" s="121">
        <v>76.0</v>
      </c>
      <c r="J1200" s="122">
        <v>10.94</v>
      </c>
      <c r="K1200" s="123">
        <v>3.14</v>
      </c>
      <c r="L1200" s="123">
        <v>0.571</v>
      </c>
      <c r="M1200" s="123">
        <v>0.591</v>
      </c>
      <c r="N1200" s="124">
        <v>13.34</v>
      </c>
      <c r="O1200" s="122">
        <v>2.48</v>
      </c>
      <c r="P1200" s="124">
        <v>84.18</v>
      </c>
      <c r="Q1200" s="219"/>
      <c r="R1200" s="198"/>
      <c r="S1200" s="198"/>
      <c r="T1200" s="198"/>
      <c r="U1200" s="198"/>
      <c r="V1200" s="198"/>
      <c r="W1200" s="198"/>
      <c r="X1200" s="198"/>
    </row>
    <row r="1201" ht="12.0" customHeight="1">
      <c r="A12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1" s="87" t="str">
        <f>IFERROR(__xludf.DUMMYFUNCTION("IFERROR(IF(F1201&lt;&gt;"""",""WHSE ""&amp;LEFT(F1201,1),REGEXEXTRACT(E1201,""-(?:\d{2}-)?([A-Z]+)"")),"""")
"),"")</f>
        <v/>
      </c>
      <c r="C1201" s="108"/>
      <c r="D1201" s="109"/>
      <c r="E1201" s="110"/>
      <c r="F1201" s="110"/>
      <c r="G1201" s="111"/>
      <c r="H1201" s="112"/>
      <c r="I1201" s="113"/>
      <c r="J1201" s="114"/>
      <c r="K1201" s="115"/>
      <c r="L1201" s="115"/>
      <c r="M1201" s="115"/>
      <c r="N1201" s="116"/>
      <c r="O1201" s="114"/>
      <c r="P1201" s="116"/>
      <c r="Q1201" s="219"/>
      <c r="R1201" s="198"/>
      <c r="S1201" s="198"/>
      <c r="T1201" s="198"/>
      <c r="U1201" s="198"/>
      <c r="V1201" s="198"/>
      <c r="W1201" s="198"/>
      <c r="X1201" s="198"/>
    </row>
    <row r="1202" ht="12.0" customHeight="1">
      <c r="A12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>CLOSED</v>
      </c>
      <c r="B1202" s="87" t="str">
        <f>IFERROR(__xludf.DUMMYFUNCTION("IFERROR(IF(F1202&lt;&gt;"""",""WHSE ""&amp;LEFT(F1202,1),REGEXEXTRACT(E1202,""-(?:\d{2}-)?([A-Z]+)"")),"""")
"),"FEED")</f>
        <v>FEED</v>
      </c>
      <c r="C1202" s="117">
        <v>46203.0</v>
      </c>
      <c r="D1202" s="118" t="s">
        <v>286</v>
      </c>
      <c r="E1202" s="87" t="s">
        <v>1002</v>
      </c>
      <c r="F1202" s="110"/>
      <c r="G1202" s="125" t="s">
        <v>73</v>
      </c>
      <c r="H1202" s="120">
        <v>19425.0</v>
      </c>
      <c r="I1202" s="121">
        <v>548.0</v>
      </c>
      <c r="J1202" s="122">
        <v>11.4</v>
      </c>
      <c r="K1202" s="123">
        <v>2.38</v>
      </c>
      <c r="L1202" s="123">
        <v>0.578</v>
      </c>
      <c r="M1202" s="123">
        <v>0.598</v>
      </c>
      <c r="N1202" s="124">
        <v>12.74</v>
      </c>
      <c r="O1202" s="122">
        <v>3.85</v>
      </c>
      <c r="P1202" s="124">
        <v>83.41</v>
      </c>
      <c r="Q1202" s="219"/>
      <c r="R1202" s="198"/>
      <c r="S1202" s="198"/>
      <c r="T1202" s="198"/>
      <c r="U1202" s="198"/>
      <c r="V1202" s="198"/>
      <c r="W1202" s="198"/>
      <c r="X1202" s="198"/>
    </row>
    <row r="1203" ht="12.0" customHeight="1">
      <c r="A12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3" s="87" t="str">
        <f>IFERROR(__xludf.DUMMYFUNCTION("IFERROR(IF(F1203&lt;&gt;"""",""WHSE ""&amp;LEFT(F1203,1),REGEXEXTRACT(E1203,""-(?:\d{2}-)?([A-Z]+)"")),"""")
"),"")</f>
        <v/>
      </c>
      <c r="C1203" s="108"/>
      <c r="D1203" s="109"/>
      <c r="E1203" s="110"/>
      <c r="F1203" s="110"/>
      <c r="G1203" s="111"/>
      <c r="H1203" s="112"/>
      <c r="I1203" s="113"/>
      <c r="J1203" s="114"/>
      <c r="K1203" s="115"/>
      <c r="L1203" s="115"/>
      <c r="M1203" s="115"/>
      <c r="N1203" s="116"/>
      <c r="O1203" s="114"/>
      <c r="P1203" s="116"/>
      <c r="Q1203" s="219"/>
      <c r="R1203" s="198"/>
      <c r="S1203" s="198"/>
      <c r="T1203" s="198"/>
      <c r="U1203" s="198"/>
      <c r="V1203" s="198"/>
      <c r="W1203" s="198"/>
      <c r="X1203" s="198"/>
    </row>
    <row r="1204" ht="12.0" customHeight="1">
      <c r="A12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4" s="87" t="str">
        <f>IFERROR(__xludf.DUMMYFUNCTION("IFERROR(IF(F1204&lt;&gt;"""",""WHSE ""&amp;LEFT(F1204,1),REGEXEXTRACT(E1204,""-(?:\d{2}-)?([A-Z]+)"")),"""")
"),"WHSE D")</f>
        <v>WHSE D</v>
      </c>
      <c r="C1204" s="117">
        <v>46204.0</v>
      </c>
      <c r="D1204" s="118" t="s">
        <v>232</v>
      </c>
      <c r="E1204" s="87" t="s">
        <v>1000</v>
      </c>
      <c r="F1204" s="87" t="s">
        <v>1001</v>
      </c>
      <c r="G1204" s="125" t="s">
        <v>328</v>
      </c>
      <c r="H1204" s="120">
        <v>20640.0</v>
      </c>
      <c r="I1204" s="121">
        <v>580.0</v>
      </c>
      <c r="J1204" s="122">
        <v>11.27</v>
      </c>
      <c r="K1204" s="123">
        <v>3.38</v>
      </c>
      <c r="L1204" s="123">
        <v>0.581</v>
      </c>
      <c r="M1204" s="123">
        <v>0.601</v>
      </c>
      <c r="N1204" s="124">
        <v>13.96</v>
      </c>
      <c r="O1204" s="122">
        <v>3.64</v>
      </c>
      <c r="P1204" s="124">
        <v>82.4</v>
      </c>
      <c r="Q1204" s="220" t="s">
        <v>1003</v>
      </c>
      <c r="R1204" s="198"/>
      <c r="S1204" s="198"/>
      <c r="T1204" s="198"/>
      <c r="U1204" s="198"/>
      <c r="V1204" s="198"/>
      <c r="W1204" s="198"/>
      <c r="X1204" s="198"/>
    </row>
    <row r="1205" ht="12.0" customHeight="1">
      <c r="A12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5" s="87" t="str">
        <f>IFERROR(__xludf.DUMMYFUNCTION("IFERROR(IF(F1205&lt;&gt;"""",""WHSE ""&amp;LEFT(F1205,1),REGEXEXTRACT(E1205,""-(?:\d{2}-)?([A-Z]+)"")),"""")
"),"WHSE D")</f>
        <v>WHSE D</v>
      </c>
      <c r="C1205" s="117">
        <v>46204.0</v>
      </c>
      <c r="D1205" s="118" t="s">
        <v>232</v>
      </c>
      <c r="E1205" s="87" t="s">
        <v>1000</v>
      </c>
      <c r="F1205" s="87" t="s">
        <v>1001</v>
      </c>
      <c r="G1205" s="125" t="s">
        <v>668</v>
      </c>
      <c r="H1205" s="120">
        <v>10870.0</v>
      </c>
      <c r="I1205" s="121">
        <v>270.0</v>
      </c>
      <c r="J1205" s="122">
        <v>11.6</v>
      </c>
      <c r="K1205" s="123">
        <v>2.77</v>
      </c>
      <c r="L1205" s="123">
        <v>0.565</v>
      </c>
      <c r="M1205" s="123">
        <v>0.585</v>
      </c>
      <c r="N1205" s="124">
        <v>14.08</v>
      </c>
      <c r="O1205" s="122">
        <v>2.99</v>
      </c>
      <c r="P1205" s="124">
        <v>82.93</v>
      </c>
      <c r="Q1205" s="220" t="s">
        <v>1003</v>
      </c>
      <c r="R1205" s="198"/>
      <c r="S1205" s="198"/>
      <c r="T1205" s="198"/>
      <c r="U1205" s="198"/>
      <c r="V1205" s="198"/>
      <c r="W1205" s="198"/>
      <c r="X1205" s="198"/>
    </row>
    <row r="1206" ht="12.0" customHeight="1">
      <c r="A12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6" s="87" t="str">
        <f>IFERROR(__xludf.DUMMYFUNCTION("IFERROR(IF(F1206&lt;&gt;"""",""WHSE ""&amp;LEFT(F1206,1),REGEXEXTRACT(E1206,""-(?:\d{2}-)?([A-Z]+)"")),"""")
"),"")</f>
        <v/>
      </c>
      <c r="C1206" s="108"/>
      <c r="D1206" s="109"/>
      <c r="E1206" s="110"/>
      <c r="F1206" s="110"/>
      <c r="G1206" s="111"/>
      <c r="H1206" s="112"/>
      <c r="I1206" s="113"/>
      <c r="J1206" s="114"/>
      <c r="K1206" s="115"/>
      <c r="L1206" s="115"/>
      <c r="M1206" s="115"/>
      <c r="N1206" s="116"/>
      <c r="O1206" s="114"/>
      <c r="P1206" s="116"/>
      <c r="Q1206" s="219"/>
      <c r="R1206" s="198"/>
      <c r="S1206" s="198"/>
      <c r="T1206" s="198"/>
      <c r="U1206" s="198"/>
      <c r="V1206" s="198"/>
      <c r="W1206" s="198"/>
      <c r="X1206" s="198"/>
    </row>
    <row r="1207" ht="12.0" customHeight="1">
      <c r="A12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7" s="87" t="str">
        <f>IFERROR(__xludf.DUMMYFUNCTION("IFERROR(IF(F1207&lt;&gt;"""",""WHSE ""&amp;LEFT(F1207,1),REGEXEXTRACT(E1207,""-(?:\d{2}-)?([A-Z]+)"")),"""")
"),"WHSE D")</f>
        <v>WHSE D</v>
      </c>
      <c r="C1207" s="117">
        <v>46205.0</v>
      </c>
      <c r="D1207" s="118" t="s">
        <v>232</v>
      </c>
      <c r="E1207" s="87" t="s">
        <v>1004</v>
      </c>
      <c r="F1207" s="87" t="s">
        <v>1005</v>
      </c>
      <c r="G1207" s="125" t="s">
        <v>235</v>
      </c>
      <c r="H1207" s="120">
        <v>12725.0</v>
      </c>
      <c r="I1207" s="121">
        <v>286.0</v>
      </c>
      <c r="J1207" s="122">
        <v>8.8</v>
      </c>
      <c r="K1207" s="123">
        <v>3.39</v>
      </c>
      <c r="L1207" s="123">
        <v>0.571</v>
      </c>
      <c r="M1207" s="123">
        <v>0.591</v>
      </c>
      <c r="N1207" s="124">
        <v>11.47</v>
      </c>
      <c r="O1207" s="122">
        <v>2.54</v>
      </c>
      <c r="P1207" s="124">
        <v>85.99</v>
      </c>
      <c r="Q1207" s="219"/>
      <c r="R1207" s="198"/>
      <c r="S1207" s="198"/>
      <c r="T1207" s="198"/>
      <c r="U1207" s="198"/>
      <c r="V1207" s="198"/>
      <c r="W1207" s="198"/>
      <c r="X1207" s="198"/>
    </row>
    <row r="1208" ht="12.0" customHeight="1">
      <c r="A12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8" s="87" t="str">
        <f>IFERROR(__xludf.DUMMYFUNCTION("IFERROR(IF(F1208&lt;&gt;"""",""WHSE ""&amp;LEFT(F1208,1),REGEXEXTRACT(E1208,""-(?:\d{2}-)?([A-Z]+)"")),"""")
"),"WHSE A")</f>
        <v>WHSE A</v>
      </c>
      <c r="C1208" s="117">
        <v>46205.0</v>
      </c>
      <c r="D1208" s="118" t="s">
        <v>72</v>
      </c>
      <c r="E1208" s="87" t="s">
        <v>998</v>
      </c>
      <c r="F1208" s="87" t="s">
        <v>516</v>
      </c>
      <c r="G1208" s="125" t="s">
        <v>512</v>
      </c>
      <c r="H1208" s="120">
        <v>21789.0</v>
      </c>
      <c r="I1208" s="121">
        <v>583.0</v>
      </c>
      <c r="J1208" s="122">
        <v>12.87</v>
      </c>
      <c r="K1208" s="123">
        <v>2.46</v>
      </c>
      <c r="L1208" s="123">
        <v>0.575</v>
      </c>
      <c r="M1208" s="123">
        <v>0.595</v>
      </c>
      <c r="N1208" s="124">
        <v>11.87</v>
      </c>
      <c r="O1208" s="122">
        <v>2.38</v>
      </c>
      <c r="P1208" s="124">
        <v>85.75</v>
      </c>
      <c r="Q1208" s="220" t="s">
        <v>1006</v>
      </c>
      <c r="R1208" s="198"/>
      <c r="S1208" s="198"/>
      <c r="T1208" s="198"/>
      <c r="U1208" s="198"/>
      <c r="V1208" s="198"/>
      <c r="W1208" s="198"/>
      <c r="X1208" s="198"/>
    </row>
    <row r="1209" ht="12.0" customHeight="1">
      <c r="A12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09" s="87" t="str">
        <f>IFERROR(__xludf.DUMMYFUNCTION("IFERROR(IF(F1209&lt;&gt;"""",""WHSE ""&amp;LEFT(F1209,1),REGEXEXTRACT(E1209,""-(?:\d{2}-)?([A-Z]+)"")),"""")
"),"WHSE D")</f>
        <v>WHSE D</v>
      </c>
      <c r="C1209" s="117">
        <v>46205.0</v>
      </c>
      <c r="D1209" s="118" t="s">
        <v>64</v>
      </c>
      <c r="E1209" s="87" t="s">
        <v>1007</v>
      </c>
      <c r="F1209" s="87" t="s">
        <v>344</v>
      </c>
      <c r="G1209" s="125" t="s">
        <v>1008</v>
      </c>
      <c r="H1209" s="120">
        <v>23930.0</v>
      </c>
      <c r="I1209" s="121">
        <v>625.0</v>
      </c>
      <c r="J1209" s="122">
        <v>12.27</v>
      </c>
      <c r="K1209" s="123">
        <v>2.6</v>
      </c>
      <c r="L1209" s="123">
        <v>0.578</v>
      </c>
      <c r="M1209" s="123">
        <v>0.598</v>
      </c>
      <c r="N1209" s="124">
        <v>12.07</v>
      </c>
      <c r="O1209" s="122">
        <v>2.86</v>
      </c>
      <c r="P1209" s="124">
        <v>85.07</v>
      </c>
      <c r="Q1209" s="219"/>
      <c r="R1209" s="198"/>
      <c r="S1209" s="198"/>
      <c r="T1209" s="198"/>
      <c r="U1209" s="198"/>
      <c r="V1209" s="198"/>
      <c r="W1209" s="198"/>
      <c r="X1209" s="198"/>
    </row>
    <row r="1210" ht="12.0" customHeight="1">
      <c r="A12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0" s="87" t="str">
        <f>IFERROR(__xludf.DUMMYFUNCTION("IFERROR(IF(F1210&lt;&gt;"""",""WHSE ""&amp;LEFT(F1210,1),REGEXEXTRACT(E1210,""-(?:\d{2}-)?([A-Z]+)"")),"""")
"),"")</f>
        <v/>
      </c>
      <c r="C1210" s="108"/>
      <c r="D1210" s="109"/>
      <c r="E1210" s="110"/>
      <c r="F1210" s="110"/>
      <c r="G1210" s="111"/>
      <c r="H1210" s="112"/>
      <c r="I1210" s="113"/>
      <c r="J1210" s="114"/>
      <c r="K1210" s="115"/>
      <c r="L1210" s="115"/>
      <c r="M1210" s="115"/>
      <c r="N1210" s="116"/>
      <c r="O1210" s="114"/>
      <c r="P1210" s="116"/>
      <c r="Q1210" s="219"/>
      <c r="R1210" s="198"/>
      <c r="S1210" s="198"/>
      <c r="T1210" s="198"/>
      <c r="U1210" s="198"/>
      <c r="V1210" s="198"/>
      <c r="W1210" s="198"/>
      <c r="X1210" s="198"/>
    </row>
    <row r="1211" ht="12.0" customHeight="1">
      <c r="A12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1" s="87" t="str">
        <f>IFERROR(__xludf.DUMMYFUNCTION("IFERROR(IF(F1211&lt;&gt;"""",""WHSE ""&amp;LEFT(F1211,1),REGEXEXTRACT(E1211,""-(?:\d{2}-)?([A-Z]+)"")),"""")
"),"WHSE A")</f>
        <v>WHSE A</v>
      </c>
      <c r="C1211" s="117">
        <v>46206.0</v>
      </c>
      <c r="D1211" s="118" t="s">
        <v>72</v>
      </c>
      <c r="E1211" s="87" t="s">
        <v>998</v>
      </c>
      <c r="F1211" s="87" t="s">
        <v>516</v>
      </c>
      <c r="G1211" s="125" t="s">
        <v>77</v>
      </c>
      <c r="H1211" s="120">
        <v>18090.0</v>
      </c>
      <c r="I1211" s="121">
        <v>448.0</v>
      </c>
      <c r="J1211" s="122">
        <v>11.6</v>
      </c>
      <c r="K1211" s="123">
        <v>2.28</v>
      </c>
      <c r="L1211" s="123">
        <v>0.575</v>
      </c>
      <c r="M1211" s="123">
        <v>0.595</v>
      </c>
      <c r="N1211" s="124">
        <v>13.25</v>
      </c>
      <c r="O1211" s="122">
        <v>2.78</v>
      </c>
      <c r="P1211" s="124">
        <v>83.97</v>
      </c>
      <c r="Q1211" s="220" t="s">
        <v>1009</v>
      </c>
      <c r="R1211" s="198"/>
      <c r="S1211" s="198"/>
      <c r="T1211" s="198"/>
      <c r="U1211" s="198"/>
      <c r="V1211" s="198"/>
      <c r="W1211" s="198"/>
      <c r="X1211" s="198"/>
    </row>
    <row r="1212" ht="12.0" customHeight="1">
      <c r="A12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2" s="87" t="str">
        <f>IFERROR(__xludf.DUMMYFUNCTION("IFERROR(IF(F1212&lt;&gt;"""",""WHSE ""&amp;LEFT(F1212,1),REGEXEXTRACT(E1212,""-(?:\d{2}-)?([A-Z]+)"")),"""")
"),"WHSE D")</f>
        <v>WHSE D</v>
      </c>
      <c r="C1212" s="117">
        <v>46206.0</v>
      </c>
      <c r="D1212" s="118" t="s">
        <v>232</v>
      </c>
      <c r="E1212" s="87" t="s">
        <v>1004</v>
      </c>
      <c r="F1212" s="87" t="s">
        <v>1005</v>
      </c>
      <c r="G1212" s="125" t="s">
        <v>668</v>
      </c>
      <c r="H1212" s="120">
        <v>10675.0</v>
      </c>
      <c r="I1212" s="121">
        <v>281.0</v>
      </c>
      <c r="J1212" s="122">
        <v>9.74</v>
      </c>
      <c r="K1212" s="123">
        <v>2.74</v>
      </c>
      <c r="L1212" s="123">
        <v>0.571</v>
      </c>
      <c r="M1212" s="123">
        <v>0.591</v>
      </c>
      <c r="N1212" s="124">
        <v>13.08</v>
      </c>
      <c r="O1212" s="122">
        <v>2.58</v>
      </c>
      <c r="P1212" s="124">
        <v>84.34</v>
      </c>
      <c r="Q1212" s="219"/>
      <c r="R1212" s="198"/>
      <c r="S1212" s="198"/>
      <c r="T1212" s="198"/>
      <c r="U1212" s="198"/>
      <c r="V1212" s="198"/>
      <c r="W1212" s="198"/>
      <c r="X1212" s="198"/>
    </row>
    <row r="1213" ht="12.0" customHeight="1">
      <c r="A12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3" s="87" t="str">
        <f>IFERROR(__xludf.DUMMYFUNCTION("IFERROR(IF(F1213&lt;&gt;"""",""WHSE ""&amp;LEFT(F1213,1),REGEXEXTRACT(E1213,""-(?:\d{2}-)?([A-Z]+)"")),"""")
"),"WHSE D")</f>
        <v>WHSE D</v>
      </c>
      <c r="C1213" s="117">
        <v>46206.0</v>
      </c>
      <c r="D1213" s="118" t="s">
        <v>232</v>
      </c>
      <c r="E1213" s="87" t="s">
        <v>1004</v>
      </c>
      <c r="F1213" s="87" t="s">
        <v>1005</v>
      </c>
      <c r="G1213" s="125" t="s">
        <v>328</v>
      </c>
      <c r="H1213" s="120">
        <v>21850.0</v>
      </c>
      <c r="I1213" s="121">
        <v>605.0</v>
      </c>
      <c r="J1213" s="122">
        <v>10.47</v>
      </c>
      <c r="K1213" s="123">
        <v>2.58</v>
      </c>
      <c r="L1213" s="123">
        <v>0.562</v>
      </c>
      <c r="M1213" s="123">
        <v>0.582</v>
      </c>
      <c r="N1213" s="124">
        <v>13.52</v>
      </c>
      <c r="O1213" s="122">
        <v>3.29</v>
      </c>
      <c r="P1213" s="124">
        <v>83.19</v>
      </c>
      <c r="Q1213" s="219"/>
      <c r="R1213" s="198"/>
      <c r="S1213" s="198"/>
      <c r="T1213" s="198"/>
      <c r="U1213" s="198"/>
      <c r="V1213" s="198"/>
      <c r="W1213" s="198"/>
      <c r="X1213" s="198"/>
    </row>
    <row r="1214" ht="12.0" customHeight="1">
      <c r="A12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4" s="87" t="str">
        <f>IFERROR(__xludf.DUMMYFUNCTION("IFERROR(IF(F1214&lt;&gt;"""",""WHSE ""&amp;LEFT(F1214,1),REGEXEXTRACT(E1214,""-(?:\d{2}-)?([A-Z]+)"")),"""")
"),"")</f>
        <v/>
      </c>
      <c r="C1214" s="108"/>
      <c r="D1214" s="109"/>
      <c r="E1214" s="110"/>
      <c r="F1214" s="110"/>
      <c r="G1214" s="111"/>
      <c r="H1214" s="112"/>
      <c r="I1214" s="113"/>
      <c r="J1214" s="114"/>
      <c r="K1214" s="115"/>
      <c r="L1214" s="115"/>
      <c r="M1214" s="115"/>
      <c r="N1214" s="116"/>
      <c r="O1214" s="114"/>
      <c r="P1214" s="116"/>
      <c r="Q1214" s="219"/>
      <c r="R1214" s="198"/>
      <c r="S1214" s="198"/>
      <c r="T1214" s="198"/>
      <c r="U1214" s="198"/>
      <c r="V1214" s="198"/>
      <c r="W1214" s="198"/>
      <c r="X1214" s="198"/>
    </row>
    <row r="1215" ht="12.0" customHeight="1">
      <c r="A12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5" s="87" t="str">
        <f>IFERROR(__xludf.DUMMYFUNCTION("IFERROR(IF(F1215&lt;&gt;"""",""WHSE ""&amp;LEFT(F1215,1),REGEXEXTRACT(E1215,""-(?:\d{2}-)?([A-Z]+)"")),"""")
"),"")</f>
        <v/>
      </c>
      <c r="C1215" s="108"/>
      <c r="D1215" s="109"/>
      <c r="E1215" s="110"/>
      <c r="F1215" s="110"/>
      <c r="G1215" s="111"/>
      <c r="H1215" s="112"/>
      <c r="I1215" s="113"/>
      <c r="J1215" s="114"/>
      <c r="K1215" s="115"/>
      <c r="L1215" s="115"/>
      <c r="M1215" s="115"/>
      <c r="N1215" s="116"/>
      <c r="O1215" s="114"/>
      <c r="P1215" s="116"/>
      <c r="Q1215" s="219"/>
      <c r="R1215" s="198"/>
      <c r="S1215" s="198"/>
      <c r="T1215" s="198"/>
      <c r="U1215" s="198"/>
      <c r="V1215" s="198"/>
      <c r="W1215" s="198"/>
      <c r="X1215" s="198"/>
    </row>
    <row r="1216" ht="12.0" customHeight="1">
      <c r="A12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6" s="87" t="str">
        <f>IFERROR(__xludf.DUMMYFUNCTION("IFERROR(IF(F1216&lt;&gt;"""",""WHSE ""&amp;LEFT(F1216,1),REGEXEXTRACT(E1216,""-(?:\d{2}-)?([A-Z]+)"")),"""")
"),"")</f>
        <v/>
      </c>
      <c r="C1216" s="108"/>
      <c r="D1216" s="109"/>
      <c r="E1216" s="110"/>
      <c r="F1216" s="110"/>
      <c r="G1216" s="111"/>
      <c r="H1216" s="112"/>
      <c r="I1216" s="113"/>
      <c r="J1216" s="114"/>
      <c r="K1216" s="115"/>
      <c r="L1216" s="115"/>
      <c r="M1216" s="115"/>
      <c r="N1216" s="116"/>
      <c r="O1216" s="114"/>
      <c r="P1216" s="116"/>
      <c r="Q1216" s="219"/>
      <c r="R1216" s="198"/>
      <c r="S1216" s="198"/>
      <c r="T1216" s="198"/>
      <c r="U1216" s="198"/>
      <c r="V1216" s="198"/>
      <c r="W1216" s="198"/>
      <c r="X1216" s="198"/>
    </row>
    <row r="1217" ht="12.0" customHeight="1">
      <c r="A12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7" s="87" t="str">
        <f>IFERROR(__xludf.DUMMYFUNCTION("IFERROR(IF(F1217&lt;&gt;"""",""WHSE ""&amp;LEFT(F1217,1),REGEXEXTRACT(E1217,""-(?:\d{2}-)?([A-Z]+)"")),"""")
"),"")</f>
        <v/>
      </c>
      <c r="C1217" s="108"/>
      <c r="D1217" s="109"/>
      <c r="E1217" s="110"/>
      <c r="F1217" s="110"/>
      <c r="G1217" s="111"/>
      <c r="H1217" s="112"/>
      <c r="I1217" s="113"/>
      <c r="J1217" s="114"/>
      <c r="K1217" s="115"/>
      <c r="L1217" s="115"/>
      <c r="M1217" s="115"/>
      <c r="N1217" s="116"/>
      <c r="O1217" s="114"/>
      <c r="P1217" s="116"/>
      <c r="Q1217" s="219"/>
      <c r="R1217" s="198"/>
      <c r="S1217" s="198"/>
      <c r="T1217" s="198"/>
      <c r="U1217" s="198"/>
      <c r="V1217" s="198"/>
      <c r="W1217" s="198"/>
      <c r="X1217" s="198"/>
    </row>
    <row r="1218" ht="12.0" customHeight="1">
      <c r="A12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8" s="87" t="str">
        <f>IFERROR(__xludf.DUMMYFUNCTION("IFERROR(IF(F1218&lt;&gt;"""",""WHSE ""&amp;LEFT(F1218,1),REGEXEXTRACT(E1218,""-(?:\d{2}-)?([A-Z]+)"")),"""")
"),"")</f>
        <v/>
      </c>
      <c r="C1218" s="108"/>
      <c r="D1218" s="109"/>
      <c r="E1218" s="110"/>
      <c r="F1218" s="110"/>
      <c r="G1218" s="111"/>
      <c r="H1218" s="112"/>
      <c r="I1218" s="113"/>
      <c r="J1218" s="114"/>
      <c r="K1218" s="115"/>
      <c r="L1218" s="115"/>
      <c r="M1218" s="115"/>
      <c r="N1218" s="116"/>
      <c r="O1218" s="114"/>
      <c r="P1218" s="116"/>
      <c r="Q1218" s="219"/>
      <c r="R1218" s="198"/>
      <c r="S1218" s="198"/>
      <c r="T1218" s="198"/>
      <c r="U1218" s="198"/>
      <c r="V1218" s="198"/>
      <c r="W1218" s="198"/>
      <c r="X1218" s="198"/>
    </row>
    <row r="1219" ht="12.0" customHeight="1">
      <c r="A12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19" s="87" t="str">
        <f>IFERROR(__xludf.DUMMYFUNCTION("IFERROR(IF(F1219&lt;&gt;"""",""WHSE ""&amp;LEFT(F1219,1),REGEXEXTRACT(E1219,""-(?:\d{2}-)?([A-Z]+)"")),"""")
"),"")</f>
        <v/>
      </c>
      <c r="C1219" s="108"/>
      <c r="D1219" s="109"/>
      <c r="E1219" s="110"/>
      <c r="F1219" s="110"/>
      <c r="G1219" s="111"/>
      <c r="H1219" s="112"/>
      <c r="I1219" s="113"/>
      <c r="J1219" s="114"/>
      <c r="K1219" s="115"/>
      <c r="L1219" s="115"/>
      <c r="M1219" s="115"/>
      <c r="N1219" s="116"/>
      <c r="O1219" s="114"/>
      <c r="P1219" s="116"/>
      <c r="Q1219" s="219"/>
      <c r="R1219" s="198"/>
      <c r="S1219" s="198"/>
      <c r="T1219" s="198"/>
      <c r="U1219" s="198"/>
      <c r="V1219" s="198"/>
      <c r="W1219" s="198"/>
      <c r="X1219" s="198"/>
    </row>
    <row r="1220" ht="12.0" customHeight="1">
      <c r="A12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0" s="87" t="str">
        <f>IFERROR(__xludf.DUMMYFUNCTION("IFERROR(IF(F1220&lt;&gt;"""",""WHSE ""&amp;LEFT(F1220,1),REGEXEXTRACT(E1220,""-(?:\d{2}-)?([A-Z]+)"")),"""")
"),"")</f>
        <v/>
      </c>
      <c r="C1220" s="108"/>
      <c r="D1220" s="109"/>
      <c r="E1220" s="110"/>
      <c r="F1220" s="110"/>
      <c r="G1220" s="111"/>
      <c r="H1220" s="112"/>
      <c r="I1220" s="113"/>
      <c r="J1220" s="114"/>
      <c r="K1220" s="115"/>
      <c r="L1220" s="115"/>
      <c r="M1220" s="115"/>
      <c r="N1220" s="116"/>
      <c r="O1220" s="114"/>
      <c r="P1220" s="116"/>
      <c r="Q1220" s="219"/>
      <c r="R1220" s="198"/>
      <c r="S1220" s="198"/>
      <c r="T1220" s="198"/>
      <c r="U1220" s="198"/>
      <c r="V1220" s="198"/>
      <c r="W1220" s="198"/>
      <c r="X1220" s="198"/>
    </row>
    <row r="1221" ht="12.0" customHeight="1">
      <c r="A12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1" s="87" t="str">
        <f>IFERROR(__xludf.DUMMYFUNCTION("IFERROR(IF(F1221&lt;&gt;"""",""WHSE ""&amp;LEFT(F1221,1),REGEXEXTRACT(E1221,""-(?:\d{2}-)?([A-Z]+)"")),"""")
"),"")</f>
        <v/>
      </c>
      <c r="C1221" s="108"/>
      <c r="D1221" s="109"/>
      <c r="E1221" s="110"/>
      <c r="F1221" s="110"/>
      <c r="G1221" s="111"/>
      <c r="H1221" s="112"/>
      <c r="I1221" s="113"/>
      <c r="J1221" s="114"/>
      <c r="K1221" s="115"/>
      <c r="L1221" s="115"/>
      <c r="M1221" s="115"/>
      <c r="N1221" s="116"/>
      <c r="O1221" s="114"/>
      <c r="P1221" s="116"/>
      <c r="Q1221" s="219"/>
      <c r="R1221" s="198"/>
      <c r="S1221" s="198"/>
      <c r="T1221" s="198"/>
      <c r="U1221" s="198"/>
      <c r="V1221" s="198"/>
      <c r="W1221" s="198"/>
      <c r="X1221" s="198"/>
    </row>
    <row r="1222" ht="12.0" customHeight="1">
      <c r="A12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2" s="87" t="str">
        <f>IFERROR(__xludf.DUMMYFUNCTION("IFERROR(IF(F1222&lt;&gt;"""",""WHSE ""&amp;LEFT(F1222,1),REGEXEXTRACT(E1222,""-(?:\d{2}-)?([A-Z]+)"")),"""")
"),"")</f>
        <v/>
      </c>
      <c r="C1222" s="108"/>
      <c r="D1222" s="109"/>
      <c r="E1222" s="110"/>
      <c r="F1222" s="110"/>
      <c r="G1222" s="111"/>
      <c r="H1222" s="112"/>
      <c r="I1222" s="113"/>
      <c r="J1222" s="114"/>
      <c r="K1222" s="115"/>
      <c r="L1222" s="115"/>
      <c r="M1222" s="115"/>
      <c r="N1222" s="116"/>
      <c r="O1222" s="114"/>
      <c r="P1222" s="116"/>
      <c r="Q1222" s="219"/>
      <c r="R1222" s="198"/>
      <c r="S1222" s="198"/>
      <c r="T1222" s="198"/>
      <c r="U1222" s="198"/>
      <c r="V1222" s="198"/>
      <c r="W1222" s="198"/>
      <c r="X1222" s="198"/>
    </row>
    <row r="1223" ht="12.0" customHeight="1">
      <c r="A12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3" s="87" t="str">
        <f>IFERROR(__xludf.DUMMYFUNCTION("IFERROR(IF(F1223&lt;&gt;"""",""WHSE ""&amp;LEFT(F1223,1),REGEXEXTRACT(E1223,""-(?:\d{2}-)?([A-Z]+)"")),"""")
"),"")</f>
        <v/>
      </c>
      <c r="C1223" s="108"/>
      <c r="D1223" s="109"/>
      <c r="E1223" s="110"/>
      <c r="F1223" s="110"/>
      <c r="G1223" s="111"/>
      <c r="H1223" s="112"/>
      <c r="I1223" s="113"/>
      <c r="J1223" s="114"/>
      <c r="K1223" s="115"/>
      <c r="L1223" s="115"/>
      <c r="M1223" s="115"/>
      <c r="N1223" s="116"/>
      <c r="O1223" s="114"/>
      <c r="P1223" s="116"/>
      <c r="Q1223" s="219"/>
      <c r="R1223" s="198"/>
      <c r="S1223" s="198"/>
      <c r="T1223" s="198"/>
      <c r="U1223" s="198"/>
      <c r="V1223" s="198"/>
      <c r="W1223" s="198"/>
      <c r="X1223" s="198"/>
    </row>
    <row r="1224" ht="12.0" customHeight="1">
      <c r="A12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4" s="87" t="str">
        <f>IFERROR(__xludf.DUMMYFUNCTION("IFERROR(IF(F1224&lt;&gt;"""",""WHSE ""&amp;LEFT(F1224,1),REGEXEXTRACT(E1224,""-(?:\d{2}-)?([A-Z]+)"")),"""")
"),"")</f>
        <v/>
      </c>
      <c r="C1224" s="108"/>
      <c r="D1224" s="109"/>
      <c r="E1224" s="110"/>
      <c r="F1224" s="110"/>
      <c r="G1224" s="111"/>
      <c r="H1224" s="112"/>
      <c r="I1224" s="113"/>
      <c r="J1224" s="114"/>
      <c r="K1224" s="115"/>
      <c r="L1224" s="115"/>
      <c r="M1224" s="115"/>
      <c r="N1224" s="116"/>
      <c r="O1224" s="114"/>
      <c r="P1224" s="116"/>
      <c r="Q1224" s="219"/>
      <c r="R1224" s="198"/>
      <c r="S1224" s="198"/>
      <c r="T1224" s="198"/>
      <c r="U1224" s="198"/>
      <c r="V1224" s="198"/>
      <c r="W1224" s="198"/>
      <c r="X1224" s="198"/>
    </row>
    <row r="1225" ht="12.0" customHeight="1">
      <c r="A12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5" s="87" t="str">
        <f>IFERROR(__xludf.DUMMYFUNCTION("IFERROR(IF(F1225&lt;&gt;"""",""WHSE ""&amp;LEFT(F1225,1),REGEXEXTRACT(E1225,""-(?:\d{2}-)?([A-Z]+)"")),"""")
"),"")</f>
        <v/>
      </c>
      <c r="C1225" s="108"/>
      <c r="D1225" s="109"/>
      <c r="E1225" s="110"/>
      <c r="F1225" s="110"/>
      <c r="G1225" s="111"/>
      <c r="H1225" s="112"/>
      <c r="I1225" s="113"/>
      <c r="J1225" s="114"/>
      <c r="K1225" s="115"/>
      <c r="L1225" s="115"/>
      <c r="M1225" s="115"/>
      <c r="N1225" s="116"/>
      <c r="O1225" s="114"/>
      <c r="P1225" s="116"/>
      <c r="Q1225" s="219"/>
      <c r="R1225" s="198"/>
      <c r="S1225" s="198"/>
      <c r="T1225" s="198"/>
      <c r="U1225" s="198"/>
      <c r="V1225" s="198"/>
      <c r="W1225" s="198"/>
      <c r="X1225" s="198"/>
    </row>
    <row r="1226" ht="12.0" customHeight="1">
      <c r="A12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6" s="87" t="str">
        <f>IFERROR(__xludf.DUMMYFUNCTION("IFERROR(IF(F1226&lt;&gt;"""",""WHSE ""&amp;LEFT(F1226,1),REGEXEXTRACT(E1226,""-(?:\d{2}-)?([A-Z]+)"")),"""")
"),"")</f>
        <v/>
      </c>
      <c r="C1226" s="108"/>
      <c r="D1226" s="109"/>
      <c r="E1226" s="110"/>
      <c r="F1226" s="110"/>
      <c r="G1226" s="111"/>
      <c r="H1226" s="112"/>
      <c r="I1226" s="113"/>
      <c r="J1226" s="114"/>
      <c r="K1226" s="115"/>
      <c r="L1226" s="115"/>
      <c r="M1226" s="115"/>
      <c r="N1226" s="116"/>
      <c r="O1226" s="114"/>
      <c r="P1226" s="116"/>
      <c r="Q1226" s="219"/>
      <c r="R1226" s="198"/>
      <c r="S1226" s="198"/>
      <c r="T1226" s="198"/>
      <c r="U1226" s="198"/>
      <c r="V1226" s="198"/>
      <c r="W1226" s="198"/>
      <c r="X1226" s="198"/>
    </row>
    <row r="1227" ht="12.0" customHeight="1">
      <c r="A12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7" s="87" t="str">
        <f>IFERROR(__xludf.DUMMYFUNCTION("IFERROR(IF(F1227&lt;&gt;"""",""WHSE ""&amp;LEFT(F1227,1),REGEXEXTRACT(E1227,""-(?:\d{2}-)?([A-Z]+)"")),"""")
"),"")</f>
        <v/>
      </c>
      <c r="C1227" s="108"/>
      <c r="D1227" s="109"/>
      <c r="E1227" s="110"/>
      <c r="F1227" s="110"/>
      <c r="G1227" s="111"/>
      <c r="H1227" s="112"/>
      <c r="I1227" s="113"/>
      <c r="J1227" s="114"/>
      <c r="K1227" s="115"/>
      <c r="L1227" s="115"/>
      <c r="M1227" s="115"/>
      <c r="N1227" s="116"/>
      <c r="O1227" s="114"/>
      <c r="P1227" s="116"/>
      <c r="Q1227" s="219"/>
      <c r="R1227" s="198"/>
      <c r="S1227" s="198"/>
      <c r="T1227" s="198"/>
      <c r="U1227" s="198"/>
      <c r="V1227" s="198"/>
      <c r="W1227" s="198"/>
      <c r="X1227" s="198"/>
    </row>
    <row r="1228" ht="12.0" customHeight="1">
      <c r="A12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8" s="87" t="str">
        <f>IFERROR(__xludf.DUMMYFUNCTION("IFERROR(IF(F1228&lt;&gt;"""",""WHSE ""&amp;LEFT(F1228,1),REGEXEXTRACT(E1228,""-(?:\d{2}-)?([A-Z]+)"")),"""")
"),"")</f>
        <v/>
      </c>
      <c r="C1228" s="108"/>
      <c r="D1228" s="109"/>
      <c r="E1228" s="110"/>
      <c r="F1228" s="110"/>
      <c r="G1228" s="111"/>
      <c r="H1228" s="112"/>
      <c r="I1228" s="113"/>
      <c r="J1228" s="114"/>
      <c r="K1228" s="115"/>
      <c r="L1228" s="115"/>
      <c r="M1228" s="115"/>
      <c r="N1228" s="116"/>
      <c r="O1228" s="114"/>
      <c r="P1228" s="116"/>
      <c r="Q1228" s="219"/>
      <c r="R1228" s="198"/>
      <c r="S1228" s="198"/>
      <c r="T1228" s="198"/>
      <c r="U1228" s="198"/>
      <c r="V1228" s="198"/>
      <c r="W1228" s="198"/>
      <c r="X1228" s="198"/>
    </row>
    <row r="1229" ht="12.0" customHeight="1">
      <c r="A12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29" s="87" t="str">
        <f>IFERROR(__xludf.DUMMYFUNCTION("IFERROR(IF(F1229&lt;&gt;"""",""WHSE ""&amp;LEFT(F1229,1),REGEXEXTRACT(E1229,""-(?:\d{2}-)?([A-Z]+)"")),"""")
"),"")</f>
        <v/>
      </c>
      <c r="C1229" s="108"/>
      <c r="D1229" s="109"/>
      <c r="E1229" s="110"/>
      <c r="F1229" s="110"/>
      <c r="G1229" s="111"/>
      <c r="H1229" s="112"/>
      <c r="I1229" s="113"/>
      <c r="J1229" s="114"/>
      <c r="K1229" s="115"/>
      <c r="L1229" s="115"/>
      <c r="M1229" s="115"/>
      <c r="N1229" s="116"/>
      <c r="O1229" s="114"/>
      <c r="P1229" s="116"/>
      <c r="Q1229" s="219"/>
      <c r="R1229" s="198"/>
      <c r="S1229" s="198"/>
      <c r="T1229" s="198"/>
      <c r="U1229" s="198"/>
      <c r="V1229" s="198"/>
      <c r="W1229" s="198"/>
      <c r="X1229" s="198"/>
    </row>
    <row r="1230" ht="12.0" customHeight="1">
      <c r="A12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0" s="87" t="str">
        <f>IFERROR(__xludf.DUMMYFUNCTION("IFERROR(IF(F1230&lt;&gt;"""",""WHSE ""&amp;LEFT(F1230,1),REGEXEXTRACT(E1230,""-(?:\d{2}-)?([A-Z]+)"")),"""")
"),"")</f>
        <v/>
      </c>
      <c r="C1230" s="108"/>
      <c r="D1230" s="109"/>
      <c r="E1230" s="110"/>
      <c r="F1230" s="110"/>
      <c r="G1230" s="111"/>
      <c r="H1230" s="112"/>
      <c r="I1230" s="113"/>
      <c r="J1230" s="114"/>
      <c r="K1230" s="115"/>
      <c r="L1230" s="115"/>
      <c r="M1230" s="115"/>
      <c r="N1230" s="116"/>
      <c r="O1230" s="114"/>
      <c r="P1230" s="116"/>
      <c r="Q1230" s="219"/>
      <c r="R1230" s="198"/>
      <c r="S1230" s="198"/>
      <c r="T1230" s="198"/>
      <c r="U1230" s="198"/>
      <c r="V1230" s="198"/>
      <c r="W1230" s="198"/>
      <c r="X1230" s="198"/>
    </row>
    <row r="1231" ht="12.0" customHeight="1">
      <c r="A12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1" s="87" t="str">
        <f>IFERROR(__xludf.DUMMYFUNCTION("IFERROR(IF(F1231&lt;&gt;"""",""WHSE ""&amp;LEFT(F1231,1),REGEXEXTRACT(E1231,""-(?:\d{2}-)?([A-Z]+)"")),"""")
"),"")</f>
        <v/>
      </c>
      <c r="C1231" s="108"/>
      <c r="D1231" s="109"/>
      <c r="E1231" s="110"/>
      <c r="F1231" s="110"/>
      <c r="G1231" s="111"/>
      <c r="H1231" s="112"/>
      <c r="I1231" s="113"/>
      <c r="J1231" s="114"/>
      <c r="K1231" s="115"/>
      <c r="L1231" s="115"/>
      <c r="M1231" s="115"/>
      <c r="N1231" s="116"/>
      <c r="O1231" s="114"/>
      <c r="P1231" s="116"/>
      <c r="Q1231" s="219"/>
      <c r="R1231" s="198"/>
      <c r="S1231" s="198"/>
      <c r="T1231" s="198"/>
      <c r="U1231" s="198"/>
      <c r="V1231" s="198"/>
      <c r="W1231" s="198"/>
      <c r="X1231" s="198"/>
    </row>
    <row r="1232" ht="12.0" customHeight="1">
      <c r="A12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2" s="87" t="str">
        <f>IFERROR(__xludf.DUMMYFUNCTION("IFERROR(IF(F1232&lt;&gt;"""",""WHSE ""&amp;LEFT(F1232,1),REGEXEXTRACT(E1232,""-(?:\d{2}-)?([A-Z]+)"")),"""")
"),"")</f>
        <v/>
      </c>
      <c r="C1232" s="108"/>
      <c r="D1232" s="109"/>
      <c r="E1232" s="110"/>
      <c r="F1232" s="110"/>
      <c r="G1232" s="111"/>
      <c r="H1232" s="112"/>
      <c r="I1232" s="113"/>
      <c r="J1232" s="114"/>
      <c r="K1232" s="115"/>
      <c r="L1232" s="115"/>
      <c r="M1232" s="115"/>
      <c r="N1232" s="116"/>
      <c r="O1232" s="114"/>
      <c r="P1232" s="116"/>
      <c r="Q1232" s="219"/>
      <c r="R1232" s="198"/>
      <c r="S1232" s="198"/>
      <c r="T1232" s="198"/>
      <c r="U1232" s="198"/>
      <c r="V1232" s="198"/>
      <c r="W1232" s="198"/>
      <c r="X1232" s="198"/>
    </row>
    <row r="1233" ht="12.0" customHeight="1">
      <c r="A12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3" s="87" t="str">
        <f>IFERROR(__xludf.DUMMYFUNCTION("IFERROR(IF(F1233&lt;&gt;"""",""WHSE ""&amp;LEFT(F1233,1),REGEXEXTRACT(E1233,""-(?:\d{2}-)?([A-Z]+)"")),"""")
"),"")</f>
        <v/>
      </c>
      <c r="C1233" s="108"/>
      <c r="D1233" s="109"/>
      <c r="E1233" s="110"/>
      <c r="F1233" s="110"/>
      <c r="G1233" s="111"/>
      <c r="H1233" s="112"/>
      <c r="I1233" s="113"/>
      <c r="J1233" s="114"/>
      <c r="K1233" s="115"/>
      <c r="L1233" s="115"/>
      <c r="M1233" s="115"/>
      <c r="N1233" s="116"/>
      <c r="O1233" s="114"/>
      <c r="P1233" s="116"/>
      <c r="Q1233" s="219"/>
      <c r="R1233" s="198"/>
      <c r="S1233" s="198"/>
      <c r="T1233" s="198"/>
      <c r="U1233" s="198"/>
      <c r="V1233" s="198"/>
      <c r="W1233" s="198"/>
      <c r="X1233" s="198"/>
    </row>
    <row r="1234" ht="12.0" customHeight="1">
      <c r="A12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4" s="87" t="str">
        <f>IFERROR(__xludf.DUMMYFUNCTION("IFERROR(IF(F1234&lt;&gt;"""",""WHSE ""&amp;LEFT(F1234,1),REGEXEXTRACT(E1234,""-(?:\d{2}-)?([A-Z]+)"")),"""")
"),"")</f>
        <v/>
      </c>
      <c r="C1234" s="108"/>
      <c r="D1234" s="109"/>
      <c r="E1234" s="110"/>
      <c r="F1234" s="110"/>
      <c r="G1234" s="111"/>
      <c r="H1234" s="112"/>
      <c r="I1234" s="113"/>
      <c r="J1234" s="114"/>
      <c r="K1234" s="115"/>
      <c r="L1234" s="115"/>
      <c r="M1234" s="115"/>
      <c r="N1234" s="116"/>
      <c r="O1234" s="114"/>
      <c r="P1234" s="116"/>
      <c r="Q1234" s="219"/>
      <c r="R1234" s="198"/>
      <c r="S1234" s="198"/>
      <c r="T1234" s="198"/>
      <c r="U1234" s="198"/>
      <c r="V1234" s="198"/>
      <c r="W1234" s="198"/>
      <c r="X1234" s="198"/>
    </row>
    <row r="1235" ht="12.0" customHeight="1">
      <c r="A12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5" s="87" t="str">
        <f>IFERROR(__xludf.DUMMYFUNCTION("IFERROR(IF(F1235&lt;&gt;"""",""WHSE ""&amp;LEFT(F1235,1),REGEXEXTRACT(E1235,""-(?:\d{2}-)?([A-Z]+)"")),"""")
"),"")</f>
        <v/>
      </c>
      <c r="C1235" s="108"/>
      <c r="D1235" s="109"/>
      <c r="E1235" s="110"/>
      <c r="F1235" s="110"/>
      <c r="G1235" s="111"/>
      <c r="H1235" s="112"/>
      <c r="I1235" s="113"/>
      <c r="J1235" s="114"/>
      <c r="K1235" s="115"/>
      <c r="L1235" s="115"/>
      <c r="M1235" s="115"/>
      <c r="N1235" s="116"/>
      <c r="O1235" s="114"/>
      <c r="P1235" s="116"/>
      <c r="Q1235" s="219"/>
      <c r="R1235" s="198"/>
      <c r="S1235" s="198"/>
      <c r="T1235" s="198"/>
      <c r="U1235" s="198"/>
      <c r="V1235" s="198"/>
      <c r="W1235" s="198"/>
      <c r="X1235" s="198"/>
    </row>
    <row r="1236" ht="12.0" customHeight="1">
      <c r="A12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6" s="87" t="str">
        <f>IFERROR(__xludf.DUMMYFUNCTION("IFERROR(IF(F1236&lt;&gt;"""",""WHSE ""&amp;LEFT(F1236,1),REGEXEXTRACT(E1236,""-(?:\d{2}-)?([A-Z]+)"")),"""")
"),"")</f>
        <v/>
      </c>
      <c r="C1236" s="108"/>
      <c r="D1236" s="109"/>
      <c r="E1236" s="110"/>
      <c r="F1236" s="110"/>
      <c r="G1236" s="111"/>
      <c r="H1236" s="112"/>
      <c r="I1236" s="113"/>
      <c r="J1236" s="114"/>
      <c r="K1236" s="115"/>
      <c r="L1236" s="115"/>
      <c r="M1236" s="115"/>
      <c r="N1236" s="116"/>
      <c r="O1236" s="114"/>
      <c r="P1236" s="116"/>
      <c r="Q1236" s="219"/>
      <c r="R1236" s="198"/>
      <c r="S1236" s="198"/>
      <c r="T1236" s="198"/>
      <c r="U1236" s="198"/>
      <c r="V1236" s="198"/>
      <c r="W1236" s="198"/>
      <c r="X1236" s="198"/>
    </row>
    <row r="1237" ht="12.0" customHeight="1">
      <c r="A12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7" s="87" t="str">
        <f>IFERROR(__xludf.DUMMYFUNCTION("IFERROR(IF(F1237&lt;&gt;"""",""WHSE ""&amp;LEFT(F1237,1),REGEXEXTRACT(E1237,""-(?:\d{2}-)?([A-Z]+)"")),"""")
"),"")</f>
        <v/>
      </c>
      <c r="C1237" s="108"/>
      <c r="D1237" s="109"/>
      <c r="E1237" s="110"/>
      <c r="F1237" s="110"/>
      <c r="G1237" s="111"/>
      <c r="H1237" s="112"/>
      <c r="I1237" s="113"/>
      <c r="J1237" s="114"/>
      <c r="K1237" s="115"/>
      <c r="L1237" s="115"/>
      <c r="M1237" s="115"/>
      <c r="N1237" s="116"/>
      <c r="O1237" s="114"/>
      <c r="P1237" s="116"/>
      <c r="Q1237" s="219"/>
      <c r="R1237" s="198"/>
      <c r="S1237" s="198"/>
      <c r="T1237" s="198"/>
      <c r="U1237" s="198"/>
      <c r="V1237" s="198"/>
      <c r="W1237" s="198"/>
      <c r="X1237" s="198"/>
    </row>
    <row r="1238" ht="12.0" customHeight="1">
      <c r="A12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8" s="87" t="str">
        <f>IFERROR(__xludf.DUMMYFUNCTION("IFERROR(IF(F1238&lt;&gt;"""",""WHSE ""&amp;LEFT(F1238,1),REGEXEXTRACT(E1238,""-(?:\d{2}-)?([A-Z]+)"")),"""")
"),"")</f>
        <v/>
      </c>
      <c r="C1238" s="108"/>
      <c r="D1238" s="109"/>
      <c r="E1238" s="110"/>
      <c r="F1238" s="110"/>
      <c r="G1238" s="111"/>
      <c r="H1238" s="112"/>
      <c r="I1238" s="113"/>
      <c r="J1238" s="114"/>
      <c r="K1238" s="115"/>
      <c r="L1238" s="115"/>
      <c r="M1238" s="115"/>
      <c r="N1238" s="116"/>
      <c r="O1238" s="114"/>
      <c r="P1238" s="116"/>
      <c r="Q1238" s="219"/>
      <c r="R1238" s="198"/>
      <c r="S1238" s="198"/>
      <c r="T1238" s="198"/>
      <c r="U1238" s="198"/>
      <c r="V1238" s="198"/>
      <c r="W1238" s="198"/>
      <c r="X1238" s="198"/>
    </row>
    <row r="1239" ht="12.0" customHeight="1">
      <c r="A12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39" s="87" t="str">
        <f>IFERROR(__xludf.DUMMYFUNCTION("IFERROR(IF(F1239&lt;&gt;"""",""WHSE ""&amp;LEFT(F1239,1),REGEXEXTRACT(E1239,""-(?:\d{2}-)?([A-Z]+)"")),"""")
"),"")</f>
        <v/>
      </c>
      <c r="C1239" s="108"/>
      <c r="D1239" s="109"/>
      <c r="E1239" s="110"/>
      <c r="F1239" s="110"/>
      <c r="G1239" s="111"/>
      <c r="H1239" s="112"/>
      <c r="I1239" s="113"/>
      <c r="J1239" s="114"/>
      <c r="K1239" s="115"/>
      <c r="L1239" s="115"/>
      <c r="M1239" s="115"/>
      <c r="N1239" s="116"/>
      <c r="O1239" s="114"/>
      <c r="P1239" s="116"/>
      <c r="Q1239" s="219"/>
      <c r="R1239" s="198"/>
      <c r="S1239" s="198"/>
      <c r="T1239" s="198"/>
      <c r="U1239" s="198"/>
      <c r="V1239" s="198"/>
      <c r="W1239" s="198"/>
      <c r="X1239" s="198"/>
    </row>
    <row r="1240" ht="12.0" customHeight="1">
      <c r="A12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0" s="87" t="str">
        <f>IFERROR(__xludf.DUMMYFUNCTION("IFERROR(IF(F1240&lt;&gt;"""",""WHSE ""&amp;LEFT(F1240,1),REGEXEXTRACT(E1240,""-(?:\d{2}-)?([A-Z]+)"")),"""")
"),"")</f>
        <v/>
      </c>
      <c r="C1240" s="108"/>
      <c r="D1240" s="109"/>
      <c r="E1240" s="110"/>
      <c r="F1240" s="110"/>
      <c r="G1240" s="111"/>
      <c r="H1240" s="112"/>
      <c r="I1240" s="113"/>
      <c r="J1240" s="114"/>
      <c r="K1240" s="115"/>
      <c r="L1240" s="115"/>
      <c r="M1240" s="115"/>
      <c r="N1240" s="116"/>
      <c r="O1240" s="114"/>
      <c r="P1240" s="116"/>
      <c r="Q1240" s="219"/>
      <c r="R1240" s="198"/>
      <c r="S1240" s="198"/>
      <c r="T1240" s="198"/>
      <c r="U1240" s="198"/>
      <c r="V1240" s="198"/>
      <c r="W1240" s="198"/>
      <c r="X1240" s="198"/>
    </row>
    <row r="1241" ht="12.0" customHeight="1">
      <c r="A12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1" s="87" t="str">
        <f>IFERROR(__xludf.DUMMYFUNCTION("IFERROR(IF(F1241&lt;&gt;"""",""WHSE ""&amp;LEFT(F1241,1),REGEXEXTRACT(E1241,""-(?:\d{2}-)?([A-Z]+)"")),"""")
"),"")</f>
        <v/>
      </c>
      <c r="C1241" s="108"/>
      <c r="D1241" s="109"/>
      <c r="E1241" s="110"/>
      <c r="F1241" s="110"/>
      <c r="G1241" s="111"/>
      <c r="H1241" s="112"/>
      <c r="I1241" s="113"/>
      <c r="J1241" s="114"/>
      <c r="K1241" s="115"/>
      <c r="L1241" s="115"/>
      <c r="M1241" s="115"/>
      <c r="N1241" s="116"/>
      <c r="O1241" s="114"/>
      <c r="P1241" s="116"/>
      <c r="Q1241" s="219"/>
      <c r="R1241" s="198"/>
      <c r="S1241" s="198"/>
      <c r="T1241" s="198"/>
      <c r="U1241" s="198"/>
      <c r="V1241" s="198"/>
      <c r="W1241" s="198"/>
      <c r="X1241" s="198"/>
    </row>
    <row r="1242" ht="12.0" customHeight="1">
      <c r="A12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2" s="87" t="str">
        <f>IFERROR(__xludf.DUMMYFUNCTION("IFERROR(IF(F1242&lt;&gt;"""",""WHSE ""&amp;LEFT(F1242,1),REGEXEXTRACT(E1242,""-(?:\d{2}-)?([A-Z]+)"")),"""")
"),"")</f>
        <v/>
      </c>
      <c r="C1242" s="108"/>
      <c r="D1242" s="109"/>
      <c r="E1242" s="110"/>
      <c r="F1242" s="110"/>
      <c r="G1242" s="111"/>
      <c r="H1242" s="112"/>
      <c r="I1242" s="113"/>
      <c r="J1242" s="114"/>
      <c r="K1242" s="115"/>
      <c r="L1242" s="115"/>
      <c r="M1242" s="115"/>
      <c r="N1242" s="116"/>
      <c r="O1242" s="114"/>
      <c r="P1242" s="116"/>
      <c r="Q1242" s="219"/>
      <c r="R1242" s="198"/>
      <c r="S1242" s="198"/>
      <c r="T1242" s="198"/>
      <c r="U1242" s="198"/>
      <c r="V1242" s="198"/>
      <c r="W1242" s="198"/>
      <c r="X1242" s="198"/>
    </row>
    <row r="1243" ht="12.0" customHeight="1">
      <c r="A12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3" s="87" t="str">
        <f>IFERROR(__xludf.DUMMYFUNCTION("IFERROR(IF(F1243&lt;&gt;"""",""WHSE ""&amp;LEFT(F1243,1),REGEXEXTRACT(E1243,""-(?:\d{2}-)?([A-Z]+)"")),"""")
"),"")</f>
        <v/>
      </c>
      <c r="C1243" s="108"/>
      <c r="D1243" s="109"/>
      <c r="E1243" s="110"/>
      <c r="F1243" s="110"/>
      <c r="G1243" s="111"/>
      <c r="H1243" s="112"/>
      <c r="I1243" s="113"/>
      <c r="J1243" s="114"/>
      <c r="K1243" s="115"/>
      <c r="L1243" s="115"/>
      <c r="M1243" s="115"/>
      <c r="N1243" s="116"/>
      <c r="O1243" s="114"/>
      <c r="P1243" s="116"/>
      <c r="Q1243" s="219"/>
      <c r="R1243" s="198"/>
      <c r="S1243" s="198"/>
      <c r="T1243" s="198"/>
      <c r="U1243" s="198"/>
      <c r="V1243" s="198"/>
      <c r="W1243" s="198"/>
      <c r="X1243" s="198"/>
    </row>
    <row r="1244" ht="12.0" customHeight="1">
      <c r="A12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4" s="87" t="str">
        <f>IFERROR(__xludf.DUMMYFUNCTION("IFERROR(IF(F1244&lt;&gt;"""",""WHSE ""&amp;LEFT(F1244,1),REGEXEXTRACT(E1244,""-(?:\d{2}-)?([A-Z]+)"")),"""")
"),"")</f>
        <v/>
      </c>
      <c r="C1244" s="108"/>
      <c r="D1244" s="109"/>
      <c r="E1244" s="110"/>
      <c r="F1244" s="110"/>
      <c r="G1244" s="111"/>
      <c r="H1244" s="112"/>
      <c r="I1244" s="113"/>
      <c r="J1244" s="114"/>
      <c r="K1244" s="115"/>
      <c r="L1244" s="115"/>
      <c r="M1244" s="115"/>
      <c r="N1244" s="116"/>
      <c r="O1244" s="114"/>
      <c r="P1244" s="116"/>
      <c r="Q1244" s="219"/>
      <c r="R1244" s="198"/>
      <c r="S1244" s="198"/>
      <c r="T1244" s="198"/>
      <c r="U1244" s="198"/>
      <c r="V1244" s="198"/>
      <c r="W1244" s="198"/>
      <c r="X1244" s="198"/>
    </row>
    <row r="1245" ht="12.0" customHeight="1">
      <c r="A12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5" s="87" t="str">
        <f>IFERROR(__xludf.DUMMYFUNCTION("IFERROR(IF(F1245&lt;&gt;"""",""WHSE ""&amp;LEFT(F1245,1),REGEXEXTRACT(E1245,""-(?:\d{2}-)?([A-Z]+)"")),"""")
"),"")</f>
        <v/>
      </c>
      <c r="C1245" s="108"/>
      <c r="D1245" s="109"/>
      <c r="E1245" s="110"/>
      <c r="F1245" s="110"/>
      <c r="G1245" s="111"/>
      <c r="H1245" s="112"/>
      <c r="I1245" s="113"/>
      <c r="J1245" s="114"/>
      <c r="K1245" s="115"/>
      <c r="L1245" s="115"/>
      <c r="M1245" s="115"/>
      <c r="N1245" s="116"/>
      <c r="O1245" s="114"/>
      <c r="P1245" s="116"/>
      <c r="Q1245" s="219"/>
      <c r="R1245" s="198"/>
      <c r="S1245" s="198"/>
      <c r="T1245" s="198"/>
      <c r="U1245" s="198"/>
      <c r="V1245" s="198"/>
      <c r="W1245" s="198"/>
      <c r="X1245" s="198"/>
    </row>
    <row r="1246" ht="12.0" customHeight="1">
      <c r="A12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6" s="87" t="str">
        <f>IFERROR(__xludf.DUMMYFUNCTION("IFERROR(IF(F1246&lt;&gt;"""",""WHSE ""&amp;LEFT(F1246,1),REGEXEXTRACT(E1246,""-(?:\d{2}-)?([A-Z]+)"")),"""")
"),"")</f>
        <v/>
      </c>
      <c r="C1246" s="108"/>
      <c r="D1246" s="109"/>
      <c r="E1246" s="110"/>
      <c r="F1246" s="110"/>
      <c r="G1246" s="111"/>
      <c r="H1246" s="112"/>
      <c r="I1246" s="113"/>
      <c r="J1246" s="114"/>
      <c r="K1246" s="115"/>
      <c r="L1246" s="115"/>
      <c r="M1246" s="115"/>
      <c r="N1246" s="116"/>
      <c r="O1246" s="114"/>
      <c r="P1246" s="116"/>
      <c r="Q1246" s="219"/>
      <c r="R1246" s="198"/>
      <c r="S1246" s="198"/>
      <c r="T1246" s="198"/>
      <c r="U1246" s="198"/>
      <c r="V1246" s="198"/>
      <c r="W1246" s="198"/>
      <c r="X1246" s="198"/>
    </row>
    <row r="1247" ht="12.0" customHeight="1">
      <c r="A12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7" s="87" t="str">
        <f>IFERROR(__xludf.DUMMYFUNCTION("IFERROR(IF(F1247&lt;&gt;"""",""WHSE ""&amp;LEFT(F1247,1),REGEXEXTRACT(E1247,""-(?:\d{2}-)?([A-Z]+)"")),"""")
"),"")</f>
        <v/>
      </c>
      <c r="C1247" s="108"/>
      <c r="D1247" s="109"/>
      <c r="E1247" s="110"/>
      <c r="F1247" s="110"/>
      <c r="G1247" s="111"/>
      <c r="H1247" s="112"/>
      <c r="I1247" s="113"/>
      <c r="J1247" s="114"/>
      <c r="K1247" s="115"/>
      <c r="L1247" s="115"/>
      <c r="M1247" s="115"/>
      <c r="N1247" s="116"/>
      <c r="O1247" s="114"/>
      <c r="P1247" s="116"/>
      <c r="Q1247" s="219"/>
      <c r="R1247" s="198"/>
      <c r="S1247" s="198"/>
      <c r="T1247" s="198"/>
      <c r="U1247" s="198"/>
      <c r="V1247" s="198"/>
      <c r="W1247" s="198"/>
      <c r="X1247" s="198"/>
    </row>
    <row r="1248" ht="12.0" customHeight="1">
      <c r="A12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8" s="87" t="str">
        <f>IFERROR(__xludf.DUMMYFUNCTION("IFERROR(IF(F1248&lt;&gt;"""",""WHSE ""&amp;LEFT(F1248,1),REGEXEXTRACT(E1248,""-(?:\d{2}-)?([A-Z]+)"")),"""")
"),"")</f>
        <v/>
      </c>
      <c r="C1248" s="108"/>
      <c r="D1248" s="109"/>
      <c r="E1248" s="110"/>
      <c r="F1248" s="110"/>
      <c r="G1248" s="111"/>
      <c r="H1248" s="112"/>
      <c r="I1248" s="113"/>
      <c r="J1248" s="114"/>
      <c r="K1248" s="115"/>
      <c r="L1248" s="115"/>
      <c r="M1248" s="115"/>
      <c r="N1248" s="116"/>
      <c r="O1248" s="114"/>
      <c r="P1248" s="116"/>
      <c r="Q1248" s="219"/>
      <c r="R1248" s="198"/>
      <c r="S1248" s="198"/>
      <c r="T1248" s="198"/>
      <c r="U1248" s="198"/>
      <c r="V1248" s="198"/>
      <c r="W1248" s="198"/>
      <c r="X1248" s="198"/>
    </row>
    <row r="1249" ht="12.0" customHeight="1">
      <c r="A12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49" s="87" t="str">
        <f>IFERROR(__xludf.DUMMYFUNCTION("IFERROR(IF(F1249&lt;&gt;"""",""WHSE ""&amp;LEFT(F1249,1),REGEXEXTRACT(E1249,""-(?:\d{2}-)?([A-Z]+)"")),"""")
"),"")</f>
        <v/>
      </c>
      <c r="C1249" s="108"/>
      <c r="D1249" s="109"/>
      <c r="E1249" s="110"/>
      <c r="F1249" s="110"/>
      <c r="G1249" s="111"/>
      <c r="H1249" s="112"/>
      <c r="I1249" s="113"/>
      <c r="J1249" s="114"/>
      <c r="K1249" s="115"/>
      <c r="L1249" s="115"/>
      <c r="M1249" s="115"/>
      <c r="N1249" s="116"/>
      <c r="O1249" s="114"/>
      <c r="P1249" s="116"/>
      <c r="Q1249" s="219"/>
      <c r="R1249" s="198"/>
      <c r="S1249" s="198"/>
      <c r="T1249" s="198"/>
      <c r="U1249" s="198"/>
      <c r="V1249" s="198"/>
      <c r="W1249" s="198"/>
      <c r="X1249" s="198"/>
    </row>
    <row r="1250" ht="12.0" customHeight="1">
      <c r="A12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0" s="87" t="str">
        <f>IFERROR(__xludf.DUMMYFUNCTION("IFERROR(IF(F1250&lt;&gt;"""",""WHSE ""&amp;LEFT(F1250,1),REGEXEXTRACT(E1250,""-(?:\d{2}-)?([A-Z]+)"")),"""")
"),"")</f>
        <v/>
      </c>
      <c r="C1250" s="108"/>
      <c r="D1250" s="109"/>
      <c r="E1250" s="110"/>
      <c r="F1250" s="110"/>
      <c r="G1250" s="111"/>
      <c r="H1250" s="112"/>
      <c r="I1250" s="113"/>
      <c r="J1250" s="114"/>
      <c r="K1250" s="115"/>
      <c r="L1250" s="115"/>
      <c r="M1250" s="115"/>
      <c r="N1250" s="116"/>
      <c r="O1250" s="114"/>
      <c r="P1250" s="116"/>
      <c r="Q1250" s="219"/>
      <c r="R1250" s="198"/>
      <c r="S1250" s="198"/>
      <c r="T1250" s="198"/>
      <c r="U1250" s="198"/>
      <c r="V1250" s="198"/>
      <c r="W1250" s="198"/>
      <c r="X1250" s="198"/>
    </row>
    <row r="1251" ht="12.0" customHeight="1">
      <c r="A12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1" s="87" t="str">
        <f>IFERROR(__xludf.DUMMYFUNCTION("IFERROR(IF(F1251&lt;&gt;"""",""WHSE ""&amp;LEFT(F1251,1),REGEXEXTRACT(E1251,""-(?:\d{2}-)?([A-Z]+)"")),"""")
"),"")</f>
        <v/>
      </c>
      <c r="C1251" s="108"/>
      <c r="D1251" s="109"/>
      <c r="E1251" s="110"/>
      <c r="F1251" s="110"/>
      <c r="G1251" s="111"/>
      <c r="H1251" s="112"/>
      <c r="I1251" s="113"/>
      <c r="J1251" s="114"/>
      <c r="K1251" s="115"/>
      <c r="L1251" s="115"/>
      <c r="M1251" s="115"/>
      <c r="N1251" s="116"/>
      <c r="O1251" s="114"/>
      <c r="P1251" s="116"/>
      <c r="Q1251" s="219"/>
      <c r="R1251" s="198"/>
      <c r="S1251" s="198"/>
      <c r="T1251" s="198"/>
      <c r="U1251" s="198"/>
      <c r="V1251" s="198"/>
      <c r="W1251" s="198"/>
      <c r="X1251" s="198"/>
    </row>
    <row r="1252" ht="12.0" customHeight="1">
      <c r="A12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2" s="87" t="str">
        <f>IFERROR(__xludf.DUMMYFUNCTION("IFERROR(IF(F1252&lt;&gt;"""",""WHSE ""&amp;LEFT(F1252,1),REGEXEXTRACT(E1252,""-(?:\d{2}-)?([A-Z]+)"")),"""")
"),"")</f>
        <v/>
      </c>
      <c r="C1252" s="108"/>
      <c r="D1252" s="109"/>
      <c r="E1252" s="110"/>
      <c r="F1252" s="110"/>
      <c r="G1252" s="111"/>
      <c r="H1252" s="112"/>
      <c r="I1252" s="113"/>
      <c r="J1252" s="114"/>
      <c r="K1252" s="115"/>
      <c r="L1252" s="115"/>
      <c r="M1252" s="115"/>
      <c r="N1252" s="116"/>
      <c r="O1252" s="114"/>
      <c r="P1252" s="116"/>
      <c r="Q1252" s="219"/>
      <c r="R1252" s="198"/>
      <c r="S1252" s="198"/>
      <c r="T1252" s="198"/>
      <c r="U1252" s="198"/>
      <c r="V1252" s="198"/>
      <c r="W1252" s="198"/>
      <c r="X1252" s="198"/>
    </row>
    <row r="1253" ht="12.0" customHeight="1">
      <c r="A12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3" s="87" t="str">
        <f>IFERROR(__xludf.DUMMYFUNCTION("IFERROR(IF(F1253&lt;&gt;"""",""WHSE ""&amp;LEFT(F1253,1),REGEXEXTRACT(E1253,""-(?:\d{2}-)?([A-Z]+)"")),"""")
"),"")</f>
        <v/>
      </c>
      <c r="C1253" s="108"/>
      <c r="D1253" s="109"/>
      <c r="E1253" s="110"/>
      <c r="F1253" s="110"/>
      <c r="G1253" s="111"/>
      <c r="H1253" s="112"/>
      <c r="I1253" s="113"/>
      <c r="J1253" s="114"/>
      <c r="K1253" s="115"/>
      <c r="L1253" s="115"/>
      <c r="M1253" s="115"/>
      <c r="N1253" s="116"/>
      <c r="O1253" s="114"/>
      <c r="P1253" s="116"/>
      <c r="Q1253" s="219"/>
      <c r="R1253" s="198"/>
      <c r="S1253" s="198"/>
      <c r="T1253" s="198"/>
      <c r="U1253" s="198"/>
      <c r="V1253" s="198"/>
      <c r="W1253" s="198"/>
      <c r="X1253" s="198"/>
    </row>
    <row r="1254" ht="12.0" customHeight="1">
      <c r="A12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4" s="87" t="str">
        <f>IFERROR(__xludf.DUMMYFUNCTION("IFERROR(IF(F1254&lt;&gt;"""",""WHSE ""&amp;LEFT(F1254,1),REGEXEXTRACT(E1254,""-(?:\d{2}-)?([A-Z]+)"")),"""")
"),"")</f>
        <v/>
      </c>
      <c r="C1254" s="108"/>
      <c r="D1254" s="109"/>
      <c r="E1254" s="110"/>
      <c r="F1254" s="110"/>
      <c r="G1254" s="111"/>
      <c r="H1254" s="112"/>
      <c r="I1254" s="113"/>
      <c r="J1254" s="114"/>
      <c r="K1254" s="115"/>
      <c r="L1254" s="115"/>
      <c r="M1254" s="115"/>
      <c r="N1254" s="116"/>
      <c r="O1254" s="114"/>
      <c r="P1254" s="116"/>
      <c r="Q1254" s="219"/>
      <c r="R1254" s="198"/>
      <c r="S1254" s="198"/>
      <c r="T1254" s="198"/>
      <c r="U1254" s="198"/>
      <c r="V1254" s="198"/>
      <c r="W1254" s="198"/>
      <c r="X1254" s="198"/>
    </row>
    <row r="1255" ht="12.0" customHeight="1">
      <c r="A12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5" s="87" t="str">
        <f>IFERROR(__xludf.DUMMYFUNCTION("IFERROR(IF(F1255&lt;&gt;"""",""WHSE ""&amp;LEFT(F1255,1),REGEXEXTRACT(E1255,""-(?:\d{2}-)?([A-Z]+)"")),"""")
"),"")</f>
        <v/>
      </c>
      <c r="C1255" s="108"/>
      <c r="D1255" s="109"/>
      <c r="E1255" s="110"/>
      <c r="F1255" s="110"/>
      <c r="G1255" s="111"/>
      <c r="H1255" s="112"/>
      <c r="I1255" s="113"/>
      <c r="J1255" s="114"/>
      <c r="K1255" s="115"/>
      <c r="L1255" s="115"/>
      <c r="M1255" s="115"/>
      <c r="N1255" s="116"/>
      <c r="O1255" s="114"/>
      <c r="P1255" s="116"/>
      <c r="Q1255" s="219"/>
      <c r="R1255" s="198"/>
      <c r="S1255" s="198"/>
      <c r="T1255" s="198"/>
      <c r="U1255" s="198"/>
      <c r="V1255" s="198"/>
      <c r="W1255" s="198"/>
      <c r="X1255" s="198"/>
    </row>
    <row r="1256" ht="12.0" customHeight="1">
      <c r="A12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6" s="87" t="str">
        <f>IFERROR(__xludf.DUMMYFUNCTION("IFERROR(IF(F1256&lt;&gt;"""",""WHSE ""&amp;LEFT(F1256,1),REGEXEXTRACT(E1256,""-(?:\d{2}-)?([A-Z]+)"")),"""")
"),"")</f>
        <v/>
      </c>
      <c r="C1256" s="108"/>
      <c r="D1256" s="109"/>
      <c r="E1256" s="110"/>
      <c r="F1256" s="110"/>
      <c r="G1256" s="111"/>
      <c r="H1256" s="112"/>
      <c r="I1256" s="113"/>
      <c r="J1256" s="114"/>
      <c r="K1256" s="115"/>
      <c r="L1256" s="115"/>
      <c r="M1256" s="115"/>
      <c r="N1256" s="116"/>
      <c r="O1256" s="114"/>
      <c r="P1256" s="116"/>
      <c r="Q1256" s="219"/>
      <c r="R1256" s="198"/>
      <c r="S1256" s="198"/>
      <c r="T1256" s="198"/>
      <c r="U1256" s="198"/>
      <c r="V1256" s="198"/>
      <c r="W1256" s="198"/>
      <c r="X1256" s="198"/>
    </row>
    <row r="1257" ht="12.0" customHeight="1">
      <c r="A12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7" s="87" t="str">
        <f>IFERROR(__xludf.DUMMYFUNCTION("IFERROR(IF(F1257&lt;&gt;"""",""WHSE ""&amp;LEFT(F1257,1),REGEXEXTRACT(E1257,""-(?:\d{2}-)?([A-Z]+)"")),"""")
"),"")</f>
        <v/>
      </c>
      <c r="C1257" s="108"/>
      <c r="D1257" s="109"/>
      <c r="E1257" s="110"/>
      <c r="F1257" s="110"/>
      <c r="G1257" s="111"/>
      <c r="H1257" s="112"/>
      <c r="I1257" s="113"/>
      <c r="J1257" s="114"/>
      <c r="K1257" s="115"/>
      <c r="L1257" s="115"/>
      <c r="M1257" s="115"/>
      <c r="N1257" s="116"/>
      <c r="O1257" s="114"/>
      <c r="P1257" s="116"/>
      <c r="Q1257" s="219"/>
      <c r="R1257" s="198"/>
      <c r="S1257" s="198"/>
      <c r="T1257" s="198"/>
      <c r="U1257" s="198"/>
      <c r="V1257" s="198"/>
      <c r="W1257" s="198"/>
      <c r="X1257" s="198"/>
    </row>
    <row r="1258" ht="12.0" customHeight="1">
      <c r="A12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8" s="87" t="str">
        <f>IFERROR(__xludf.DUMMYFUNCTION("IFERROR(IF(F1258&lt;&gt;"""",""WHSE ""&amp;LEFT(F1258,1),REGEXEXTRACT(E1258,""-(?:\d{2}-)?([A-Z]+)"")),"""")
"),"")</f>
        <v/>
      </c>
      <c r="C1258" s="108"/>
      <c r="D1258" s="109"/>
      <c r="E1258" s="110"/>
      <c r="F1258" s="110"/>
      <c r="G1258" s="111"/>
      <c r="H1258" s="112"/>
      <c r="I1258" s="113"/>
      <c r="J1258" s="114"/>
      <c r="K1258" s="115"/>
      <c r="L1258" s="115"/>
      <c r="M1258" s="115"/>
      <c r="N1258" s="116"/>
      <c r="O1258" s="114"/>
      <c r="P1258" s="116"/>
      <c r="Q1258" s="219"/>
      <c r="R1258" s="198"/>
      <c r="S1258" s="198"/>
      <c r="T1258" s="198"/>
      <c r="U1258" s="198"/>
      <c r="V1258" s="198"/>
      <c r="W1258" s="198"/>
      <c r="X1258" s="198"/>
    </row>
    <row r="1259" ht="12.0" customHeight="1">
      <c r="A12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59" s="87" t="str">
        <f>IFERROR(__xludf.DUMMYFUNCTION("IFERROR(IF(F1259&lt;&gt;"""",""WHSE ""&amp;LEFT(F1259,1),REGEXEXTRACT(E1259,""-(?:\d{2}-)?([A-Z]+)"")),"""")
"),"")</f>
        <v/>
      </c>
      <c r="C1259" s="108"/>
      <c r="D1259" s="109"/>
      <c r="E1259" s="110"/>
      <c r="F1259" s="110"/>
      <c r="G1259" s="111"/>
      <c r="H1259" s="112"/>
      <c r="I1259" s="113"/>
      <c r="J1259" s="114"/>
      <c r="K1259" s="115"/>
      <c r="L1259" s="115"/>
      <c r="M1259" s="115"/>
      <c r="N1259" s="116"/>
      <c r="O1259" s="114"/>
      <c r="P1259" s="116"/>
      <c r="Q1259" s="219"/>
      <c r="R1259" s="198"/>
      <c r="S1259" s="198"/>
      <c r="T1259" s="198"/>
      <c r="U1259" s="198"/>
      <c r="V1259" s="198"/>
      <c r="W1259" s="198"/>
      <c r="X1259" s="198"/>
    </row>
    <row r="1260" ht="12.0" customHeight="1">
      <c r="A12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0" s="87" t="str">
        <f>IFERROR(__xludf.DUMMYFUNCTION("IFERROR(IF(F1260&lt;&gt;"""",""WHSE ""&amp;LEFT(F1260,1),REGEXEXTRACT(E1260,""-(?:\d{2}-)?([A-Z]+)"")),"""")
"),"")</f>
        <v/>
      </c>
      <c r="C1260" s="108"/>
      <c r="D1260" s="109"/>
      <c r="E1260" s="110"/>
      <c r="F1260" s="110"/>
      <c r="G1260" s="111"/>
      <c r="H1260" s="112"/>
      <c r="I1260" s="113"/>
      <c r="J1260" s="114"/>
      <c r="K1260" s="115"/>
      <c r="L1260" s="115"/>
      <c r="M1260" s="115"/>
      <c r="N1260" s="116"/>
      <c r="O1260" s="114"/>
      <c r="P1260" s="116"/>
      <c r="Q1260" s="219"/>
      <c r="R1260" s="198"/>
      <c r="S1260" s="198"/>
      <c r="T1260" s="198"/>
      <c r="U1260" s="198"/>
      <c r="V1260" s="198"/>
      <c r="W1260" s="198"/>
      <c r="X1260" s="198"/>
    </row>
    <row r="1261" ht="12.0" customHeight="1">
      <c r="A12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1" s="87" t="str">
        <f>IFERROR(__xludf.DUMMYFUNCTION("IFERROR(IF(F1261&lt;&gt;"""",""WHSE ""&amp;LEFT(F1261,1),REGEXEXTRACT(E1261,""-(?:\d{2}-)?([A-Z]+)"")),"""")
"),"")</f>
        <v/>
      </c>
      <c r="C1261" s="108"/>
      <c r="D1261" s="109"/>
      <c r="E1261" s="110"/>
      <c r="F1261" s="110"/>
      <c r="G1261" s="111"/>
      <c r="H1261" s="112"/>
      <c r="I1261" s="113"/>
      <c r="J1261" s="114"/>
      <c r="K1261" s="115"/>
      <c r="L1261" s="115"/>
      <c r="M1261" s="115"/>
      <c r="N1261" s="116"/>
      <c r="O1261" s="114"/>
      <c r="P1261" s="116"/>
      <c r="Q1261" s="219"/>
      <c r="R1261" s="198"/>
      <c r="S1261" s="198"/>
      <c r="T1261" s="198"/>
      <c r="U1261" s="198"/>
      <c r="V1261" s="198"/>
      <c r="W1261" s="198"/>
      <c r="X1261" s="198"/>
    </row>
    <row r="1262" ht="12.0" customHeight="1">
      <c r="A12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2" s="87" t="str">
        <f>IFERROR(__xludf.DUMMYFUNCTION("IFERROR(IF(F1262&lt;&gt;"""",""WHSE ""&amp;LEFT(F1262,1),REGEXEXTRACT(E1262,""-(?:\d{2}-)?([A-Z]+)"")),"""")
"),"")</f>
        <v/>
      </c>
      <c r="C1262" s="108"/>
      <c r="D1262" s="109"/>
      <c r="E1262" s="110"/>
      <c r="F1262" s="110"/>
      <c r="G1262" s="111"/>
      <c r="H1262" s="112"/>
      <c r="I1262" s="113"/>
      <c r="J1262" s="114"/>
      <c r="K1262" s="115"/>
      <c r="L1262" s="115"/>
      <c r="M1262" s="115"/>
      <c r="N1262" s="116"/>
      <c r="O1262" s="114"/>
      <c r="P1262" s="116"/>
      <c r="Q1262" s="219"/>
      <c r="R1262" s="198"/>
      <c r="S1262" s="198"/>
      <c r="T1262" s="198"/>
      <c r="U1262" s="198"/>
      <c r="V1262" s="198"/>
      <c r="W1262" s="198"/>
      <c r="X1262" s="198"/>
    </row>
    <row r="1263" ht="12.0" customHeight="1">
      <c r="A12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3" s="87" t="str">
        <f>IFERROR(__xludf.DUMMYFUNCTION("IFERROR(IF(F1263&lt;&gt;"""",""WHSE ""&amp;LEFT(F1263,1),REGEXEXTRACT(E1263,""-(?:\d{2}-)?([A-Z]+)"")),"""")
"),"")</f>
        <v/>
      </c>
      <c r="C1263" s="108"/>
      <c r="D1263" s="109"/>
      <c r="E1263" s="110"/>
      <c r="F1263" s="110"/>
      <c r="G1263" s="111"/>
      <c r="H1263" s="112"/>
      <c r="I1263" s="113"/>
      <c r="J1263" s="114"/>
      <c r="K1263" s="115"/>
      <c r="L1263" s="115"/>
      <c r="M1263" s="115"/>
      <c r="N1263" s="116"/>
      <c r="O1263" s="114"/>
      <c r="P1263" s="116"/>
      <c r="Q1263" s="219"/>
      <c r="R1263" s="198"/>
      <c r="S1263" s="198"/>
      <c r="T1263" s="198"/>
      <c r="U1263" s="198"/>
      <c r="V1263" s="198"/>
      <c r="W1263" s="198"/>
      <c r="X1263" s="198"/>
    </row>
    <row r="1264" ht="12.0" customHeight="1">
      <c r="A12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4" s="87" t="str">
        <f>IFERROR(__xludf.DUMMYFUNCTION("IFERROR(IF(F1264&lt;&gt;"""",""WHSE ""&amp;LEFT(F1264,1),REGEXEXTRACT(E1264,""-(?:\d{2}-)?([A-Z]+)"")),"""")
"),"")</f>
        <v/>
      </c>
      <c r="C1264" s="108"/>
      <c r="D1264" s="109"/>
      <c r="E1264" s="110"/>
      <c r="F1264" s="110"/>
      <c r="G1264" s="111"/>
      <c r="H1264" s="112"/>
      <c r="I1264" s="113"/>
      <c r="J1264" s="114"/>
      <c r="K1264" s="115"/>
      <c r="L1264" s="115"/>
      <c r="M1264" s="115"/>
      <c r="N1264" s="116"/>
      <c r="O1264" s="114"/>
      <c r="P1264" s="116"/>
      <c r="Q1264" s="219"/>
      <c r="R1264" s="198"/>
      <c r="S1264" s="198"/>
      <c r="T1264" s="198"/>
      <c r="U1264" s="198"/>
      <c r="V1264" s="198"/>
      <c r="W1264" s="198"/>
      <c r="X1264" s="198"/>
    </row>
    <row r="1265" ht="12.0" customHeight="1">
      <c r="A12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5" s="87" t="str">
        <f>IFERROR(__xludf.DUMMYFUNCTION("IFERROR(IF(F1265&lt;&gt;"""",""WHSE ""&amp;LEFT(F1265,1),REGEXEXTRACT(E1265,""-(?:\d{2}-)?([A-Z]+)"")),"""")
"),"")</f>
        <v/>
      </c>
      <c r="C1265" s="108"/>
      <c r="D1265" s="109"/>
      <c r="E1265" s="110"/>
      <c r="F1265" s="110"/>
      <c r="G1265" s="111"/>
      <c r="H1265" s="112"/>
      <c r="I1265" s="113"/>
      <c r="J1265" s="114"/>
      <c r="K1265" s="115"/>
      <c r="L1265" s="115"/>
      <c r="M1265" s="115"/>
      <c r="N1265" s="116"/>
      <c r="O1265" s="114"/>
      <c r="P1265" s="116"/>
      <c r="Q1265" s="219"/>
      <c r="R1265" s="198"/>
      <c r="S1265" s="198"/>
      <c r="T1265" s="198"/>
      <c r="U1265" s="198"/>
      <c r="V1265" s="198"/>
      <c r="W1265" s="198"/>
      <c r="X1265" s="198"/>
    </row>
    <row r="1266" ht="12.0" customHeight="1">
      <c r="A12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6" s="87" t="str">
        <f>IFERROR(__xludf.DUMMYFUNCTION("IFERROR(IF(F1266&lt;&gt;"""",""WHSE ""&amp;LEFT(F1266,1),REGEXEXTRACT(E1266,""-(?:\d{2}-)?([A-Z]+)"")),"""")
"),"")</f>
        <v/>
      </c>
      <c r="C1266" s="108"/>
      <c r="D1266" s="109"/>
      <c r="E1266" s="110"/>
      <c r="F1266" s="110"/>
      <c r="G1266" s="111"/>
      <c r="H1266" s="112"/>
      <c r="I1266" s="113"/>
      <c r="J1266" s="114"/>
      <c r="K1266" s="115"/>
      <c r="L1266" s="115"/>
      <c r="M1266" s="115"/>
      <c r="N1266" s="116"/>
      <c r="O1266" s="114"/>
      <c r="P1266" s="116"/>
      <c r="Q1266" s="219"/>
      <c r="R1266" s="198"/>
      <c r="S1266" s="198"/>
      <c r="T1266" s="198"/>
      <c r="U1266" s="198"/>
      <c r="V1266" s="198"/>
      <c r="W1266" s="198"/>
      <c r="X1266" s="198"/>
    </row>
    <row r="1267" ht="12.0" customHeight="1">
      <c r="A12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7" s="87" t="str">
        <f>IFERROR(__xludf.DUMMYFUNCTION("IFERROR(IF(F1267&lt;&gt;"""",""WHSE ""&amp;LEFT(F1267,1),REGEXEXTRACT(E1267,""-(?:\d{2}-)?([A-Z]+)"")),"""")
"),"")</f>
        <v/>
      </c>
      <c r="C1267" s="108"/>
      <c r="D1267" s="109"/>
      <c r="E1267" s="110"/>
      <c r="F1267" s="110"/>
      <c r="G1267" s="111"/>
      <c r="H1267" s="112"/>
      <c r="I1267" s="113"/>
      <c r="J1267" s="114"/>
      <c r="K1267" s="115"/>
      <c r="L1267" s="115"/>
      <c r="M1267" s="115"/>
      <c r="N1267" s="116"/>
      <c r="O1267" s="114"/>
      <c r="P1267" s="116"/>
      <c r="Q1267" s="219"/>
      <c r="R1267" s="198"/>
      <c r="S1267" s="198"/>
      <c r="T1267" s="198"/>
      <c r="U1267" s="198"/>
      <c r="V1267" s="198"/>
      <c r="W1267" s="198"/>
      <c r="X1267" s="198"/>
    </row>
    <row r="1268" ht="12.0" customHeight="1">
      <c r="A12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8" s="87" t="str">
        <f>IFERROR(__xludf.DUMMYFUNCTION("IFERROR(IF(F1268&lt;&gt;"""",""WHSE ""&amp;LEFT(F1268,1),REGEXEXTRACT(E1268,""-(?:\d{2}-)?([A-Z]+)"")),"""")
"),"")</f>
        <v/>
      </c>
      <c r="C1268" s="108"/>
      <c r="D1268" s="109"/>
      <c r="E1268" s="110"/>
      <c r="F1268" s="110"/>
      <c r="G1268" s="111"/>
      <c r="H1268" s="112"/>
      <c r="I1268" s="113"/>
      <c r="J1268" s="114"/>
      <c r="K1268" s="115"/>
      <c r="L1268" s="115"/>
      <c r="M1268" s="115"/>
      <c r="N1268" s="116"/>
      <c r="O1268" s="114"/>
      <c r="P1268" s="116"/>
      <c r="Q1268" s="219"/>
      <c r="R1268" s="198"/>
      <c r="S1268" s="198"/>
      <c r="T1268" s="198"/>
      <c r="U1268" s="198"/>
      <c r="V1268" s="198"/>
      <c r="W1268" s="198"/>
      <c r="X1268" s="198"/>
    </row>
    <row r="1269" ht="12.0" customHeight="1">
      <c r="A12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69" s="87" t="str">
        <f>IFERROR(__xludf.DUMMYFUNCTION("IFERROR(IF(F1269&lt;&gt;"""",""WHSE ""&amp;LEFT(F1269,1),REGEXEXTRACT(E1269,""-(?:\d{2}-)?([A-Z]+)"")),"""")
"),"")</f>
        <v/>
      </c>
      <c r="C1269" s="108"/>
      <c r="D1269" s="109"/>
      <c r="E1269" s="110"/>
      <c r="F1269" s="110"/>
      <c r="G1269" s="111"/>
      <c r="H1269" s="112"/>
      <c r="I1269" s="113"/>
      <c r="J1269" s="114"/>
      <c r="K1269" s="115"/>
      <c r="L1269" s="115"/>
      <c r="M1269" s="115"/>
      <c r="N1269" s="116"/>
      <c r="O1269" s="114"/>
      <c r="P1269" s="116"/>
      <c r="Q1269" s="219"/>
      <c r="R1269" s="198"/>
      <c r="S1269" s="198"/>
      <c r="T1269" s="198"/>
      <c r="U1269" s="198"/>
      <c r="V1269" s="198"/>
      <c r="W1269" s="198"/>
      <c r="X1269" s="198"/>
    </row>
    <row r="1270" ht="12.0" customHeight="1">
      <c r="A12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0" s="87" t="str">
        <f>IFERROR(__xludf.DUMMYFUNCTION("IFERROR(IF(F1270&lt;&gt;"""",""WHSE ""&amp;LEFT(F1270,1),REGEXEXTRACT(E1270,""-(?:\d{2}-)?([A-Z]+)"")),"""")
"),"")</f>
        <v/>
      </c>
      <c r="C1270" s="108"/>
      <c r="D1270" s="109"/>
      <c r="E1270" s="110"/>
      <c r="F1270" s="110"/>
      <c r="G1270" s="111"/>
      <c r="H1270" s="112"/>
      <c r="I1270" s="113"/>
      <c r="J1270" s="114"/>
      <c r="K1270" s="115"/>
      <c r="L1270" s="115"/>
      <c r="M1270" s="115"/>
      <c r="N1270" s="116"/>
      <c r="O1270" s="114"/>
      <c r="P1270" s="116"/>
      <c r="Q1270" s="219"/>
      <c r="R1270" s="198"/>
      <c r="S1270" s="198"/>
      <c r="T1270" s="198"/>
      <c r="U1270" s="198"/>
      <c r="V1270" s="198"/>
      <c r="W1270" s="198"/>
      <c r="X1270" s="198"/>
    </row>
    <row r="1271" ht="12.0" customHeight="1">
      <c r="A12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1" s="87" t="str">
        <f>IFERROR(__xludf.DUMMYFUNCTION("IFERROR(IF(F1271&lt;&gt;"""",""WHSE ""&amp;LEFT(F1271,1),REGEXEXTRACT(E1271,""-(?:\d{2}-)?([A-Z]+)"")),"""")
"),"")</f>
        <v/>
      </c>
      <c r="C1271" s="108"/>
      <c r="D1271" s="109"/>
      <c r="E1271" s="110"/>
      <c r="F1271" s="110"/>
      <c r="G1271" s="111"/>
      <c r="H1271" s="112"/>
      <c r="I1271" s="113"/>
      <c r="J1271" s="114"/>
      <c r="K1271" s="115"/>
      <c r="L1271" s="115"/>
      <c r="M1271" s="115"/>
      <c r="N1271" s="116"/>
      <c r="O1271" s="114"/>
      <c r="P1271" s="116"/>
      <c r="Q1271" s="219"/>
      <c r="R1271" s="198"/>
      <c r="S1271" s="198"/>
      <c r="T1271" s="198"/>
      <c r="U1271" s="198"/>
      <c r="V1271" s="198"/>
      <c r="W1271" s="198"/>
      <c r="X1271" s="198"/>
    </row>
    <row r="1272" ht="12.0" customHeight="1">
      <c r="A12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2" s="87" t="str">
        <f>IFERROR(__xludf.DUMMYFUNCTION("IFERROR(IF(F1272&lt;&gt;"""",""WHSE ""&amp;LEFT(F1272,1),REGEXEXTRACT(E1272,""-(?:\d{2}-)?([A-Z]+)"")),"""")
"),"")</f>
        <v/>
      </c>
      <c r="C1272" s="108"/>
      <c r="D1272" s="109"/>
      <c r="E1272" s="110"/>
      <c r="F1272" s="110"/>
      <c r="G1272" s="111"/>
      <c r="H1272" s="112"/>
      <c r="I1272" s="113"/>
      <c r="J1272" s="114"/>
      <c r="K1272" s="115"/>
      <c r="L1272" s="115"/>
      <c r="M1272" s="115"/>
      <c r="N1272" s="116"/>
      <c r="O1272" s="114"/>
      <c r="P1272" s="116"/>
      <c r="Q1272" s="219"/>
      <c r="R1272" s="198"/>
      <c r="S1272" s="198"/>
      <c r="T1272" s="198"/>
      <c r="U1272" s="198"/>
      <c r="V1272" s="198"/>
      <c r="W1272" s="198"/>
      <c r="X1272" s="198"/>
    </row>
    <row r="1273" ht="12.0" customHeight="1">
      <c r="A12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3" s="87" t="str">
        <f>IFERROR(__xludf.DUMMYFUNCTION("IFERROR(IF(F1273&lt;&gt;"""",""WHSE ""&amp;LEFT(F1273,1),REGEXEXTRACT(E1273,""-(?:\d{2}-)?([A-Z]+)"")),"""")
"),"")</f>
        <v/>
      </c>
      <c r="C1273" s="108"/>
      <c r="D1273" s="109"/>
      <c r="E1273" s="110"/>
      <c r="F1273" s="110"/>
      <c r="G1273" s="111"/>
      <c r="H1273" s="112"/>
      <c r="I1273" s="113"/>
      <c r="J1273" s="114"/>
      <c r="K1273" s="115"/>
      <c r="L1273" s="115"/>
      <c r="M1273" s="115"/>
      <c r="N1273" s="116"/>
      <c r="O1273" s="114"/>
      <c r="P1273" s="116"/>
      <c r="Q1273" s="219"/>
      <c r="R1273" s="198"/>
      <c r="S1273" s="198"/>
      <c r="T1273" s="198"/>
      <c r="U1273" s="198"/>
      <c r="V1273" s="198"/>
      <c r="W1273" s="198"/>
      <c r="X1273" s="198"/>
    </row>
    <row r="1274" ht="12.0" customHeight="1">
      <c r="A12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4" s="87" t="str">
        <f>IFERROR(__xludf.DUMMYFUNCTION("IFERROR(IF(F1274&lt;&gt;"""",""WHSE ""&amp;LEFT(F1274,1),REGEXEXTRACT(E1274,""-(?:\d{2}-)?([A-Z]+)"")),"""")
"),"")</f>
        <v/>
      </c>
      <c r="C1274" s="108"/>
      <c r="D1274" s="109"/>
      <c r="E1274" s="110"/>
      <c r="F1274" s="110"/>
      <c r="G1274" s="111"/>
      <c r="H1274" s="112"/>
      <c r="I1274" s="113"/>
      <c r="J1274" s="114"/>
      <c r="K1274" s="115"/>
      <c r="L1274" s="115"/>
      <c r="M1274" s="115"/>
      <c r="N1274" s="116"/>
      <c r="O1274" s="114"/>
      <c r="P1274" s="116"/>
      <c r="Q1274" s="219"/>
      <c r="R1274" s="198"/>
      <c r="S1274" s="198"/>
      <c r="T1274" s="198"/>
      <c r="U1274" s="198"/>
      <c r="V1274" s="198"/>
      <c r="W1274" s="198"/>
      <c r="X1274" s="198"/>
    </row>
    <row r="1275" ht="12.0" customHeight="1">
      <c r="A12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5" s="87" t="str">
        <f>IFERROR(__xludf.DUMMYFUNCTION("IFERROR(IF(F1275&lt;&gt;"""",""WHSE ""&amp;LEFT(F1275,1),REGEXEXTRACT(E1275,""-(?:\d{2}-)?([A-Z]+)"")),"""")
"),"")</f>
        <v/>
      </c>
      <c r="C1275" s="108"/>
      <c r="D1275" s="109"/>
      <c r="E1275" s="110"/>
      <c r="F1275" s="110"/>
      <c r="G1275" s="111"/>
      <c r="H1275" s="112"/>
      <c r="I1275" s="113"/>
      <c r="J1275" s="114"/>
      <c r="K1275" s="115"/>
      <c r="L1275" s="115"/>
      <c r="M1275" s="115"/>
      <c r="N1275" s="116"/>
      <c r="O1275" s="114"/>
      <c r="P1275" s="116"/>
      <c r="Q1275" s="219"/>
      <c r="R1275" s="198"/>
      <c r="S1275" s="198"/>
      <c r="T1275" s="198"/>
      <c r="U1275" s="198"/>
      <c r="V1275" s="198"/>
      <c r="W1275" s="198"/>
      <c r="X1275" s="198"/>
    </row>
    <row r="1276" ht="12.0" customHeight="1">
      <c r="A12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6" s="87" t="str">
        <f>IFERROR(__xludf.DUMMYFUNCTION("IFERROR(IF(F1276&lt;&gt;"""",""WHSE ""&amp;LEFT(F1276,1),REGEXEXTRACT(E1276,""-(?:\d{2}-)?([A-Z]+)"")),"""")
"),"")</f>
        <v/>
      </c>
      <c r="C1276" s="108"/>
      <c r="D1276" s="109"/>
      <c r="E1276" s="110"/>
      <c r="F1276" s="110"/>
      <c r="G1276" s="111"/>
      <c r="H1276" s="112"/>
      <c r="I1276" s="113"/>
      <c r="J1276" s="114"/>
      <c r="K1276" s="115"/>
      <c r="L1276" s="115"/>
      <c r="M1276" s="115"/>
      <c r="N1276" s="116"/>
      <c r="O1276" s="114"/>
      <c r="P1276" s="116"/>
      <c r="Q1276" s="219"/>
      <c r="R1276" s="198"/>
      <c r="S1276" s="198"/>
      <c r="T1276" s="198"/>
      <c r="U1276" s="198"/>
      <c r="V1276" s="198"/>
      <c r="W1276" s="198"/>
      <c r="X1276" s="198"/>
    </row>
    <row r="1277" ht="12.0" customHeight="1">
      <c r="A12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7" s="87" t="str">
        <f>IFERROR(__xludf.DUMMYFUNCTION("IFERROR(IF(F1277&lt;&gt;"""",""WHSE ""&amp;LEFT(F1277,1),REGEXEXTRACT(E1277,""-(?:\d{2}-)?([A-Z]+)"")),"""")
"),"")</f>
        <v/>
      </c>
      <c r="C1277" s="108"/>
      <c r="D1277" s="109"/>
      <c r="E1277" s="110"/>
      <c r="F1277" s="110"/>
      <c r="G1277" s="111"/>
      <c r="H1277" s="112"/>
      <c r="I1277" s="113"/>
      <c r="J1277" s="114"/>
      <c r="K1277" s="115"/>
      <c r="L1277" s="115"/>
      <c r="M1277" s="115"/>
      <c r="N1277" s="116"/>
      <c r="O1277" s="114"/>
      <c r="P1277" s="116"/>
      <c r="Q1277" s="219"/>
      <c r="R1277" s="198"/>
      <c r="S1277" s="198"/>
      <c r="T1277" s="198"/>
      <c r="U1277" s="198"/>
      <c r="V1277" s="198"/>
      <c r="W1277" s="198"/>
      <c r="X1277" s="198"/>
    </row>
    <row r="1278" ht="12.0" customHeight="1">
      <c r="A12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8" s="87" t="str">
        <f>IFERROR(__xludf.DUMMYFUNCTION("IFERROR(IF(F1278&lt;&gt;"""",""WHSE ""&amp;LEFT(F1278,1),REGEXEXTRACT(E1278,""-(?:\d{2}-)?([A-Z]+)"")),"""")
"),"")</f>
        <v/>
      </c>
      <c r="C1278" s="108"/>
      <c r="D1278" s="109"/>
      <c r="E1278" s="110"/>
      <c r="F1278" s="110"/>
      <c r="G1278" s="111"/>
      <c r="H1278" s="112"/>
      <c r="I1278" s="113"/>
      <c r="J1278" s="114"/>
      <c r="K1278" s="115"/>
      <c r="L1278" s="115"/>
      <c r="M1278" s="115"/>
      <c r="N1278" s="116"/>
      <c r="O1278" s="114"/>
      <c r="P1278" s="116"/>
      <c r="Q1278" s="219"/>
      <c r="R1278" s="198"/>
      <c r="S1278" s="198"/>
      <c r="T1278" s="198"/>
      <c r="U1278" s="198"/>
      <c r="V1278" s="198"/>
      <c r="W1278" s="198"/>
      <c r="X1278" s="198"/>
    </row>
    <row r="1279" ht="12.0" customHeight="1">
      <c r="A12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79" s="87" t="str">
        <f>IFERROR(__xludf.DUMMYFUNCTION("IFERROR(IF(F1279&lt;&gt;"""",""WHSE ""&amp;LEFT(F1279,1),REGEXEXTRACT(E1279,""-(?:\d{2}-)?([A-Z]+)"")),"""")
"),"")</f>
        <v/>
      </c>
      <c r="C1279" s="108"/>
      <c r="D1279" s="109"/>
      <c r="E1279" s="110"/>
      <c r="F1279" s="110"/>
      <c r="G1279" s="111"/>
      <c r="H1279" s="112"/>
      <c r="I1279" s="113"/>
      <c r="J1279" s="114"/>
      <c r="K1279" s="115"/>
      <c r="L1279" s="115"/>
      <c r="M1279" s="115"/>
      <c r="N1279" s="116"/>
      <c r="O1279" s="114"/>
      <c r="P1279" s="116"/>
      <c r="Q1279" s="219"/>
      <c r="R1279" s="198"/>
      <c r="S1279" s="198"/>
      <c r="T1279" s="198"/>
      <c r="U1279" s="198"/>
      <c r="V1279" s="198"/>
      <c r="W1279" s="198"/>
      <c r="X1279" s="198"/>
    </row>
    <row r="1280" ht="12.0" customHeight="1">
      <c r="A12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0" s="87" t="str">
        <f>IFERROR(__xludf.DUMMYFUNCTION("IFERROR(IF(F1280&lt;&gt;"""",""WHSE ""&amp;LEFT(F1280,1),REGEXEXTRACT(E1280,""-(?:\d{2}-)?([A-Z]+)"")),"""")
"),"")</f>
        <v/>
      </c>
      <c r="C1280" s="108"/>
      <c r="D1280" s="109"/>
      <c r="E1280" s="110"/>
      <c r="F1280" s="110"/>
      <c r="G1280" s="111"/>
      <c r="H1280" s="112"/>
      <c r="I1280" s="113"/>
      <c r="J1280" s="114"/>
      <c r="K1280" s="115"/>
      <c r="L1280" s="115"/>
      <c r="M1280" s="115"/>
      <c r="N1280" s="116"/>
      <c r="O1280" s="114"/>
      <c r="P1280" s="116"/>
      <c r="Q1280" s="219"/>
      <c r="R1280" s="198"/>
      <c r="S1280" s="198"/>
      <c r="T1280" s="198"/>
      <c r="U1280" s="198"/>
      <c r="V1280" s="198"/>
      <c r="W1280" s="198"/>
      <c r="X1280" s="198"/>
    </row>
    <row r="1281" ht="12.0" customHeight="1">
      <c r="A12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1" s="87" t="str">
        <f>IFERROR(__xludf.DUMMYFUNCTION("IFERROR(IF(F1281&lt;&gt;"""",""WHSE ""&amp;LEFT(F1281,1),REGEXEXTRACT(E1281,""-(?:\d{2}-)?([A-Z]+)"")),"""")
"),"")</f>
        <v/>
      </c>
      <c r="C1281" s="108"/>
      <c r="D1281" s="109"/>
      <c r="E1281" s="110"/>
      <c r="F1281" s="110"/>
      <c r="G1281" s="111"/>
      <c r="H1281" s="112"/>
      <c r="I1281" s="113"/>
      <c r="J1281" s="114"/>
      <c r="K1281" s="115"/>
      <c r="L1281" s="115"/>
      <c r="M1281" s="115"/>
      <c r="N1281" s="116"/>
      <c r="O1281" s="114"/>
      <c r="P1281" s="116"/>
      <c r="Q1281" s="219"/>
      <c r="R1281" s="198"/>
      <c r="S1281" s="198"/>
      <c r="T1281" s="198"/>
      <c r="U1281" s="198"/>
      <c r="V1281" s="198"/>
      <c r="W1281" s="198"/>
      <c r="X1281" s="198"/>
    </row>
    <row r="1282" ht="12.0" customHeight="1">
      <c r="A12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2" s="87" t="str">
        <f>IFERROR(__xludf.DUMMYFUNCTION("IFERROR(IF(F1282&lt;&gt;"""",""WHSE ""&amp;LEFT(F1282,1),REGEXEXTRACT(E1282,""-(?:\d{2}-)?([A-Z]+)"")),"""")
"),"")</f>
        <v/>
      </c>
      <c r="C1282" s="108"/>
      <c r="D1282" s="109"/>
      <c r="E1282" s="110"/>
      <c r="F1282" s="110"/>
      <c r="G1282" s="111"/>
      <c r="H1282" s="112"/>
      <c r="I1282" s="113"/>
      <c r="J1282" s="114"/>
      <c r="K1282" s="115"/>
      <c r="L1282" s="115"/>
      <c r="M1282" s="115"/>
      <c r="N1282" s="116"/>
      <c r="O1282" s="114"/>
      <c r="P1282" s="116"/>
      <c r="Q1282" s="219"/>
      <c r="R1282" s="198"/>
      <c r="S1282" s="198"/>
      <c r="T1282" s="198"/>
      <c r="U1282" s="198"/>
      <c r="V1282" s="198"/>
      <c r="W1282" s="198"/>
      <c r="X1282" s="198"/>
    </row>
    <row r="1283" ht="12.0" customHeight="1">
      <c r="A12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3" s="87" t="str">
        <f>IFERROR(__xludf.DUMMYFUNCTION("IFERROR(IF(F1283&lt;&gt;"""",""WHSE ""&amp;LEFT(F1283,1),REGEXEXTRACT(E1283,""-(?:\d{2}-)?([A-Z]+)"")),"""")
"),"")</f>
        <v/>
      </c>
      <c r="C1283" s="108"/>
      <c r="D1283" s="109"/>
      <c r="E1283" s="110"/>
      <c r="F1283" s="110"/>
      <c r="G1283" s="111"/>
      <c r="H1283" s="112"/>
      <c r="I1283" s="113"/>
      <c r="J1283" s="114"/>
      <c r="K1283" s="115"/>
      <c r="L1283" s="115"/>
      <c r="M1283" s="115"/>
      <c r="N1283" s="116"/>
      <c r="O1283" s="114"/>
      <c r="P1283" s="116"/>
      <c r="Q1283" s="219"/>
      <c r="R1283" s="198"/>
      <c r="S1283" s="198"/>
      <c r="T1283" s="198"/>
      <c r="U1283" s="198"/>
      <c r="V1283" s="198"/>
      <c r="W1283" s="198"/>
      <c r="X1283" s="198"/>
    </row>
    <row r="1284" ht="12.0" customHeight="1">
      <c r="A12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4" s="87" t="str">
        <f>IFERROR(__xludf.DUMMYFUNCTION("IFERROR(IF(F1284&lt;&gt;"""",""WHSE ""&amp;LEFT(F1284,1),REGEXEXTRACT(E1284,""-(?:\d{2}-)?([A-Z]+)"")),"""")
"),"")</f>
        <v/>
      </c>
      <c r="C1284" s="108"/>
      <c r="D1284" s="109"/>
      <c r="E1284" s="110"/>
      <c r="F1284" s="110"/>
      <c r="G1284" s="111"/>
      <c r="H1284" s="112"/>
      <c r="I1284" s="113"/>
      <c r="J1284" s="114"/>
      <c r="K1284" s="115"/>
      <c r="L1284" s="115"/>
      <c r="M1284" s="115"/>
      <c r="N1284" s="116"/>
      <c r="O1284" s="114"/>
      <c r="P1284" s="116"/>
      <c r="Q1284" s="219"/>
      <c r="R1284" s="198"/>
      <c r="S1284" s="198"/>
      <c r="T1284" s="198"/>
      <c r="U1284" s="198"/>
      <c r="V1284" s="198"/>
      <c r="W1284" s="198"/>
      <c r="X1284" s="198"/>
    </row>
    <row r="1285" ht="12.0" customHeight="1">
      <c r="A12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5" s="87" t="str">
        <f>IFERROR(__xludf.DUMMYFUNCTION("IFERROR(IF(F1285&lt;&gt;"""",""WHSE ""&amp;LEFT(F1285,1),REGEXEXTRACT(E1285,""-(?:\d{2}-)?([A-Z]+)"")),"""")
"),"")</f>
        <v/>
      </c>
      <c r="C1285" s="108"/>
      <c r="D1285" s="109"/>
      <c r="E1285" s="110"/>
      <c r="F1285" s="110"/>
      <c r="G1285" s="111"/>
      <c r="H1285" s="112"/>
      <c r="I1285" s="113"/>
      <c r="J1285" s="114"/>
      <c r="K1285" s="115"/>
      <c r="L1285" s="115"/>
      <c r="M1285" s="115"/>
      <c r="N1285" s="116"/>
      <c r="O1285" s="114"/>
      <c r="P1285" s="116"/>
      <c r="Q1285" s="219"/>
      <c r="R1285" s="198"/>
      <c r="S1285" s="198"/>
      <c r="T1285" s="198"/>
      <c r="U1285" s="198"/>
      <c r="V1285" s="198"/>
      <c r="W1285" s="198"/>
      <c r="X1285" s="198"/>
    </row>
    <row r="1286" ht="12.0" customHeight="1">
      <c r="A12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6" s="87" t="str">
        <f>IFERROR(__xludf.DUMMYFUNCTION("IFERROR(IF(F1286&lt;&gt;"""",""WHSE ""&amp;LEFT(F1286,1),REGEXEXTRACT(E1286,""-(?:\d{2}-)?([A-Z]+)"")),"""")
"),"")</f>
        <v/>
      </c>
      <c r="C1286" s="108"/>
      <c r="D1286" s="109"/>
      <c r="E1286" s="110"/>
      <c r="F1286" s="110"/>
      <c r="G1286" s="111"/>
      <c r="H1286" s="112"/>
      <c r="I1286" s="113"/>
      <c r="J1286" s="114"/>
      <c r="K1286" s="115"/>
      <c r="L1286" s="115"/>
      <c r="M1286" s="115"/>
      <c r="N1286" s="116"/>
      <c r="O1286" s="114"/>
      <c r="P1286" s="116"/>
      <c r="Q1286" s="219"/>
      <c r="R1286" s="198"/>
      <c r="S1286" s="198"/>
      <c r="T1286" s="198"/>
      <c r="U1286" s="198"/>
      <c r="V1286" s="198"/>
      <c r="W1286" s="198"/>
      <c r="X1286" s="198"/>
    </row>
    <row r="1287" ht="12.0" customHeight="1">
      <c r="A12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7" s="87" t="str">
        <f>IFERROR(__xludf.DUMMYFUNCTION("IFERROR(IF(F1287&lt;&gt;"""",""WHSE ""&amp;LEFT(F1287,1),REGEXEXTRACT(E1287,""-(?:\d{2}-)?([A-Z]+)"")),"""")
"),"")</f>
        <v/>
      </c>
      <c r="C1287" s="108"/>
      <c r="D1287" s="109"/>
      <c r="E1287" s="110"/>
      <c r="F1287" s="110"/>
      <c r="G1287" s="111"/>
      <c r="H1287" s="112"/>
      <c r="I1287" s="113"/>
      <c r="J1287" s="114"/>
      <c r="K1287" s="115"/>
      <c r="L1287" s="115"/>
      <c r="M1287" s="115"/>
      <c r="N1287" s="116"/>
      <c r="O1287" s="114"/>
      <c r="P1287" s="116"/>
      <c r="Q1287" s="219"/>
      <c r="R1287" s="198"/>
      <c r="S1287" s="198"/>
      <c r="T1287" s="198"/>
      <c r="U1287" s="198"/>
      <c r="V1287" s="198"/>
      <c r="W1287" s="198"/>
      <c r="X1287" s="198"/>
    </row>
    <row r="1288" ht="12.0" customHeight="1">
      <c r="A12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8" s="87" t="str">
        <f>IFERROR(__xludf.DUMMYFUNCTION("IFERROR(IF(F1288&lt;&gt;"""",""WHSE ""&amp;LEFT(F1288,1),REGEXEXTRACT(E1288,""-(?:\d{2}-)?([A-Z]+)"")),"""")
"),"")</f>
        <v/>
      </c>
      <c r="C1288" s="108"/>
      <c r="D1288" s="109"/>
      <c r="E1288" s="110"/>
      <c r="F1288" s="110"/>
      <c r="G1288" s="111"/>
      <c r="H1288" s="112"/>
      <c r="I1288" s="113"/>
      <c r="J1288" s="114"/>
      <c r="K1288" s="115"/>
      <c r="L1288" s="115"/>
      <c r="M1288" s="115"/>
      <c r="N1288" s="116"/>
      <c r="O1288" s="114"/>
      <c r="P1288" s="116"/>
      <c r="Q1288" s="219"/>
      <c r="R1288" s="198"/>
      <c r="S1288" s="198"/>
      <c r="T1288" s="198"/>
      <c r="U1288" s="198"/>
      <c r="V1288" s="198"/>
      <c r="W1288" s="198"/>
      <c r="X1288" s="198"/>
    </row>
    <row r="1289" ht="12.0" customHeight="1">
      <c r="A12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89" s="87" t="str">
        <f>IFERROR(__xludf.DUMMYFUNCTION("IFERROR(IF(F1289&lt;&gt;"""",""WHSE ""&amp;LEFT(F1289,1),REGEXEXTRACT(E1289,""-(?:\d{2}-)?([A-Z]+)"")),"""")
"),"")</f>
        <v/>
      </c>
      <c r="C1289" s="108"/>
      <c r="D1289" s="109"/>
      <c r="E1289" s="110"/>
      <c r="F1289" s="110"/>
      <c r="G1289" s="111"/>
      <c r="H1289" s="112"/>
      <c r="I1289" s="113"/>
      <c r="J1289" s="114"/>
      <c r="K1289" s="115"/>
      <c r="L1289" s="115"/>
      <c r="M1289" s="115"/>
      <c r="N1289" s="116"/>
      <c r="O1289" s="114"/>
      <c r="P1289" s="116"/>
      <c r="Q1289" s="219"/>
      <c r="R1289" s="198"/>
      <c r="S1289" s="198"/>
      <c r="T1289" s="198"/>
      <c r="U1289" s="198"/>
      <c r="V1289" s="198"/>
      <c r="W1289" s="198"/>
      <c r="X1289" s="198"/>
    </row>
    <row r="1290" ht="12.0" customHeight="1">
      <c r="A12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0" s="87" t="str">
        <f>IFERROR(__xludf.DUMMYFUNCTION("IFERROR(IF(F1290&lt;&gt;"""",""WHSE ""&amp;LEFT(F1290,1),REGEXEXTRACT(E1290,""-(?:\d{2}-)?([A-Z]+)"")),"""")
"),"")</f>
        <v/>
      </c>
      <c r="C1290" s="108"/>
      <c r="D1290" s="109"/>
      <c r="E1290" s="110"/>
      <c r="F1290" s="110"/>
      <c r="G1290" s="111"/>
      <c r="H1290" s="112"/>
      <c r="I1290" s="113"/>
      <c r="J1290" s="114"/>
      <c r="K1290" s="115"/>
      <c r="L1290" s="115"/>
      <c r="M1290" s="115"/>
      <c r="N1290" s="116"/>
      <c r="O1290" s="114"/>
      <c r="P1290" s="116"/>
      <c r="Q1290" s="219"/>
      <c r="R1290" s="198"/>
      <c r="S1290" s="198"/>
      <c r="T1290" s="198"/>
      <c r="U1290" s="198"/>
      <c r="V1290" s="198"/>
      <c r="W1290" s="198"/>
      <c r="X1290" s="198"/>
    </row>
    <row r="1291" ht="12.0" customHeight="1">
      <c r="A12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1" s="87" t="str">
        <f>IFERROR(__xludf.DUMMYFUNCTION("IFERROR(IF(F1291&lt;&gt;"""",""WHSE ""&amp;LEFT(F1291,1),REGEXEXTRACT(E1291,""-(?:\d{2}-)?([A-Z]+)"")),"""")
"),"")</f>
        <v/>
      </c>
      <c r="C1291" s="108"/>
      <c r="D1291" s="109"/>
      <c r="E1291" s="110"/>
      <c r="F1291" s="110"/>
      <c r="G1291" s="111"/>
      <c r="H1291" s="112"/>
      <c r="I1291" s="113"/>
      <c r="J1291" s="114"/>
      <c r="K1291" s="115"/>
      <c r="L1291" s="115"/>
      <c r="M1291" s="115"/>
      <c r="N1291" s="116"/>
      <c r="O1291" s="114"/>
      <c r="P1291" s="116"/>
      <c r="Q1291" s="219"/>
      <c r="R1291" s="198"/>
      <c r="S1291" s="198"/>
      <c r="T1291" s="198"/>
      <c r="U1291" s="198"/>
      <c r="V1291" s="198"/>
      <c r="W1291" s="198"/>
      <c r="X1291" s="198"/>
    </row>
    <row r="1292" ht="12.0" customHeight="1">
      <c r="A12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2" s="87" t="str">
        <f>IFERROR(__xludf.DUMMYFUNCTION("IFERROR(IF(F1292&lt;&gt;"""",""WHSE ""&amp;LEFT(F1292,1),REGEXEXTRACT(E1292,""-(?:\d{2}-)?([A-Z]+)"")),"""")
"),"")</f>
        <v/>
      </c>
      <c r="C1292" s="108"/>
      <c r="D1292" s="109"/>
      <c r="E1292" s="110"/>
      <c r="F1292" s="110"/>
      <c r="G1292" s="111"/>
      <c r="H1292" s="112"/>
      <c r="I1292" s="113"/>
      <c r="J1292" s="114"/>
      <c r="K1292" s="115"/>
      <c r="L1292" s="115"/>
      <c r="M1292" s="115"/>
      <c r="N1292" s="116"/>
      <c r="O1292" s="114"/>
      <c r="P1292" s="116"/>
      <c r="Q1292" s="219"/>
      <c r="R1292" s="198"/>
      <c r="S1292" s="198"/>
      <c r="T1292" s="198"/>
      <c r="U1292" s="198"/>
      <c r="V1292" s="198"/>
      <c r="W1292" s="198"/>
      <c r="X1292" s="198"/>
    </row>
    <row r="1293" ht="12.0" customHeight="1">
      <c r="A12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3" s="87" t="str">
        <f>IFERROR(__xludf.DUMMYFUNCTION("IFERROR(IF(F1293&lt;&gt;"""",""WHSE ""&amp;LEFT(F1293,1),REGEXEXTRACT(E1293,""-(?:\d{2}-)?([A-Z]+)"")),"""")
"),"")</f>
        <v/>
      </c>
      <c r="C1293" s="108"/>
      <c r="D1293" s="109"/>
      <c r="E1293" s="110"/>
      <c r="F1293" s="110"/>
      <c r="G1293" s="111"/>
      <c r="H1293" s="112"/>
      <c r="I1293" s="113"/>
      <c r="J1293" s="114"/>
      <c r="K1293" s="115"/>
      <c r="L1293" s="115"/>
      <c r="M1293" s="115"/>
      <c r="N1293" s="116"/>
      <c r="O1293" s="114"/>
      <c r="P1293" s="116"/>
      <c r="Q1293" s="219"/>
      <c r="R1293" s="198"/>
      <c r="S1293" s="198"/>
      <c r="T1293" s="198"/>
      <c r="U1293" s="198"/>
      <c r="V1293" s="198"/>
      <c r="W1293" s="198"/>
      <c r="X1293" s="198"/>
    </row>
    <row r="1294" ht="12.0" customHeight="1">
      <c r="A12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4" s="87" t="str">
        <f>IFERROR(__xludf.DUMMYFUNCTION("IFERROR(IF(F1294&lt;&gt;"""",""WHSE ""&amp;LEFT(F1294,1),REGEXEXTRACT(E1294,""-(?:\d{2}-)?([A-Z]+)"")),"""")
"),"")</f>
        <v/>
      </c>
      <c r="C1294" s="108"/>
      <c r="D1294" s="109"/>
      <c r="E1294" s="110"/>
      <c r="F1294" s="110"/>
      <c r="G1294" s="111"/>
      <c r="H1294" s="112"/>
      <c r="I1294" s="113"/>
      <c r="J1294" s="114"/>
      <c r="K1294" s="115"/>
      <c r="L1294" s="115"/>
      <c r="M1294" s="115"/>
      <c r="N1294" s="116"/>
      <c r="O1294" s="114"/>
      <c r="P1294" s="116"/>
      <c r="Q1294" s="219"/>
      <c r="R1294" s="198"/>
      <c r="S1294" s="198"/>
      <c r="T1294" s="198"/>
      <c r="U1294" s="198"/>
      <c r="V1294" s="198"/>
      <c r="W1294" s="198"/>
      <c r="X1294" s="198"/>
    </row>
    <row r="1295" ht="12.0" customHeight="1">
      <c r="A12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5" s="87" t="str">
        <f>IFERROR(__xludf.DUMMYFUNCTION("IFERROR(IF(F1295&lt;&gt;"""",""WHSE ""&amp;LEFT(F1295,1),REGEXEXTRACT(E1295,""-(?:\d{2}-)?([A-Z]+)"")),"""")
"),"")</f>
        <v/>
      </c>
      <c r="C1295" s="108"/>
      <c r="D1295" s="109"/>
      <c r="E1295" s="110"/>
      <c r="F1295" s="110"/>
      <c r="G1295" s="111"/>
      <c r="H1295" s="112"/>
      <c r="I1295" s="113"/>
      <c r="J1295" s="114"/>
      <c r="K1295" s="115"/>
      <c r="L1295" s="115"/>
      <c r="M1295" s="115"/>
      <c r="N1295" s="116"/>
      <c r="O1295" s="114"/>
      <c r="P1295" s="116"/>
      <c r="Q1295" s="219"/>
      <c r="R1295" s="198"/>
      <c r="S1295" s="198"/>
      <c r="T1295" s="198"/>
      <c r="U1295" s="198"/>
      <c r="V1295" s="198"/>
      <c r="W1295" s="198"/>
      <c r="X1295" s="198"/>
    </row>
    <row r="1296" ht="12.0" customHeight="1">
      <c r="A12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6" s="87" t="str">
        <f>IFERROR(__xludf.DUMMYFUNCTION("IFERROR(IF(F1296&lt;&gt;"""",""WHSE ""&amp;LEFT(F1296,1),REGEXEXTRACT(E1296,""-(?:\d{2}-)?([A-Z]+)"")),"""")
"),"")</f>
        <v/>
      </c>
      <c r="C1296" s="108"/>
      <c r="D1296" s="109"/>
      <c r="E1296" s="110"/>
      <c r="F1296" s="110"/>
      <c r="G1296" s="111"/>
      <c r="H1296" s="112"/>
      <c r="I1296" s="113"/>
      <c r="J1296" s="114"/>
      <c r="K1296" s="115"/>
      <c r="L1296" s="115"/>
      <c r="M1296" s="115"/>
      <c r="N1296" s="116"/>
      <c r="O1296" s="114"/>
      <c r="P1296" s="116"/>
      <c r="Q1296" s="219"/>
      <c r="R1296" s="198"/>
      <c r="S1296" s="198"/>
      <c r="T1296" s="198"/>
      <c r="U1296" s="198"/>
      <c r="V1296" s="198"/>
      <c r="W1296" s="198"/>
      <c r="X1296" s="198"/>
    </row>
    <row r="1297" ht="12.0" customHeight="1">
      <c r="A12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7" s="87" t="str">
        <f>IFERROR(__xludf.DUMMYFUNCTION("IFERROR(IF(F1297&lt;&gt;"""",""WHSE ""&amp;LEFT(F1297,1),REGEXEXTRACT(E1297,""-(?:\d{2}-)?([A-Z]+)"")),"""")
"),"")</f>
        <v/>
      </c>
      <c r="C1297" s="108"/>
      <c r="D1297" s="109"/>
      <c r="E1297" s="110"/>
      <c r="F1297" s="110"/>
      <c r="G1297" s="111"/>
      <c r="H1297" s="112"/>
      <c r="I1297" s="113"/>
      <c r="J1297" s="114"/>
      <c r="K1297" s="115"/>
      <c r="L1297" s="115"/>
      <c r="M1297" s="115"/>
      <c r="N1297" s="116"/>
      <c r="O1297" s="114"/>
      <c r="P1297" s="116"/>
      <c r="Q1297" s="219"/>
      <c r="R1297" s="198"/>
      <c r="S1297" s="198"/>
      <c r="T1297" s="198"/>
      <c r="U1297" s="198"/>
      <c r="V1297" s="198"/>
      <c r="W1297" s="198"/>
      <c r="X1297" s="198"/>
    </row>
    <row r="1298" ht="12.0" customHeight="1">
      <c r="A12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8" s="87" t="str">
        <f>IFERROR(__xludf.DUMMYFUNCTION("IFERROR(IF(F1298&lt;&gt;"""",""WHSE ""&amp;LEFT(F1298,1),REGEXEXTRACT(E1298,""-(?:\d{2}-)?([A-Z]+)"")),"""")
"),"")</f>
        <v/>
      </c>
      <c r="C1298" s="108"/>
      <c r="D1298" s="109"/>
      <c r="E1298" s="110"/>
      <c r="F1298" s="110"/>
      <c r="G1298" s="111"/>
      <c r="H1298" s="112"/>
      <c r="I1298" s="113"/>
      <c r="J1298" s="114"/>
      <c r="K1298" s="115"/>
      <c r="L1298" s="115"/>
      <c r="M1298" s="115"/>
      <c r="N1298" s="116"/>
      <c r="O1298" s="114"/>
      <c r="P1298" s="116"/>
      <c r="Q1298" s="219"/>
      <c r="R1298" s="198"/>
      <c r="S1298" s="198"/>
      <c r="T1298" s="198"/>
      <c r="U1298" s="198"/>
      <c r="V1298" s="198"/>
      <c r="W1298" s="198"/>
      <c r="X1298" s="198"/>
    </row>
    <row r="1299" ht="12.0" customHeight="1">
      <c r="A12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299" s="87" t="str">
        <f>IFERROR(__xludf.DUMMYFUNCTION("IFERROR(IF(F1299&lt;&gt;"""",""WHSE ""&amp;LEFT(F1299,1),REGEXEXTRACT(E1299,""-(?:\d{2}-)?([A-Z]+)"")),"""")
"),"")</f>
        <v/>
      </c>
      <c r="C1299" s="108"/>
      <c r="D1299" s="109"/>
      <c r="E1299" s="110"/>
      <c r="F1299" s="110"/>
      <c r="G1299" s="111"/>
      <c r="H1299" s="112"/>
      <c r="I1299" s="113"/>
      <c r="J1299" s="114"/>
      <c r="K1299" s="115"/>
      <c r="L1299" s="115"/>
      <c r="M1299" s="115"/>
      <c r="N1299" s="116"/>
      <c r="O1299" s="114"/>
      <c r="P1299" s="116"/>
      <c r="Q1299" s="219"/>
      <c r="R1299" s="198"/>
      <c r="S1299" s="198"/>
      <c r="T1299" s="198"/>
      <c r="U1299" s="198"/>
      <c r="V1299" s="198"/>
      <c r="W1299" s="198"/>
      <c r="X1299" s="198"/>
    </row>
    <row r="1300" ht="12.0" customHeight="1">
      <c r="A13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0" s="87" t="str">
        <f>IFERROR(__xludf.DUMMYFUNCTION("IFERROR(IF(F1300&lt;&gt;"""",""WHSE ""&amp;LEFT(F1300,1),REGEXEXTRACT(E1300,""-(?:\d{2}-)?([A-Z]+)"")),"""")
"),"")</f>
        <v/>
      </c>
      <c r="C1300" s="108"/>
      <c r="D1300" s="109"/>
      <c r="E1300" s="110"/>
      <c r="F1300" s="110"/>
      <c r="G1300" s="111"/>
      <c r="H1300" s="112"/>
      <c r="I1300" s="113"/>
      <c r="J1300" s="114"/>
      <c r="K1300" s="115"/>
      <c r="L1300" s="115"/>
      <c r="M1300" s="115"/>
      <c r="N1300" s="116"/>
      <c r="O1300" s="114"/>
      <c r="P1300" s="116"/>
      <c r="Q1300" s="219"/>
      <c r="R1300" s="198"/>
      <c r="S1300" s="198"/>
      <c r="T1300" s="198"/>
      <c r="U1300" s="198"/>
      <c r="V1300" s="198"/>
      <c r="W1300" s="198"/>
      <c r="X1300" s="198"/>
    </row>
    <row r="1301" ht="12.0" customHeight="1">
      <c r="A13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1" s="87" t="str">
        <f>IFERROR(__xludf.DUMMYFUNCTION("IFERROR(IF(F1301&lt;&gt;"""",""WHSE ""&amp;LEFT(F1301,1),REGEXEXTRACT(E1301,""-(?:\d{2}-)?([A-Z]+)"")),"""")
"),"")</f>
        <v/>
      </c>
      <c r="C1301" s="108"/>
      <c r="D1301" s="109"/>
      <c r="E1301" s="110"/>
      <c r="F1301" s="110"/>
      <c r="G1301" s="111"/>
      <c r="H1301" s="112"/>
      <c r="I1301" s="113"/>
      <c r="J1301" s="114"/>
      <c r="K1301" s="115"/>
      <c r="L1301" s="115"/>
      <c r="M1301" s="115"/>
      <c r="N1301" s="116"/>
      <c r="O1301" s="114"/>
      <c r="P1301" s="116"/>
      <c r="Q1301" s="219"/>
      <c r="R1301" s="198"/>
      <c r="S1301" s="198"/>
      <c r="T1301" s="198"/>
      <c r="U1301" s="198"/>
      <c r="V1301" s="198"/>
      <c r="W1301" s="198"/>
      <c r="X1301" s="198"/>
    </row>
    <row r="1302" ht="12.0" customHeight="1">
      <c r="A13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2" s="87" t="str">
        <f>IFERROR(__xludf.DUMMYFUNCTION("IFERROR(IF(F1302&lt;&gt;"""",""WHSE ""&amp;LEFT(F1302,1),REGEXEXTRACT(E1302,""-(?:\d{2}-)?([A-Z]+)"")),"""")
"),"")</f>
        <v/>
      </c>
      <c r="C1302" s="108"/>
      <c r="D1302" s="109"/>
      <c r="E1302" s="110"/>
      <c r="F1302" s="110"/>
      <c r="G1302" s="111"/>
      <c r="H1302" s="112"/>
      <c r="I1302" s="113"/>
      <c r="J1302" s="114"/>
      <c r="K1302" s="115"/>
      <c r="L1302" s="115"/>
      <c r="M1302" s="115"/>
      <c r="N1302" s="116"/>
      <c r="O1302" s="114"/>
      <c r="P1302" s="116"/>
      <c r="Q1302" s="219"/>
      <c r="R1302" s="198"/>
      <c r="S1302" s="198"/>
      <c r="T1302" s="198"/>
      <c r="U1302" s="198"/>
      <c r="V1302" s="198"/>
      <c r="W1302" s="198"/>
      <c r="X1302" s="198"/>
    </row>
    <row r="1303" ht="12.0" customHeight="1">
      <c r="A13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3" s="87" t="str">
        <f>IFERROR(__xludf.DUMMYFUNCTION("IFERROR(IF(F1303&lt;&gt;"""",""WHSE ""&amp;LEFT(F1303,1),REGEXEXTRACT(E1303,""-(?:\d{2}-)?([A-Z]+)"")),"""")
"),"")</f>
        <v/>
      </c>
      <c r="C1303" s="108"/>
      <c r="D1303" s="109"/>
      <c r="E1303" s="110"/>
      <c r="F1303" s="110"/>
      <c r="G1303" s="111"/>
      <c r="H1303" s="112"/>
      <c r="I1303" s="113"/>
      <c r="J1303" s="114"/>
      <c r="K1303" s="115"/>
      <c r="L1303" s="115"/>
      <c r="M1303" s="115"/>
      <c r="N1303" s="116"/>
      <c r="O1303" s="114"/>
      <c r="P1303" s="116"/>
      <c r="Q1303" s="219"/>
      <c r="R1303" s="198"/>
      <c r="S1303" s="198"/>
      <c r="T1303" s="198"/>
      <c r="U1303" s="198"/>
      <c r="V1303" s="198"/>
      <c r="W1303" s="198"/>
      <c r="X1303" s="198"/>
    </row>
    <row r="1304" ht="12.0" customHeight="1">
      <c r="A13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4" s="87" t="str">
        <f>IFERROR(__xludf.DUMMYFUNCTION("IFERROR(IF(F1304&lt;&gt;"""",""WHSE ""&amp;LEFT(F1304,1),REGEXEXTRACT(E1304,""-(?:\d{2}-)?([A-Z]+)"")),"""")
"),"")</f>
        <v/>
      </c>
      <c r="C1304" s="108"/>
      <c r="D1304" s="109"/>
      <c r="E1304" s="110"/>
      <c r="F1304" s="110"/>
      <c r="G1304" s="111"/>
      <c r="H1304" s="112"/>
      <c r="I1304" s="113"/>
      <c r="J1304" s="114"/>
      <c r="K1304" s="115"/>
      <c r="L1304" s="115"/>
      <c r="M1304" s="115"/>
      <c r="N1304" s="116"/>
      <c r="O1304" s="114"/>
      <c r="P1304" s="116"/>
      <c r="Q1304" s="219"/>
      <c r="R1304" s="198"/>
      <c r="S1304" s="198"/>
      <c r="T1304" s="198"/>
      <c r="U1304" s="198"/>
      <c r="V1304" s="198"/>
      <c r="W1304" s="198"/>
      <c r="X1304" s="198"/>
    </row>
    <row r="1305" ht="12.0" customHeight="1">
      <c r="A13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5" s="87" t="str">
        <f>IFERROR(__xludf.DUMMYFUNCTION("IFERROR(IF(F1305&lt;&gt;"""",""WHSE ""&amp;LEFT(F1305,1),REGEXEXTRACT(E1305,""-(?:\d{2}-)?([A-Z]+)"")),"""")
"),"")</f>
        <v/>
      </c>
      <c r="C1305" s="108"/>
      <c r="D1305" s="109"/>
      <c r="E1305" s="110"/>
      <c r="F1305" s="110"/>
      <c r="G1305" s="111"/>
      <c r="H1305" s="112"/>
      <c r="I1305" s="113"/>
      <c r="J1305" s="114"/>
      <c r="K1305" s="115"/>
      <c r="L1305" s="115"/>
      <c r="M1305" s="115"/>
      <c r="N1305" s="116"/>
      <c r="O1305" s="114"/>
      <c r="P1305" s="116"/>
      <c r="Q1305" s="219"/>
      <c r="R1305" s="198"/>
      <c r="S1305" s="198"/>
      <c r="T1305" s="198"/>
      <c r="U1305" s="198"/>
      <c r="V1305" s="198"/>
      <c r="W1305" s="198"/>
      <c r="X1305" s="198"/>
    </row>
    <row r="1306" ht="12.0" customHeight="1">
      <c r="A13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6" s="87" t="str">
        <f>IFERROR(__xludf.DUMMYFUNCTION("IFERROR(IF(F1306&lt;&gt;"""",""WHSE ""&amp;LEFT(F1306,1),REGEXEXTRACT(E1306,""-(?:\d{2}-)?([A-Z]+)"")),"""")
"),"")</f>
        <v/>
      </c>
      <c r="C1306" s="108"/>
      <c r="D1306" s="109"/>
      <c r="E1306" s="110"/>
      <c r="F1306" s="110"/>
      <c r="G1306" s="111"/>
      <c r="H1306" s="112"/>
      <c r="I1306" s="113"/>
      <c r="J1306" s="114"/>
      <c r="K1306" s="115"/>
      <c r="L1306" s="115"/>
      <c r="M1306" s="115"/>
      <c r="N1306" s="116"/>
      <c r="O1306" s="114"/>
      <c r="P1306" s="116"/>
      <c r="Q1306" s="219"/>
      <c r="R1306" s="198"/>
      <c r="S1306" s="198"/>
      <c r="T1306" s="198"/>
      <c r="U1306" s="198"/>
      <c r="V1306" s="198"/>
      <c r="W1306" s="198"/>
      <c r="X1306" s="198"/>
    </row>
    <row r="1307" ht="12.0" customHeight="1">
      <c r="A13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7" s="87" t="str">
        <f>IFERROR(__xludf.DUMMYFUNCTION("IFERROR(IF(F1307&lt;&gt;"""",""WHSE ""&amp;LEFT(F1307,1),REGEXEXTRACT(E1307,""-(?:\d{2}-)?([A-Z]+)"")),"""")
"),"")</f>
        <v/>
      </c>
      <c r="C1307" s="108"/>
      <c r="D1307" s="109"/>
      <c r="E1307" s="110"/>
      <c r="F1307" s="110"/>
      <c r="G1307" s="111"/>
      <c r="H1307" s="112"/>
      <c r="I1307" s="113"/>
      <c r="J1307" s="114"/>
      <c r="K1307" s="115"/>
      <c r="L1307" s="115"/>
      <c r="M1307" s="115"/>
      <c r="N1307" s="116"/>
      <c r="O1307" s="114"/>
      <c r="P1307" s="116"/>
      <c r="Q1307" s="219"/>
      <c r="R1307" s="198"/>
      <c r="S1307" s="198"/>
      <c r="T1307" s="198"/>
      <c r="U1307" s="198"/>
      <c r="V1307" s="198"/>
      <c r="W1307" s="198"/>
      <c r="X1307" s="198"/>
    </row>
    <row r="1308" ht="12.0" customHeight="1">
      <c r="A13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8" s="87" t="str">
        <f>IFERROR(__xludf.DUMMYFUNCTION("IFERROR(IF(F1308&lt;&gt;"""",""WHSE ""&amp;LEFT(F1308,1),REGEXEXTRACT(E1308,""-(?:\d{2}-)?([A-Z]+)"")),"""")
"),"")</f>
        <v/>
      </c>
      <c r="C1308" s="108"/>
      <c r="D1308" s="109"/>
      <c r="E1308" s="110"/>
      <c r="F1308" s="110"/>
      <c r="G1308" s="111"/>
      <c r="H1308" s="112"/>
      <c r="I1308" s="113"/>
      <c r="J1308" s="114"/>
      <c r="K1308" s="115"/>
      <c r="L1308" s="115"/>
      <c r="M1308" s="115"/>
      <c r="N1308" s="116"/>
      <c r="O1308" s="114"/>
      <c r="P1308" s="116"/>
      <c r="Q1308" s="219"/>
      <c r="R1308" s="198"/>
      <c r="S1308" s="198"/>
      <c r="T1308" s="198"/>
      <c r="U1308" s="198"/>
      <c r="V1308" s="198"/>
      <c r="W1308" s="198"/>
      <c r="X1308" s="198"/>
    </row>
    <row r="1309" ht="12.0" customHeight="1">
      <c r="A13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09" s="87" t="str">
        <f>IFERROR(__xludf.DUMMYFUNCTION("IFERROR(IF(F1309&lt;&gt;"""",""WHSE ""&amp;LEFT(F1309,1),REGEXEXTRACT(E1309,""-(?:\d{2}-)?([A-Z]+)"")),"""")
"),"")</f>
        <v/>
      </c>
      <c r="C1309" s="108"/>
      <c r="D1309" s="109"/>
      <c r="E1309" s="110"/>
      <c r="F1309" s="110"/>
      <c r="G1309" s="111"/>
      <c r="H1309" s="112"/>
      <c r="I1309" s="113"/>
      <c r="J1309" s="114"/>
      <c r="K1309" s="115"/>
      <c r="L1309" s="115"/>
      <c r="M1309" s="115"/>
      <c r="N1309" s="116"/>
      <c r="O1309" s="114"/>
      <c r="P1309" s="116"/>
      <c r="Q1309" s="219"/>
      <c r="R1309" s="198"/>
      <c r="S1309" s="198"/>
      <c r="T1309" s="198"/>
      <c r="U1309" s="198"/>
      <c r="V1309" s="198"/>
      <c r="W1309" s="198"/>
      <c r="X1309" s="198"/>
    </row>
    <row r="1310" ht="12.0" customHeight="1">
      <c r="A13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0" s="87" t="str">
        <f>IFERROR(__xludf.DUMMYFUNCTION("IFERROR(IF(F1310&lt;&gt;"""",""WHSE ""&amp;LEFT(F1310,1),REGEXEXTRACT(E1310,""-(?:\d{2}-)?([A-Z]+)"")),"""")
"),"")</f>
        <v/>
      </c>
      <c r="C1310" s="108"/>
      <c r="D1310" s="109"/>
      <c r="E1310" s="110"/>
      <c r="F1310" s="110"/>
      <c r="G1310" s="111"/>
      <c r="H1310" s="112"/>
      <c r="I1310" s="113"/>
      <c r="J1310" s="114"/>
      <c r="K1310" s="115"/>
      <c r="L1310" s="115"/>
      <c r="M1310" s="115"/>
      <c r="N1310" s="116"/>
      <c r="O1310" s="114"/>
      <c r="P1310" s="116"/>
      <c r="Q1310" s="219"/>
      <c r="R1310" s="198"/>
      <c r="S1310" s="198"/>
      <c r="T1310" s="198"/>
      <c r="U1310" s="198"/>
      <c r="V1310" s="198"/>
      <c r="W1310" s="198"/>
      <c r="X1310" s="198"/>
    </row>
    <row r="1311" ht="12.0" customHeight="1">
      <c r="A13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1" s="87" t="str">
        <f>IFERROR(__xludf.DUMMYFUNCTION("IFERROR(IF(F1311&lt;&gt;"""",""WHSE ""&amp;LEFT(F1311,1),REGEXEXTRACT(E1311,""-(?:\d{2}-)?([A-Z]+)"")),"""")
"),"")</f>
        <v/>
      </c>
      <c r="C1311" s="108"/>
      <c r="D1311" s="109"/>
      <c r="E1311" s="110"/>
      <c r="F1311" s="110"/>
      <c r="G1311" s="111"/>
      <c r="H1311" s="112"/>
      <c r="I1311" s="113"/>
      <c r="J1311" s="114"/>
      <c r="K1311" s="115"/>
      <c r="L1311" s="115"/>
      <c r="M1311" s="115"/>
      <c r="N1311" s="116"/>
      <c r="O1311" s="114"/>
      <c r="P1311" s="116"/>
      <c r="Q1311" s="219"/>
      <c r="R1311" s="198"/>
      <c r="S1311" s="198"/>
      <c r="T1311" s="198"/>
      <c r="U1311" s="198"/>
      <c r="V1311" s="198"/>
      <c r="W1311" s="198"/>
      <c r="X1311" s="198"/>
    </row>
    <row r="1312" ht="12.0" customHeight="1">
      <c r="A13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2" s="87" t="str">
        <f>IFERROR(__xludf.DUMMYFUNCTION("IFERROR(IF(F1312&lt;&gt;"""",""WHSE ""&amp;LEFT(F1312,1),REGEXEXTRACT(E1312,""-(?:\d{2}-)?([A-Z]+)"")),"""")
"),"")</f>
        <v/>
      </c>
      <c r="C1312" s="108"/>
      <c r="D1312" s="109"/>
      <c r="E1312" s="110"/>
      <c r="F1312" s="110"/>
      <c r="G1312" s="111"/>
      <c r="H1312" s="112"/>
      <c r="I1312" s="113"/>
      <c r="J1312" s="114"/>
      <c r="K1312" s="115"/>
      <c r="L1312" s="115"/>
      <c r="M1312" s="115"/>
      <c r="N1312" s="116"/>
      <c r="O1312" s="114"/>
      <c r="P1312" s="116"/>
      <c r="Q1312" s="219"/>
      <c r="R1312" s="198"/>
      <c r="S1312" s="198"/>
      <c r="T1312" s="198"/>
      <c r="U1312" s="198"/>
      <c r="V1312" s="198"/>
      <c r="W1312" s="198"/>
      <c r="X1312" s="198"/>
    </row>
    <row r="1313" ht="12.0" customHeight="1">
      <c r="A13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3" s="87" t="str">
        <f>IFERROR(__xludf.DUMMYFUNCTION("IFERROR(IF(F1313&lt;&gt;"""",""WHSE ""&amp;LEFT(F1313,1),REGEXEXTRACT(E1313,""-(?:\d{2}-)?([A-Z]+)"")),"""")
"),"")</f>
        <v/>
      </c>
      <c r="C1313" s="108"/>
      <c r="D1313" s="109"/>
      <c r="E1313" s="110"/>
      <c r="F1313" s="110"/>
      <c r="G1313" s="111"/>
      <c r="H1313" s="112"/>
      <c r="I1313" s="113"/>
      <c r="J1313" s="114"/>
      <c r="K1313" s="115"/>
      <c r="L1313" s="115"/>
      <c r="M1313" s="115"/>
      <c r="N1313" s="116"/>
      <c r="O1313" s="114"/>
      <c r="P1313" s="116"/>
      <c r="Q1313" s="219"/>
      <c r="R1313" s="198"/>
      <c r="S1313" s="198"/>
      <c r="T1313" s="198"/>
      <c r="U1313" s="198"/>
      <c r="V1313" s="198"/>
      <c r="W1313" s="198"/>
      <c r="X1313" s="198"/>
    </row>
    <row r="1314" ht="12.0" customHeight="1">
      <c r="A131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4" s="87" t="str">
        <f>IFERROR(__xludf.DUMMYFUNCTION("IFERROR(IF(F1314&lt;&gt;"""",""WHSE ""&amp;LEFT(F1314,1),REGEXEXTRACT(E1314,""-(?:\d{2}-)?([A-Z]+)"")),"""")
"),"")</f>
        <v/>
      </c>
      <c r="C1314" s="108"/>
      <c r="D1314" s="109"/>
      <c r="E1314" s="110"/>
      <c r="F1314" s="110"/>
      <c r="G1314" s="111"/>
      <c r="H1314" s="112"/>
      <c r="I1314" s="113"/>
      <c r="J1314" s="114"/>
      <c r="K1314" s="115"/>
      <c r="L1314" s="115"/>
      <c r="M1314" s="115"/>
      <c r="N1314" s="116"/>
      <c r="O1314" s="114"/>
      <c r="P1314" s="116"/>
      <c r="Q1314" s="219"/>
      <c r="R1314" s="198"/>
      <c r="S1314" s="198"/>
      <c r="T1314" s="198"/>
      <c r="U1314" s="198"/>
      <c r="V1314" s="198"/>
      <c r="W1314" s="198"/>
      <c r="X1314" s="198"/>
    </row>
    <row r="1315" ht="12.0" customHeight="1">
      <c r="A131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5" s="87" t="str">
        <f>IFERROR(__xludf.DUMMYFUNCTION("IFERROR(IF(F1315&lt;&gt;"""",""WHSE ""&amp;LEFT(F1315,1),REGEXEXTRACT(E1315,""-(?:\d{2}-)?([A-Z]+)"")),"""")
"),"")</f>
        <v/>
      </c>
      <c r="C1315" s="108"/>
      <c r="D1315" s="109"/>
      <c r="E1315" s="110"/>
      <c r="F1315" s="110"/>
      <c r="G1315" s="111"/>
      <c r="H1315" s="112"/>
      <c r="I1315" s="113"/>
      <c r="J1315" s="114"/>
      <c r="K1315" s="115"/>
      <c r="L1315" s="115"/>
      <c r="M1315" s="115"/>
      <c r="N1315" s="116"/>
      <c r="O1315" s="114"/>
      <c r="P1315" s="116"/>
      <c r="Q1315" s="219"/>
      <c r="R1315" s="198"/>
      <c r="S1315" s="198"/>
      <c r="T1315" s="198"/>
      <c r="U1315" s="198"/>
      <c r="V1315" s="198"/>
      <c r="W1315" s="198"/>
      <c r="X1315" s="198"/>
    </row>
    <row r="1316" ht="12.0" customHeight="1">
      <c r="A131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6" s="87" t="str">
        <f>IFERROR(__xludf.DUMMYFUNCTION("IFERROR(IF(F1316&lt;&gt;"""",""WHSE ""&amp;LEFT(F1316,1),REGEXEXTRACT(E1316,""-(?:\d{2}-)?([A-Z]+)"")),"""")
"),"")</f>
        <v/>
      </c>
      <c r="C1316" s="108"/>
      <c r="D1316" s="109"/>
      <c r="E1316" s="110"/>
      <c r="F1316" s="110"/>
      <c r="G1316" s="111"/>
      <c r="H1316" s="112"/>
      <c r="I1316" s="113"/>
      <c r="J1316" s="114"/>
      <c r="K1316" s="115"/>
      <c r="L1316" s="115"/>
      <c r="M1316" s="115"/>
      <c r="N1316" s="116"/>
      <c r="O1316" s="114"/>
      <c r="P1316" s="116"/>
      <c r="Q1316" s="219"/>
      <c r="R1316" s="198"/>
      <c r="S1316" s="198"/>
      <c r="T1316" s="198"/>
      <c r="U1316" s="198"/>
      <c r="V1316" s="198"/>
      <c r="W1316" s="198"/>
      <c r="X1316" s="198"/>
    </row>
    <row r="1317" ht="12.0" customHeight="1">
      <c r="A131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7" s="87" t="str">
        <f>IFERROR(__xludf.DUMMYFUNCTION("IFERROR(IF(F1317&lt;&gt;"""",""WHSE ""&amp;LEFT(F1317,1),REGEXEXTRACT(E1317,""-(?:\d{2}-)?([A-Z]+)"")),"""")
"),"")</f>
        <v/>
      </c>
      <c r="C1317" s="108"/>
      <c r="D1317" s="109"/>
      <c r="E1317" s="110"/>
      <c r="F1317" s="110"/>
      <c r="G1317" s="111"/>
      <c r="H1317" s="112"/>
      <c r="I1317" s="113"/>
      <c r="J1317" s="114"/>
      <c r="K1317" s="115"/>
      <c r="L1317" s="115"/>
      <c r="M1317" s="115"/>
      <c r="N1317" s="116"/>
      <c r="O1317" s="114"/>
      <c r="P1317" s="116"/>
      <c r="Q1317" s="219"/>
      <c r="R1317" s="198"/>
      <c r="S1317" s="198"/>
      <c r="T1317" s="198"/>
      <c r="U1317" s="198"/>
      <c r="V1317" s="198"/>
      <c r="W1317" s="198"/>
      <c r="X1317" s="198"/>
    </row>
    <row r="1318" ht="12.0" customHeight="1">
      <c r="A131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8" s="87" t="str">
        <f>IFERROR(__xludf.DUMMYFUNCTION("IFERROR(IF(F1318&lt;&gt;"""",""WHSE ""&amp;LEFT(F1318,1),REGEXEXTRACT(E1318,""-(?:\d{2}-)?([A-Z]+)"")),"""")
"),"")</f>
        <v/>
      </c>
      <c r="C1318" s="108"/>
      <c r="D1318" s="109"/>
      <c r="E1318" s="110"/>
      <c r="F1318" s="110"/>
      <c r="G1318" s="111"/>
      <c r="H1318" s="112"/>
      <c r="I1318" s="113"/>
      <c r="J1318" s="114"/>
      <c r="K1318" s="115"/>
      <c r="L1318" s="115"/>
      <c r="M1318" s="115"/>
      <c r="N1318" s="116"/>
      <c r="O1318" s="114"/>
      <c r="P1318" s="116"/>
      <c r="Q1318" s="219"/>
      <c r="R1318" s="198"/>
      <c r="S1318" s="198"/>
      <c r="T1318" s="198"/>
      <c r="U1318" s="198"/>
      <c r="V1318" s="198"/>
      <c r="W1318" s="198"/>
      <c r="X1318" s="198"/>
    </row>
    <row r="1319" ht="12.0" customHeight="1">
      <c r="A131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19" s="87" t="str">
        <f>IFERROR(__xludf.DUMMYFUNCTION("IFERROR(IF(F1319&lt;&gt;"""",""WHSE ""&amp;LEFT(F1319,1),REGEXEXTRACT(E1319,""-(?:\d{2}-)?([A-Z]+)"")),"""")
"),"")</f>
        <v/>
      </c>
      <c r="C1319" s="108"/>
      <c r="D1319" s="109"/>
      <c r="E1319" s="110"/>
      <c r="F1319" s="110"/>
      <c r="G1319" s="111"/>
      <c r="H1319" s="112"/>
      <c r="I1319" s="113"/>
      <c r="J1319" s="114"/>
      <c r="K1319" s="115"/>
      <c r="L1319" s="115"/>
      <c r="M1319" s="115"/>
      <c r="N1319" s="116"/>
      <c r="O1319" s="114"/>
      <c r="P1319" s="116"/>
      <c r="Q1319" s="219"/>
      <c r="R1319" s="198"/>
      <c r="S1319" s="198"/>
      <c r="T1319" s="198"/>
      <c r="U1319" s="198"/>
      <c r="V1319" s="198"/>
      <c r="W1319" s="198"/>
      <c r="X1319" s="198"/>
    </row>
    <row r="1320" ht="12.0" customHeight="1">
      <c r="A132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0" s="87" t="str">
        <f>IFERROR(__xludf.DUMMYFUNCTION("IFERROR(IF(F1320&lt;&gt;"""",""WHSE ""&amp;LEFT(F1320,1),REGEXEXTRACT(E1320,""-(?:\d{2}-)?([A-Z]+)"")),"""")
"),"")</f>
        <v/>
      </c>
      <c r="C1320" s="108"/>
      <c r="D1320" s="109"/>
      <c r="E1320" s="110"/>
      <c r="F1320" s="110"/>
      <c r="G1320" s="111"/>
      <c r="H1320" s="112"/>
      <c r="I1320" s="113"/>
      <c r="J1320" s="114"/>
      <c r="K1320" s="115"/>
      <c r="L1320" s="115"/>
      <c r="M1320" s="115"/>
      <c r="N1320" s="116"/>
      <c r="O1320" s="114"/>
      <c r="P1320" s="116"/>
      <c r="Q1320" s="219"/>
      <c r="R1320" s="198"/>
      <c r="S1320" s="198"/>
      <c r="T1320" s="198"/>
      <c r="U1320" s="198"/>
      <c r="V1320" s="198"/>
      <c r="W1320" s="198"/>
      <c r="X1320" s="198"/>
    </row>
    <row r="1321" ht="12.0" customHeight="1">
      <c r="A132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1" s="87" t="str">
        <f>IFERROR(__xludf.DUMMYFUNCTION("IFERROR(IF(F1321&lt;&gt;"""",""WHSE ""&amp;LEFT(F1321,1),REGEXEXTRACT(E1321,""-(?:\d{2}-)?([A-Z]+)"")),"""")
"),"")</f>
        <v/>
      </c>
      <c r="C1321" s="108"/>
      <c r="D1321" s="109"/>
      <c r="E1321" s="110"/>
      <c r="F1321" s="110"/>
      <c r="G1321" s="111"/>
      <c r="H1321" s="112"/>
      <c r="I1321" s="113"/>
      <c r="J1321" s="114"/>
      <c r="K1321" s="115"/>
      <c r="L1321" s="115"/>
      <c r="M1321" s="115"/>
      <c r="N1321" s="116"/>
      <c r="O1321" s="114"/>
      <c r="P1321" s="116"/>
      <c r="Q1321" s="219"/>
      <c r="R1321" s="198"/>
      <c r="S1321" s="198"/>
      <c r="T1321" s="198"/>
      <c r="U1321" s="198"/>
      <c r="V1321" s="198"/>
      <c r="W1321" s="198"/>
      <c r="X1321" s="198"/>
    </row>
    <row r="1322" ht="12.0" customHeight="1">
      <c r="A132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2" s="87" t="str">
        <f>IFERROR(__xludf.DUMMYFUNCTION("IFERROR(IF(F1322&lt;&gt;"""",""WHSE ""&amp;LEFT(F1322,1),REGEXEXTRACT(E1322,""-(?:\d{2}-)?([A-Z]+)"")),"""")
"),"")</f>
        <v/>
      </c>
      <c r="C1322" s="108"/>
      <c r="D1322" s="109"/>
      <c r="E1322" s="110"/>
      <c r="F1322" s="110"/>
      <c r="G1322" s="111"/>
      <c r="H1322" s="112"/>
      <c r="I1322" s="113"/>
      <c r="J1322" s="114"/>
      <c r="K1322" s="115"/>
      <c r="L1322" s="115"/>
      <c r="M1322" s="115"/>
      <c r="N1322" s="116"/>
      <c r="O1322" s="114"/>
      <c r="P1322" s="116"/>
      <c r="Q1322" s="219"/>
      <c r="R1322" s="198"/>
      <c r="S1322" s="198"/>
      <c r="T1322" s="198"/>
      <c r="U1322" s="198"/>
      <c r="V1322" s="198"/>
      <c r="W1322" s="198"/>
      <c r="X1322" s="198"/>
    </row>
    <row r="1323" ht="12.0" customHeight="1">
      <c r="A132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3" s="87" t="str">
        <f>IFERROR(__xludf.DUMMYFUNCTION("IFERROR(IF(F1323&lt;&gt;"""",""WHSE ""&amp;LEFT(F1323,1),REGEXEXTRACT(E1323,""-(?:\d{2}-)?([A-Z]+)"")),"""")
"),"")</f>
        <v/>
      </c>
      <c r="C1323" s="108"/>
      <c r="D1323" s="109"/>
      <c r="E1323" s="110"/>
      <c r="F1323" s="110"/>
      <c r="G1323" s="111"/>
      <c r="H1323" s="112"/>
      <c r="I1323" s="113"/>
      <c r="J1323" s="114"/>
      <c r="K1323" s="115"/>
      <c r="L1323" s="115"/>
      <c r="M1323" s="115"/>
      <c r="N1323" s="116"/>
      <c r="O1323" s="114"/>
      <c r="P1323" s="116"/>
      <c r="Q1323" s="219"/>
      <c r="R1323" s="198"/>
      <c r="S1323" s="198"/>
      <c r="T1323" s="198"/>
      <c r="U1323" s="198"/>
      <c r="V1323" s="198"/>
      <c r="W1323" s="198"/>
      <c r="X1323" s="198"/>
    </row>
    <row r="1324" ht="12.0" customHeight="1">
      <c r="A132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4" s="87" t="str">
        <f>IFERROR(__xludf.DUMMYFUNCTION("IFERROR(IF(F1324&lt;&gt;"""",""WHSE ""&amp;LEFT(F1324,1),REGEXEXTRACT(E1324,""-(?:\d{2}-)?([A-Z]+)"")),"""")
"),"")</f>
        <v/>
      </c>
      <c r="C1324" s="108"/>
      <c r="D1324" s="109"/>
      <c r="E1324" s="110"/>
      <c r="F1324" s="110"/>
      <c r="G1324" s="111"/>
      <c r="H1324" s="112"/>
      <c r="I1324" s="113"/>
      <c r="J1324" s="114"/>
      <c r="K1324" s="115"/>
      <c r="L1324" s="115"/>
      <c r="M1324" s="115"/>
      <c r="N1324" s="116"/>
      <c r="O1324" s="114"/>
      <c r="P1324" s="116"/>
      <c r="Q1324" s="219"/>
      <c r="R1324" s="198"/>
      <c r="S1324" s="198"/>
      <c r="T1324" s="198"/>
      <c r="U1324" s="198"/>
      <c r="V1324" s="198"/>
      <c r="W1324" s="198"/>
      <c r="X1324" s="198"/>
    </row>
    <row r="1325" ht="12.0" customHeight="1">
      <c r="A132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5" s="87" t="str">
        <f>IFERROR(__xludf.DUMMYFUNCTION("IFERROR(IF(F1325&lt;&gt;"""",""WHSE ""&amp;LEFT(F1325,1),REGEXEXTRACT(E1325,""-(?:\d{2}-)?([A-Z]+)"")),"""")
"),"")</f>
        <v/>
      </c>
      <c r="C1325" s="108"/>
      <c r="D1325" s="109"/>
      <c r="E1325" s="110"/>
      <c r="F1325" s="110"/>
      <c r="G1325" s="111"/>
      <c r="H1325" s="112"/>
      <c r="I1325" s="113"/>
      <c r="J1325" s="114"/>
      <c r="K1325" s="115"/>
      <c r="L1325" s="115"/>
      <c r="M1325" s="115"/>
      <c r="N1325" s="116"/>
      <c r="O1325" s="114"/>
      <c r="P1325" s="116"/>
      <c r="Q1325" s="219"/>
      <c r="R1325" s="198"/>
      <c r="S1325" s="198"/>
      <c r="T1325" s="198"/>
      <c r="U1325" s="198"/>
      <c r="V1325" s="198"/>
      <c r="W1325" s="198"/>
      <c r="X1325" s="198"/>
    </row>
    <row r="1326" ht="12.0" customHeight="1">
      <c r="A132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6" s="87" t="str">
        <f>IFERROR(__xludf.DUMMYFUNCTION("IFERROR(IF(F1326&lt;&gt;"""",""WHSE ""&amp;LEFT(F1326,1),REGEXEXTRACT(E1326,""-(?:\d{2}-)?([A-Z]+)"")),"""")
"),"")</f>
        <v/>
      </c>
      <c r="C1326" s="108"/>
      <c r="D1326" s="109"/>
      <c r="E1326" s="110"/>
      <c r="F1326" s="110"/>
      <c r="G1326" s="111"/>
      <c r="H1326" s="112"/>
      <c r="I1326" s="113"/>
      <c r="J1326" s="114"/>
      <c r="K1326" s="115"/>
      <c r="L1326" s="115"/>
      <c r="M1326" s="115"/>
      <c r="N1326" s="116"/>
      <c r="O1326" s="114"/>
      <c r="P1326" s="116"/>
      <c r="Q1326" s="219"/>
      <c r="R1326" s="198"/>
      <c r="S1326" s="198"/>
      <c r="T1326" s="198"/>
      <c r="U1326" s="198"/>
      <c r="V1326" s="198"/>
      <c r="W1326" s="198"/>
      <c r="X1326" s="198"/>
    </row>
    <row r="1327" ht="12.0" customHeight="1">
      <c r="A132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7" s="87" t="str">
        <f>IFERROR(__xludf.DUMMYFUNCTION("IFERROR(IF(F1327&lt;&gt;"""",""WHSE ""&amp;LEFT(F1327,1),REGEXEXTRACT(E1327,""-(?:\d{2}-)?([A-Z]+)"")),"""")
"),"")</f>
        <v/>
      </c>
      <c r="C1327" s="108"/>
      <c r="D1327" s="109"/>
      <c r="E1327" s="110"/>
      <c r="F1327" s="110"/>
      <c r="G1327" s="111"/>
      <c r="H1327" s="112"/>
      <c r="I1327" s="113"/>
      <c r="J1327" s="114"/>
      <c r="K1327" s="115"/>
      <c r="L1327" s="115"/>
      <c r="M1327" s="115"/>
      <c r="N1327" s="116"/>
      <c r="O1327" s="114"/>
      <c r="P1327" s="116"/>
      <c r="Q1327" s="219"/>
      <c r="R1327" s="198"/>
      <c r="S1327" s="198"/>
      <c r="T1327" s="198"/>
      <c r="U1327" s="198"/>
      <c r="V1327" s="198"/>
      <c r="W1327" s="198"/>
      <c r="X1327" s="198"/>
    </row>
    <row r="1328" ht="12.0" customHeight="1">
      <c r="A132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8" s="87" t="str">
        <f>IFERROR(__xludf.DUMMYFUNCTION("IFERROR(IF(F1328&lt;&gt;"""",""WHSE ""&amp;LEFT(F1328,1),REGEXEXTRACT(E1328,""-(?:\d{2}-)?([A-Z]+)"")),"""")
"),"")</f>
        <v/>
      </c>
      <c r="C1328" s="108"/>
      <c r="D1328" s="109"/>
      <c r="E1328" s="110"/>
      <c r="F1328" s="110"/>
      <c r="G1328" s="111"/>
      <c r="H1328" s="112"/>
      <c r="I1328" s="113"/>
      <c r="J1328" s="114"/>
      <c r="K1328" s="115"/>
      <c r="L1328" s="115"/>
      <c r="M1328" s="115"/>
      <c r="N1328" s="116"/>
      <c r="O1328" s="114"/>
      <c r="P1328" s="116"/>
      <c r="Q1328" s="219"/>
      <c r="R1328" s="198"/>
      <c r="S1328" s="198"/>
      <c r="T1328" s="198"/>
      <c r="U1328" s="198"/>
      <c r="V1328" s="198"/>
      <c r="W1328" s="198"/>
      <c r="X1328" s="198"/>
    </row>
    <row r="1329" ht="12.0" customHeight="1">
      <c r="A132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29" s="87" t="str">
        <f>IFERROR(__xludf.DUMMYFUNCTION("IFERROR(IF(F1329&lt;&gt;"""",""WHSE ""&amp;LEFT(F1329,1),REGEXEXTRACT(E1329,""-(?:\d{2}-)?([A-Z]+)"")),"""")
"),"")</f>
        <v/>
      </c>
      <c r="C1329" s="108"/>
      <c r="D1329" s="109"/>
      <c r="E1329" s="110"/>
      <c r="F1329" s="110"/>
      <c r="G1329" s="111"/>
      <c r="H1329" s="112"/>
      <c r="I1329" s="113"/>
      <c r="J1329" s="114"/>
      <c r="K1329" s="115"/>
      <c r="L1329" s="115"/>
      <c r="M1329" s="115"/>
      <c r="N1329" s="116"/>
      <c r="O1329" s="114"/>
      <c r="P1329" s="116"/>
      <c r="Q1329" s="219"/>
      <c r="R1329" s="198"/>
      <c r="S1329" s="198"/>
      <c r="T1329" s="198"/>
      <c r="U1329" s="198"/>
      <c r="V1329" s="198"/>
      <c r="W1329" s="198"/>
      <c r="X1329" s="198"/>
    </row>
    <row r="1330" ht="12.0" customHeight="1">
      <c r="A133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0" s="87" t="str">
        <f>IFERROR(__xludf.DUMMYFUNCTION("IFERROR(IF(F1330&lt;&gt;"""",""WHSE ""&amp;LEFT(F1330,1),REGEXEXTRACT(E1330,""-(?:\d{2}-)?([A-Z]+)"")),"""")
"),"")</f>
        <v/>
      </c>
      <c r="C1330" s="108"/>
      <c r="D1330" s="109"/>
      <c r="E1330" s="110"/>
      <c r="F1330" s="110"/>
      <c r="G1330" s="111"/>
      <c r="H1330" s="112"/>
      <c r="I1330" s="113"/>
      <c r="J1330" s="114"/>
      <c r="K1330" s="115"/>
      <c r="L1330" s="115"/>
      <c r="M1330" s="115"/>
      <c r="N1330" s="116"/>
      <c r="O1330" s="114"/>
      <c r="P1330" s="116"/>
      <c r="Q1330" s="219"/>
      <c r="R1330" s="198"/>
      <c r="S1330" s="198"/>
      <c r="T1330" s="198"/>
      <c r="U1330" s="198"/>
      <c r="V1330" s="198"/>
      <c r="W1330" s="198"/>
      <c r="X1330" s="198"/>
    </row>
    <row r="1331" ht="12.0" customHeight="1">
      <c r="A133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1" s="87" t="str">
        <f>IFERROR(__xludf.DUMMYFUNCTION("IFERROR(IF(F1331&lt;&gt;"""",""WHSE ""&amp;LEFT(F1331,1),REGEXEXTRACT(E1331,""-(?:\d{2}-)?([A-Z]+)"")),"""")
"),"")</f>
        <v/>
      </c>
      <c r="C1331" s="108"/>
      <c r="D1331" s="109"/>
      <c r="E1331" s="110"/>
      <c r="F1331" s="110"/>
      <c r="G1331" s="111"/>
      <c r="H1331" s="112"/>
      <c r="I1331" s="113"/>
      <c r="J1331" s="114"/>
      <c r="K1331" s="115"/>
      <c r="L1331" s="115"/>
      <c r="M1331" s="115"/>
      <c r="N1331" s="116"/>
      <c r="O1331" s="114"/>
      <c r="P1331" s="116"/>
      <c r="Q1331" s="219"/>
      <c r="R1331" s="198"/>
      <c r="S1331" s="198"/>
      <c r="T1331" s="198"/>
      <c r="U1331" s="198"/>
      <c r="V1331" s="198"/>
      <c r="W1331" s="198"/>
      <c r="X1331" s="198"/>
    </row>
    <row r="1332" ht="12.0" customHeight="1">
      <c r="A133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2" s="87" t="str">
        <f>IFERROR(__xludf.DUMMYFUNCTION("IFERROR(IF(F1332&lt;&gt;"""",""WHSE ""&amp;LEFT(F1332,1),REGEXEXTRACT(E1332,""-(?:\d{2}-)?([A-Z]+)"")),"""")
"),"")</f>
        <v/>
      </c>
      <c r="C1332" s="108"/>
      <c r="D1332" s="109"/>
      <c r="E1332" s="110"/>
      <c r="F1332" s="110"/>
      <c r="G1332" s="111"/>
      <c r="H1332" s="112"/>
      <c r="I1332" s="113"/>
      <c r="J1332" s="114"/>
      <c r="K1332" s="115"/>
      <c r="L1332" s="115"/>
      <c r="M1332" s="115"/>
      <c r="N1332" s="116"/>
      <c r="O1332" s="114"/>
      <c r="P1332" s="116"/>
      <c r="Q1332" s="219"/>
      <c r="R1332" s="198"/>
      <c r="S1332" s="198"/>
      <c r="T1332" s="198"/>
      <c r="U1332" s="198"/>
      <c r="V1332" s="198"/>
      <c r="W1332" s="198"/>
      <c r="X1332" s="198"/>
    </row>
    <row r="1333" ht="12.0" customHeight="1">
      <c r="A133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3" s="87" t="str">
        <f>IFERROR(__xludf.DUMMYFUNCTION("IFERROR(IF(F1333&lt;&gt;"""",""WHSE ""&amp;LEFT(F1333,1),REGEXEXTRACT(E1333,""-(?:\d{2}-)?([A-Z]+)"")),"""")
"),"")</f>
        <v/>
      </c>
      <c r="C1333" s="108"/>
      <c r="D1333" s="109"/>
      <c r="E1333" s="110"/>
      <c r="F1333" s="110"/>
      <c r="G1333" s="111"/>
      <c r="H1333" s="112"/>
      <c r="I1333" s="113"/>
      <c r="J1333" s="114"/>
      <c r="K1333" s="115"/>
      <c r="L1333" s="115"/>
      <c r="M1333" s="115"/>
      <c r="N1333" s="116"/>
      <c r="O1333" s="114"/>
      <c r="P1333" s="116"/>
      <c r="Q1333" s="219"/>
      <c r="R1333" s="198"/>
      <c r="S1333" s="198"/>
      <c r="T1333" s="198"/>
      <c r="U1333" s="198"/>
      <c r="V1333" s="198"/>
      <c r="W1333" s="198"/>
      <c r="X1333" s="198"/>
    </row>
    <row r="1334" ht="12.0" customHeight="1">
      <c r="A133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4" s="87" t="str">
        <f>IFERROR(__xludf.DUMMYFUNCTION("IFERROR(IF(F1334&lt;&gt;"""",""WHSE ""&amp;LEFT(F1334,1),REGEXEXTRACT(E1334,""-(?:\d{2}-)?([A-Z]+)"")),"""")
"),"")</f>
        <v/>
      </c>
      <c r="C1334" s="108"/>
      <c r="D1334" s="109"/>
      <c r="E1334" s="110"/>
      <c r="F1334" s="110"/>
      <c r="G1334" s="111"/>
      <c r="H1334" s="112"/>
      <c r="I1334" s="113"/>
      <c r="J1334" s="114"/>
      <c r="K1334" s="115"/>
      <c r="L1334" s="115"/>
      <c r="M1334" s="115"/>
      <c r="N1334" s="116"/>
      <c r="O1334" s="114"/>
      <c r="P1334" s="116"/>
      <c r="Q1334" s="219"/>
      <c r="R1334" s="198"/>
      <c r="S1334" s="198"/>
      <c r="T1334" s="198"/>
      <c r="U1334" s="198"/>
      <c r="V1334" s="198"/>
      <c r="W1334" s="198"/>
      <c r="X1334" s="198"/>
    </row>
    <row r="1335" ht="12.0" customHeight="1">
      <c r="A133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5" s="87" t="str">
        <f>IFERROR(__xludf.DUMMYFUNCTION("IFERROR(IF(F1335&lt;&gt;"""",""WHSE ""&amp;LEFT(F1335,1),REGEXEXTRACT(E1335,""-(?:\d{2}-)?([A-Z]+)"")),"""")
"),"")</f>
        <v/>
      </c>
      <c r="C1335" s="108"/>
      <c r="D1335" s="109"/>
      <c r="E1335" s="110"/>
      <c r="F1335" s="110"/>
      <c r="G1335" s="111"/>
      <c r="H1335" s="112"/>
      <c r="I1335" s="113"/>
      <c r="J1335" s="114"/>
      <c r="K1335" s="115"/>
      <c r="L1335" s="115"/>
      <c r="M1335" s="115"/>
      <c r="N1335" s="116"/>
      <c r="O1335" s="114"/>
      <c r="P1335" s="116"/>
      <c r="Q1335" s="219"/>
      <c r="R1335" s="198"/>
      <c r="S1335" s="198"/>
      <c r="T1335" s="198"/>
      <c r="U1335" s="198"/>
      <c r="V1335" s="198"/>
      <c r="W1335" s="198"/>
      <c r="X1335" s="198"/>
    </row>
    <row r="1336" ht="12.0" customHeight="1">
      <c r="A133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6" s="87" t="str">
        <f>IFERROR(__xludf.DUMMYFUNCTION("IFERROR(IF(F1336&lt;&gt;"""",""WHSE ""&amp;LEFT(F1336,1),REGEXEXTRACT(E1336,""-(?:\d{2}-)?([A-Z]+)"")),"""")
"),"")</f>
        <v/>
      </c>
      <c r="C1336" s="108"/>
      <c r="D1336" s="109"/>
      <c r="E1336" s="110"/>
      <c r="F1336" s="110"/>
      <c r="G1336" s="111"/>
      <c r="H1336" s="112"/>
      <c r="I1336" s="113"/>
      <c r="J1336" s="114"/>
      <c r="K1336" s="115"/>
      <c r="L1336" s="115"/>
      <c r="M1336" s="115"/>
      <c r="N1336" s="116"/>
      <c r="O1336" s="114"/>
      <c r="P1336" s="116"/>
      <c r="Q1336" s="219"/>
      <c r="R1336" s="198"/>
      <c r="S1336" s="198"/>
      <c r="T1336" s="198"/>
      <c r="U1336" s="198"/>
      <c r="V1336" s="198"/>
      <c r="W1336" s="198"/>
      <c r="X1336" s="198"/>
    </row>
    <row r="1337" ht="12.0" customHeight="1">
      <c r="A133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7" s="87" t="str">
        <f>IFERROR(__xludf.DUMMYFUNCTION("IFERROR(IF(F1337&lt;&gt;"""",""WHSE ""&amp;LEFT(F1337,1),REGEXEXTRACT(E1337,""-(?:\d{2}-)?([A-Z]+)"")),"""")
"),"")</f>
        <v/>
      </c>
      <c r="C1337" s="108"/>
      <c r="D1337" s="109"/>
      <c r="E1337" s="110"/>
      <c r="F1337" s="110"/>
      <c r="G1337" s="111"/>
      <c r="H1337" s="112"/>
      <c r="I1337" s="113"/>
      <c r="J1337" s="114"/>
      <c r="K1337" s="115"/>
      <c r="L1337" s="115"/>
      <c r="M1337" s="115"/>
      <c r="N1337" s="116"/>
      <c r="O1337" s="114"/>
      <c r="P1337" s="116"/>
      <c r="Q1337" s="219"/>
      <c r="R1337" s="198"/>
      <c r="S1337" s="198"/>
      <c r="T1337" s="198"/>
      <c r="U1337" s="198"/>
      <c r="V1337" s="198"/>
      <c r="W1337" s="198"/>
      <c r="X1337" s="198"/>
    </row>
    <row r="1338" ht="12.0" customHeight="1">
      <c r="A133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8" s="87" t="str">
        <f>IFERROR(__xludf.DUMMYFUNCTION("IFERROR(IF(F1338&lt;&gt;"""",""WHSE ""&amp;LEFT(F1338,1),REGEXEXTRACT(E1338,""-(?:\d{2}-)?([A-Z]+)"")),"""")
"),"")</f>
        <v/>
      </c>
      <c r="C1338" s="108"/>
      <c r="D1338" s="109"/>
      <c r="E1338" s="110"/>
      <c r="F1338" s="110"/>
      <c r="G1338" s="111"/>
      <c r="H1338" s="112"/>
      <c r="I1338" s="113"/>
      <c r="J1338" s="114"/>
      <c r="K1338" s="115"/>
      <c r="L1338" s="115"/>
      <c r="M1338" s="115"/>
      <c r="N1338" s="116"/>
      <c r="O1338" s="114"/>
      <c r="P1338" s="116"/>
      <c r="Q1338" s="219"/>
      <c r="R1338" s="198"/>
      <c r="S1338" s="198"/>
      <c r="T1338" s="198"/>
      <c r="U1338" s="198"/>
      <c r="V1338" s="198"/>
      <c r="W1338" s="198"/>
      <c r="X1338" s="198"/>
    </row>
    <row r="1339" ht="12.0" customHeight="1">
      <c r="A133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39" s="87" t="str">
        <f>IFERROR(__xludf.DUMMYFUNCTION("IFERROR(IF(F1339&lt;&gt;"""",""WHSE ""&amp;LEFT(F1339,1),REGEXEXTRACT(E1339,""-(?:\d{2}-)?([A-Z]+)"")),"""")
"),"")</f>
        <v/>
      </c>
      <c r="C1339" s="108"/>
      <c r="D1339" s="109"/>
      <c r="E1339" s="110"/>
      <c r="F1339" s="110"/>
      <c r="G1339" s="111"/>
      <c r="H1339" s="112"/>
      <c r="I1339" s="113"/>
      <c r="J1339" s="114"/>
      <c r="K1339" s="115"/>
      <c r="L1339" s="115"/>
      <c r="M1339" s="115"/>
      <c r="N1339" s="116"/>
      <c r="O1339" s="114"/>
      <c r="P1339" s="116"/>
      <c r="Q1339" s="219"/>
      <c r="R1339" s="198"/>
      <c r="S1339" s="198"/>
      <c r="T1339" s="198"/>
      <c r="U1339" s="198"/>
      <c r="V1339" s="198"/>
      <c r="W1339" s="198"/>
      <c r="X1339" s="198"/>
    </row>
    <row r="1340" ht="12.0" customHeight="1">
      <c r="A134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0" s="87" t="str">
        <f>IFERROR(__xludf.DUMMYFUNCTION("IFERROR(IF(F1340&lt;&gt;"""",""WHSE ""&amp;LEFT(F1340,1),REGEXEXTRACT(E1340,""-(?:\d{2}-)?([A-Z]+)"")),"""")
"),"")</f>
        <v/>
      </c>
      <c r="C1340" s="108"/>
      <c r="D1340" s="109"/>
      <c r="E1340" s="110"/>
      <c r="F1340" s="110"/>
      <c r="G1340" s="111"/>
      <c r="H1340" s="112"/>
      <c r="I1340" s="113"/>
      <c r="J1340" s="114"/>
      <c r="K1340" s="115"/>
      <c r="L1340" s="115"/>
      <c r="M1340" s="115"/>
      <c r="N1340" s="116"/>
      <c r="O1340" s="114"/>
      <c r="P1340" s="116"/>
      <c r="Q1340" s="219"/>
      <c r="R1340" s="198"/>
      <c r="S1340" s="198"/>
      <c r="T1340" s="198"/>
      <c r="U1340" s="198"/>
      <c r="V1340" s="198"/>
      <c r="W1340" s="198"/>
      <c r="X1340" s="198"/>
    </row>
    <row r="1341" ht="12.0" customHeight="1">
      <c r="A134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1" s="87" t="str">
        <f>IFERROR(__xludf.DUMMYFUNCTION("IFERROR(IF(F1341&lt;&gt;"""",""WHSE ""&amp;LEFT(F1341,1),REGEXEXTRACT(E1341,""-(?:\d{2}-)?([A-Z]+)"")),"""")
"),"")</f>
        <v/>
      </c>
      <c r="C1341" s="108"/>
      <c r="D1341" s="109"/>
      <c r="E1341" s="110"/>
      <c r="F1341" s="110"/>
      <c r="G1341" s="111"/>
      <c r="H1341" s="112"/>
      <c r="I1341" s="113"/>
      <c r="J1341" s="114"/>
      <c r="K1341" s="115"/>
      <c r="L1341" s="115"/>
      <c r="M1341" s="115"/>
      <c r="N1341" s="116"/>
      <c r="O1341" s="114"/>
      <c r="P1341" s="116"/>
      <c r="Q1341" s="219"/>
      <c r="R1341" s="198"/>
      <c r="S1341" s="198"/>
      <c r="T1341" s="198"/>
      <c r="U1341" s="198"/>
      <c r="V1341" s="198"/>
      <c r="W1341" s="198"/>
      <c r="X1341" s="198"/>
    </row>
    <row r="1342" ht="12.0" customHeight="1">
      <c r="A134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2" s="87" t="str">
        <f>IFERROR(__xludf.DUMMYFUNCTION("IFERROR(IF(F1342&lt;&gt;"""",""WHSE ""&amp;LEFT(F1342,1),REGEXEXTRACT(E1342,""-(?:\d{2}-)?([A-Z]+)"")),"""")
"),"")</f>
        <v/>
      </c>
      <c r="C1342" s="108"/>
      <c r="D1342" s="109"/>
      <c r="E1342" s="110"/>
      <c r="F1342" s="110"/>
      <c r="G1342" s="111"/>
      <c r="H1342" s="112"/>
      <c r="I1342" s="113"/>
      <c r="J1342" s="114"/>
      <c r="K1342" s="115"/>
      <c r="L1342" s="115"/>
      <c r="M1342" s="115"/>
      <c r="N1342" s="116"/>
      <c r="O1342" s="114"/>
      <c r="P1342" s="116"/>
      <c r="Q1342" s="219"/>
      <c r="R1342" s="198"/>
      <c r="S1342" s="198"/>
      <c r="T1342" s="198"/>
      <c r="U1342" s="198"/>
      <c r="V1342" s="198"/>
      <c r="W1342" s="198"/>
      <c r="X1342" s="198"/>
    </row>
    <row r="1343" ht="12.0" customHeight="1">
      <c r="A134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3" s="87" t="str">
        <f>IFERROR(__xludf.DUMMYFUNCTION("IFERROR(IF(F1343&lt;&gt;"""",""WHSE ""&amp;LEFT(F1343,1),REGEXEXTRACT(E1343,""-(?:\d{2}-)?([A-Z]+)"")),"""")
"),"")</f>
        <v/>
      </c>
      <c r="C1343" s="108"/>
      <c r="D1343" s="109"/>
      <c r="E1343" s="110"/>
      <c r="F1343" s="110"/>
      <c r="G1343" s="111"/>
      <c r="H1343" s="112"/>
      <c r="I1343" s="113"/>
      <c r="J1343" s="114"/>
      <c r="K1343" s="115"/>
      <c r="L1343" s="115"/>
      <c r="M1343" s="115"/>
      <c r="N1343" s="116"/>
      <c r="O1343" s="114"/>
      <c r="P1343" s="116"/>
      <c r="Q1343" s="219"/>
      <c r="R1343" s="198"/>
      <c r="S1343" s="198"/>
      <c r="T1343" s="198"/>
      <c r="U1343" s="198"/>
      <c r="V1343" s="198"/>
      <c r="W1343" s="198"/>
      <c r="X1343" s="198"/>
    </row>
    <row r="1344" ht="12.0" customHeight="1">
      <c r="A134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4" s="87" t="str">
        <f>IFERROR(__xludf.DUMMYFUNCTION("IFERROR(IF(F1344&lt;&gt;"""",""WHSE ""&amp;LEFT(F1344,1),REGEXEXTRACT(E1344,""-(?:\d{2}-)?([A-Z]+)"")),"""")
"),"")</f>
        <v/>
      </c>
      <c r="C1344" s="108"/>
      <c r="D1344" s="109"/>
      <c r="E1344" s="110"/>
      <c r="F1344" s="110"/>
      <c r="G1344" s="111"/>
      <c r="H1344" s="112"/>
      <c r="I1344" s="113"/>
      <c r="J1344" s="114"/>
      <c r="K1344" s="115"/>
      <c r="L1344" s="115"/>
      <c r="M1344" s="115"/>
      <c r="N1344" s="116"/>
      <c r="O1344" s="114"/>
      <c r="P1344" s="116"/>
      <c r="Q1344" s="219"/>
      <c r="R1344" s="198"/>
      <c r="S1344" s="198"/>
      <c r="T1344" s="198"/>
      <c r="U1344" s="198"/>
      <c r="V1344" s="198"/>
      <c r="W1344" s="198"/>
      <c r="X1344" s="198"/>
    </row>
    <row r="1345" ht="12.0" customHeight="1">
      <c r="A134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5" s="87" t="str">
        <f>IFERROR(__xludf.DUMMYFUNCTION("IFERROR(IF(F1345&lt;&gt;"""",""WHSE ""&amp;LEFT(F1345,1),REGEXEXTRACT(E1345,""-(?:\d{2}-)?([A-Z]+)"")),"""")
"),"")</f>
        <v/>
      </c>
      <c r="C1345" s="108"/>
      <c r="D1345" s="109"/>
      <c r="E1345" s="110"/>
      <c r="F1345" s="110"/>
      <c r="G1345" s="111"/>
      <c r="H1345" s="112"/>
      <c r="I1345" s="113"/>
      <c r="J1345" s="114"/>
      <c r="K1345" s="115"/>
      <c r="L1345" s="115"/>
      <c r="M1345" s="115"/>
      <c r="N1345" s="116"/>
      <c r="O1345" s="114"/>
      <c r="P1345" s="116"/>
      <c r="Q1345" s="219"/>
      <c r="R1345" s="198"/>
      <c r="S1345" s="198"/>
      <c r="T1345" s="198"/>
      <c r="U1345" s="198"/>
      <c r="V1345" s="198"/>
      <c r="W1345" s="198"/>
      <c r="X1345" s="198"/>
    </row>
    <row r="1346" ht="12.0" customHeight="1">
      <c r="A134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6" s="87" t="str">
        <f>IFERROR(__xludf.DUMMYFUNCTION("IFERROR(IF(F1346&lt;&gt;"""",""WHSE ""&amp;LEFT(F1346,1),REGEXEXTRACT(E1346,""-(?:\d{2}-)?([A-Z]+)"")),"""")
"),"")</f>
        <v/>
      </c>
      <c r="C1346" s="108"/>
      <c r="D1346" s="109"/>
      <c r="E1346" s="110"/>
      <c r="F1346" s="110"/>
      <c r="G1346" s="111"/>
      <c r="H1346" s="112"/>
      <c r="I1346" s="113"/>
      <c r="J1346" s="114"/>
      <c r="K1346" s="115"/>
      <c r="L1346" s="115"/>
      <c r="M1346" s="115"/>
      <c r="N1346" s="116"/>
      <c r="O1346" s="114"/>
      <c r="P1346" s="116"/>
      <c r="Q1346" s="219"/>
      <c r="R1346" s="198"/>
      <c r="S1346" s="198"/>
      <c r="T1346" s="198"/>
      <c r="U1346" s="198"/>
      <c r="V1346" s="198"/>
      <c r="W1346" s="198"/>
      <c r="X1346" s="198"/>
    </row>
    <row r="1347" ht="12.0" customHeight="1">
      <c r="A134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7" s="87" t="str">
        <f>IFERROR(__xludf.DUMMYFUNCTION("IFERROR(IF(F1347&lt;&gt;"""",""WHSE ""&amp;LEFT(F1347,1),REGEXEXTRACT(E1347,""-(?:\d{2}-)?([A-Z]+)"")),"""")
"),"")</f>
        <v/>
      </c>
      <c r="C1347" s="108"/>
      <c r="D1347" s="109"/>
      <c r="E1347" s="110"/>
      <c r="F1347" s="110"/>
      <c r="G1347" s="111"/>
      <c r="H1347" s="112"/>
      <c r="I1347" s="113"/>
      <c r="J1347" s="114"/>
      <c r="K1347" s="115"/>
      <c r="L1347" s="115"/>
      <c r="M1347" s="115"/>
      <c r="N1347" s="116"/>
      <c r="O1347" s="114"/>
      <c r="P1347" s="116"/>
      <c r="Q1347" s="219"/>
      <c r="R1347" s="198"/>
      <c r="S1347" s="198"/>
      <c r="T1347" s="198"/>
      <c r="U1347" s="198"/>
      <c r="V1347" s="198"/>
      <c r="W1347" s="198"/>
      <c r="X1347" s="198"/>
    </row>
    <row r="1348" ht="12.0" customHeight="1">
      <c r="A134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8" s="87" t="str">
        <f>IFERROR(__xludf.DUMMYFUNCTION("IFERROR(IF(F1348&lt;&gt;"""",""WHSE ""&amp;LEFT(F1348,1),REGEXEXTRACT(E1348,""-(?:\d{2}-)?([A-Z]+)"")),"""")
"),"")</f>
        <v/>
      </c>
      <c r="C1348" s="108"/>
      <c r="D1348" s="109"/>
      <c r="E1348" s="110"/>
      <c r="F1348" s="110"/>
      <c r="G1348" s="111"/>
      <c r="H1348" s="112"/>
      <c r="I1348" s="113"/>
      <c r="J1348" s="114"/>
      <c r="K1348" s="115"/>
      <c r="L1348" s="115"/>
      <c r="M1348" s="115"/>
      <c r="N1348" s="116"/>
      <c r="O1348" s="114"/>
      <c r="P1348" s="116"/>
      <c r="Q1348" s="219"/>
      <c r="R1348" s="198"/>
      <c r="S1348" s="198"/>
      <c r="T1348" s="198"/>
      <c r="U1348" s="198"/>
      <c r="V1348" s="198"/>
      <c r="W1348" s="198"/>
      <c r="X1348" s="198"/>
    </row>
    <row r="1349" ht="12.0" customHeight="1">
      <c r="A134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49" s="87" t="str">
        <f>IFERROR(__xludf.DUMMYFUNCTION("IFERROR(IF(F1349&lt;&gt;"""",""WHSE ""&amp;LEFT(F1349,1),REGEXEXTRACT(E1349,""-(?:\d{2}-)?([A-Z]+)"")),"""")
"),"")</f>
        <v/>
      </c>
      <c r="C1349" s="108"/>
      <c r="D1349" s="109"/>
      <c r="E1349" s="110"/>
      <c r="F1349" s="110"/>
      <c r="G1349" s="111"/>
      <c r="H1349" s="112"/>
      <c r="I1349" s="113"/>
      <c r="J1349" s="114"/>
      <c r="K1349" s="115"/>
      <c r="L1349" s="115"/>
      <c r="M1349" s="115"/>
      <c r="N1349" s="116"/>
      <c r="O1349" s="114"/>
      <c r="P1349" s="116"/>
      <c r="Q1349" s="219"/>
      <c r="R1349" s="198"/>
      <c r="S1349" s="198"/>
      <c r="T1349" s="198"/>
      <c r="U1349" s="198"/>
      <c r="V1349" s="198"/>
      <c r="W1349" s="198"/>
      <c r="X1349" s="198"/>
    </row>
    <row r="1350" ht="12.0" customHeight="1">
      <c r="A135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0" s="87" t="str">
        <f>IFERROR(__xludf.DUMMYFUNCTION("IFERROR(IF(F1350&lt;&gt;"""",""WHSE ""&amp;LEFT(F1350,1),REGEXEXTRACT(E1350,""-(?:\d{2}-)?([A-Z]+)"")),"""")
"),"")</f>
        <v/>
      </c>
      <c r="C1350" s="108"/>
      <c r="D1350" s="109"/>
      <c r="E1350" s="110"/>
      <c r="F1350" s="110"/>
      <c r="G1350" s="111"/>
      <c r="H1350" s="112"/>
      <c r="I1350" s="113"/>
      <c r="J1350" s="114"/>
      <c r="K1350" s="115"/>
      <c r="L1350" s="115"/>
      <c r="M1350" s="115"/>
      <c r="N1350" s="116"/>
      <c r="O1350" s="114"/>
      <c r="P1350" s="116"/>
      <c r="Q1350" s="219"/>
      <c r="R1350" s="198"/>
      <c r="S1350" s="198"/>
      <c r="T1350" s="198"/>
      <c r="U1350" s="198"/>
      <c r="V1350" s="198"/>
      <c r="W1350" s="198"/>
      <c r="X1350" s="198"/>
    </row>
    <row r="1351" ht="12.0" customHeight="1">
      <c r="A135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1" s="87" t="str">
        <f>IFERROR(__xludf.DUMMYFUNCTION("IFERROR(IF(F1351&lt;&gt;"""",""WHSE ""&amp;LEFT(F1351,1),REGEXEXTRACT(E1351,""-(?:\d{2}-)?([A-Z]+)"")),"""")
"),"")</f>
        <v/>
      </c>
      <c r="C1351" s="108"/>
      <c r="D1351" s="109"/>
      <c r="E1351" s="110"/>
      <c r="F1351" s="110"/>
      <c r="G1351" s="111"/>
      <c r="H1351" s="112"/>
      <c r="I1351" s="113"/>
      <c r="J1351" s="114"/>
      <c r="K1351" s="115"/>
      <c r="L1351" s="115"/>
      <c r="M1351" s="115"/>
      <c r="N1351" s="116"/>
      <c r="O1351" s="114"/>
      <c r="P1351" s="116"/>
      <c r="Q1351" s="219"/>
      <c r="R1351" s="198"/>
      <c r="S1351" s="198"/>
      <c r="T1351" s="198"/>
      <c r="U1351" s="198"/>
      <c r="V1351" s="198"/>
      <c r="W1351" s="198"/>
      <c r="X1351" s="198"/>
    </row>
    <row r="1352" ht="12.0" customHeight="1">
      <c r="A135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2" s="87" t="str">
        <f>IFERROR(__xludf.DUMMYFUNCTION("IFERROR(IF(F1352&lt;&gt;"""",""WHSE ""&amp;LEFT(F1352,1),REGEXEXTRACT(E1352,""-(?:\d{2}-)?([A-Z]+)"")),"""")
"),"")</f>
        <v/>
      </c>
      <c r="C1352" s="108"/>
      <c r="D1352" s="109"/>
      <c r="E1352" s="110"/>
      <c r="F1352" s="110"/>
      <c r="G1352" s="111"/>
      <c r="H1352" s="112"/>
      <c r="I1352" s="113"/>
      <c r="J1352" s="114"/>
      <c r="K1352" s="115"/>
      <c r="L1352" s="115"/>
      <c r="M1352" s="115"/>
      <c r="N1352" s="116"/>
      <c r="O1352" s="114"/>
      <c r="P1352" s="116"/>
      <c r="Q1352" s="219"/>
      <c r="R1352" s="198"/>
      <c r="S1352" s="198"/>
      <c r="T1352" s="198"/>
      <c r="U1352" s="198"/>
      <c r="V1352" s="198"/>
      <c r="W1352" s="198"/>
      <c r="X1352" s="198"/>
    </row>
    <row r="1353" ht="12.0" customHeight="1">
      <c r="A135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3" s="87" t="str">
        <f>IFERROR(__xludf.DUMMYFUNCTION("IFERROR(IF(F1353&lt;&gt;"""",""WHSE ""&amp;LEFT(F1353,1),REGEXEXTRACT(E1353,""-(?:\d{2}-)?([A-Z]+)"")),"""")
"),"")</f>
        <v/>
      </c>
      <c r="C1353" s="108"/>
      <c r="D1353" s="109"/>
      <c r="E1353" s="110"/>
      <c r="F1353" s="110"/>
      <c r="G1353" s="111"/>
      <c r="H1353" s="112"/>
      <c r="I1353" s="113"/>
      <c r="J1353" s="114"/>
      <c r="K1353" s="115"/>
      <c r="L1353" s="115"/>
      <c r="M1353" s="115"/>
      <c r="N1353" s="116"/>
      <c r="O1353" s="114"/>
      <c r="P1353" s="116"/>
      <c r="Q1353" s="219"/>
      <c r="R1353" s="198"/>
      <c r="S1353" s="198"/>
      <c r="T1353" s="198"/>
      <c r="U1353" s="198"/>
      <c r="V1353" s="198"/>
      <c r="W1353" s="198"/>
      <c r="X1353" s="198"/>
    </row>
    <row r="1354" ht="12.0" customHeight="1">
      <c r="A135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4" s="87" t="str">
        <f>IFERROR(__xludf.DUMMYFUNCTION("IFERROR(IF(F1354&lt;&gt;"""",""WHSE ""&amp;LEFT(F1354,1),REGEXEXTRACT(E1354,""-(?:\d{2}-)?([A-Z]+)"")),"""")
"),"")</f>
        <v/>
      </c>
      <c r="C1354" s="108"/>
      <c r="D1354" s="109"/>
      <c r="E1354" s="110"/>
      <c r="F1354" s="110"/>
      <c r="G1354" s="111"/>
      <c r="H1354" s="112"/>
      <c r="I1354" s="113"/>
      <c r="J1354" s="114"/>
      <c r="K1354" s="115"/>
      <c r="L1354" s="115"/>
      <c r="M1354" s="115"/>
      <c r="N1354" s="116"/>
      <c r="O1354" s="114"/>
      <c r="P1354" s="116"/>
      <c r="Q1354" s="219"/>
      <c r="R1354" s="198"/>
      <c r="S1354" s="198"/>
      <c r="T1354" s="198"/>
      <c r="U1354" s="198"/>
      <c r="V1354" s="198"/>
      <c r="W1354" s="198"/>
      <c r="X1354" s="198"/>
    </row>
    <row r="1355" ht="12.0" customHeight="1">
      <c r="A135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5" s="87" t="str">
        <f>IFERROR(__xludf.DUMMYFUNCTION("IFERROR(IF(F1355&lt;&gt;"""",""WHSE ""&amp;LEFT(F1355,1),REGEXEXTRACT(E1355,""-(?:\d{2}-)?([A-Z]+)"")),"""")
"),"")</f>
        <v/>
      </c>
      <c r="C1355" s="108"/>
      <c r="D1355" s="109"/>
      <c r="E1355" s="110"/>
      <c r="F1355" s="110"/>
      <c r="G1355" s="111"/>
      <c r="H1355" s="112"/>
      <c r="I1355" s="113"/>
      <c r="J1355" s="114"/>
      <c r="K1355" s="115"/>
      <c r="L1355" s="115"/>
      <c r="M1355" s="115"/>
      <c r="N1355" s="116"/>
      <c r="O1355" s="114"/>
      <c r="P1355" s="116"/>
      <c r="Q1355" s="219"/>
      <c r="R1355" s="198"/>
      <c r="S1355" s="198"/>
      <c r="T1355" s="198"/>
      <c r="U1355" s="198"/>
      <c r="V1355" s="198"/>
      <c r="W1355" s="198"/>
      <c r="X1355" s="198"/>
    </row>
    <row r="1356" ht="12.0" customHeight="1">
      <c r="A135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6" s="87" t="str">
        <f>IFERROR(__xludf.DUMMYFUNCTION("IFERROR(IF(F1356&lt;&gt;"""",""WHSE ""&amp;LEFT(F1356,1),REGEXEXTRACT(E1356,""-(?:\d{2}-)?([A-Z]+)"")),"""")
"),"")</f>
        <v/>
      </c>
      <c r="C1356" s="108"/>
      <c r="D1356" s="109"/>
      <c r="E1356" s="110"/>
      <c r="F1356" s="110"/>
      <c r="G1356" s="111"/>
      <c r="H1356" s="112"/>
      <c r="I1356" s="113"/>
      <c r="J1356" s="114"/>
      <c r="K1356" s="115"/>
      <c r="L1356" s="115"/>
      <c r="M1356" s="115"/>
      <c r="N1356" s="116"/>
      <c r="O1356" s="114"/>
      <c r="P1356" s="116"/>
      <c r="Q1356" s="219"/>
      <c r="R1356" s="198"/>
      <c r="S1356" s="198"/>
      <c r="T1356" s="198"/>
      <c r="U1356" s="198"/>
      <c r="V1356" s="198"/>
      <c r="W1356" s="198"/>
      <c r="X1356" s="198"/>
    </row>
    <row r="1357" ht="12.0" customHeight="1">
      <c r="A135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7" s="87" t="str">
        <f>IFERROR(__xludf.DUMMYFUNCTION("IFERROR(IF(F1357&lt;&gt;"""",""WHSE ""&amp;LEFT(F1357,1),REGEXEXTRACT(E1357,""-(?:\d{2}-)?([A-Z]+)"")),"""")
"),"")</f>
        <v/>
      </c>
      <c r="C1357" s="108"/>
      <c r="D1357" s="109"/>
      <c r="E1357" s="110"/>
      <c r="F1357" s="110"/>
      <c r="G1357" s="111"/>
      <c r="H1357" s="112"/>
      <c r="I1357" s="113"/>
      <c r="J1357" s="114"/>
      <c r="K1357" s="115"/>
      <c r="L1357" s="115"/>
      <c r="M1357" s="115"/>
      <c r="N1357" s="116"/>
      <c r="O1357" s="114"/>
      <c r="P1357" s="116"/>
      <c r="Q1357" s="219"/>
      <c r="R1357" s="198"/>
      <c r="S1357" s="198"/>
      <c r="T1357" s="198"/>
      <c r="U1357" s="198"/>
      <c r="V1357" s="198"/>
      <c r="W1357" s="198"/>
      <c r="X1357" s="198"/>
    </row>
    <row r="1358" ht="12.0" customHeight="1">
      <c r="A135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8" s="87" t="str">
        <f>IFERROR(__xludf.DUMMYFUNCTION("IFERROR(IF(F1358&lt;&gt;"""",""WHSE ""&amp;LEFT(F1358,1),REGEXEXTRACT(E1358,""-(?:\d{2}-)?([A-Z]+)"")),"""")
"),"")</f>
        <v/>
      </c>
      <c r="C1358" s="108"/>
      <c r="D1358" s="109"/>
      <c r="E1358" s="110"/>
      <c r="F1358" s="110"/>
      <c r="G1358" s="111"/>
      <c r="H1358" s="112"/>
      <c r="I1358" s="113"/>
      <c r="J1358" s="114"/>
      <c r="K1358" s="115"/>
      <c r="L1358" s="115"/>
      <c r="M1358" s="115"/>
      <c r="N1358" s="116"/>
      <c r="O1358" s="114"/>
      <c r="P1358" s="116"/>
      <c r="Q1358" s="219"/>
      <c r="R1358" s="198"/>
      <c r="S1358" s="198"/>
      <c r="T1358" s="198"/>
      <c r="U1358" s="198"/>
      <c r="V1358" s="198"/>
      <c r="W1358" s="198"/>
      <c r="X1358" s="198"/>
    </row>
    <row r="1359" ht="12.0" customHeight="1">
      <c r="A135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59" s="87" t="str">
        <f>IFERROR(__xludf.DUMMYFUNCTION("IFERROR(IF(F1359&lt;&gt;"""",""WHSE ""&amp;LEFT(F1359,1),REGEXEXTRACT(E1359,""-(?:\d{2}-)?([A-Z]+)"")),"""")
"),"")</f>
        <v/>
      </c>
      <c r="C1359" s="108"/>
      <c r="D1359" s="109"/>
      <c r="E1359" s="110"/>
      <c r="F1359" s="110"/>
      <c r="G1359" s="111"/>
      <c r="H1359" s="112"/>
      <c r="I1359" s="113"/>
      <c r="J1359" s="114"/>
      <c r="K1359" s="115"/>
      <c r="L1359" s="115"/>
      <c r="M1359" s="115"/>
      <c r="N1359" s="116"/>
      <c r="O1359" s="114"/>
      <c r="P1359" s="116"/>
      <c r="Q1359" s="219"/>
      <c r="R1359" s="198"/>
      <c r="S1359" s="198"/>
      <c r="T1359" s="198"/>
      <c r="U1359" s="198"/>
      <c r="V1359" s="198"/>
      <c r="W1359" s="198"/>
      <c r="X1359" s="198"/>
    </row>
    <row r="1360" ht="12.0" customHeight="1">
      <c r="A136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0" s="87" t="str">
        <f>IFERROR(__xludf.DUMMYFUNCTION("IFERROR(IF(F1360&lt;&gt;"""",""WHSE ""&amp;LEFT(F1360,1),REGEXEXTRACT(E1360,""-(?:\d{2}-)?([A-Z]+)"")),"""")
"),"")</f>
        <v/>
      </c>
      <c r="C1360" s="108"/>
      <c r="D1360" s="109"/>
      <c r="E1360" s="110"/>
      <c r="F1360" s="110"/>
      <c r="G1360" s="111"/>
      <c r="H1360" s="112"/>
      <c r="I1360" s="113"/>
      <c r="J1360" s="114"/>
      <c r="K1360" s="115"/>
      <c r="L1360" s="115"/>
      <c r="M1360" s="115"/>
      <c r="N1360" s="116"/>
      <c r="O1360" s="114"/>
      <c r="P1360" s="116"/>
      <c r="Q1360" s="219"/>
      <c r="R1360" s="198"/>
      <c r="S1360" s="198"/>
      <c r="T1360" s="198"/>
      <c r="U1360" s="198"/>
      <c r="V1360" s="198"/>
      <c r="W1360" s="198"/>
      <c r="X1360" s="198"/>
    </row>
    <row r="1361" ht="12.0" customHeight="1">
      <c r="A136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1" s="87" t="str">
        <f>IFERROR(__xludf.DUMMYFUNCTION("IFERROR(IF(F1361&lt;&gt;"""",""WHSE ""&amp;LEFT(F1361,1),REGEXEXTRACT(E1361,""-(?:\d{2}-)?([A-Z]+)"")),"""")
"),"")</f>
        <v/>
      </c>
      <c r="C1361" s="108"/>
      <c r="D1361" s="109"/>
      <c r="E1361" s="110"/>
      <c r="F1361" s="110"/>
      <c r="G1361" s="111"/>
      <c r="H1361" s="112"/>
      <c r="I1361" s="113"/>
      <c r="J1361" s="114"/>
      <c r="K1361" s="115"/>
      <c r="L1361" s="115"/>
      <c r="M1361" s="115"/>
      <c r="N1361" s="116"/>
      <c r="O1361" s="114"/>
      <c r="P1361" s="116"/>
      <c r="Q1361" s="219"/>
      <c r="R1361" s="198"/>
      <c r="S1361" s="198"/>
      <c r="T1361" s="198"/>
      <c r="U1361" s="198"/>
      <c r="V1361" s="198"/>
      <c r="W1361" s="198"/>
      <c r="X1361" s="198"/>
    </row>
    <row r="1362" ht="12.0" customHeight="1">
      <c r="A136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2" s="87" t="str">
        <f>IFERROR(__xludf.DUMMYFUNCTION("IFERROR(IF(F1362&lt;&gt;"""",""WHSE ""&amp;LEFT(F1362,1),REGEXEXTRACT(E1362,""-(?:\d{2}-)?([A-Z]+)"")),"""")
"),"")</f>
        <v/>
      </c>
      <c r="C1362" s="108"/>
      <c r="D1362" s="109"/>
      <c r="E1362" s="110"/>
      <c r="F1362" s="110"/>
      <c r="G1362" s="111"/>
      <c r="H1362" s="112"/>
      <c r="I1362" s="113"/>
      <c r="J1362" s="114"/>
      <c r="K1362" s="115"/>
      <c r="L1362" s="115"/>
      <c r="M1362" s="115"/>
      <c r="N1362" s="116"/>
      <c r="O1362" s="114"/>
      <c r="P1362" s="116"/>
      <c r="Q1362" s="219"/>
      <c r="R1362" s="198"/>
      <c r="S1362" s="198"/>
      <c r="T1362" s="198"/>
      <c r="U1362" s="198"/>
      <c r="V1362" s="198"/>
      <c r="W1362" s="198"/>
      <c r="X1362" s="198"/>
    </row>
    <row r="1363" ht="12.0" customHeight="1">
      <c r="A136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3" s="87" t="str">
        <f>IFERROR(__xludf.DUMMYFUNCTION("IFERROR(IF(F1363&lt;&gt;"""",""WHSE ""&amp;LEFT(F1363,1),REGEXEXTRACT(E1363,""-(?:\d{2}-)?([A-Z]+)"")),"""")
"),"")</f>
        <v/>
      </c>
      <c r="C1363" s="108"/>
      <c r="D1363" s="109"/>
      <c r="E1363" s="110"/>
      <c r="F1363" s="110"/>
      <c r="G1363" s="111"/>
      <c r="H1363" s="112"/>
      <c r="I1363" s="113"/>
      <c r="J1363" s="114"/>
      <c r="K1363" s="115"/>
      <c r="L1363" s="115"/>
      <c r="M1363" s="115"/>
      <c r="N1363" s="116"/>
      <c r="O1363" s="114"/>
      <c r="P1363" s="116"/>
      <c r="Q1363" s="219"/>
      <c r="R1363" s="198"/>
      <c r="S1363" s="198"/>
      <c r="T1363" s="198"/>
      <c r="U1363" s="198"/>
      <c r="V1363" s="198"/>
      <c r="W1363" s="198"/>
      <c r="X1363" s="198"/>
    </row>
    <row r="1364" ht="12.0" customHeight="1">
      <c r="A136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4" s="87" t="str">
        <f>IFERROR(__xludf.DUMMYFUNCTION("IFERROR(IF(F1364&lt;&gt;"""",""WHSE ""&amp;LEFT(F1364,1),REGEXEXTRACT(E1364,""-(?:\d{2}-)?([A-Z]+)"")),"""")
"),"")</f>
        <v/>
      </c>
      <c r="C1364" s="108"/>
      <c r="D1364" s="109"/>
      <c r="E1364" s="110"/>
      <c r="F1364" s="110"/>
      <c r="G1364" s="111"/>
      <c r="H1364" s="112"/>
      <c r="I1364" s="113"/>
      <c r="J1364" s="114"/>
      <c r="K1364" s="115"/>
      <c r="L1364" s="115"/>
      <c r="M1364" s="115"/>
      <c r="N1364" s="116"/>
      <c r="O1364" s="114"/>
      <c r="P1364" s="116"/>
      <c r="Q1364" s="219"/>
      <c r="R1364" s="198"/>
      <c r="S1364" s="198"/>
      <c r="T1364" s="198"/>
      <c r="U1364" s="198"/>
      <c r="V1364" s="198"/>
      <c r="W1364" s="198"/>
      <c r="X1364" s="198"/>
    </row>
    <row r="1365" ht="12.0" customHeight="1">
      <c r="A136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5" s="87" t="str">
        <f>IFERROR(__xludf.DUMMYFUNCTION("IFERROR(IF(F1365&lt;&gt;"""",""WHSE ""&amp;LEFT(F1365,1),REGEXEXTRACT(E1365,""-(?:\d{2}-)?([A-Z]+)"")),"""")
"),"")</f>
        <v/>
      </c>
      <c r="C1365" s="108"/>
      <c r="D1365" s="109"/>
      <c r="E1365" s="110"/>
      <c r="F1365" s="110"/>
      <c r="G1365" s="111"/>
      <c r="H1365" s="112"/>
      <c r="I1365" s="113"/>
      <c r="J1365" s="114"/>
      <c r="K1365" s="115"/>
      <c r="L1365" s="115"/>
      <c r="M1365" s="115"/>
      <c r="N1365" s="116"/>
      <c r="O1365" s="114"/>
      <c r="P1365" s="116"/>
      <c r="Q1365" s="219"/>
      <c r="R1365" s="198"/>
      <c r="S1365" s="198"/>
      <c r="T1365" s="198"/>
      <c r="U1365" s="198"/>
      <c r="V1365" s="198"/>
      <c r="W1365" s="198"/>
      <c r="X1365" s="198"/>
    </row>
    <row r="1366" ht="12.0" customHeight="1">
      <c r="A136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6" s="87" t="str">
        <f>IFERROR(__xludf.DUMMYFUNCTION("IFERROR(IF(F1366&lt;&gt;"""",""WHSE ""&amp;LEFT(F1366,1),REGEXEXTRACT(E1366,""-(?:\d{2}-)?([A-Z]+)"")),"""")
"),"")</f>
        <v/>
      </c>
      <c r="C1366" s="108"/>
      <c r="D1366" s="109"/>
      <c r="E1366" s="110"/>
      <c r="F1366" s="110"/>
      <c r="G1366" s="111"/>
      <c r="H1366" s="112"/>
      <c r="I1366" s="113"/>
      <c r="J1366" s="114"/>
      <c r="K1366" s="115"/>
      <c r="L1366" s="115"/>
      <c r="M1366" s="115"/>
      <c r="N1366" s="116"/>
      <c r="O1366" s="114"/>
      <c r="P1366" s="116"/>
      <c r="Q1366" s="219"/>
      <c r="R1366" s="198"/>
      <c r="S1366" s="198"/>
      <c r="T1366" s="198"/>
      <c r="U1366" s="198"/>
      <c r="V1366" s="198"/>
      <c r="W1366" s="198"/>
      <c r="X1366" s="198"/>
    </row>
    <row r="1367" ht="12.0" customHeight="1">
      <c r="A136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7" s="87" t="str">
        <f>IFERROR(__xludf.DUMMYFUNCTION("IFERROR(IF(F1367&lt;&gt;"""",""WHSE ""&amp;LEFT(F1367,1),REGEXEXTRACT(E1367,""-(?:\d{2}-)?([A-Z]+)"")),"""")
"),"")</f>
        <v/>
      </c>
      <c r="C1367" s="108"/>
      <c r="D1367" s="109"/>
      <c r="E1367" s="110"/>
      <c r="F1367" s="110"/>
      <c r="G1367" s="111"/>
      <c r="H1367" s="112"/>
      <c r="I1367" s="113"/>
      <c r="J1367" s="114"/>
      <c r="K1367" s="115"/>
      <c r="L1367" s="115"/>
      <c r="M1367" s="115"/>
      <c r="N1367" s="116"/>
      <c r="O1367" s="114"/>
      <c r="P1367" s="116"/>
      <c r="Q1367" s="219"/>
      <c r="R1367" s="198"/>
      <c r="S1367" s="198"/>
      <c r="T1367" s="198"/>
      <c r="U1367" s="198"/>
      <c r="V1367" s="198"/>
      <c r="W1367" s="198"/>
      <c r="X1367" s="198"/>
    </row>
    <row r="1368" ht="12.0" customHeight="1">
      <c r="A136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8" s="87" t="str">
        <f>IFERROR(__xludf.DUMMYFUNCTION("IFERROR(IF(F1368&lt;&gt;"""",""WHSE ""&amp;LEFT(F1368,1),REGEXEXTRACT(E1368,""-(?:\d{2}-)?([A-Z]+)"")),"""")
"),"")</f>
        <v/>
      </c>
      <c r="C1368" s="108"/>
      <c r="D1368" s="109"/>
      <c r="E1368" s="110"/>
      <c r="F1368" s="110"/>
      <c r="G1368" s="111"/>
      <c r="H1368" s="112"/>
      <c r="I1368" s="113"/>
      <c r="J1368" s="114"/>
      <c r="K1368" s="115"/>
      <c r="L1368" s="115"/>
      <c r="M1368" s="115"/>
      <c r="N1368" s="116"/>
      <c r="O1368" s="114"/>
      <c r="P1368" s="116"/>
      <c r="Q1368" s="219"/>
      <c r="R1368" s="198"/>
      <c r="S1368" s="198"/>
      <c r="T1368" s="198"/>
      <c r="U1368" s="198"/>
      <c r="V1368" s="198"/>
      <c r="W1368" s="198"/>
      <c r="X1368" s="198"/>
    </row>
    <row r="1369" ht="12.0" customHeight="1">
      <c r="A136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69" s="87" t="str">
        <f>IFERROR(__xludf.DUMMYFUNCTION("IFERROR(IF(F1369&lt;&gt;"""",""WHSE ""&amp;LEFT(F1369,1),REGEXEXTRACT(E1369,""-(?:\d{2}-)?([A-Z]+)"")),"""")
"),"")</f>
        <v/>
      </c>
      <c r="C1369" s="108"/>
      <c r="D1369" s="109"/>
      <c r="E1369" s="110"/>
      <c r="F1369" s="110"/>
      <c r="G1369" s="111"/>
      <c r="H1369" s="112"/>
      <c r="I1369" s="113"/>
      <c r="J1369" s="114"/>
      <c r="K1369" s="115"/>
      <c r="L1369" s="115"/>
      <c r="M1369" s="115"/>
      <c r="N1369" s="116"/>
      <c r="O1369" s="114"/>
      <c r="P1369" s="116"/>
      <c r="Q1369" s="219"/>
      <c r="R1369" s="198"/>
      <c r="S1369" s="198"/>
      <c r="T1369" s="198"/>
      <c r="U1369" s="198"/>
      <c r="V1369" s="198"/>
      <c r="W1369" s="198"/>
      <c r="X1369" s="198"/>
    </row>
    <row r="1370" ht="12.0" customHeight="1">
      <c r="A137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0" s="87" t="str">
        <f>IFERROR(__xludf.DUMMYFUNCTION("IFERROR(IF(F1370&lt;&gt;"""",""WHSE ""&amp;LEFT(F1370,1),REGEXEXTRACT(E1370,""-(?:\d{2}-)?([A-Z]+)"")),"""")
"),"")</f>
        <v/>
      </c>
      <c r="C1370" s="108"/>
      <c r="D1370" s="109"/>
      <c r="E1370" s="110"/>
      <c r="F1370" s="110"/>
      <c r="G1370" s="111"/>
      <c r="H1370" s="112"/>
      <c r="I1370" s="113"/>
      <c r="J1370" s="114"/>
      <c r="K1370" s="115"/>
      <c r="L1370" s="115"/>
      <c r="M1370" s="115"/>
      <c r="N1370" s="116"/>
      <c r="O1370" s="114"/>
      <c r="P1370" s="116"/>
      <c r="Q1370" s="219"/>
      <c r="R1370" s="198"/>
      <c r="S1370" s="198"/>
      <c r="T1370" s="198"/>
      <c r="U1370" s="198"/>
      <c r="V1370" s="198"/>
      <c r="W1370" s="198"/>
      <c r="X1370" s="198"/>
    </row>
    <row r="1371" ht="12.0" customHeight="1">
      <c r="A137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1" s="87" t="str">
        <f>IFERROR(__xludf.DUMMYFUNCTION("IFERROR(IF(F1371&lt;&gt;"""",""WHSE ""&amp;LEFT(F1371,1),REGEXEXTRACT(E1371,""-(?:\d{2}-)?([A-Z]+)"")),"""")
"),"")</f>
        <v/>
      </c>
      <c r="C1371" s="108"/>
      <c r="D1371" s="109"/>
      <c r="E1371" s="110"/>
      <c r="F1371" s="110"/>
      <c r="G1371" s="111"/>
      <c r="H1371" s="112"/>
      <c r="I1371" s="113"/>
      <c r="J1371" s="114"/>
      <c r="K1371" s="115"/>
      <c r="L1371" s="115"/>
      <c r="M1371" s="115"/>
      <c r="N1371" s="116"/>
      <c r="O1371" s="114"/>
      <c r="P1371" s="116"/>
      <c r="Q1371" s="219"/>
      <c r="R1371" s="198"/>
      <c r="S1371" s="198"/>
      <c r="T1371" s="198"/>
      <c r="U1371" s="198"/>
      <c r="V1371" s="198"/>
      <c r="W1371" s="198"/>
      <c r="X1371" s="198"/>
    </row>
    <row r="1372" ht="12.0" customHeight="1">
      <c r="A137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2" s="87" t="str">
        <f>IFERROR(__xludf.DUMMYFUNCTION("IFERROR(IF(F1372&lt;&gt;"""",""WHSE ""&amp;LEFT(F1372,1),REGEXEXTRACT(E1372,""-(?:\d{2}-)?([A-Z]+)"")),"""")
"),"")</f>
        <v/>
      </c>
      <c r="C1372" s="108"/>
      <c r="D1372" s="109"/>
      <c r="E1372" s="110"/>
      <c r="F1372" s="110"/>
      <c r="G1372" s="111"/>
      <c r="H1372" s="112"/>
      <c r="I1372" s="113"/>
      <c r="J1372" s="114"/>
      <c r="K1372" s="115"/>
      <c r="L1372" s="115"/>
      <c r="M1372" s="115"/>
      <c r="N1372" s="116"/>
      <c r="O1372" s="114"/>
      <c r="P1372" s="116"/>
      <c r="Q1372" s="219"/>
      <c r="R1372" s="198"/>
      <c r="S1372" s="198"/>
      <c r="T1372" s="198"/>
      <c r="U1372" s="198"/>
      <c r="V1372" s="198"/>
      <c r="W1372" s="198"/>
      <c r="X1372" s="198"/>
    </row>
    <row r="1373" ht="12.0" customHeight="1">
      <c r="A137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3" s="87" t="str">
        <f>IFERROR(__xludf.DUMMYFUNCTION("IFERROR(IF(F1373&lt;&gt;"""",""WHSE ""&amp;LEFT(F1373,1),REGEXEXTRACT(E1373,""-(?:\d{2}-)?([A-Z]+)"")),"""")
"),"")</f>
        <v/>
      </c>
      <c r="C1373" s="108"/>
      <c r="D1373" s="109"/>
      <c r="E1373" s="110"/>
      <c r="F1373" s="110"/>
      <c r="G1373" s="111"/>
      <c r="H1373" s="112"/>
      <c r="I1373" s="113"/>
      <c r="J1373" s="114"/>
      <c r="K1373" s="115"/>
      <c r="L1373" s="115"/>
      <c r="M1373" s="115"/>
      <c r="N1373" s="116"/>
      <c r="O1373" s="114"/>
      <c r="P1373" s="116"/>
      <c r="Q1373" s="219"/>
      <c r="R1373" s="198"/>
      <c r="S1373" s="198"/>
      <c r="T1373" s="198"/>
      <c r="U1373" s="198"/>
      <c r="V1373" s="198"/>
      <c r="W1373" s="198"/>
      <c r="X1373" s="198"/>
    </row>
    <row r="1374" ht="12.0" customHeight="1">
      <c r="A137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4" s="87" t="str">
        <f>IFERROR(__xludf.DUMMYFUNCTION("IFERROR(IF(F1374&lt;&gt;"""",""WHSE ""&amp;LEFT(F1374,1),REGEXEXTRACT(E1374,""-(?:\d{2}-)?([A-Z]+)"")),"""")
"),"")</f>
        <v/>
      </c>
      <c r="C1374" s="108"/>
      <c r="D1374" s="109"/>
      <c r="E1374" s="110"/>
      <c r="F1374" s="110"/>
      <c r="G1374" s="111"/>
      <c r="H1374" s="112"/>
      <c r="I1374" s="113"/>
      <c r="J1374" s="114"/>
      <c r="K1374" s="115"/>
      <c r="L1374" s="115"/>
      <c r="M1374" s="115"/>
      <c r="N1374" s="116"/>
      <c r="O1374" s="114"/>
      <c r="P1374" s="116"/>
      <c r="Q1374" s="219"/>
      <c r="R1374" s="198"/>
      <c r="S1374" s="198"/>
      <c r="T1374" s="198"/>
      <c r="U1374" s="198"/>
      <c r="V1374" s="198"/>
      <c r="W1374" s="198"/>
      <c r="X1374" s="198"/>
    </row>
    <row r="1375" ht="12.0" customHeight="1">
      <c r="A137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5" s="87" t="str">
        <f>IFERROR(__xludf.DUMMYFUNCTION("IFERROR(IF(F1375&lt;&gt;"""",""WHSE ""&amp;LEFT(F1375,1),REGEXEXTRACT(E1375,""-(?:\d{2}-)?([A-Z]+)"")),"""")
"),"")</f>
        <v/>
      </c>
      <c r="C1375" s="108"/>
      <c r="D1375" s="109"/>
      <c r="E1375" s="110"/>
      <c r="F1375" s="110"/>
      <c r="G1375" s="111"/>
      <c r="H1375" s="112"/>
      <c r="I1375" s="113"/>
      <c r="J1375" s="114"/>
      <c r="K1375" s="115"/>
      <c r="L1375" s="115"/>
      <c r="M1375" s="115"/>
      <c r="N1375" s="116"/>
      <c r="O1375" s="114"/>
      <c r="P1375" s="116"/>
      <c r="Q1375" s="219"/>
      <c r="R1375" s="198"/>
      <c r="S1375" s="198"/>
      <c r="T1375" s="198"/>
      <c r="U1375" s="198"/>
      <c r="V1375" s="198"/>
      <c r="W1375" s="198"/>
      <c r="X1375" s="198"/>
    </row>
    <row r="1376" ht="12.0" customHeight="1">
      <c r="A137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6" s="87" t="str">
        <f>IFERROR(__xludf.DUMMYFUNCTION("IFERROR(IF(F1376&lt;&gt;"""",""WHSE ""&amp;LEFT(F1376,1),REGEXEXTRACT(E1376,""-(?:\d{2}-)?([A-Z]+)"")),"""")
"),"")</f>
        <v/>
      </c>
      <c r="C1376" s="108"/>
      <c r="D1376" s="109"/>
      <c r="E1376" s="110"/>
      <c r="F1376" s="110"/>
      <c r="G1376" s="111"/>
      <c r="H1376" s="112"/>
      <c r="I1376" s="113"/>
      <c r="J1376" s="114"/>
      <c r="K1376" s="115"/>
      <c r="L1376" s="115"/>
      <c r="M1376" s="115"/>
      <c r="N1376" s="116"/>
      <c r="O1376" s="114"/>
      <c r="P1376" s="116"/>
      <c r="Q1376" s="219"/>
      <c r="R1376" s="198"/>
      <c r="S1376" s="198"/>
      <c r="T1376" s="198"/>
      <c r="U1376" s="198"/>
      <c r="V1376" s="198"/>
      <c r="W1376" s="198"/>
      <c r="X1376" s="198"/>
    </row>
    <row r="1377" ht="12.0" customHeight="1">
      <c r="A137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7" s="87" t="str">
        <f>IFERROR(__xludf.DUMMYFUNCTION("IFERROR(IF(F1377&lt;&gt;"""",""WHSE ""&amp;LEFT(F1377,1),REGEXEXTRACT(E1377,""-(?:\d{2}-)?([A-Z]+)"")),"""")
"),"")</f>
        <v/>
      </c>
      <c r="C1377" s="108"/>
      <c r="D1377" s="109"/>
      <c r="E1377" s="110"/>
      <c r="F1377" s="110"/>
      <c r="G1377" s="111"/>
      <c r="H1377" s="112"/>
      <c r="I1377" s="113"/>
      <c r="J1377" s="114"/>
      <c r="K1377" s="115"/>
      <c r="L1377" s="115"/>
      <c r="M1377" s="115"/>
      <c r="N1377" s="116"/>
      <c r="O1377" s="114"/>
      <c r="P1377" s="116"/>
      <c r="Q1377" s="219"/>
      <c r="R1377" s="198"/>
      <c r="S1377" s="198"/>
      <c r="T1377" s="198"/>
      <c r="U1377" s="198"/>
      <c r="V1377" s="198"/>
      <c r="W1377" s="198"/>
      <c r="X1377" s="198"/>
    </row>
    <row r="1378" ht="12.0" customHeight="1">
      <c r="A137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8" s="87" t="str">
        <f>IFERROR(__xludf.DUMMYFUNCTION("IFERROR(IF(F1378&lt;&gt;"""",""WHSE ""&amp;LEFT(F1378,1),REGEXEXTRACT(E1378,""-(?:\d{2}-)?([A-Z]+)"")),"""")
"),"")</f>
        <v/>
      </c>
      <c r="C1378" s="108"/>
      <c r="D1378" s="109"/>
      <c r="E1378" s="110"/>
      <c r="F1378" s="110"/>
      <c r="G1378" s="111"/>
      <c r="H1378" s="112"/>
      <c r="I1378" s="113"/>
      <c r="J1378" s="114"/>
      <c r="K1378" s="115"/>
      <c r="L1378" s="115"/>
      <c r="M1378" s="115"/>
      <c r="N1378" s="116"/>
      <c r="O1378" s="114"/>
      <c r="P1378" s="116"/>
      <c r="Q1378" s="219"/>
      <c r="R1378" s="198"/>
      <c r="S1378" s="198"/>
      <c r="T1378" s="198"/>
      <c r="U1378" s="198"/>
      <c r="V1378" s="198"/>
      <c r="W1378" s="198"/>
      <c r="X1378" s="198"/>
    </row>
    <row r="1379" ht="12.0" customHeight="1">
      <c r="A137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79" s="87" t="str">
        <f>IFERROR(__xludf.DUMMYFUNCTION("IFERROR(IF(F1379&lt;&gt;"""",""WHSE ""&amp;LEFT(F1379,1),REGEXEXTRACT(E1379,""-(?:\d{2}-)?([A-Z]+)"")),"""")
"),"")</f>
        <v/>
      </c>
      <c r="C1379" s="108"/>
      <c r="D1379" s="109"/>
      <c r="E1379" s="110"/>
      <c r="F1379" s="110"/>
      <c r="G1379" s="111"/>
      <c r="H1379" s="112"/>
      <c r="I1379" s="113"/>
      <c r="J1379" s="114"/>
      <c r="K1379" s="115"/>
      <c r="L1379" s="115"/>
      <c r="M1379" s="115"/>
      <c r="N1379" s="116"/>
      <c r="O1379" s="114"/>
      <c r="P1379" s="116"/>
      <c r="Q1379" s="219"/>
      <c r="R1379" s="198"/>
      <c r="S1379" s="198"/>
      <c r="T1379" s="198"/>
      <c r="U1379" s="198"/>
      <c r="V1379" s="198"/>
      <c r="W1379" s="198"/>
      <c r="X1379" s="198"/>
    </row>
    <row r="1380" ht="12.0" customHeight="1">
      <c r="A138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0" s="87" t="str">
        <f>IFERROR(__xludf.DUMMYFUNCTION("IFERROR(IF(F1380&lt;&gt;"""",""WHSE ""&amp;LEFT(F1380,1),REGEXEXTRACT(E1380,""-(?:\d{2}-)?([A-Z]+)"")),"""")
"),"")</f>
        <v/>
      </c>
      <c r="C1380" s="108"/>
      <c r="D1380" s="109"/>
      <c r="E1380" s="110"/>
      <c r="F1380" s="110"/>
      <c r="G1380" s="111"/>
      <c r="H1380" s="112"/>
      <c r="I1380" s="113"/>
      <c r="J1380" s="114"/>
      <c r="K1380" s="115"/>
      <c r="L1380" s="115"/>
      <c r="M1380" s="115"/>
      <c r="N1380" s="116"/>
      <c r="O1380" s="114"/>
      <c r="P1380" s="116"/>
      <c r="Q1380" s="219"/>
      <c r="R1380" s="198"/>
      <c r="S1380" s="198"/>
      <c r="T1380" s="198"/>
      <c r="U1380" s="198"/>
      <c r="V1380" s="198"/>
      <c r="W1380" s="198"/>
      <c r="X1380" s="198"/>
    </row>
    <row r="1381" ht="12.0" customHeight="1">
      <c r="A138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1" s="87" t="str">
        <f>IFERROR(__xludf.DUMMYFUNCTION("IFERROR(IF(F1381&lt;&gt;"""",""WHSE ""&amp;LEFT(F1381,1),REGEXEXTRACT(E1381,""-(?:\d{2}-)?([A-Z]+)"")),"""")
"),"")</f>
        <v/>
      </c>
      <c r="C1381" s="108"/>
      <c r="D1381" s="109"/>
      <c r="E1381" s="110"/>
      <c r="F1381" s="110"/>
      <c r="G1381" s="111"/>
      <c r="H1381" s="112"/>
      <c r="I1381" s="113"/>
      <c r="J1381" s="114"/>
      <c r="K1381" s="115"/>
      <c r="L1381" s="115"/>
      <c r="M1381" s="115"/>
      <c r="N1381" s="116"/>
      <c r="O1381" s="114"/>
      <c r="P1381" s="116"/>
      <c r="Q1381" s="219"/>
      <c r="R1381" s="198"/>
      <c r="S1381" s="198"/>
      <c r="T1381" s="198"/>
      <c r="U1381" s="198"/>
      <c r="V1381" s="198"/>
      <c r="W1381" s="198"/>
      <c r="X1381" s="198"/>
    </row>
    <row r="1382" ht="12.0" customHeight="1">
      <c r="A138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2" s="87" t="str">
        <f>IFERROR(__xludf.DUMMYFUNCTION("IFERROR(IF(F1382&lt;&gt;"""",""WHSE ""&amp;LEFT(F1382,1),REGEXEXTRACT(E1382,""-(?:\d{2}-)?([A-Z]+)"")),"""")
"),"")</f>
        <v/>
      </c>
      <c r="C1382" s="108"/>
      <c r="D1382" s="109"/>
      <c r="E1382" s="110"/>
      <c r="F1382" s="110"/>
      <c r="G1382" s="111"/>
      <c r="H1382" s="112"/>
      <c r="I1382" s="113"/>
      <c r="J1382" s="114"/>
      <c r="K1382" s="115"/>
      <c r="L1382" s="115"/>
      <c r="M1382" s="115"/>
      <c r="N1382" s="116"/>
      <c r="O1382" s="114"/>
      <c r="P1382" s="116"/>
      <c r="Q1382" s="219"/>
      <c r="R1382" s="198"/>
      <c r="S1382" s="198"/>
      <c r="T1382" s="198"/>
      <c r="U1382" s="198"/>
      <c r="V1382" s="198"/>
      <c r="W1382" s="198"/>
      <c r="X1382" s="198"/>
    </row>
    <row r="1383" ht="12.0" customHeight="1">
      <c r="A138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3" s="87" t="str">
        <f>IFERROR(__xludf.DUMMYFUNCTION("IFERROR(IF(F1383&lt;&gt;"""",""WHSE ""&amp;LEFT(F1383,1),REGEXEXTRACT(E1383,""-(?:\d{2}-)?([A-Z]+)"")),"""")
"),"")</f>
        <v/>
      </c>
      <c r="C1383" s="108"/>
      <c r="D1383" s="109"/>
      <c r="E1383" s="110"/>
      <c r="F1383" s="110"/>
      <c r="G1383" s="111"/>
      <c r="H1383" s="112"/>
      <c r="I1383" s="113"/>
      <c r="J1383" s="114"/>
      <c r="K1383" s="115"/>
      <c r="L1383" s="115"/>
      <c r="M1383" s="115"/>
      <c r="N1383" s="116"/>
      <c r="O1383" s="114"/>
      <c r="P1383" s="116"/>
      <c r="Q1383" s="219"/>
      <c r="R1383" s="198"/>
      <c r="S1383" s="198"/>
      <c r="T1383" s="198"/>
      <c r="U1383" s="198"/>
      <c r="V1383" s="198"/>
      <c r="W1383" s="198"/>
      <c r="X1383" s="198"/>
    </row>
    <row r="1384" ht="12.0" customHeight="1">
      <c r="A138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4" s="87" t="str">
        <f>IFERROR(__xludf.DUMMYFUNCTION("IFERROR(IF(F1384&lt;&gt;"""",""WHSE ""&amp;LEFT(F1384,1),REGEXEXTRACT(E1384,""-(?:\d{2}-)?([A-Z]+)"")),"""")
"),"")</f>
        <v/>
      </c>
      <c r="C1384" s="108"/>
      <c r="D1384" s="109"/>
      <c r="E1384" s="110"/>
      <c r="F1384" s="110"/>
      <c r="G1384" s="111"/>
      <c r="H1384" s="112"/>
      <c r="I1384" s="113"/>
      <c r="J1384" s="114"/>
      <c r="K1384" s="115"/>
      <c r="L1384" s="115"/>
      <c r="M1384" s="115"/>
      <c r="N1384" s="116"/>
      <c r="O1384" s="114"/>
      <c r="P1384" s="116"/>
      <c r="Q1384" s="219"/>
      <c r="R1384" s="198"/>
      <c r="S1384" s="198"/>
      <c r="T1384" s="198"/>
      <c r="U1384" s="198"/>
      <c r="V1384" s="198"/>
      <c r="W1384" s="198"/>
      <c r="X1384" s="198"/>
    </row>
    <row r="1385" ht="12.0" customHeight="1">
      <c r="A138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5" s="87" t="str">
        <f>IFERROR(__xludf.DUMMYFUNCTION("IFERROR(IF(F1385&lt;&gt;"""",""WHSE ""&amp;LEFT(F1385,1),REGEXEXTRACT(E1385,""-(?:\d{2}-)?([A-Z]+)"")),"""")
"),"")</f>
        <v/>
      </c>
      <c r="C1385" s="108"/>
      <c r="D1385" s="109"/>
      <c r="E1385" s="110"/>
      <c r="F1385" s="110"/>
      <c r="G1385" s="111"/>
      <c r="H1385" s="112"/>
      <c r="I1385" s="113"/>
      <c r="J1385" s="114"/>
      <c r="K1385" s="115"/>
      <c r="L1385" s="115"/>
      <c r="M1385" s="115"/>
      <c r="N1385" s="116"/>
      <c r="O1385" s="114"/>
      <c r="P1385" s="116"/>
      <c r="Q1385" s="219"/>
      <c r="R1385" s="198"/>
      <c r="S1385" s="198"/>
      <c r="T1385" s="198"/>
      <c r="U1385" s="198"/>
      <c r="V1385" s="198"/>
      <c r="W1385" s="198"/>
      <c r="X1385" s="198"/>
    </row>
    <row r="1386" ht="12.0" customHeight="1">
      <c r="A138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6" s="87" t="str">
        <f>IFERROR(__xludf.DUMMYFUNCTION("IFERROR(IF(F1386&lt;&gt;"""",""WHSE ""&amp;LEFT(F1386,1),REGEXEXTRACT(E1386,""-(?:\d{2}-)?([A-Z]+)"")),"""")
"),"")</f>
        <v/>
      </c>
      <c r="C1386" s="108"/>
      <c r="D1386" s="109"/>
      <c r="E1386" s="110"/>
      <c r="F1386" s="110"/>
      <c r="G1386" s="111"/>
      <c r="H1386" s="112"/>
      <c r="I1386" s="113"/>
      <c r="J1386" s="114"/>
      <c r="K1386" s="115"/>
      <c r="L1386" s="115"/>
      <c r="M1386" s="115"/>
      <c r="N1386" s="116"/>
      <c r="O1386" s="114"/>
      <c r="P1386" s="116"/>
      <c r="Q1386" s="219"/>
      <c r="R1386" s="198"/>
      <c r="S1386" s="198"/>
      <c r="T1386" s="198"/>
      <c r="U1386" s="198"/>
      <c r="V1386" s="198"/>
      <c r="W1386" s="198"/>
      <c r="X1386" s="198"/>
    </row>
    <row r="1387" ht="12.0" customHeight="1">
      <c r="A138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7" s="87" t="str">
        <f>IFERROR(__xludf.DUMMYFUNCTION("IFERROR(IF(F1387&lt;&gt;"""",""WHSE ""&amp;LEFT(F1387,1),REGEXEXTRACT(E1387,""-(?:\d{2}-)?([A-Z]+)"")),"""")
"),"")</f>
        <v/>
      </c>
      <c r="C1387" s="108"/>
      <c r="D1387" s="109"/>
      <c r="E1387" s="110"/>
      <c r="F1387" s="110"/>
      <c r="G1387" s="111"/>
      <c r="H1387" s="112"/>
      <c r="I1387" s="113"/>
      <c r="J1387" s="114"/>
      <c r="K1387" s="115"/>
      <c r="L1387" s="115"/>
      <c r="M1387" s="115"/>
      <c r="N1387" s="116"/>
      <c r="O1387" s="114"/>
      <c r="P1387" s="116"/>
      <c r="Q1387" s="219"/>
      <c r="R1387" s="198"/>
      <c r="S1387" s="198"/>
      <c r="T1387" s="198"/>
      <c r="U1387" s="198"/>
      <c r="V1387" s="198"/>
      <c r="W1387" s="198"/>
      <c r="X1387" s="198"/>
    </row>
    <row r="1388" ht="12.0" customHeight="1">
      <c r="A138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8" s="87" t="str">
        <f>IFERROR(__xludf.DUMMYFUNCTION("IFERROR(IF(F1388&lt;&gt;"""",""WHSE ""&amp;LEFT(F1388,1),REGEXEXTRACT(E1388,""-(?:\d{2}-)?([A-Z]+)"")),"""")
"),"")</f>
        <v/>
      </c>
      <c r="C1388" s="108"/>
      <c r="D1388" s="109"/>
      <c r="E1388" s="110"/>
      <c r="F1388" s="110"/>
      <c r="G1388" s="111"/>
      <c r="H1388" s="112"/>
      <c r="I1388" s="113"/>
      <c r="J1388" s="114"/>
      <c r="K1388" s="115"/>
      <c r="L1388" s="115"/>
      <c r="M1388" s="115"/>
      <c r="N1388" s="116"/>
      <c r="O1388" s="114"/>
      <c r="P1388" s="116"/>
      <c r="Q1388" s="219"/>
      <c r="R1388" s="198"/>
      <c r="S1388" s="198"/>
      <c r="T1388" s="198"/>
      <c r="U1388" s="198"/>
      <c r="V1388" s="198"/>
      <c r="W1388" s="198"/>
      <c r="X1388" s="198"/>
    </row>
    <row r="1389" ht="12.0" customHeight="1">
      <c r="A138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89" s="87" t="str">
        <f>IFERROR(__xludf.DUMMYFUNCTION("IFERROR(IF(F1389&lt;&gt;"""",""WHSE ""&amp;LEFT(F1389,1),REGEXEXTRACT(E1389,""-(?:\d{2}-)?([A-Z]+)"")),"""")
"),"")</f>
        <v/>
      </c>
      <c r="C1389" s="108"/>
      <c r="D1389" s="109"/>
      <c r="E1389" s="110"/>
      <c r="F1389" s="110"/>
      <c r="G1389" s="111"/>
      <c r="H1389" s="112"/>
      <c r="I1389" s="113"/>
      <c r="J1389" s="114"/>
      <c r="K1389" s="115"/>
      <c r="L1389" s="115"/>
      <c r="M1389" s="115"/>
      <c r="N1389" s="116"/>
      <c r="O1389" s="114"/>
      <c r="P1389" s="116"/>
      <c r="Q1389" s="219"/>
      <c r="R1389" s="198"/>
      <c r="S1389" s="198"/>
      <c r="T1389" s="198"/>
      <c r="U1389" s="198"/>
      <c r="V1389" s="198"/>
      <c r="W1389" s="198"/>
      <c r="X1389" s="198"/>
    </row>
    <row r="1390" ht="12.0" customHeight="1">
      <c r="A139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0" s="87" t="str">
        <f>IFERROR(__xludf.DUMMYFUNCTION("IFERROR(IF(F1390&lt;&gt;"""",""WHSE ""&amp;LEFT(F1390,1),REGEXEXTRACT(E1390,""-(?:\d{2}-)?([A-Z]+)"")),"""")
"),"")</f>
        <v/>
      </c>
      <c r="C1390" s="108"/>
      <c r="D1390" s="109"/>
      <c r="E1390" s="110"/>
      <c r="F1390" s="110"/>
      <c r="G1390" s="111"/>
      <c r="H1390" s="112"/>
      <c r="I1390" s="113"/>
      <c r="J1390" s="114"/>
      <c r="K1390" s="115"/>
      <c r="L1390" s="115"/>
      <c r="M1390" s="115"/>
      <c r="N1390" s="116"/>
      <c r="O1390" s="114"/>
      <c r="P1390" s="116"/>
      <c r="Q1390" s="219"/>
      <c r="R1390" s="198"/>
      <c r="S1390" s="198"/>
      <c r="T1390" s="198"/>
      <c r="U1390" s="198"/>
      <c r="V1390" s="198"/>
      <c r="W1390" s="198"/>
      <c r="X1390" s="198"/>
    </row>
    <row r="1391" ht="12.0" customHeight="1">
      <c r="A139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1" s="87" t="str">
        <f>IFERROR(__xludf.DUMMYFUNCTION("IFERROR(IF(F1391&lt;&gt;"""",""WHSE ""&amp;LEFT(F1391,1),REGEXEXTRACT(E1391,""-(?:\d{2}-)?([A-Z]+)"")),"""")
"),"")</f>
        <v/>
      </c>
      <c r="C1391" s="108"/>
      <c r="D1391" s="109"/>
      <c r="E1391" s="110"/>
      <c r="F1391" s="110"/>
      <c r="G1391" s="111"/>
      <c r="H1391" s="112"/>
      <c r="I1391" s="113"/>
      <c r="J1391" s="114"/>
      <c r="K1391" s="115"/>
      <c r="L1391" s="115"/>
      <c r="M1391" s="115"/>
      <c r="N1391" s="116"/>
      <c r="O1391" s="114"/>
      <c r="P1391" s="116"/>
      <c r="Q1391" s="219"/>
      <c r="R1391" s="198"/>
      <c r="S1391" s="198"/>
      <c r="T1391" s="198"/>
      <c r="U1391" s="198"/>
      <c r="V1391" s="198"/>
      <c r="W1391" s="198"/>
      <c r="X1391" s="198"/>
    </row>
    <row r="1392" ht="12.0" customHeight="1">
      <c r="A139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2" s="87" t="str">
        <f>IFERROR(__xludf.DUMMYFUNCTION("IFERROR(IF(F1392&lt;&gt;"""",""WHSE ""&amp;LEFT(F1392,1),REGEXEXTRACT(E1392,""-(?:\d{2}-)?([A-Z]+)"")),"""")
"),"")</f>
        <v/>
      </c>
      <c r="C1392" s="108"/>
      <c r="D1392" s="109"/>
      <c r="E1392" s="110"/>
      <c r="F1392" s="110"/>
      <c r="G1392" s="111"/>
      <c r="H1392" s="112"/>
      <c r="I1392" s="113"/>
      <c r="J1392" s="114"/>
      <c r="K1392" s="115"/>
      <c r="L1392" s="115"/>
      <c r="M1392" s="115"/>
      <c r="N1392" s="116"/>
      <c r="O1392" s="114"/>
      <c r="P1392" s="116"/>
      <c r="Q1392" s="219"/>
      <c r="R1392" s="198"/>
      <c r="S1392" s="198"/>
      <c r="T1392" s="198"/>
      <c r="U1392" s="198"/>
      <c r="V1392" s="198"/>
      <c r="W1392" s="198"/>
      <c r="X1392" s="198"/>
    </row>
    <row r="1393" ht="12.0" customHeight="1">
      <c r="A139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3" s="87" t="str">
        <f>IFERROR(__xludf.DUMMYFUNCTION("IFERROR(IF(F1393&lt;&gt;"""",""WHSE ""&amp;LEFT(F1393,1),REGEXEXTRACT(E1393,""-(?:\d{2}-)?([A-Z]+)"")),"""")
"),"")</f>
        <v/>
      </c>
      <c r="C1393" s="108"/>
      <c r="D1393" s="109"/>
      <c r="E1393" s="110"/>
      <c r="F1393" s="110"/>
      <c r="G1393" s="111"/>
      <c r="H1393" s="112"/>
      <c r="I1393" s="113"/>
      <c r="J1393" s="114"/>
      <c r="K1393" s="115"/>
      <c r="L1393" s="115"/>
      <c r="M1393" s="115"/>
      <c r="N1393" s="116"/>
      <c r="O1393" s="114"/>
      <c r="P1393" s="116"/>
      <c r="Q1393" s="219"/>
      <c r="R1393" s="198"/>
      <c r="S1393" s="198"/>
      <c r="T1393" s="198"/>
      <c r="U1393" s="198"/>
      <c r="V1393" s="198"/>
      <c r="W1393" s="198"/>
      <c r="X1393" s="198"/>
    </row>
    <row r="1394" ht="12.0" customHeight="1">
      <c r="A139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4" s="87" t="str">
        <f>IFERROR(__xludf.DUMMYFUNCTION("IFERROR(IF(F1394&lt;&gt;"""",""WHSE ""&amp;LEFT(F1394,1),REGEXEXTRACT(E1394,""-(?:\d{2}-)?([A-Z]+)"")),"""")
"),"")</f>
        <v/>
      </c>
      <c r="C1394" s="108"/>
      <c r="D1394" s="109"/>
      <c r="E1394" s="110"/>
      <c r="F1394" s="110"/>
      <c r="G1394" s="111"/>
      <c r="H1394" s="112"/>
      <c r="I1394" s="113"/>
      <c r="J1394" s="114"/>
      <c r="K1394" s="115"/>
      <c r="L1394" s="115"/>
      <c r="M1394" s="115"/>
      <c r="N1394" s="116"/>
      <c r="O1394" s="114"/>
      <c r="P1394" s="116"/>
      <c r="Q1394" s="219"/>
      <c r="R1394" s="198"/>
      <c r="S1394" s="198"/>
      <c r="T1394" s="198"/>
      <c r="U1394" s="198"/>
      <c r="V1394" s="198"/>
      <c r="W1394" s="198"/>
      <c r="X1394" s="198"/>
    </row>
    <row r="1395" ht="12.0" customHeight="1">
      <c r="A139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5" s="87" t="str">
        <f>IFERROR(__xludf.DUMMYFUNCTION("IFERROR(IF(F1395&lt;&gt;"""",""WHSE ""&amp;LEFT(F1395,1),REGEXEXTRACT(E1395,""-(?:\d{2}-)?([A-Z]+)"")),"""")
"),"")</f>
        <v/>
      </c>
      <c r="C1395" s="108"/>
      <c r="D1395" s="109"/>
      <c r="E1395" s="110"/>
      <c r="F1395" s="110"/>
      <c r="G1395" s="111"/>
      <c r="H1395" s="112"/>
      <c r="I1395" s="113"/>
      <c r="J1395" s="114"/>
      <c r="K1395" s="115"/>
      <c r="L1395" s="115"/>
      <c r="M1395" s="115"/>
      <c r="N1395" s="116"/>
      <c r="O1395" s="114"/>
      <c r="P1395" s="116"/>
      <c r="Q1395" s="219"/>
      <c r="R1395" s="198"/>
      <c r="S1395" s="198"/>
      <c r="T1395" s="198"/>
      <c r="U1395" s="198"/>
      <c r="V1395" s="198"/>
      <c r="W1395" s="198"/>
      <c r="X1395" s="198"/>
    </row>
    <row r="1396" ht="12.0" customHeight="1">
      <c r="A139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6" s="87" t="str">
        <f>IFERROR(__xludf.DUMMYFUNCTION("IFERROR(IF(F1396&lt;&gt;"""",""WHSE ""&amp;LEFT(F1396,1),REGEXEXTRACT(E1396,""-(?:\d{2}-)?([A-Z]+)"")),"""")
"),"")</f>
        <v/>
      </c>
      <c r="C1396" s="108"/>
      <c r="D1396" s="109"/>
      <c r="E1396" s="110"/>
      <c r="F1396" s="110"/>
      <c r="G1396" s="111"/>
      <c r="H1396" s="112"/>
      <c r="I1396" s="113"/>
      <c r="J1396" s="114"/>
      <c r="K1396" s="115"/>
      <c r="L1396" s="115"/>
      <c r="M1396" s="115"/>
      <c r="N1396" s="116"/>
      <c r="O1396" s="114"/>
      <c r="P1396" s="116"/>
      <c r="Q1396" s="219"/>
      <c r="R1396" s="198"/>
      <c r="S1396" s="198"/>
      <c r="T1396" s="198"/>
      <c r="U1396" s="198"/>
      <c r="V1396" s="198"/>
      <c r="W1396" s="198"/>
      <c r="X1396" s="198"/>
    </row>
    <row r="1397" ht="12.0" customHeight="1">
      <c r="A139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7" s="87" t="str">
        <f>IFERROR(__xludf.DUMMYFUNCTION("IFERROR(IF(F1397&lt;&gt;"""",""WHSE ""&amp;LEFT(F1397,1),REGEXEXTRACT(E1397,""-(?:\d{2}-)?([A-Z]+)"")),"""")
"),"")</f>
        <v/>
      </c>
      <c r="C1397" s="108"/>
      <c r="D1397" s="109"/>
      <c r="E1397" s="110"/>
      <c r="F1397" s="110"/>
      <c r="G1397" s="111"/>
      <c r="H1397" s="112"/>
      <c r="I1397" s="113"/>
      <c r="J1397" s="114"/>
      <c r="K1397" s="115"/>
      <c r="L1397" s="115"/>
      <c r="M1397" s="115"/>
      <c r="N1397" s="116"/>
      <c r="O1397" s="114"/>
      <c r="P1397" s="116"/>
      <c r="Q1397" s="219"/>
      <c r="R1397" s="198"/>
      <c r="S1397" s="198"/>
      <c r="T1397" s="198"/>
      <c r="U1397" s="198"/>
      <c r="V1397" s="198"/>
      <c r="W1397" s="198"/>
      <c r="X1397" s="198"/>
    </row>
    <row r="1398" ht="12.0" customHeight="1">
      <c r="A139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8" s="87" t="str">
        <f>IFERROR(__xludf.DUMMYFUNCTION("IFERROR(IF(F1398&lt;&gt;"""",""WHSE ""&amp;LEFT(F1398,1),REGEXEXTRACT(E1398,""-(?:\d{2}-)?([A-Z]+)"")),"""")
"),"")</f>
        <v/>
      </c>
      <c r="C1398" s="108"/>
      <c r="D1398" s="109"/>
      <c r="E1398" s="110"/>
      <c r="F1398" s="110"/>
      <c r="G1398" s="111"/>
      <c r="H1398" s="112"/>
      <c r="I1398" s="113"/>
      <c r="J1398" s="114"/>
      <c r="K1398" s="115"/>
      <c r="L1398" s="115"/>
      <c r="M1398" s="115"/>
      <c r="N1398" s="116"/>
      <c r="O1398" s="114"/>
      <c r="P1398" s="116"/>
      <c r="Q1398" s="219"/>
      <c r="R1398" s="198"/>
      <c r="S1398" s="198"/>
      <c r="T1398" s="198"/>
      <c r="U1398" s="198"/>
      <c r="V1398" s="198"/>
      <c r="W1398" s="198"/>
      <c r="X1398" s="198"/>
    </row>
    <row r="1399" ht="12.0" customHeight="1">
      <c r="A139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399" s="87" t="str">
        <f>IFERROR(__xludf.DUMMYFUNCTION("IFERROR(IF(F1399&lt;&gt;"""",""WHSE ""&amp;LEFT(F1399,1),REGEXEXTRACT(E1399,""-(?:\d{2}-)?([A-Z]+)"")),"""")
"),"")</f>
        <v/>
      </c>
      <c r="C1399" s="108"/>
      <c r="D1399" s="109"/>
      <c r="E1399" s="110"/>
      <c r="F1399" s="110"/>
      <c r="G1399" s="111"/>
      <c r="H1399" s="112"/>
      <c r="I1399" s="113"/>
      <c r="J1399" s="114"/>
      <c r="K1399" s="115"/>
      <c r="L1399" s="115"/>
      <c r="M1399" s="115"/>
      <c r="N1399" s="116"/>
      <c r="O1399" s="114"/>
      <c r="P1399" s="116"/>
      <c r="Q1399" s="219"/>
      <c r="R1399" s="198"/>
      <c r="S1399" s="198"/>
      <c r="T1399" s="198"/>
      <c r="U1399" s="198"/>
      <c r="V1399" s="198"/>
      <c r="W1399" s="198"/>
      <c r="X1399" s="198"/>
    </row>
    <row r="1400" ht="12.0" customHeight="1">
      <c r="A140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0" s="87" t="str">
        <f>IFERROR(__xludf.DUMMYFUNCTION("IFERROR(IF(F1400&lt;&gt;"""",""WHSE ""&amp;LEFT(F1400,1),REGEXEXTRACT(E1400,""-(?:\d{2}-)?([A-Z]+)"")),"""")
"),"")</f>
        <v/>
      </c>
      <c r="C1400" s="108"/>
      <c r="D1400" s="109"/>
      <c r="E1400" s="110"/>
      <c r="F1400" s="110"/>
      <c r="G1400" s="111"/>
      <c r="H1400" s="112"/>
      <c r="I1400" s="113"/>
      <c r="J1400" s="114"/>
      <c r="K1400" s="115"/>
      <c r="L1400" s="115"/>
      <c r="M1400" s="115"/>
      <c r="N1400" s="116"/>
      <c r="O1400" s="114"/>
      <c r="P1400" s="116"/>
      <c r="Q1400" s="219"/>
      <c r="R1400" s="198"/>
      <c r="S1400" s="198"/>
      <c r="T1400" s="198"/>
      <c r="U1400" s="198"/>
      <c r="V1400" s="198"/>
      <c r="W1400" s="198"/>
      <c r="X1400" s="198"/>
    </row>
    <row r="1401" ht="12.0" customHeight="1">
      <c r="A140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1" s="87" t="str">
        <f>IFERROR(__xludf.DUMMYFUNCTION("IFERROR(IF(F1401&lt;&gt;"""",""WHSE ""&amp;LEFT(F1401,1),REGEXEXTRACT(E1401,""-(?:\d{2}-)?([A-Z]+)"")),"""")
"),"")</f>
        <v/>
      </c>
      <c r="C1401" s="108"/>
      <c r="D1401" s="109"/>
      <c r="E1401" s="110"/>
      <c r="F1401" s="110"/>
      <c r="G1401" s="111"/>
      <c r="H1401" s="112"/>
      <c r="I1401" s="113"/>
      <c r="J1401" s="114"/>
      <c r="K1401" s="115"/>
      <c r="L1401" s="115"/>
      <c r="M1401" s="115"/>
      <c r="N1401" s="116"/>
      <c r="O1401" s="114"/>
      <c r="P1401" s="116"/>
      <c r="Q1401" s="219"/>
      <c r="R1401" s="198"/>
      <c r="S1401" s="198"/>
      <c r="T1401" s="198"/>
      <c r="U1401" s="198"/>
      <c r="V1401" s="198"/>
      <c r="W1401" s="198"/>
      <c r="X1401" s="198"/>
    </row>
    <row r="1402" ht="12.0" customHeight="1">
      <c r="A140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2" s="87" t="str">
        <f>IFERROR(__xludf.DUMMYFUNCTION("IFERROR(IF(F1402&lt;&gt;"""",""WHSE ""&amp;LEFT(F1402,1),REGEXEXTRACT(E1402,""-(?:\d{2}-)?([A-Z]+)"")),"""")
"),"")</f>
        <v/>
      </c>
      <c r="C1402" s="108"/>
      <c r="D1402" s="109"/>
      <c r="E1402" s="110"/>
      <c r="F1402" s="110"/>
      <c r="G1402" s="111"/>
      <c r="H1402" s="112"/>
      <c r="I1402" s="113"/>
      <c r="J1402" s="114"/>
      <c r="K1402" s="115"/>
      <c r="L1402" s="115"/>
      <c r="M1402" s="115"/>
      <c r="N1402" s="116"/>
      <c r="O1402" s="114"/>
      <c r="P1402" s="116"/>
      <c r="Q1402" s="219"/>
      <c r="R1402" s="198"/>
      <c r="S1402" s="198"/>
      <c r="T1402" s="198"/>
      <c r="U1402" s="198"/>
      <c r="V1402" s="198"/>
      <c r="W1402" s="198"/>
      <c r="X1402" s="198"/>
    </row>
    <row r="1403" ht="12.0" customHeight="1">
      <c r="A140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3" s="87" t="str">
        <f>IFERROR(__xludf.DUMMYFUNCTION("IFERROR(IF(F1403&lt;&gt;"""",""WHSE ""&amp;LEFT(F1403,1),REGEXEXTRACT(E1403,""-(?:\d{2}-)?([A-Z]+)"")),"""")
"),"")</f>
        <v/>
      </c>
      <c r="C1403" s="108"/>
      <c r="D1403" s="109"/>
      <c r="E1403" s="110"/>
      <c r="F1403" s="110"/>
      <c r="G1403" s="111"/>
      <c r="H1403" s="112"/>
      <c r="I1403" s="113"/>
      <c r="J1403" s="114"/>
      <c r="K1403" s="115"/>
      <c r="L1403" s="115"/>
      <c r="M1403" s="115"/>
      <c r="N1403" s="116"/>
      <c r="O1403" s="114"/>
      <c r="P1403" s="116"/>
      <c r="Q1403" s="219"/>
      <c r="R1403" s="198"/>
      <c r="S1403" s="198"/>
      <c r="T1403" s="198"/>
      <c r="U1403" s="198"/>
      <c r="V1403" s="198"/>
      <c r="W1403" s="198"/>
      <c r="X1403" s="198"/>
    </row>
    <row r="1404" ht="12.0" customHeight="1">
      <c r="A1404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4" s="87" t="str">
        <f>IFERROR(__xludf.DUMMYFUNCTION("IFERROR(IF(F1404&lt;&gt;"""",""WHSE ""&amp;LEFT(F1404,1),REGEXEXTRACT(E1404,""-(?:\d{2}-)?([A-Z]+)"")),"""")
"),"")</f>
        <v/>
      </c>
      <c r="C1404" s="108"/>
      <c r="D1404" s="109"/>
      <c r="E1404" s="110"/>
      <c r="F1404" s="110"/>
      <c r="G1404" s="111"/>
      <c r="H1404" s="112"/>
      <c r="I1404" s="113"/>
      <c r="J1404" s="114"/>
      <c r="K1404" s="115"/>
      <c r="L1404" s="115"/>
      <c r="M1404" s="115"/>
      <c r="N1404" s="116"/>
      <c r="O1404" s="114"/>
      <c r="P1404" s="116"/>
      <c r="Q1404" s="219"/>
      <c r="R1404" s="198"/>
      <c r="S1404" s="198"/>
      <c r="T1404" s="198"/>
      <c r="U1404" s="198"/>
      <c r="V1404" s="198"/>
      <c r="W1404" s="198"/>
      <c r="X1404" s="198"/>
    </row>
    <row r="1405" ht="12.0" customHeight="1">
      <c r="A1405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5" s="87" t="str">
        <f>IFERROR(__xludf.DUMMYFUNCTION("IFERROR(IF(F1405&lt;&gt;"""",""WHSE ""&amp;LEFT(F1405,1),REGEXEXTRACT(E1405,""-(?:\d{2}-)?([A-Z]+)"")),"""")
"),"")</f>
        <v/>
      </c>
      <c r="C1405" s="108"/>
      <c r="D1405" s="109"/>
      <c r="E1405" s="110"/>
      <c r="F1405" s="110"/>
      <c r="G1405" s="111"/>
      <c r="H1405" s="112"/>
      <c r="I1405" s="113"/>
      <c r="J1405" s="114"/>
      <c r="K1405" s="115"/>
      <c r="L1405" s="115"/>
      <c r="M1405" s="115"/>
      <c r="N1405" s="116"/>
      <c r="O1405" s="114"/>
      <c r="P1405" s="116"/>
      <c r="Q1405" s="219"/>
      <c r="R1405" s="198"/>
      <c r="S1405" s="198"/>
      <c r="T1405" s="198"/>
      <c r="U1405" s="198"/>
      <c r="V1405" s="198"/>
      <c r="W1405" s="198"/>
      <c r="X1405" s="198"/>
    </row>
    <row r="1406" ht="12.0" customHeight="1">
      <c r="A1406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6" s="87" t="str">
        <f>IFERROR(__xludf.DUMMYFUNCTION("IFERROR(IF(F1406&lt;&gt;"""",""WHSE ""&amp;LEFT(F1406,1),REGEXEXTRACT(E1406,""-(?:\d{2}-)?([A-Z]+)"")),"""")
"),"")</f>
        <v/>
      </c>
      <c r="C1406" s="108"/>
      <c r="D1406" s="109"/>
      <c r="E1406" s="110"/>
      <c r="F1406" s="110"/>
      <c r="G1406" s="111"/>
      <c r="H1406" s="112"/>
      <c r="I1406" s="113"/>
      <c r="J1406" s="114"/>
      <c r="K1406" s="115"/>
      <c r="L1406" s="115"/>
      <c r="M1406" s="115"/>
      <c r="N1406" s="116"/>
      <c r="O1406" s="114"/>
      <c r="P1406" s="116"/>
      <c r="Q1406" s="219"/>
      <c r="R1406" s="198"/>
      <c r="S1406" s="198"/>
      <c r="T1406" s="198"/>
      <c r="U1406" s="198"/>
      <c r="V1406" s="198"/>
      <c r="W1406" s="198"/>
      <c r="X1406" s="198"/>
    </row>
    <row r="1407" ht="12.0" customHeight="1">
      <c r="A1407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7" s="87" t="str">
        <f>IFERROR(__xludf.DUMMYFUNCTION("IFERROR(IF(F1407&lt;&gt;"""",""WHSE ""&amp;LEFT(F1407,1),REGEXEXTRACT(E1407,""-(?:\d{2}-)?([A-Z]+)"")),"""")
"),"")</f>
        <v/>
      </c>
      <c r="C1407" s="108"/>
      <c r="D1407" s="109"/>
      <c r="E1407" s="110"/>
      <c r="F1407" s="110"/>
      <c r="G1407" s="111"/>
      <c r="H1407" s="112"/>
      <c r="I1407" s="113"/>
      <c r="J1407" s="114"/>
      <c r="K1407" s="115"/>
      <c r="L1407" s="115"/>
      <c r="M1407" s="115"/>
      <c r="N1407" s="116"/>
      <c r="O1407" s="114"/>
      <c r="P1407" s="116"/>
      <c r="Q1407" s="219"/>
      <c r="R1407" s="198"/>
      <c r="S1407" s="198"/>
      <c r="T1407" s="198"/>
      <c r="U1407" s="198"/>
      <c r="V1407" s="198"/>
      <c r="W1407" s="198"/>
      <c r="X1407" s="198"/>
    </row>
    <row r="1408" ht="12.0" customHeight="1">
      <c r="A1408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8" s="87" t="str">
        <f>IFERROR(__xludf.DUMMYFUNCTION("IFERROR(IF(F1408&lt;&gt;"""",""WHSE ""&amp;LEFT(F1408,1),REGEXEXTRACT(E1408,""-(?:\d{2}-)?([A-Z]+)"")),"""")
"),"")</f>
        <v/>
      </c>
      <c r="C1408" s="108"/>
      <c r="D1408" s="109"/>
      <c r="E1408" s="110"/>
      <c r="F1408" s="110"/>
      <c r="G1408" s="111"/>
      <c r="H1408" s="112"/>
      <c r="I1408" s="113"/>
      <c r="J1408" s="114"/>
      <c r="K1408" s="115"/>
      <c r="L1408" s="115"/>
      <c r="M1408" s="115"/>
      <c r="N1408" s="116"/>
      <c r="O1408" s="114"/>
      <c r="P1408" s="116"/>
      <c r="Q1408" s="219"/>
      <c r="R1408" s="198"/>
      <c r="S1408" s="198"/>
      <c r="T1408" s="198"/>
      <c r="U1408" s="198"/>
      <c r="V1408" s="198"/>
      <c r="W1408" s="198"/>
      <c r="X1408" s="198"/>
    </row>
    <row r="1409" ht="12.0" customHeight="1">
      <c r="A1409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09" s="87" t="str">
        <f>IFERROR(__xludf.DUMMYFUNCTION("IFERROR(IF(F1409&lt;&gt;"""",""WHSE ""&amp;LEFT(F1409,1),REGEXEXTRACT(E1409,""-(?:\d{2}-)?([A-Z]+)"")),"""")
"),"")</f>
        <v/>
      </c>
      <c r="C1409" s="108"/>
      <c r="D1409" s="109"/>
      <c r="E1409" s="110"/>
      <c r="F1409" s="110"/>
      <c r="G1409" s="111"/>
      <c r="H1409" s="112"/>
      <c r="I1409" s="113"/>
      <c r="J1409" s="114"/>
      <c r="K1409" s="115"/>
      <c r="L1409" s="115"/>
      <c r="M1409" s="115"/>
      <c r="N1409" s="116"/>
      <c r="O1409" s="114"/>
      <c r="P1409" s="116"/>
      <c r="Q1409" s="219"/>
      <c r="R1409" s="198"/>
      <c r="S1409" s="198"/>
      <c r="T1409" s="198"/>
      <c r="U1409" s="198"/>
      <c r="V1409" s="198"/>
      <c r="W1409" s="198"/>
      <c r="X1409" s="198"/>
    </row>
    <row r="1410" ht="12.0" customHeight="1">
      <c r="A1410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10" s="87" t="str">
        <f>IFERROR(__xludf.DUMMYFUNCTION("IFERROR(IF(F1410&lt;&gt;"""",""WHSE ""&amp;LEFT(F1410,1),REGEXEXTRACT(E1410,""-(?:\d{2}-)?([A-Z]+)"")),"""")
"),"")</f>
        <v/>
      </c>
      <c r="C1410" s="108"/>
      <c r="D1410" s="109"/>
      <c r="E1410" s="110"/>
      <c r="F1410" s="110"/>
      <c r="G1410" s="111"/>
      <c r="H1410" s="112"/>
      <c r="I1410" s="113"/>
      <c r="J1410" s="114"/>
      <c r="K1410" s="115"/>
      <c r="L1410" s="115"/>
      <c r="M1410" s="115"/>
      <c r="N1410" s="116"/>
      <c r="O1410" s="114"/>
      <c r="P1410" s="116"/>
      <c r="Q1410" s="219"/>
      <c r="R1410" s="198"/>
      <c r="S1410" s="198"/>
      <c r="T1410" s="198"/>
      <c r="U1410" s="198"/>
      <c r="V1410" s="198"/>
      <c r="W1410" s="198"/>
      <c r="X1410" s="198"/>
    </row>
    <row r="1411" ht="12.0" customHeight="1">
      <c r="A1411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11" s="87" t="str">
        <f>IFERROR(__xludf.DUMMYFUNCTION("IFERROR(IF(F1411&lt;&gt;"""",""WHSE ""&amp;LEFT(F1411,1),REGEXEXTRACT(E1411,""-(?:\d{2}-)?([A-Z]+)"")),"""")
"),"")</f>
        <v/>
      </c>
      <c r="C1411" s="108"/>
      <c r="D1411" s="109"/>
      <c r="E1411" s="110"/>
      <c r="F1411" s="110"/>
      <c r="G1411" s="111"/>
      <c r="H1411" s="112"/>
      <c r="I1411" s="113"/>
      <c r="J1411" s="114"/>
      <c r="K1411" s="115"/>
      <c r="L1411" s="115"/>
      <c r="M1411" s="115"/>
      <c r="N1411" s="116"/>
      <c r="O1411" s="114"/>
      <c r="P1411" s="116"/>
      <c r="Q1411" s="219"/>
      <c r="R1411" s="198"/>
      <c r="S1411" s="198"/>
      <c r="T1411" s="198"/>
      <c r="U1411" s="198"/>
      <c r="V1411" s="198"/>
      <c r="W1411" s="198"/>
      <c r="X1411" s="198"/>
    </row>
    <row r="1412" ht="12.0" customHeight="1">
      <c r="A1412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12" s="87" t="str">
        <f>IFERROR(__xludf.DUMMYFUNCTION("IFERROR(IF(F1412&lt;&gt;"""",""WHSE ""&amp;LEFT(F1412,1),REGEXEXTRACT(E1412,""-(?:\d{2}-)?([A-Z]+)"")),"""")
"),"")</f>
        <v/>
      </c>
      <c r="C1412" s="108"/>
      <c r="D1412" s="109"/>
      <c r="E1412" s="110"/>
      <c r="F1412" s="110"/>
      <c r="G1412" s="111"/>
      <c r="H1412" s="112"/>
      <c r="I1412" s="113"/>
      <c r="J1412" s="114"/>
      <c r="K1412" s="115"/>
      <c r="L1412" s="115"/>
      <c r="M1412" s="115"/>
      <c r="N1412" s="116"/>
      <c r="O1412" s="114"/>
      <c r="P1412" s="116"/>
      <c r="Q1412" s="219"/>
      <c r="R1412" s="198"/>
      <c r="S1412" s="198"/>
      <c r="T1412" s="198"/>
      <c r="U1412" s="198"/>
      <c r="V1412" s="198"/>
      <c r="W1412" s="198"/>
      <c r="X1412" s="198"/>
    </row>
    <row r="1413" ht="12.0" customHeight="1">
      <c r="A1413" s="87" t="str">
        <f>IF(COUNTIFS(RC_OUT[BLOCK],RC_IN[BLOCK],RC_OUT[REMARKS],"*CLOSED*")&gt;0,"CLOSED", IF(COUNTIFS(RC_OUT[BLOCK],RC_IN[BLOCK],RC_OUT[WT],"&gt;0",RC_OUT[PLANT/ETC],"MAIN")&gt;0,"IN-USE", IF(COUNTIFS(RC_OUT[BLOCK],RC_IN[BLOCK],RC_OUT[WT],"&gt;0",RC_OUT[PLANT/ETC],"SUNDRY")&gt;0,"SUNDRY","")))</f>
        <v/>
      </c>
      <c r="B1413" s="87" t="str">
        <f>IFERROR(__xludf.DUMMYFUNCTION("IFERROR(IF(F1413&lt;&gt;"""",""WHSE ""&amp;LEFT(F1413,1),REGEXEXTRACT(E1413,""-(?:\d{2}-)?([A-Z]+)"")),"""")
"),"")</f>
        <v/>
      </c>
      <c r="C1413" s="108"/>
      <c r="D1413" s="109"/>
      <c r="E1413" s="110"/>
      <c r="F1413" s="110"/>
      <c r="G1413" s="111"/>
      <c r="H1413" s="112"/>
      <c r="I1413" s="113"/>
      <c r="J1413" s="114"/>
      <c r="K1413" s="115"/>
      <c r="L1413" s="115"/>
      <c r="M1413" s="115"/>
      <c r="N1413" s="116"/>
      <c r="O1413" s="114"/>
      <c r="P1413" s="116"/>
      <c r="Q1413" s="219"/>
      <c r="R1413" s="198"/>
      <c r="S1413" s="198"/>
      <c r="T1413" s="198"/>
      <c r="U1413" s="198"/>
      <c r="V1413" s="198"/>
      <c r="W1413" s="198"/>
      <c r="X1413" s="198"/>
    </row>
    <row r="1414" ht="12.0" customHeight="1">
      <c r="A1414" s="222" t="str">
        <f>IF(COUNTIFS(RC_OUT[BLOCK],RC_IN[BLOCK],RC_OUT[REMARKS],"*CLOSED*")&gt;0,"CLOSED",IF(COUNTIFS(RC_OUT[BLOCK],RC_IN[BLOCK],RC_OUT[WT],"&gt;0")&gt;0,"IN-USE",""))
</f>
        <v/>
      </c>
      <c r="B1414" s="223" t="str">
        <f>IFERROR(__xludf.DUMMYFUNCTION("IFERROR(IF(F1414&lt;&gt;"""",""WHSE ""&amp;LEFT(F1414,1),REGEXEXTRACT(E1414,""-(?:\d{2}-)?([A-Z]+)"")),"""")
"),"")</f>
        <v/>
      </c>
      <c r="C1414" s="224"/>
      <c r="D1414" s="219"/>
      <c r="E1414" s="225"/>
      <c r="F1414" s="225"/>
      <c r="G1414" s="226"/>
      <c r="H1414" s="225"/>
      <c r="I1414" s="227"/>
      <c r="J1414" s="228"/>
      <c r="K1414" s="229"/>
      <c r="L1414" s="229"/>
      <c r="M1414" s="229"/>
      <c r="N1414" s="230"/>
      <c r="O1414" s="228"/>
      <c r="P1414" s="230"/>
      <c r="Q1414" s="219"/>
      <c r="R1414" s="198"/>
      <c r="S1414" s="198"/>
      <c r="T1414" s="198"/>
      <c r="U1414" s="198"/>
      <c r="V1414" s="198"/>
      <c r="W1414" s="198"/>
      <c r="X1414" s="198"/>
    </row>
    <row r="1415" ht="12.0" customHeight="1">
      <c r="A1415" s="222" t="str">
        <f>IF(COUNTIFS(RC_OUT[BLOCK],RC_IN[BLOCK],RC_OUT[REMARKS],"*CLOSED*")&gt;0,"CLOSED",IF(COUNTIFS(RC_OUT[BLOCK],RC_IN[BLOCK],RC_OUT[WT],"&gt;0")&gt;0,"IN-USE",""))
</f>
        <v/>
      </c>
      <c r="B1415" s="223" t="str">
        <f>IFERROR(__xludf.DUMMYFUNCTION("IFERROR(IF(F1415&lt;&gt;"""",""WHSE ""&amp;LEFT(F1415,1),REGEXEXTRACT(E1415,""-(?:\d{2}-)?([A-Z]+)"")),"""")
"),"")</f>
        <v/>
      </c>
      <c r="C1415" s="224"/>
      <c r="D1415" s="219"/>
      <c r="E1415" s="225"/>
      <c r="F1415" s="225"/>
      <c r="G1415" s="226"/>
      <c r="H1415" s="225"/>
      <c r="I1415" s="227"/>
      <c r="J1415" s="228"/>
      <c r="K1415" s="229"/>
      <c r="L1415" s="229"/>
      <c r="M1415" s="229"/>
      <c r="N1415" s="230"/>
      <c r="O1415" s="228"/>
      <c r="P1415" s="230"/>
      <c r="Q1415" s="219"/>
      <c r="R1415" s="198"/>
      <c r="S1415" s="198"/>
      <c r="T1415" s="198"/>
      <c r="U1415" s="198"/>
      <c r="V1415" s="198"/>
      <c r="W1415" s="198"/>
      <c r="X1415" s="198"/>
    </row>
    <row r="1416" ht="12.0" customHeight="1">
      <c r="A1416" s="222" t="str">
        <f>IF(COUNTIFS(RC_OUT[BLOCK],RC_IN[BLOCK],RC_OUT[REMARKS],"*CLOSED*")&gt;0,"CLOSED",IF(COUNTIFS(RC_OUT[BLOCK],RC_IN[BLOCK],RC_OUT[WT],"&gt;0")&gt;0,"IN-USE",""))
</f>
        <v/>
      </c>
      <c r="B1416" s="223" t="str">
        <f>IFERROR(__xludf.DUMMYFUNCTION("IFERROR(IF(F1416&lt;&gt;"""",""WHSE ""&amp;LEFT(F1416,1),REGEXEXTRACT(E1416,""-(?:\d{2}-)?([A-Z]+)"")),"""")
"),"")</f>
        <v/>
      </c>
      <c r="C1416" s="224"/>
      <c r="D1416" s="219"/>
      <c r="E1416" s="225"/>
      <c r="F1416" s="225"/>
      <c r="G1416" s="226"/>
      <c r="H1416" s="225"/>
      <c r="I1416" s="227"/>
      <c r="J1416" s="228"/>
      <c r="K1416" s="229"/>
      <c r="L1416" s="229"/>
      <c r="M1416" s="229"/>
      <c r="N1416" s="230"/>
      <c r="O1416" s="228"/>
      <c r="P1416" s="230"/>
      <c r="Q1416" s="219"/>
      <c r="R1416" s="198"/>
      <c r="S1416" s="198"/>
      <c r="T1416" s="198"/>
      <c r="U1416" s="198"/>
      <c r="V1416" s="198"/>
      <c r="W1416" s="198"/>
      <c r="X1416" s="198"/>
    </row>
    <row r="1417" ht="12.0" customHeight="1">
      <c r="A1417" s="222" t="str">
        <f>IF(COUNTIFS(RC_OUT[BLOCK],RC_IN[BLOCK],RC_OUT[REMARKS],"*CLOSED*")&gt;0,"CLOSED",IF(COUNTIFS(RC_OUT[BLOCK],RC_IN[BLOCK],RC_OUT[WT],"&gt;0")&gt;0,"IN-USE",""))
</f>
        <v/>
      </c>
      <c r="B1417" s="223" t="str">
        <f>IFERROR(__xludf.DUMMYFUNCTION("IFERROR(IF(F1417&lt;&gt;"""",""WHSE ""&amp;LEFT(F1417,1),REGEXEXTRACT(E1417,""-(?:\d{2}-)?([A-Z]+)"")),"""")
"),"")</f>
        <v/>
      </c>
      <c r="C1417" s="224"/>
      <c r="D1417" s="219"/>
      <c r="E1417" s="225"/>
      <c r="F1417" s="225"/>
      <c r="G1417" s="226"/>
      <c r="H1417" s="225"/>
      <c r="I1417" s="227"/>
      <c r="J1417" s="228"/>
      <c r="K1417" s="229"/>
      <c r="L1417" s="229"/>
      <c r="M1417" s="229"/>
      <c r="N1417" s="230"/>
      <c r="O1417" s="228"/>
      <c r="P1417" s="230"/>
      <c r="Q1417" s="219"/>
      <c r="R1417" s="198"/>
      <c r="S1417" s="198"/>
      <c r="T1417" s="198"/>
      <c r="U1417" s="198"/>
      <c r="V1417" s="198"/>
      <c r="W1417" s="198"/>
      <c r="X1417" s="198"/>
    </row>
    <row r="1418" ht="12.0" customHeight="1">
      <c r="A1418" s="222" t="str">
        <f>IF(COUNTIFS(RC_OUT[BLOCK],RC_IN[BLOCK],RC_OUT[REMARKS],"*CLOSED*")&gt;0,"CLOSED",IF(COUNTIFS(RC_OUT[BLOCK],RC_IN[BLOCK],RC_OUT[WT],"&gt;0")&gt;0,"IN-USE",""))
</f>
        <v/>
      </c>
      <c r="B1418" s="223" t="str">
        <f>IFERROR(__xludf.DUMMYFUNCTION("IFERROR(IF(F1418&lt;&gt;"""",""WHSE ""&amp;LEFT(F1418,1),REGEXEXTRACT(E1418,""-(?:\d{2}-)?([A-Z]+)"")),"""")
"),"")</f>
        <v/>
      </c>
      <c r="C1418" s="224"/>
      <c r="D1418" s="219"/>
      <c r="E1418" s="225"/>
      <c r="F1418" s="225"/>
      <c r="G1418" s="226"/>
      <c r="H1418" s="225"/>
      <c r="I1418" s="227"/>
      <c r="J1418" s="228"/>
      <c r="K1418" s="229"/>
      <c r="L1418" s="229"/>
      <c r="M1418" s="229"/>
      <c r="N1418" s="230"/>
      <c r="O1418" s="228"/>
      <c r="P1418" s="230"/>
      <c r="Q1418" s="219"/>
      <c r="R1418" s="198"/>
      <c r="S1418" s="198"/>
      <c r="T1418" s="198"/>
      <c r="U1418" s="198"/>
      <c r="V1418" s="198"/>
      <c r="W1418" s="198"/>
      <c r="X1418" s="198"/>
    </row>
    <row r="1419" ht="12.0" customHeight="1">
      <c r="A1419" s="222" t="str">
        <f>IF(COUNTIFS(RC_OUT[BLOCK],RC_IN[BLOCK],RC_OUT[REMARKS],"*CLOSED*")&gt;0,"CLOSED",IF(COUNTIFS(RC_OUT[BLOCK],RC_IN[BLOCK],RC_OUT[WT],"&gt;0")&gt;0,"IN-USE",""))
</f>
        <v/>
      </c>
      <c r="B1419" s="223" t="str">
        <f>IFERROR(__xludf.DUMMYFUNCTION("IFERROR(IF(F1419&lt;&gt;"""",""WHSE ""&amp;LEFT(F1419,1),REGEXEXTRACT(E1419,""-(?:\d{2}-)?([A-Z]+)"")),"""")
"),"")</f>
        <v/>
      </c>
      <c r="C1419" s="224"/>
      <c r="D1419" s="219"/>
      <c r="E1419" s="225"/>
      <c r="F1419" s="225"/>
      <c r="G1419" s="226"/>
      <c r="H1419" s="225"/>
      <c r="I1419" s="227"/>
      <c r="J1419" s="228"/>
      <c r="K1419" s="229"/>
      <c r="L1419" s="229"/>
      <c r="M1419" s="229"/>
      <c r="N1419" s="230"/>
      <c r="O1419" s="228"/>
      <c r="P1419" s="230"/>
      <c r="Q1419" s="219"/>
      <c r="R1419" s="198"/>
      <c r="S1419" s="198"/>
      <c r="T1419" s="198"/>
      <c r="U1419" s="198"/>
      <c r="V1419" s="198"/>
      <c r="W1419" s="198"/>
      <c r="X1419" s="198"/>
    </row>
    <row r="1420" ht="12.0" customHeight="1">
      <c r="A1420" s="222" t="str">
        <f>IF(COUNTIFS(RC_OUT[BLOCK],RC_IN[BLOCK],RC_OUT[REMARKS],"*CLOSED*")&gt;0,"CLOSED",IF(COUNTIFS(RC_OUT[BLOCK],RC_IN[BLOCK],RC_OUT[WT],"&gt;0")&gt;0,"IN-USE",""))
</f>
        <v/>
      </c>
      <c r="B1420" s="223" t="str">
        <f>IFERROR(__xludf.DUMMYFUNCTION("IFERROR(IF(F1420&lt;&gt;"""",""WHSE ""&amp;LEFT(F1420,1),REGEXEXTRACT(E1420,""-(?:\d{2}-)?([A-Z]+)"")),"""")
"),"")</f>
        <v/>
      </c>
      <c r="C1420" s="224"/>
      <c r="D1420" s="219"/>
      <c r="E1420" s="225"/>
      <c r="F1420" s="225"/>
      <c r="G1420" s="226"/>
      <c r="H1420" s="225"/>
      <c r="I1420" s="227"/>
      <c r="J1420" s="228"/>
      <c r="K1420" s="229"/>
      <c r="L1420" s="229"/>
      <c r="M1420" s="229"/>
      <c r="N1420" s="230"/>
      <c r="O1420" s="228"/>
      <c r="P1420" s="230"/>
      <c r="Q1420" s="219"/>
      <c r="R1420" s="198"/>
      <c r="S1420" s="198"/>
      <c r="T1420" s="198"/>
      <c r="U1420" s="198"/>
      <c r="V1420" s="198"/>
      <c r="W1420" s="198"/>
      <c r="X1420" s="198"/>
    </row>
    <row r="1421" ht="12.0" customHeight="1">
      <c r="A1421" s="222" t="str">
        <f>IF(COUNTIFS(RC_OUT[BLOCK],RC_IN[BLOCK],RC_OUT[REMARKS],"*CLOSED*")&gt;0,"CLOSED",IF(COUNTIFS(RC_OUT[BLOCK],RC_IN[BLOCK],RC_OUT[WT],"&gt;0")&gt;0,"IN-USE",""))
</f>
        <v/>
      </c>
      <c r="B1421" s="223" t="str">
        <f>IFERROR(__xludf.DUMMYFUNCTION("IFERROR(IF(F1421&lt;&gt;"""",""WHSE ""&amp;LEFT(F1421,1),REGEXEXTRACT(E1421,""-(?:\d{2}-)?([A-Z]+)"")),"""")
"),"")</f>
        <v/>
      </c>
      <c r="C1421" s="224"/>
      <c r="D1421" s="219"/>
      <c r="E1421" s="225"/>
      <c r="F1421" s="225"/>
      <c r="G1421" s="226"/>
      <c r="H1421" s="225"/>
      <c r="I1421" s="227"/>
      <c r="J1421" s="228"/>
      <c r="K1421" s="229"/>
      <c r="L1421" s="229"/>
      <c r="M1421" s="229"/>
      <c r="N1421" s="230"/>
      <c r="O1421" s="228"/>
      <c r="P1421" s="230"/>
      <c r="Q1421" s="219"/>
      <c r="R1421" s="198"/>
      <c r="S1421" s="198"/>
      <c r="T1421" s="198"/>
      <c r="U1421" s="198"/>
      <c r="V1421" s="198"/>
      <c r="W1421" s="198"/>
      <c r="X1421" s="198"/>
    </row>
    <row r="1422" ht="12.0" customHeight="1">
      <c r="A1422" s="222" t="str">
        <f>IF(COUNTIFS(RC_OUT[BLOCK],RC_IN[BLOCK],RC_OUT[REMARKS],"*CLOSED*")&gt;0,"CLOSED",IF(COUNTIFS(RC_OUT[BLOCK],RC_IN[BLOCK],RC_OUT[WT],"&gt;0")&gt;0,"IN-USE",""))
</f>
        <v/>
      </c>
      <c r="B1422" s="223" t="str">
        <f>IFERROR(__xludf.DUMMYFUNCTION("IFERROR(IF(F1422&lt;&gt;"""",""WHSE ""&amp;LEFT(F1422,1),REGEXEXTRACT(E1422,""-(?:\d{2}-)?([A-Z]+)"")),"""")
"),"")</f>
        <v/>
      </c>
      <c r="C1422" s="224"/>
      <c r="D1422" s="219"/>
      <c r="E1422" s="225"/>
      <c r="F1422" s="225"/>
      <c r="G1422" s="226"/>
      <c r="H1422" s="225"/>
      <c r="I1422" s="227"/>
      <c r="J1422" s="228"/>
      <c r="K1422" s="229"/>
      <c r="L1422" s="229"/>
      <c r="M1422" s="229"/>
      <c r="N1422" s="230"/>
      <c r="O1422" s="228"/>
      <c r="P1422" s="230"/>
      <c r="Q1422" s="219"/>
      <c r="R1422" s="198"/>
      <c r="S1422" s="198"/>
      <c r="T1422" s="198"/>
      <c r="U1422" s="198"/>
      <c r="V1422" s="198"/>
      <c r="W1422" s="198"/>
      <c r="X1422" s="198"/>
    </row>
    <row r="1423" ht="12.0" customHeight="1">
      <c r="A1423" s="222" t="str">
        <f>IF(COUNTIFS(RC_OUT[BLOCK],RC_IN[BLOCK],RC_OUT[REMARKS],"*CLOSED*")&gt;0,"CLOSED",IF(COUNTIFS(RC_OUT[BLOCK],RC_IN[BLOCK],RC_OUT[WT],"&gt;0")&gt;0,"IN-USE",""))
</f>
        <v/>
      </c>
      <c r="B1423" s="223" t="str">
        <f>IFERROR(__xludf.DUMMYFUNCTION("IFERROR(IF(F1423&lt;&gt;"""",""WHSE ""&amp;LEFT(F1423,1),REGEXEXTRACT(E1423,""-(?:\d{2}-)?([A-Z]+)"")),"""")
"),"")</f>
        <v/>
      </c>
      <c r="C1423" s="224"/>
      <c r="D1423" s="219"/>
      <c r="E1423" s="225"/>
      <c r="F1423" s="225"/>
      <c r="G1423" s="226"/>
      <c r="H1423" s="225"/>
      <c r="I1423" s="227"/>
      <c r="J1423" s="228"/>
      <c r="K1423" s="229"/>
      <c r="L1423" s="229"/>
      <c r="M1423" s="229"/>
      <c r="N1423" s="230"/>
      <c r="O1423" s="228"/>
      <c r="P1423" s="230"/>
      <c r="Q1423" s="219"/>
      <c r="R1423" s="198"/>
      <c r="S1423" s="198"/>
      <c r="T1423" s="198"/>
      <c r="U1423" s="198"/>
      <c r="V1423" s="198"/>
      <c r="W1423" s="198"/>
      <c r="X1423" s="198"/>
    </row>
    <row r="1424" ht="12.0" customHeight="1">
      <c r="A1424" s="222" t="str">
        <f>IF(COUNTIFS(RC_OUT[BLOCK],RC_IN[BLOCK],RC_OUT[REMARKS],"*CLOSED*")&gt;0,"CLOSED",IF(COUNTIFS(RC_OUT[BLOCK],RC_IN[BLOCK],RC_OUT[WT],"&gt;0")&gt;0,"IN-USE",""))
</f>
        <v/>
      </c>
      <c r="B1424" s="223" t="str">
        <f>IFERROR(__xludf.DUMMYFUNCTION("IFERROR(IF(F1424&lt;&gt;"""",""WHSE ""&amp;LEFT(F1424,1),REGEXEXTRACT(E1424,""-(?:\d{2}-)?([A-Z]+)"")),"""")
"),"")</f>
        <v/>
      </c>
      <c r="C1424" s="224"/>
      <c r="D1424" s="219"/>
      <c r="E1424" s="225"/>
      <c r="F1424" s="225"/>
      <c r="G1424" s="226"/>
      <c r="H1424" s="225"/>
      <c r="I1424" s="227"/>
      <c r="J1424" s="228"/>
      <c r="K1424" s="229"/>
      <c r="L1424" s="229"/>
      <c r="M1424" s="229"/>
      <c r="N1424" s="230"/>
      <c r="O1424" s="228"/>
      <c r="P1424" s="230"/>
      <c r="Q1424" s="219"/>
      <c r="R1424" s="198"/>
      <c r="S1424" s="198"/>
      <c r="T1424" s="198"/>
      <c r="U1424" s="198"/>
      <c r="V1424" s="198"/>
      <c r="W1424" s="198"/>
      <c r="X1424" s="198"/>
    </row>
    <row r="1425" ht="12.0" customHeight="1">
      <c r="A1425" s="222" t="str">
        <f>IF(COUNTIFS(RC_OUT[BLOCK],RC_IN[BLOCK],RC_OUT[REMARKS],"*CLOSED*")&gt;0,"CLOSED",IF(COUNTIFS(RC_OUT[BLOCK],RC_IN[BLOCK],RC_OUT[WT],"&gt;0")&gt;0,"IN-USE",""))
</f>
        <v/>
      </c>
      <c r="B1425" s="223" t="str">
        <f>IFERROR(__xludf.DUMMYFUNCTION("IFERROR(IF(F1425&lt;&gt;"""",""WHSE ""&amp;LEFT(F1425,1),REGEXEXTRACT(E1425,""-(?:\d{2}-)?([A-Z]+)"")),"""")
"),"")</f>
        <v/>
      </c>
      <c r="C1425" s="224"/>
      <c r="D1425" s="219"/>
      <c r="E1425" s="225"/>
      <c r="F1425" s="225"/>
      <c r="G1425" s="226"/>
      <c r="H1425" s="225"/>
      <c r="I1425" s="227"/>
      <c r="J1425" s="228"/>
      <c r="K1425" s="229"/>
      <c r="L1425" s="229"/>
      <c r="M1425" s="229"/>
      <c r="N1425" s="230"/>
      <c r="O1425" s="228"/>
      <c r="P1425" s="230"/>
      <c r="Q1425" s="219"/>
      <c r="R1425" s="198"/>
      <c r="S1425" s="198"/>
      <c r="T1425" s="198"/>
      <c r="U1425" s="198"/>
      <c r="V1425" s="198"/>
      <c r="W1425" s="198"/>
      <c r="X1425" s="198"/>
    </row>
    <row r="1426" ht="12.0" customHeight="1">
      <c r="A1426" s="222" t="str">
        <f>IF(COUNTIFS(RC_OUT[BLOCK],RC_IN[BLOCK],RC_OUT[REMARKS],"*CLOSED*")&gt;0,"CLOSED",IF(COUNTIFS(RC_OUT[BLOCK],RC_IN[BLOCK],RC_OUT[WT],"&gt;0")&gt;0,"IN-USE",""))
</f>
        <v/>
      </c>
      <c r="B1426" s="223" t="str">
        <f>IFERROR(__xludf.DUMMYFUNCTION("IFERROR(IF(F1426&lt;&gt;"""",""WHSE ""&amp;LEFT(F1426,1),REGEXEXTRACT(E1426,""-(?:\d{2}-)?([A-Z]+)"")),"""")
"),"")</f>
        <v/>
      </c>
      <c r="C1426" s="224"/>
      <c r="D1426" s="219"/>
      <c r="E1426" s="225"/>
      <c r="F1426" s="225"/>
      <c r="G1426" s="226"/>
      <c r="H1426" s="225"/>
      <c r="I1426" s="227"/>
      <c r="J1426" s="228"/>
      <c r="K1426" s="229"/>
      <c r="L1426" s="229"/>
      <c r="M1426" s="229"/>
      <c r="N1426" s="230"/>
      <c r="O1426" s="228"/>
      <c r="P1426" s="230"/>
      <c r="Q1426" s="219"/>
      <c r="R1426" s="198"/>
      <c r="S1426" s="198"/>
      <c r="T1426" s="198"/>
      <c r="U1426" s="198"/>
      <c r="V1426" s="198"/>
      <c r="W1426" s="198"/>
      <c r="X1426" s="198"/>
    </row>
    <row r="1427" ht="12.0" customHeight="1">
      <c r="A1427" s="222" t="str">
        <f>IF(COUNTIFS(RC_OUT[BLOCK],RC_IN[BLOCK],RC_OUT[REMARKS],"*CLOSED*")&gt;0,"CLOSED",IF(COUNTIFS(RC_OUT[BLOCK],RC_IN[BLOCK],RC_OUT[WT],"&gt;0")&gt;0,"IN-USE",""))
</f>
        <v/>
      </c>
      <c r="B1427" s="223" t="str">
        <f>IFERROR(__xludf.DUMMYFUNCTION("IFERROR(IF(F1427&lt;&gt;"""",""WHSE ""&amp;LEFT(F1427,1),REGEXEXTRACT(E1427,""-(?:\d{2}-)?([A-Z]+)"")),"""")
"),"")</f>
        <v/>
      </c>
      <c r="C1427" s="224"/>
      <c r="D1427" s="219"/>
      <c r="E1427" s="225"/>
      <c r="F1427" s="225"/>
      <c r="G1427" s="226"/>
      <c r="H1427" s="225"/>
      <c r="I1427" s="227"/>
      <c r="J1427" s="228"/>
      <c r="K1427" s="229"/>
      <c r="L1427" s="229"/>
      <c r="M1427" s="229"/>
      <c r="N1427" s="230"/>
      <c r="O1427" s="228"/>
      <c r="P1427" s="230"/>
      <c r="Q1427" s="219"/>
      <c r="R1427" s="198"/>
      <c r="S1427" s="198"/>
      <c r="T1427" s="198"/>
      <c r="U1427" s="198"/>
      <c r="V1427" s="198"/>
      <c r="W1427" s="198"/>
      <c r="X1427" s="198"/>
    </row>
    <row r="1428" ht="12.0" customHeight="1">
      <c r="A1428" s="222" t="str">
        <f>IF(COUNTIFS(RC_OUT[BLOCK],RC_IN[BLOCK],RC_OUT[REMARKS],"*CLOSED*")&gt;0,"CLOSED",IF(COUNTIFS(RC_OUT[BLOCK],RC_IN[BLOCK],RC_OUT[WT],"&gt;0")&gt;0,"IN-USE",""))
</f>
        <v/>
      </c>
      <c r="B1428" s="223" t="str">
        <f>IFERROR(__xludf.DUMMYFUNCTION("IFERROR(IF(F1428&lt;&gt;"""",""WHSE ""&amp;LEFT(F1428,1),REGEXEXTRACT(E1428,""-(?:\d{2}-)?([A-Z]+)"")),"""")
"),"")</f>
        <v/>
      </c>
      <c r="C1428" s="224"/>
      <c r="D1428" s="219"/>
      <c r="E1428" s="225"/>
      <c r="F1428" s="225"/>
      <c r="G1428" s="226"/>
      <c r="H1428" s="225"/>
      <c r="I1428" s="227"/>
      <c r="J1428" s="228"/>
      <c r="K1428" s="229"/>
      <c r="L1428" s="229"/>
      <c r="M1428" s="229"/>
      <c r="N1428" s="230"/>
      <c r="O1428" s="228"/>
      <c r="P1428" s="230"/>
      <c r="Q1428" s="219"/>
      <c r="R1428" s="198"/>
      <c r="S1428" s="198"/>
      <c r="T1428" s="198"/>
      <c r="U1428" s="198"/>
      <c r="V1428" s="198"/>
      <c r="W1428" s="198"/>
      <c r="X1428" s="198"/>
    </row>
    <row r="1429" ht="12.0" customHeight="1">
      <c r="A1429" s="222" t="str">
        <f>IF(COUNTIFS(RC_OUT[BLOCK],RC_IN[BLOCK],RC_OUT[REMARKS],"*CLOSED*")&gt;0,"CLOSED",IF(COUNTIFS(RC_OUT[BLOCK],RC_IN[BLOCK],RC_OUT[WT],"&gt;0")&gt;0,"IN-USE",""))
</f>
        <v/>
      </c>
      <c r="B1429" s="223" t="str">
        <f>IFERROR(__xludf.DUMMYFUNCTION("IFERROR(IF(F1429&lt;&gt;"""",""WHSE ""&amp;LEFT(F1429,1),REGEXEXTRACT(E1429,""-(?:\d{2}-)?([A-Z]+)"")),"""")
"),"")</f>
        <v/>
      </c>
      <c r="C1429" s="224"/>
      <c r="D1429" s="219"/>
      <c r="E1429" s="225"/>
      <c r="F1429" s="225"/>
      <c r="G1429" s="226"/>
      <c r="H1429" s="225"/>
      <c r="I1429" s="227"/>
      <c r="J1429" s="228"/>
      <c r="K1429" s="229"/>
      <c r="L1429" s="229"/>
      <c r="M1429" s="229"/>
      <c r="N1429" s="230"/>
      <c r="O1429" s="228"/>
      <c r="P1429" s="230"/>
      <c r="Q1429" s="219"/>
      <c r="R1429" s="198"/>
      <c r="S1429" s="198"/>
      <c r="T1429" s="198"/>
      <c r="U1429" s="198"/>
      <c r="V1429" s="198"/>
      <c r="W1429" s="198"/>
      <c r="X1429" s="198"/>
    </row>
    <row r="1430" ht="12.0" customHeight="1">
      <c r="A1430" s="222" t="str">
        <f>IF(COUNTIFS(RC_OUT[BLOCK],RC_IN[BLOCK],RC_OUT[REMARKS],"*CLOSED*")&gt;0,"CLOSED",IF(COUNTIFS(RC_OUT[BLOCK],RC_IN[BLOCK],RC_OUT[WT],"&gt;0")&gt;0,"IN-USE",""))
</f>
        <v/>
      </c>
      <c r="B1430" s="223" t="str">
        <f>IFERROR(__xludf.DUMMYFUNCTION("IFERROR(IF(F1430&lt;&gt;"""",""WHSE ""&amp;LEFT(F1430,1),REGEXEXTRACT(E1430,""-(?:\d{2}-)?([A-Z]+)"")),"""")
"),"")</f>
        <v/>
      </c>
      <c r="C1430" s="224"/>
      <c r="D1430" s="219"/>
      <c r="E1430" s="225"/>
      <c r="F1430" s="225"/>
      <c r="G1430" s="226"/>
      <c r="H1430" s="225"/>
      <c r="I1430" s="227"/>
      <c r="J1430" s="228"/>
      <c r="K1430" s="229"/>
      <c r="L1430" s="229"/>
      <c r="M1430" s="229"/>
      <c r="N1430" s="230"/>
      <c r="O1430" s="228"/>
      <c r="P1430" s="230"/>
      <c r="Q1430" s="219"/>
      <c r="R1430" s="198"/>
      <c r="S1430" s="198"/>
      <c r="T1430" s="198"/>
      <c r="U1430" s="198"/>
      <c r="V1430" s="198"/>
      <c r="W1430" s="198"/>
      <c r="X1430" s="198"/>
    </row>
    <row r="1431" ht="12.0" customHeight="1">
      <c r="A1431" s="222" t="str">
        <f>IF(COUNTIFS(RC_OUT[BLOCK],RC_IN[BLOCK],RC_OUT[REMARKS],"*CLOSED*")&gt;0,"CLOSED",IF(COUNTIFS(RC_OUT[BLOCK],RC_IN[BLOCK],RC_OUT[WT],"&gt;0")&gt;0,"IN-USE",""))
</f>
        <v/>
      </c>
      <c r="B1431" s="223" t="str">
        <f>IFERROR(__xludf.DUMMYFUNCTION("IFERROR(IF(F1431&lt;&gt;"""",""WHSE ""&amp;LEFT(F1431,1),REGEXEXTRACT(E1431,""-(?:\d{2}-)?([A-Z]+)"")),"""")
"),"")</f>
        <v/>
      </c>
      <c r="C1431" s="224"/>
      <c r="D1431" s="219"/>
      <c r="E1431" s="225"/>
      <c r="F1431" s="225"/>
      <c r="G1431" s="226"/>
      <c r="H1431" s="225"/>
      <c r="I1431" s="227"/>
      <c r="J1431" s="228"/>
      <c r="K1431" s="229"/>
      <c r="L1431" s="229"/>
      <c r="M1431" s="229"/>
      <c r="N1431" s="230"/>
      <c r="O1431" s="228"/>
      <c r="P1431" s="230"/>
      <c r="Q1431" s="219"/>
      <c r="R1431" s="198"/>
      <c r="S1431" s="198"/>
      <c r="T1431" s="198"/>
      <c r="U1431" s="198"/>
      <c r="V1431" s="198"/>
      <c r="W1431" s="198"/>
      <c r="X1431" s="198"/>
    </row>
    <row r="1432" ht="12.0" customHeight="1">
      <c r="A1432" s="222" t="str">
        <f>IF(COUNTIFS(RC_OUT[BLOCK],RC_IN[BLOCK],RC_OUT[REMARKS],"*CLOSED*")&gt;0,"CLOSED",IF(COUNTIFS(RC_OUT[BLOCK],RC_IN[BLOCK],RC_OUT[WT],"&gt;0")&gt;0,"IN-USE",""))
</f>
        <v/>
      </c>
      <c r="B1432" s="223" t="str">
        <f>IFERROR(__xludf.DUMMYFUNCTION("IFERROR(IF(F1432&lt;&gt;"""",""WHSE ""&amp;LEFT(F1432,1),REGEXEXTRACT(E1432,""-(?:\d{2}-)?([A-Z]+)"")),"""")
"),"")</f>
        <v/>
      </c>
      <c r="C1432" s="224"/>
      <c r="D1432" s="219"/>
      <c r="E1432" s="225"/>
      <c r="F1432" s="225"/>
      <c r="G1432" s="226"/>
      <c r="H1432" s="225"/>
      <c r="I1432" s="227"/>
      <c r="J1432" s="228"/>
      <c r="K1432" s="229"/>
      <c r="L1432" s="229"/>
      <c r="M1432" s="229"/>
      <c r="N1432" s="230"/>
      <c r="O1432" s="228"/>
      <c r="P1432" s="230"/>
      <c r="Q1432" s="219"/>
      <c r="R1432" s="198"/>
      <c r="S1432" s="198"/>
      <c r="T1432" s="198"/>
      <c r="U1432" s="198"/>
      <c r="V1432" s="198"/>
      <c r="W1432" s="198"/>
      <c r="X1432" s="198"/>
    </row>
    <row r="1433" ht="12.0" customHeight="1">
      <c r="A1433" s="222" t="str">
        <f>IF(COUNTIFS(RC_OUT[BLOCK],RC_IN[BLOCK],RC_OUT[REMARKS],"*CLOSED*")&gt;0,"CLOSED",IF(COUNTIFS(RC_OUT[BLOCK],RC_IN[BLOCK],RC_OUT[WT],"&gt;0")&gt;0,"IN-USE",""))
</f>
        <v/>
      </c>
      <c r="B1433" s="223" t="str">
        <f>IFERROR(__xludf.DUMMYFUNCTION("IFERROR(IF(F1433&lt;&gt;"""",""WHSE ""&amp;LEFT(F1433,1),REGEXEXTRACT(E1433,""-(?:\d{2}-)?([A-Z]+)"")),"""")
"),"")</f>
        <v/>
      </c>
      <c r="C1433" s="224"/>
      <c r="D1433" s="219"/>
      <c r="E1433" s="225"/>
      <c r="F1433" s="225"/>
      <c r="G1433" s="226"/>
      <c r="H1433" s="225"/>
      <c r="I1433" s="227"/>
      <c r="J1433" s="228"/>
      <c r="K1433" s="229"/>
      <c r="L1433" s="229"/>
      <c r="M1433" s="229"/>
      <c r="N1433" s="230"/>
      <c r="O1433" s="228"/>
      <c r="P1433" s="230"/>
      <c r="Q1433" s="219"/>
      <c r="R1433" s="198"/>
      <c r="S1433" s="198"/>
      <c r="T1433" s="198"/>
      <c r="U1433" s="198"/>
      <c r="V1433" s="198"/>
      <c r="W1433" s="198"/>
      <c r="X1433" s="198"/>
    </row>
    <row r="1434" ht="12.0" customHeight="1">
      <c r="A1434" s="222" t="str">
        <f>IF(COUNTIFS(RC_OUT[BLOCK],RC_IN[BLOCK],RC_OUT[REMARKS],"*CLOSED*")&gt;0,"CLOSED",IF(COUNTIFS(RC_OUT[BLOCK],RC_IN[BLOCK],RC_OUT[WT],"&gt;0")&gt;0,"IN-USE",""))
</f>
        <v/>
      </c>
      <c r="B1434" s="223" t="str">
        <f>IFERROR(__xludf.DUMMYFUNCTION("IFERROR(IF(F1434&lt;&gt;"""",""WHSE ""&amp;LEFT(F1434,1),REGEXEXTRACT(E1434,""-(?:\d{2}-)?([A-Z]+)"")),"""")
"),"")</f>
        <v/>
      </c>
      <c r="C1434" s="224"/>
      <c r="D1434" s="219"/>
      <c r="E1434" s="225"/>
      <c r="F1434" s="225"/>
      <c r="G1434" s="226"/>
      <c r="H1434" s="225"/>
      <c r="I1434" s="227"/>
      <c r="J1434" s="228"/>
      <c r="K1434" s="229"/>
      <c r="L1434" s="229"/>
      <c r="M1434" s="229"/>
      <c r="N1434" s="230"/>
      <c r="O1434" s="228"/>
      <c r="P1434" s="230"/>
      <c r="Q1434" s="219"/>
      <c r="R1434" s="198"/>
      <c r="S1434" s="198"/>
      <c r="T1434" s="198"/>
      <c r="U1434" s="198"/>
      <c r="V1434" s="198"/>
      <c r="W1434" s="198"/>
      <c r="X1434" s="198"/>
    </row>
    <row r="1435" ht="12.0" customHeight="1">
      <c r="A1435" s="222" t="str">
        <f>IF(COUNTIFS(RC_OUT[BLOCK],RC_IN[BLOCK],RC_OUT[REMARKS],"*CLOSED*")&gt;0,"CLOSED",IF(COUNTIFS(RC_OUT[BLOCK],RC_IN[BLOCK],RC_OUT[WT],"&gt;0")&gt;0,"IN-USE",""))
</f>
        <v/>
      </c>
      <c r="B1435" s="223" t="str">
        <f>IFERROR(__xludf.DUMMYFUNCTION("IFERROR(IF(F1435&lt;&gt;"""",""WHSE ""&amp;LEFT(F1435,1),REGEXEXTRACT(E1435,""-(?:\d{2}-)?([A-Z]+)"")),"""")
"),"")</f>
        <v/>
      </c>
      <c r="C1435" s="224"/>
      <c r="D1435" s="219"/>
      <c r="E1435" s="225"/>
      <c r="F1435" s="225"/>
      <c r="G1435" s="226"/>
      <c r="H1435" s="225"/>
      <c r="I1435" s="227"/>
      <c r="J1435" s="228"/>
      <c r="K1435" s="229"/>
      <c r="L1435" s="229"/>
      <c r="M1435" s="229"/>
      <c r="N1435" s="230"/>
      <c r="O1435" s="228"/>
      <c r="P1435" s="230"/>
      <c r="Q1435" s="219"/>
      <c r="R1435" s="198"/>
      <c r="S1435" s="198"/>
      <c r="T1435" s="198"/>
      <c r="U1435" s="198"/>
      <c r="V1435" s="198"/>
      <c r="W1435" s="198"/>
      <c r="X1435" s="198"/>
    </row>
    <row r="1436" ht="12.0" customHeight="1">
      <c r="A1436" s="222" t="str">
        <f>IF(COUNTIFS(RC_OUT[BLOCK],RC_IN[BLOCK],RC_OUT[REMARKS],"*CLOSED*")&gt;0,"CLOSED",IF(COUNTIFS(RC_OUT[BLOCK],RC_IN[BLOCK],RC_OUT[WT],"&gt;0")&gt;0,"IN-USE",""))
</f>
        <v/>
      </c>
      <c r="B1436" s="223" t="str">
        <f>IFERROR(__xludf.DUMMYFUNCTION("IFERROR(IF(F1436&lt;&gt;"""",""WHSE ""&amp;LEFT(F1436,1),REGEXEXTRACT(E1436,""-(?:\d{2}-)?([A-Z]+)"")),"""")
"),"")</f>
        <v/>
      </c>
      <c r="C1436" s="224"/>
      <c r="D1436" s="219"/>
      <c r="E1436" s="225"/>
      <c r="F1436" s="225"/>
      <c r="G1436" s="226"/>
      <c r="H1436" s="225"/>
      <c r="I1436" s="227"/>
      <c r="J1436" s="228"/>
      <c r="K1436" s="229"/>
      <c r="L1436" s="229"/>
      <c r="M1436" s="229"/>
      <c r="N1436" s="230"/>
      <c r="O1436" s="228"/>
      <c r="P1436" s="230"/>
      <c r="Q1436" s="219"/>
      <c r="R1436" s="198"/>
      <c r="S1436" s="198"/>
      <c r="T1436" s="198"/>
      <c r="U1436" s="198"/>
      <c r="V1436" s="198"/>
      <c r="W1436" s="198"/>
      <c r="X1436" s="198"/>
    </row>
    <row r="1437" ht="12.0" customHeight="1">
      <c r="A1437" s="222" t="str">
        <f>IF(COUNTIFS(RC_OUT[BLOCK],RC_IN[BLOCK],RC_OUT[REMARKS],"*CLOSED*")&gt;0,"CLOSED",IF(COUNTIFS(RC_OUT[BLOCK],RC_IN[BLOCK],RC_OUT[WT],"&gt;0")&gt;0,"IN-USE",""))
</f>
        <v/>
      </c>
      <c r="B1437" s="223" t="str">
        <f>IFERROR(__xludf.DUMMYFUNCTION("IFERROR(IF(F1437&lt;&gt;"""",""WHSE ""&amp;LEFT(F1437,1),REGEXEXTRACT(E1437,""-(?:\d{2}-)?([A-Z]+)"")),"""")
"),"")</f>
        <v/>
      </c>
      <c r="C1437" s="224"/>
      <c r="D1437" s="219"/>
      <c r="E1437" s="225"/>
      <c r="F1437" s="225"/>
      <c r="G1437" s="226"/>
      <c r="H1437" s="225"/>
      <c r="I1437" s="227"/>
      <c r="J1437" s="228"/>
      <c r="K1437" s="229"/>
      <c r="L1437" s="229"/>
      <c r="M1437" s="229"/>
      <c r="N1437" s="230"/>
      <c r="O1437" s="228"/>
      <c r="P1437" s="230"/>
      <c r="Q1437" s="219"/>
      <c r="R1437" s="198"/>
      <c r="S1437" s="198"/>
      <c r="T1437" s="198"/>
      <c r="U1437" s="198"/>
      <c r="V1437" s="198"/>
      <c r="W1437" s="198"/>
      <c r="X1437" s="198"/>
    </row>
    <row r="1438" ht="12.0" customHeight="1">
      <c r="A1438" s="222" t="str">
        <f>IF(COUNTIFS(RC_OUT[BLOCK],RC_IN[BLOCK],RC_OUT[REMARKS],"*CLOSED*")&gt;0,"CLOSED",IF(COUNTIFS(RC_OUT[BLOCK],RC_IN[BLOCK],RC_OUT[WT],"&gt;0")&gt;0,"IN-USE",""))
</f>
        <v/>
      </c>
      <c r="B1438" s="223" t="str">
        <f>IFERROR(__xludf.DUMMYFUNCTION("IFERROR(IF(F1438&lt;&gt;"""",""WHSE ""&amp;LEFT(F1438,1),REGEXEXTRACT(E1438,""-(?:\d{2}-)?([A-Z]+)"")),"""")
"),"")</f>
        <v/>
      </c>
      <c r="C1438" s="224"/>
      <c r="D1438" s="219"/>
      <c r="E1438" s="225"/>
      <c r="F1438" s="225"/>
      <c r="G1438" s="226"/>
      <c r="H1438" s="225"/>
      <c r="I1438" s="227"/>
      <c r="J1438" s="228"/>
      <c r="K1438" s="229"/>
      <c r="L1438" s="229"/>
      <c r="M1438" s="229"/>
      <c r="N1438" s="230"/>
      <c r="O1438" s="228"/>
      <c r="P1438" s="230"/>
      <c r="Q1438" s="219"/>
      <c r="R1438" s="198"/>
      <c r="S1438" s="198"/>
      <c r="T1438" s="198"/>
      <c r="U1438" s="198"/>
      <c r="V1438" s="198"/>
      <c r="W1438" s="198"/>
      <c r="X1438" s="198"/>
    </row>
    <row r="1439" ht="12.0" customHeight="1">
      <c r="A1439" s="222" t="str">
        <f>IF(COUNTIFS(RC_OUT[BLOCK],RC_IN[BLOCK],RC_OUT[REMARKS],"*CLOSED*")&gt;0,"CLOSED",IF(COUNTIFS(RC_OUT[BLOCK],RC_IN[BLOCK],RC_OUT[WT],"&gt;0")&gt;0,"IN-USE",""))
</f>
        <v/>
      </c>
      <c r="B1439" s="223" t="str">
        <f>IFERROR(__xludf.DUMMYFUNCTION("IFERROR(IF(F1439&lt;&gt;"""",""WHSE ""&amp;LEFT(F1439,1),REGEXEXTRACT(E1439,""-(?:\d{2}-)?([A-Z]+)"")),"""")
"),"")</f>
        <v/>
      </c>
      <c r="C1439" s="224"/>
      <c r="D1439" s="219"/>
      <c r="E1439" s="225"/>
      <c r="F1439" s="225"/>
      <c r="G1439" s="226"/>
      <c r="H1439" s="225"/>
      <c r="I1439" s="227"/>
      <c r="J1439" s="228"/>
      <c r="K1439" s="229"/>
      <c r="L1439" s="229"/>
      <c r="M1439" s="229"/>
      <c r="N1439" s="230"/>
      <c r="O1439" s="228"/>
      <c r="P1439" s="230"/>
      <c r="Q1439" s="219"/>
      <c r="R1439" s="198"/>
      <c r="S1439" s="198"/>
      <c r="T1439" s="198"/>
      <c r="U1439" s="198"/>
      <c r="V1439" s="198"/>
      <c r="W1439" s="198"/>
      <c r="X1439" s="198"/>
    </row>
    <row r="1440" ht="12.0" customHeight="1">
      <c r="A1440" s="222" t="str">
        <f>IF(COUNTIFS(RC_OUT[BLOCK],RC_IN[BLOCK],RC_OUT[REMARKS],"*CLOSED*")&gt;0,"CLOSED",IF(COUNTIFS(RC_OUT[BLOCK],RC_IN[BLOCK],RC_OUT[WT],"&gt;0")&gt;0,"IN-USE",""))
</f>
        <v/>
      </c>
      <c r="B1440" s="223" t="str">
        <f>IFERROR(__xludf.DUMMYFUNCTION("IFERROR(IF(F1440&lt;&gt;"""",""WHSE ""&amp;LEFT(F1440,1),REGEXEXTRACT(E1440,""-(?:\d{2}-)?([A-Z]+)"")),"""")
"),"")</f>
        <v/>
      </c>
      <c r="C1440" s="224"/>
      <c r="D1440" s="219"/>
      <c r="E1440" s="225"/>
      <c r="F1440" s="225"/>
      <c r="G1440" s="226"/>
      <c r="H1440" s="225"/>
      <c r="I1440" s="227"/>
      <c r="J1440" s="228"/>
      <c r="K1440" s="229"/>
      <c r="L1440" s="229"/>
      <c r="M1440" s="229"/>
      <c r="N1440" s="230"/>
      <c r="O1440" s="228"/>
      <c r="P1440" s="230"/>
      <c r="Q1440" s="219"/>
      <c r="R1440" s="198"/>
      <c r="S1440" s="198"/>
      <c r="T1440" s="198"/>
      <c r="U1440" s="198"/>
      <c r="V1440" s="198"/>
      <c r="W1440" s="198"/>
      <c r="X1440" s="198"/>
    </row>
    <row r="1441" ht="12.0" customHeight="1">
      <c r="A1441" s="222" t="str">
        <f>IF(COUNTIFS(RC_OUT[BLOCK],RC_IN[BLOCK],RC_OUT[REMARKS],"*CLOSED*")&gt;0,"CLOSED",IF(COUNTIFS(RC_OUT[BLOCK],RC_IN[BLOCK],RC_OUT[WT],"&gt;0")&gt;0,"IN-USE",""))
</f>
        <v/>
      </c>
      <c r="B1441" s="223" t="str">
        <f>IFERROR(__xludf.DUMMYFUNCTION("IFERROR(IF(F1441&lt;&gt;"""",""WHSE ""&amp;LEFT(F1441,1),REGEXEXTRACT(E1441,""-(?:\d{2}-)?([A-Z]+)"")),"""")
"),"")</f>
        <v/>
      </c>
      <c r="C1441" s="224"/>
      <c r="D1441" s="219"/>
      <c r="E1441" s="225"/>
      <c r="F1441" s="225"/>
      <c r="G1441" s="226"/>
      <c r="H1441" s="225"/>
      <c r="I1441" s="227"/>
      <c r="J1441" s="228"/>
      <c r="K1441" s="229"/>
      <c r="L1441" s="229"/>
      <c r="M1441" s="229"/>
      <c r="N1441" s="230"/>
      <c r="O1441" s="228"/>
      <c r="P1441" s="230"/>
      <c r="Q1441" s="219"/>
      <c r="R1441" s="198"/>
      <c r="S1441" s="198"/>
      <c r="T1441" s="198"/>
      <c r="U1441" s="198"/>
      <c r="V1441" s="198"/>
      <c r="W1441" s="198"/>
      <c r="X1441" s="198"/>
    </row>
    <row r="1442" ht="12.0" customHeight="1">
      <c r="A1442" s="222" t="str">
        <f>IF(COUNTIFS(RC_OUT[BLOCK],RC_IN[BLOCK],RC_OUT[REMARKS],"*CLOSED*")&gt;0,"CLOSED",IF(COUNTIFS(RC_OUT[BLOCK],RC_IN[BLOCK],RC_OUT[WT],"&gt;0")&gt;0,"IN-USE",""))
</f>
        <v/>
      </c>
      <c r="B1442" s="223" t="str">
        <f>IFERROR(__xludf.DUMMYFUNCTION("IFERROR(IF(F1442&lt;&gt;"""",""WHSE ""&amp;LEFT(F1442,1),REGEXEXTRACT(E1442,""-(?:\d{2}-)?([A-Z]+)"")),"""")
"),"")</f>
        <v/>
      </c>
      <c r="C1442" s="224"/>
      <c r="D1442" s="219"/>
      <c r="E1442" s="225"/>
      <c r="F1442" s="225"/>
      <c r="G1442" s="226"/>
      <c r="H1442" s="225"/>
      <c r="I1442" s="227"/>
      <c r="J1442" s="228"/>
      <c r="K1442" s="229"/>
      <c r="L1442" s="229"/>
      <c r="M1442" s="229"/>
      <c r="N1442" s="230"/>
      <c r="O1442" s="228"/>
      <c r="P1442" s="230"/>
      <c r="Q1442" s="219"/>
      <c r="R1442" s="198"/>
      <c r="S1442" s="198"/>
      <c r="T1442" s="198"/>
      <c r="U1442" s="198"/>
      <c r="V1442" s="198"/>
      <c r="W1442" s="198"/>
      <c r="X1442" s="198"/>
    </row>
    <row r="1443" ht="12.0" customHeight="1">
      <c r="A1443" s="222" t="str">
        <f>IF(COUNTIFS(RC_OUT[BLOCK],RC_IN[BLOCK],RC_OUT[REMARKS],"*CLOSED*")&gt;0,"CLOSED",IF(COUNTIFS(RC_OUT[BLOCK],RC_IN[BLOCK],RC_OUT[WT],"&gt;0")&gt;0,"IN-USE",""))
</f>
        <v/>
      </c>
      <c r="B1443" s="223" t="str">
        <f>IFERROR(__xludf.DUMMYFUNCTION("IFERROR(IF(F1443&lt;&gt;"""",""WHSE ""&amp;LEFT(F1443,1),REGEXEXTRACT(E1443,""-(?:\d{2}-)?([A-Z]+)"")),"""")
"),"")</f>
        <v/>
      </c>
      <c r="C1443" s="224"/>
      <c r="D1443" s="219"/>
      <c r="E1443" s="225"/>
      <c r="F1443" s="225"/>
      <c r="G1443" s="226"/>
      <c r="H1443" s="225"/>
      <c r="I1443" s="227"/>
      <c r="J1443" s="228"/>
      <c r="K1443" s="229"/>
      <c r="L1443" s="229"/>
      <c r="M1443" s="229"/>
      <c r="N1443" s="230"/>
      <c r="O1443" s="228"/>
      <c r="P1443" s="230"/>
      <c r="Q1443" s="219"/>
      <c r="R1443" s="198"/>
      <c r="S1443" s="198"/>
      <c r="T1443" s="198"/>
      <c r="U1443" s="198"/>
      <c r="V1443" s="198"/>
      <c r="W1443" s="198"/>
      <c r="X1443" s="198"/>
    </row>
    <row r="1444" ht="12.0" customHeight="1">
      <c r="A1444" s="222" t="str">
        <f>IF(COUNTIFS(RC_OUT[BLOCK],RC_IN[BLOCK],RC_OUT[REMARKS],"*CLOSED*")&gt;0,"CLOSED",IF(COUNTIFS(RC_OUT[BLOCK],RC_IN[BLOCK],RC_OUT[WT],"&gt;0")&gt;0,"IN-USE",""))
</f>
        <v/>
      </c>
      <c r="B1444" s="223" t="str">
        <f>IFERROR(__xludf.DUMMYFUNCTION("IFERROR(IF(F1444&lt;&gt;"""",""WHSE ""&amp;LEFT(F1444,1),REGEXEXTRACT(E1444,""-(?:\d{2}-)?([A-Z]+)"")),"""")
"),"")</f>
        <v/>
      </c>
      <c r="C1444" s="224"/>
      <c r="D1444" s="219"/>
      <c r="E1444" s="225"/>
      <c r="F1444" s="225"/>
      <c r="G1444" s="226"/>
      <c r="H1444" s="225"/>
      <c r="I1444" s="227"/>
      <c r="J1444" s="228"/>
      <c r="K1444" s="229"/>
      <c r="L1444" s="229"/>
      <c r="M1444" s="229"/>
      <c r="N1444" s="230"/>
      <c r="O1444" s="228"/>
      <c r="P1444" s="230"/>
      <c r="Q1444" s="219"/>
      <c r="R1444" s="198"/>
      <c r="S1444" s="198"/>
      <c r="T1444" s="198"/>
      <c r="U1444" s="198"/>
      <c r="V1444" s="198"/>
      <c r="W1444" s="198"/>
      <c r="X1444" s="198"/>
    </row>
    <row r="1445" ht="12.0" customHeight="1">
      <c r="A1445" s="222" t="str">
        <f>IF(COUNTIFS(RC_OUT[BLOCK],RC_IN[BLOCK],RC_OUT[REMARKS],"*CLOSED*")&gt;0,"CLOSED",IF(COUNTIFS(RC_OUT[BLOCK],RC_IN[BLOCK],RC_OUT[WT],"&gt;0")&gt;0,"IN-USE",""))
</f>
        <v/>
      </c>
      <c r="B1445" s="223" t="str">
        <f>IFERROR(__xludf.DUMMYFUNCTION("IFERROR(IF(F1445&lt;&gt;"""",""WHSE ""&amp;LEFT(F1445,1),REGEXEXTRACT(E1445,""-(?:\d{2}-)?([A-Z]+)"")),"""")
"),"")</f>
        <v/>
      </c>
      <c r="C1445" s="224"/>
      <c r="D1445" s="219"/>
      <c r="E1445" s="225"/>
      <c r="F1445" s="225"/>
      <c r="G1445" s="226"/>
      <c r="H1445" s="225"/>
      <c r="I1445" s="227"/>
      <c r="J1445" s="228"/>
      <c r="K1445" s="229"/>
      <c r="L1445" s="229"/>
      <c r="M1445" s="229"/>
      <c r="N1445" s="230"/>
      <c r="O1445" s="228"/>
      <c r="P1445" s="230"/>
      <c r="Q1445" s="219"/>
      <c r="R1445" s="198"/>
      <c r="S1445" s="198"/>
      <c r="T1445" s="198"/>
      <c r="U1445" s="198"/>
      <c r="V1445" s="198"/>
      <c r="W1445" s="198"/>
      <c r="X1445" s="198"/>
    </row>
    <row r="1446" ht="12.0" customHeight="1">
      <c r="A1446" s="222" t="str">
        <f>IF(COUNTIFS(RC_OUT[BLOCK],RC_IN[BLOCK],RC_OUT[REMARKS],"*CLOSED*")&gt;0,"CLOSED",IF(COUNTIFS(RC_OUT[BLOCK],RC_IN[BLOCK],RC_OUT[WT],"&gt;0")&gt;0,"IN-USE",""))
</f>
        <v/>
      </c>
      <c r="B1446" s="223" t="str">
        <f>IFERROR(__xludf.DUMMYFUNCTION("IFERROR(IF(F1446&lt;&gt;"""",""WHSE ""&amp;LEFT(F1446,1),REGEXEXTRACT(E1446,""-(?:\d{2}-)?([A-Z]+)"")),"""")
"),"")</f>
        <v/>
      </c>
      <c r="C1446" s="224"/>
      <c r="D1446" s="219"/>
      <c r="E1446" s="225"/>
      <c r="F1446" s="225"/>
      <c r="G1446" s="226"/>
      <c r="H1446" s="225"/>
      <c r="I1446" s="227"/>
      <c r="J1446" s="228"/>
      <c r="K1446" s="229"/>
      <c r="L1446" s="229"/>
      <c r="M1446" s="229"/>
      <c r="N1446" s="230"/>
      <c r="O1446" s="228"/>
      <c r="P1446" s="230"/>
      <c r="Q1446" s="219"/>
      <c r="R1446" s="198"/>
      <c r="S1446" s="198"/>
      <c r="T1446" s="198"/>
      <c r="U1446" s="198"/>
      <c r="V1446" s="198"/>
      <c r="W1446" s="198"/>
      <c r="X1446" s="198"/>
    </row>
    <row r="1447" ht="12.0" customHeight="1">
      <c r="A1447" s="222" t="str">
        <f>IF(COUNTIFS(RC_OUT[BLOCK],RC_IN[BLOCK],RC_OUT[REMARKS],"*CLOSED*")&gt;0,"CLOSED",IF(COUNTIFS(RC_OUT[BLOCK],RC_IN[BLOCK],RC_OUT[WT],"&gt;0")&gt;0,"IN-USE",""))
</f>
        <v/>
      </c>
      <c r="B1447" s="223" t="str">
        <f>IFERROR(__xludf.DUMMYFUNCTION("IFERROR(IF(F1447&lt;&gt;"""",""WHSE ""&amp;LEFT(F1447,1),REGEXEXTRACT(E1447,""-(?:\d{2}-)?([A-Z]+)"")),"""")
"),"")</f>
        <v/>
      </c>
      <c r="C1447" s="224"/>
      <c r="D1447" s="219"/>
      <c r="E1447" s="225"/>
      <c r="F1447" s="225"/>
      <c r="G1447" s="226"/>
      <c r="H1447" s="225"/>
      <c r="I1447" s="227"/>
      <c r="J1447" s="228"/>
      <c r="K1447" s="229"/>
      <c r="L1447" s="229"/>
      <c r="M1447" s="229"/>
      <c r="N1447" s="230"/>
      <c r="O1447" s="228"/>
      <c r="P1447" s="230"/>
      <c r="Q1447" s="219"/>
      <c r="R1447" s="198"/>
      <c r="S1447" s="198"/>
      <c r="T1447" s="198"/>
      <c r="U1447" s="198"/>
      <c r="V1447" s="198"/>
      <c r="W1447" s="198"/>
      <c r="X1447" s="198"/>
    </row>
    <row r="1448" ht="12.0" customHeight="1">
      <c r="A1448" s="222" t="str">
        <f>IF(COUNTIFS(RC_OUT[BLOCK],RC_IN[BLOCK],RC_OUT[REMARKS],"*CLOSED*")&gt;0,"CLOSED",IF(COUNTIFS(RC_OUT[BLOCK],RC_IN[BLOCK],RC_OUT[WT],"&gt;0")&gt;0,"IN-USE",""))
</f>
        <v/>
      </c>
      <c r="B1448" s="223" t="str">
        <f>IFERROR(__xludf.DUMMYFUNCTION("IFERROR(IF(F1448&lt;&gt;"""",""WHSE ""&amp;LEFT(F1448,1),REGEXEXTRACT(E1448,""-(?:\d{2}-)?([A-Z]+)"")),"""")
"),"")</f>
        <v/>
      </c>
      <c r="C1448" s="224"/>
      <c r="D1448" s="219"/>
      <c r="E1448" s="225"/>
      <c r="F1448" s="225"/>
      <c r="G1448" s="226"/>
      <c r="H1448" s="225"/>
      <c r="I1448" s="227"/>
      <c r="J1448" s="228"/>
      <c r="K1448" s="229"/>
      <c r="L1448" s="229"/>
      <c r="M1448" s="229"/>
      <c r="N1448" s="230"/>
      <c r="O1448" s="228"/>
      <c r="P1448" s="230"/>
      <c r="Q1448" s="219"/>
      <c r="R1448" s="198"/>
      <c r="S1448" s="198"/>
      <c r="T1448" s="198"/>
      <c r="U1448" s="198"/>
      <c r="V1448" s="198"/>
      <c r="W1448" s="198"/>
      <c r="X1448" s="198"/>
    </row>
    <row r="1449" ht="12.0" customHeight="1">
      <c r="A1449" s="222" t="str">
        <f>IF(COUNTIFS(RC_OUT[BLOCK],RC_IN[BLOCK],RC_OUT[REMARKS],"*CLOSED*")&gt;0,"CLOSED",IF(COUNTIFS(RC_OUT[BLOCK],RC_IN[BLOCK],RC_OUT[WT],"&gt;0")&gt;0,"IN-USE",""))
</f>
        <v/>
      </c>
      <c r="B1449" s="223" t="str">
        <f>IFERROR(__xludf.DUMMYFUNCTION("IFERROR(IF(F1449&lt;&gt;"""",""WHSE ""&amp;LEFT(F1449,1),REGEXEXTRACT(E1449,""-(?:\d{2}-)?([A-Z]+)"")),"""")
"),"")</f>
        <v/>
      </c>
      <c r="C1449" s="224"/>
      <c r="D1449" s="219"/>
      <c r="E1449" s="225"/>
      <c r="F1449" s="225"/>
      <c r="G1449" s="226"/>
      <c r="H1449" s="225"/>
      <c r="I1449" s="227"/>
      <c r="J1449" s="228"/>
      <c r="K1449" s="229"/>
      <c r="L1449" s="229"/>
      <c r="M1449" s="229"/>
      <c r="N1449" s="230"/>
      <c r="O1449" s="228"/>
      <c r="P1449" s="230"/>
      <c r="Q1449" s="219"/>
      <c r="R1449" s="198"/>
      <c r="S1449" s="198"/>
      <c r="T1449" s="198"/>
      <c r="U1449" s="198"/>
      <c r="V1449" s="198"/>
      <c r="W1449" s="198"/>
      <c r="X1449" s="198"/>
    </row>
    <row r="1450" ht="12.0" customHeight="1">
      <c r="A1450" s="222" t="str">
        <f>IF(COUNTIFS(RC_OUT[BLOCK],RC_IN[BLOCK],RC_OUT[REMARKS],"*CLOSED*")&gt;0,"CLOSED",IF(COUNTIFS(RC_OUT[BLOCK],RC_IN[BLOCK],RC_OUT[WT],"&gt;0")&gt;0,"IN-USE",""))
</f>
        <v/>
      </c>
      <c r="B1450" s="223" t="str">
        <f>IFERROR(__xludf.DUMMYFUNCTION("IFERROR(IF(F1450&lt;&gt;"""",""WHSE ""&amp;LEFT(F1450,1),REGEXEXTRACT(E1450,""-(?:\d{2}-)?([A-Z]+)"")),"""")
"),"")</f>
        <v/>
      </c>
      <c r="C1450" s="224"/>
      <c r="D1450" s="219"/>
      <c r="E1450" s="225"/>
      <c r="F1450" s="225"/>
      <c r="G1450" s="226"/>
      <c r="H1450" s="225"/>
      <c r="I1450" s="227"/>
      <c r="J1450" s="228"/>
      <c r="K1450" s="229"/>
      <c r="L1450" s="229"/>
      <c r="M1450" s="229"/>
      <c r="N1450" s="230"/>
      <c r="O1450" s="228"/>
      <c r="P1450" s="230"/>
      <c r="Q1450" s="219"/>
      <c r="R1450" s="198"/>
      <c r="S1450" s="198"/>
      <c r="T1450" s="198"/>
      <c r="U1450" s="198"/>
      <c r="V1450" s="198"/>
      <c r="W1450" s="198"/>
      <c r="X1450" s="198"/>
    </row>
    <row r="1451" ht="12.0" customHeight="1">
      <c r="A1451" s="222" t="str">
        <f>IF(COUNTIFS(RC_OUT[BLOCK],RC_IN[BLOCK],RC_OUT[REMARKS],"*CLOSED*")&gt;0,"CLOSED",IF(COUNTIFS(RC_OUT[BLOCK],RC_IN[BLOCK],RC_OUT[WT],"&gt;0")&gt;0,"IN-USE",""))
</f>
        <v/>
      </c>
      <c r="B1451" s="223" t="str">
        <f>IFERROR(__xludf.DUMMYFUNCTION("IFERROR(IF(F1451&lt;&gt;"""",""WHSE ""&amp;LEFT(F1451,1),REGEXEXTRACT(E1451,""-(?:\d{2}-)?([A-Z]+)"")),"""")
"),"")</f>
        <v/>
      </c>
      <c r="C1451" s="224"/>
      <c r="D1451" s="219"/>
      <c r="E1451" s="225"/>
      <c r="F1451" s="225"/>
      <c r="G1451" s="226"/>
      <c r="H1451" s="225"/>
      <c r="I1451" s="227"/>
      <c r="J1451" s="228"/>
      <c r="K1451" s="229"/>
      <c r="L1451" s="229"/>
      <c r="M1451" s="229"/>
      <c r="N1451" s="230"/>
      <c r="O1451" s="228"/>
      <c r="P1451" s="230"/>
      <c r="Q1451" s="219"/>
      <c r="R1451" s="198"/>
      <c r="S1451" s="198"/>
      <c r="T1451" s="198"/>
      <c r="U1451" s="198"/>
      <c r="V1451" s="198"/>
      <c r="W1451" s="198"/>
      <c r="X1451" s="198"/>
    </row>
    <row r="1452" ht="12.0" customHeight="1">
      <c r="A1452" s="222" t="str">
        <f>IF(COUNTIFS(RC_OUT[BLOCK],RC_IN[BLOCK],RC_OUT[REMARKS],"*CLOSED*")&gt;0,"CLOSED",IF(COUNTIFS(RC_OUT[BLOCK],RC_IN[BLOCK],RC_OUT[WT],"&gt;0")&gt;0,"IN-USE",""))
</f>
        <v/>
      </c>
      <c r="B1452" s="223" t="str">
        <f>IFERROR(__xludf.DUMMYFUNCTION("IFERROR(IF(F1452&lt;&gt;"""",""WHSE ""&amp;LEFT(F1452,1),REGEXEXTRACT(E1452,""-(?:\d{2}-)?([A-Z]+)"")),"""")
"),"")</f>
        <v/>
      </c>
      <c r="C1452" s="224"/>
      <c r="D1452" s="219"/>
      <c r="E1452" s="225"/>
      <c r="F1452" s="225"/>
      <c r="G1452" s="226"/>
      <c r="H1452" s="225"/>
      <c r="I1452" s="227"/>
      <c r="J1452" s="228"/>
      <c r="K1452" s="229"/>
      <c r="L1452" s="229"/>
      <c r="M1452" s="229"/>
      <c r="N1452" s="230"/>
      <c r="O1452" s="228"/>
      <c r="P1452" s="230"/>
      <c r="Q1452" s="219"/>
      <c r="R1452" s="198"/>
      <c r="S1452" s="198"/>
      <c r="T1452" s="198"/>
      <c r="U1452" s="198"/>
      <c r="V1452" s="198"/>
      <c r="W1452" s="198"/>
      <c r="X1452" s="198"/>
    </row>
    <row r="1453" ht="12.0" customHeight="1">
      <c r="A1453" s="222" t="str">
        <f>IF(COUNTIFS(RC_OUT[BLOCK],RC_IN[BLOCK],RC_OUT[REMARKS],"*CLOSED*")&gt;0,"CLOSED",IF(COUNTIFS(RC_OUT[BLOCK],RC_IN[BLOCK],RC_OUT[WT],"&gt;0")&gt;0,"IN-USE",""))
</f>
        <v/>
      </c>
      <c r="B1453" s="223" t="str">
        <f>IFERROR(__xludf.DUMMYFUNCTION("IFERROR(IF(F1453&lt;&gt;"""",""WHSE ""&amp;LEFT(F1453,1),REGEXEXTRACT(E1453,""-(?:\d{2}-)?([A-Z]+)"")),"""")
"),"")</f>
        <v/>
      </c>
      <c r="C1453" s="224"/>
      <c r="D1453" s="219"/>
      <c r="E1453" s="225"/>
      <c r="F1453" s="225"/>
      <c r="G1453" s="226"/>
      <c r="H1453" s="225"/>
      <c r="I1453" s="227"/>
      <c r="J1453" s="228"/>
      <c r="K1453" s="229"/>
      <c r="L1453" s="229"/>
      <c r="M1453" s="229"/>
      <c r="N1453" s="230"/>
      <c r="O1453" s="228"/>
      <c r="P1453" s="230"/>
      <c r="Q1453" s="219"/>
      <c r="R1453" s="198"/>
      <c r="S1453" s="198"/>
      <c r="T1453" s="198"/>
      <c r="U1453" s="198"/>
      <c r="V1453" s="198"/>
      <c r="W1453" s="198"/>
      <c r="X1453" s="198"/>
    </row>
    <row r="1454" ht="12.0" customHeight="1">
      <c r="A1454" s="222" t="str">
        <f>IF(COUNTIFS(RC_OUT[BLOCK],RC_IN[BLOCK],RC_OUT[REMARKS],"*CLOSED*")&gt;0,"CLOSED",IF(COUNTIFS(RC_OUT[BLOCK],RC_IN[BLOCK],RC_OUT[WT],"&gt;0")&gt;0,"IN-USE",""))
</f>
        <v/>
      </c>
      <c r="B1454" s="223" t="str">
        <f>IFERROR(__xludf.DUMMYFUNCTION("IFERROR(IF(F1454&lt;&gt;"""",""WHSE ""&amp;LEFT(F1454,1),REGEXEXTRACT(E1454,""-(?:\d{2}-)?([A-Z]+)"")),"""")
"),"")</f>
        <v/>
      </c>
      <c r="C1454" s="224"/>
      <c r="D1454" s="219"/>
      <c r="E1454" s="225"/>
      <c r="F1454" s="225"/>
      <c r="G1454" s="226"/>
      <c r="H1454" s="225"/>
      <c r="I1454" s="227"/>
      <c r="J1454" s="228"/>
      <c r="K1454" s="229"/>
      <c r="L1454" s="229"/>
      <c r="M1454" s="229"/>
      <c r="N1454" s="230"/>
      <c r="O1454" s="228"/>
      <c r="P1454" s="230"/>
      <c r="Q1454" s="219"/>
      <c r="R1454" s="198"/>
      <c r="S1454" s="198"/>
      <c r="T1454" s="198"/>
      <c r="U1454" s="198"/>
      <c r="V1454" s="198"/>
      <c r="W1454" s="198"/>
      <c r="X1454" s="198"/>
    </row>
    <row r="1455" ht="12.0" customHeight="1">
      <c r="A1455" s="222" t="str">
        <f>IF(COUNTIFS(RC_OUT[BLOCK],RC_IN[BLOCK],RC_OUT[REMARKS],"*CLOSED*")&gt;0,"CLOSED",IF(COUNTIFS(RC_OUT[BLOCK],RC_IN[BLOCK],RC_OUT[WT],"&gt;0")&gt;0,"IN-USE",""))
</f>
        <v/>
      </c>
      <c r="B1455" s="223" t="str">
        <f>IFERROR(__xludf.DUMMYFUNCTION("IFERROR(IF(F1455&lt;&gt;"""",""WHSE ""&amp;LEFT(F1455,1),REGEXEXTRACT(E1455,""-(?:\d{2}-)?([A-Z]+)"")),"""")
"),"")</f>
        <v/>
      </c>
      <c r="C1455" s="224"/>
      <c r="D1455" s="219"/>
      <c r="E1455" s="225"/>
      <c r="F1455" s="225"/>
      <c r="G1455" s="226"/>
      <c r="H1455" s="225"/>
      <c r="I1455" s="227"/>
      <c r="J1455" s="228"/>
      <c r="K1455" s="229"/>
      <c r="L1455" s="229"/>
      <c r="M1455" s="229"/>
      <c r="N1455" s="230"/>
      <c r="O1455" s="228"/>
      <c r="P1455" s="230"/>
      <c r="Q1455" s="219"/>
      <c r="R1455" s="198"/>
      <c r="S1455" s="198"/>
      <c r="T1455" s="198"/>
      <c r="U1455" s="198"/>
      <c r="V1455" s="198"/>
      <c r="W1455" s="198"/>
      <c r="X1455" s="198"/>
    </row>
    <row r="1456" ht="12.0" customHeight="1">
      <c r="A1456" s="222" t="str">
        <f>IF(COUNTIFS(RC_OUT[BLOCK],RC_IN[BLOCK],RC_OUT[REMARKS],"*CLOSED*")&gt;0,"CLOSED",IF(COUNTIFS(RC_OUT[BLOCK],RC_IN[BLOCK],RC_OUT[WT],"&gt;0")&gt;0,"IN-USE",""))
</f>
        <v/>
      </c>
      <c r="B1456" s="223" t="str">
        <f>IFERROR(__xludf.DUMMYFUNCTION("IFERROR(IF(F1456&lt;&gt;"""",""WHSE ""&amp;LEFT(F1456,1),REGEXEXTRACT(E1456,""-(?:\d{2}-)?([A-Z]+)"")),"""")
"),"")</f>
        <v/>
      </c>
      <c r="C1456" s="224"/>
      <c r="D1456" s="219"/>
      <c r="E1456" s="225"/>
      <c r="F1456" s="225"/>
      <c r="G1456" s="226"/>
      <c r="H1456" s="225"/>
      <c r="I1456" s="227"/>
      <c r="J1456" s="228"/>
      <c r="K1456" s="229"/>
      <c r="L1456" s="229"/>
      <c r="M1456" s="229"/>
      <c r="N1456" s="230"/>
      <c r="O1456" s="228"/>
      <c r="P1456" s="230"/>
      <c r="Q1456" s="219"/>
      <c r="R1456" s="198"/>
      <c r="S1456" s="198"/>
      <c r="T1456" s="198"/>
      <c r="U1456" s="198"/>
      <c r="V1456" s="198"/>
      <c r="W1456" s="198"/>
      <c r="X1456" s="198"/>
    </row>
    <row r="1457" ht="12.0" customHeight="1">
      <c r="A1457" s="222" t="str">
        <f>IF(COUNTIFS(RC_OUT[BLOCK],RC_IN[BLOCK],RC_OUT[REMARKS],"*CLOSED*")&gt;0,"CLOSED",IF(COUNTIFS(RC_OUT[BLOCK],RC_IN[BLOCK],RC_OUT[WT],"&gt;0")&gt;0,"IN-USE",""))
</f>
        <v/>
      </c>
      <c r="B1457" s="223" t="str">
        <f>IFERROR(__xludf.DUMMYFUNCTION("IFERROR(IF(F1457&lt;&gt;"""",""WHSE ""&amp;LEFT(F1457,1),REGEXEXTRACT(E1457,""-(?:\d{2}-)?([A-Z]+)"")),"""")
"),"")</f>
        <v/>
      </c>
      <c r="C1457" s="224"/>
      <c r="D1457" s="219"/>
      <c r="E1457" s="225"/>
      <c r="F1457" s="225"/>
      <c r="G1457" s="226"/>
      <c r="H1457" s="225"/>
      <c r="I1457" s="227"/>
      <c r="J1457" s="228"/>
      <c r="K1457" s="229"/>
      <c r="L1457" s="229"/>
      <c r="M1457" s="229"/>
      <c r="N1457" s="230"/>
      <c r="O1457" s="228"/>
      <c r="P1457" s="230"/>
      <c r="Q1457" s="219"/>
      <c r="R1457" s="198"/>
      <c r="S1457" s="198"/>
      <c r="T1457" s="198"/>
      <c r="U1457" s="198"/>
      <c r="V1457" s="198"/>
      <c r="W1457" s="198"/>
      <c r="X1457" s="198"/>
    </row>
    <row r="1458" ht="12.0" customHeight="1">
      <c r="A1458" s="222" t="str">
        <f>IF(COUNTIFS(RC_OUT[BLOCK],RC_IN[BLOCK],RC_OUT[REMARKS],"*CLOSED*")&gt;0,"CLOSED",IF(COUNTIFS(RC_OUT[BLOCK],RC_IN[BLOCK],RC_OUT[WT],"&gt;0")&gt;0,"IN-USE",""))
</f>
        <v/>
      </c>
      <c r="B1458" s="223" t="str">
        <f>IFERROR(__xludf.DUMMYFUNCTION("IFERROR(IF(F1458&lt;&gt;"""",""WHSE ""&amp;LEFT(F1458,1),REGEXEXTRACT(E1458,""-(?:\d{2}-)?([A-Z]+)"")),"""")
"),"")</f>
        <v/>
      </c>
      <c r="C1458" s="224"/>
      <c r="D1458" s="219"/>
      <c r="E1458" s="225"/>
      <c r="F1458" s="225"/>
      <c r="G1458" s="226"/>
      <c r="H1458" s="225"/>
      <c r="I1458" s="227"/>
      <c r="J1458" s="228"/>
      <c r="K1458" s="229"/>
      <c r="L1458" s="229"/>
      <c r="M1458" s="229"/>
      <c r="N1458" s="230"/>
      <c r="O1458" s="228"/>
      <c r="P1458" s="230"/>
      <c r="Q1458" s="219"/>
      <c r="R1458" s="198"/>
      <c r="S1458" s="198"/>
      <c r="T1458" s="198"/>
      <c r="U1458" s="198"/>
      <c r="V1458" s="198"/>
      <c r="W1458" s="198"/>
      <c r="X1458" s="198"/>
    </row>
    <row r="1459" ht="12.0" customHeight="1">
      <c r="A1459" s="222" t="str">
        <f>IF(COUNTIFS(RC_OUT[BLOCK],RC_IN[BLOCK],RC_OUT[REMARKS],"*CLOSED*")&gt;0,"CLOSED",IF(COUNTIFS(RC_OUT[BLOCK],RC_IN[BLOCK],RC_OUT[WT],"&gt;0")&gt;0,"IN-USE",""))
</f>
        <v/>
      </c>
      <c r="B1459" s="223" t="str">
        <f>IFERROR(__xludf.DUMMYFUNCTION("IFERROR(IF(F1459&lt;&gt;"""",""WHSE ""&amp;LEFT(F1459,1),REGEXEXTRACT(E1459,""-(?:\d{2}-)?([A-Z]+)"")),"""")
"),"")</f>
        <v/>
      </c>
      <c r="C1459" s="224"/>
      <c r="D1459" s="219"/>
      <c r="E1459" s="225"/>
      <c r="F1459" s="225"/>
      <c r="G1459" s="226"/>
      <c r="H1459" s="225"/>
      <c r="I1459" s="227"/>
      <c r="J1459" s="228"/>
      <c r="K1459" s="229"/>
      <c r="L1459" s="229"/>
      <c r="M1459" s="229"/>
      <c r="N1459" s="230"/>
      <c r="O1459" s="228"/>
      <c r="P1459" s="230"/>
      <c r="Q1459" s="219"/>
      <c r="R1459" s="198"/>
      <c r="S1459" s="198"/>
      <c r="T1459" s="198"/>
      <c r="U1459" s="198"/>
      <c r="V1459" s="198"/>
      <c r="W1459" s="198"/>
      <c r="X1459" s="198"/>
    </row>
    <row r="1460" ht="12.0" customHeight="1">
      <c r="A1460" s="222" t="str">
        <f>IF(COUNTIFS(RC_OUT[BLOCK],RC_IN[BLOCK],RC_OUT[REMARKS],"*CLOSED*")&gt;0,"CLOSED",IF(COUNTIFS(RC_OUT[BLOCK],RC_IN[BLOCK],RC_OUT[WT],"&gt;0")&gt;0,"IN-USE",""))
</f>
        <v/>
      </c>
      <c r="B1460" s="223" t="str">
        <f>IFERROR(__xludf.DUMMYFUNCTION("IFERROR(IF(F1460&lt;&gt;"""",""WHSE ""&amp;LEFT(F1460,1),REGEXEXTRACT(E1460,""-(?:\d{2}-)?([A-Z]+)"")),"""")
"),"")</f>
        <v/>
      </c>
      <c r="C1460" s="224"/>
      <c r="D1460" s="219"/>
      <c r="E1460" s="225"/>
      <c r="F1460" s="225"/>
      <c r="G1460" s="226"/>
      <c r="H1460" s="225"/>
      <c r="I1460" s="227"/>
      <c r="J1460" s="228"/>
      <c r="K1460" s="229"/>
      <c r="L1460" s="229"/>
      <c r="M1460" s="229"/>
      <c r="N1460" s="230"/>
      <c r="O1460" s="228"/>
      <c r="P1460" s="230"/>
      <c r="Q1460" s="219"/>
      <c r="R1460" s="198"/>
      <c r="S1460" s="198"/>
      <c r="T1460" s="198"/>
      <c r="U1460" s="198"/>
      <c r="V1460" s="198"/>
      <c r="W1460" s="198"/>
      <c r="X1460" s="198"/>
    </row>
    <row r="1461" ht="12.0" customHeight="1">
      <c r="A1461" s="222" t="str">
        <f>IF(COUNTIFS(RC_OUT[BLOCK],RC_IN[BLOCK],RC_OUT[REMARKS],"*CLOSED*")&gt;0,"CLOSED",IF(COUNTIFS(RC_OUT[BLOCK],RC_IN[BLOCK],RC_OUT[WT],"&gt;0")&gt;0,"IN-USE",""))
</f>
        <v/>
      </c>
      <c r="B1461" s="223" t="str">
        <f>IFERROR(__xludf.DUMMYFUNCTION("IFERROR(IF(F1461&lt;&gt;"""",""WHSE ""&amp;LEFT(F1461,1),REGEXEXTRACT(E1461,""-(?:\d{2}-)?([A-Z]+)"")),"""")
"),"")</f>
        <v/>
      </c>
      <c r="C1461" s="224"/>
      <c r="D1461" s="219"/>
      <c r="E1461" s="225"/>
      <c r="F1461" s="225"/>
      <c r="G1461" s="226"/>
      <c r="H1461" s="225"/>
      <c r="I1461" s="227"/>
      <c r="J1461" s="228"/>
      <c r="K1461" s="229"/>
      <c r="L1461" s="229"/>
      <c r="M1461" s="229"/>
      <c r="N1461" s="230"/>
      <c r="O1461" s="228"/>
      <c r="P1461" s="230"/>
      <c r="Q1461" s="219"/>
      <c r="R1461" s="198"/>
      <c r="S1461" s="198"/>
      <c r="T1461" s="198"/>
      <c r="U1461" s="198"/>
      <c r="V1461" s="198"/>
      <c r="W1461" s="198"/>
      <c r="X1461" s="198"/>
    </row>
    <row r="1462" ht="12.0" customHeight="1">
      <c r="A1462" s="222" t="str">
        <f>IF(COUNTIFS(RC_OUT[BLOCK],RC_IN[BLOCK],RC_OUT[REMARKS],"*CLOSED*")&gt;0,"CLOSED",IF(COUNTIFS(RC_OUT[BLOCK],RC_IN[BLOCK],RC_OUT[WT],"&gt;0")&gt;0,"IN-USE",""))
</f>
        <v/>
      </c>
      <c r="B1462" s="223" t="str">
        <f>IFERROR(__xludf.DUMMYFUNCTION("IFERROR(IF(F1462&lt;&gt;"""",""WHSE ""&amp;LEFT(F1462,1),REGEXEXTRACT(E1462,""-(?:\d{2}-)?([A-Z]+)"")),"""")
"),"")</f>
        <v/>
      </c>
      <c r="C1462" s="224"/>
      <c r="D1462" s="219"/>
      <c r="E1462" s="225"/>
      <c r="F1462" s="225"/>
      <c r="G1462" s="226"/>
      <c r="H1462" s="225"/>
      <c r="I1462" s="227"/>
      <c r="J1462" s="228"/>
      <c r="K1462" s="229"/>
      <c r="L1462" s="229"/>
      <c r="M1462" s="229"/>
      <c r="N1462" s="230"/>
      <c r="O1462" s="228"/>
      <c r="P1462" s="230"/>
      <c r="Q1462" s="219"/>
      <c r="R1462" s="198"/>
      <c r="S1462" s="198"/>
      <c r="T1462" s="198"/>
      <c r="U1462" s="198"/>
      <c r="V1462" s="198"/>
      <c r="W1462" s="198"/>
      <c r="X1462" s="198"/>
    </row>
    <row r="1463" ht="12.0" customHeight="1">
      <c r="A1463" s="222" t="str">
        <f>IF(COUNTIFS(RC_OUT[BLOCK],RC_IN[BLOCK],RC_OUT[REMARKS],"*CLOSED*")&gt;0,"CLOSED",IF(COUNTIFS(RC_OUT[BLOCK],RC_IN[BLOCK],RC_OUT[WT],"&gt;0")&gt;0,"IN-USE",""))
</f>
        <v/>
      </c>
      <c r="B1463" s="223" t="str">
        <f>IFERROR(__xludf.DUMMYFUNCTION("IFERROR(IF(F1463&lt;&gt;"""",""WHSE ""&amp;LEFT(F1463,1),REGEXEXTRACT(E1463,""-(?:\d{2}-)?([A-Z]+)"")),"""")
"),"")</f>
        <v/>
      </c>
      <c r="C1463" s="224"/>
      <c r="D1463" s="219"/>
      <c r="E1463" s="225"/>
      <c r="F1463" s="225"/>
      <c r="G1463" s="226"/>
      <c r="H1463" s="225"/>
      <c r="I1463" s="227"/>
      <c r="J1463" s="228"/>
      <c r="K1463" s="229"/>
      <c r="L1463" s="229"/>
      <c r="M1463" s="229"/>
      <c r="N1463" s="230"/>
      <c r="O1463" s="228"/>
      <c r="P1463" s="230"/>
      <c r="Q1463" s="219"/>
      <c r="R1463" s="198"/>
      <c r="S1463" s="198"/>
      <c r="T1463" s="198"/>
      <c r="U1463" s="198"/>
      <c r="V1463" s="198"/>
      <c r="W1463" s="198"/>
      <c r="X1463" s="198"/>
    </row>
    <row r="1464" ht="12.0" customHeight="1">
      <c r="A1464" s="222" t="str">
        <f>IF(COUNTIFS(RC_OUT[BLOCK],RC_IN[BLOCK],RC_OUT[REMARKS],"*CLOSED*")&gt;0,"CLOSED",IF(COUNTIFS(RC_OUT[BLOCK],RC_IN[BLOCK],RC_OUT[WT],"&gt;0")&gt;0,"IN-USE",""))
</f>
        <v/>
      </c>
      <c r="B1464" s="223" t="str">
        <f>IFERROR(__xludf.DUMMYFUNCTION("IFERROR(IF(F1464&lt;&gt;"""",""WHSE ""&amp;LEFT(F1464,1),REGEXEXTRACT(E1464,""-(?:\d{2}-)?([A-Z]+)"")),"""")
"),"")</f>
        <v/>
      </c>
      <c r="C1464" s="224"/>
      <c r="D1464" s="219"/>
      <c r="E1464" s="225"/>
      <c r="F1464" s="225"/>
      <c r="G1464" s="226"/>
      <c r="H1464" s="225"/>
      <c r="I1464" s="227"/>
      <c r="J1464" s="228"/>
      <c r="K1464" s="229"/>
      <c r="L1464" s="229"/>
      <c r="M1464" s="229"/>
      <c r="N1464" s="230"/>
      <c r="O1464" s="228"/>
      <c r="P1464" s="230"/>
      <c r="Q1464" s="219"/>
      <c r="R1464" s="198"/>
      <c r="S1464" s="198"/>
      <c r="T1464" s="198"/>
      <c r="U1464" s="198"/>
      <c r="V1464" s="198"/>
      <c r="W1464" s="198"/>
      <c r="X1464" s="198"/>
    </row>
    <row r="1465" ht="12.0" customHeight="1">
      <c r="A1465" s="222" t="str">
        <f>IF(COUNTIFS(RC_OUT[BLOCK],RC_IN[BLOCK],RC_OUT[REMARKS],"*CLOSED*")&gt;0,"CLOSED",IF(COUNTIFS(RC_OUT[BLOCK],RC_IN[BLOCK],RC_OUT[WT],"&gt;0")&gt;0,"IN-USE",""))
</f>
        <v/>
      </c>
      <c r="B1465" s="223" t="str">
        <f>IFERROR(__xludf.DUMMYFUNCTION("IFERROR(IF(F1465&lt;&gt;"""",""WHSE ""&amp;LEFT(F1465,1),REGEXEXTRACT(E1465,""-(?:\d{2}-)?([A-Z]+)"")),"""")
"),"")</f>
        <v/>
      </c>
      <c r="C1465" s="224"/>
      <c r="D1465" s="219"/>
      <c r="E1465" s="225"/>
      <c r="F1465" s="225"/>
      <c r="G1465" s="226"/>
      <c r="H1465" s="225"/>
      <c r="I1465" s="227"/>
      <c r="J1465" s="228"/>
      <c r="K1465" s="229"/>
      <c r="L1465" s="229"/>
      <c r="M1465" s="229"/>
      <c r="N1465" s="230"/>
      <c r="O1465" s="228"/>
      <c r="P1465" s="230"/>
      <c r="Q1465" s="219"/>
      <c r="R1465" s="198"/>
      <c r="S1465" s="198"/>
      <c r="T1465" s="198"/>
      <c r="U1465" s="198"/>
      <c r="V1465" s="198"/>
      <c r="W1465" s="198"/>
      <c r="X1465" s="198"/>
    </row>
    <row r="1466" ht="12.0" customHeight="1">
      <c r="A1466" s="222" t="str">
        <f>IF(COUNTIFS(RC_OUT[BLOCK],RC_IN[BLOCK],RC_OUT[REMARKS],"*CLOSED*")&gt;0,"CLOSED",IF(COUNTIFS(RC_OUT[BLOCK],RC_IN[BLOCK],RC_OUT[WT],"&gt;0")&gt;0,"IN-USE",""))
</f>
        <v/>
      </c>
      <c r="B1466" s="223" t="str">
        <f>IFERROR(__xludf.DUMMYFUNCTION("IFERROR(IF(F1466&lt;&gt;"""",""WHSE ""&amp;LEFT(F1466,1),REGEXEXTRACT(E1466,""-(?:\d{2}-)?([A-Z]+)"")),"""")
"),"")</f>
        <v/>
      </c>
      <c r="C1466" s="224"/>
      <c r="D1466" s="219"/>
      <c r="E1466" s="225"/>
      <c r="F1466" s="225"/>
      <c r="G1466" s="226"/>
      <c r="H1466" s="225"/>
      <c r="I1466" s="227"/>
      <c r="J1466" s="228"/>
      <c r="K1466" s="229"/>
      <c r="L1466" s="229"/>
      <c r="M1466" s="229"/>
      <c r="N1466" s="230"/>
      <c r="O1466" s="228"/>
      <c r="P1466" s="230"/>
      <c r="Q1466" s="219"/>
      <c r="R1466" s="198"/>
      <c r="S1466" s="198"/>
      <c r="T1466" s="198"/>
      <c r="U1466" s="198"/>
      <c r="V1466" s="198"/>
      <c r="W1466" s="198"/>
      <c r="X1466" s="198"/>
    </row>
    <row r="1467" ht="12.0" customHeight="1">
      <c r="A1467" s="222" t="str">
        <f>IF(COUNTIFS(RC_OUT[BLOCK],RC_IN[BLOCK],RC_OUT[REMARKS],"*CLOSED*")&gt;0,"CLOSED",IF(COUNTIFS(RC_OUT[BLOCK],RC_IN[BLOCK],RC_OUT[WT],"&gt;0")&gt;0,"IN-USE",""))
</f>
        <v/>
      </c>
      <c r="B1467" s="223" t="str">
        <f>IFERROR(__xludf.DUMMYFUNCTION("IFERROR(IF(F1467&lt;&gt;"""",""WHSE ""&amp;LEFT(F1467,1),REGEXEXTRACT(E1467,""-(?:\d{2}-)?([A-Z]+)"")),"""")
"),"")</f>
        <v/>
      </c>
      <c r="C1467" s="224"/>
      <c r="D1467" s="219"/>
      <c r="E1467" s="225"/>
      <c r="F1467" s="225"/>
      <c r="G1467" s="226"/>
      <c r="H1467" s="225"/>
      <c r="I1467" s="227"/>
      <c r="J1467" s="228"/>
      <c r="K1467" s="229"/>
      <c r="L1467" s="229"/>
      <c r="M1467" s="229"/>
      <c r="N1467" s="230"/>
      <c r="O1467" s="228"/>
      <c r="P1467" s="230"/>
      <c r="Q1467" s="219"/>
      <c r="R1467" s="198"/>
      <c r="S1467" s="198"/>
      <c r="T1467" s="198"/>
      <c r="U1467" s="198"/>
      <c r="V1467" s="198"/>
      <c r="W1467" s="198"/>
      <c r="X1467" s="198"/>
    </row>
    <row r="1468" ht="12.0" customHeight="1">
      <c r="A1468" s="222" t="str">
        <f>IF(COUNTIFS(RC_OUT[BLOCK],RC_IN[BLOCK],RC_OUT[REMARKS],"*CLOSED*")&gt;0,"CLOSED",IF(COUNTIFS(RC_OUT[BLOCK],RC_IN[BLOCK],RC_OUT[WT],"&gt;0")&gt;0,"IN-USE",""))
</f>
        <v/>
      </c>
      <c r="B1468" s="223" t="str">
        <f>IFERROR(__xludf.DUMMYFUNCTION("IFERROR(IF(F1468&lt;&gt;"""",""WHSE ""&amp;LEFT(F1468,1),REGEXEXTRACT(E1468,""-(?:\d{2}-)?([A-Z]+)"")),"""")
"),"")</f>
        <v/>
      </c>
      <c r="C1468" s="224"/>
      <c r="D1468" s="219"/>
      <c r="E1468" s="225"/>
      <c r="F1468" s="225"/>
      <c r="G1468" s="226"/>
      <c r="H1468" s="225"/>
      <c r="I1468" s="227"/>
      <c r="J1468" s="228"/>
      <c r="K1468" s="229"/>
      <c r="L1468" s="229"/>
      <c r="M1468" s="229"/>
      <c r="N1468" s="230"/>
      <c r="O1468" s="228"/>
      <c r="P1468" s="230"/>
      <c r="Q1468" s="219"/>
      <c r="R1468" s="198"/>
      <c r="S1468" s="198"/>
      <c r="T1468" s="198"/>
      <c r="U1468" s="198"/>
      <c r="V1468" s="198"/>
      <c r="W1468" s="198"/>
      <c r="X1468" s="198"/>
    </row>
    <row r="1469" ht="12.0" customHeight="1">
      <c r="A1469" s="222" t="str">
        <f>IF(COUNTIFS(RC_OUT[BLOCK],RC_IN[BLOCK],RC_OUT[REMARKS],"*CLOSED*")&gt;0,"CLOSED",IF(COUNTIFS(RC_OUT[BLOCK],RC_IN[BLOCK],RC_OUT[WT],"&gt;0")&gt;0,"IN-USE",""))
</f>
        <v/>
      </c>
      <c r="B1469" s="223" t="str">
        <f>IFERROR(__xludf.DUMMYFUNCTION("IFERROR(IF(F1469&lt;&gt;"""",""WHSE ""&amp;LEFT(F1469,1),REGEXEXTRACT(E1469,""-(?:\d{2}-)?([A-Z]+)"")),"""")
"),"")</f>
        <v/>
      </c>
      <c r="C1469" s="224"/>
      <c r="D1469" s="219"/>
      <c r="E1469" s="225"/>
      <c r="F1469" s="225"/>
      <c r="G1469" s="226"/>
      <c r="H1469" s="225"/>
      <c r="I1469" s="227"/>
      <c r="J1469" s="228"/>
      <c r="K1469" s="229"/>
      <c r="L1469" s="229"/>
      <c r="M1469" s="229"/>
      <c r="N1469" s="230"/>
      <c r="O1469" s="228"/>
      <c r="P1469" s="230"/>
      <c r="Q1469" s="219"/>
      <c r="R1469" s="198"/>
      <c r="S1469" s="198"/>
      <c r="T1469" s="198"/>
      <c r="U1469" s="198"/>
      <c r="V1469" s="198"/>
      <c r="W1469" s="198"/>
      <c r="X1469" s="198"/>
    </row>
    <row r="1470" ht="12.0" customHeight="1">
      <c r="A1470" s="222" t="str">
        <f>IF(COUNTIFS(RC_OUT[BLOCK],RC_IN[BLOCK],RC_OUT[REMARKS],"*CLOSED*")&gt;0,"CLOSED",IF(COUNTIFS(RC_OUT[BLOCK],RC_IN[BLOCK],RC_OUT[WT],"&gt;0")&gt;0,"IN-USE",""))
</f>
        <v/>
      </c>
      <c r="B1470" s="223" t="str">
        <f>IFERROR(__xludf.DUMMYFUNCTION("IFERROR(IF(F1470&lt;&gt;"""",""WHSE ""&amp;LEFT(F1470,1),REGEXEXTRACT(E1470,""-(?:\d{2}-)?([A-Z]+)"")),"""")
"),"")</f>
        <v/>
      </c>
      <c r="C1470" s="224"/>
      <c r="D1470" s="219"/>
      <c r="E1470" s="225"/>
      <c r="F1470" s="225"/>
      <c r="G1470" s="226"/>
      <c r="H1470" s="225"/>
      <c r="I1470" s="227"/>
      <c r="J1470" s="228"/>
      <c r="K1470" s="229"/>
      <c r="L1470" s="229"/>
      <c r="M1470" s="229"/>
      <c r="N1470" s="230"/>
      <c r="O1470" s="228"/>
      <c r="P1470" s="230"/>
      <c r="Q1470" s="219"/>
      <c r="R1470" s="198"/>
      <c r="S1470" s="198"/>
      <c r="T1470" s="198"/>
      <c r="U1470" s="198"/>
      <c r="V1470" s="198"/>
      <c r="W1470" s="198"/>
      <c r="X1470" s="198"/>
    </row>
    <row r="1471" ht="12.0" customHeight="1">
      <c r="A1471" s="222" t="str">
        <f>IF(COUNTIFS(RC_OUT[BLOCK],RC_IN[BLOCK],RC_OUT[REMARKS],"*CLOSED*")&gt;0,"CLOSED",IF(COUNTIFS(RC_OUT[BLOCK],RC_IN[BLOCK],RC_OUT[WT],"&gt;0")&gt;0,"IN-USE",""))
</f>
        <v/>
      </c>
      <c r="B1471" s="223" t="str">
        <f>IFERROR(__xludf.DUMMYFUNCTION("IFERROR(IF(F1471&lt;&gt;"""",""WHSE ""&amp;LEFT(F1471,1),REGEXEXTRACT(E1471,""-(?:\d{2}-)?([A-Z]+)"")),"""")
"),"")</f>
        <v/>
      </c>
      <c r="C1471" s="224"/>
      <c r="D1471" s="219"/>
      <c r="E1471" s="225"/>
      <c r="F1471" s="225"/>
      <c r="G1471" s="226"/>
      <c r="H1471" s="225"/>
      <c r="I1471" s="227"/>
      <c r="J1471" s="228"/>
      <c r="K1471" s="229"/>
      <c r="L1471" s="229"/>
      <c r="M1471" s="229"/>
      <c r="N1471" s="230"/>
      <c r="O1471" s="228"/>
      <c r="P1471" s="230"/>
      <c r="Q1471" s="219"/>
      <c r="R1471" s="198"/>
      <c r="S1471" s="198"/>
      <c r="T1471" s="198"/>
      <c r="U1471" s="198"/>
      <c r="V1471" s="198"/>
      <c r="W1471" s="198"/>
      <c r="X1471" s="198"/>
    </row>
    <row r="1472" ht="12.0" customHeight="1">
      <c r="A1472" s="222" t="str">
        <f>IF(COUNTIFS(RC_OUT[BLOCK],RC_IN[BLOCK],RC_OUT[REMARKS],"*CLOSED*")&gt;0,"CLOSED",IF(COUNTIFS(RC_OUT[BLOCK],RC_IN[BLOCK],RC_OUT[WT],"&gt;0")&gt;0,"IN-USE",""))
</f>
        <v/>
      </c>
      <c r="B1472" s="223" t="str">
        <f>IFERROR(__xludf.DUMMYFUNCTION("IFERROR(IF(F1472&lt;&gt;"""",""WHSE ""&amp;LEFT(F1472,1),REGEXEXTRACT(E1472,""-(?:\d{2}-)?([A-Z]+)"")),"""")
"),"")</f>
        <v/>
      </c>
      <c r="C1472" s="224"/>
      <c r="D1472" s="219"/>
      <c r="E1472" s="225"/>
      <c r="F1472" s="225"/>
      <c r="G1472" s="226"/>
      <c r="H1472" s="225"/>
      <c r="I1472" s="227"/>
      <c r="J1472" s="228"/>
      <c r="K1472" s="229"/>
      <c r="L1472" s="229"/>
      <c r="M1472" s="229"/>
      <c r="N1472" s="230"/>
      <c r="O1472" s="228"/>
      <c r="P1472" s="230"/>
      <c r="Q1472" s="219"/>
      <c r="R1472" s="198"/>
      <c r="S1472" s="198"/>
      <c r="T1472" s="198"/>
      <c r="U1472" s="198"/>
      <c r="V1472" s="198"/>
      <c r="W1472" s="198"/>
      <c r="X1472" s="198"/>
    </row>
    <row r="1473" ht="12.0" customHeight="1">
      <c r="A1473" s="222" t="str">
        <f>IF(COUNTIFS(RC_OUT[BLOCK],RC_IN[BLOCK],RC_OUT[REMARKS],"*CLOSED*")&gt;0,"CLOSED",IF(COUNTIFS(RC_OUT[BLOCK],RC_IN[BLOCK],RC_OUT[WT],"&gt;0")&gt;0,"IN-USE",""))
</f>
        <v/>
      </c>
      <c r="B1473" s="223" t="str">
        <f>IFERROR(__xludf.DUMMYFUNCTION("IFERROR(IF(F1473&lt;&gt;"""",""WHSE ""&amp;LEFT(F1473,1),REGEXEXTRACT(E1473,""-(?:\d{2}-)?([A-Z]+)"")),"""")
"),"")</f>
        <v/>
      </c>
      <c r="C1473" s="224"/>
      <c r="D1473" s="219"/>
      <c r="E1473" s="225"/>
      <c r="F1473" s="225"/>
      <c r="G1473" s="226"/>
      <c r="H1473" s="225"/>
      <c r="I1473" s="227"/>
      <c r="J1473" s="228"/>
      <c r="K1473" s="229"/>
      <c r="L1473" s="229"/>
      <c r="M1473" s="229"/>
      <c r="N1473" s="230"/>
      <c r="O1473" s="228"/>
      <c r="P1473" s="230"/>
      <c r="Q1473" s="219"/>
      <c r="R1473" s="198"/>
      <c r="S1473" s="198"/>
      <c r="T1473" s="198"/>
      <c r="U1473" s="198"/>
      <c r="V1473" s="198"/>
      <c r="W1473" s="198"/>
      <c r="X1473" s="198"/>
    </row>
    <row r="1474" ht="12.0" customHeight="1">
      <c r="A1474" s="222" t="str">
        <f>IF(COUNTIFS(RC_OUT[BLOCK],RC_IN[BLOCK],RC_OUT[REMARKS],"*CLOSED*")&gt;0,"CLOSED",IF(COUNTIFS(RC_OUT[BLOCK],RC_IN[BLOCK],RC_OUT[WT],"&gt;0")&gt;0,"IN-USE",""))
</f>
        <v/>
      </c>
      <c r="B1474" s="223" t="str">
        <f>IFERROR(__xludf.DUMMYFUNCTION("IFERROR(IF(F1474&lt;&gt;"""",""WHSE ""&amp;LEFT(F1474,1),REGEXEXTRACT(E1474,""-(?:\d{2}-)?([A-Z]+)"")),"""")
"),"")</f>
        <v/>
      </c>
      <c r="C1474" s="224"/>
      <c r="D1474" s="219"/>
      <c r="E1474" s="225"/>
      <c r="F1474" s="225"/>
      <c r="G1474" s="226"/>
      <c r="H1474" s="225"/>
      <c r="I1474" s="227"/>
      <c r="J1474" s="228"/>
      <c r="K1474" s="229"/>
      <c r="L1474" s="229"/>
      <c r="M1474" s="229"/>
      <c r="N1474" s="230"/>
      <c r="O1474" s="228"/>
      <c r="P1474" s="230"/>
      <c r="Q1474" s="219"/>
      <c r="R1474" s="198"/>
      <c r="S1474" s="198"/>
      <c r="T1474" s="198"/>
      <c r="U1474" s="198"/>
      <c r="V1474" s="198"/>
      <c r="W1474" s="198"/>
      <c r="X1474" s="198"/>
    </row>
    <row r="1475" ht="12.0" customHeight="1">
      <c r="A1475" s="222" t="str">
        <f>IF(COUNTIFS(RC_OUT[BLOCK],RC_IN[BLOCK],RC_OUT[REMARKS],"*CLOSED*")&gt;0,"CLOSED",IF(COUNTIFS(RC_OUT[BLOCK],RC_IN[BLOCK],RC_OUT[WT],"&gt;0")&gt;0,"IN-USE",""))
</f>
        <v/>
      </c>
      <c r="B1475" s="223" t="str">
        <f>IFERROR(__xludf.DUMMYFUNCTION("IFERROR(IF(F1475&lt;&gt;"""",""WHSE ""&amp;LEFT(F1475,1),REGEXEXTRACT(E1475,""-(?:\d{2}-)?([A-Z]+)"")),"""")
"),"")</f>
        <v/>
      </c>
      <c r="C1475" s="224"/>
      <c r="D1475" s="219"/>
      <c r="E1475" s="225"/>
      <c r="F1475" s="225"/>
      <c r="G1475" s="226"/>
      <c r="H1475" s="225"/>
      <c r="I1475" s="227"/>
      <c r="J1475" s="228"/>
      <c r="K1475" s="229"/>
      <c r="L1475" s="229"/>
      <c r="M1475" s="229"/>
      <c r="N1475" s="230"/>
      <c r="O1475" s="228"/>
      <c r="P1475" s="230"/>
      <c r="Q1475" s="219"/>
      <c r="R1475" s="198"/>
      <c r="S1475" s="198"/>
      <c r="T1475" s="198"/>
      <c r="U1475" s="198"/>
      <c r="V1475" s="198"/>
      <c r="W1475" s="198"/>
      <c r="X1475" s="198"/>
    </row>
    <row r="1476" ht="12.0" customHeight="1">
      <c r="A1476" s="222" t="str">
        <f>IF(COUNTIFS(RC_OUT[BLOCK],RC_IN[BLOCK],RC_OUT[REMARKS],"*CLOSED*")&gt;0,"CLOSED",IF(COUNTIFS(RC_OUT[BLOCK],RC_IN[BLOCK],RC_OUT[WT],"&gt;0")&gt;0,"IN-USE",""))
</f>
        <v/>
      </c>
      <c r="B1476" s="223" t="str">
        <f>IFERROR(__xludf.DUMMYFUNCTION("IFERROR(IF(F1476&lt;&gt;"""",""WHSE ""&amp;LEFT(F1476,1),REGEXEXTRACT(E1476,""-(?:\d{2}-)?([A-Z]+)"")),"""")
"),"")</f>
        <v/>
      </c>
      <c r="C1476" s="224"/>
      <c r="D1476" s="219"/>
      <c r="E1476" s="225"/>
      <c r="F1476" s="225"/>
      <c r="G1476" s="226"/>
      <c r="H1476" s="225"/>
      <c r="I1476" s="227"/>
      <c r="J1476" s="228"/>
      <c r="K1476" s="229"/>
      <c r="L1476" s="229"/>
      <c r="M1476" s="229"/>
      <c r="N1476" s="230"/>
      <c r="O1476" s="228"/>
      <c r="P1476" s="230"/>
      <c r="Q1476" s="219"/>
      <c r="R1476" s="198"/>
      <c r="S1476" s="198"/>
      <c r="T1476" s="198"/>
      <c r="U1476" s="198"/>
      <c r="V1476" s="198"/>
      <c r="W1476" s="198"/>
      <c r="X1476" s="198"/>
    </row>
    <row r="1477" ht="12.0" customHeight="1">
      <c r="A1477" s="222" t="str">
        <f>IF(COUNTIFS(RC_OUT[BLOCK],RC_IN[BLOCK],RC_OUT[REMARKS],"*CLOSED*")&gt;0,"CLOSED",IF(COUNTIFS(RC_OUT[BLOCK],RC_IN[BLOCK],RC_OUT[WT],"&gt;0")&gt;0,"IN-USE",""))
</f>
        <v/>
      </c>
      <c r="B1477" s="223" t="str">
        <f>IFERROR(__xludf.DUMMYFUNCTION("IFERROR(IF(F1477&lt;&gt;"""",""WHSE ""&amp;LEFT(F1477,1),REGEXEXTRACT(E1477,""-(?:\d{2}-)?([A-Z]+)"")),"""")
"),"")</f>
        <v/>
      </c>
      <c r="C1477" s="224"/>
      <c r="D1477" s="219"/>
      <c r="E1477" s="225"/>
      <c r="F1477" s="225"/>
      <c r="G1477" s="226"/>
      <c r="H1477" s="225"/>
      <c r="I1477" s="227"/>
      <c r="J1477" s="228"/>
      <c r="K1477" s="229"/>
      <c r="L1477" s="229"/>
      <c r="M1477" s="229"/>
      <c r="N1477" s="230"/>
      <c r="O1477" s="228"/>
      <c r="P1477" s="230"/>
      <c r="Q1477" s="219"/>
      <c r="R1477" s="198"/>
      <c r="S1477" s="198"/>
      <c r="T1477" s="198"/>
      <c r="U1477" s="198"/>
      <c r="V1477" s="198"/>
      <c r="W1477" s="198"/>
      <c r="X1477" s="198"/>
    </row>
    <row r="1478" ht="12.0" customHeight="1">
      <c r="A1478" s="222" t="str">
        <f>IF(COUNTIFS(RC_OUT[BLOCK],RC_IN[BLOCK],RC_OUT[REMARKS],"*CLOSED*")&gt;0,"CLOSED",IF(COUNTIFS(RC_OUT[BLOCK],RC_IN[BLOCK],RC_OUT[WT],"&gt;0")&gt;0,"IN-USE",""))
</f>
        <v/>
      </c>
      <c r="B1478" s="223" t="str">
        <f>IFERROR(__xludf.DUMMYFUNCTION("IFERROR(IF(F1478&lt;&gt;"""",""WHSE ""&amp;LEFT(F1478,1),REGEXEXTRACT(E1478,""-(?:\d{2}-)?([A-Z]+)"")),"""")
"),"")</f>
        <v/>
      </c>
      <c r="C1478" s="224"/>
      <c r="D1478" s="219"/>
      <c r="E1478" s="225"/>
      <c r="F1478" s="225"/>
      <c r="G1478" s="226"/>
      <c r="H1478" s="225"/>
      <c r="I1478" s="227"/>
      <c r="J1478" s="228"/>
      <c r="K1478" s="229"/>
      <c r="L1478" s="229"/>
      <c r="M1478" s="229"/>
      <c r="N1478" s="230"/>
      <c r="O1478" s="228"/>
      <c r="P1478" s="230"/>
      <c r="Q1478" s="219"/>
      <c r="R1478" s="198"/>
      <c r="S1478" s="198"/>
      <c r="T1478" s="198"/>
      <c r="U1478" s="198"/>
      <c r="V1478" s="198"/>
      <c r="W1478" s="198"/>
      <c r="X1478" s="198"/>
    </row>
    <row r="1479" ht="12.0" customHeight="1">
      <c r="A1479" s="222" t="str">
        <f>IF(COUNTIFS(RC_OUT[BLOCK],RC_IN[BLOCK],RC_OUT[REMARKS],"*CLOSED*")&gt;0,"CLOSED",IF(COUNTIFS(RC_OUT[BLOCK],RC_IN[BLOCK],RC_OUT[WT],"&gt;0")&gt;0,"IN-USE",""))
</f>
        <v/>
      </c>
      <c r="B1479" s="223" t="str">
        <f>IFERROR(__xludf.DUMMYFUNCTION("IFERROR(IF(F1479&lt;&gt;"""",""WHSE ""&amp;LEFT(F1479,1),REGEXEXTRACT(E1479,""-(?:\d{2}-)?([A-Z]+)"")),"""")
"),"")</f>
        <v/>
      </c>
      <c r="C1479" s="224"/>
      <c r="D1479" s="219"/>
      <c r="E1479" s="225"/>
      <c r="F1479" s="225"/>
      <c r="G1479" s="226"/>
      <c r="H1479" s="225"/>
      <c r="I1479" s="227"/>
      <c r="J1479" s="228"/>
      <c r="K1479" s="229"/>
      <c r="L1479" s="229"/>
      <c r="M1479" s="229"/>
      <c r="N1479" s="230"/>
      <c r="O1479" s="228"/>
      <c r="P1479" s="230"/>
      <c r="Q1479" s="219"/>
      <c r="R1479" s="198"/>
      <c r="S1479" s="198"/>
      <c r="T1479" s="198"/>
      <c r="U1479" s="198"/>
      <c r="V1479" s="198"/>
      <c r="W1479" s="198"/>
      <c r="X1479" s="198"/>
    </row>
    <row r="1480" ht="12.0" customHeight="1">
      <c r="A1480" s="222" t="str">
        <f>IF(COUNTIFS(RC_OUT[BLOCK],RC_IN[BLOCK],RC_OUT[REMARKS],"*CLOSED*")&gt;0,"CLOSED",IF(COUNTIFS(RC_OUT[BLOCK],RC_IN[BLOCK],RC_OUT[WT],"&gt;0")&gt;0,"IN-USE",""))
</f>
        <v/>
      </c>
      <c r="B1480" s="223" t="str">
        <f>IFERROR(__xludf.DUMMYFUNCTION("IFERROR(IF(F1480&lt;&gt;"""",""WHSE ""&amp;LEFT(F1480,1),REGEXEXTRACT(E1480,""-(?:\d{2}-)?([A-Z]+)"")),"""")
"),"")</f>
        <v/>
      </c>
      <c r="C1480" s="224"/>
      <c r="D1480" s="219"/>
      <c r="E1480" s="225"/>
      <c r="F1480" s="225"/>
      <c r="G1480" s="226"/>
      <c r="H1480" s="225"/>
      <c r="I1480" s="227"/>
      <c r="J1480" s="228"/>
      <c r="K1480" s="229"/>
      <c r="L1480" s="229"/>
      <c r="M1480" s="229"/>
      <c r="N1480" s="230"/>
      <c r="O1480" s="228"/>
      <c r="P1480" s="230"/>
      <c r="Q1480" s="219"/>
      <c r="R1480" s="198"/>
      <c r="S1480" s="198"/>
      <c r="T1480" s="198"/>
      <c r="U1480" s="198"/>
      <c r="V1480" s="198"/>
      <c r="W1480" s="198"/>
      <c r="X1480" s="198"/>
    </row>
    <row r="1481" ht="12.0" customHeight="1">
      <c r="A1481" s="222" t="str">
        <f>IF(COUNTIFS(RC_OUT[BLOCK],RC_IN[BLOCK],RC_OUT[REMARKS],"*CLOSED*")&gt;0,"CLOSED",IF(COUNTIFS(RC_OUT[BLOCK],RC_IN[BLOCK],RC_OUT[WT],"&gt;0")&gt;0,"IN-USE",""))
</f>
        <v/>
      </c>
      <c r="B1481" s="223" t="str">
        <f>IFERROR(__xludf.DUMMYFUNCTION("IFERROR(IF(F1481&lt;&gt;"""",""WHSE ""&amp;LEFT(F1481,1),REGEXEXTRACT(E1481,""-(?:\d{2}-)?([A-Z]+)"")),"""")
"),"")</f>
        <v/>
      </c>
      <c r="C1481" s="224"/>
      <c r="D1481" s="219"/>
      <c r="E1481" s="225"/>
      <c r="F1481" s="225"/>
      <c r="G1481" s="226"/>
      <c r="H1481" s="225"/>
      <c r="I1481" s="227"/>
      <c r="J1481" s="228"/>
      <c r="K1481" s="229"/>
      <c r="L1481" s="229"/>
      <c r="M1481" s="229"/>
      <c r="N1481" s="230"/>
      <c r="O1481" s="228"/>
      <c r="P1481" s="230"/>
      <c r="Q1481" s="219"/>
      <c r="R1481" s="198"/>
      <c r="S1481" s="198"/>
      <c r="T1481" s="198"/>
      <c r="U1481" s="198"/>
      <c r="V1481" s="198"/>
      <c r="W1481" s="198"/>
      <c r="X1481" s="198"/>
    </row>
    <row r="1482" ht="12.0" customHeight="1">
      <c r="A1482" s="222" t="str">
        <f>IF(COUNTIFS(RC_OUT[BLOCK],RC_IN[BLOCK],RC_OUT[REMARKS],"*CLOSED*")&gt;0,"CLOSED",IF(COUNTIFS(RC_OUT[BLOCK],RC_IN[BLOCK],RC_OUT[WT],"&gt;0")&gt;0,"IN-USE",""))
</f>
        <v/>
      </c>
      <c r="B1482" s="223" t="str">
        <f>IFERROR(__xludf.DUMMYFUNCTION("IFERROR(IF(F1482&lt;&gt;"""",""WHSE ""&amp;LEFT(F1482,1),REGEXEXTRACT(E1482,""-(?:\d{2}-)?([A-Z]+)"")),"""")
"),"")</f>
        <v/>
      </c>
      <c r="C1482" s="224"/>
      <c r="D1482" s="219"/>
      <c r="E1482" s="225"/>
      <c r="F1482" s="225"/>
      <c r="G1482" s="226"/>
      <c r="H1482" s="225"/>
      <c r="I1482" s="227"/>
      <c r="J1482" s="228"/>
      <c r="K1482" s="229"/>
      <c r="L1482" s="229"/>
      <c r="M1482" s="229"/>
      <c r="N1482" s="230"/>
      <c r="O1482" s="228"/>
      <c r="P1482" s="230"/>
      <c r="Q1482" s="219"/>
      <c r="R1482" s="198"/>
      <c r="S1482" s="198"/>
      <c r="T1482" s="198"/>
      <c r="U1482" s="198"/>
      <c r="V1482" s="198"/>
      <c r="W1482" s="198"/>
      <c r="X1482" s="198"/>
    </row>
    <row r="1483" ht="12.0" customHeight="1">
      <c r="A1483" s="222" t="str">
        <f>IF(COUNTIFS(RC_OUT[BLOCK],RC_IN[BLOCK],RC_OUT[REMARKS],"*CLOSED*")&gt;0,"CLOSED",IF(COUNTIFS(RC_OUT[BLOCK],RC_IN[BLOCK],RC_OUT[WT],"&gt;0")&gt;0,"IN-USE",""))
</f>
        <v/>
      </c>
      <c r="B1483" s="223" t="str">
        <f>IFERROR(__xludf.DUMMYFUNCTION("IFERROR(IF(F1483&lt;&gt;"""",""WHSE ""&amp;LEFT(F1483,1),REGEXEXTRACT(E1483,""-(?:\d{2}-)?([A-Z]+)"")),"""")
"),"")</f>
        <v/>
      </c>
      <c r="C1483" s="224"/>
      <c r="D1483" s="219"/>
      <c r="E1483" s="225"/>
      <c r="F1483" s="225"/>
      <c r="G1483" s="226"/>
      <c r="H1483" s="225"/>
      <c r="I1483" s="227"/>
      <c r="J1483" s="228"/>
      <c r="K1483" s="229"/>
      <c r="L1483" s="229"/>
      <c r="M1483" s="229"/>
      <c r="N1483" s="230"/>
      <c r="O1483" s="228"/>
      <c r="P1483" s="230"/>
      <c r="Q1483" s="219"/>
      <c r="R1483" s="198"/>
      <c r="S1483" s="198"/>
      <c r="T1483" s="198"/>
      <c r="U1483" s="198"/>
      <c r="V1483" s="198"/>
      <c r="W1483" s="198"/>
      <c r="X1483" s="198"/>
    </row>
    <row r="1484" ht="12.0" customHeight="1">
      <c r="A1484" s="222" t="str">
        <f>IF(COUNTIFS(RC_OUT[BLOCK],RC_IN[BLOCK],RC_OUT[REMARKS],"*CLOSED*")&gt;0,"CLOSED",IF(COUNTIFS(RC_OUT[BLOCK],RC_IN[BLOCK],RC_OUT[WT],"&gt;0")&gt;0,"IN-USE",""))
</f>
        <v/>
      </c>
      <c r="B1484" s="223" t="str">
        <f>IFERROR(__xludf.DUMMYFUNCTION("IFERROR(IF(F1484&lt;&gt;"""",""WHSE ""&amp;LEFT(F1484,1),REGEXEXTRACT(E1484,""-(?:\d{2}-)?([A-Z]+)"")),"""")
"),"")</f>
        <v/>
      </c>
      <c r="C1484" s="224"/>
      <c r="D1484" s="219"/>
      <c r="E1484" s="225"/>
      <c r="F1484" s="225"/>
      <c r="G1484" s="226"/>
      <c r="H1484" s="225"/>
      <c r="I1484" s="227"/>
      <c r="J1484" s="228"/>
      <c r="K1484" s="229"/>
      <c r="L1484" s="229"/>
      <c r="M1484" s="229"/>
      <c r="N1484" s="230"/>
      <c r="O1484" s="228"/>
      <c r="P1484" s="230"/>
      <c r="Q1484" s="219"/>
      <c r="R1484" s="198"/>
      <c r="S1484" s="198"/>
      <c r="T1484" s="198"/>
      <c r="U1484" s="198"/>
      <c r="V1484" s="198"/>
      <c r="W1484" s="198"/>
      <c r="X1484" s="198"/>
    </row>
    <row r="1485" ht="12.0" customHeight="1">
      <c r="A1485" s="222" t="str">
        <f>IF(COUNTIFS(RC_OUT[BLOCK],RC_IN[BLOCK],RC_OUT[REMARKS],"*CLOSED*")&gt;0,"CLOSED",IF(COUNTIFS(RC_OUT[BLOCK],RC_IN[BLOCK],RC_OUT[WT],"&gt;0")&gt;0,"IN-USE",""))
</f>
        <v/>
      </c>
      <c r="B1485" s="223" t="str">
        <f>IFERROR(__xludf.DUMMYFUNCTION("IFERROR(IF(F1485&lt;&gt;"""",""WHSE ""&amp;LEFT(F1485,1),REGEXEXTRACT(E1485,""-(?:\d{2}-)?([A-Z]+)"")),"""")
"),"")</f>
        <v/>
      </c>
      <c r="C1485" s="224"/>
      <c r="D1485" s="219"/>
      <c r="E1485" s="225"/>
      <c r="F1485" s="225"/>
      <c r="G1485" s="226"/>
      <c r="H1485" s="225"/>
      <c r="I1485" s="227"/>
      <c r="J1485" s="228"/>
      <c r="K1485" s="229"/>
      <c r="L1485" s="229"/>
      <c r="M1485" s="229"/>
      <c r="N1485" s="230"/>
      <c r="O1485" s="228"/>
      <c r="P1485" s="230"/>
      <c r="Q1485" s="219"/>
      <c r="R1485" s="198"/>
      <c r="S1485" s="198"/>
      <c r="T1485" s="198"/>
      <c r="U1485" s="198"/>
      <c r="V1485" s="198"/>
      <c r="W1485" s="198"/>
      <c r="X1485" s="198"/>
    </row>
    <row r="1486" ht="12.0" customHeight="1">
      <c r="A1486" s="222" t="str">
        <f>IF(COUNTIFS(RC_OUT[BLOCK],RC_IN[BLOCK],RC_OUT[REMARKS],"*CLOSED*")&gt;0,"CLOSED",IF(COUNTIFS(RC_OUT[BLOCK],RC_IN[BLOCK],RC_OUT[WT],"&gt;0")&gt;0,"IN-USE",""))
</f>
        <v/>
      </c>
      <c r="B1486" s="223" t="str">
        <f>IFERROR(__xludf.DUMMYFUNCTION("IFERROR(IF(F1486&lt;&gt;"""",""WHSE ""&amp;LEFT(F1486,1),REGEXEXTRACT(E1486,""-(?:\d{2}-)?([A-Z]+)"")),"""")
"),"")</f>
        <v/>
      </c>
      <c r="C1486" s="224"/>
      <c r="D1486" s="219"/>
      <c r="E1486" s="225"/>
      <c r="F1486" s="225"/>
      <c r="G1486" s="226"/>
      <c r="H1486" s="225"/>
      <c r="I1486" s="227"/>
      <c r="J1486" s="228"/>
      <c r="K1486" s="229"/>
      <c r="L1486" s="229"/>
      <c r="M1486" s="229"/>
      <c r="N1486" s="230"/>
      <c r="O1486" s="228"/>
      <c r="P1486" s="230"/>
      <c r="Q1486" s="219"/>
      <c r="R1486" s="198"/>
      <c r="S1486" s="198"/>
      <c r="T1486" s="198"/>
      <c r="U1486" s="198"/>
      <c r="V1486" s="198"/>
      <c r="W1486" s="198"/>
      <c r="X1486" s="198"/>
    </row>
    <row r="1487" ht="12.0" customHeight="1">
      <c r="A1487" s="222" t="str">
        <f>IF(COUNTIFS(RC_OUT[BLOCK],RC_IN[BLOCK],RC_OUT[REMARKS],"*CLOSED*")&gt;0,"CLOSED",IF(COUNTIFS(RC_OUT[BLOCK],RC_IN[BLOCK],RC_OUT[WT],"&gt;0")&gt;0,"IN-USE",""))
</f>
        <v/>
      </c>
      <c r="B1487" s="223" t="str">
        <f>IFERROR(__xludf.DUMMYFUNCTION("IFERROR(IF(F1487&lt;&gt;"""",""WHSE ""&amp;LEFT(F1487,1),REGEXEXTRACT(E1487,""-(?:\d{2}-)?([A-Z]+)"")),"""")
"),"")</f>
        <v/>
      </c>
      <c r="C1487" s="224"/>
      <c r="D1487" s="219"/>
      <c r="E1487" s="225"/>
      <c r="F1487" s="225"/>
      <c r="G1487" s="226"/>
      <c r="H1487" s="225"/>
      <c r="I1487" s="227"/>
      <c r="J1487" s="228"/>
      <c r="K1487" s="229"/>
      <c r="L1487" s="229"/>
      <c r="M1487" s="229"/>
      <c r="N1487" s="230"/>
      <c r="O1487" s="228"/>
      <c r="P1487" s="230"/>
      <c r="Q1487" s="219"/>
      <c r="R1487" s="198"/>
      <c r="S1487" s="198"/>
      <c r="T1487" s="198"/>
      <c r="U1487" s="198"/>
      <c r="V1487" s="198"/>
      <c r="W1487" s="198"/>
      <c r="X1487" s="198"/>
    </row>
    <row r="1488" ht="12.0" customHeight="1">
      <c r="A1488" s="222" t="str">
        <f>IF(COUNTIFS(RC_OUT[BLOCK],RC_IN[BLOCK],RC_OUT[REMARKS],"*CLOSED*")&gt;0,"CLOSED",IF(COUNTIFS(RC_OUT[BLOCK],RC_IN[BLOCK],RC_OUT[WT],"&gt;0")&gt;0,"IN-USE",""))
</f>
        <v/>
      </c>
      <c r="B1488" s="223" t="str">
        <f>IFERROR(__xludf.DUMMYFUNCTION("IFERROR(IF(F1488&lt;&gt;"""",""WHSE ""&amp;LEFT(F1488,1),REGEXEXTRACT(E1488,""-(?:\d{2}-)?([A-Z]+)"")),"""")
"),"")</f>
        <v/>
      </c>
      <c r="C1488" s="224"/>
      <c r="D1488" s="219"/>
      <c r="E1488" s="225"/>
      <c r="F1488" s="225"/>
      <c r="G1488" s="226"/>
      <c r="H1488" s="225"/>
      <c r="I1488" s="227"/>
      <c r="J1488" s="228"/>
      <c r="K1488" s="229"/>
      <c r="L1488" s="229"/>
      <c r="M1488" s="229"/>
      <c r="N1488" s="230"/>
      <c r="O1488" s="228"/>
      <c r="P1488" s="230"/>
      <c r="Q1488" s="219"/>
      <c r="R1488" s="198"/>
      <c r="S1488" s="198"/>
      <c r="T1488" s="198"/>
      <c r="U1488" s="198"/>
      <c r="V1488" s="198"/>
      <c r="W1488" s="198"/>
      <c r="X1488" s="198"/>
    </row>
    <row r="1489" ht="12.0" customHeight="1">
      <c r="A1489" s="222" t="str">
        <f>IF(COUNTIFS(RC_OUT[BLOCK],RC_IN[BLOCK],RC_OUT[REMARKS],"*CLOSED*")&gt;0,"CLOSED",IF(COUNTIFS(RC_OUT[BLOCK],RC_IN[BLOCK],RC_OUT[WT],"&gt;0")&gt;0,"IN-USE",""))
</f>
        <v/>
      </c>
      <c r="B1489" s="223" t="str">
        <f>IFERROR(__xludf.DUMMYFUNCTION("IFERROR(IF(F1489&lt;&gt;"""",""WHSE ""&amp;LEFT(F1489,1),REGEXEXTRACT(E1489,""-(?:\d{2}-)?([A-Z]+)"")),"""")
"),"")</f>
        <v/>
      </c>
      <c r="C1489" s="224"/>
      <c r="D1489" s="219"/>
      <c r="E1489" s="225"/>
      <c r="F1489" s="225"/>
      <c r="G1489" s="226"/>
      <c r="H1489" s="225"/>
      <c r="I1489" s="227"/>
      <c r="J1489" s="228"/>
      <c r="K1489" s="229"/>
      <c r="L1489" s="229"/>
      <c r="M1489" s="229"/>
      <c r="N1489" s="230"/>
      <c r="O1489" s="228"/>
      <c r="P1489" s="230"/>
      <c r="Q1489" s="219"/>
      <c r="R1489" s="198"/>
      <c r="S1489" s="198"/>
      <c r="T1489" s="198"/>
      <c r="U1489" s="198"/>
      <c r="V1489" s="198"/>
      <c r="W1489" s="198"/>
      <c r="X1489" s="198"/>
    </row>
    <row r="1490" ht="12.0" customHeight="1">
      <c r="A1490" s="222" t="str">
        <f>IF(COUNTIFS(RC_OUT[BLOCK],RC_IN[BLOCK],RC_OUT[REMARKS],"*CLOSED*")&gt;0,"CLOSED",IF(COUNTIFS(RC_OUT[BLOCK],RC_IN[BLOCK],RC_OUT[WT],"&gt;0")&gt;0,"IN-USE",""))
</f>
        <v/>
      </c>
      <c r="B1490" s="223" t="str">
        <f>IFERROR(__xludf.DUMMYFUNCTION("IFERROR(IF(F1490&lt;&gt;"""",""WHSE ""&amp;LEFT(F1490,1),REGEXEXTRACT(E1490,""-(?:\d{2}-)?([A-Z]+)"")),"""")
"),"")</f>
        <v/>
      </c>
      <c r="C1490" s="224"/>
      <c r="D1490" s="219"/>
      <c r="E1490" s="225"/>
      <c r="F1490" s="225"/>
      <c r="G1490" s="226"/>
      <c r="H1490" s="225"/>
      <c r="I1490" s="227"/>
      <c r="J1490" s="228"/>
      <c r="K1490" s="229"/>
      <c r="L1490" s="229"/>
      <c r="M1490" s="229"/>
      <c r="N1490" s="230"/>
      <c r="O1490" s="228"/>
      <c r="P1490" s="230"/>
      <c r="Q1490" s="219"/>
      <c r="R1490" s="198"/>
      <c r="S1490" s="198"/>
      <c r="T1490" s="198"/>
      <c r="U1490" s="198"/>
      <c r="V1490" s="198"/>
      <c r="W1490" s="198"/>
      <c r="X1490" s="198"/>
    </row>
    <row r="1491" ht="12.0" customHeight="1">
      <c r="A1491" s="222" t="str">
        <f>IF(COUNTIFS(RC_OUT[BLOCK],RC_IN[BLOCK],RC_OUT[REMARKS],"*CLOSED*")&gt;0,"CLOSED",IF(COUNTIFS(RC_OUT[BLOCK],RC_IN[BLOCK],RC_OUT[WT],"&gt;0")&gt;0,"IN-USE",""))
</f>
        <v/>
      </c>
      <c r="B1491" s="223" t="str">
        <f>IFERROR(__xludf.DUMMYFUNCTION("IFERROR(IF(F1491&lt;&gt;"""",""WHSE ""&amp;LEFT(F1491,1),REGEXEXTRACT(E1491,""-(?:\d{2}-)?([A-Z]+)"")),"""")
"),"")</f>
        <v/>
      </c>
      <c r="C1491" s="224"/>
      <c r="D1491" s="219"/>
      <c r="E1491" s="225"/>
      <c r="F1491" s="225"/>
      <c r="G1491" s="226"/>
      <c r="H1491" s="225"/>
      <c r="I1491" s="227"/>
      <c r="J1491" s="228"/>
      <c r="K1491" s="229"/>
      <c r="L1491" s="229"/>
      <c r="M1491" s="229"/>
      <c r="N1491" s="230"/>
      <c r="O1491" s="228"/>
      <c r="P1491" s="230"/>
      <c r="Q1491" s="219"/>
      <c r="R1491" s="198"/>
      <c r="S1491" s="198"/>
      <c r="T1491" s="198"/>
      <c r="U1491" s="198"/>
      <c r="V1491" s="198"/>
      <c r="W1491" s="198"/>
      <c r="X1491" s="198"/>
    </row>
    <row r="1492" ht="12.0" customHeight="1">
      <c r="A1492" s="222" t="str">
        <f>IF(COUNTIFS(RC_OUT[BLOCK],RC_IN[BLOCK],RC_OUT[REMARKS],"*CLOSED*")&gt;0,"CLOSED",IF(COUNTIFS(RC_OUT[BLOCK],RC_IN[BLOCK],RC_OUT[WT],"&gt;0")&gt;0,"IN-USE",""))
</f>
        <v/>
      </c>
      <c r="B1492" s="223" t="str">
        <f>IFERROR(__xludf.DUMMYFUNCTION("IFERROR(IF(F1492&lt;&gt;"""",""WHSE ""&amp;LEFT(F1492,1),REGEXEXTRACT(E1492,""-(?:\d{2}-)?([A-Z]+)"")),"""")
"),"")</f>
        <v/>
      </c>
      <c r="C1492" s="224"/>
      <c r="D1492" s="219"/>
      <c r="E1492" s="225"/>
      <c r="F1492" s="225"/>
      <c r="G1492" s="226"/>
      <c r="H1492" s="225"/>
      <c r="I1492" s="227"/>
      <c r="J1492" s="228"/>
      <c r="K1492" s="229"/>
      <c r="L1492" s="229"/>
      <c r="M1492" s="229"/>
      <c r="N1492" s="230"/>
      <c r="O1492" s="228"/>
      <c r="P1492" s="230"/>
      <c r="Q1492" s="219"/>
      <c r="R1492" s="198"/>
      <c r="S1492" s="198"/>
      <c r="T1492" s="198"/>
      <c r="U1492" s="198"/>
      <c r="V1492" s="198"/>
      <c r="W1492" s="198"/>
      <c r="X1492" s="198"/>
    </row>
    <row r="1493" ht="12.0" customHeight="1">
      <c r="A1493" s="222" t="str">
        <f>IF(COUNTIFS(RC_OUT[BLOCK],RC_IN[BLOCK],RC_OUT[REMARKS],"*CLOSED*")&gt;0,"CLOSED",IF(COUNTIFS(RC_OUT[BLOCK],RC_IN[BLOCK],RC_OUT[WT],"&gt;0")&gt;0,"IN-USE",""))
</f>
        <v/>
      </c>
      <c r="B1493" s="223" t="str">
        <f>IFERROR(__xludf.DUMMYFUNCTION("IFERROR(IF(F1493&lt;&gt;"""",""WHSE ""&amp;LEFT(F1493,1),REGEXEXTRACT(E1493,""-(?:\d{2}-)?([A-Z]+)"")),"""")
"),"")</f>
        <v/>
      </c>
      <c r="C1493" s="224"/>
      <c r="D1493" s="219"/>
      <c r="E1493" s="225"/>
      <c r="F1493" s="225"/>
      <c r="G1493" s="226"/>
      <c r="H1493" s="225"/>
      <c r="I1493" s="227"/>
      <c r="J1493" s="228"/>
      <c r="K1493" s="229"/>
      <c r="L1493" s="229"/>
      <c r="M1493" s="229"/>
      <c r="N1493" s="230"/>
      <c r="O1493" s="228"/>
      <c r="P1493" s="230"/>
      <c r="Q1493" s="219"/>
      <c r="R1493" s="198"/>
      <c r="S1493" s="198"/>
      <c r="T1493" s="198"/>
      <c r="U1493" s="198"/>
      <c r="V1493" s="198"/>
      <c r="W1493" s="198"/>
      <c r="X1493" s="198"/>
    </row>
    <row r="1494" ht="12.0" customHeight="1">
      <c r="A1494" s="222" t="str">
        <f>IF(COUNTIFS(RC_OUT[BLOCK],RC_IN[BLOCK],RC_OUT[REMARKS],"*CLOSED*")&gt;0,"CLOSED",IF(COUNTIFS(RC_OUT[BLOCK],RC_IN[BLOCK],RC_OUT[WT],"&gt;0")&gt;0,"IN-USE",""))
</f>
        <v/>
      </c>
      <c r="B1494" s="223" t="str">
        <f>IFERROR(__xludf.DUMMYFUNCTION("IFERROR(IF(F1494&lt;&gt;"""",""WHSE ""&amp;LEFT(F1494,1),REGEXEXTRACT(E1494,""-(?:\d{2}-)?([A-Z]+)"")),"""")
"),"")</f>
        <v/>
      </c>
      <c r="C1494" s="224"/>
      <c r="D1494" s="219"/>
      <c r="E1494" s="225"/>
      <c r="F1494" s="225"/>
      <c r="G1494" s="226"/>
      <c r="H1494" s="225"/>
      <c r="I1494" s="227"/>
      <c r="J1494" s="228"/>
      <c r="K1494" s="229"/>
      <c r="L1494" s="229"/>
      <c r="M1494" s="229"/>
      <c r="N1494" s="230"/>
      <c r="O1494" s="228"/>
      <c r="P1494" s="230"/>
      <c r="Q1494" s="219"/>
      <c r="R1494" s="198"/>
      <c r="S1494" s="198"/>
      <c r="T1494" s="198"/>
      <c r="U1494" s="198"/>
      <c r="V1494" s="198"/>
      <c r="W1494" s="198"/>
      <c r="X1494" s="198"/>
    </row>
    <row r="1495" ht="12.0" customHeight="1">
      <c r="A1495" s="222" t="str">
        <f>IF(COUNTIFS(RC_OUT[BLOCK],RC_IN[BLOCK],RC_OUT[REMARKS],"*CLOSED*")&gt;0,"CLOSED",IF(COUNTIFS(RC_OUT[BLOCK],RC_IN[BLOCK],RC_OUT[WT],"&gt;0")&gt;0,"IN-USE",""))
</f>
        <v/>
      </c>
      <c r="B1495" s="223" t="str">
        <f>IFERROR(__xludf.DUMMYFUNCTION("IFERROR(IF(F1495&lt;&gt;"""",""WHSE ""&amp;LEFT(F1495,1),REGEXEXTRACT(E1495,""-(?:\d{2}-)?([A-Z]+)"")),"""")
"),"")</f>
        <v/>
      </c>
      <c r="C1495" s="224"/>
      <c r="D1495" s="219"/>
      <c r="E1495" s="225"/>
      <c r="F1495" s="225"/>
      <c r="G1495" s="226"/>
      <c r="H1495" s="225"/>
      <c r="I1495" s="227"/>
      <c r="J1495" s="228"/>
      <c r="K1495" s="229"/>
      <c r="L1495" s="229"/>
      <c r="M1495" s="229"/>
      <c r="N1495" s="230"/>
      <c r="O1495" s="228"/>
      <c r="P1495" s="230"/>
      <c r="Q1495" s="219"/>
      <c r="R1495" s="198"/>
      <c r="S1495" s="198"/>
      <c r="T1495" s="198"/>
      <c r="U1495" s="198"/>
      <c r="V1495" s="198"/>
      <c r="W1495" s="198"/>
      <c r="X1495" s="198"/>
    </row>
    <row r="1496" ht="12.0" customHeight="1">
      <c r="A1496" s="222" t="str">
        <f>IF(COUNTIFS(RC_OUT[BLOCK],RC_IN[BLOCK],RC_OUT[REMARKS],"*CLOSED*")&gt;0,"CLOSED",IF(COUNTIFS(RC_OUT[BLOCK],RC_IN[BLOCK],RC_OUT[WT],"&gt;0")&gt;0,"IN-USE",""))
</f>
        <v/>
      </c>
      <c r="B1496" s="223" t="str">
        <f>IFERROR(__xludf.DUMMYFUNCTION("IFERROR(IF(F1496&lt;&gt;"""",""WHSE ""&amp;LEFT(F1496,1),REGEXEXTRACT(E1496,""-(?:\d{2}-)?([A-Z]+)"")),"""")
"),"")</f>
        <v/>
      </c>
      <c r="C1496" s="224"/>
      <c r="D1496" s="219"/>
      <c r="E1496" s="225"/>
      <c r="F1496" s="225"/>
      <c r="G1496" s="226"/>
      <c r="H1496" s="225"/>
      <c r="I1496" s="227"/>
      <c r="J1496" s="228"/>
      <c r="K1496" s="229"/>
      <c r="L1496" s="229"/>
      <c r="M1496" s="229"/>
      <c r="N1496" s="230"/>
      <c r="O1496" s="228"/>
      <c r="P1496" s="230"/>
      <c r="Q1496" s="219"/>
      <c r="R1496" s="198"/>
      <c r="S1496" s="198"/>
      <c r="T1496" s="198"/>
      <c r="U1496" s="198"/>
      <c r="V1496" s="198"/>
      <c r="W1496" s="198"/>
      <c r="X1496" s="198"/>
    </row>
    <row r="1497" ht="12.0" customHeight="1">
      <c r="A1497" s="222" t="str">
        <f>IF(COUNTIFS(RC_OUT[BLOCK],RC_IN[BLOCK],RC_OUT[REMARKS],"*CLOSED*")&gt;0,"CLOSED",IF(COUNTIFS(RC_OUT[BLOCK],RC_IN[BLOCK],RC_OUT[WT],"&gt;0")&gt;0,"IN-USE",""))
</f>
        <v/>
      </c>
      <c r="B1497" s="223" t="str">
        <f>IFERROR(__xludf.DUMMYFUNCTION("IFERROR(IF(F1497&lt;&gt;"""",""WHSE ""&amp;LEFT(F1497,1),REGEXEXTRACT(E1497,""-(?:\d{2}-)?([A-Z]+)"")),"""")
"),"")</f>
        <v/>
      </c>
      <c r="C1497" s="224"/>
      <c r="D1497" s="219"/>
      <c r="E1497" s="225"/>
      <c r="F1497" s="225"/>
      <c r="G1497" s="226"/>
      <c r="H1497" s="225"/>
      <c r="I1497" s="227"/>
      <c r="J1497" s="228"/>
      <c r="K1497" s="229"/>
      <c r="L1497" s="229"/>
      <c r="M1497" s="229"/>
      <c r="N1497" s="230"/>
      <c r="O1497" s="228"/>
      <c r="P1497" s="230"/>
      <c r="Q1497" s="219"/>
      <c r="R1497" s="198"/>
      <c r="S1497" s="198"/>
      <c r="T1497" s="198"/>
      <c r="U1497" s="198"/>
      <c r="V1497" s="198"/>
      <c r="W1497" s="198"/>
      <c r="X1497" s="198"/>
    </row>
    <row r="1498" ht="12.0" customHeight="1">
      <c r="A1498" s="222" t="str">
        <f>IF(COUNTIFS(RC_OUT[BLOCK],RC_IN[BLOCK],RC_OUT[REMARKS],"*CLOSED*")&gt;0,"CLOSED",IF(COUNTIFS(RC_OUT[BLOCK],RC_IN[BLOCK],RC_OUT[WT],"&gt;0")&gt;0,"IN-USE",""))
</f>
        <v/>
      </c>
      <c r="B1498" s="223" t="str">
        <f>IFERROR(__xludf.DUMMYFUNCTION("IFERROR(IF(F1498&lt;&gt;"""",""WHSE ""&amp;LEFT(F1498,1),REGEXEXTRACT(E1498,""-(?:\d{2}-)?([A-Z]+)"")),"""")
"),"")</f>
        <v/>
      </c>
      <c r="C1498" s="224"/>
      <c r="D1498" s="219"/>
      <c r="E1498" s="225"/>
      <c r="F1498" s="225"/>
      <c r="G1498" s="226"/>
      <c r="H1498" s="225"/>
      <c r="I1498" s="227"/>
      <c r="J1498" s="228"/>
      <c r="K1498" s="229"/>
      <c r="L1498" s="229"/>
      <c r="M1498" s="229"/>
      <c r="N1498" s="230"/>
      <c r="O1498" s="228"/>
      <c r="P1498" s="230"/>
      <c r="Q1498" s="219"/>
      <c r="R1498" s="198"/>
      <c r="S1498" s="198"/>
      <c r="T1498" s="198"/>
      <c r="U1498" s="198"/>
      <c r="V1498" s="198"/>
      <c r="W1498" s="198"/>
      <c r="X1498" s="198"/>
    </row>
    <row r="1499" ht="12.0" customHeight="1">
      <c r="A1499" s="222" t="str">
        <f>IF(COUNTIFS(RC_OUT[BLOCK],RC_IN[BLOCK],RC_OUT[REMARKS],"*CLOSED*")&gt;0,"CLOSED",IF(COUNTIFS(RC_OUT[BLOCK],RC_IN[BLOCK],RC_OUT[WT],"&gt;0")&gt;0,"IN-USE",""))
</f>
        <v/>
      </c>
      <c r="B1499" s="223" t="str">
        <f>IFERROR(__xludf.DUMMYFUNCTION("IFERROR(IF(F1499&lt;&gt;"""",""WHSE ""&amp;LEFT(F1499,1),REGEXEXTRACT(E1499,""-(?:\d{2}-)?([A-Z]+)"")),"""")
"),"")</f>
        <v/>
      </c>
      <c r="C1499" s="224"/>
      <c r="D1499" s="219"/>
      <c r="E1499" s="225"/>
      <c r="F1499" s="225"/>
      <c r="G1499" s="226"/>
      <c r="H1499" s="225"/>
      <c r="I1499" s="227"/>
      <c r="J1499" s="228"/>
      <c r="K1499" s="229"/>
      <c r="L1499" s="229"/>
      <c r="M1499" s="229"/>
      <c r="N1499" s="230"/>
      <c r="O1499" s="228"/>
      <c r="P1499" s="230"/>
      <c r="Q1499" s="219"/>
      <c r="R1499" s="198"/>
      <c r="S1499" s="198"/>
      <c r="T1499" s="198"/>
      <c r="U1499" s="198"/>
      <c r="V1499" s="198"/>
      <c r="W1499" s="198"/>
      <c r="X1499" s="198"/>
    </row>
    <row r="1500" ht="12.0" customHeight="1">
      <c r="A1500" s="222" t="str">
        <f>IF(COUNTIFS(RC_OUT[BLOCK],RC_IN[BLOCK],RC_OUT[REMARKS],"*CLOSED*")&gt;0,"CLOSED",IF(COUNTIFS(RC_OUT[BLOCK],RC_IN[BLOCK],RC_OUT[WT],"&gt;0")&gt;0,"IN-USE",""))
</f>
        <v/>
      </c>
      <c r="B1500" s="223" t="str">
        <f>IFERROR(__xludf.DUMMYFUNCTION("IFERROR(IF(F1500&lt;&gt;"""",""WHSE ""&amp;LEFT(F1500,1),REGEXEXTRACT(E1500,""-(?:\d{2}-)?([A-Z]+)"")),"""")
"),"")</f>
        <v/>
      </c>
      <c r="C1500" s="224"/>
      <c r="D1500" s="219"/>
      <c r="E1500" s="225"/>
      <c r="F1500" s="225"/>
      <c r="G1500" s="226"/>
      <c r="H1500" s="225"/>
      <c r="I1500" s="227"/>
      <c r="J1500" s="228"/>
      <c r="K1500" s="229"/>
      <c r="L1500" s="229"/>
      <c r="M1500" s="229"/>
      <c r="N1500" s="230"/>
      <c r="O1500" s="228"/>
      <c r="P1500" s="230"/>
      <c r="Q1500" s="219"/>
      <c r="R1500" s="198"/>
      <c r="S1500" s="198"/>
      <c r="T1500" s="198"/>
      <c r="U1500" s="198"/>
      <c r="V1500" s="198"/>
      <c r="W1500" s="198"/>
      <c r="X1500" s="198"/>
    </row>
    <row r="1501" ht="12.0" customHeight="1">
      <c r="A1501" s="222" t="str">
        <f>IF(COUNTIFS(RC_OUT[BLOCK],RC_IN[BLOCK],RC_OUT[REMARKS],"*CLOSED*")&gt;0,"CLOSED",IF(COUNTIFS(RC_OUT[BLOCK],RC_IN[BLOCK],RC_OUT[WT],"&gt;0")&gt;0,"IN-USE",""))
</f>
        <v/>
      </c>
      <c r="B1501" s="223" t="str">
        <f>IFERROR(__xludf.DUMMYFUNCTION("IFERROR(IF(F1501&lt;&gt;"""",""WHSE ""&amp;LEFT(F1501,1),REGEXEXTRACT(E1501,""-(?:\d{2}-)?([A-Z]+)"")),"""")
"),"")</f>
        <v/>
      </c>
      <c r="C1501" s="224"/>
      <c r="D1501" s="219"/>
      <c r="E1501" s="225"/>
      <c r="F1501" s="225"/>
      <c r="G1501" s="226"/>
      <c r="H1501" s="225"/>
      <c r="I1501" s="227"/>
      <c r="J1501" s="228"/>
      <c r="K1501" s="229"/>
      <c r="L1501" s="229"/>
      <c r="M1501" s="229"/>
      <c r="N1501" s="230"/>
      <c r="O1501" s="228"/>
      <c r="P1501" s="230"/>
      <c r="Q1501" s="219"/>
      <c r="R1501" s="198"/>
      <c r="S1501" s="198"/>
      <c r="T1501" s="198"/>
      <c r="U1501" s="198"/>
      <c r="V1501" s="198"/>
      <c r="W1501" s="198"/>
      <c r="X1501" s="198"/>
    </row>
    <row r="1502" ht="12.0" customHeight="1">
      <c r="A1502" s="222" t="str">
        <f>IF(COUNTIFS(RC_OUT[BLOCK],RC_IN[BLOCK],RC_OUT[REMARKS],"*CLOSED*")&gt;0,"CLOSED",IF(COUNTIFS(RC_OUT[BLOCK],RC_IN[BLOCK],RC_OUT[WT],"&gt;0")&gt;0,"IN-USE",""))
</f>
        <v/>
      </c>
      <c r="B1502" s="223" t="str">
        <f>IFERROR(__xludf.DUMMYFUNCTION("IFERROR(IF(F1502&lt;&gt;"""",""WHSE ""&amp;LEFT(F1502,1),REGEXEXTRACT(E1502,""-(?:\d{2}-)?([A-Z]+)"")),"""")
"),"")</f>
        <v/>
      </c>
      <c r="C1502" s="224"/>
      <c r="D1502" s="219"/>
      <c r="E1502" s="225"/>
      <c r="F1502" s="225"/>
      <c r="G1502" s="226"/>
      <c r="H1502" s="225"/>
      <c r="I1502" s="227"/>
      <c r="J1502" s="228"/>
      <c r="K1502" s="229"/>
      <c r="L1502" s="229"/>
      <c r="M1502" s="229"/>
      <c r="N1502" s="230"/>
      <c r="O1502" s="228"/>
      <c r="P1502" s="230"/>
      <c r="Q1502" s="219"/>
      <c r="R1502" s="198"/>
      <c r="S1502" s="198"/>
      <c r="T1502" s="198"/>
      <c r="U1502" s="198"/>
      <c r="V1502" s="198"/>
      <c r="W1502" s="198"/>
      <c r="X1502" s="198"/>
    </row>
    <row r="1503" ht="12.0" customHeight="1">
      <c r="A1503" s="222" t="str">
        <f>IF(COUNTIFS(RC_OUT[BLOCK],RC_IN[BLOCK],RC_OUT[REMARKS],"*CLOSED*")&gt;0,"CLOSED",IF(COUNTIFS(RC_OUT[BLOCK],RC_IN[BLOCK],RC_OUT[WT],"&gt;0")&gt;0,"IN-USE",""))
</f>
        <v/>
      </c>
      <c r="B1503" s="223" t="str">
        <f>IFERROR(__xludf.DUMMYFUNCTION("IFERROR(IF(F1503&lt;&gt;"""",""WHSE ""&amp;LEFT(F1503,1),REGEXEXTRACT(E1503,""-(?:\d{2}-)?([A-Z]+)"")),"""")
"),"")</f>
        <v/>
      </c>
      <c r="C1503" s="224"/>
      <c r="D1503" s="219"/>
      <c r="E1503" s="225"/>
      <c r="F1503" s="225"/>
      <c r="G1503" s="226"/>
      <c r="H1503" s="225"/>
      <c r="I1503" s="227"/>
      <c r="J1503" s="228"/>
      <c r="K1503" s="229"/>
      <c r="L1503" s="229"/>
      <c r="M1503" s="229"/>
      <c r="N1503" s="230"/>
      <c r="O1503" s="228"/>
      <c r="P1503" s="230"/>
      <c r="Q1503" s="219"/>
      <c r="R1503" s="198"/>
      <c r="S1503" s="198"/>
      <c r="T1503" s="198"/>
      <c r="U1503" s="198"/>
      <c r="V1503" s="198"/>
      <c r="W1503" s="198"/>
      <c r="X1503" s="198"/>
    </row>
    <row r="1504" ht="12.0" customHeight="1">
      <c r="A1504" s="222" t="str">
        <f>IF(COUNTIFS(RC_OUT[BLOCK],RC_IN[BLOCK],RC_OUT[REMARKS],"*CLOSED*")&gt;0,"CLOSED",IF(COUNTIFS(RC_OUT[BLOCK],RC_IN[BLOCK],RC_OUT[WT],"&gt;0")&gt;0,"IN-USE",""))
</f>
        <v/>
      </c>
      <c r="B1504" s="223" t="str">
        <f>IFERROR(__xludf.DUMMYFUNCTION("IFERROR(IF(F1504&lt;&gt;"""",""WHSE ""&amp;LEFT(F1504,1),REGEXEXTRACT(E1504,""-(?:\d{2}-)?([A-Z]+)"")),"""")
"),"")</f>
        <v/>
      </c>
      <c r="C1504" s="224"/>
      <c r="D1504" s="219"/>
      <c r="E1504" s="225"/>
      <c r="F1504" s="225"/>
      <c r="G1504" s="226"/>
      <c r="H1504" s="225"/>
      <c r="I1504" s="227"/>
      <c r="J1504" s="228"/>
      <c r="K1504" s="229"/>
      <c r="L1504" s="229"/>
      <c r="M1504" s="229"/>
      <c r="N1504" s="230"/>
      <c r="O1504" s="228"/>
      <c r="P1504" s="230"/>
      <c r="Q1504" s="219"/>
      <c r="R1504" s="198"/>
      <c r="S1504" s="198"/>
      <c r="T1504" s="198"/>
      <c r="U1504" s="198"/>
      <c r="V1504" s="198"/>
      <c r="W1504" s="198"/>
      <c r="X1504" s="198"/>
    </row>
    <row r="1505" ht="12.0" customHeight="1">
      <c r="A1505" s="222" t="str">
        <f>IF(COUNTIFS(RC_OUT[BLOCK],RC_IN[BLOCK],RC_OUT[REMARKS],"*CLOSED*")&gt;0,"CLOSED",IF(COUNTIFS(RC_OUT[BLOCK],RC_IN[BLOCK],RC_OUT[WT],"&gt;0")&gt;0,"IN-USE",""))
</f>
        <v/>
      </c>
      <c r="B1505" s="223" t="str">
        <f>IFERROR(__xludf.DUMMYFUNCTION("IFERROR(IF(F1505&lt;&gt;"""",""WHSE ""&amp;LEFT(F1505,1),REGEXEXTRACT(E1505,""-(?:\d{2}-)?([A-Z]+)"")),"""")
"),"")</f>
        <v/>
      </c>
      <c r="C1505" s="224"/>
      <c r="D1505" s="219"/>
      <c r="E1505" s="225"/>
      <c r="F1505" s="225"/>
      <c r="G1505" s="226"/>
      <c r="H1505" s="225"/>
      <c r="I1505" s="227"/>
      <c r="J1505" s="228"/>
      <c r="K1505" s="229"/>
      <c r="L1505" s="229"/>
      <c r="M1505" s="229"/>
      <c r="N1505" s="230"/>
      <c r="O1505" s="228"/>
      <c r="P1505" s="230"/>
      <c r="Q1505" s="219"/>
      <c r="R1505" s="198"/>
      <c r="S1505" s="198"/>
      <c r="T1505" s="198"/>
      <c r="U1505" s="198"/>
      <c r="V1505" s="198"/>
      <c r="W1505" s="198"/>
      <c r="X1505" s="198"/>
    </row>
    <row r="1506" ht="12.0" customHeight="1">
      <c r="A1506" s="222" t="str">
        <f>IF(COUNTIFS(RC_OUT[BLOCK],RC_IN[BLOCK],RC_OUT[REMARKS],"*CLOSED*")&gt;0,"CLOSED",IF(COUNTIFS(RC_OUT[BLOCK],RC_IN[BLOCK],RC_OUT[WT],"&gt;0")&gt;0,"IN-USE",""))
</f>
        <v/>
      </c>
      <c r="B1506" s="223" t="str">
        <f>IFERROR(__xludf.DUMMYFUNCTION("IFERROR(IF(F1506&lt;&gt;"""",""WHSE ""&amp;LEFT(F1506,1),REGEXEXTRACT(E1506,""-(?:\d{2}-)?([A-Z]+)"")),"""")
"),"")</f>
        <v/>
      </c>
      <c r="C1506" s="224"/>
      <c r="D1506" s="219"/>
      <c r="E1506" s="225"/>
      <c r="F1506" s="225"/>
      <c r="G1506" s="226"/>
      <c r="H1506" s="225"/>
      <c r="I1506" s="227"/>
      <c r="J1506" s="228"/>
      <c r="K1506" s="229"/>
      <c r="L1506" s="229"/>
      <c r="M1506" s="229"/>
      <c r="N1506" s="230"/>
      <c r="O1506" s="228"/>
      <c r="P1506" s="230"/>
      <c r="Q1506" s="219"/>
      <c r="R1506" s="198"/>
      <c r="S1506" s="198"/>
      <c r="T1506" s="198"/>
      <c r="U1506" s="198"/>
      <c r="V1506" s="198"/>
      <c r="W1506" s="198"/>
      <c r="X1506" s="198"/>
    </row>
    <row r="1507" ht="12.0" customHeight="1">
      <c r="A1507" s="222" t="str">
        <f>IF(COUNTIFS(RC_OUT[BLOCK],RC_IN[BLOCK],RC_OUT[REMARKS],"*CLOSED*")&gt;0,"CLOSED",IF(COUNTIFS(RC_OUT[BLOCK],RC_IN[BLOCK],RC_OUT[WT],"&gt;0")&gt;0,"IN-USE",""))
</f>
        <v/>
      </c>
      <c r="B1507" s="223" t="str">
        <f>IFERROR(__xludf.DUMMYFUNCTION("IFERROR(IF(F1507&lt;&gt;"""",""WHSE ""&amp;LEFT(F1507,1),REGEXEXTRACT(E1507,""-(?:\d{2}-)?([A-Z]+)"")),"""")
"),"")</f>
        <v/>
      </c>
      <c r="C1507" s="224"/>
      <c r="D1507" s="219"/>
      <c r="E1507" s="225"/>
      <c r="F1507" s="225"/>
      <c r="G1507" s="226"/>
      <c r="H1507" s="225"/>
      <c r="I1507" s="227"/>
      <c r="J1507" s="228"/>
      <c r="K1507" s="229"/>
      <c r="L1507" s="229"/>
      <c r="M1507" s="229"/>
      <c r="N1507" s="230"/>
      <c r="O1507" s="228"/>
      <c r="P1507" s="230"/>
      <c r="Q1507" s="219"/>
      <c r="R1507" s="198"/>
      <c r="S1507" s="198"/>
      <c r="T1507" s="198"/>
      <c r="U1507" s="198"/>
      <c r="V1507" s="198"/>
      <c r="W1507" s="198"/>
      <c r="X1507" s="198"/>
    </row>
    <row r="1508" ht="12.0" customHeight="1">
      <c r="A1508" s="222" t="str">
        <f>IF(COUNTIFS(RC_OUT[BLOCK],RC_IN[BLOCK],RC_OUT[REMARKS],"*CLOSED*")&gt;0,"CLOSED",IF(COUNTIFS(RC_OUT[BLOCK],RC_IN[BLOCK],RC_OUT[WT],"&gt;0")&gt;0,"IN-USE",""))
</f>
        <v/>
      </c>
      <c r="B1508" s="223" t="str">
        <f>IFERROR(__xludf.DUMMYFUNCTION("IFERROR(IF(F1508&lt;&gt;"""",""WHSE ""&amp;LEFT(F1508,1),REGEXEXTRACT(E1508,""-(?:\d{2}-)?([A-Z]+)"")),"""")
"),"")</f>
        <v/>
      </c>
      <c r="C1508" s="224"/>
      <c r="D1508" s="219"/>
      <c r="E1508" s="225"/>
      <c r="F1508" s="225"/>
      <c r="G1508" s="226"/>
      <c r="H1508" s="225"/>
      <c r="I1508" s="227"/>
      <c r="J1508" s="228"/>
      <c r="K1508" s="229"/>
      <c r="L1508" s="229"/>
      <c r="M1508" s="229"/>
      <c r="N1508" s="230"/>
      <c r="O1508" s="228"/>
      <c r="P1508" s="230"/>
      <c r="Q1508" s="219"/>
      <c r="R1508" s="198"/>
      <c r="S1508" s="198"/>
      <c r="T1508" s="198"/>
      <c r="U1508" s="198"/>
      <c r="V1508" s="198"/>
      <c r="W1508" s="198"/>
      <c r="X1508" s="198"/>
    </row>
    <row r="1509" ht="12.0" customHeight="1">
      <c r="A1509" s="222" t="str">
        <f>IF(COUNTIFS(RC_OUT[BLOCK],RC_IN[BLOCK],RC_OUT[REMARKS],"*CLOSED*")&gt;0,"CLOSED",IF(COUNTIFS(RC_OUT[BLOCK],RC_IN[BLOCK],RC_OUT[WT],"&gt;0")&gt;0,"IN-USE",""))
</f>
        <v/>
      </c>
      <c r="B1509" s="223" t="str">
        <f>IFERROR(__xludf.DUMMYFUNCTION("IFERROR(IF(F1509&lt;&gt;"""",""WHSE ""&amp;LEFT(F1509,1),REGEXEXTRACT(E1509,""-(?:\d{2}-)?([A-Z]+)"")),"""")
"),"")</f>
        <v/>
      </c>
      <c r="C1509" s="224"/>
      <c r="D1509" s="219"/>
      <c r="E1509" s="225"/>
      <c r="F1509" s="225"/>
      <c r="G1509" s="226"/>
      <c r="H1509" s="225"/>
      <c r="I1509" s="227"/>
      <c r="J1509" s="228"/>
      <c r="K1509" s="229"/>
      <c r="L1509" s="229"/>
      <c r="M1509" s="229"/>
      <c r="N1509" s="230"/>
      <c r="O1509" s="228"/>
      <c r="P1509" s="230"/>
      <c r="Q1509" s="219"/>
      <c r="R1509" s="198"/>
      <c r="S1509" s="198"/>
      <c r="T1509" s="198"/>
      <c r="U1509" s="198"/>
      <c r="V1509" s="198"/>
      <c r="W1509" s="198"/>
      <c r="X1509" s="198"/>
    </row>
    <row r="1510" ht="12.0" customHeight="1">
      <c r="A1510" s="222" t="str">
        <f>IF(COUNTIFS(RC_OUT[BLOCK],RC_IN[BLOCK],RC_OUT[REMARKS],"*CLOSED*")&gt;0,"CLOSED",IF(COUNTIFS(RC_OUT[BLOCK],RC_IN[BLOCK],RC_OUT[WT],"&gt;0")&gt;0,"IN-USE",""))
</f>
        <v/>
      </c>
      <c r="B1510" s="223" t="str">
        <f>IFERROR(__xludf.DUMMYFUNCTION("IFERROR(IF(F1510&lt;&gt;"""",""WHSE ""&amp;LEFT(F1510,1),REGEXEXTRACT(E1510,""-(?:\d{2}-)?([A-Z]+)"")),"""")
"),"")</f>
        <v/>
      </c>
      <c r="C1510" s="224"/>
      <c r="D1510" s="219"/>
      <c r="E1510" s="225"/>
      <c r="F1510" s="225"/>
      <c r="G1510" s="226"/>
      <c r="H1510" s="225"/>
      <c r="I1510" s="227"/>
      <c r="J1510" s="228"/>
      <c r="K1510" s="229"/>
      <c r="L1510" s="229"/>
      <c r="M1510" s="229"/>
      <c r="N1510" s="230"/>
      <c r="O1510" s="228"/>
      <c r="P1510" s="230"/>
      <c r="Q1510" s="219"/>
      <c r="R1510" s="198"/>
      <c r="S1510" s="198"/>
      <c r="T1510" s="198"/>
      <c r="U1510" s="198"/>
      <c r="V1510" s="198"/>
      <c r="W1510" s="198"/>
      <c r="X1510" s="198"/>
    </row>
    <row r="1511" ht="12.0" customHeight="1">
      <c r="A1511" s="222" t="str">
        <f>IF(COUNTIFS(RC_OUT[BLOCK],RC_IN[BLOCK],RC_OUT[REMARKS],"*CLOSED*")&gt;0,"CLOSED",IF(COUNTIFS(RC_OUT[BLOCK],RC_IN[BLOCK],RC_OUT[WT],"&gt;0")&gt;0,"IN-USE",""))
</f>
        <v/>
      </c>
      <c r="B1511" s="223" t="str">
        <f>IFERROR(__xludf.DUMMYFUNCTION("IFERROR(IF(F1511&lt;&gt;"""",""WHSE ""&amp;LEFT(F1511,1),REGEXEXTRACT(E1511,""-(?:\d{2}-)?([A-Z]+)"")),"""")
"),"")</f>
        <v/>
      </c>
      <c r="C1511" s="224"/>
      <c r="D1511" s="219"/>
      <c r="E1511" s="225"/>
      <c r="F1511" s="225"/>
      <c r="G1511" s="226"/>
      <c r="H1511" s="225"/>
      <c r="I1511" s="227"/>
      <c r="J1511" s="228"/>
      <c r="K1511" s="229"/>
      <c r="L1511" s="229"/>
      <c r="M1511" s="229"/>
      <c r="N1511" s="230"/>
      <c r="O1511" s="228"/>
      <c r="P1511" s="230"/>
      <c r="Q1511" s="219"/>
      <c r="R1511" s="198"/>
      <c r="S1511" s="198"/>
      <c r="T1511" s="198"/>
      <c r="U1511" s="198"/>
      <c r="V1511" s="198"/>
      <c r="W1511" s="198"/>
      <c r="X1511" s="198"/>
    </row>
    <row r="1512" ht="12.0" customHeight="1">
      <c r="A1512" s="222" t="str">
        <f>IF(COUNTIFS(RC_OUT[BLOCK],RC_IN[BLOCK],RC_OUT[REMARKS],"*CLOSED*")&gt;0,"CLOSED",IF(COUNTIFS(RC_OUT[BLOCK],RC_IN[BLOCK],RC_OUT[WT],"&gt;0")&gt;0,"IN-USE",""))
</f>
        <v/>
      </c>
      <c r="B1512" s="223" t="str">
        <f>IFERROR(__xludf.DUMMYFUNCTION("IFERROR(IF(F1512&lt;&gt;"""",""WHSE ""&amp;LEFT(F1512,1),REGEXEXTRACT(E1512,""-(?:\d{2}-)?([A-Z]+)"")),"""")
"),"")</f>
        <v/>
      </c>
      <c r="C1512" s="224"/>
      <c r="D1512" s="219"/>
      <c r="E1512" s="225"/>
      <c r="F1512" s="225"/>
      <c r="G1512" s="226"/>
      <c r="H1512" s="225"/>
      <c r="I1512" s="227"/>
      <c r="J1512" s="228"/>
      <c r="K1512" s="229"/>
      <c r="L1512" s="229"/>
      <c r="M1512" s="229"/>
      <c r="N1512" s="230"/>
      <c r="O1512" s="228"/>
      <c r="P1512" s="230"/>
      <c r="Q1512" s="219"/>
      <c r="R1512" s="198"/>
      <c r="S1512" s="198"/>
      <c r="T1512" s="198"/>
      <c r="U1512" s="198"/>
      <c r="V1512" s="198"/>
      <c r="W1512" s="198"/>
      <c r="X1512" s="198"/>
    </row>
    <row r="1513" ht="12.0" customHeight="1">
      <c r="A1513" s="222" t="str">
        <f>IF(COUNTIFS(RC_OUT[BLOCK],RC_IN[BLOCK],RC_OUT[REMARKS],"*CLOSED*")&gt;0,"CLOSED",IF(COUNTIFS(RC_OUT[BLOCK],RC_IN[BLOCK],RC_OUT[WT],"&gt;0")&gt;0,"IN-USE",""))
</f>
        <v/>
      </c>
      <c r="B1513" s="223" t="str">
        <f>IFERROR(__xludf.DUMMYFUNCTION("IFERROR(IF(F1513&lt;&gt;"""",""WHSE ""&amp;LEFT(F1513,1),REGEXEXTRACT(E1513,""-(?:\d{2}-)?([A-Z]+)"")),"""")
"),"")</f>
        <v/>
      </c>
      <c r="C1513" s="224"/>
      <c r="D1513" s="219"/>
      <c r="E1513" s="225"/>
      <c r="F1513" s="225"/>
      <c r="G1513" s="226"/>
      <c r="H1513" s="225"/>
      <c r="I1513" s="227"/>
      <c r="J1513" s="228"/>
      <c r="K1513" s="229"/>
      <c r="L1513" s="229"/>
      <c r="M1513" s="229"/>
      <c r="N1513" s="230"/>
      <c r="O1513" s="228"/>
      <c r="P1513" s="230"/>
      <c r="Q1513" s="219"/>
      <c r="R1513" s="198"/>
      <c r="S1513" s="198"/>
      <c r="T1513" s="198"/>
      <c r="U1513" s="198"/>
      <c r="V1513" s="198"/>
      <c r="W1513" s="198"/>
      <c r="X1513" s="198"/>
    </row>
    <row r="1514" ht="12.0" customHeight="1">
      <c r="A1514" s="222" t="str">
        <f>IF(COUNTIFS(RC_OUT[BLOCK],RC_IN[BLOCK],RC_OUT[REMARKS],"*CLOSED*")&gt;0,"CLOSED",IF(COUNTIFS(RC_OUT[BLOCK],RC_IN[BLOCK],RC_OUT[WT],"&gt;0")&gt;0,"IN-USE",""))
</f>
        <v/>
      </c>
      <c r="B1514" s="223" t="str">
        <f>IFERROR(__xludf.DUMMYFUNCTION("IFERROR(IF(F1514&lt;&gt;"""",""WHSE ""&amp;LEFT(F1514,1),REGEXEXTRACT(E1514,""-(?:\d{2}-)?([A-Z]+)"")),"""")
"),"")</f>
        <v/>
      </c>
      <c r="C1514" s="224"/>
      <c r="D1514" s="219"/>
      <c r="E1514" s="225"/>
      <c r="F1514" s="225"/>
      <c r="G1514" s="226"/>
      <c r="H1514" s="225"/>
      <c r="I1514" s="227"/>
      <c r="J1514" s="228"/>
      <c r="K1514" s="229"/>
      <c r="L1514" s="229"/>
      <c r="M1514" s="229"/>
      <c r="N1514" s="230"/>
      <c r="O1514" s="228"/>
      <c r="P1514" s="230"/>
      <c r="Q1514" s="219"/>
      <c r="R1514" s="198"/>
      <c r="S1514" s="198"/>
      <c r="T1514" s="198"/>
      <c r="U1514" s="198"/>
      <c r="V1514" s="198"/>
      <c r="W1514" s="198"/>
      <c r="X1514" s="198"/>
    </row>
    <row r="1515" ht="12.0" customHeight="1">
      <c r="A1515" s="222" t="str">
        <f>IF(COUNTIFS(RC_OUT[BLOCK],RC_IN[BLOCK],RC_OUT[REMARKS],"*CLOSED*")&gt;0,"CLOSED",IF(COUNTIFS(RC_OUT[BLOCK],RC_IN[BLOCK],RC_OUT[WT],"&gt;0")&gt;0,"IN-USE",""))
</f>
        <v/>
      </c>
      <c r="B1515" s="223" t="str">
        <f>IFERROR(__xludf.DUMMYFUNCTION("IFERROR(IF(F1515&lt;&gt;"""",""WHSE ""&amp;LEFT(F1515,1),REGEXEXTRACT(E1515,""-(?:\d{2}-)?([A-Z]+)"")),"""")
"),"")</f>
        <v/>
      </c>
      <c r="C1515" s="224"/>
      <c r="D1515" s="219"/>
      <c r="E1515" s="225"/>
      <c r="F1515" s="225"/>
      <c r="G1515" s="226"/>
      <c r="H1515" s="225"/>
      <c r="I1515" s="227"/>
      <c r="J1515" s="228"/>
      <c r="K1515" s="229"/>
      <c r="L1515" s="229"/>
      <c r="M1515" s="229"/>
      <c r="N1515" s="230"/>
      <c r="O1515" s="228"/>
      <c r="P1515" s="230"/>
      <c r="Q1515" s="219"/>
      <c r="R1515" s="198"/>
      <c r="S1515" s="198"/>
      <c r="T1515" s="198"/>
      <c r="U1515" s="198"/>
      <c r="V1515" s="198"/>
      <c r="W1515" s="198"/>
      <c r="X1515" s="198"/>
    </row>
    <row r="1516" ht="12.0" customHeight="1">
      <c r="A1516" s="222" t="str">
        <f>IF(COUNTIFS(RC_OUT[BLOCK],RC_IN[BLOCK],RC_OUT[REMARKS],"*CLOSED*")&gt;0,"CLOSED",IF(COUNTIFS(RC_OUT[BLOCK],RC_IN[BLOCK],RC_OUT[WT],"&gt;0")&gt;0,"IN-USE",""))
</f>
        <v/>
      </c>
      <c r="B1516" s="223" t="str">
        <f>IFERROR(__xludf.DUMMYFUNCTION("IFERROR(IF(F1516&lt;&gt;"""",""WHSE ""&amp;LEFT(F1516,1),REGEXEXTRACT(E1516,""-(?:\d{2}-)?([A-Z]+)"")),"""")
"),"")</f>
        <v/>
      </c>
      <c r="C1516" s="224"/>
      <c r="D1516" s="219"/>
      <c r="E1516" s="225"/>
      <c r="F1516" s="225"/>
      <c r="G1516" s="226"/>
      <c r="H1516" s="225"/>
      <c r="I1516" s="227"/>
      <c r="J1516" s="228"/>
      <c r="K1516" s="229"/>
      <c r="L1516" s="229"/>
      <c r="M1516" s="229"/>
      <c r="N1516" s="230"/>
      <c r="O1516" s="228"/>
      <c r="P1516" s="230"/>
      <c r="Q1516" s="219"/>
      <c r="R1516" s="198"/>
      <c r="S1516" s="198"/>
      <c r="T1516" s="198"/>
      <c r="U1516" s="198"/>
      <c r="V1516" s="198"/>
      <c r="W1516" s="198"/>
      <c r="X1516" s="198"/>
    </row>
    <row r="1517" ht="12.0" customHeight="1">
      <c r="A1517" s="222" t="str">
        <f>IF(COUNTIFS(RC_OUT[BLOCK],RC_IN[BLOCK],RC_OUT[REMARKS],"*CLOSED*")&gt;0,"CLOSED",IF(COUNTIFS(RC_OUT[BLOCK],RC_IN[BLOCK],RC_OUT[WT],"&gt;0")&gt;0,"IN-USE",""))
</f>
        <v/>
      </c>
      <c r="B1517" s="223" t="str">
        <f>IFERROR(__xludf.DUMMYFUNCTION("IFERROR(IF(F1517&lt;&gt;"""",""WHSE ""&amp;LEFT(F1517,1),REGEXEXTRACT(E1517,""-(?:\d{2}-)?([A-Z]+)"")),"""")
"),"")</f>
        <v/>
      </c>
      <c r="C1517" s="224"/>
      <c r="D1517" s="219"/>
      <c r="E1517" s="225"/>
      <c r="F1517" s="225"/>
      <c r="G1517" s="226"/>
      <c r="H1517" s="225"/>
      <c r="I1517" s="227"/>
      <c r="J1517" s="228"/>
      <c r="K1517" s="229"/>
      <c r="L1517" s="229"/>
      <c r="M1517" s="229"/>
      <c r="N1517" s="230"/>
      <c r="O1517" s="228"/>
      <c r="P1517" s="230"/>
      <c r="Q1517" s="219"/>
      <c r="R1517" s="198"/>
      <c r="S1517" s="198"/>
      <c r="T1517" s="198"/>
      <c r="U1517" s="198"/>
      <c r="V1517" s="198"/>
      <c r="W1517" s="198"/>
      <c r="X1517" s="198"/>
    </row>
    <row r="1518" ht="12.0" customHeight="1">
      <c r="A1518" s="222" t="str">
        <f>IF(COUNTIFS(RC_OUT[BLOCK],RC_IN[BLOCK],RC_OUT[REMARKS],"*CLOSED*")&gt;0,"CLOSED",IF(COUNTIFS(RC_OUT[BLOCK],RC_IN[BLOCK],RC_OUT[WT],"&gt;0")&gt;0,"IN-USE",""))
</f>
        <v/>
      </c>
      <c r="B1518" s="223" t="str">
        <f>IFERROR(__xludf.DUMMYFUNCTION("IFERROR(IF(F1518&lt;&gt;"""",""WHSE ""&amp;LEFT(F1518,1),REGEXEXTRACT(E1518,""-(?:\d{2}-)?([A-Z]+)"")),"""")
"),"")</f>
        <v/>
      </c>
      <c r="C1518" s="224"/>
      <c r="D1518" s="219"/>
      <c r="E1518" s="225"/>
      <c r="F1518" s="225"/>
      <c r="G1518" s="226"/>
      <c r="H1518" s="225"/>
      <c r="I1518" s="227"/>
      <c r="J1518" s="228"/>
      <c r="K1518" s="229"/>
      <c r="L1518" s="229"/>
      <c r="M1518" s="229"/>
      <c r="N1518" s="230"/>
      <c r="O1518" s="228"/>
      <c r="P1518" s="230"/>
      <c r="Q1518" s="219"/>
      <c r="R1518" s="198"/>
      <c r="S1518" s="198"/>
      <c r="T1518" s="198"/>
      <c r="U1518" s="198"/>
      <c r="V1518" s="198"/>
      <c r="W1518" s="198"/>
      <c r="X1518" s="198"/>
    </row>
    <row r="1519" ht="12.0" customHeight="1">
      <c r="A1519" s="222" t="str">
        <f>IF(COUNTIFS(RC_OUT[BLOCK],RC_IN[BLOCK],RC_OUT[REMARKS],"*CLOSED*")&gt;0,"CLOSED",IF(COUNTIFS(RC_OUT[BLOCK],RC_IN[BLOCK],RC_OUT[WT],"&gt;0")&gt;0,"IN-USE",""))
</f>
        <v/>
      </c>
      <c r="B1519" s="223" t="str">
        <f>IFERROR(__xludf.DUMMYFUNCTION("IFERROR(IF(F1519&lt;&gt;"""",""WHSE ""&amp;LEFT(F1519,1),REGEXEXTRACT(E1519,""-(?:\d{2}-)?([A-Z]+)"")),"""")
"),"")</f>
        <v/>
      </c>
      <c r="C1519" s="224"/>
      <c r="D1519" s="219"/>
      <c r="E1519" s="225"/>
      <c r="F1519" s="225"/>
      <c r="G1519" s="226"/>
      <c r="H1519" s="225"/>
      <c r="I1519" s="227"/>
      <c r="J1519" s="228"/>
      <c r="K1519" s="229"/>
      <c r="L1519" s="229"/>
      <c r="M1519" s="229"/>
      <c r="N1519" s="230"/>
      <c r="O1519" s="228"/>
      <c r="P1519" s="230"/>
      <c r="Q1519" s="219"/>
      <c r="R1519" s="198"/>
      <c r="S1519" s="198"/>
      <c r="T1519" s="198"/>
      <c r="U1519" s="198"/>
      <c r="V1519" s="198"/>
      <c r="W1519" s="198"/>
      <c r="X1519" s="198"/>
    </row>
    <row r="1520" ht="12.0" customHeight="1">
      <c r="A1520" s="222" t="str">
        <f>IF(COUNTIFS(RC_OUT[BLOCK],RC_IN[BLOCK],RC_OUT[REMARKS],"*CLOSED*")&gt;0,"CLOSED",IF(COUNTIFS(RC_OUT[BLOCK],RC_IN[BLOCK],RC_OUT[WT],"&gt;0")&gt;0,"IN-USE",""))
</f>
        <v/>
      </c>
      <c r="B1520" s="223" t="str">
        <f>IFERROR(__xludf.DUMMYFUNCTION("IFERROR(IF(F1520&lt;&gt;"""",""WHSE ""&amp;LEFT(F1520,1),REGEXEXTRACT(E1520,""-(?:\d{2}-)?([A-Z]+)"")),"""")
"),"")</f>
        <v/>
      </c>
      <c r="C1520" s="224"/>
      <c r="D1520" s="219"/>
      <c r="E1520" s="225"/>
      <c r="F1520" s="225"/>
      <c r="G1520" s="226"/>
      <c r="H1520" s="225"/>
      <c r="I1520" s="227"/>
      <c r="J1520" s="228"/>
      <c r="K1520" s="229"/>
      <c r="L1520" s="229"/>
      <c r="M1520" s="229"/>
      <c r="N1520" s="230"/>
      <c r="O1520" s="228"/>
      <c r="P1520" s="230"/>
      <c r="Q1520" s="219"/>
      <c r="R1520" s="198"/>
      <c r="S1520" s="198"/>
      <c r="T1520" s="198"/>
      <c r="U1520" s="198"/>
      <c r="V1520" s="198"/>
      <c r="W1520" s="198"/>
      <c r="X1520" s="198"/>
    </row>
    <row r="1521" ht="12.0" customHeight="1">
      <c r="A1521" s="222" t="str">
        <f>IF(COUNTIFS(RC_OUT[BLOCK],RC_IN[BLOCK],RC_OUT[REMARKS],"*CLOSED*")&gt;0,"CLOSED",IF(COUNTIFS(RC_OUT[BLOCK],RC_IN[BLOCK],RC_OUT[WT],"&gt;0")&gt;0,"IN-USE",""))
</f>
        <v/>
      </c>
      <c r="B1521" s="223" t="str">
        <f>IFERROR(__xludf.DUMMYFUNCTION("IFERROR(IF(F1521&lt;&gt;"""",""WHSE ""&amp;LEFT(F1521,1),REGEXEXTRACT(E1521,""-(?:\d{2}-)?([A-Z]+)"")),"""")
"),"")</f>
        <v/>
      </c>
      <c r="C1521" s="224"/>
      <c r="D1521" s="219"/>
      <c r="E1521" s="225"/>
      <c r="F1521" s="225"/>
      <c r="G1521" s="226"/>
      <c r="H1521" s="225"/>
      <c r="I1521" s="227"/>
      <c r="J1521" s="228"/>
      <c r="K1521" s="229"/>
      <c r="L1521" s="229"/>
      <c r="M1521" s="229"/>
      <c r="N1521" s="230"/>
      <c r="O1521" s="228"/>
      <c r="P1521" s="230"/>
      <c r="Q1521" s="219"/>
      <c r="R1521" s="198"/>
      <c r="S1521" s="198"/>
      <c r="T1521" s="198"/>
      <c r="U1521" s="198"/>
      <c r="V1521" s="198"/>
      <c r="W1521" s="198"/>
      <c r="X1521" s="198"/>
    </row>
    <row r="1522" ht="12.0" customHeight="1">
      <c r="A1522" s="222" t="str">
        <f>IF(COUNTIFS(RC_OUT[BLOCK],RC_IN[BLOCK],RC_OUT[REMARKS],"*CLOSED*")&gt;0,"CLOSED",IF(COUNTIFS(RC_OUT[BLOCK],RC_IN[BLOCK],RC_OUT[WT],"&gt;0")&gt;0,"IN-USE",""))
</f>
        <v/>
      </c>
      <c r="B1522" s="223" t="str">
        <f>IFERROR(__xludf.DUMMYFUNCTION("IFERROR(IF(F1522&lt;&gt;"""",""WHSE ""&amp;LEFT(F1522,1),REGEXEXTRACT(E1522,""-(?:\d{2}-)?([A-Z]+)"")),"""")
"),"")</f>
        <v/>
      </c>
      <c r="C1522" s="224"/>
      <c r="D1522" s="219"/>
      <c r="E1522" s="225"/>
      <c r="F1522" s="225"/>
      <c r="G1522" s="226"/>
      <c r="H1522" s="225"/>
      <c r="I1522" s="227"/>
      <c r="J1522" s="228"/>
      <c r="K1522" s="229"/>
      <c r="L1522" s="229"/>
      <c r="M1522" s="229"/>
      <c r="N1522" s="230"/>
      <c r="O1522" s="228"/>
      <c r="P1522" s="230"/>
      <c r="Q1522" s="219"/>
      <c r="R1522" s="198"/>
      <c r="S1522" s="198"/>
      <c r="T1522" s="198"/>
      <c r="U1522" s="198"/>
      <c r="V1522" s="198"/>
      <c r="W1522" s="198"/>
      <c r="X1522" s="198"/>
    </row>
    <row r="1523" ht="12.0" customHeight="1">
      <c r="A1523" s="222" t="str">
        <f>IF(COUNTIFS(RC_OUT[BLOCK],RC_IN[BLOCK],RC_OUT[REMARKS],"*CLOSED*")&gt;0,"CLOSED",IF(COUNTIFS(RC_OUT[BLOCK],RC_IN[BLOCK],RC_OUT[WT],"&gt;0")&gt;0,"IN-USE",""))
</f>
        <v/>
      </c>
      <c r="B1523" s="223" t="str">
        <f>IFERROR(__xludf.DUMMYFUNCTION("IFERROR(IF(F1523&lt;&gt;"""",""WHSE ""&amp;LEFT(F1523,1),REGEXEXTRACT(E1523,""-(?:\d{2}-)?([A-Z]+)"")),"""")
"),"")</f>
        <v/>
      </c>
      <c r="C1523" s="224"/>
      <c r="D1523" s="219"/>
      <c r="E1523" s="225"/>
      <c r="F1523" s="225"/>
      <c r="G1523" s="226"/>
      <c r="H1523" s="225"/>
      <c r="I1523" s="227"/>
      <c r="J1523" s="228"/>
      <c r="K1523" s="229"/>
      <c r="L1523" s="229"/>
      <c r="M1523" s="229"/>
      <c r="N1523" s="230"/>
      <c r="O1523" s="228"/>
      <c r="P1523" s="230"/>
      <c r="Q1523" s="219"/>
      <c r="R1523" s="198"/>
      <c r="S1523" s="198"/>
      <c r="T1523" s="198"/>
      <c r="U1523" s="198"/>
      <c r="V1523" s="198"/>
      <c r="W1523" s="198"/>
      <c r="X1523" s="198"/>
    </row>
    <row r="1524" ht="12.0" customHeight="1">
      <c r="A1524" s="222" t="str">
        <f>IF(COUNTIFS(RC_OUT[BLOCK],RC_IN[BLOCK],RC_OUT[REMARKS],"*CLOSED*")&gt;0,"CLOSED",IF(COUNTIFS(RC_OUT[BLOCK],RC_IN[BLOCK],RC_OUT[WT],"&gt;0")&gt;0,"IN-USE",""))
</f>
        <v/>
      </c>
      <c r="B1524" s="223" t="str">
        <f>IFERROR(__xludf.DUMMYFUNCTION("IFERROR(IF(F1524&lt;&gt;"""",""WHSE ""&amp;LEFT(F1524,1),REGEXEXTRACT(E1524,""-(?:\d{2}-)?([A-Z]+)"")),"""")
"),"")</f>
        <v/>
      </c>
      <c r="C1524" s="224"/>
      <c r="D1524" s="219"/>
      <c r="E1524" s="225"/>
      <c r="F1524" s="225"/>
      <c r="G1524" s="226"/>
      <c r="H1524" s="225"/>
      <c r="I1524" s="227"/>
      <c r="J1524" s="228"/>
      <c r="K1524" s="229"/>
      <c r="L1524" s="229"/>
      <c r="M1524" s="229"/>
      <c r="N1524" s="230"/>
      <c r="O1524" s="228"/>
      <c r="P1524" s="230"/>
      <c r="Q1524" s="219"/>
      <c r="R1524" s="198"/>
      <c r="S1524" s="198"/>
      <c r="T1524" s="198"/>
      <c r="U1524" s="198"/>
      <c r="V1524" s="198"/>
      <c r="W1524" s="198"/>
      <c r="X1524" s="198"/>
    </row>
    <row r="1525" ht="12.0" customHeight="1">
      <c r="A1525" s="222" t="str">
        <f>IF(COUNTIFS(RC_OUT[BLOCK],RC_IN[BLOCK],RC_OUT[REMARKS],"*CLOSED*")&gt;0,"CLOSED",IF(COUNTIFS(RC_OUT[BLOCK],RC_IN[BLOCK],RC_OUT[WT],"&gt;0")&gt;0,"IN-USE",""))
</f>
        <v/>
      </c>
      <c r="B1525" s="223" t="str">
        <f>IFERROR(__xludf.DUMMYFUNCTION("IFERROR(IF(F1525&lt;&gt;"""",""WHSE ""&amp;LEFT(F1525,1),REGEXEXTRACT(E1525,""-(?:\d{2}-)?([A-Z]+)"")),"""")
"),"")</f>
        <v/>
      </c>
      <c r="C1525" s="224"/>
      <c r="D1525" s="219"/>
      <c r="E1525" s="225"/>
      <c r="F1525" s="225"/>
      <c r="G1525" s="226"/>
      <c r="H1525" s="225"/>
      <c r="I1525" s="227"/>
      <c r="J1525" s="228"/>
      <c r="K1525" s="229"/>
      <c r="L1525" s="229"/>
      <c r="M1525" s="229"/>
      <c r="N1525" s="230"/>
      <c r="O1525" s="228"/>
      <c r="P1525" s="230"/>
      <c r="Q1525" s="219"/>
      <c r="R1525" s="198"/>
      <c r="S1525" s="198"/>
      <c r="T1525" s="198"/>
      <c r="U1525" s="198"/>
      <c r="V1525" s="198"/>
      <c r="W1525" s="198"/>
      <c r="X1525" s="198"/>
    </row>
    <row r="1526" ht="12.0" customHeight="1">
      <c r="A1526" s="222" t="str">
        <f>IF(COUNTIFS(RC_OUT[BLOCK],RC_IN[BLOCK],RC_OUT[REMARKS],"*CLOSED*")&gt;0,"CLOSED",IF(COUNTIFS(RC_OUT[BLOCK],RC_IN[BLOCK],RC_OUT[WT],"&gt;0")&gt;0,"IN-USE",""))
</f>
        <v/>
      </c>
      <c r="B1526" s="223" t="str">
        <f>IFERROR(__xludf.DUMMYFUNCTION("IFERROR(IF(F1526&lt;&gt;"""",""WHSE ""&amp;LEFT(F1526,1),REGEXEXTRACT(E1526,""-(?:\d{2}-)?([A-Z]+)"")),"""")
"),"")</f>
        <v/>
      </c>
      <c r="C1526" s="224"/>
      <c r="D1526" s="219"/>
      <c r="E1526" s="225"/>
      <c r="F1526" s="225"/>
      <c r="G1526" s="226"/>
      <c r="H1526" s="225"/>
      <c r="I1526" s="227"/>
      <c r="J1526" s="228"/>
      <c r="K1526" s="229"/>
      <c r="L1526" s="229"/>
      <c r="M1526" s="229"/>
      <c r="N1526" s="230"/>
      <c r="O1526" s="228"/>
      <c r="P1526" s="230"/>
      <c r="Q1526" s="219"/>
      <c r="R1526" s="198"/>
      <c r="S1526" s="198"/>
      <c r="T1526" s="198"/>
      <c r="U1526" s="198"/>
      <c r="V1526" s="198"/>
      <c r="W1526" s="198"/>
      <c r="X1526" s="198"/>
    </row>
    <row r="1527" ht="12.0" customHeight="1">
      <c r="A1527" s="222" t="str">
        <f>IF(COUNTIFS(RC_OUT[BLOCK],RC_IN[BLOCK],RC_OUT[REMARKS],"*CLOSED*")&gt;0,"CLOSED",IF(COUNTIFS(RC_OUT[BLOCK],RC_IN[BLOCK],RC_OUT[WT],"&gt;0")&gt;0,"IN-USE",""))
</f>
        <v/>
      </c>
      <c r="B1527" s="223" t="str">
        <f>IFERROR(__xludf.DUMMYFUNCTION("IFERROR(IF(F1527&lt;&gt;"""",""WHSE ""&amp;LEFT(F1527,1),REGEXEXTRACT(E1527,""-(?:\d{2}-)?([A-Z]+)"")),"""")
"),"")</f>
        <v/>
      </c>
      <c r="C1527" s="224"/>
      <c r="D1527" s="219"/>
      <c r="E1527" s="225"/>
      <c r="F1527" s="225"/>
      <c r="G1527" s="226"/>
      <c r="H1527" s="225"/>
      <c r="I1527" s="227"/>
      <c r="J1527" s="228"/>
      <c r="K1527" s="229"/>
      <c r="L1527" s="229"/>
      <c r="M1527" s="229"/>
      <c r="N1527" s="230"/>
      <c r="O1527" s="228"/>
      <c r="P1527" s="230"/>
      <c r="Q1527" s="219"/>
      <c r="R1527" s="198"/>
      <c r="S1527" s="198"/>
      <c r="T1527" s="198"/>
      <c r="U1527" s="198"/>
      <c r="V1527" s="198"/>
      <c r="W1527" s="198"/>
      <c r="X1527" s="198"/>
    </row>
    <row r="1528" ht="12.0" customHeight="1">
      <c r="A1528" s="222" t="str">
        <f>IF(COUNTIFS(RC_OUT[BLOCK],RC_IN[BLOCK],RC_OUT[REMARKS],"*CLOSED*")&gt;0,"CLOSED",IF(COUNTIFS(RC_OUT[BLOCK],RC_IN[BLOCK],RC_OUT[WT],"&gt;0")&gt;0,"IN-USE",""))
</f>
        <v/>
      </c>
      <c r="B1528" s="223" t="str">
        <f>IFERROR(__xludf.DUMMYFUNCTION("IFERROR(IF(F1528&lt;&gt;"""",""WHSE ""&amp;LEFT(F1528,1),REGEXEXTRACT(E1528,""-(?:\d{2}-)?([A-Z]+)"")),"""")
"),"")</f>
        <v/>
      </c>
      <c r="C1528" s="224"/>
      <c r="D1528" s="219"/>
      <c r="E1528" s="225"/>
      <c r="F1528" s="225"/>
      <c r="G1528" s="226"/>
      <c r="H1528" s="225"/>
      <c r="I1528" s="227"/>
      <c r="J1528" s="228"/>
      <c r="K1528" s="229"/>
      <c r="L1528" s="229"/>
      <c r="M1528" s="229"/>
      <c r="N1528" s="230"/>
      <c r="O1528" s="228"/>
      <c r="P1528" s="230"/>
      <c r="Q1528" s="219"/>
      <c r="R1528" s="198"/>
      <c r="S1528" s="198"/>
      <c r="T1528" s="198"/>
      <c r="U1528" s="198"/>
      <c r="V1528" s="198"/>
      <c r="W1528" s="198"/>
      <c r="X1528" s="198"/>
    </row>
    <row r="1529" ht="12.0" customHeight="1">
      <c r="A1529" s="222" t="str">
        <f>IF(COUNTIFS(RC_OUT[BLOCK],RC_IN[BLOCK],RC_OUT[REMARKS],"*CLOSED*")&gt;0,"CLOSED",IF(COUNTIFS(RC_OUT[BLOCK],RC_IN[BLOCK],RC_OUT[WT],"&gt;0")&gt;0,"IN-USE",""))
</f>
        <v/>
      </c>
      <c r="B1529" s="223" t="str">
        <f>IFERROR(__xludf.DUMMYFUNCTION("IFERROR(IF(F1529&lt;&gt;"""",""WHSE ""&amp;LEFT(F1529,1),REGEXEXTRACT(E1529,""-(?:\d{2}-)?([A-Z]+)"")),"""")
"),"")</f>
        <v/>
      </c>
      <c r="C1529" s="224"/>
      <c r="D1529" s="219"/>
      <c r="E1529" s="225"/>
      <c r="F1529" s="225"/>
      <c r="G1529" s="226"/>
      <c r="H1529" s="225"/>
      <c r="I1529" s="227"/>
      <c r="J1529" s="228"/>
      <c r="K1529" s="229"/>
      <c r="L1529" s="229"/>
      <c r="M1529" s="229"/>
      <c r="N1529" s="230"/>
      <c r="O1529" s="228"/>
      <c r="P1529" s="230"/>
      <c r="Q1529" s="219"/>
      <c r="R1529" s="198"/>
      <c r="S1529" s="198"/>
      <c r="T1529" s="198"/>
      <c r="U1529" s="198"/>
      <c r="V1529" s="198"/>
      <c r="W1529" s="198"/>
      <c r="X1529" s="198"/>
    </row>
    <row r="1530" ht="12.0" customHeight="1">
      <c r="A1530" s="222" t="str">
        <f>IF(COUNTIFS(RC_OUT[BLOCK],RC_IN[BLOCK],RC_OUT[REMARKS],"*CLOSED*")&gt;0,"CLOSED",IF(COUNTIFS(RC_OUT[BLOCK],RC_IN[BLOCK],RC_OUT[WT],"&gt;0")&gt;0,"IN-USE",""))
</f>
        <v/>
      </c>
      <c r="B1530" s="223" t="str">
        <f>IFERROR(__xludf.DUMMYFUNCTION("IFERROR(IF(F1530&lt;&gt;"""",""WHSE ""&amp;LEFT(F1530,1),REGEXEXTRACT(E1530,""-(?:\d{2}-)?([A-Z]+)"")),"""")
"),"")</f>
        <v/>
      </c>
      <c r="C1530" s="224"/>
      <c r="D1530" s="219"/>
      <c r="E1530" s="225"/>
      <c r="F1530" s="225"/>
      <c r="G1530" s="226"/>
      <c r="H1530" s="225"/>
      <c r="I1530" s="227"/>
      <c r="J1530" s="228"/>
      <c r="K1530" s="229"/>
      <c r="L1530" s="229"/>
      <c r="M1530" s="229"/>
      <c r="N1530" s="230"/>
      <c r="O1530" s="228"/>
      <c r="P1530" s="230"/>
      <c r="Q1530" s="219"/>
      <c r="R1530" s="198"/>
      <c r="S1530" s="198"/>
      <c r="T1530" s="198"/>
      <c r="U1530" s="198"/>
      <c r="V1530" s="198"/>
      <c r="W1530" s="198"/>
      <c r="X1530" s="198"/>
    </row>
    <row r="1531" ht="12.0" customHeight="1">
      <c r="A1531" s="222" t="str">
        <f>IF(COUNTIFS(RC_OUT[BLOCK],RC_IN[BLOCK],RC_OUT[REMARKS],"*CLOSED*")&gt;0,"CLOSED",IF(COUNTIFS(RC_OUT[BLOCK],RC_IN[BLOCK],RC_OUT[WT],"&gt;0")&gt;0,"IN-USE",""))
</f>
        <v/>
      </c>
      <c r="B1531" s="223" t="str">
        <f>IFERROR(__xludf.DUMMYFUNCTION("IFERROR(IF(F1531&lt;&gt;"""",""WHSE ""&amp;LEFT(F1531,1),REGEXEXTRACT(E1531,""-(?:\d{2}-)?([A-Z]+)"")),"""")
"),"")</f>
        <v/>
      </c>
      <c r="C1531" s="224"/>
      <c r="D1531" s="219"/>
      <c r="E1531" s="225"/>
      <c r="F1531" s="225"/>
      <c r="G1531" s="226"/>
      <c r="H1531" s="225"/>
      <c r="I1531" s="227"/>
      <c r="J1531" s="228"/>
      <c r="K1531" s="229"/>
      <c r="L1531" s="229"/>
      <c r="M1531" s="229"/>
      <c r="N1531" s="230"/>
      <c r="O1531" s="228"/>
      <c r="P1531" s="230"/>
      <c r="Q1531" s="219"/>
      <c r="R1531" s="198"/>
      <c r="S1531" s="198"/>
      <c r="T1531" s="198"/>
      <c r="U1531" s="198"/>
      <c r="V1531" s="198"/>
      <c r="W1531" s="198"/>
      <c r="X1531" s="198"/>
    </row>
    <row r="1532" ht="12.0" customHeight="1">
      <c r="A1532" s="222" t="str">
        <f>IF(COUNTIFS(RC_OUT[BLOCK],RC_IN[BLOCK],RC_OUT[REMARKS],"*CLOSED*")&gt;0,"CLOSED",IF(COUNTIFS(RC_OUT[BLOCK],RC_IN[BLOCK],RC_OUT[WT],"&gt;0")&gt;0,"IN-USE",""))
</f>
        <v/>
      </c>
      <c r="B1532" s="223" t="str">
        <f>IFERROR(__xludf.DUMMYFUNCTION("IFERROR(IF(F1532&lt;&gt;"""",""WHSE ""&amp;LEFT(F1532,1),REGEXEXTRACT(E1532,""-(?:\d{2}-)?([A-Z]+)"")),"""")
"),"")</f>
        <v/>
      </c>
      <c r="C1532" s="224"/>
      <c r="D1532" s="219"/>
      <c r="E1532" s="225"/>
      <c r="F1532" s="225"/>
      <c r="G1532" s="226"/>
      <c r="H1532" s="225"/>
      <c r="I1532" s="227"/>
      <c r="J1532" s="228"/>
      <c r="K1532" s="229"/>
      <c r="L1532" s="229"/>
      <c r="M1532" s="229"/>
      <c r="N1532" s="230"/>
      <c r="O1532" s="228"/>
      <c r="P1532" s="230"/>
      <c r="Q1532" s="219"/>
      <c r="R1532" s="198"/>
      <c r="S1532" s="198"/>
      <c r="T1532" s="198"/>
      <c r="U1532" s="198"/>
      <c r="V1532" s="198"/>
      <c r="W1532" s="198"/>
      <c r="X1532" s="198"/>
    </row>
    <row r="1533" ht="12.0" customHeight="1">
      <c r="A1533" s="222" t="str">
        <f>IF(COUNTIFS(RC_OUT[BLOCK],RC_IN[BLOCK],RC_OUT[REMARKS],"*CLOSED*")&gt;0,"CLOSED",IF(COUNTIFS(RC_OUT[BLOCK],RC_IN[BLOCK],RC_OUT[WT],"&gt;0")&gt;0,"IN-USE",""))
</f>
        <v/>
      </c>
      <c r="B1533" s="223" t="str">
        <f>IFERROR(__xludf.DUMMYFUNCTION("IFERROR(IF(F1533&lt;&gt;"""",""WHSE ""&amp;LEFT(F1533,1),REGEXEXTRACT(E1533,""-(?:\d{2}-)?([A-Z]+)"")),"""")
"),"")</f>
        <v/>
      </c>
      <c r="C1533" s="224"/>
      <c r="D1533" s="219"/>
      <c r="E1533" s="225"/>
      <c r="F1533" s="225"/>
      <c r="G1533" s="226"/>
      <c r="H1533" s="225"/>
      <c r="I1533" s="227"/>
      <c r="J1533" s="228"/>
      <c r="K1533" s="229"/>
      <c r="L1533" s="229"/>
      <c r="M1533" s="229"/>
      <c r="N1533" s="230"/>
      <c r="O1533" s="228"/>
      <c r="P1533" s="230"/>
      <c r="Q1533" s="219"/>
      <c r="R1533" s="198"/>
      <c r="S1533" s="198"/>
      <c r="T1533" s="198"/>
      <c r="U1533" s="198"/>
      <c r="V1533" s="198"/>
      <c r="W1533" s="198"/>
      <c r="X1533" s="198"/>
    </row>
    <row r="1534" ht="12.0" customHeight="1">
      <c r="A1534" s="222" t="str">
        <f>IF(COUNTIFS(RC_OUT[BLOCK],RC_IN[BLOCK],RC_OUT[REMARKS],"*CLOSED*")&gt;0,"CLOSED",IF(COUNTIFS(RC_OUT[BLOCK],RC_IN[BLOCK],RC_OUT[WT],"&gt;0")&gt;0,"IN-USE",""))
</f>
        <v/>
      </c>
      <c r="B1534" s="223" t="str">
        <f>IFERROR(__xludf.DUMMYFUNCTION("IFERROR(IF(F1534&lt;&gt;"""",""WHSE ""&amp;LEFT(F1534,1),REGEXEXTRACT(E1534,""-(?:\d{2}-)?([A-Z]+)"")),"""")
"),"")</f>
        <v/>
      </c>
      <c r="C1534" s="224"/>
      <c r="D1534" s="219"/>
      <c r="E1534" s="225"/>
      <c r="F1534" s="225"/>
      <c r="G1534" s="226"/>
      <c r="H1534" s="225"/>
      <c r="I1534" s="227"/>
      <c r="J1534" s="228"/>
      <c r="K1534" s="229"/>
      <c r="L1534" s="229"/>
      <c r="M1534" s="229"/>
      <c r="N1534" s="230"/>
      <c r="O1534" s="228"/>
      <c r="P1534" s="230"/>
      <c r="Q1534" s="219"/>
      <c r="R1534" s="198"/>
      <c r="S1534" s="198"/>
      <c r="T1534" s="198"/>
      <c r="U1534" s="198"/>
      <c r="V1534" s="198"/>
      <c r="W1534" s="198"/>
      <c r="X1534" s="198"/>
    </row>
    <row r="1535" ht="12.0" customHeight="1">
      <c r="A1535" s="222" t="str">
        <f>IF(COUNTIFS(RC_OUT[BLOCK],RC_IN[BLOCK],RC_OUT[REMARKS],"*CLOSED*")&gt;0,"CLOSED",IF(COUNTIFS(RC_OUT[BLOCK],RC_IN[BLOCK],RC_OUT[WT],"&gt;0")&gt;0,"IN-USE",""))
</f>
        <v/>
      </c>
      <c r="B1535" s="223" t="str">
        <f>IFERROR(__xludf.DUMMYFUNCTION("IFERROR(IF(F1535&lt;&gt;"""",""WHSE ""&amp;LEFT(F1535,1),REGEXEXTRACT(E1535,""-(?:\d{2}-)?([A-Z]+)"")),"""")
"),"")</f>
        <v/>
      </c>
      <c r="C1535" s="224"/>
      <c r="D1535" s="219"/>
      <c r="E1535" s="225"/>
      <c r="F1535" s="225"/>
      <c r="G1535" s="226"/>
      <c r="H1535" s="225"/>
      <c r="I1535" s="227"/>
      <c r="J1535" s="228"/>
      <c r="K1535" s="229"/>
      <c r="L1535" s="229"/>
      <c r="M1535" s="229"/>
      <c r="N1535" s="230"/>
      <c r="O1535" s="228"/>
      <c r="P1535" s="230"/>
      <c r="Q1535" s="219"/>
      <c r="R1535" s="198"/>
      <c r="S1535" s="198"/>
      <c r="T1535" s="198"/>
      <c r="U1535" s="198"/>
      <c r="V1535" s="198"/>
      <c r="W1535" s="198"/>
      <c r="X1535" s="198"/>
    </row>
    <row r="1536" ht="12.0" customHeight="1">
      <c r="A1536" s="222" t="str">
        <f>IF(COUNTIFS(RC_OUT[BLOCK],RC_IN[BLOCK],RC_OUT[REMARKS],"*CLOSED*")&gt;0,"CLOSED",IF(COUNTIFS(RC_OUT[BLOCK],RC_IN[BLOCK],RC_OUT[WT],"&gt;0")&gt;0,"IN-USE",""))
</f>
        <v/>
      </c>
      <c r="B1536" s="223" t="str">
        <f>IFERROR(__xludf.DUMMYFUNCTION("IFERROR(IF(F1536&lt;&gt;"""",""WHSE ""&amp;LEFT(F1536,1),REGEXEXTRACT(E1536,""-(?:\d{2}-)?([A-Z]+)"")),"""")
"),"")</f>
        <v/>
      </c>
      <c r="C1536" s="224"/>
      <c r="D1536" s="219"/>
      <c r="E1536" s="225"/>
      <c r="F1536" s="225"/>
      <c r="G1536" s="226"/>
      <c r="H1536" s="225"/>
      <c r="I1536" s="227"/>
      <c r="J1536" s="228"/>
      <c r="K1536" s="229"/>
      <c r="L1536" s="229"/>
      <c r="M1536" s="229"/>
      <c r="N1536" s="230"/>
      <c r="O1536" s="228"/>
      <c r="P1536" s="230"/>
      <c r="Q1536" s="219"/>
      <c r="R1536" s="198"/>
      <c r="S1536" s="198"/>
      <c r="T1536" s="198"/>
      <c r="U1536" s="198"/>
      <c r="V1536" s="198"/>
      <c r="W1536" s="198"/>
      <c r="X1536" s="198"/>
    </row>
    <row r="1537" ht="12.0" customHeight="1">
      <c r="A1537" s="222" t="str">
        <f>IF(COUNTIFS(RC_OUT[BLOCK],RC_IN[BLOCK],RC_OUT[REMARKS],"*CLOSED*")&gt;0,"CLOSED",IF(COUNTIFS(RC_OUT[BLOCK],RC_IN[BLOCK],RC_OUT[WT],"&gt;0")&gt;0,"IN-USE",""))
</f>
        <v/>
      </c>
      <c r="B1537" s="223" t="str">
        <f>IFERROR(__xludf.DUMMYFUNCTION("IFERROR(IF(F1537&lt;&gt;"""",""WHSE ""&amp;LEFT(F1537,1),REGEXEXTRACT(E1537,""-(?:\d{2}-)?([A-Z]+)"")),"""")
"),"")</f>
        <v/>
      </c>
      <c r="C1537" s="224"/>
      <c r="D1537" s="219"/>
      <c r="E1537" s="225"/>
      <c r="F1537" s="225"/>
      <c r="G1537" s="226"/>
      <c r="H1537" s="225"/>
      <c r="I1537" s="227"/>
      <c r="J1537" s="228"/>
      <c r="K1537" s="229"/>
      <c r="L1537" s="229"/>
      <c r="M1537" s="229"/>
      <c r="N1537" s="230"/>
      <c r="O1537" s="228"/>
      <c r="P1537" s="230"/>
      <c r="Q1537" s="219"/>
      <c r="R1537" s="198"/>
      <c r="S1537" s="198"/>
      <c r="T1537" s="198"/>
      <c r="U1537" s="198"/>
      <c r="V1537" s="198"/>
      <c r="W1537" s="198"/>
      <c r="X1537" s="198"/>
    </row>
    <row r="1538" ht="12.0" customHeight="1">
      <c r="A1538" s="222" t="str">
        <f>IF(COUNTIFS(RC_OUT[BLOCK],RC_IN[BLOCK],RC_OUT[REMARKS],"*CLOSED*")&gt;0,"CLOSED",IF(COUNTIFS(RC_OUT[BLOCK],RC_IN[BLOCK],RC_OUT[WT],"&gt;0")&gt;0,"IN-USE",""))
</f>
        <v/>
      </c>
      <c r="B1538" s="223" t="str">
        <f>IFERROR(__xludf.DUMMYFUNCTION("IFERROR(IF(F1538&lt;&gt;"""",""WHSE ""&amp;LEFT(F1538,1),REGEXEXTRACT(E1538,""-(?:\d{2}-)?([A-Z]+)"")),"""")
"),"")</f>
        <v/>
      </c>
      <c r="C1538" s="224"/>
      <c r="D1538" s="219"/>
      <c r="E1538" s="225"/>
      <c r="F1538" s="225"/>
      <c r="G1538" s="226"/>
      <c r="H1538" s="225"/>
      <c r="I1538" s="227"/>
      <c r="J1538" s="228"/>
      <c r="K1538" s="229"/>
      <c r="L1538" s="229"/>
      <c r="M1538" s="229"/>
      <c r="N1538" s="230"/>
      <c r="O1538" s="228"/>
      <c r="P1538" s="230"/>
      <c r="Q1538" s="219"/>
      <c r="R1538" s="198"/>
      <c r="S1538" s="198"/>
      <c r="T1538" s="198"/>
      <c r="U1538" s="198"/>
      <c r="V1538" s="198"/>
      <c r="W1538" s="198"/>
      <c r="X1538" s="198"/>
    </row>
    <row r="1539" ht="12.0" customHeight="1">
      <c r="A1539" s="222" t="str">
        <f>IF(COUNTIFS(RC_OUT[BLOCK],RC_IN[BLOCK],RC_OUT[REMARKS],"*CLOSED*")&gt;0,"CLOSED",IF(COUNTIFS(RC_OUT[BLOCK],RC_IN[BLOCK],RC_OUT[WT],"&gt;0")&gt;0,"IN-USE",""))
</f>
        <v/>
      </c>
      <c r="B1539" s="223" t="str">
        <f>IFERROR(__xludf.DUMMYFUNCTION("IFERROR(IF(F1539&lt;&gt;"""",""WHSE ""&amp;LEFT(F1539,1),REGEXEXTRACT(E1539,""-(?:\d{2}-)?([A-Z]+)"")),"""")
"),"")</f>
        <v/>
      </c>
      <c r="C1539" s="224"/>
      <c r="D1539" s="219"/>
      <c r="E1539" s="225"/>
      <c r="F1539" s="225"/>
      <c r="G1539" s="226"/>
      <c r="H1539" s="225"/>
      <c r="I1539" s="227"/>
      <c r="J1539" s="228"/>
      <c r="K1539" s="229"/>
      <c r="L1539" s="229"/>
      <c r="M1539" s="229"/>
      <c r="N1539" s="230"/>
      <c r="O1539" s="228"/>
      <c r="P1539" s="230"/>
      <c r="Q1539" s="219"/>
      <c r="R1539" s="198"/>
      <c r="S1539" s="198"/>
      <c r="T1539" s="198"/>
      <c r="U1539" s="198"/>
      <c r="V1539" s="198"/>
      <c r="W1539" s="198"/>
      <c r="X1539" s="198"/>
    </row>
    <row r="1540" ht="12.0" customHeight="1">
      <c r="A1540" s="222" t="str">
        <f>IF(COUNTIFS(RC_OUT[BLOCK],RC_IN[BLOCK],RC_OUT[REMARKS],"*CLOSED*")&gt;0,"CLOSED",IF(COUNTIFS(RC_OUT[BLOCK],RC_IN[BLOCK],RC_OUT[WT],"&gt;0")&gt;0,"IN-USE",""))
</f>
        <v/>
      </c>
      <c r="B1540" s="223" t="str">
        <f>IFERROR(__xludf.DUMMYFUNCTION("IFERROR(IF(F1540&lt;&gt;"""",""WHSE ""&amp;LEFT(F1540,1),REGEXEXTRACT(E1540,""-(?:\d{2}-)?([A-Z]+)"")),"""")
"),"")</f>
        <v/>
      </c>
      <c r="C1540" s="224"/>
      <c r="D1540" s="219"/>
      <c r="E1540" s="225"/>
      <c r="F1540" s="225"/>
      <c r="G1540" s="226"/>
      <c r="H1540" s="225"/>
      <c r="I1540" s="227"/>
      <c r="J1540" s="228"/>
      <c r="K1540" s="229"/>
      <c r="L1540" s="229"/>
      <c r="M1540" s="229"/>
      <c r="N1540" s="230"/>
      <c r="O1540" s="228"/>
      <c r="P1540" s="230"/>
      <c r="Q1540" s="219"/>
      <c r="R1540" s="198"/>
      <c r="S1540" s="198"/>
      <c r="T1540" s="198"/>
      <c r="U1540" s="198"/>
      <c r="V1540" s="198"/>
      <c r="W1540" s="198"/>
      <c r="X1540" s="198"/>
    </row>
    <row r="1541" ht="12.0" customHeight="1">
      <c r="A1541" s="222" t="str">
        <f>IF(COUNTIFS(RC_OUT[BLOCK],RC_IN[BLOCK],RC_OUT[REMARKS],"*CLOSED*")&gt;0,"CLOSED",IF(COUNTIFS(RC_OUT[BLOCK],RC_IN[BLOCK],RC_OUT[WT],"&gt;0")&gt;0,"IN-USE",""))
</f>
        <v/>
      </c>
      <c r="B1541" s="223" t="str">
        <f>IFERROR(__xludf.DUMMYFUNCTION("IFERROR(IF(F1541&lt;&gt;"""",""WHSE ""&amp;LEFT(F1541,1),REGEXEXTRACT(E1541,""-(?:\d{2}-)?([A-Z]+)"")),"""")
"),"")</f>
        <v/>
      </c>
      <c r="C1541" s="224"/>
      <c r="D1541" s="219"/>
      <c r="E1541" s="225"/>
      <c r="F1541" s="225"/>
      <c r="G1541" s="226"/>
      <c r="H1541" s="225"/>
      <c r="I1541" s="227"/>
      <c r="J1541" s="228"/>
      <c r="K1541" s="229"/>
      <c r="L1541" s="229"/>
      <c r="M1541" s="229"/>
      <c r="N1541" s="230"/>
      <c r="O1541" s="228"/>
      <c r="P1541" s="230"/>
      <c r="Q1541" s="219"/>
      <c r="R1541" s="198"/>
      <c r="S1541" s="198"/>
      <c r="T1541" s="198"/>
      <c r="U1541" s="198"/>
      <c r="V1541" s="198"/>
      <c r="W1541" s="198"/>
      <c r="X1541" s="198"/>
    </row>
    <row r="1542" ht="12.0" customHeight="1">
      <c r="A1542" s="222" t="str">
        <f>IF(COUNTIFS(RC_OUT[BLOCK],RC_IN[BLOCK],RC_OUT[REMARKS],"*CLOSED*")&gt;0,"CLOSED",IF(COUNTIFS(RC_OUT[BLOCK],RC_IN[BLOCK],RC_OUT[WT],"&gt;0")&gt;0,"IN-USE",""))
</f>
        <v/>
      </c>
      <c r="B1542" s="223" t="str">
        <f>IFERROR(__xludf.DUMMYFUNCTION("IFERROR(IF(F1542&lt;&gt;"""",""WHSE ""&amp;LEFT(F1542,1),REGEXEXTRACT(E1542,""-(?:\d{2}-)?([A-Z]+)"")),"""")
"),"")</f>
        <v/>
      </c>
      <c r="C1542" s="224"/>
      <c r="D1542" s="219"/>
      <c r="E1542" s="225"/>
      <c r="F1542" s="225"/>
      <c r="G1542" s="226"/>
      <c r="H1542" s="225"/>
      <c r="I1542" s="227"/>
      <c r="J1542" s="228"/>
      <c r="K1542" s="229"/>
      <c r="L1542" s="229"/>
      <c r="M1542" s="229"/>
      <c r="N1542" s="230"/>
      <c r="O1542" s="228"/>
      <c r="P1542" s="230"/>
      <c r="Q1542" s="219"/>
      <c r="R1542" s="198"/>
      <c r="S1542" s="198"/>
      <c r="T1542" s="198"/>
      <c r="U1542" s="198"/>
      <c r="V1542" s="198"/>
      <c r="W1542" s="198"/>
      <c r="X1542" s="198"/>
    </row>
    <row r="1543" ht="12.0" customHeight="1">
      <c r="A1543" s="222" t="str">
        <f>IF(COUNTIFS(RC_OUT[BLOCK],RC_IN[BLOCK],RC_OUT[REMARKS],"*CLOSED*")&gt;0,"CLOSED",IF(COUNTIFS(RC_OUT[BLOCK],RC_IN[BLOCK],RC_OUT[WT],"&gt;0")&gt;0,"IN-USE",""))
</f>
        <v/>
      </c>
      <c r="B1543" s="223" t="str">
        <f>IFERROR(__xludf.DUMMYFUNCTION("IFERROR(IF(F1543&lt;&gt;"""",""WHSE ""&amp;LEFT(F1543,1),REGEXEXTRACT(E1543,""-(?:\d{2}-)?([A-Z]+)"")),"""")
"),"")</f>
        <v/>
      </c>
      <c r="C1543" s="224"/>
      <c r="D1543" s="219"/>
      <c r="E1543" s="225"/>
      <c r="F1543" s="225"/>
      <c r="G1543" s="226"/>
      <c r="H1543" s="225"/>
      <c r="I1543" s="227"/>
      <c r="J1543" s="228"/>
      <c r="K1543" s="229"/>
      <c r="L1543" s="229"/>
      <c r="M1543" s="229"/>
      <c r="N1543" s="230"/>
      <c r="O1543" s="228"/>
      <c r="P1543" s="230"/>
      <c r="Q1543" s="219"/>
      <c r="R1543" s="198"/>
      <c r="S1543" s="198"/>
      <c r="T1543" s="198"/>
      <c r="U1543" s="198"/>
      <c r="V1543" s="198"/>
      <c r="W1543" s="198"/>
      <c r="X1543" s="198"/>
    </row>
    <row r="1544" ht="12.0" customHeight="1">
      <c r="A1544" s="222" t="str">
        <f>IF(COUNTIFS(RC_OUT[BLOCK],RC_IN[BLOCK],RC_OUT[REMARKS],"*CLOSED*")&gt;0,"CLOSED",IF(COUNTIFS(RC_OUT[BLOCK],RC_IN[BLOCK],RC_OUT[WT],"&gt;0")&gt;0,"IN-USE",""))
</f>
        <v/>
      </c>
      <c r="B1544" s="223" t="str">
        <f>IFERROR(__xludf.DUMMYFUNCTION("IFERROR(IF(F1544&lt;&gt;"""",""WHSE ""&amp;LEFT(F1544,1),REGEXEXTRACT(E1544,""-(?:\d{2}-)?([A-Z]+)"")),"""")
"),"")</f>
        <v/>
      </c>
      <c r="C1544" s="224"/>
      <c r="D1544" s="219"/>
      <c r="E1544" s="225"/>
      <c r="F1544" s="225"/>
      <c r="G1544" s="226"/>
      <c r="H1544" s="225"/>
      <c r="I1544" s="227"/>
      <c r="J1544" s="228"/>
      <c r="K1544" s="229"/>
      <c r="L1544" s="229"/>
      <c r="M1544" s="229"/>
      <c r="N1544" s="230"/>
      <c r="O1544" s="228"/>
      <c r="P1544" s="230"/>
      <c r="Q1544" s="219"/>
      <c r="R1544" s="198"/>
      <c r="S1544" s="198"/>
      <c r="T1544" s="198"/>
      <c r="U1544" s="198"/>
      <c r="V1544" s="198"/>
      <c r="W1544" s="198"/>
      <c r="X1544" s="198"/>
    </row>
    <row r="1545" ht="12.0" customHeight="1">
      <c r="A1545" s="222" t="str">
        <f>IF(COUNTIFS(RC_OUT[BLOCK],RC_IN[BLOCK],RC_OUT[REMARKS],"*CLOSED*")&gt;0,"CLOSED",IF(COUNTIFS(RC_OUT[BLOCK],RC_IN[BLOCK],RC_OUT[WT],"&gt;0")&gt;0,"IN-USE",""))
</f>
        <v/>
      </c>
      <c r="B1545" s="223" t="str">
        <f>IFERROR(__xludf.DUMMYFUNCTION("IFERROR(IF(F1545&lt;&gt;"""",""WHSE ""&amp;LEFT(F1545,1),REGEXEXTRACT(E1545,""-(?:\d{2}-)?([A-Z]+)"")),"""")
"),"")</f>
        <v/>
      </c>
      <c r="C1545" s="224"/>
      <c r="D1545" s="219"/>
      <c r="E1545" s="225"/>
      <c r="F1545" s="225"/>
      <c r="G1545" s="226"/>
      <c r="H1545" s="225"/>
      <c r="I1545" s="227"/>
      <c r="J1545" s="228"/>
      <c r="K1545" s="229"/>
      <c r="L1545" s="229"/>
      <c r="M1545" s="229"/>
      <c r="N1545" s="230"/>
      <c r="O1545" s="228"/>
      <c r="P1545" s="230"/>
      <c r="Q1545" s="219"/>
      <c r="R1545" s="198"/>
      <c r="S1545" s="198"/>
      <c r="T1545" s="198"/>
      <c r="U1545" s="198"/>
      <c r="V1545" s="198"/>
      <c r="W1545" s="198"/>
      <c r="X1545" s="198"/>
    </row>
    <row r="1546" ht="12.0" customHeight="1">
      <c r="A1546" s="222" t="str">
        <f>IF(COUNTIFS(RC_OUT[BLOCK],RC_IN[BLOCK],RC_OUT[REMARKS],"*CLOSED*")&gt;0,"CLOSED",IF(COUNTIFS(RC_OUT[BLOCK],RC_IN[BLOCK],RC_OUT[WT],"&gt;0")&gt;0,"IN-USE",""))
</f>
        <v/>
      </c>
      <c r="B1546" s="223" t="str">
        <f>IFERROR(__xludf.DUMMYFUNCTION("IFERROR(IF(F1546&lt;&gt;"""",""WHSE ""&amp;LEFT(F1546,1),REGEXEXTRACT(E1546,""-(?:\d{2}-)?([A-Z]+)"")),"""")
"),"")</f>
        <v/>
      </c>
      <c r="C1546" s="224"/>
      <c r="D1546" s="219"/>
      <c r="E1546" s="225"/>
      <c r="F1546" s="225"/>
      <c r="G1546" s="226"/>
      <c r="H1546" s="225"/>
      <c r="I1546" s="227"/>
      <c r="J1546" s="228"/>
      <c r="K1546" s="229"/>
      <c r="L1546" s="229"/>
      <c r="M1546" s="229"/>
      <c r="N1546" s="230"/>
      <c r="O1546" s="228"/>
      <c r="P1546" s="230"/>
      <c r="Q1546" s="219"/>
      <c r="R1546" s="198"/>
      <c r="S1546" s="198"/>
      <c r="T1546" s="198"/>
      <c r="U1546" s="198"/>
      <c r="V1546" s="198"/>
      <c r="W1546" s="198"/>
      <c r="X1546" s="198"/>
    </row>
    <row r="1547" ht="12.0" customHeight="1">
      <c r="A1547" s="222" t="str">
        <f>IF(COUNTIFS(RC_OUT[BLOCK],RC_IN[BLOCK],RC_OUT[REMARKS],"*CLOSED*")&gt;0,"CLOSED",IF(COUNTIFS(RC_OUT[BLOCK],RC_IN[BLOCK],RC_OUT[WT],"&gt;0")&gt;0,"IN-USE",""))
</f>
        <v/>
      </c>
      <c r="B1547" s="223" t="str">
        <f>IFERROR(__xludf.DUMMYFUNCTION("IFERROR(IF(F1547&lt;&gt;"""",""WHSE ""&amp;LEFT(F1547,1),REGEXEXTRACT(E1547,""-(?:\d{2}-)?([A-Z]+)"")),"""")
"),"")</f>
        <v/>
      </c>
      <c r="C1547" s="224"/>
      <c r="D1547" s="219"/>
      <c r="E1547" s="225"/>
      <c r="F1547" s="225"/>
      <c r="G1547" s="226"/>
      <c r="H1547" s="225"/>
      <c r="I1547" s="227"/>
      <c r="J1547" s="228"/>
      <c r="K1547" s="229"/>
      <c r="L1547" s="229"/>
      <c r="M1547" s="229"/>
      <c r="N1547" s="230"/>
      <c r="O1547" s="228"/>
      <c r="P1547" s="230"/>
      <c r="Q1547" s="219"/>
      <c r="R1547" s="198"/>
      <c r="S1547" s="198"/>
      <c r="T1547" s="198"/>
      <c r="U1547" s="198"/>
      <c r="V1547" s="198"/>
      <c r="W1547" s="198"/>
      <c r="X1547" s="198"/>
    </row>
    <row r="1548" ht="12.0" customHeight="1">
      <c r="A1548" s="222" t="str">
        <f>IF(COUNTIFS(RC_OUT[BLOCK],RC_IN[BLOCK],RC_OUT[REMARKS],"*CLOSED*")&gt;0,"CLOSED",IF(COUNTIFS(RC_OUT[BLOCK],RC_IN[BLOCK],RC_OUT[WT],"&gt;0")&gt;0,"IN-USE",""))
</f>
        <v/>
      </c>
      <c r="B1548" s="223" t="str">
        <f>IFERROR(__xludf.DUMMYFUNCTION("IFERROR(IF(F1548&lt;&gt;"""",""WHSE ""&amp;LEFT(F1548,1),REGEXEXTRACT(E1548,""-(?:\d{2}-)?([A-Z]+)"")),"""")
"),"")</f>
        <v/>
      </c>
      <c r="C1548" s="224"/>
      <c r="D1548" s="219"/>
      <c r="E1548" s="225"/>
      <c r="F1548" s="225"/>
      <c r="G1548" s="226"/>
      <c r="H1548" s="225"/>
      <c r="I1548" s="227"/>
      <c r="J1548" s="228"/>
      <c r="K1548" s="229"/>
      <c r="L1548" s="229"/>
      <c r="M1548" s="229"/>
      <c r="N1548" s="230"/>
      <c r="O1548" s="228"/>
      <c r="P1548" s="230"/>
      <c r="Q1548" s="219"/>
      <c r="R1548" s="198"/>
      <c r="S1548" s="198"/>
      <c r="T1548" s="198"/>
      <c r="U1548" s="198"/>
      <c r="V1548" s="198"/>
      <c r="W1548" s="198"/>
      <c r="X1548" s="198"/>
    </row>
    <row r="1549" ht="12.0" customHeight="1">
      <c r="A1549" s="222" t="str">
        <f>IF(COUNTIFS(RC_OUT[BLOCK],RC_IN[BLOCK],RC_OUT[REMARKS],"*CLOSED*")&gt;0,"CLOSED",IF(COUNTIFS(RC_OUT[BLOCK],RC_IN[BLOCK],RC_OUT[WT],"&gt;0")&gt;0,"IN-USE",""))
</f>
        <v/>
      </c>
      <c r="B1549" s="223" t="str">
        <f>IFERROR(__xludf.DUMMYFUNCTION("IFERROR(IF(F1549&lt;&gt;"""",""WHSE ""&amp;LEFT(F1549,1),REGEXEXTRACT(E1549,""-(?:\d{2}-)?([A-Z]+)"")),"""")
"),"")</f>
        <v/>
      </c>
      <c r="C1549" s="224"/>
      <c r="D1549" s="219"/>
      <c r="E1549" s="225"/>
      <c r="F1549" s="225"/>
      <c r="G1549" s="226"/>
      <c r="H1549" s="225"/>
      <c r="I1549" s="227"/>
      <c r="J1549" s="228"/>
      <c r="K1549" s="229"/>
      <c r="L1549" s="229"/>
      <c r="M1549" s="229"/>
      <c r="N1549" s="230"/>
      <c r="O1549" s="228"/>
      <c r="P1549" s="230"/>
      <c r="Q1549" s="219"/>
      <c r="R1549" s="198"/>
      <c r="S1549" s="198"/>
      <c r="T1549" s="198"/>
      <c r="U1549" s="198"/>
      <c r="V1549" s="198"/>
      <c r="W1549" s="198"/>
      <c r="X1549" s="198"/>
    </row>
    <row r="1550" ht="12.0" customHeight="1">
      <c r="A1550" s="222" t="str">
        <f>IF(COUNTIFS(RC_OUT[BLOCK],RC_IN[BLOCK],RC_OUT[REMARKS],"*CLOSED*")&gt;0,"CLOSED",IF(COUNTIFS(RC_OUT[BLOCK],RC_IN[BLOCK],RC_OUT[WT],"&gt;0")&gt;0,"IN-USE",""))
</f>
        <v/>
      </c>
      <c r="B1550" s="223" t="str">
        <f>IFERROR(__xludf.DUMMYFUNCTION("IFERROR(IF(F1550&lt;&gt;"""",""WHSE ""&amp;LEFT(F1550,1),REGEXEXTRACT(E1550,""-(?:\d{2}-)?([A-Z]+)"")),"""")
"),"")</f>
        <v/>
      </c>
      <c r="C1550" s="224"/>
      <c r="D1550" s="219"/>
      <c r="E1550" s="225"/>
      <c r="F1550" s="225"/>
      <c r="G1550" s="226"/>
      <c r="H1550" s="225"/>
      <c r="I1550" s="227"/>
      <c r="J1550" s="228"/>
      <c r="K1550" s="229"/>
      <c r="L1550" s="229"/>
      <c r="M1550" s="229"/>
      <c r="N1550" s="230"/>
      <c r="O1550" s="228"/>
      <c r="P1550" s="230"/>
      <c r="Q1550" s="219"/>
      <c r="R1550" s="198"/>
      <c r="S1550" s="198"/>
      <c r="T1550" s="198"/>
      <c r="U1550" s="198"/>
      <c r="V1550" s="198"/>
      <c r="W1550" s="198"/>
      <c r="X1550" s="198"/>
    </row>
    <row r="1551" ht="12.0" customHeight="1">
      <c r="A1551" s="222" t="str">
        <f>IF(COUNTIFS(RC_OUT[BLOCK],RC_IN[BLOCK],RC_OUT[REMARKS],"*CLOSED*")&gt;0,"CLOSED",IF(COUNTIFS(RC_OUT[BLOCK],RC_IN[BLOCK],RC_OUT[WT],"&gt;0")&gt;0,"IN-USE",""))
</f>
        <v/>
      </c>
      <c r="B1551" s="223" t="str">
        <f>IFERROR(__xludf.DUMMYFUNCTION("IFERROR(IF(F1551&lt;&gt;"""",""WHSE ""&amp;LEFT(F1551,1),REGEXEXTRACT(E1551,""-(?:\d{2}-)?([A-Z]+)"")),"""")
"),"")</f>
        <v/>
      </c>
      <c r="C1551" s="224"/>
      <c r="D1551" s="219"/>
      <c r="E1551" s="225"/>
      <c r="F1551" s="225"/>
      <c r="G1551" s="226"/>
      <c r="H1551" s="225"/>
      <c r="I1551" s="227"/>
      <c r="J1551" s="228"/>
      <c r="K1551" s="229"/>
      <c r="L1551" s="229"/>
      <c r="M1551" s="229"/>
      <c r="N1551" s="230"/>
      <c r="O1551" s="228"/>
      <c r="P1551" s="230"/>
      <c r="Q1551" s="219"/>
      <c r="R1551" s="198"/>
      <c r="S1551" s="198"/>
      <c r="T1551" s="198"/>
      <c r="U1551" s="198"/>
      <c r="V1551" s="198"/>
      <c r="W1551" s="198"/>
      <c r="X1551" s="198"/>
    </row>
    <row r="1552" ht="12.0" customHeight="1">
      <c r="A1552" s="222" t="str">
        <f>IF(COUNTIFS(RC_OUT[BLOCK],RC_IN[BLOCK],RC_OUT[REMARKS],"*CLOSED*")&gt;0,"CLOSED",IF(COUNTIFS(RC_OUT[BLOCK],RC_IN[BLOCK],RC_OUT[WT],"&gt;0")&gt;0,"IN-USE",""))
</f>
        <v/>
      </c>
      <c r="B1552" s="223" t="str">
        <f>IFERROR(__xludf.DUMMYFUNCTION("IFERROR(IF(F1552&lt;&gt;"""",""WHSE ""&amp;LEFT(F1552,1),REGEXEXTRACT(E1552,""-(?:\d{2}-)?([A-Z]+)"")),"""")
"),"")</f>
        <v/>
      </c>
      <c r="C1552" s="224"/>
      <c r="D1552" s="219"/>
      <c r="E1552" s="225"/>
      <c r="F1552" s="225"/>
      <c r="G1552" s="226"/>
      <c r="H1552" s="225"/>
      <c r="I1552" s="227"/>
      <c r="J1552" s="228"/>
      <c r="K1552" s="229"/>
      <c r="L1552" s="229"/>
      <c r="M1552" s="229"/>
      <c r="N1552" s="230"/>
      <c r="O1552" s="228"/>
      <c r="P1552" s="230"/>
      <c r="Q1552" s="219"/>
      <c r="R1552" s="198"/>
      <c r="S1552" s="198"/>
      <c r="T1552" s="198"/>
      <c r="U1552" s="198"/>
      <c r="V1552" s="198"/>
      <c r="W1552" s="198"/>
      <c r="X1552" s="198"/>
    </row>
    <row r="1553" ht="12.0" customHeight="1">
      <c r="A1553" s="222" t="str">
        <f>IF(COUNTIFS(RC_OUT[BLOCK],RC_IN[BLOCK],RC_OUT[REMARKS],"*CLOSED*")&gt;0,"CLOSED",IF(COUNTIFS(RC_OUT[BLOCK],RC_IN[BLOCK],RC_OUT[WT],"&gt;0")&gt;0,"IN-USE",""))
</f>
        <v/>
      </c>
      <c r="B1553" s="223" t="str">
        <f>IFERROR(__xludf.DUMMYFUNCTION("IFERROR(IF(F1553&lt;&gt;"""",""WHSE ""&amp;LEFT(F1553,1),REGEXEXTRACT(E1553,""-(?:\d{2}-)?([A-Z]+)"")),"""")
"),"")</f>
        <v/>
      </c>
      <c r="C1553" s="224"/>
      <c r="D1553" s="219"/>
      <c r="E1553" s="225"/>
      <c r="F1553" s="225"/>
      <c r="G1553" s="226"/>
      <c r="H1553" s="225"/>
      <c r="I1553" s="227"/>
      <c r="J1553" s="228"/>
      <c r="K1553" s="229"/>
      <c r="L1553" s="229"/>
      <c r="M1553" s="229"/>
      <c r="N1553" s="230"/>
      <c r="O1553" s="228"/>
      <c r="P1553" s="230"/>
      <c r="Q1553" s="219"/>
      <c r="R1553" s="198"/>
      <c r="S1553" s="198"/>
      <c r="T1553" s="198"/>
      <c r="U1553" s="198"/>
      <c r="V1553" s="198"/>
      <c r="W1553" s="198"/>
      <c r="X1553" s="198"/>
    </row>
    <row r="1554" ht="12.0" customHeight="1">
      <c r="A1554" s="222" t="str">
        <f>IF(COUNTIFS(RC_OUT[BLOCK],RC_IN[BLOCK],RC_OUT[REMARKS],"*CLOSED*")&gt;0,"CLOSED",IF(COUNTIFS(RC_OUT[BLOCK],RC_IN[BLOCK],RC_OUT[WT],"&gt;0")&gt;0,"IN-USE",""))
</f>
        <v/>
      </c>
      <c r="B1554" s="223" t="str">
        <f>IFERROR(__xludf.DUMMYFUNCTION("IFERROR(IF(F1554&lt;&gt;"""",""WHSE ""&amp;LEFT(F1554,1),REGEXEXTRACT(E1554,""-(?:\d{2}-)?([A-Z]+)"")),"""")
"),"")</f>
        <v/>
      </c>
      <c r="C1554" s="224"/>
      <c r="D1554" s="219"/>
      <c r="E1554" s="225"/>
      <c r="F1554" s="225"/>
      <c r="G1554" s="226"/>
      <c r="H1554" s="225"/>
      <c r="I1554" s="227"/>
      <c r="J1554" s="228"/>
      <c r="K1554" s="229"/>
      <c r="L1554" s="229"/>
      <c r="M1554" s="229"/>
      <c r="N1554" s="230"/>
      <c r="O1554" s="228"/>
      <c r="P1554" s="230"/>
      <c r="Q1554" s="219"/>
      <c r="R1554" s="198"/>
      <c r="S1554" s="198"/>
      <c r="T1554" s="198"/>
      <c r="U1554" s="198"/>
      <c r="V1554" s="198"/>
      <c r="W1554" s="198"/>
      <c r="X1554" s="198"/>
    </row>
    <row r="1555" ht="12.0" customHeight="1">
      <c r="A1555" s="222" t="str">
        <f>IF(COUNTIFS(RC_OUT[BLOCK],RC_IN[BLOCK],RC_OUT[REMARKS],"*CLOSED*")&gt;0,"CLOSED",IF(COUNTIFS(RC_OUT[BLOCK],RC_IN[BLOCK],RC_OUT[WT],"&gt;0")&gt;0,"IN-USE",""))
</f>
        <v/>
      </c>
      <c r="B1555" s="223" t="str">
        <f>IFERROR(__xludf.DUMMYFUNCTION("IFERROR(IF(F1555&lt;&gt;"""",""WHSE ""&amp;LEFT(F1555,1),REGEXEXTRACT(E1555,""-(?:\d{2}-)?([A-Z]+)"")),"""")
"),"")</f>
        <v/>
      </c>
      <c r="C1555" s="224"/>
      <c r="D1555" s="219"/>
      <c r="E1555" s="225"/>
      <c r="F1555" s="225"/>
      <c r="G1555" s="226"/>
      <c r="H1555" s="225"/>
      <c r="I1555" s="227"/>
      <c r="J1555" s="228"/>
      <c r="K1555" s="229"/>
      <c r="L1555" s="229"/>
      <c r="M1555" s="229"/>
      <c r="N1555" s="230"/>
      <c r="O1555" s="228"/>
      <c r="P1555" s="230"/>
      <c r="Q1555" s="219"/>
      <c r="R1555" s="198"/>
      <c r="S1555" s="198"/>
      <c r="T1555" s="198"/>
      <c r="U1555" s="198"/>
      <c r="V1555" s="198"/>
      <c r="W1555" s="198"/>
      <c r="X1555" s="198"/>
    </row>
    <row r="1556" ht="12.0" customHeight="1">
      <c r="A1556" s="222" t="str">
        <f>IF(COUNTIFS(RC_OUT[BLOCK],RC_IN[BLOCK],RC_OUT[REMARKS],"*CLOSED*")&gt;0,"CLOSED",IF(COUNTIFS(RC_OUT[BLOCK],RC_IN[BLOCK],RC_OUT[WT],"&gt;0")&gt;0,"IN-USE",""))
</f>
        <v/>
      </c>
      <c r="B1556" s="223" t="str">
        <f>IFERROR(__xludf.DUMMYFUNCTION("IFERROR(IF(F1556&lt;&gt;"""",""WHSE ""&amp;LEFT(F1556,1),REGEXEXTRACT(E1556,""-(?:\d{2}-)?([A-Z]+)"")),"""")
"),"")</f>
        <v/>
      </c>
      <c r="C1556" s="224"/>
      <c r="D1556" s="219"/>
      <c r="E1556" s="225"/>
      <c r="F1556" s="225"/>
      <c r="G1556" s="226"/>
      <c r="H1556" s="225"/>
      <c r="I1556" s="227"/>
      <c r="J1556" s="228"/>
      <c r="K1556" s="229"/>
      <c r="L1556" s="229"/>
      <c r="M1556" s="229"/>
      <c r="N1556" s="230"/>
      <c r="O1556" s="228"/>
      <c r="P1556" s="230"/>
      <c r="Q1556" s="219"/>
      <c r="R1556" s="198"/>
      <c r="S1556" s="198"/>
      <c r="T1556" s="198"/>
      <c r="U1556" s="198"/>
      <c r="V1556" s="198"/>
      <c r="W1556" s="198"/>
      <c r="X1556" s="198"/>
    </row>
    <row r="1557" ht="12.0" customHeight="1">
      <c r="A1557" s="222" t="str">
        <f>IF(COUNTIFS(RC_OUT[BLOCK],RC_IN[BLOCK],RC_OUT[REMARKS],"*CLOSED*")&gt;0,"CLOSED",IF(COUNTIFS(RC_OUT[BLOCK],RC_IN[BLOCK],RC_OUT[WT],"&gt;0")&gt;0,"IN-USE",""))
</f>
        <v/>
      </c>
      <c r="B1557" s="223" t="str">
        <f>IFERROR(__xludf.DUMMYFUNCTION("IFERROR(IF(F1557&lt;&gt;"""",""WHSE ""&amp;LEFT(F1557,1),REGEXEXTRACT(E1557,""-(?:\d{2}-)?([A-Z]+)"")),"""")
"),"")</f>
        <v/>
      </c>
      <c r="C1557" s="224"/>
      <c r="D1557" s="219"/>
      <c r="E1557" s="225"/>
      <c r="F1557" s="225"/>
      <c r="G1557" s="226"/>
      <c r="H1557" s="225"/>
      <c r="I1557" s="227"/>
      <c r="J1557" s="228"/>
      <c r="K1557" s="229"/>
      <c r="L1557" s="229"/>
      <c r="M1557" s="229"/>
      <c r="N1557" s="230"/>
      <c r="O1557" s="228"/>
      <c r="P1557" s="230"/>
      <c r="Q1557" s="219"/>
      <c r="R1557" s="198"/>
      <c r="S1557" s="198"/>
      <c r="T1557" s="198"/>
      <c r="U1557" s="198"/>
      <c r="V1557" s="198"/>
      <c r="W1557" s="198"/>
      <c r="X1557" s="198"/>
    </row>
    <row r="1558" ht="12.0" customHeight="1">
      <c r="A1558" s="222" t="str">
        <f>IF(COUNTIFS(RC_OUT[BLOCK],RC_IN[BLOCK],RC_OUT[REMARKS],"*CLOSED*")&gt;0,"CLOSED",IF(COUNTIFS(RC_OUT[BLOCK],RC_IN[BLOCK],RC_OUT[WT],"&gt;0")&gt;0,"IN-USE",""))
</f>
        <v/>
      </c>
      <c r="B1558" s="223" t="str">
        <f>IFERROR(__xludf.DUMMYFUNCTION("IFERROR(IF(F1558&lt;&gt;"""",""WHSE ""&amp;LEFT(F1558,1),REGEXEXTRACT(E1558,""-(?:\d{2}-)?([A-Z]+)"")),"""")
"),"")</f>
        <v/>
      </c>
      <c r="C1558" s="224"/>
      <c r="D1558" s="219"/>
      <c r="E1558" s="225"/>
      <c r="F1558" s="225"/>
      <c r="G1558" s="226"/>
      <c r="H1558" s="225"/>
      <c r="I1558" s="227"/>
      <c r="J1558" s="228"/>
      <c r="K1558" s="229"/>
      <c r="L1558" s="229"/>
      <c r="M1558" s="229"/>
      <c r="N1558" s="230"/>
      <c r="O1558" s="228"/>
      <c r="P1558" s="230"/>
      <c r="Q1558" s="219"/>
      <c r="R1558" s="198"/>
      <c r="S1558" s="198"/>
      <c r="T1558" s="198"/>
      <c r="U1558" s="198"/>
      <c r="V1558" s="198"/>
      <c r="W1558" s="198"/>
      <c r="X1558" s="198"/>
    </row>
    <row r="1559" ht="12.0" customHeight="1">
      <c r="A1559" s="222" t="str">
        <f>IF(COUNTIFS(RC_OUT[BLOCK],RC_IN[BLOCK],RC_OUT[REMARKS],"*CLOSED*")&gt;0,"CLOSED",IF(COUNTIFS(RC_OUT[BLOCK],RC_IN[BLOCK],RC_OUT[WT],"&gt;0")&gt;0,"IN-USE",""))
</f>
        <v/>
      </c>
      <c r="B1559" s="223" t="str">
        <f>IFERROR(__xludf.DUMMYFUNCTION("IFERROR(IF(F1559&lt;&gt;"""",""WHSE ""&amp;LEFT(F1559,1),REGEXEXTRACT(E1559,""-(?:\d{2}-)?([A-Z]+)"")),"""")
"),"")</f>
        <v/>
      </c>
      <c r="C1559" s="224"/>
      <c r="D1559" s="219"/>
      <c r="E1559" s="225"/>
      <c r="F1559" s="225"/>
      <c r="G1559" s="226"/>
      <c r="H1559" s="225"/>
      <c r="I1559" s="227"/>
      <c r="J1559" s="228"/>
      <c r="K1559" s="229"/>
      <c r="L1559" s="229"/>
      <c r="M1559" s="229"/>
      <c r="N1559" s="230"/>
      <c r="O1559" s="228"/>
      <c r="P1559" s="230"/>
      <c r="Q1559" s="219"/>
      <c r="R1559" s="198"/>
      <c r="S1559" s="198"/>
      <c r="T1559" s="198"/>
      <c r="U1559" s="198"/>
      <c r="V1559" s="198"/>
      <c r="W1559" s="198"/>
      <c r="X1559" s="198"/>
    </row>
    <row r="1560" ht="12.0" customHeight="1">
      <c r="A1560" s="222" t="str">
        <f>IF(COUNTIFS(RC_OUT[BLOCK],RC_IN[BLOCK],RC_OUT[REMARKS],"*CLOSED*")&gt;0,"CLOSED",IF(COUNTIFS(RC_OUT[BLOCK],RC_IN[BLOCK],RC_OUT[WT],"&gt;0")&gt;0,"IN-USE",""))
</f>
        <v/>
      </c>
      <c r="B1560" s="223" t="str">
        <f>IFERROR(__xludf.DUMMYFUNCTION("IFERROR(IF(F1560&lt;&gt;"""",""WHSE ""&amp;LEFT(F1560,1),REGEXEXTRACT(E1560,""-(?:\d{2}-)?([A-Z]+)"")),"""")
"),"")</f>
        <v/>
      </c>
      <c r="C1560" s="224"/>
      <c r="D1560" s="219"/>
      <c r="E1560" s="225"/>
      <c r="F1560" s="225"/>
      <c r="G1560" s="226"/>
      <c r="H1560" s="225"/>
      <c r="I1560" s="227"/>
      <c r="J1560" s="228"/>
      <c r="K1560" s="229"/>
      <c r="L1560" s="229"/>
      <c r="M1560" s="229"/>
      <c r="N1560" s="230"/>
      <c r="O1560" s="228"/>
      <c r="P1560" s="230"/>
      <c r="Q1560" s="219"/>
      <c r="R1560" s="198"/>
      <c r="S1560" s="198"/>
      <c r="T1560" s="198"/>
      <c r="U1560" s="198"/>
      <c r="V1560" s="198"/>
      <c r="W1560" s="198"/>
      <c r="X1560" s="198"/>
    </row>
    <row r="1561" ht="12.0" customHeight="1">
      <c r="A1561" s="222" t="str">
        <f>IF(COUNTIFS(RC_OUT[BLOCK],RC_IN[BLOCK],RC_OUT[REMARKS],"*CLOSED*")&gt;0,"CLOSED",IF(COUNTIFS(RC_OUT[BLOCK],RC_IN[BLOCK],RC_OUT[WT],"&gt;0")&gt;0,"IN-USE",""))
</f>
        <v/>
      </c>
      <c r="B1561" s="223" t="str">
        <f>IFERROR(__xludf.DUMMYFUNCTION("IFERROR(IF(F1561&lt;&gt;"""",""WHSE ""&amp;LEFT(F1561,1),REGEXEXTRACT(E1561,""-(?:\d{2}-)?([A-Z]+)"")),"""")
"),"")</f>
        <v/>
      </c>
      <c r="C1561" s="224"/>
      <c r="D1561" s="219"/>
      <c r="E1561" s="225"/>
      <c r="F1561" s="225"/>
      <c r="G1561" s="226"/>
      <c r="H1561" s="225"/>
      <c r="I1561" s="227"/>
      <c r="J1561" s="228"/>
      <c r="K1561" s="229"/>
      <c r="L1561" s="229"/>
      <c r="M1561" s="229"/>
      <c r="N1561" s="230"/>
      <c r="O1561" s="228"/>
      <c r="P1561" s="230"/>
      <c r="Q1561" s="219"/>
      <c r="R1561" s="198"/>
      <c r="S1561" s="198"/>
      <c r="T1561" s="198"/>
      <c r="U1561" s="198"/>
      <c r="V1561" s="198"/>
      <c r="W1561" s="198"/>
      <c r="X1561" s="198"/>
    </row>
    <row r="1562" ht="12.0" customHeight="1">
      <c r="A1562" s="222" t="str">
        <f>IF(COUNTIFS(RC_OUT[BLOCK],RC_IN[BLOCK],RC_OUT[REMARKS],"*CLOSED*")&gt;0,"CLOSED",IF(COUNTIFS(RC_OUT[BLOCK],RC_IN[BLOCK],RC_OUT[WT],"&gt;0")&gt;0,"IN-USE",""))
</f>
        <v/>
      </c>
      <c r="B1562" s="223" t="str">
        <f>IFERROR(__xludf.DUMMYFUNCTION("IFERROR(IF(F1562&lt;&gt;"""",""WHSE ""&amp;LEFT(F1562,1),REGEXEXTRACT(E1562,""-(?:\d{2}-)?([A-Z]+)"")),"""")
"),"")</f>
        <v/>
      </c>
      <c r="C1562" s="224"/>
      <c r="D1562" s="219"/>
      <c r="E1562" s="225"/>
      <c r="F1562" s="225"/>
      <c r="G1562" s="226"/>
      <c r="H1562" s="225"/>
      <c r="I1562" s="227"/>
      <c r="J1562" s="228"/>
      <c r="K1562" s="229"/>
      <c r="L1562" s="229"/>
      <c r="M1562" s="229"/>
      <c r="N1562" s="230"/>
      <c r="O1562" s="228"/>
      <c r="P1562" s="230"/>
      <c r="Q1562" s="219"/>
      <c r="R1562" s="198"/>
      <c r="S1562" s="198"/>
      <c r="T1562" s="198"/>
      <c r="U1562" s="198"/>
      <c r="V1562" s="198"/>
      <c r="W1562" s="198"/>
      <c r="X1562" s="198"/>
    </row>
    <row r="1563" ht="12.0" customHeight="1">
      <c r="A1563" s="222" t="str">
        <f>IF(COUNTIFS(RC_OUT[BLOCK],RC_IN[BLOCK],RC_OUT[REMARKS],"*CLOSED*")&gt;0,"CLOSED",IF(COUNTIFS(RC_OUT[BLOCK],RC_IN[BLOCK],RC_OUT[WT],"&gt;0")&gt;0,"IN-USE",""))
</f>
        <v/>
      </c>
      <c r="B1563" s="223" t="str">
        <f>IFERROR(__xludf.DUMMYFUNCTION("IFERROR(IF(F1563&lt;&gt;"""",""WHSE ""&amp;LEFT(F1563,1),REGEXEXTRACT(E1563,""-(?:\d{2}-)?([A-Z]+)"")),"""")
"),"")</f>
        <v/>
      </c>
      <c r="C1563" s="224"/>
      <c r="D1563" s="219"/>
      <c r="E1563" s="225"/>
      <c r="F1563" s="225"/>
      <c r="G1563" s="226"/>
      <c r="H1563" s="225"/>
      <c r="I1563" s="227"/>
      <c r="J1563" s="228"/>
      <c r="K1563" s="229"/>
      <c r="L1563" s="229"/>
      <c r="M1563" s="229"/>
      <c r="N1563" s="230"/>
      <c r="O1563" s="228"/>
      <c r="P1563" s="230"/>
      <c r="Q1563" s="219"/>
      <c r="R1563" s="198"/>
      <c r="S1563" s="198"/>
      <c r="T1563" s="198"/>
      <c r="U1563" s="198"/>
      <c r="V1563" s="198"/>
      <c r="W1563" s="198"/>
      <c r="X1563" s="198"/>
    </row>
    <row r="1564" ht="12.0" customHeight="1">
      <c r="A1564" s="222" t="str">
        <f>IF(COUNTIFS(RC_OUT[BLOCK],RC_IN[BLOCK],RC_OUT[REMARKS],"*CLOSED*")&gt;0,"CLOSED",IF(COUNTIFS(RC_OUT[BLOCK],RC_IN[BLOCK],RC_OUT[WT],"&gt;0")&gt;0,"IN-USE",""))
</f>
        <v/>
      </c>
      <c r="B1564" s="223" t="str">
        <f>IFERROR(__xludf.DUMMYFUNCTION("IFERROR(IF(F1564&lt;&gt;"""",""WHSE ""&amp;LEFT(F1564,1),REGEXEXTRACT(E1564,""-(?:\d{2}-)?([A-Z]+)"")),"""")
"),"")</f>
        <v/>
      </c>
      <c r="C1564" s="224"/>
      <c r="D1564" s="219"/>
      <c r="E1564" s="225"/>
      <c r="F1564" s="225"/>
      <c r="G1564" s="226"/>
      <c r="H1564" s="225"/>
      <c r="I1564" s="227"/>
      <c r="J1564" s="228"/>
      <c r="K1564" s="229"/>
      <c r="L1564" s="229"/>
      <c r="M1564" s="229"/>
      <c r="N1564" s="230"/>
      <c r="O1564" s="228"/>
      <c r="P1564" s="230"/>
      <c r="Q1564" s="219"/>
      <c r="R1564" s="198"/>
      <c r="S1564" s="198"/>
      <c r="T1564" s="198"/>
      <c r="U1564" s="198"/>
      <c r="V1564" s="198"/>
      <c r="W1564" s="198"/>
      <c r="X1564" s="198"/>
    </row>
    <row r="1565" ht="12.0" customHeight="1">
      <c r="A1565" s="222" t="str">
        <f>IF(COUNTIFS(RC_OUT[BLOCK],RC_IN[BLOCK],RC_OUT[REMARKS],"*CLOSED*")&gt;0,"CLOSED",IF(COUNTIFS(RC_OUT[BLOCK],RC_IN[BLOCK],RC_OUT[WT],"&gt;0")&gt;0,"IN-USE",""))
</f>
        <v/>
      </c>
      <c r="B1565" s="223" t="str">
        <f>IFERROR(__xludf.DUMMYFUNCTION("IFERROR(IF(F1565&lt;&gt;"""",""WHSE ""&amp;LEFT(F1565,1),REGEXEXTRACT(E1565,""-(?:\d{2}-)?([A-Z]+)"")),"""")
"),"")</f>
        <v/>
      </c>
      <c r="C1565" s="224"/>
      <c r="D1565" s="219"/>
      <c r="E1565" s="225"/>
      <c r="F1565" s="225"/>
      <c r="G1565" s="226"/>
      <c r="H1565" s="225"/>
      <c r="I1565" s="227"/>
      <c r="J1565" s="228"/>
      <c r="K1565" s="229"/>
      <c r="L1565" s="229"/>
      <c r="M1565" s="229"/>
      <c r="N1565" s="230"/>
      <c r="O1565" s="228"/>
      <c r="P1565" s="230"/>
      <c r="Q1565" s="219"/>
      <c r="R1565" s="198"/>
      <c r="S1565" s="198"/>
      <c r="T1565" s="198"/>
      <c r="U1565" s="198"/>
      <c r="V1565" s="198"/>
      <c r="W1565" s="198"/>
      <c r="X1565" s="198"/>
    </row>
    <row r="1566" ht="12.0" customHeight="1">
      <c r="A1566" s="222" t="str">
        <f>IF(COUNTIFS(RC_OUT[BLOCK],RC_IN[BLOCK],RC_OUT[REMARKS],"*CLOSED*")&gt;0,"CLOSED",IF(COUNTIFS(RC_OUT[BLOCK],RC_IN[BLOCK],RC_OUT[WT],"&gt;0")&gt;0,"IN-USE",""))
</f>
        <v/>
      </c>
      <c r="B1566" s="223" t="str">
        <f>IFERROR(__xludf.DUMMYFUNCTION("IFERROR(IF(F1566&lt;&gt;"""",""WHSE ""&amp;LEFT(F1566,1),REGEXEXTRACT(E1566,""-(?:\d{2}-)?([A-Z]+)"")),"""")
"),"")</f>
        <v/>
      </c>
      <c r="C1566" s="224"/>
      <c r="D1566" s="219"/>
      <c r="E1566" s="225"/>
      <c r="F1566" s="225"/>
      <c r="G1566" s="226"/>
      <c r="H1566" s="225"/>
      <c r="I1566" s="227"/>
      <c r="J1566" s="228"/>
      <c r="K1566" s="229"/>
      <c r="L1566" s="229"/>
      <c r="M1566" s="229"/>
      <c r="N1566" s="230"/>
      <c r="O1566" s="228"/>
      <c r="P1566" s="230"/>
      <c r="Q1566" s="219"/>
      <c r="R1566" s="198"/>
      <c r="S1566" s="198"/>
      <c r="T1566" s="198"/>
      <c r="U1566" s="198"/>
      <c r="V1566" s="198"/>
      <c r="W1566" s="198"/>
      <c r="X1566" s="198"/>
    </row>
    <row r="1567" ht="12.0" customHeight="1">
      <c r="A1567" s="222" t="str">
        <f>IF(COUNTIFS(RC_OUT[BLOCK],RC_IN[BLOCK],RC_OUT[REMARKS],"*CLOSED*")&gt;0,"CLOSED",IF(COUNTIFS(RC_OUT[BLOCK],RC_IN[BLOCK],RC_OUT[WT],"&gt;0")&gt;0,"IN-USE",""))
</f>
        <v/>
      </c>
      <c r="B1567" s="223" t="str">
        <f>IFERROR(__xludf.DUMMYFUNCTION("IFERROR(IF(F1567&lt;&gt;"""",""WHSE ""&amp;LEFT(F1567,1),REGEXEXTRACT(E1567,""-(?:\d{2}-)?([A-Z]+)"")),"""")
"),"")</f>
        <v/>
      </c>
      <c r="C1567" s="224"/>
      <c r="D1567" s="219"/>
      <c r="E1567" s="225"/>
      <c r="F1567" s="225"/>
      <c r="G1567" s="226"/>
      <c r="H1567" s="225"/>
      <c r="I1567" s="227"/>
      <c r="J1567" s="228"/>
      <c r="K1567" s="229"/>
      <c r="L1567" s="229"/>
      <c r="M1567" s="229"/>
      <c r="N1567" s="230"/>
      <c r="O1567" s="228"/>
      <c r="P1567" s="230"/>
      <c r="Q1567" s="219"/>
      <c r="R1567" s="198"/>
      <c r="S1567" s="198"/>
      <c r="T1567" s="198"/>
      <c r="U1567" s="198"/>
      <c r="V1567" s="198"/>
      <c r="W1567" s="198"/>
      <c r="X1567" s="198"/>
    </row>
    <row r="1568" ht="12.0" customHeight="1">
      <c r="A1568" s="222" t="str">
        <f>IF(COUNTIFS(RC_OUT[BLOCK],RC_IN[BLOCK],RC_OUT[REMARKS],"*CLOSED*")&gt;0,"CLOSED",IF(COUNTIFS(RC_OUT[BLOCK],RC_IN[BLOCK],RC_OUT[WT],"&gt;0")&gt;0,"IN-USE",""))
</f>
        <v/>
      </c>
      <c r="B1568" s="223" t="str">
        <f>IFERROR(__xludf.DUMMYFUNCTION("IFERROR(IF(F1568&lt;&gt;"""",""WHSE ""&amp;LEFT(F1568,1),REGEXEXTRACT(E1568,""-(?:\d{2}-)?([A-Z]+)"")),"""")
"),"")</f>
        <v/>
      </c>
      <c r="C1568" s="224"/>
      <c r="D1568" s="219"/>
      <c r="E1568" s="225"/>
      <c r="F1568" s="225"/>
      <c r="G1568" s="226"/>
      <c r="H1568" s="225"/>
      <c r="I1568" s="227"/>
      <c r="J1568" s="228"/>
      <c r="K1568" s="229"/>
      <c r="L1568" s="229"/>
      <c r="M1568" s="229"/>
      <c r="N1568" s="230"/>
      <c r="O1568" s="228"/>
      <c r="P1568" s="230"/>
      <c r="Q1568" s="219"/>
      <c r="R1568" s="198"/>
      <c r="S1568" s="198"/>
      <c r="T1568" s="198"/>
      <c r="U1568" s="198"/>
      <c r="V1568" s="198"/>
      <c r="W1568" s="198"/>
      <c r="X1568" s="198"/>
    </row>
    <row r="1569" ht="12.0" customHeight="1">
      <c r="A1569" s="222" t="str">
        <f>IF(COUNTIFS(RC_OUT[BLOCK],RC_IN[BLOCK],RC_OUT[REMARKS],"*CLOSED*")&gt;0,"CLOSED",IF(COUNTIFS(RC_OUT[BLOCK],RC_IN[BLOCK],RC_OUT[WT],"&gt;0")&gt;0,"IN-USE",""))
</f>
        <v/>
      </c>
      <c r="B1569" s="223" t="str">
        <f>IFERROR(__xludf.DUMMYFUNCTION("IFERROR(IF(F1569&lt;&gt;"""",""WHSE ""&amp;LEFT(F1569,1),REGEXEXTRACT(E1569,""-(?:\d{2}-)?([A-Z]+)"")),"""")
"),"")</f>
        <v/>
      </c>
      <c r="C1569" s="224"/>
      <c r="D1569" s="219"/>
      <c r="E1569" s="225"/>
      <c r="F1569" s="225"/>
      <c r="G1569" s="226"/>
      <c r="H1569" s="225"/>
      <c r="I1569" s="227"/>
      <c r="J1569" s="228"/>
      <c r="K1569" s="229"/>
      <c r="L1569" s="229"/>
      <c r="M1569" s="229"/>
      <c r="N1569" s="230"/>
      <c r="O1569" s="228"/>
      <c r="P1569" s="230"/>
      <c r="Q1569" s="219"/>
      <c r="R1569" s="198"/>
      <c r="S1569" s="198"/>
      <c r="T1569" s="198"/>
      <c r="U1569" s="198"/>
      <c r="V1569" s="198"/>
      <c r="W1569" s="198"/>
      <c r="X1569" s="198"/>
    </row>
    <row r="1570" ht="12.0" customHeight="1">
      <c r="A1570" s="222" t="str">
        <f>IF(COUNTIFS(RC_OUT[BLOCK],RC_IN[BLOCK],RC_OUT[REMARKS],"*CLOSED*")&gt;0,"CLOSED",IF(COUNTIFS(RC_OUT[BLOCK],RC_IN[BLOCK],RC_OUT[WT],"&gt;0")&gt;0,"IN-USE",""))
</f>
        <v/>
      </c>
      <c r="B1570" s="223" t="str">
        <f>IFERROR(__xludf.DUMMYFUNCTION("IFERROR(IF(F1570&lt;&gt;"""",""WHSE ""&amp;LEFT(F1570,1),REGEXEXTRACT(E1570,""-(?:\d{2}-)?([A-Z]+)"")),"""")
"),"")</f>
        <v/>
      </c>
      <c r="C1570" s="224"/>
      <c r="D1570" s="219"/>
      <c r="E1570" s="225"/>
      <c r="F1570" s="225"/>
      <c r="G1570" s="226"/>
      <c r="H1570" s="225"/>
      <c r="I1570" s="227"/>
      <c r="J1570" s="228"/>
      <c r="K1570" s="229"/>
      <c r="L1570" s="229"/>
      <c r="M1570" s="229"/>
      <c r="N1570" s="230"/>
      <c r="O1570" s="228"/>
      <c r="P1570" s="230"/>
      <c r="Q1570" s="219"/>
      <c r="R1570" s="198"/>
      <c r="S1570" s="198"/>
      <c r="T1570" s="198"/>
      <c r="U1570" s="198"/>
      <c r="V1570" s="198"/>
      <c r="W1570" s="198"/>
      <c r="X1570" s="198"/>
    </row>
    <row r="1571" ht="12.0" customHeight="1">
      <c r="A1571" s="222" t="str">
        <f>IF(COUNTIFS(RC_OUT[BLOCK],RC_IN[BLOCK],RC_OUT[REMARKS],"*CLOSED*")&gt;0,"CLOSED",IF(COUNTIFS(RC_OUT[BLOCK],RC_IN[BLOCK],RC_OUT[WT],"&gt;0")&gt;0,"IN-USE",""))
</f>
        <v/>
      </c>
      <c r="B1571" s="223" t="str">
        <f>IFERROR(__xludf.DUMMYFUNCTION("IFERROR(IF(F1571&lt;&gt;"""",""WHSE ""&amp;LEFT(F1571,1),REGEXEXTRACT(E1571,""-(?:\d{2}-)?([A-Z]+)"")),"""")
"),"")</f>
        <v/>
      </c>
      <c r="C1571" s="224"/>
      <c r="D1571" s="219"/>
      <c r="E1571" s="225"/>
      <c r="F1571" s="225"/>
      <c r="G1571" s="226"/>
      <c r="H1571" s="225"/>
      <c r="I1571" s="227"/>
      <c r="J1571" s="228"/>
      <c r="K1571" s="229"/>
      <c r="L1571" s="229"/>
      <c r="M1571" s="229"/>
      <c r="N1571" s="230"/>
      <c r="O1571" s="228"/>
      <c r="P1571" s="230"/>
      <c r="Q1571" s="219"/>
      <c r="R1571" s="198"/>
      <c r="S1571" s="198"/>
      <c r="T1571" s="198"/>
      <c r="U1571" s="198"/>
      <c r="V1571" s="198"/>
      <c r="W1571" s="198"/>
      <c r="X1571" s="198"/>
    </row>
    <row r="1572" ht="12.0" customHeight="1">
      <c r="A1572" s="222" t="str">
        <f>IF(COUNTIFS(RC_OUT[BLOCK],RC_IN[BLOCK],RC_OUT[REMARKS],"*CLOSED*")&gt;0,"CLOSED",IF(COUNTIFS(RC_OUT[BLOCK],RC_IN[BLOCK],RC_OUT[WT],"&gt;0")&gt;0,"IN-USE",""))
</f>
        <v/>
      </c>
      <c r="B1572" s="223" t="str">
        <f>IFERROR(__xludf.DUMMYFUNCTION("IFERROR(IF(F1572&lt;&gt;"""",""WHSE ""&amp;LEFT(F1572,1),REGEXEXTRACT(E1572,""-(?:\d{2}-)?([A-Z]+)"")),"""")
"),"")</f>
        <v/>
      </c>
      <c r="C1572" s="224"/>
      <c r="D1572" s="219"/>
      <c r="E1572" s="225"/>
      <c r="F1572" s="225"/>
      <c r="G1572" s="226"/>
      <c r="H1572" s="225"/>
      <c r="I1572" s="227"/>
      <c r="J1572" s="228"/>
      <c r="K1572" s="229"/>
      <c r="L1572" s="229"/>
      <c r="M1572" s="229"/>
      <c r="N1572" s="230"/>
      <c r="O1572" s="228"/>
      <c r="P1572" s="230"/>
      <c r="Q1572" s="219"/>
      <c r="R1572" s="198"/>
      <c r="S1572" s="198"/>
      <c r="T1572" s="198"/>
      <c r="U1572" s="198"/>
      <c r="V1572" s="198"/>
      <c r="W1572" s="198"/>
      <c r="X1572" s="198"/>
    </row>
    <row r="1573" ht="12.0" customHeight="1">
      <c r="A1573" s="222" t="str">
        <f>IF(COUNTIFS(RC_OUT[BLOCK],RC_IN[BLOCK],RC_OUT[REMARKS],"*CLOSED*")&gt;0,"CLOSED",IF(COUNTIFS(RC_OUT[BLOCK],RC_IN[BLOCK],RC_OUT[WT],"&gt;0")&gt;0,"IN-USE",""))
</f>
        <v/>
      </c>
      <c r="B1573" s="223" t="str">
        <f>IFERROR(__xludf.DUMMYFUNCTION("IFERROR(IF(F1573&lt;&gt;"""",""WHSE ""&amp;LEFT(F1573,1),REGEXEXTRACT(E1573,""-(?:\d{2}-)?([A-Z]+)"")),"""")
"),"")</f>
        <v/>
      </c>
      <c r="C1573" s="224"/>
      <c r="D1573" s="219"/>
      <c r="E1573" s="225"/>
      <c r="F1573" s="225"/>
      <c r="G1573" s="226"/>
      <c r="H1573" s="225"/>
      <c r="I1573" s="227"/>
      <c r="J1573" s="228"/>
      <c r="K1573" s="229"/>
      <c r="L1573" s="229"/>
      <c r="M1573" s="229"/>
      <c r="N1573" s="230"/>
      <c r="O1573" s="228"/>
      <c r="P1573" s="230"/>
      <c r="Q1573" s="219"/>
      <c r="R1573" s="198"/>
      <c r="S1573" s="198"/>
      <c r="T1573" s="198"/>
      <c r="U1573" s="198"/>
      <c r="V1573" s="198"/>
      <c r="W1573" s="198"/>
      <c r="X1573" s="198"/>
    </row>
    <row r="1574" ht="12.0" customHeight="1">
      <c r="A1574" s="222" t="str">
        <f>IF(COUNTIFS(RC_OUT[BLOCK],RC_IN[BLOCK],RC_OUT[REMARKS],"*CLOSED*")&gt;0,"CLOSED",IF(COUNTIFS(RC_OUT[BLOCK],RC_IN[BLOCK],RC_OUT[WT],"&gt;0")&gt;0,"IN-USE",""))
</f>
        <v/>
      </c>
      <c r="B1574" s="223" t="str">
        <f>IFERROR(__xludf.DUMMYFUNCTION("IFERROR(IF(F1574&lt;&gt;"""",""WHSE ""&amp;LEFT(F1574,1),REGEXEXTRACT(E1574,""-(?:\d{2}-)?([A-Z]+)"")),"""")
"),"")</f>
        <v/>
      </c>
      <c r="C1574" s="224"/>
      <c r="D1574" s="219"/>
      <c r="E1574" s="225"/>
      <c r="F1574" s="225"/>
      <c r="G1574" s="226"/>
      <c r="H1574" s="225"/>
      <c r="I1574" s="227"/>
      <c r="J1574" s="228"/>
      <c r="K1574" s="229"/>
      <c r="L1574" s="229"/>
      <c r="M1574" s="229"/>
      <c r="N1574" s="230"/>
      <c r="O1574" s="228"/>
      <c r="P1574" s="230"/>
      <c r="Q1574" s="219"/>
      <c r="R1574" s="198"/>
      <c r="S1574" s="198"/>
      <c r="T1574" s="198"/>
      <c r="U1574" s="198"/>
      <c r="V1574" s="198"/>
      <c r="W1574" s="198"/>
      <c r="X1574" s="198"/>
    </row>
    <row r="1575" ht="12.0" customHeight="1">
      <c r="A1575" s="222" t="str">
        <f>IF(COUNTIFS(RC_OUT[BLOCK],RC_IN[BLOCK],RC_OUT[REMARKS],"*CLOSED*")&gt;0,"CLOSED",IF(COUNTIFS(RC_OUT[BLOCK],RC_IN[BLOCK],RC_OUT[WT],"&gt;0")&gt;0,"IN-USE",""))
</f>
        <v/>
      </c>
      <c r="B1575" s="223" t="str">
        <f>IFERROR(__xludf.DUMMYFUNCTION("IFERROR(IF(F1575&lt;&gt;"""",""WHSE ""&amp;LEFT(F1575,1),REGEXEXTRACT(E1575,""-(?:\d{2}-)?([A-Z]+)"")),"""")
"),"")</f>
        <v/>
      </c>
      <c r="C1575" s="224"/>
      <c r="D1575" s="219"/>
      <c r="E1575" s="225"/>
      <c r="F1575" s="225"/>
      <c r="G1575" s="226"/>
      <c r="H1575" s="225"/>
      <c r="I1575" s="227"/>
      <c r="J1575" s="228"/>
      <c r="K1575" s="229"/>
      <c r="L1575" s="229"/>
      <c r="M1575" s="229"/>
      <c r="N1575" s="230"/>
      <c r="O1575" s="228"/>
      <c r="P1575" s="230"/>
      <c r="Q1575" s="219"/>
      <c r="R1575" s="198"/>
      <c r="S1575" s="198"/>
      <c r="T1575" s="198"/>
      <c r="U1575" s="198"/>
      <c r="V1575" s="198"/>
      <c r="W1575" s="198"/>
      <c r="X1575" s="198"/>
    </row>
    <row r="1576" ht="12.0" customHeight="1">
      <c r="A1576" s="222" t="str">
        <f>IF(COUNTIFS(RC_OUT[BLOCK],RC_IN[BLOCK],RC_OUT[REMARKS],"*CLOSED*")&gt;0,"CLOSED",IF(COUNTIFS(RC_OUT[BLOCK],RC_IN[BLOCK],RC_OUT[WT],"&gt;0")&gt;0,"IN-USE",""))
</f>
        <v/>
      </c>
      <c r="B1576" s="223" t="str">
        <f>IFERROR(__xludf.DUMMYFUNCTION("IFERROR(IF(F1576&lt;&gt;"""",""WHSE ""&amp;LEFT(F1576,1),REGEXEXTRACT(E1576,""-(?:\d{2}-)?([A-Z]+)"")),"""")
"),"")</f>
        <v/>
      </c>
      <c r="C1576" s="224"/>
      <c r="D1576" s="219"/>
      <c r="E1576" s="225"/>
      <c r="F1576" s="225"/>
      <c r="G1576" s="226"/>
      <c r="H1576" s="225"/>
      <c r="I1576" s="227"/>
      <c r="J1576" s="228"/>
      <c r="K1576" s="229"/>
      <c r="L1576" s="229"/>
      <c r="M1576" s="229"/>
      <c r="N1576" s="230"/>
      <c r="O1576" s="228"/>
      <c r="P1576" s="230"/>
      <c r="Q1576" s="219"/>
      <c r="R1576" s="198"/>
      <c r="S1576" s="198"/>
      <c r="T1576" s="198"/>
      <c r="U1576" s="198"/>
      <c r="V1576" s="198"/>
      <c r="W1576" s="198"/>
      <c r="X1576" s="198"/>
    </row>
    <row r="1577" ht="12.0" customHeight="1">
      <c r="A1577" s="222" t="str">
        <f>IF(COUNTIFS(RC_OUT[BLOCK],RC_IN[BLOCK],RC_OUT[REMARKS],"*CLOSED*")&gt;0,"CLOSED",IF(COUNTIFS(RC_OUT[BLOCK],RC_IN[BLOCK],RC_OUT[WT],"&gt;0")&gt;0,"IN-USE",""))
</f>
        <v/>
      </c>
      <c r="B1577" s="223" t="str">
        <f>IFERROR(__xludf.DUMMYFUNCTION("IFERROR(IF(F1577&lt;&gt;"""",""WHSE ""&amp;LEFT(F1577,1),REGEXEXTRACT(E1577,""-(?:\d{2}-)?([A-Z]+)"")),"""")
"),"")</f>
        <v/>
      </c>
      <c r="C1577" s="224"/>
      <c r="D1577" s="219"/>
      <c r="E1577" s="225"/>
      <c r="F1577" s="225"/>
      <c r="G1577" s="226"/>
      <c r="H1577" s="225"/>
      <c r="I1577" s="227"/>
      <c r="J1577" s="228"/>
      <c r="K1577" s="229"/>
      <c r="L1577" s="229"/>
      <c r="M1577" s="229"/>
      <c r="N1577" s="230"/>
      <c r="O1577" s="228"/>
      <c r="P1577" s="230"/>
      <c r="Q1577" s="219"/>
      <c r="R1577" s="198"/>
      <c r="S1577" s="198"/>
      <c r="T1577" s="198"/>
      <c r="U1577" s="198"/>
      <c r="V1577" s="198"/>
      <c r="W1577" s="198"/>
      <c r="X1577" s="198"/>
    </row>
    <row r="1578" ht="12.0" customHeight="1">
      <c r="A1578" s="222" t="str">
        <f>IF(COUNTIFS(RC_OUT[BLOCK],RC_IN[BLOCK],RC_OUT[REMARKS],"*CLOSED*")&gt;0,"CLOSED",IF(COUNTIFS(RC_OUT[BLOCK],RC_IN[BLOCK],RC_OUT[WT],"&gt;0")&gt;0,"IN-USE",""))
</f>
        <v/>
      </c>
      <c r="B1578" s="223" t="str">
        <f>IFERROR(__xludf.DUMMYFUNCTION("IFERROR(IF(F1578&lt;&gt;"""",""WHSE ""&amp;LEFT(F1578,1),REGEXEXTRACT(E1578,""-(?:\d{2}-)?([A-Z]+)"")),"""")
"),"")</f>
        <v/>
      </c>
      <c r="C1578" s="224"/>
      <c r="D1578" s="219"/>
      <c r="E1578" s="225"/>
      <c r="F1578" s="225"/>
      <c r="G1578" s="226"/>
      <c r="H1578" s="225"/>
      <c r="I1578" s="227"/>
      <c r="J1578" s="228"/>
      <c r="K1578" s="229"/>
      <c r="L1578" s="229"/>
      <c r="M1578" s="229"/>
      <c r="N1578" s="230"/>
      <c r="O1578" s="228"/>
      <c r="P1578" s="230"/>
      <c r="Q1578" s="219"/>
      <c r="R1578" s="198"/>
      <c r="S1578" s="198"/>
      <c r="T1578" s="198"/>
      <c r="U1578" s="198"/>
      <c r="V1578" s="198"/>
      <c r="W1578" s="198"/>
      <c r="X1578" s="198"/>
    </row>
    <row r="1579" ht="12.0" customHeight="1">
      <c r="A1579" s="222" t="str">
        <f>IF(COUNTIFS(RC_OUT[BLOCK],RC_IN[BLOCK],RC_OUT[REMARKS],"*CLOSED*")&gt;0,"CLOSED",IF(COUNTIFS(RC_OUT[BLOCK],RC_IN[BLOCK],RC_OUT[WT],"&gt;0")&gt;0,"IN-USE",""))
</f>
        <v/>
      </c>
      <c r="B1579" s="223" t="str">
        <f>IFERROR(__xludf.DUMMYFUNCTION("IFERROR(IF(F1579&lt;&gt;"""",""WHSE ""&amp;LEFT(F1579,1),REGEXEXTRACT(E1579,""-(?:\d{2}-)?([A-Z]+)"")),"""")
"),"")</f>
        <v/>
      </c>
      <c r="C1579" s="224"/>
      <c r="D1579" s="219"/>
      <c r="E1579" s="225"/>
      <c r="F1579" s="225"/>
      <c r="G1579" s="226"/>
      <c r="H1579" s="225"/>
      <c r="I1579" s="227"/>
      <c r="J1579" s="228"/>
      <c r="K1579" s="229"/>
      <c r="L1579" s="229"/>
      <c r="M1579" s="229"/>
      <c r="N1579" s="230"/>
      <c r="O1579" s="228"/>
      <c r="P1579" s="230"/>
      <c r="Q1579" s="219"/>
      <c r="R1579" s="198"/>
      <c r="S1579" s="198"/>
      <c r="T1579" s="198"/>
      <c r="U1579" s="198"/>
      <c r="V1579" s="198"/>
      <c r="W1579" s="198"/>
      <c r="X1579" s="198"/>
    </row>
    <row r="1580" ht="12.0" customHeight="1">
      <c r="A1580" s="222" t="str">
        <f>IF(COUNTIFS(RC_OUT[BLOCK],RC_IN[BLOCK],RC_OUT[REMARKS],"*CLOSED*")&gt;0,"CLOSED",IF(COUNTIFS(RC_OUT[BLOCK],RC_IN[BLOCK],RC_OUT[WT],"&gt;0")&gt;0,"IN-USE",""))
</f>
        <v/>
      </c>
      <c r="B1580" s="223" t="str">
        <f>IFERROR(__xludf.DUMMYFUNCTION("IFERROR(IF(F1580&lt;&gt;"""",""WHSE ""&amp;LEFT(F1580,1),REGEXEXTRACT(E1580,""-(?:\d{2}-)?([A-Z]+)"")),"""")
"),"")</f>
        <v/>
      </c>
      <c r="C1580" s="224"/>
      <c r="D1580" s="219"/>
      <c r="E1580" s="225"/>
      <c r="F1580" s="225"/>
      <c r="G1580" s="226"/>
      <c r="H1580" s="225"/>
      <c r="I1580" s="227"/>
      <c r="J1580" s="228"/>
      <c r="K1580" s="229"/>
      <c r="L1580" s="229"/>
      <c r="M1580" s="229"/>
      <c r="N1580" s="230"/>
      <c r="O1580" s="228"/>
      <c r="P1580" s="230"/>
      <c r="Q1580" s="219"/>
      <c r="R1580" s="198"/>
      <c r="S1580" s="198"/>
      <c r="T1580" s="198"/>
      <c r="U1580" s="198"/>
      <c r="V1580" s="198"/>
      <c r="W1580" s="198"/>
      <c r="X1580" s="198"/>
    </row>
    <row r="1581" ht="12.0" customHeight="1">
      <c r="A1581" s="222" t="str">
        <f>IF(COUNTIFS(RC_OUT[BLOCK],RC_IN[BLOCK],RC_OUT[REMARKS],"*CLOSED*")&gt;0,"CLOSED",IF(COUNTIFS(RC_OUT[BLOCK],RC_IN[BLOCK],RC_OUT[WT],"&gt;0")&gt;0,"IN-USE",""))
</f>
        <v/>
      </c>
      <c r="B1581" s="223" t="str">
        <f>IFERROR(__xludf.DUMMYFUNCTION("IFERROR(IF(F1581&lt;&gt;"""",""WHSE ""&amp;LEFT(F1581,1),REGEXEXTRACT(E1581,""-(?:\d{2}-)?([A-Z]+)"")),"""")
"),"")</f>
        <v/>
      </c>
      <c r="C1581" s="224"/>
      <c r="D1581" s="219"/>
      <c r="E1581" s="225"/>
      <c r="F1581" s="225"/>
      <c r="G1581" s="226"/>
      <c r="H1581" s="225"/>
      <c r="I1581" s="227"/>
      <c r="J1581" s="228"/>
      <c r="K1581" s="229"/>
      <c r="L1581" s="229"/>
      <c r="M1581" s="229"/>
      <c r="N1581" s="230"/>
      <c r="O1581" s="228"/>
      <c r="P1581" s="230"/>
      <c r="Q1581" s="219"/>
      <c r="R1581" s="198"/>
      <c r="S1581" s="198"/>
      <c r="T1581" s="198"/>
      <c r="U1581" s="198"/>
      <c r="V1581" s="198"/>
      <c r="W1581" s="198"/>
      <c r="X1581" s="198"/>
    </row>
    <row r="1582" ht="12.0" customHeight="1">
      <c r="A1582" s="222" t="str">
        <f>IF(COUNTIFS(RC_OUT[BLOCK],RC_IN[BLOCK],RC_OUT[REMARKS],"*CLOSED*")&gt;0,"CLOSED",IF(COUNTIFS(RC_OUT[BLOCK],RC_IN[BLOCK],RC_OUT[WT],"&gt;0")&gt;0,"IN-USE",""))
</f>
        <v/>
      </c>
      <c r="B1582" s="223" t="str">
        <f>IFERROR(__xludf.DUMMYFUNCTION("IFERROR(IF(F1582&lt;&gt;"""",""WHSE ""&amp;LEFT(F1582,1),REGEXEXTRACT(E1582,""-(?:\d{2}-)?([A-Z]+)"")),"""")
"),"")</f>
        <v/>
      </c>
      <c r="C1582" s="224"/>
      <c r="D1582" s="219"/>
      <c r="E1582" s="225"/>
      <c r="F1582" s="225"/>
      <c r="G1582" s="226"/>
      <c r="H1582" s="225"/>
      <c r="I1582" s="227"/>
      <c r="J1582" s="228"/>
      <c r="K1582" s="229"/>
      <c r="L1582" s="229"/>
      <c r="M1582" s="229"/>
      <c r="N1582" s="230"/>
      <c r="O1582" s="228"/>
      <c r="P1582" s="230"/>
      <c r="Q1582" s="219"/>
      <c r="R1582" s="198"/>
      <c r="S1582" s="198"/>
      <c r="T1582" s="198"/>
      <c r="U1582" s="198"/>
      <c r="V1582" s="198"/>
      <c r="W1582" s="198"/>
      <c r="X1582" s="198"/>
    </row>
    <row r="1583" ht="12.0" customHeight="1">
      <c r="A1583" s="222" t="str">
        <f>IF(COUNTIFS(RC_OUT[BLOCK],RC_IN[BLOCK],RC_OUT[REMARKS],"*CLOSED*")&gt;0,"CLOSED",IF(COUNTIFS(RC_OUT[BLOCK],RC_IN[BLOCK],RC_OUT[WT],"&gt;0")&gt;0,"IN-USE",""))
</f>
        <v/>
      </c>
      <c r="B1583" s="223" t="str">
        <f>IFERROR(__xludf.DUMMYFUNCTION("IFERROR(IF(F1583&lt;&gt;"""",""WHSE ""&amp;LEFT(F1583,1),REGEXEXTRACT(E1583,""-(?:\d{2}-)?([A-Z]+)"")),"""")
"),"")</f>
        <v/>
      </c>
      <c r="C1583" s="224"/>
      <c r="D1583" s="219"/>
      <c r="E1583" s="225"/>
      <c r="F1583" s="225"/>
      <c r="G1583" s="226"/>
      <c r="H1583" s="225"/>
      <c r="I1583" s="227"/>
      <c r="J1583" s="228"/>
      <c r="K1583" s="229"/>
      <c r="L1583" s="229"/>
      <c r="M1583" s="229"/>
      <c r="N1583" s="230"/>
      <c r="O1583" s="228"/>
      <c r="P1583" s="230"/>
      <c r="Q1583" s="219"/>
      <c r="R1583" s="198"/>
      <c r="S1583" s="198"/>
      <c r="T1583" s="198"/>
      <c r="U1583" s="198"/>
      <c r="V1583" s="198"/>
      <c r="W1583" s="198"/>
      <c r="X1583" s="198"/>
    </row>
    <row r="1584" ht="12.0" customHeight="1">
      <c r="A1584" s="222" t="str">
        <f>IF(COUNTIFS(RC_OUT[BLOCK],RC_IN[BLOCK],RC_OUT[REMARKS],"*CLOSED*")&gt;0,"CLOSED",IF(COUNTIFS(RC_OUT[BLOCK],RC_IN[BLOCK],RC_OUT[WT],"&gt;0")&gt;0,"IN-USE",""))
</f>
        <v/>
      </c>
      <c r="B1584" s="223" t="str">
        <f>IFERROR(__xludf.DUMMYFUNCTION("IFERROR(IF(F1584&lt;&gt;"""",""WHSE ""&amp;LEFT(F1584,1),REGEXEXTRACT(E1584,""-(?:\d{2}-)?([A-Z]+)"")),"""")
"),"")</f>
        <v/>
      </c>
      <c r="C1584" s="224"/>
      <c r="D1584" s="219"/>
      <c r="E1584" s="225"/>
      <c r="F1584" s="225"/>
      <c r="G1584" s="226"/>
      <c r="H1584" s="225"/>
      <c r="I1584" s="227"/>
      <c r="J1584" s="228"/>
      <c r="K1584" s="229"/>
      <c r="L1584" s="229"/>
      <c r="M1584" s="229"/>
      <c r="N1584" s="230"/>
      <c r="O1584" s="228"/>
      <c r="P1584" s="230"/>
      <c r="Q1584" s="219"/>
      <c r="R1584" s="198"/>
      <c r="S1584" s="198"/>
      <c r="T1584" s="198"/>
      <c r="U1584" s="198"/>
      <c r="V1584" s="198"/>
      <c r="W1584" s="198"/>
      <c r="X1584" s="198"/>
    </row>
    <row r="1585" ht="12.0" customHeight="1">
      <c r="A1585" s="222" t="str">
        <f>IF(COUNTIFS(RC_OUT[BLOCK],RC_IN[BLOCK],RC_OUT[REMARKS],"*CLOSED*")&gt;0,"CLOSED",IF(COUNTIFS(RC_OUT[BLOCK],RC_IN[BLOCK],RC_OUT[WT],"&gt;0")&gt;0,"IN-USE",""))
</f>
        <v/>
      </c>
      <c r="B1585" s="223" t="str">
        <f>IFERROR(__xludf.DUMMYFUNCTION("IFERROR(IF(F1585&lt;&gt;"""",""WHSE ""&amp;LEFT(F1585,1),REGEXEXTRACT(E1585,""-(?:\d{2}-)?([A-Z]+)"")),"""")
"),"")</f>
        <v/>
      </c>
      <c r="C1585" s="224"/>
      <c r="D1585" s="219"/>
      <c r="E1585" s="225"/>
      <c r="F1585" s="225"/>
      <c r="G1585" s="226"/>
      <c r="H1585" s="225"/>
      <c r="I1585" s="227"/>
      <c r="J1585" s="228"/>
      <c r="K1585" s="229"/>
      <c r="L1585" s="229"/>
      <c r="M1585" s="229"/>
      <c r="N1585" s="230"/>
      <c r="O1585" s="228"/>
      <c r="P1585" s="230"/>
      <c r="Q1585" s="219"/>
      <c r="R1585" s="198"/>
      <c r="S1585" s="198"/>
      <c r="T1585" s="198"/>
      <c r="U1585" s="198"/>
      <c r="V1585" s="198"/>
      <c r="W1585" s="198"/>
      <c r="X1585" s="198"/>
    </row>
    <row r="1586" ht="12.0" customHeight="1">
      <c r="A1586" s="222" t="str">
        <f>IF(COUNTIFS(RC_OUT[BLOCK],RC_IN[BLOCK],RC_OUT[REMARKS],"*CLOSED*")&gt;0,"CLOSED",IF(COUNTIFS(RC_OUT[BLOCK],RC_IN[BLOCK],RC_OUT[WT],"&gt;0")&gt;0,"IN-USE",""))
</f>
        <v/>
      </c>
      <c r="B1586" s="223" t="str">
        <f>IFERROR(__xludf.DUMMYFUNCTION("IFERROR(IF(F1586&lt;&gt;"""",""WHSE ""&amp;LEFT(F1586,1),REGEXEXTRACT(E1586,""-(?:\d{2}-)?([A-Z]+)"")),"""")
"),"")</f>
        <v/>
      </c>
      <c r="C1586" s="224"/>
      <c r="D1586" s="219"/>
      <c r="E1586" s="225"/>
      <c r="F1586" s="225"/>
      <c r="G1586" s="226"/>
      <c r="H1586" s="225"/>
      <c r="I1586" s="227"/>
      <c r="J1586" s="228"/>
      <c r="K1586" s="229"/>
      <c r="L1586" s="229"/>
      <c r="M1586" s="229"/>
      <c r="N1586" s="230"/>
      <c r="O1586" s="228"/>
      <c r="P1586" s="230"/>
      <c r="Q1586" s="219"/>
      <c r="R1586" s="198"/>
      <c r="S1586" s="198"/>
      <c r="T1586" s="198"/>
      <c r="U1586" s="198"/>
      <c r="V1586" s="198"/>
      <c r="W1586" s="198"/>
      <c r="X1586" s="198"/>
    </row>
    <row r="1587" ht="12.0" customHeight="1">
      <c r="A1587" s="222" t="str">
        <f>IF(COUNTIFS(RC_OUT[BLOCK],RC_IN[BLOCK],RC_OUT[REMARKS],"*CLOSED*")&gt;0,"CLOSED",IF(COUNTIFS(RC_OUT[BLOCK],RC_IN[BLOCK],RC_OUT[WT],"&gt;0")&gt;0,"IN-USE",""))
</f>
        <v/>
      </c>
      <c r="B1587" s="223" t="str">
        <f>IFERROR(__xludf.DUMMYFUNCTION("IFERROR(IF(F1587&lt;&gt;"""",""WHSE ""&amp;LEFT(F1587,1),REGEXEXTRACT(E1587,""-(?:\d{2}-)?([A-Z]+)"")),"""")
"),"")</f>
        <v/>
      </c>
      <c r="C1587" s="224"/>
      <c r="D1587" s="219"/>
      <c r="E1587" s="225"/>
      <c r="F1587" s="225"/>
      <c r="G1587" s="226"/>
      <c r="H1587" s="225"/>
      <c r="I1587" s="227"/>
      <c r="J1587" s="228"/>
      <c r="K1587" s="229"/>
      <c r="L1587" s="229"/>
      <c r="M1587" s="229"/>
      <c r="N1587" s="230"/>
      <c r="O1587" s="228"/>
      <c r="P1587" s="230"/>
      <c r="Q1587" s="219"/>
      <c r="R1587" s="198"/>
      <c r="S1587" s="198"/>
      <c r="T1587" s="198"/>
      <c r="U1587" s="198"/>
      <c r="V1587" s="198"/>
      <c r="W1587" s="198"/>
      <c r="X1587" s="198"/>
    </row>
    <row r="1588" ht="12.0" customHeight="1">
      <c r="A1588" s="222" t="str">
        <f>IF(COUNTIFS(RC_OUT[BLOCK],RC_IN[BLOCK],RC_OUT[REMARKS],"*CLOSED*")&gt;0,"CLOSED",IF(COUNTIFS(RC_OUT[BLOCK],RC_IN[BLOCK],RC_OUT[WT],"&gt;0")&gt;0,"IN-USE",""))
</f>
        <v/>
      </c>
      <c r="B1588" s="223" t="str">
        <f>IFERROR(__xludf.DUMMYFUNCTION("IFERROR(IF(F1588&lt;&gt;"""",""WHSE ""&amp;LEFT(F1588,1),REGEXEXTRACT(E1588,""-(?:\d{2}-)?([A-Z]+)"")),"""")
"),"")</f>
        <v/>
      </c>
      <c r="C1588" s="224"/>
      <c r="D1588" s="219"/>
      <c r="E1588" s="225"/>
      <c r="F1588" s="225"/>
      <c r="G1588" s="226"/>
      <c r="H1588" s="225"/>
      <c r="I1588" s="227"/>
      <c r="J1588" s="228"/>
      <c r="K1588" s="229"/>
      <c r="L1588" s="229"/>
      <c r="M1588" s="229"/>
      <c r="N1588" s="230"/>
      <c r="O1588" s="228"/>
      <c r="P1588" s="230"/>
      <c r="Q1588" s="219"/>
      <c r="R1588" s="198"/>
      <c r="S1588" s="198"/>
      <c r="T1588" s="198"/>
      <c r="U1588" s="198"/>
      <c r="V1588" s="198"/>
      <c r="W1588" s="198"/>
      <c r="X1588" s="198"/>
    </row>
    <row r="1589" ht="12.0" customHeight="1">
      <c r="A1589" s="222" t="str">
        <f>IF(COUNTIFS(RC_OUT[BLOCK],RC_IN[BLOCK],RC_OUT[REMARKS],"*CLOSED*")&gt;0,"CLOSED",IF(COUNTIFS(RC_OUT[BLOCK],RC_IN[BLOCK],RC_OUT[WT],"&gt;0")&gt;0,"IN-USE",""))
</f>
        <v/>
      </c>
      <c r="B1589" s="223" t="str">
        <f>IFERROR(__xludf.DUMMYFUNCTION("IFERROR(IF(F1589&lt;&gt;"""",""WHSE ""&amp;LEFT(F1589,1),REGEXEXTRACT(E1589,""-(?:\d{2}-)?([A-Z]+)"")),"""")
"),"")</f>
        <v/>
      </c>
      <c r="C1589" s="224"/>
      <c r="D1589" s="219"/>
      <c r="E1589" s="225"/>
      <c r="F1589" s="225"/>
      <c r="G1589" s="226"/>
      <c r="H1589" s="225"/>
      <c r="I1589" s="227"/>
      <c r="J1589" s="228"/>
      <c r="K1589" s="229"/>
      <c r="L1589" s="229"/>
      <c r="M1589" s="229"/>
      <c r="N1589" s="230"/>
      <c r="O1589" s="228"/>
      <c r="P1589" s="230"/>
      <c r="Q1589" s="219"/>
      <c r="R1589" s="198"/>
      <c r="S1589" s="198"/>
      <c r="T1589" s="198"/>
      <c r="U1589" s="198"/>
      <c r="V1589" s="198"/>
      <c r="W1589" s="198"/>
      <c r="X1589" s="198"/>
    </row>
    <row r="1590" ht="12.0" customHeight="1">
      <c r="A1590" s="222" t="str">
        <f>IF(COUNTIFS(RC_OUT[BLOCK],RC_IN[BLOCK],RC_OUT[REMARKS],"*CLOSED*")&gt;0,"CLOSED",IF(COUNTIFS(RC_OUT[BLOCK],RC_IN[BLOCK],RC_OUT[WT],"&gt;0")&gt;0,"IN-USE",""))
</f>
        <v/>
      </c>
      <c r="B1590" s="223" t="str">
        <f>IFERROR(__xludf.DUMMYFUNCTION("IFERROR(IF(F1590&lt;&gt;"""",""WHSE ""&amp;LEFT(F1590,1),REGEXEXTRACT(E1590,""-(?:\d{2}-)?([A-Z]+)"")),"""")
"),"")</f>
        <v/>
      </c>
      <c r="C1590" s="224"/>
      <c r="D1590" s="219"/>
      <c r="E1590" s="225"/>
      <c r="F1590" s="225"/>
      <c r="G1590" s="226"/>
      <c r="H1590" s="225"/>
      <c r="I1590" s="227"/>
      <c r="J1590" s="228"/>
      <c r="K1590" s="229"/>
      <c r="L1590" s="229"/>
      <c r="M1590" s="229"/>
      <c r="N1590" s="230"/>
      <c r="O1590" s="228"/>
      <c r="P1590" s="230"/>
      <c r="Q1590" s="219"/>
      <c r="R1590" s="198"/>
      <c r="S1590" s="198"/>
      <c r="T1590" s="198"/>
      <c r="U1590" s="198"/>
      <c r="V1590" s="198"/>
      <c r="W1590" s="198"/>
      <c r="X1590" s="198"/>
    </row>
    <row r="1591" ht="12.0" customHeight="1">
      <c r="A1591" s="222" t="str">
        <f>IF(COUNTIFS(RC_OUT[BLOCK],RC_IN[BLOCK],RC_OUT[REMARKS],"*CLOSED*")&gt;0,"CLOSED",IF(COUNTIFS(RC_OUT[BLOCK],RC_IN[BLOCK],RC_OUT[WT],"&gt;0")&gt;0,"IN-USE",""))
</f>
        <v/>
      </c>
      <c r="B1591" s="223" t="str">
        <f>IFERROR(__xludf.DUMMYFUNCTION("IFERROR(IF(F1591&lt;&gt;"""",""WHSE ""&amp;LEFT(F1591,1),REGEXEXTRACT(E1591,""-(?:\d{2}-)?([A-Z]+)"")),"""")
"),"")</f>
        <v/>
      </c>
      <c r="C1591" s="224"/>
      <c r="D1591" s="219"/>
      <c r="E1591" s="225"/>
      <c r="F1591" s="225"/>
      <c r="G1591" s="226"/>
      <c r="H1591" s="225"/>
      <c r="I1591" s="227"/>
      <c r="J1591" s="228"/>
      <c r="K1591" s="229"/>
      <c r="L1591" s="229"/>
      <c r="M1591" s="229"/>
      <c r="N1591" s="230"/>
      <c r="O1591" s="228"/>
      <c r="P1591" s="230"/>
      <c r="Q1591" s="219"/>
      <c r="R1591" s="198"/>
      <c r="S1591" s="198"/>
      <c r="T1591" s="198"/>
      <c r="U1591" s="198"/>
      <c r="V1591" s="198"/>
      <c r="W1591" s="198"/>
      <c r="X1591" s="198"/>
    </row>
    <row r="1592" ht="12.0" customHeight="1">
      <c r="A1592" s="222" t="str">
        <f>IF(COUNTIFS(RC_OUT[BLOCK],RC_IN[BLOCK],RC_OUT[REMARKS],"*CLOSED*")&gt;0,"CLOSED",IF(COUNTIFS(RC_OUT[BLOCK],RC_IN[BLOCK],RC_OUT[WT],"&gt;0")&gt;0,"IN-USE",""))
</f>
        <v/>
      </c>
      <c r="B1592" s="223" t="str">
        <f>IFERROR(__xludf.DUMMYFUNCTION("IFERROR(IF(F1592&lt;&gt;"""",""WHSE ""&amp;LEFT(F1592,1),REGEXEXTRACT(E1592,""-(?:\d{2}-)?([A-Z]+)"")),"""")
"),"")</f>
        <v/>
      </c>
      <c r="C1592" s="224"/>
      <c r="D1592" s="219"/>
      <c r="E1592" s="225"/>
      <c r="F1592" s="225"/>
      <c r="G1592" s="226"/>
      <c r="H1592" s="225"/>
      <c r="I1592" s="227"/>
      <c r="J1592" s="228"/>
      <c r="K1592" s="229"/>
      <c r="L1592" s="229"/>
      <c r="M1592" s="229"/>
      <c r="N1592" s="230"/>
      <c r="O1592" s="228"/>
      <c r="P1592" s="230"/>
      <c r="Q1592" s="219"/>
      <c r="R1592" s="198"/>
      <c r="S1592" s="198"/>
      <c r="T1592" s="198"/>
      <c r="U1592" s="198"/>
      <c r="V1592" s="198"/>
      <c r="W1592" s="198"/>
      <c r="X1592" s="198"/>
    </row>
    <row r="1593" ht="12.0" customHeight="1">
      <c r="A1593" s="222" t="str">
        <f>IF(COUNTIFS(RC_OUT[BLOCK],RC_IN[BLOCK],RC_OUT[REMARKS],"*CLOSED*")&gt;0,"CLOSED",IF(COUNTIFS(RC_OUT[BLOCK],RC_IN[BLOCK],RC_OUT[WT],"&gt;0")&gt;0,"IN-USE",""))
</f>
        <v/>
      </c>
      <c r="B1593" s="223" t="str">
        <f>IFERROR(__xludf.DUMMYFUNCTION("IFERROR(IF(F1593&lt;&gt;"""",""WHSE ""&amp;LEFT(F1593,1),REGEXEXTRACT(E1593,""-(?:\d{2}-)?([A-Z]+)"")),"""")
"),"")</f>
        <v/>
      </c>
      <c r="C1593" s="224"/>
      <c r="D1593" s="219"/>
      <c r="E1593" s="225"/>
      <c r="F1593" s="225"/>
      <c r="G1593" s="226"/>
      <c r="H1593" s="225"/>
      <c r="I1593" s="227"/>
      <c r="J1593" s="228"/>
      <c r="K1593" s="229"/>
      <c r="L1593" s="229"/>
      <c r="M1593" s="229"/>
      <c r="N1593" s="230"/>
      <c r="O1593" s="228"/>
      <c r="P1593" s="230"/>
      <c r="Q1593" s="219"/>
      <c r="R1593" s="198"/>
      <c r="S1593" s="198"/>
      <c r="T1593" s="198"/>
      <c r="U1593" s="198"/>
      <c r="V1593" s="198"/>
      <c r="W1593" s="198"/>
      <c r="X1593" s="198"/>
    </row>
    <row r="1594" ht="12.0" customHeight="1">
      <c r="A1594" s="222" t="str">
        <f>IF(COUNTIFS(RC_OUT[BLOCK],RC_IN[BLOCK],RC_OUT[REMARKS],"*CLOSED*")&gt;0,"CLOSED",IF(COUNTIFS(RC_OUT[BLOCK],RC_IN[BLOCK],RC_OUT[WT],"&gt;0")&gt;0,"IN-USE",""))
</f>
        <v/>
      </c>
      <c r="B1594" s="223" t="str">
        <f>IFERROR(__xludf.DUMMYFUNCTION("IFERROR(IF(F1594&lt;&gt;"""",""WHSE ""&amp;LEFT(F1594,1),REGEXEXTRACT(E1594,""-(?:\d{2}-)?([A-Z]+)"")),"""")
"),"")</f>
        <v/>
      </c>
      <c r="C1594" s="224"/>
      <c r="D1594" s="219"/>
      <c r="E1594" s="225"/>
      <c r="F1594" s="225"/>
      <c r="G1594" s="226"/>
      <c r="H1594" s="225"/>
      <c r="I1594" s="227"/>
      <c r="J1594" s="228"/>
      <c r="K1594" s="229"/>
      <c r="L1594" s="229"/>
      <c r="M1594" s="229"/>
      <c r="N1594" s="230"/>
      <c r="O1594" s="228"/>
      <c r="P1594" s="230"/>
      <c r="Q1594" s="219"/>
      <c r="R1594" s="198"/>
      <c r="S1594" s="198"/>
      <c r="T1594" s="198"/>
      <c r="U1594" s="198"/>
      <c r="V1594" s="198"/>
      <c r="W1594" s="198"/>
      <c r="X1594" s="198"/>
    </row>
    <row r="1595" ht="12.0" customHeight="1">
      <c r="A1595" s="222" t="str">
        <f>IF(COUNTIFS(RC_OUT[BLOCK],RC_IN[BLOCK],RC_OUT[REMARKS],"*CLOSED*")&gt;0,"CLOSED",IF(COUNTIFS(RC_OUT[BLOCK],RC_IN[BLOCK],RC_OUT[WT],"&gt;0")&gt;0,"IN-USE",""))
</f>
        <v/>
      </c>
      <c r="B1595" s="223" t="str">
        <f>IFERROR(__xludf.DUMMYFUNCTION("IFERROR(IF(F1595&lt;&gt;"""",""WHSE ""&amp;LEFT(F1595,1),REGEXEXTRACT(E1595,""-(?:\d{2}-)?([A-Z]+)"")),"""")
"),"")</f>
        <v/>
      </c>
      <c r="C1595" s="224"/>
      <c r="D1595" s="219"/>
      <c r="E1595" s="225"/>
      <c r="F1595" s="225"/>
      <c r="G1595" s="226"/>
      <c r="H1595" s="225"/>
      <c r="I1595" s="227"/>
      <c r="J1595" s="228"/>
      <c r="K1595" s="229"/>
      <c r="L1595" s="229"/>
      <c r="M1595" s="229"/>
      <c r="N1595" s="230"/>
      <c r="O1595" s="228"/>
      <c r="P1595" s="230"/>
      <c r="Q1595" s="219"/>
      <c r="R1595" s="198"/>
      <c r="S1595" s="198"/>
      <c r="T1595" s="198"/>
      <c r="U1595" s="198"/>
      <c r="V1595" s="198"/>
      <c r="W1595" s="198"/>
      <c r="X1595" s="198"/>
    </row>
    <row r="1596" ht="12.0" customHeight="1">
      <c r="A1596" s="222" t="str">
        <f>IF(COUNTIFS(RC_OUT[BLOCK],RC_IN[BLOCK],RC_OUT[REMARKS],"*CLOSED*")&gt;0,"CLOSED",IF(COUNTIFS(RC_OUT[BLOCK],RC_IN[BLOCK],RC_OUT[WT],"&gt;0")&gt;0,"IN-USE",""))
</f>
        <v/>
      </c>
      <c r="B1596" s="223" t="str">
        <f>IFERROR(__xludf.DUMMYFUNCTION("IFERROR(IF(F1596&lt;&gt;"""",""WHSE ""&amp;LEFT(F1596,1),REGEXEXTRACT(E1596,""-(?:\d{2}-)?([A-Z]+)"")),"""")
"),"")</f>
        <v/>
      </c>
      <c r="C1596" s="224"/>
      <c r="D1596" s="219"/>
      <c r="E1596" s="225"/>
      <c r="F1596" s="225"/>
      <c r="G1596" s="226"/>
      <c r="H1596" s="225"/>
      <c r="I1596" s="227"/>
      <c r="J1596" s="228"/>
      <c r="K1596" s="229"/>
      <c r="L1596" s="229"/>
      <c r="M1596" s="229"/>
      <c r="N1596" s="230"/>
      <c r="O1596" s="228"/>
      <c r="P1596" s="230"/>
      <c r="Q1596" s="219"/>
      <c r="R1596" s="198"/>
      <c r="S1596" s="198"/>
      <c r="T1596" s="198"/>
      <c r="U1596" s="198"/>
      <c r="V1596" s="198"/>
      <c r="W1596" s="198"/>
      <c r="X1596" s="198"/>
    </row>
    <row r="1597" ht="12.0" customHeight="1">
      <c r="A1597" s="222" t="str">
        <f>IF(COUNTIFS(RC_OUT[BLOCK],RC_IN[BLOCK],RC_OUT[REMARKS],"*CLOSED*")&gt;0,"CLOSED",IF(COUNTIFS(RC_OUT[BLOCK],RC_IN[BLOCK],RC_OUT[WT],"&gt;0")&gt;0,"IN-USE",""))
</f>
        <v/>
      </c>
      <c r="B1597" s="223" t="str">
        <f>IFERROR(__xludf.DUMMYFUNCTION("IFERROR(IF(F1597&lt;&gt;"""",""WHSE ""&amp;LEFT(F1597,1),REGEXEXTRACT(E1597,""-(?:\d{2}-)?([A-Z]+)"")),"""")
"),"")</f>
        <v/>
      </c>
      <c r="C1597" s="224"/>
      <c r="D1597" s="219"/>
      <c r="E1597" s="225"/>
      <c r="F1597" s="225"/>
      <c r="G1597" s="226"/>
      <c r="H1597" s="225"/>
      <c r="I1597" s="227"/>
      <c r="J1597" s="228"/>
      <c r="K1597" s="229"/>
      <c r="L1597" s="229"/>
      <c r="M1597" s="229"/>
      <c r="N1597" s="230"/>
      <c r="O1597" s="228"/>
      <c r="P1597" s="230"/>
      <c r="Q1597" s="219"/>
      <c r="R1597" s="198"/>
      <c r="S1597" s="198"/>
      <c r="T1597" s="198"/>
      <c r="U1597" s="198"/>
      <c r="V1597" s="198"/>
      <c r="W1597" s="198"/>
      <c r="X1597" s="198"/>
    </row>
    <row r="1598" ht="12.0" customHeight="1">
      <c r="A1598" s="222" t="str">
        <f>IF(COUNTIFS(RC_OUT[BLOCK],RC_IN[BLOCK],RC_OUT[REMARKS],"*CLOSED*")&gt;0,"CLOSED",IF(COUNTIFS(RC_OUT[BLOCK],RC_IN[BLOCK],RC_OUT[WT],"&gt;0")&gt;0,"IN-USE",""))
</f>
        <v/>
      </c>
      <c r="B1598" s="223" t="str">
        <f>IFERROR(__xludf.DUMMYFUNCTION("IFERROR(IF(F1598&lt;&gt;"""",""WHSE ""&amp;LEFT(F1598,1),REGEXEXTRACT(E1598,""-(?:\d{2}-)?([A-Z]+)"")),"""")
"),"")</f>
        <v/>
      </c>
      <c r="C1598" s="224"/>
      <c r="D1598" s="219"/>
      <c r="E1598" s="225"/>
      <c r="F1598" s="225"/>
      <c r="G1598" s="226"/>
      <c r="H1598" s="225"/>
      <c r="I1598" s="227"/>
      <c r="J1598" s="228"/>
      <c r="K1598" s="229"/>
      <c r="L1598" s="229"/>
      <c r="M1598" s="229"/>
      <c r="N1598" s="230"/>
      <c r="O1598" s="228"/>
      <c r="P1598" s="230"/>
      <c r="Q1598" s="219"/>
      <c r="R1598" s="198"/>
      <c r="S1598" s="198"/>
      <c r="T1598" s="198"/>
      <c r="U1598" s="198"/>
      <c r="V1598" s="198"/>
      <c r="W1598" s="198"/>
      <c r="X1598" s="198"/>
    </row>
    <row r="1599" ht="12.0" customHeight="1">
      <c r="A1599" s="222" t="str">
        <f>IF(COUNTIFS(RC_OUT[BLOCK],RC_IN[BLOCK],RC_OUT[REMARKS],"*CLOSED*")&gt;0,"CLOSED",IF(COUNTIFS(RC_OUT[BLOCK],RC_IN[BLOCK],RC_OUT[WT],"&gt;0")&gt;0,"IN-USE",""))
</f>
        <v/>
      </c>
      <c r="B1599" s="223" t="str">
        <f>IFERROR(__xludf.DUMMYFUNCTION("IFERROR(IF(F1599&lt;&gt;"""",""WHSE ""&amp;LEFT(F1599,1),REGEXEXTRACT(E1599,""-(?:\d{2}-)?([A-Z]+)"")),"""")
"),"")</f>
        <v/>
      </c>
      <c r="C1599" s="224"/>
      <c r="D1599" s="219"/>
      <c r="E1599" s="225"/>
      <c r="F1599" s="225"/>
      <c r="G1599" s="226"/>
      <c r="H1599" s="225"/>
      <c r="I1599" s="227"/>
      <c r="J1599" s="228"/>
      <c r="K1599" s="229"/>
      <c r="L1599" s="229"/>
      <c r="M1599" s="229"/>
      <c r="N1599" s="230"/>
      <c r="O1599" s="228"/>
      <c r="P1599" s="230"/>
      <c r="Q1599" s="219"/>
      <c r="R1599" s="198"/>
      <c r="S1599" s="198"/>
      <c r="T1599" s="198"/>
      <c r="U1599" s="198"/>
      <c r="V1599" s="198"/>
      <c r="W1599" s="198"/>
      <c r="X1599" s="198"/>
    </row>
    <row r="1600" ht="12.0" customHeight="1">
      <c r="A1600" s="222" t="str">
        <f>IF(COUNTIFS(RC_OUT[BLOCK],RC_IN[BLOCK],RC_OUT[REMARKS],"*CLOSED*")&gt;0,"CLOSED",IF(COUNTIFS(RC_OUT[BLOCK],RC_IN[BLOCK],RC_OUT[WT],"&gt;0")&gt;0,"IN-USE",""))
</f>
        <v/>
      </c>
      <c r="B1600" s="223" t="str">
        <f>IFERROR(__xludf.DUMMYFUNCTION("IFERROR(IF(F1600&lt;&gt;"""",""WHSE ""&amp;LEFT(F1600,1),REGEXEXTRACT(E1600,""-(?:\d{2}-)?([A-Z]+)"")),"""")
"),"")</f>
        <v/>
      </c>
      <c r="C1600" s="224"/>
      <c r="D1600" s="219"/>
      <c r="E1600" s="225"/>
      <c r="F1600" s="225"/>
      <c r="G1600" s="226"/>
      <c r="H1600" s="225"/>
      <c r="I1600" s="227"/>
      <c r="J1600" s="228"/>
      <c r="K1600" s="229"/>
      <c r="L1600" s="229"/>
      <c r="M1600" s="229"/>
      <c r="N1600" s="230"/>
      <c r="O1600" s="228"/>
      <c r="P1600" s="230"/>
      <c r="Q1600" s="219"/>
      <c r="R1600" s="198"/>
      <c r="S1600" s="198"/>
      <c r="T1600" s="198"/>
      <c r="U1600" s="198"/>
      <c r="V1600" s="198"/>
      <c r="W1600" s="198"/>
      <c r="X1600" s="198"/>
    </row>
    <row r="1601" ht="12.0" customHeight="1">
      <c r="A1601" s="222" t="str">
        <f>IF(COUNTIFS(RC_OUT[BLOCK],RC_IN[BLOCK],RC_OUT[REMARKS],"*CLOSED*")&gt;0,"CLOSED",IF(COUNTIFS(RC_OUT[BLOCK],RC_IN[BLOCK],RC_OUT[WT],"&gt;0")&gt;0,"IN-USE",""))
</f>
        <v/>
      </c>
      <c r="B1601" s="223" t="str">
        <f>IFERROR(__xludf.DUMMYFUNCTION("IFERROR(IF(F1601&lt;&gt;"""",""WHSE ""&amp;LEFT(F1601,1),REGEXEXTRACT(E1601,""-(?:\d{2}-)?([A-Z]+)"")),"""")
"),"")</f>
        <v/>
      </c>
      <c r="C1601" s="224"/>
      <c r="D1601" s="219"/>
      <c r="E1601" s="225"/>
      <c r="F1601" s="225"/>
      <c r="G1601" s="226"/>
      <c r="H1601" s="225"/>
      <c r="I1601" s="227"/>
      <c r="J1601" s="228"/>
      <c r="K1601" s="229"/>
      <c r="L1601" s="229"/>
      <c r="M1601" s="229"/>
      <c r="N1601" s="230"/>
      <c r="O1601" s="228"/>
      <c r="P1601" s="230"/>
      <c r="Q1601" s="219"/>
      <c r="R1601" s="198"/>
      <c r="S1601" s="198"/>
      <c r="T1601" s="198"/>
      <c r="U1601" s="198"/>
      <c r="V1601" s="198"/>
      <c r="W1601" s="198"/>
      <c r="X1601" s="198"/>
    </row>
    <row r="1602" ht="12.0" customHeight="1">
      <c r="A1602" s="222" t="str">
        <f>IF(COUNTIFS(RC_OUT[BLOCK],RC_IN[BLOCK],RC_OUT[REMARKS],"*CLOSED*")&gt;0,"CLOSED",IF(COUNTIFS(RC_OUT[BLOCK],RC_IN[BLOCK],RC_OUT[WT],"&gt;0")&gt;0,"IN-USE",""))
</f>
        <v/>
      </c>
      <c r="B1602" s="223" t="str">
        <f>IFERROR(__xludf.DUMMYFUNCTION("IFERROR(IF(F1602&lt;&gt;"""",""WHSE ""&amp;LEFT(F1602,1),REGEXEXTRACT(E1602,""-(?:\d{2}-)?([A-Z]+)"")),"""")
"),"")</f>
        <v/>
      </c>
      <c r="C1602" s="224"/>
      <c r="D1602" s="219"/>
      <c r="E1602" s="225"/>
      <c r="F1602" s="225"/>
      <c r="G1602" s="226"/>
      <c r="H1602" s="225"/>
      <c r="I1602" s="227"/>
      <c r="J1602" s="228"/>
      <c r="K1602" s="229"/>
      <c r="L1602" s="229"/>
      <c r="M1602" s="229"/>
      <c r="N1602" s="230"/>
      <c r="O1602" s="228"/>
      <c r="P1602" s="230"/>
      <c r="Q1602" s="219"/>
      <c r="R1602" s="198"/>
      <c r="S1602" s="198"/>
      <c r="T1602" s="198"/>
      <c r="U1602" s="198"/>
      <c r="V1602" s="198"/>
      <c r="W1602" s="198"/>
      <c r="X1602" s="198"/>
    </row>
    <row r="1603" ht="12.0" customHeight="1">
      <c r="A1603" s="222" t="str">
        <f>IF(COUNTIFS(RC_OUT[BLOCK],RC_IN[BLOCK],RC_OUT[REMARKS],"*CLOSED*")&gt;0,"CLOSED",IF(COUNTIFS(RC_OUT[BLOCK],RC_IN[BLOCK],RC_OUT[WT],"&gt;0")&gt;0,"IN-USE",""))
</f>
        <v/>
      </c>
      <c r="B1603" s="223" t="str">
        <f>IFERROR(__xludf.DUMMYFUNCTION("IFERROR(IF(F1603&lt;&gt;"""",""WHSE ""&amp;LEFT(F1603,1),REGEXEXTRACT(E1603,""-(?:\d{2}-)?([A-Z]+)"")),"""")
"),"")</f>
        <v/>
      </c>
      <c r="C1603" s="224"/>
      <c r="D1603" s="219"/>
      <c r="E1603" s="225"/>
      <c r="F1603" s="225"/>
      <c r="G1603" s="226"/>
      <c r="H1603" s="225"/>
      <c r="I1603" s="227"/>
      <c r="J1603" s="228"/>
      <c r="K1603" s="229"/>
      <c r="L1603" s="229"/>
      <c r="M1603" s="229"/>
      <c r="N1603" s="230"/>
      <c r="O1603" s="228"/>
      <c r="P1603" s="230"/>
      <c r="Q1603" s="219"/>
      <c r="R1603" s="198"/>
      <c r="S1603" s="198"/>
      <c r="T1603" s="198"/>
      <c r="U1603" s="198"/>
      <c r="V1603" s="198"/>
      <c r="W1603" s="198"/>
      <c r="X1603" s="198"/>
    </row>
    <row r="1604" ht="12.0" customHeight="1">
      <c r="A1604" s="222" t="str">
        <f>IF(COUNTIFS(RC_OUT[BLOCK],RC_IN[BLOCK],RC_OUT[REMARKS],"*CLOSED*")&gt;0,"CLOSED",IF(COUNTIFS(RC_OUT[BLOCK],RC_IN[BLOCK],RC_OUT[WT],"&gt;0")&gt;0,"IN-USE",""))
</f>
        <v/>
      </c>
      <c r="B1604" s="223" t="str">
        <f>IFERROR(__xludf.DUMMYFUNCTION("IFERROR(IF(F1604&lt;&gt;"""",""WHSE ""&amp;LEFT(F1604,1),REGEXEXTRACT(E1604,""-(?:\d{2}-)?([A-Z]+)"")),"""")
"),"")</f>
        <v/>
      </c>
      <c r="C1604" s="224"/>
      <c r="D1604" s="219"/>
      <c r="E1604" s="225"/>
      <c r="F1604" s="225"/>
      <c r="G1604" s="226"/>
      <c r="H1604" s="225"/>
      <c r="I1604" s="227"/>
      <c r="J1604" s="228"/>
      <c r="K1604" s="229"/>
      <c r="L1604" s="229"/>
      <c r="M1604" s="229"/>
      <c r="N1604" s="230"/>
      <c r="O1604" s="228"/>
      <c r="P1604" s="230"/>
      <c r="Q1604" s="219"/>
      <c r="R1604" s="198"/>
      <c r="S1604" s="198"/>
      <c r="T1604" s="198"/>
      <c r="U1604" s="198"/>
      <c r="V1604" s="198"/>
      <c r="W1604" s="198"/>
      <c r="X1604" s="198"/>
    </row>
    <row r="1605" ht="12.0" customHeight="1">
      <c r="A1605" s="222" t="str">
        <f>IF(COUNTIFS(RC_OUT[BLOCK],RC_IN[BLOCK],RC_OUT[REMARKS],"*CLOSED*")&gt;0,"CLOSED",IF(COUNTIFS(RC_OUT[BLOCK],RC_IN[BLOCK],RC_OUT[WT],"&gt;0")&gt;0,"IN-USE",""))
</f>
        <v/>
      </c>
      <c r="B1605" s="223" t="str">
        <f>IFERROR(__xludf.DUMMYFUNCTION("IFERROR(IF(F1605&lt;&gt;"""",""WHSE ""&amp;LEFT(F1605,1),REGEXEXTRACT(E1605,""-(?:\d{2}-)?([A-Z]+)"")),"""")
"),"")</f>
        <v/>
      </c>
      <c r="C1605" s="224"/>
      <c r="D1605" s="219"/>
      <c r="E1605" s="225"/>
      <c r="F1605" s="225"/>
      <c r="G1605" s="226"/>
      <c r="H1605" s="225"/>
      <c r="I1605" s="227"/>
      <c r="J1605" s="228"/>
      <c r="K1605" s="229"/>
      <c r="L1605" s="229"/>
      <c r="M1605" s="229"/>
      <c r="N1605" s="230"/>
      <c r="O1605" s="228"/>
      <c r="P1605" s="230"/>
      <c r="Q1605" s="219"/>
      <c r="R1605" s="198"/>
      <c r="S1605" s="198"/>
      <c r="T1605" s="198"/>
      <c r="U1605" s="198"/>
      <c r="V1605" s="198"/>
      <c r="W1605" s="198"/>
      <c r="X1605" s="198"/>
    </row>
    <row r="1606" ht="12.0" customHeight="1">
      <c r="A1606" s="222" t="str">
        <f>IF(COUNTIFS(RC_OUT[BLOCK],RC_IN[BLOCK],RC_OUT[REMARKS],"*CLOSED*")&gt;0,"CLOSED",IF(COUNTIFS(RC_OUT[BLOCK],RC_IN[BLOCK],RC_OUT[WT],"&gt;0")&gt;0,"IN-USE",""))
</f>
        <v/>
      </c>
      <c r="B1606" s="223" t="str">
        <f>IFERROR(__xludf.DUMMYFUNCTION("IFERROR(IF(F1606&lt;&gt;"""",""WHSE ""&amp;LEFT(F1606,1),REGEXEXTRACT(E1606,""-(?:\d{2}-)?([A-Z]+)"")),"""")
"),"")</f>
        <v/>
      </c>
      <c r="C1606" s="224"/>
      <c r="D1606" s="219"/>
      <c r="E1606" s="225"/>
      <c r="F1606" s="225"/>
      <c r="G1606" s="226"/>
      <c r="H1606" s="225"/>
      <c r="I1606" s="227"/>
      <c r="J1606" s="228"/>
      <c r="K1606" s="229"/>
      <c r="L1606" s="229"/>
      <c r="M1606" s="229"/>
      <c r="N1606" s="230"/>
      <c r="O1606" s="228"/>
      <c r="P1606" s="230"/>
      <c r="Q1606" s="219"/>
      <c r="R1606" s="198"/>
      <c r="S1606" s="198"/>
      <c r="T1606" s="198"/>
      <c r="U1606" s="198"/>
      <c r="V1606" s="198"/>
      <c r="W1606" s="198"/>
      <c r="X1606" s="198"/>
    </row>
    <row r="1607" ht="12.0" customHeight="1">
      <c r="A1607" s="222" t="str">
        <f>IF(COUNTIFS(RC_OUT[BLOCK],RC_IN[BLOCK],RC_OUT[REMARKS],"*CLOSED*")&gt;0,"CLOSED",IF(COUNTIFS(RC_OUT[BLOCK],RC_IN[BLOCK],RC_OUT[WT],"&gt;0")&gt;0,"IN-USE",""))
</f>
        <v/>
      </c>
      <c r="B1607" s="223" t="str">
        <f>IFERROR(__xludf.DUMMYFUNCTION("IFERROR(IF(F1607&lt;&gt;"""",""WHSE ""&amp;LEFT(F1607,1),REGEXEXTRACT(E1607,""-(?:\d{2}-)?([A-Z]+)"")),"""")
"),"")</f>
        <v/>
      </c>
      <c r="C1607" s="224"/>
      <c r="D1607" s="219"/>
      <c r="E1607" s="225"/>
      <c r="F1607" s="225"/>
      <c r="G1607" s="226"/>
      <c r="H1607" s="225"/>
      <c r="I1607" s="227"/>
      <c r="J1607" s="228"/>
      <c r="K1607" s="229"/>
      <c r="L1607" s="229"/>
      <c r="M1607" s="229"/>
      <c r="N1607" s="230"/>
      <c r="O1607" s="228"/>
      <c r="P1607" s="230"/>
      <c r="Q1607" s="219"/>
      <c r="R1607" s="198"/>
      <c r="S1607" s="198"/>
      <c r="T1607" s="198"/>
      <c r="U1607" s="198"/>
      <c r="V1607" s="198"/>
      <c r="W1607" s="198"/>
      <c r="X1607" s="198"/>
    </row>
    <row r="1608" ht="12.0" customHeight="1">
      <c r="A1608" s="222" t="str">
        <f>IF(COUNTIFS(RC_OUT[BLOCK],RC_IN[BLOCK],RC_OUT[REMARKS],"*CLOSED*")&gt;0,"CLOSED",IF(COUNTIFS(RC_OUT[BLOCK],RC_IN[BLOCK],RC_OUT[WT],"&gt;0")&gt;0,"IN-USE",""))
</f>
        <v/>
      </c>
      <c r="B1608" s="223" t="str">
        <f>IFERROR(__xludf.DUMMYFUNCTION("IFERROR(IF(F1608&lt;&gt;"""",""WHSE ""&amp;LEFT(F1608,1),REGEXEXTRACT(E1608,""-(?:\d{2}-)?([A-Z]+)"")),"""")
"),"")</f>
        <v/>
      </c>
      <c r="C1608" s="224"/>
      <c r="D1608" s="219"/>
      <c r="E1608" s="225"/>
      <c r="F1608" s="225"/>
      <c r="G1608" s="226"/>
      <c r="H1608" s="225"/>
      <c r="I1608" s="227"/>
      <c r="J1608" s="228"/>
      <c r="K1608" s="229"/>
      <c r="L1608" s="229"/>
      <c r="M1608" s="229"/>
      <c r="N1608" s="230"/>
      <c r="O1608" s="228"/>
      <c r="P1608" s="230"/>
      <c r="Q1608" s="219"/>
      <c r="R1608" s="198"/>
      <c r="S1608" s="198"/>
      <c r="T1608" s="198"/>
      <c r="U1608" s="198"/>
      <c r="V1608" s="198"/>
      <c r="W1608" s="198"/>
      <c r="X1608" s="198"/>
    </row>
    <row r="1609" ht="12.0" customHeight="1">
      <c r="A1609" s="222" t="str">
        <f>IF(COUNTIFS(RC_OUT[BLOCK],RC_IN[BLOCK],RC_OUT[REMARKS],"*CLOSED*")&gt;0,"CLOSED",IF(COUNTIFS(RC_OUT[BLOCK],RC_IN[BLOCK],RC_OUT[WT],"&gt;0")&gt;0,"IN-USE",""))
</f>
        <v/>
      </c>
      <c r="B1609" s="223" t="str">
        <f>IFERROR(__xludf.DUMMYFUNCTION("IFERROR(IF(F1609&lt;&gt;"""",""WHSE ""&amp;LEFT(F1609,1),REGEXEXTRACT(E1609,""-(?:\d{2}-)?([A-Z]+)"")),"""")
"),"")</f>
        <v/>
      </c>
      <c r="C1609" s="224"/>
      <c r="D1609" s="219"/>
      <c r="E1609" s="225"/>
      <c r="F1609" s="225"/>
      <c r="G1609" s="226"/>
      <c r="H1609" s="225"/>
      <c r="I1609" s="227"/>
      <c r="J1609" s="228"/>
      <c r="K1609" s="229"/>
      <c r="L1609" s="229"/>
      <c r="M1609" s="229"/>
      <c r="N1609" s="230"/>
      <c r="O1609" s="228"/>
      <c r="P1609" s="230"/>
      <c r="Q1609" s="219"/>
      <c r="R1609" s="198"/>
      <c r="S1609" s="198"/>
      <c r="T1609" s="198"/>
      <c r="U1609" s="198"/>
      <c r="V1609" s="198"/>
      <c r="W1609" s="198"/>
      <c r="X1609" s="198"/>
    </row>
    <row r="1610" ht="12.0" customHeight="1">
      <c r="A1610" s="222" t="str">
        <f>IF(COUNTIFS(RC_OUT[BLOCK],RC_IN[BLOCK],RC_OUT[REMARKS],"*CLOSED*")&gt;0,"CLOSED",IF(COUNTIFS(RC_OUT[BLOCK],RC_IN[BLOCK],RC_OUT[WT],"&gt;0")&gt;0,"IN-USE",""))
</f>
        <v/>
      </c>
      <c r="B1610" s="223" t="str">
        <f>IFERROR(__xludf.DUMMYFUNCTION("IFERROR(IF(F1610&lt;&gt;"""",""WHSE ""&amp;LEFT(F1610,1),REGEXEXTRACT(E1610,""-(?:\d{2}-)?([A-Z]+)"")),"""")
"),"")</f>
        <v/>
      </c>
      <c r="C1610" s="224"/>
      <c r="D1610" s="219"/>
      <c r="E1610" s="225"/>
      <c r="F1610" s="225"/>
      <c r="G1610" s="226"/>
      <c r="H1610" s="225"/>
      <c r="I1610" s="227"/>
      <c r="J1610" s="228"/>
      <c r="K1610" s="229"/>
      <c r="L1610" s="229"/>
      <c r="M1610" s="229"/>
      <c r="N1610" s="230"/>
      <c r="O1610" s="228"/>
      <c r="P1610" s="230"/>
      <c r="Q1610" s="219"/>
      <c r="R1610" s="198"/>
      <c r="S1610" s="198"/>
      <c r="T1610" s="198"/>
      <c r="U1610" s="198"/>
      <c r="V1610" s="198"/>
      <c r="W1610" s="198"/>
      <c r="X1610" s="198"/>
    </row>
    <row r="1611" ht="12.0" customHeight="1">
      <c r="A1611" s="222" t="str">
        <f>IF(COUNTIFS(RC_OUT[BLOCK],RC_IN[BLOCK],RC_OUT[REMARKS],"*CLOSED*")&gt;0,"CLOSED",IF(COUNTIFS(RC_OUT[BLOCK],RC_IN[BLOCK],RC_OUT[WT],"&gt;0")&gt;0,"IN-USE",""))
</f>
        <v/>
      </c>
      <c r="B1611" s="223" t="str">
        <f>IFERROR(__xludf.DUMMYFUNCTION("IFERROR(IF(F1611&lt;&gt;"""",""WHSE ""&amp;LEFT(F1611,1),REGEXEXTRACT(E1611,""-(?:\d{2}-)?([A-Z]+)"")),"""")
"),"")</f>
        <v/>
      </c>
      <c r="C1611" s="224"/>
      <c r="D1611" s="219"/>
      <c r="E1611" s="225"/>
      <c r="F1611" s="225"/>
      <c r="G1611" s="226"/>
      <c r="H1611" s="225"/>
      <c r="I1611" s="227"/>
      <c r="J1611" s="228"/>
      <c r="K1611" s="229"/>
      <c r="L1611" s="229"/>
      <c r="M1611" s="229"/>
      <c r="N1611" s="230"/>
      <c r="O1611" s="228"/>
      <c r="P1611" s="230"/>
      <c r="Q1611" s="219"/>
      <c r="R1611" s="198"/>
      <c r="S1611" s="198"/>
      <c r="T1611" s="198"/>
      <c r="U1611" s="198"/>
      <c r="V1611" s="198"/>
      <c r="W1611" s="198"/>
      <c r="X1611" s="198"/>
    </row>
    <row r="1612" ht="12.0" customHeight="1">
      <c r="A1612" s="222" t="str">
        <f>IF(COUNTIFS(RC_OUT[BLOCK],RC_IN[BLOCK],RC_OUT[REMARKS],"*CLOSED*")&gt;0,"CLOSED",IF(COUNTIFS(RC_OUT[BLOCK],RC_IN[BLOCK],RC_OUT[WT],"&gt;0")&gt;0,"IN-USE",""))
</f>
        <v/>
      </c>
      <c r="B1612" s="223" t="str">
        <f>IFERROR(__xludf.DUMMYFUNCTION("IFERROR(IF(F1612&lt;&gt;"""",""WHSE ""&amp;LEFT(F1612,1),REGEXEXTRACT(E1612,""-(?:\d{2}-)?([A-Z]+)"")),"""")
"),"")</f>
        <v/>
      </c>
      <c r="C1612" s="224"/>
      <c r="D1612" s="219"/>
      <c r="E1612" s="225"/>
      <c r="F1612" s="225"/>
      <c r="G1612" s="226"/>
      <c r="H1612" s="225"/>
      <c r="I1612" s="227"/>
      <c r="J1612" s="228"/>
      <c r="K1612" s="229"/>
      <c r="L1612" s="229"/>
      <c r="M1612" s="229"/>
      <c r="N1612" s="230"/>
      <c r="O1612" s="228"/>
      <c r="P1612" s="230"/>
      <c r="Q1612" s="219"/>
      <c r="R1612" s="198"/>
      <c r="S1612" s="198"/>
      <c r="T1612" s="198"/>
      <c r="U1612" s="198"/>
      <c r="V1612" s="198"/>
      <c r="W1612" s="198"/>
      <c r="X1612" s="198"/>
    </row>
    <row r="1613" ht="12.0" customHeight="1">
      <c r="A1613" s="222" t="str">
        <f>IF(COUNTIFS(RC_OUT[BLOCK],RC_IN[BLOCK],RC_OUT[REMARKS],"*CLOSED*")&gt;0,"CLOSED",IF(COUNTIFS(RC_OUT[BLOCK],RC_IN[BLOCK],RC_OUT[WT],"&gt;0")&gt;0,"IN-USE",""))
</f>
        <v/>
      </c>
      <c r="B1613" s="223" t="str">
        <f>IFERROR(__xludf.DUMMYFUNCTION("IFERROR(IF(F1613&lt;&gt;"""",""WHSE ""&amp;LEFT(F1613,1),REGEXEXTRACT(E1613,""-(?:\d{2}-)?([A-Z]+)"")),"""")
"),"")</f>
        <v/>
      </c>
      <c r="C1613" s="224"/>
      <c r="D1613" s="219"/>
      <c r="E1613" s="225"/>
      <c r="F1613" s="225"/>
      <c r="G1613" s="226"/>
      <c r="H1613" s="225"/>
      <c r="I1613" s="227"/>
      <c r="J1613" s="228"/>
      <c r="K1613" s="229"/>
      <c r="L1613" s="229"/>
      <c r="M1613" s="229"/>
      <c r="N1613" s="230"/>
      <c r="O1613" s="228"/>
      <c r="P1613" s="230"/>
      <c r="Q1613" s="219"/>
      <c r="R1613" s="198"/>
      <c r="S1613" s="198"/>
      <c r="T1613" s="198"/>
      <c r="U1613" s="198"/>
      <c r="V1613" s="198"/>
      <c r="W1613" s="198"/>
      <c r="X1613" s="198"/>
    </row>
    <row r="1614" ht="12.0" customHeight="1">
      <c r="A1614" s="222" t="str">
        <f>IF(COUNTIFS(RC_OUT[BLOCK],RC_IN[BLOCK],RC_OUT[REMARKS],"*CLOSED*")&gt;0,"CLOSED",IF(COUNTIFS(RC_OUT[BLOCK],RC_IN[BLOCK],RC_OUT[WT],"&gt;0")&gt;0,"IN-USE",""))
</f>
        <v/>
      </c>
      <c r="B1614" s="223" t="str">
        <f>IFERROR(__xludf.DUMMYFUNCTION("IFERROR(IF(F1614&lt;&gt;"""",""WHSE ""&amp;LEFT(F1614,1),REGEXEXTRACT(E1614,""-(?:\d{2}-)?([A-Z]+)"")),"""")
"),"")</f>
        <v/>
      </c>
      <c r="C1614" s="224"/>
      <c r="D1614" s="219"/>
      <c r="E1614" s="225"/>
      <c r="F1614" s="225"/>
      <c r="G1614" s="226"/>
      <c r="H1614" s="225"/>
      <c r="I1614" s="227"/>
      <c r="J1614" s="228"/>
      <c r="K1614" s="229"/>
      <c r="L1614" s="229"/>
      <c r="M1614" s="229"/>
      <c r="N1614" s="230"/>
      <c r="O1614" s="228"/>
      <c r="P1614" s="230"/>
      <c r="Q1614" s="219"/>
      <c r="R1614" s="198"/>
      <c r="S1614" s="198"/>
      <c r="T1614" s="198"/>
      <c r="U1614" s="198"/>
      <c r="V1614" s="198"/>
      <c r="W1614" s="198"/>
      <c r="X1614" s="198"/>
    </row>
    <row r="1615" ht="12.0" customHeight="1">
      <c r="A1615" s="222" t="str">
        <f>IF(COUNTIFS(RC_OUT[BLOCK],RC_IN[BLOCK],RC_OUT[REMARKS],"*CLOSED*")&gt;0,"CLOSED",IF(COUNTIFS(RC_OUT[BLOCK],RC_IN[BLOCK],RC_OUT[WT],"&gt;0")&gt;0,"IN-USE",""))
</f>
        <v/>
      </c>
      <c r="B1615" s="223" t="str">
        <f>IFERROR(__xludf.DUMMYFUNCTION("IFERROR(IF(F1615&lt;&gt;"""",""WHSE ""&amp;LEFT(F1615,1),REGEXEXTRACT(E1615,""-(?:\d{2}-)?([A-Z]+)"")),"""")
"),"")</f>
        <v/>
      </c>
      <c r="C1615" s="224"/>
      <c r="D1615" s="219"/>
      <c r="E1615" s="225"/>
      <c r="F1615" s="225"/>
      <c r="G1615" s="226"/>
      <c r="H1615" s="225"/>
      <c r="I1615" s="227"/>
      <c r="J1615" s="228"/>
      <c r="K1615" s="229"/>
      <c r="L1615" s="229"/>
      <c r="M1615" s="229"/>
      <c r="N1615" s="230"/>
      <c r="O1615" s="228"/>
      <c r="P1615" s="230"/>
      <c r="Q1615" s="219"/>
      <c r="R1615" s="198"/>
      <c r="S1615" s="198"/>
      <c r="T1615" s="198"/>
      <c r="U1615" s="198"/>
      <c r="V1615" s="198"/>
      <c r="W1615" s="198"/>
      <c r="X1615" s="198"/>
    </row>
    <row r="1616" ht="12.0" customHeight="1">
      <c r="A1616" s="222" t="str">
        <f>IF(COUNTIFS(RC_OUT[BLOCK],RC_IN[BLOCK],RC_OUT[REMARKS],"*CLOSED*")&gt;0,"CLOSED",IF(COUNTIFS(RC_OUT[BLOCK],RC_IN[BLOCK],RC_OUT[WT],"&gt;0")&gt;0,"IN-USE",""))
</f>
        <v/>
      </c>
      <c r="B1616" s="223" t="str">
        <f>IFERROR(__xludf.DUMMYFUNCTION("IFERROR(IF(F1616&lt;&gt;"""",""WHSE ""&amp;LEFT(F1616,1),REGEXEXTRACT(E1616,""-(?:\d{2}-)?([A-Z]+)"")),"""")
"),"")</f>
        <v/>
      </c>
      <c r="C1616" s="224"/>
      <c r="D1616" s="219"/>
      <c r="E1616" s="225"/>
      <c r="F1616" s="225"/>
      <c r="G1616" s="226"/>
      <c r="H1616" s="225"/>
      <c r="I1616" s="227"/>
      <c r="J1616" s="228"/>
      <c r="K1616" s="229"/>
      <c r="L1616" s="229"/>
      <c r="M1616" s="229"/>
      <c r="N1616" s="230"/>
      <c r="O1616" s="228"/>
      <c r="P1616" s="230"/>
      <c r="Q1616" s="219"/>
      <c r="R1616" s="198"/>
      <c r="S1616" s="198"/>
      <c r="T1616" s="198"/>
      <c r="U1616" s="198"/>
      <c r="V1616" s="198"/>
      <c r="W1616" s="198"/>
      <c r="X1616" s="198"/>
    </row>
    <row r="1617" ht="12.0" customHeight="1">
      <c r="A1617" s="222" t="str">
        <f>IF(COUNTIFS(RC_OUT[BLOCK],RC_IN[BLOCK],RC_OUT[REMARKS],"*CLOSED*")&gt;0,"CLOSED",IF(COUNTIFS(RC_OUT[BLOCK],RC_IN[BLOCK],RC_OUT[WT],"&gt;0")&gt;0,"IN-USE",""))
</f>
        <v/>
      </c>
      <c r="B1617" s="223" t="str">
        <f>IFERROR(__xludf.DUMMYFUNCTION("IFERROR(IF(F1617&lt;&gt;"""",""WHSE ""&amp;LEFT(F1617,1),REGEXEXTRACT(E1617,""-(?:\d{2}-)?([A-Z]+)"")),"""")
"),"")</f>
        <v/>
      </c>
      <c r="C1617" s="224"/>
      <c r="D1617" s="219"/>
      <c r="E1617" s="225"/>
      <c r="F1617" s="225"/>
      <c r="G1617" s="226"/>
      <c r="H1617" s="225"/>
      <c r="I1617" s="227"/>
      <c r="J1617" s="228"/>
      <c r="K1617" s="229"/>
      <c r="L1617" s="229"/>
      <c r="M1617" s="229"/>
      <c r="N1617" s="230"/>
      <c r="O1617" s="228"/>
      <c r="P1617" s="230"/>
      <c r="Q1617" s="219"/>
      <c r="R1617" s="198"/>
      <c r="S1617" s="198"/>
      <c r="T1617" s="198"/>
      <c r="U1617" s="198"/>
      <c r="V1617" s="198"/>
      <c r="W1617" s="198"/>
      <c r="X1617" s="198"/>
    </row>
    <row r="1618" ht="12.0" customHeight="1">
      <c r="A1618" s="222" t="str">
        <f>IF(COUNTIFS(RC_OUT[BLOCK],RC_IN[BLOCK],RC_OUT[REMARKS],"*CLOSED*")&gt;0,"CLOSED",IF(COUNTIFS(RC_OUT[BLOCK],RC_IN[BLOCK],RC_OUT[WT],"&gt;0")&gt;0,"IN-USE",""))
</f>
        <v/>
      </c>
      <c r="B1618" s="223" t="str">
        <f>IFERROR(__xludf.DUMMYFUNCTION("IFERROR(IF(F1618&lt;&gt;"""",""WHSE ""&amp;LEFT(F1618,1),REGEXEXTRACT(E1618,""-(?:\d{2}-)?([A-Z]+)"")),"""")
"),"")</f>
        <v/>
      </c>
      <c r="C1618" s="224"/>
      <c r="D1618" s="219"/>
      <c r="E1618" s="225"/>
      <c r="F1618" s="225"/>
      <c r="G1618" s="226"/>
      <c r="H1618" s="225"/>
      <c r="I1618" s="227"/>
      <c r="J1618" s="228"/>
      <c r="K1618" s="229"/>
      <c r="L1618" s="229"/>
      <c r="M1618" s="229"/>
      <c r="N1618" s="230"/>
      <c r="O1618" s="228"/>
      <c r="P1618" s="230"/>
      <c r="Q1618" s="219"/>
      <c r="R1618" s="198"/>
      <c r="S1618" s="198"/>
      <c r="T1618" s="198"/>
      <c r="U1618" s="198"/>
      <c r="V1618" s="198"/>
      <c r="W1618" s="198"/>
      <c r="X1618" s="198"/>
    </row>
    <row r="1619" ht="12.0" customHeight="1">
      <c r="A1619" s="222" t="str">
        <f>IF(COUNTIFS(RC_OUT[BLOCK],RC_IN[BLOCK],RC_OUT[REMARKS],"*CLOSED*")&gt;0,"CLOSED",IF(COUNTIFS(RC_OUT[BLOCK],RC_IN[BLOCK],RC_OUT[WT],"&gt;0")&gt;0,"IN-USE",""))
</f>
        <v/>
      </c>
      <c r="B1619" s="223" t="str">
        <f>IFERROR(__xludf.DUMMYFUNCTION("IFERROR(IF(F1619&lt;&gt;"""",""WHSE ""&amp;LEFT(F1619,1),REGEXEXTRACT(E1619,""-(?:\d{2}-)?([A-Z]+)"")),"""")
"),"")</f>
        <v/>
      </c>
      <c r="C1619" s="224"/>
      <c r="D1619" s="219"/>
      <c r="E1619" s="225"/>
      <c r="F1619" s="225"/>
      <c r="G1619" s="226"/>
      <c r="H1619" s="225"/>
      <c r="I1619" s="227"/>
      <c r="J1619" s="228"/>
      <c r="K1619" s="229"/>
      <c r="L1619" s="229"/>
      <c r="M1619" s="229"/>
      <c r="N1619" s="230"/>
      <c r="O1619" s="228"/>
      <c r="P1619" s="230"/>
      <c r="Q1619" s="219"/>
      <c r="R1619" s="198"/>
      <c r="S1619" s="198"/>
      <c r="T1619" s="198"/>
      <c r="U1619" s="198"/>
      <c r="V1619" s="198"/>
      <c r="W1619" s="198"/>
      <c r="X1619" s="198"/>
    </row>
    <row r="1620" ht="12.0" customHeight="1">
      <c r="A1620" s="222" t="str">
        <f>IF(COUNTIFS(RC_OUT[BLOCK],RC_IN[BLOCK],RC_OUT[REMARKS],"*CLOSED*")&gt;0,"CLOSED",IF(COUNTIFS(RC_OUT[BLOCK],RC_IN[BLOCK],RC_OUT[WT],"&gt;0")&gt;0,"IN-USE",""))
</f>
        <v/>
      </c>
      <c r="B1620" s="223" t="str">
        <f>IFERROR(__xludf.DUMMYFUNCTION("IFERROR(IF(F1620&lt;&gt;"""",""WHSE ""&amp;LEFT(F1620,1),REGEXEXTRACT(E1620,""-(?:\d{2}-)?([A-Z]+)"")),"""")
"),"")</f>
        <v/>
      </c>
      <c r="C1620" s="224"/>
      <c r="D1620" s="219"/>
      <c r="E1620" s="225"/>
      <c r="F1620" s="225"/>
      <c r="G1620" s="226"/>
      <c r="H1620" s="225"/>
      <c r="I1620" s="227"/>
      <c r="J1620" s="228"/>
      <c r="K1620" s="229"/>
      <c r="L1620" s="229"/>
      <c r="M1620" s="229"/>
      <c r="N1620" s="230"/>
      <c r="O1620" s="228"/>
      <c r="P1620" s="230"/>
      <c r="Q1620" s="219"/>
      <c r="R1620" s="198"/>
      <c r="S1620" s="198"/>
      <c r="T1620" s="198"/>
      <c r="U1620" s="198"/>
      <c r="V1620" s="198"/>
      <c r="W1620" s="198"/>
      <c r="X1620" s="198"/>
    </row>
    <row r="1621" ht="12.0" customHeight="1">
      <c r="A1621" s="222" t="str">
        <f>IF(COUNTIFS(RC_OUT[BLOCK],RC_IN[BLOCK],RC_OUT[REMARKS],"*CLOSED*")&gt;0,"CLOSED",IF(COUNTIFS(RC_OUT[BLOCK],RC_IN[BLOCK],RC_OUT[WT],"&gt;0")&gt;0,"IN-USE",""))
</f>
        <v/>
      </c>
      <c r="B1621" s="223" t="str">
        <f>IFERROR(__xludf.DUMMYFUNCTION("IFERROR(IF(F1621&lt;&gt;"""",""WHSE ""&amp;LEFT(F1621,1),REGEXEXTRACT(E1621,""-(?:\d{2}-)?([A-Z]+)"")),"""")
"),"")</f>
        <v/>
      </c>
      <c r="C1621" s="224"/>
      <c r="D1621" s="219"/>
      <c r="E1621" s="225"/>
      <c r="F1621" s="225"/>
      <c r="G1621" s="226"/>
      <c r="H1621" s="225"/>
      <c r="I1621" s="227"/>
      <c r="J1621" s="228"/>
      <c r="K1621" s="229"/>
      <c r="L1621" s="229"/>
      <c r="M1621" s="229"/>
      <c r="N1621" s="230"/>
      <c r="O1621" s="228"/>
      <c r="P1621" s="230"/>
      <c r="Q1621" s="219"/>
      <c r="R1621" s="198"/>
      <c r="S1621" s="198"/>
      <c r="T1621" s="198"/>
      <c r="U1621" s="198"/>
      <c r="V1621" s="198"/>
      <c r="W1621" s="198"/>
      <c r="X1621" s="198"/>
    </row>
    <row r="1622" ht="12.0" customHeight="1">
      <c r="A1622" s="222" t="str">
        <f>IF(COUNTIFS(RC_OUT[BLOCK],RC_IN[BLOCK],RC_OUT[REMARKS],"*CLOSED*")&gt;0,"CLOSED",IF(COUNTIFS(RC_OUT[BLOCK],RC_IN[BLOCK],RC_OUT[WT],"&gt;0")&gt;0,"IN-USE",""))
</f>
        <v/>
      </c>
      <c r="B1622" s="223" t="str">
        <f>IFERROR(__xludf.DUMMYFUNCTION("IFERROR(IF(F1622&lt;&gt;"""",""WHSE ""&amp;LEFT(F1622,1),REGEXEXTRACT(E1622,""-(?:\d{2}-)?([A-Z]+)"")),"""")
"),"")</f>
        <v/>
      </c>
      <c r="C1622" s="224"/>
      <c r="D1622" s="219"/>
      <c r="E1622" s="225"/>
      <c r="F1622" s="225"/>
      <c r="G1622" s="226"/>
      <c r="H1622" s="225"/>
      <c r="I1622" s="227"/>
      <c r="J1622" s="228"/>
      <c r="K1622" s="229"/>
      <c r="L1622" s="229"/>
      <c r="M1622" s="229"/>
      <c r="N1622" s="230"/>
      <c r="O1622" s="228"/>
      <c r="P1622" s="230"/>
      <c r="Q1622" s="219"/>
      <c r="R1622" s="198"/>
      <c r="S1622" s="198"/>
      <c r="T1622" s="198"/>
      <c r="U1622" s="198"/>
      <c r="V1622" s="198"/>
      <c r="W1622" s="198"/>
      <c r="X1622" s="198"/>
    </row>
    <row r="1623" ht="12.0" customHeight="1">
      <c r="A1623" s="222" t="str">
        <f>IF(COUNTIFS(RC_OUT[BLOCK],RC_IN[BLOCK],RC_OUT[REMARKS],"*CLOSED*")&gt;0,"CLOSED",IF(COUNTIFS(RC_OUT[BLOCK],RC_IN[BLOCK],RC_OUT[WT],"&gt;0")&gt;0,"IN-USE",""))
</f>
        <v/>
      </c>
      <c r="B1623" s="223" t="str">
        <f>IFERROR(__xludf.DUMMYFUNCTION("IFERROR(IF(F1623&lt;&gt;"""",""WHSE ""&amp;LEFT(F1623,1),REGEXEXTRACT(E1623,""-(?:\d{2}-)?([A-Z]+)"")),"""")
"),"")</f>
        <v/>
      </c>
      <c r="C1623" s="224"/>
      <c r="D1623" s="219"/>
      <c r="E1623" s="225"/>
      <c r="F1623" s="225"/>
      <c r="G1623" s="226"/>
      <c r="H1623" s="225"/>
      <c r="I1623" s="227"/>
      <c r="J1623" s="228"/>
      <c r="K1623" s="229"/>
      <c r="L1623" s="229"/>
      <c r="M1623" s="229"/>
      <c r="N1623" s="230"/>
      <c r="O1623" s="228"/>
      <c r="P1623" s="230"/>
      <c r="Q1623" s="219"/>
      <c r="R1623" s="198"/>
      <c r="S1623" s="198"/>
      <c r="T1623" s="198"/>
      <c r="U1623" s="198"/>
      <c r="V1623" s="198"/>
      <c r="W1623" s="198"/>
      <c r="X1623" s="198"/>
    </row>
    <row r="1624" ht="12.0" customHeight="1">
      <c r="A1624" s="222" t="str">
        <f>IF(COUNTIFS(RC_OUT[BLOCK],RC_IN[BLOCK],RC_OUT[REMARKS],"*CLOSED*")&gt;0,"CLOSED",IF(COUNTIFS(RC_OUT[BLOCK],RC_IN[BLOCK],RC_OUT[WT],"&gt;0")&gt;0,"IN-USE",""))
</f>
        <v/>
      </c>
      <c r="B1624" s="223" t="str">
        <f>IFERROR(__xludf.DUMMYFUNCTION("IFERROR(IF(F1624&lt;&gt;"""",""WHSE ""&amp;LEFT(F1624,1),REGEXEXTRACT(E1624,""-(?:\d{2}-)?([A-Z]+)"")),"""")
"),"")</f>
        <v/>
      </c>
      <c r="C1624" s="224"/>
      <c r="D1624" s="219"/>
      <c r="E1624" s="225"/>
      <c r="F1624" s="225"/>
      <c r="G1624" s="226"/>
      <c r="H1624" s="225"/>
      <c r="I1624" s="227"/>
      <c r="J1624" s="228"/>
      <c r="K1624" s="229"/>
      <c r="L1624" s="229"/>
      <c r="M1624" s="229"/>
      <c r="N1624" s="230"/>
      <c r="O1624" s="228"/>
      <c r="P1624" s="230"/>
      <c r="Q1624" s="219"/>
      <c r="R1624" s="198"/>
      <c r="S1624" s="198"/>
      <c r="T1624" s="198"/>
      <c r="U1624" s="198"/>
      <c r="V1624" s="198"/>
      <c r="W1624" s="198"/>
      <c r="X1624" s="198"/>
    </row>
    <row r="1625" ht="12.0" customHeight="1">
      <c r="A1625" s="222" t="str">
        <f>IF(COUNTIFS(RC_OUT[BLOCK],RC_IN[BLOCK],RC_OUT[REMARKS],"*CLOSED*")&gt;0,"CLOSED",IF(COUNTIFS(RC_OUT[BLOCK],RC_IN[BLOCK],RC_OUT[WT],"&gt;0")&gt;0,"IN-USE",""))
</f>
        <v/>
      </c>
      <c r="B1625" s="223" t="str">
        <f>IFERROR(__xludf.DUMMYFUNCTION("IFERROR(IF(F1625&lt;&gt;"""",""WHSE ""&amp;LEFT(F1625,1),REGEXEXTRACT(E1625,""-(?:\d{2}-)?([A-Z]+)"")),"""")
"),"")</f>
        <v/>
      </c>
      <c r="C1625" s="224"/>
      <c r="D1625" s="219"/>
      <c r="E1625" s="225"/>
      <c r="F1625" s="225"/>
      <c r="G1625" s="226"/>
      <c r="H1625" s="225"/>
      <c r="I1625" s="227"/>
      <c r="J1625" s="228"/>
      <c r="K1625" s="229"/>
      <c r="L1625" s="229"/>
      <c r="M1625" s="229"/>
      <c r="N1625" s="230"/>
      <c r="O1625" s="228"/>
      <c r="P1625" s="230"/>
      <c r="Q1625" s="219"/>
      <c r="R1625" s="198"/>
      <c r="S1625" s="198"/>
      <c r="T1625" s="198"/>
      <c r="U1625" s="198"/>
      <c r="V1625" s="198"/>
      <c r="W1625" s="198"/>
      <c r="X1625" s="198"/>
    </row>
    <row r="1626" ht="12.0" customHeight="1">
      <c r="A1626" s="222" t="str">
        <f>IF(COUNTIFS(RC_OUT[BLOCK],RC_IN[BLOCK],RC_OUT[REMARKS],"*CLOSED*")&gt;0,"CLOSED",IF(COUNTIFS(RC_OUT[BLOCK],RC_IN[BLOCK],RC_OUT[WT],"&gt;0")&gt;0,"IN-USE",""))
</f>
        <v/>
      </c>
      <c r="B1626" s="223" t="str">
        <f>IFERROR(__xludf.DUMMYFUNCTION("IFERROR(IF(F1626&lt;&gt;"""",""WHSE ""&amp;LEFT(F1626,1),REGEXEXTRACT(E1626,""-(?:\d{2}-)?([A-Z]+)"")),"""")
"),"")</f>
        <v/>
      </c>
      <c r="C1626" s="224"/>
      <c r="D1626" s="219"/>
      <c r="E1626" s="225"/>
      <c r="F1626" s="225"/>
      <c r="G1626" s="226"/>
      <c r="H1626" s="225"/>
      <c r="I1626" s="227"/>
      <c r="J1626" s="228"/>
      <c r="K1626" s="229"/>
      <c r="L1626" s="229"/>
      <c r="M1626" s="229"/>
      <c r="N1626" s="230"/>
      <c r="O1626" s="228"/>
      <c r="P1626" s="230"/>
      <c r="Q1626" s="219"/>
      <c r="R1626" s="198"/>
      <c r="S1626" s="198"/>
      <c r="T1626" s="198"/>
      <c r="U1626" s="198"/>
      <c r="V1626" s="198"/>
      <c r="W1626" s="198"/>
      <c r="X1626" s="198"/>
    </row>
    <row r="1627" ht="12.0" customHeight="1">
      <c r="A1627" s="222" t="str">
        <f>IF(COUNTIFS(RC_OUT[BLOCK],RC_IN[BLOCK],RC_OUT[REMARKS],"*CLOSED*")&gt;0,"CLOSED",IF(COUNTIFS(RC_OUT[BLOCK],RC_IN[BLOCK],RC_OUT[WT],"&gt;0")&gt;0,"IN-USE",""))
</f>
        <v/>
      </c>
      <c r="B1627" s="223" t="str">
        <f>IFERROR(__xludf.DUMMYFUNCTION("IFERROR(IF(F1627&lt;&gt;"""",""WHSE ""&amp;LEFT(F1627,1),REGEXEXTRACT(E1627,""-(?:\d{2}-)?([A-Z]+)"")),"""")
"),"")</f>
        <v/>
      </c>
      <c r="C1627" s="224"/>
      <c r="D1627" s="219"/>
      <c r="E1627" s="225"/>
      <c r="F1627" s="225"/>
      <c r="G1627" s="226"/>
      <c r="H1627" s="225"/>
      <c r="I1627" s="227"/>
      <c r="J1627" s="228"/>
      <c r="K1627" s="229"/>
      <c r="L1627" s="229"/>
      <c r="M1627" s="229"/>
      <c r="N1627" s="230"/>
      <c r="O1627" s="228"/>
      <c r="P1627" s="230"/>
      <c r="Q1627" s="219"/>
      <c r="R1627" s="198"/>
      <c r="S1627" s="198"/>
      <c r="T1627" s="198"/>
      <c r="U1627" s="198"/>
      <c r="V1627" s="198"/>
      <c r="W1627" s="198"/>
      <c r="X1627" s="198"/>
    </row>
    <row r="1628" ht="12.0" customHeight="1">
      <c r="A1628" s="222" t="str">
        <f>IF(COUNTIFS(RC_OUT[BLOCK],RC_IN[BLOCK],RC_OUT[REMARKS],"*CLOSED*")&gt;0,"CLOSED",IF(COUNTIFS(RC_OUT[BLOCK],RC_IN[BLOCK],RC_OUT[WT],"&gt;0")&gt;0,"IN-USE",""))
</f>
        <v/>
      </c>
      <c r="B1628" s="223" t="str">
        <f>IFERROR(__xludf.DUMMYFUNCTION("IFERROR(IF(F1628&lt;&gt;"""",""WHSE ""&amp;LEFT(F1628,1),REGEXEXTRACT(E1628,""-(?:\d{2}-)?([A-Z]+)"")),"""")
"),"")</f>
        <v/>
      </c>
      <c r="C1628" s="224"/>
      <c r="D1628" s="219"/>
      <c r="E1628" s="225"/>
      <c r="F1628" s="225"/>
      <c r="G1628" s="226"/>
      <c r="H1628" s="225"/>
      <c r="I1628" s="227"/>
      <c r="J1628" s="228"/>
      <c r="K1628" s="229"/>
      <c r="L1628" s="229"/>
      <c r="M1628" s="229"/>
      <c r="N1628" s="230"/>
      <c r="O1628" s="228"/>
      <c r="P1628" s="230"/>
      <c r="Q1628" s="219"/>
      <c r="R1628" s="198"/>
      <c r="S1628" s="198"/>
      <c r="T1628" s="198"/>
      <c r="U1628" s="198"/>
      <c r="V1628" s="198"/>
      <c r="W1628" s="198"/>
      <c r="X1628" s="198"/>
    </row>
    <row r="1629" ht="12.0" customHeight="1">
      <c r="A1629" s="222" t="str">
        <f>IF(COUNTIFS(RC_OUT[BLOCK],RC_IN[BLOCK],RC_OUT[REMARKS],"*CLOSED*")&gt;0,"CLOSED",IF(COUNTIFS(RC_OUT[BLOCK],RC_IN[BLOCK],RC_OUT[WT],"&gt;0")&gt;0,"IN-USE",""))
</f>
        <v/>
      </c>
      <c r="B1629" s="223" t="str">
        <f>IFERROR(__xludf.DUMMYFUNCTION("IFERROR(IF(F1629&lt;&gt;"""",""WHSE ""&amp;LEFT(F1629,1),REGEXEXTRACT(E1629,""-(?:\d{2}-)?([A-Z]+)"")),"""")
"),"")</f>
        <v/>
      </c>
      <c r="C1629" s="224"/>
      <c r="D1629" s="219"/>
      <c r="E1629" s="225"/>
      <c r="F1629" s="225"/>
      <c r="G1629" s="226"/>
      <c r="H1629" s="225"/>
      <c r="I1629" s="227"/>
      <c r="J1629" s="228"/>
      <c r="K1629" s="229"/>
      <c r="L1629" s="229"/>
      <c r="M1629" s="229"/>
      <c r="N1629" s="230"/>
      <c r="O1629" s="228"/>
      <c r="P1629" s="230"/>
      <c r="Q1629" s="219"/>
      <c r="R1629" s="198"/>
      <c r="S1629" s="198"/>
      <c r="T1629" s="198"/>
      <c r="U1629" s="198"/>
      <c r="V1629" s="198"/>
      <c r="W1629" s="198"/>
      <c r="X1629" s="198"/>
    </row>
    <row r="1630" ht="12.0" customHeight="1">
      <c r="A1630" s="222" t="str">
        <f>IF(COUNTIFS(RC_OUT[BLOCK],RC_IN[BLOCK],RC_OUT[REMARKS],"*CLOSED*")&gt;0,"CLOSED",IF(COUNTIFS(RC_OUT[BLOCK],RC_IN[BLOCK],RC_OUT[WT],"&gt;0")&gt;0,"IN-USE",""))
</f>
        <v/>
      </c>
      <c r="B1630" s="223" t="str">
        <f>IFERROR(__xludf.DUMMYFUNCTION("IFERROR(IF(F1630&lt;&gt;"""",""WHSE ""&amp;LEFT(F1630,1),REGEXEXTRACT(E1630,""-(?:\d{2}-)?([A-Z]+)"")),"""")
"),"")</f>
        <v/>
      </c>
      <c r="C1630" s="224"/>
      <c r="D1630" s="219"/>
      <c r="E1630" s="225"/>
      <c r="F1630" s="225"/>
      <c r="G1630" s="226"/>
      <c r="H1630" s="225"/>
      <c r="I1630" s="227"/>
      <c r="J1630" s="228"/>
      <c r="K1630" s="229"/>
      <c r="L1630" s="229"/>
      <c r="M1630" s="229"/>
      <c r="N1630" s="230"/>
      <c r="O1630" s="228"/>
      <c r="P1630" s="230"/>
      <c r="Q1630" s="219"/>
      <c r="R1630" s="198"/>
      <c r="S1630" s="198"/>
      <c r="T1630" s="198"/>
      <c r="U1630" s="198"/>
      <c r="V1630" s="198"/>
      <c r="W1630" s="198"/>
      <c r="X1630" s="198"/>
    </row>
    <row r="1631" ht="12.0" customHeight="1">
      <c r="A1631" s="222" t="str">
        <f>IF(COUNTIFS(RC_OUT[BLOCK],RC_IN[BLOCK],RC_OUT[REMARKS],"*CLOSED*")&gt;0,"CLOSED",IF(COUNTIFS(RC_OUT[BLOCK],RC_IN[BLOCK],RC_OUT[WT],"&gt;0")&gt;0,"IN-USE",""))
</f>
        <v/>
      </c>
      <c r="B1631" s="223" t="str">
        <f>IFERROR(__xludf.DUMMYFUNCTION("IFERROR(IF(F1631&lt;&gt;"""",""WHSE ""&amp;LEFT(F1631,1),REGEXEXTRACT(E1631,""-(?:\d{2}-)?([A-Z]+)"")),"""")
"),"")</f>
        <v/>
      </c>
      <c r="C1631" s="224"/>
      <c r="D1631" s="219"/>
      <c r="E1631" s="225"/>
      <c r="F1631" s="225"/>
      <c r="G1631" s="226"/>
      <c r="H1631" s="225"/>
      <c r="I1631" s="227"/>
      <c r="J1631" s="228"/>
      <c r="K1631" s="229"/>
      <c r="L1631" s="229"/>
      <c r="M1631" s="229"/>
      <c r="N1631" s="230"/>
      <c r="O1631" s="228"/>
      <c r="P1631" s="230"/>
      <c r="Q1631" s="219"/>
      <c r="R1631" s="198"/>
      <c r="S1631" s="198"/>
      <c r="T1631" s="198"/>
      <c r="U1631" s="198"/>
      <c r="V1631" s="198"/>
      <c r="W1631" s="198"/>
      <c r="X1631" s="198"/>
    </row>
    <row r="1632" ht="12.0" customHeight="1">
      <c r="A1632" s="222" t="str">
        <f>IF(COUNTIFS(RC_OUT[BLOCK],RC_IN[BLOCK],RC_OUT[REMARKS],"*CLOSED*")&gt;0,"CLOSED",IF(COUNTIFS(RC_OUT[BLOCK],RC_IN[BLOCK],RC_OUT[WT],"&gt;0")&gt;0,"IN-USE",""))
</f>
        <v/>
      </c>
      <c r="B1632" s="223" t="str">
        <f>IFERROR(__xludf.DUMMYFUNCTION("IFERROR(IF(F1632&lt;&gt;"""",""WHSE ""&amp;LEFT(F1632,1),REGEXEXTRACT(E1632,""-(?:\d{2}-)?([A-Z]+)"")),"""")
"),"")</f>
        <v/>
      </c>
      <c r="C1632" s="224"/>
      <c r="D1632" s="219"/>
      <c r="E1632" s="225"/>
      <c r="F1632" s="225"/>
      <c r="G1632" s="226"/>
      <c r="H1632" s="225"/>
      <c r="I1632" s="227"/>
      <c r="J1632" s="228"/>
      <c r="K1632" s="229"/>
      <c r="L1632" s="229"/>
      <c r="M1632" s="229"/>
      <c r="N1632" s="230"/>
      <c r="O1632" s="228"/>
      <c r="P1632" s="230"/>
      <c r="Q1632" s="219"/>
      <c r="R1632" s="198"/>
      <c r="S1632" s="198"/>
      <c r="T1632" s="198"/>
      <c r="U1632" s="198"/>
      <c r="V1632" s="198"/>
      <c r="W1632" s="198"/>
      <c r="X1632" s="198"/>
    </row>
    <row r="1633" ht="12.0" customHeight="1">
      <c r="A1633" s="222" t="str">
        <f>IF(COUNTIFS(RC_OUT[BLOCK],RC_IN[BLOCK],RC_OUT[REMARKS],"*CLOSED*")&gt;0,"CLOSED",IF(COUNTIFS(RC_OUT[BLOCK],RC_IN[BLOCK],RC_OUT[WT],"&gt;0")&gt;0,"IN-USE",""))
</f>
        <v/>
      </c>
      <c r="B1633" s="223" t="str">
        <f>IFERROR(__xludf.DUMMYFUNCTION("IFERROR(IF(F1633&lt;&gt;"""",""WHSE ""&amp;LEFT(F1633,1),REGEXEXTRACT(E1633,""-(?:\d{2}-)?([A-Z]+)"")),"""")
"),"")</f>
        <v/>
      </c>
      <c r="C1633" s="224"/>
      <c r="D1633" s="219"/>
      <c r="E1633" s="225"/>
      <c r="F1633" s="225"/>
      <c r="G1633" s="226"/>
      <c r="H1633" s="225"/>
      <c r="I1633" s="227"/>
      <c r="J1633" s="228"/>
      <c r="K1633" s="229"/>
      <c r="L1633" s="229"/>
      <c r="M1633" s="229"/>
      <c r="N1633" s="230"/>
      <c r="O1633" s="228"/>
      <c r="P1633" s="230"/>
      <c r="Q1633" s="219"/>
      <c r="R1633" s="198"/>
      <c r="S1633" s="198"/>
      <c r="T1633" s="198"/>
      <c r="U1633" s="198"/>
      <c r="V1633" s="198"/>
      <c r="W1633" s="198"/>
      <c r="X1633" s="198"/>
    </row>
    <row r="1634" ht="12.0" customHeight="1">
      <c r="A1634" s="222" t="str">
        <f>IF(COUNTIFS(RC_OUT[BLOCK],RC_IN[BLOCK],RC_OUT[REMARKS],"*CLOSED*")&gt;0,"CLOSED",IF(COUNTIFS(RC_OUT[BLOCK],RC_IN[BLOCK],RC_OUT[WT],"&gt;0")&gt;0,"IN-USE",""))
</f>
        <v/>
      </c>
      <c r="B1634" s="223" t="str">
        <f>IFERROR(__xludf.DUMMYFUNCTION("IFERROR(IF(F1634&lt;&gt;"""",""WHSE ""&amp;LEFT(F1634,1),REGEXEXTRACT(E1634,""-(?:\d{2}-)?([A-Z]+)"")),"""")
"),"")</f>
        <v/>
      </c>
      <c r="C1634" s="224"/>
      <c r="D1634" s="219"/>
      <c r="E1634" s="225"/>
      <c r="F1634" s="225"/>
      <c r="G1634" s="226"/>
      <c r="H1634" s="225"/>
      <c r="I1634" s="227"/>
      <c r="J1634" s="228"/>
      <c r="K1634" s="229"/>
      <c r="L1634" s="229"/>
      <c r="M1634" s="229"/>
      <c r="N1634" s="230"/>
      <c r="O1634" s="228"/>
      <c r="P1634" s="230"/>
      <c r="Q1634" s="219"/>
      <c r="R1634" s="198"/>
      <c r="S1634" s="198"/>
      <c r="T1634" s="198"/>
      <c r="U1634" s="198"/>
      <c r="V1634" s="198"/>
      <c r="W1634" s="198"/>
      <c r="X1634" s="198"/>
    </row>
    <row r="1635" ht="12.0" customHeight="1">
      <c r="A1635" s="222" t="str">
        <f>IF(COUNTIFS(RC_OUT[BLOCK],RC_IN[BLOCK],RC_OUT[REMARKS],"*CLOSED*")&gt;0,"CLOSED",IF(COUNTIFS(RC_OUT[BLOCK],RC_IN[BLOCK],RC_OUT[WT],"&gt;0")&gt;0,"IN-USE",""))
</f>
        <v/>
      </c>
      <c r="B1635" s="223" t="str">
        <f>IFERROR(__xludf.DUMMYFUNCTION("IFERROR(IF(F1635&lt;&gt;"""",""WHSE ""&amp;LEFT(F1635,1),REGEXEXTRACT(E1635,""-(?:\d{2}-)?([A-Z]+)"")),"""")
"),"")</f>
        <v/>
      </c>
      <c r="C1635" s="224"/>
      <c r="D1635" s="219"/>
      <c r="E1635" s="225"/>
      <c r="F1635" s="225"/>
      <c r="G1635" s="226"/>
      <c r="H1635" s="225"/>
      <c r="I1635" s="227"/>
      <c r="J1635" s="228"/>
      <c r="K1635" s="229"/>
      <c r="L1635" s="229"/>
      <c r="M1635" s="229"/>
      <c r="N1635" s="230"/>
      <c r="O1635" s="228"/>
      <c r="P1635" s="230"/>
      <c r="Q1635" s="219"/>
      <c r="R1635" s="198"/>
      <c r="S1635" s="198"/>
      <c r="T1635" s="198"/>
      <c r="U1635" s="198"/>
      <c r="V1635" s="198"/>
      <c r="W1635" s="198"/>
      <c r="X1635" s="198"/>
    </row>
    <row r="1636" ht="12.0" customHeight="1">
      <c r="A1636" s="222" t="str">
        <f>IF(COUNTIFS(RC_OUT[BLOCK],RC_IN[BLOCK],RC_OUT[REMARKS],"*CLOSED*")&gt;0,"CLOSED",IF(COUNTIFS(RC_OUT[BLOCK],RC_IN[BLOCK],RC_OUT[WT],"&gt;0")&gt;0,"IN-USE",""))
</f>
        <v/>
      </c>
      <c r="B1636" s="223" t="str">
        <f>IFERROR(__xludf.DUMMYFUNCTION("IFERROR(IF(F1636&lt;&gt;"""",""WHSE ""&amp;LEFT(F1636,1),REGEXEXTRACT(E1636,""-(?:\d{2}-)?([A-Z]+)"")),"""")
"),"")</f>
        <v/>
      </c>
      <c r="C1636" s="224"/>
      <c r="D1636" s="219"/>
      <c r="E1636" s="225"/>
      <c r="F1636" s="225"/>
      <c r="G1636" s="226"/>
      <c r="H1636" s="225"/>
      <c r="I1636" s="227"/>
      <c r="J1636" s="228"/>
      <c r="K1636" s="229"/>
      <c r="L1636" s="229"/>
      <c r="M1636" s="229"/>
      <c r="N1636" s="230"/>
      <c r="O1636" s="228"/>
      <c r="P1636" s="230"/>
      <c r="Q1636" s="219"/>
      <c r="R1636" s="198"/>
      <c r="S1636" s="198"/>
      <c r="T1636" s="198"/>
      <c r="U1636" s="198"/>
      <c r="V1636" s="198"/>
      <c r="W1636" s="198"/>
      <c r="X1636" s="198"/>
    </row>
    <row r="1637" ht="12.0" customHeight="1">
      <c r="A1637" s="222" t="str">
        <f>IF(COUNTIFS(RC_OUT[BLOCK],RC_IN[BLOCK],RC_OUT[REMARKS],"*CLOSED*")&gt;0,"CLOSED",IF(COUNTIFS(RC_OUT[BLOCK],RC_IN[BLOCK],RC_OUT[WT],"&gt;0")&gt;0,"IN-USE",""))
</f>
        <v/>
      </c>
      <c r="B1637" s="223" t="str">
        <f>IFERROR(__xludf.DUMMYFUNCTION("IFERROR(IF(F1637&lt;&gt;"""",""WHSE ""&amp;LEFT(F1637,1),REGEXEXTRACT(E1637,""-(?:\d{2}-)?([A-Z]+)"")),"""")
"),"")</f>
        <v/>
      </c>
      <c r="C1637" s="224"/>
      <c r="D1637" s="219"/>
      <c r="E1637" s="225"/>
      <c r="F1637" s="225"/>
      <c r="G1637" s="226"/>
      <c r="H1637" s="225"/>
      <c r="I1637" s="227"/>
      <c r="J1637" s="228"/>
      <c r="K1637" s="229"/>
      <c r="L1637" s="229"/>
      <c r="M1637" s="229"/>
      <c r="N1637" s="230"/>
      <c r="O1637" s="228"/>
      <c r="P1637" s="230"/>
      <c r="Q1637" s="219"/>
      <c r="R1637" s="198"/>
      <c r="S1637" s="198"/>
      <c r="T1637" s="198"/>
      <c r="U1637" s="198"/>
      <c r="V1637" s="198"/>
      <c r="W1637" s="198"/>
      <c r="X1637" s="198"/>
    </row>
    <row r="1638" ht="12.0" customHeight="1">
      <c r="A1638" s="222" t="str">
        <f>IF(COUNTIFS(RC_OUT[BLOCK],RC_IN[BLOCK],RC_OUT[REMARKS],"*CLOSED*")&gt;0,"CLOSED",IF(COUNTIFS(RC_OUT[BLOCK],RC_IN[BLOCK],RC_OUT[WT],"&gt;0")&gt;0,"IN-USE",""))
</f>
        <v/>
      </c>
      <c r="B1638" s="223" t="str">
        <f>IFERROR(__xludf.DUMMYFUNCTION("IFERROR(IF(F1638&lt;&gt;"""",""WHSE ""&amp;LEFT(F1638,1),REGEXEXTRACT(E1638,""-(?:\d{2}-)?([A-Z]+)"")),"""")
"),"")</f>
        <v/>
      </c>
      <c r="C1638" s="224"/>
      <c r="D1638" s="219"/>
      <c r="E1638" s="225"/>
      <c r="F1638" s="225"/>
      <c r="G1638" s="226"/>
      <c r="H1638" s="225"/>
      <c r="I1638" s="227"/>
      <c r="J1638" s="228"/>
      <c r="K1638" s="229"/>
      <c r="L1638" s="229"/>
      <c r="M1638" s="229"/>
      <c r="N1638" s="230"/>
      <c r="O1638" s="228"/>
      <c r="P1638" s="230"/>
      <c r="Q1638" s="219"/>
      <c r="R1638" s="198"/>
      <c r="S1638" s="198"/>
      <c r="T1638" s="198"/>
      <c r="U1638" s="198"/>
      <c r="V1638" s="198"/>
      <c r="W1638" s="198"/>
      <c r="X1638" s="198"/>
    </row>
    <row r="1639" ht="12.0" customHeight="1">
      <c r="A1639" s="222" t="str">
        <f>IF(COUNTIFS(RC_OUT[BLOCK],RC_IN[BLOCK],RC_OUT[REMARKS],"*CLOSED*")&gt;0,"CLOSED",IF(COUNTIFS(RC_OUT[BLOCK],RC_IN[BLOCK],RC_OUT[WT],"&gt;0")&gt;0,"IN-USE",""))
</f>
        <v/>
      </c>
      <c r="B1639" s="223" t="str">
        <f>IFERROR(__xludf.DUMMYFUNCTION("IFERROR(IF(F1639&lt;&gt;"""",""WHSE ""&amp;LEFT(F1639,1),REGEXEXTRACT(E1639,""-(?:\d{2}-)?([A-Z]+)"")),"""")
"),"")</f>
        <v/>
      </c>
      <c r="C1639" s="224"/>
      <c r="D1639" s="219"/>
      <c r="E1639" s="225"/>
      <c r="F1639" s="225"/>
      <c r="G1639" s="226"/>
      <c r="H1639" s="225"/>
      <c r="I1639" s="227"/>
      <c r="J1639" s="228"/>
      <c r="K1639" s="229"/>
      <c r="L1639" s="229"/>
      <c r="M1639" s="229"/>
      <c r="N1639" s="230"/>
      <c r="O1639" s="228"/>
      <c r="P1639" s="230"/>
      <c r="Q1639" s="219"/>
      <c r="R1639" s="198"/>
      <c r="S1639" s="198"/>
      <c r="T1639" s="198"/>
      <c r="U1639" s="198"/>
      <c r="V1639" s="198"/>
      <c r="W1639" s="198"/>
      <c r="X1639" s="198"/>
    </row>
    <row r="1640" ht="12.0" customHeight="1">
      <c r="A1640" s="222" t="str">
        <f>IF(COUNTIFS(RC_OUT[BLOCK],RC_IN[BLOCK],RC_OUT[REMARKS],"*CLOSED*")&gt;0,"CLOSED",IF(COUNTIFS(RC_OUT[BLOCK],RC_IN[BLOCK],RC_OUT[WT],"&gt;0")&gt;0,"IN-USE",""))
</f>
        <v/>
      </c>
      <c r="B1640" s="223" t="str">
        <f>IFERROR(__xludf.DUMMYFUNCTION("IFERROR(IF(F1640&lt;&gt;"""",""WHSE ""&amp;LEFT(F1640,1),REGEXEXTRACT(E1640,""-(?:\d{2}-)?([A-Z]+)"")),"""")
"),"")</f>
        <v/>
      </c>
      <c r="C1640" s="224"/>
      <c r="D1640" s="219"/>
      <c r="E1640" s="225"/>
      <c r="F1640" s="225"/>
      <c r="G1640" s="226"/>
      <c r="H1640" s="225"/>
      <c r="I1640" s="227"/>
      <c r="J1640" s="228"/>
      <c r="K1640" s="229"/>
      <c r="L1640" s="229"/>
      <c r="M1640" s="229"/>
      <c r="N1640" s="230"/>
      <c r="O1640" s="228"/>
      <c r="P1640" s="230"/>
      <c r="Q1640" s="219"/>
      <c r="R1640" s="198"/>
      <c r="S1640" s="198"/>
      <c r="T1640" s="198"/>
      <c r="U1640" s="198"/>
      <c r="V1640" s="198"/>
      <c r="W1640" s="198"/>
      <c r="X1640" s="198"/>
    </row>
    <row r="1641" ht="12.0" customHeight="1">
      <c r="A1641" s="222" t="str">
        <f>IF(COUNTIFS(RC_OUT[BLOCK],RC_IN[BLOCK],RC_OUT[REMARKS],"*CLOSED*")&gt;0,"CLOSED",IF(COUNTIFS(RC_OUT[BLOCK],RC_IN[BLOCK],RC_OUT[WT],"&gt;0")&gt;0,"IN-USE",""))
</f>
        <v/>
      </c>
      <c r="B1641" s="223" t="str">
        <f>IFERROR(__xludf.DUMMYFUNCTION("IFERROR(IF(F1641&lt;&gt;"""",""WHSE ""&amp;LEFT(F1641,1),REGEXEXTRACT(E1641,""-(?:\d{2}-)?([A-Z]+)"")),"""")
"),"")</f>
        <v/>
      </c>
      <c r="C1641" s="224"/>
      <c r="D1641" s="219"/>
      <c r="E1641" s="225"/>
      <c r="F1641" s="225"/>
      <c r="G1641" s="226"/>
      <c r="H1641" s="225"/>
      <c r="I1641" s="227"/>
      <c r="J1641" s="228"/>
      <c r="K1641" s="229"/>
      <c r="L1641" s="229"/>
      <c r="M1641" s="229"/>
      <c r="N1641" s="230"/>
      <c r="O1641" s="228"/>
      <c r="P1641" s="230"/>
      <c r="Q1641" s="219"/>
      <c r="R1641" s="198"/>
      <c r="S1641" s="198"/>
      <c r="T1641" s="198"/>
      <c r="U1641" s="198"/>
      <c r="V1641" s="198"/>
      <c r="W1641" s="198"/>
      <c r="X1641" s="198"/>
    </row>
    <row r="1642" ht="12.0" customHeight="1">
      <c r="A1642" s="222" t="str">
        <f>IF(COUNTIFS(RC_OUT[BLOCK],RC_IN[BLOCK],RC_OUT[REMARKS],"*CLOSED*")&gt;0,"CLOSED",IF(COUNTIFS(RC_OUT[BLOCK],RC_IN[BLOCK],RC_OUT[WT],"&gt;0")&gt;0,"IN-USE",""))
</f>
        <v/>
      </c>
      <c r="B1642" s="223" t="str">
        <f>IFERROR(__xludf.DUMMYFUNCTION("IFERROR(IF(F1642&lt;&gt;"""",""WHSE ""&amp;LEFT(F1642,1),REGEXEXTRACT(E1642,""-(?:\d{2}-)?([A-Z]+)"")),"""")
"),"")</f>
        <v/>
      </c>
      <c r="C1642" s="224"/>
      <c r="D1642" s="219"/>
      <c r="E1642" s="225"/>
      <c r="F1642" s="225"/>
      <c r="G1642" s="226"/>
      <c r="H1642" s="225"/>
      <c r="I1642" s="227"/>
      <c r="J1642" s="228"/>
      <c r="K1642" s="229"/>
      <c r="L1642" s="229"/>
      <c r="M1642" s="229"/>
      <c r="N1642" s="230"/>
      <c r="O1642" s="228"/>
      <c r="P1642" s="230"/>
      <c r="Q1642" s="219"/>
      <c r="R1642" s="198"/>
      <c r="S1642" s="198"/>
      <c r="T1642" s="198"/>
      <c r="U1642" s="198"/>
      <c r="V1642" s="198"/>
      <c r="W1642" s="198"/>
      <c r="X1642" s="198"/>
    </row>
    <row r="1643" ht="12.0" customHeight="1">
      <c r="A1643" s="222" t="str">
        <f>IF(COUNTIFS(RC_OUT[BLOCK],RC_IN[BLOCK],RC_OUT[REMARKS],"*CLOSED*")&gt;0,"CLOSED",IF(COUNTIFS(RC_OUT[BLOCK],RC_IN[BLOCK],RC_OUT[WT],"&gt;0")&gt;0,"IN-USE",""))
</f>
        <v/>
      </c>
      <c r="B1643" s="223" t="str">
        <f>IFERROR(__xludf.DUMMYFUNCTION("IFERROR(IF(F1643&lt;&gt;"""",""WHSE ""&amp;LEFT(F1643,1),REGEXEXTRACT(E1643,""-(?:\d{2}-)?([A-Z]+)"")),"""")
"),"")</f>
        <v/>
      </c>
      <c r="C1643" s="224"/>
      <c r="D1643" s="219"/>
      <c r="E1643" s="225"/>
      <c r="F1643" s="225"/>
      <c r="G1643" s="226"/>
      <c r="H1643" s="225"/>
      <c r="I1643" s="227"/>
      <c r="J1643" s="228"/>
      <c r="K1643" s="229"/>
      <c r="L1643" s="229"/>
      <c r="M1643" s="229"/>
      <c r="N1643" s="230"/>
      <c r="O1643" s="228"/>
      <c r="P1643" s="230"/>
      <c r="Q1643" s="219"/>
      <c r="R1643" s="198"/>
      <c r="S1643" s="198"/>
      <c r="T1643" s="198"/>
      <c r="U1643" s="198"/>
      <c r="V1643" s="198"/>
      <c r="W1643" s="198"/>
      <c r="X1643" s="198"/>
    </row>
    <row r="1644" ht="12.0" customHeight="1">
      <c r="A1644" s="222" t="str">
        <f>IF(COUNTIFS(RC_OUT[BLOCK],RC_IN[BLOCK],RC_OUT[REMARKS],"*CLOSED*")&gt;0,"CLOSED",IF(COUNTIFS(RC_OUT[BLOCK],RC_IN[BLOCK],RC_OUT[WT],"&gt;0")&gt;0,"IN-USE",""))
</f>
        <v/>
      </c>
      <c r="B1644" s="223" t="str">
        <f>IFERROR(__xludf.DUMMYFUNCTION("IFERROR(IF(F1644&lt;&gt;"""",""WHSE ""&amp;LEFT(F1644,1),REGEXEXTRACT(E1644,""-(?:\d{2}-)?([A-Z]+)"")),"""")
"),"")</f>
        <v/>
      </c>
      <c r="C1644" s="224"/>
      <c r="D1644" s="219"/>
      <c r="E1644" s="225"/>
      <c r="F1644" s="225"/>
      <c r="G1644" s="226"/>
      <c r="H1644" s="225"/>
      <c r="I1644" s="227"/>
      <c r="J1644" s="228"/>
      <c r="K1644" s="229"/>
      <c r="L1644" s="229"/>
      <c r="M1644" s="229"/>
      <c r="N1644" s="230"/>
      <c r="O1644" s="228"/>
      <c r="P1644" s="230"/>
      <c r="Q1644" s="219"/>
      <c r="R1644" s="198"/>
      <c r="S1644" s="198"/>
      <c r="T1644" s="198"/>
      <c r="U1644" s="198"/>
      <c r="V1644" s="198"/>
      <c r="W1644" s="198"/>
      <c r="X1644" s="198"/>
    </row>
    <row r="1645" ht="12.0" customHeight="1">
      <c r="A1645" s="222" t="str">
        <f>IF(COUNTIFS(RC_OUT[BLOCK],RC_IN[BLOCK],RC_OUT[REMARKS],"*CLOSED*")&gt;0,"CLOSED",IF(COUNTIFS(RC_OUT[BLOCK],RC_IN[BLOCK],RC_OUT[WT],"&gt;0")&gt;0,"IN-USE",""))
</f>
        <v/>
      </c>
      <c r="B1645" s="223" t="str">
        <f>IFERROR(__xludf.DUMMYFUNCTION("IFERROR(IF(F1645&lt;&gt;"""",""WHSE ""&amp;LEFT(F1645,1),REGEXEXTRACT(E1645,""-(?:\d{2}-)?([A-Z]+)"")),"""")
"),"")</f>
        <v/>
      </c>
      <c r="C1645" s="224"/>
      <c r="D1645" s="219"/>
      <c r="E1645" s="225"/>
      <c r="F1645" s="225"/>
      <c r="G1645" s="226"/>
      <c r="H1645" s="225"/>
      <c r="I1645" s="227"/>
      <c r="J1645" s="228"/>
      <c r="K1645" s="229"/>
      <c r="L1645" s="229"/>
      <c r="M1645" s="229"/>
      <c r="N1645" s="230"/>
      <c r="O1645" s="228"/>
      <c r="P1645" s="230"/>
      <c r="Q1645" s="219"/>
      <c r="R1645" s="198"/>
      <c r="S1645" s="198"/>
      <c r="T1645" s="198"/>
      <c r="U1645" s="198"/>
      <c r="V1645" s="198"/>
      <c r="W1645" s="198"/>
      <c r="X1645" s="198"/>
    </row>
    <row r="1646" ht="12.0" customHeight="1">
      <c r="A1646" s="222" t="str">
        <f>IF(COUNTIFS(RC_OUT[BLOCK],RC_IN[BLOCK],RC_OUT[REMARKS],"*CLOSED*")&gt;0,"CLOSED",IF(COUNTIFS(RC_OUT[BLOCK],RC_IN[BLOCK],RC_OUT[WT],"&gt;0")&gt;0,"IN-USE",""))
</f>
        <v/>
      </c>
      <c r="B1646" s="223" t="str">
        <f>IFERROR(__xludf.DUMMYFUNCTION("IFERROR(IF(F1646&lt;&gt;"""",""WHSE ""&amp;LEFT(F1646,1),REGEXEXTRACT(E1646,""-(?:\d{2}-)?([A-Z]+)"")),"""")
"),"")</f>
        <v/>
      </c>
      <c r="C1646" s="224"/>
      <c r="D1646" s="219"/>
      <c r="E1646" s="225"/>
      <c r="F1646" s="225"/>
      <c r="G1646" s="226"/>
      <c r="H1646" s="225"/>
      <c r="I1646" s="227"/>
      <c r="J1646" s="228"/>
      <c r="K1646" s="229"/>
      <c r="L1646" s="229"/>
      <c r="M1646" s="229"/>
      <c r="N1646" s="230"/>
      <c r="O1646" s="228"/>
      <c r="P1646" s="230"/>
      <c r="Q1646" s="219"/>
      <c r="R1646" s="198"/>
      <c r="S1646" s="198"/>
      <c r="T1646" s="198"/>
      <c r="U1646" s="198"/>
      <c r="V1646" s="198"/>
      <c r="W1646" s="198"/>
      <c r="X1646" s="198"/>
    </row>
    <row r="1647" ht="12.0" customHeight="1">
      <c r="A1647" s="222" t="str">
        <f>IF(COUNTIFS(RC_OUT[BLOCK],RC_IN[BLOCK],RC_OUT[REMARKS],"*CLOSED*")&gt;0,"CLOSED",IF(COUNTIFS(RC_OUT[BLOCK],RC_IN[BLOCK],RC_OUT[WT],"&gt;0")&gt;0,"IN-USE",""))
</f>
        <v/>
      </c>
      <c r="B1647" s="223" t="str">
        <f>IFERROR(__xludf.DUMMYFUNCTION("IFERROR(IF(F1647&lt;&gt;"""",""WHSE ""&amp;LEFT(F1647,1),REGEXEXTRACT(E1647,""-(?:\d{2}-)?([A-Z]+)"")),"""")
"),"")</f>
        <v/>
      </c>
      <c r="C1647" s="224"/>
      <c r="D1647" s="219"/>
      <c r="E1647" s="225"/>
      <c r="F1647" s="225"/>
      <c r="G1647" s="226"/>
      <c r="H1647" s="225"/>
      <c r="I1647" s="227"/>
      <c r="J1647" s="228"/>
      <c r="K1647" s="229"/>
      <c r="L1647" s="229"/>
      <c r="M1647" s="229"/>
      <c r="N1647" s="230"/>
      <c r="O1647" s="228"/>
      <c r="P1647" s="230"/>
      <c r="Q1647" s="219"/>
      <c r="R1647" s="198"/>
      <c r="S1647" s="198"/>
      <c r="T1647" s="198"/>
      <c r="U1647" s="198"/>
      <c r="V1647" s="198"/>
      <c r="W1647" s="198"/>
      <c r="X1647" s="198"/>
    </row>
    <row r="1648" ht="12.0" customHeight="1">
      <c r="A1648" s="222" t="str">
        <f>IF(COUNTIFS(RC_OUT[BLOCK],RC_IN[BLOCK],RC_OUT[REMARKS],"*CLOSED*")&gt;0,"CLOSED",IF(COUNTIFS(RC_OUT[BLOCK],RC_IN[BLOCK],RC_OUT[WT],"&gt;0")&gt;0,"IN-USE",""))
</f>
        <v/>
      </c>
      <c r="B1648" s="223" t="str">
        <f>IFERROR(__xludf.DUMMYFUNCTION("IFERROR(IF(F1648&lt;&gt;"""",""WHSE ""&amp;LEFT(F1648,1),REGEXEXTRACT(E1648,""-(?:\d{2}-)?([A-Z]+)"")),"""")
"),"")</f>
        <v/>
      </c>
      <c r="C1648" s="224"/>
      <c r="D1648" s="219"/>
      <c r="E1648" s="225"/>
      <c r="F1648" s="225"/>
      <c r="G1648" s="226"/>
      <c r="H1648" s="225"/>
      <c r="I1648" s="227"/>
      <c r="J1648" s="228"/>
      <c r="K1648" s="229"/>
      <c r="L1648" s="229"/>
      <c r="M1648" s="229"/>
      <c r="N1648" s="230"/>
      <c r="O1648" s="228"/>
      <c r="P1648" s="230"/>
      <c r="Q1648" s="219"/>
      <c r="R1648" s="198"/>
      <c r="S1648" s="198"/>
      <c r="T1648" s="198"/>
      <c r="U1648" s="198"/>
      <c r="V1648" s="198"/>
      <c r="W1648" s="198"/>
      <c r="X1648" s="198"/>
    </row>
    <row r="1649" ht="12.0" customHeight="1">
      <c r="A1649" s="222" t="str">
        <f>IF(COUNTIFS(RC_OUT[BLOCK],RC_IN[BLOCK],RC_OUT[REMARKS],"*CLOSED*")&gt;0,"CLOSED",IF(COUNTIFS(RC_OUT[BLOCK],RC_IN[BLOCK],RC_OUT[WT],"&gt;0")&gt;0,"IN-USE",""))
</f>
        <v/>
      </c>
      <c r="B1649" s="223" t="str">
        <f>IFERROR(__xludf.DUMMYFUNCTION("IFERROR(IF(F1649&lt;&gt;"""",""WHSE ""&amp;LEFT(F1649,1),REGEXEXTRACT(E1649,""-(?:\d{2}-)?([A-Z]+)"")),"""")
"),"")</f>
        <v/>
      </c>
      <c r="C1649" s="224"/>
      <c r="D1649" s="219"/>
      <c r="E1649" s="225"/>
      <c r="F1649" s="225"/>
      <c r="G1649" s="226"/>
      <c r="H1649" s="225"/>
      <c r="I1649" s="227"/>
      <c r="J1649" s="228"/>
      <c r="K1649" s="229"/>
      <c r="L1649" s="229"/>
      <c r="M1649" s="229"/>
      <c r="N1649" s="230"/>
      <c r="O1649" s="228"/>
      <c r="P1649" s="230"/>
      <c r="Q1649" s="219"/>
      <c r="R1649" s="198"/>
      <c r="S1649" s="198"/>
      <c r="T1649" s="198"/>
      <c r="U1649" s="198"/>
      <c r="V1649" s="198"/>
      <c r="W1649" s="198"/>
      <c r="X1649" s="198"/>
    </row>
    <row r="1650" ht="12.0" customHeight="1">
      <c r="A1650" s="222" t="str">
        <f>IF(COUNTIFS(RC_OUT[BLOCK],RC_IN[BLOCK],RC_OUT[REMARKS],"*CLOSED*")&gt;0,"CLOSED",IF(COUNTIFS(RC_OUT[BLOCK],RC_IN[BLOCK],RC_OUT[WT],"&gt;0")&gt;0,"IN-USE",""))
</f>
        <v/>
      </c>
      <c r="B1650" s="223" t="str">
        <f>IFERROR(__xludf.DUMMYFUNCTION("IFERROR(IF(F1650&lt;&gt;"""",""WHSE ""&amp;LEFT(F1650,1),REGEXEXTRACT(E1650,""-(?:\d{2}-)?([A-Z]+)"")),"""")
"),"")</f>
        <v/>
      </c>
      <c r="C1650" s="224"/>
      <c r="D1650" s="219"/>
      <c r="E1650" s="225"/>
      <c r="F1650" s="225"/>
      <c r="G1650" s="226"/>
      <c r="H1650" s="225"/>
      <c r="I1650" s="227"/>
      <c r="J1650" s="228"/>
      <c r="K1650" s="229"/>
      <c r="L1650" s="229"/>
      <c r="M1650" s="229"/>
      <c r="N1650" s="230"/>
      <c r="O1650" s="228"/>
      <c r="P1650" s="230"/>
      <c r="Q1650" s="219"/>
      <c r="R1650" s="198"/>
      <c r="S1650" s="198"/>
      <c r="T1650" s="198"/>
      <c r="U1650" s="198"/>
      <c r="V1650" s="198"/>
      <c r="W1650" s="198"/>
      <c r="X1650" s="198"/>
    </row>
    <row r="1651" ht="12.0" customHeight="1">
      <c r="A1651" s="222" t="str">
        <f>IF(COUNTIFS(RC_OUT[BLOCK],RC_IN[BLOCK],RC_OUT[REMARKS],"*CLOSED*")&gt;0,"CLOSED",IF(COUNTIFS(RC_OUT[BLOCK],RC_IN[BLOCK],RC_OUT[WT],"&gt;0")&gt;0,"IN-USE",""))
</f>
        <v/>
      </c>
      <c r="B1651" s="223" t="str">
        <f>IFERROR(__xludf.DUMMYFUNCTION("IFERROR(IF(F1651&lt;&gt;"""",""WHSE ""&amp;LEFT(F1651,1),REGEXEXTRACT(E1651,""-(?:\d{2}-)?([A-Z]+)"")),"""")
"),"")</f>
        <v/>
      </c>
      <c r="C1651" s="224"/>
      <c r="D1651" s="219"/>
      <c r="E1651" s="225"/>
      <c r="F1651" s="225"/>
      <c r="G1651" s="226"/>
      <c r="H1651" s="225"/>
      <c r="I1651" s="227"/>
      <c r="J1651" s="228"/>
      <c r="K1651" s="229"/>
      <c r="L1651" s="229"/>
      <c r="M1651" s="229"/>
      <c r="N1651" s="230"/>
      <c r="O1651" s="228"/>
      <c r="P1651" s="230"/>
      <c r="Q1651" s="219"/>
      <c r="R1651" s="198"/>
      <c r="S1651" s="198"/>
      <c r="T1651" s="198"/>
      <c r="U1651" s="198"/>
      <c r="V1651" s="198"/>
      <c r="W1651" s="198"/>
      <c r="X1651" s="198"/>
    </row>
    <row r="1652" ht="12.0" customHeight="1">
      <c r="A1652" s="222" t="str">
        <f>IF(COUNTIFS(RC_OUT[BLOCK],RC_IN[BLOCK],RC_OUT[REMARKS],"*CLOSED*")&gt;0,"CLOSED",IF(COUNTIFS(RC_OUT[BLOCK],RC_IN[BLOCK],RC_OUT[WT],"&gt;0")&gt;0,"IN-USE",""))
</f>
        <v/>
      </c>
      <c r="B1652" s="223" t="str">
        <f>IFERROR(__xludf.DUMMYFUNCTION("IFERROR(IF(F1652&lt;&gt;"""",""WHSE ""&amp;LEFT(F1652,1),REGEXEXTRACT(E1652,""-(?:\d{2}-)?([A-Z]+)"")),"""")
"),"")</f>
        <v/>
      </c>
      <c r="C1652" s="224"/>
      <c r="D1652" s="219"/>
      <c r="E1652" s="225"/>
      <c r="F1652" s="225"/>
      <c r="G1652" s="226"/>
      <c r="H1652" s="225"/>
      <c r="I1652" s="227"/>
      <c r="J1652" s="228"/>
      <c r="K1652" s="229"/>
      <c r="L1652" s="229"/>
      <c r="M1652" s="229"/>
      <c r="N1652" s="230"/>
      <c r="O1652" s="228"/>
      <c r="P1652" s="230"/>
      <c r="Q1652" s="219"/>
      <c r="R1652" s="198"/>
      <c r="S1652" s="198"/>
      <c r="T1652" s="198"/>
      <c r="U1652" s="198"/>
      <c r="V1652" s="198"/>
      <c r="W1652" s="198"/>
      <c r="X1652" s="198"/>
    </row>
    <row r="1653" ht="12.0" customHeight="1">
      <c r="A1653" s="222" t="str">
        <f>IF(COUNTIFS(RC_OUT[BLOCK],RC_IN[BLOCK],RC_OUT[REMARKS],"*CLOSED*")&gt;0,"CLOSED",IF(COUNTIFS(RC_OUT[BLOCK],RC_IN[BLOCK],RC_OUT[WT],"&gt;0")&gt;0,"IN-USE",""))
</f>
        <v/>
      </c>
      <c r="B1653" s="223" t="str">
        <f>IFERROR(__xludf.DUMMYFUNCTION("IFERROR(IF(F1653&lt;&gt;"""",""WHSE ""&amp;LEFT(F1653,1),REGEXEXTRACT(E1653,""-(?:\d{2}-)?([A-Z]+)"")),"""")
"),"")</f>
        <v/>
      </c>
      <c r="C1653" s="224"/>
      <c r="D1653" s="219"/>
      <c r="E1653" s="225"/>
      <c r="F1653" s="225"/>
      <c r="G1653" s="226"/>
      <c r="H1653" s="225"/>
      <c r="I1653" s="227"/>
      <c r="J1653" s="228"/>
      <c r="K1653" s="229"/>
      <c r="L1653" s="229"/>
      <c r="M1653" s="229"/>
      <c r="N1653" s="230"/>
      <c r="O1653" s="228"/>
      <c r="P1653" s="230"/>
      <c r="Q1653" s="219"/>
      <c r="R1653" s="198"/>
      <c r="S1653" s="198"/>
      <c r="T1653" s="198"/>
      <c r="U1653" s="198"/>
      <c r="V1653" s="198"/>
      <c r="W1653" s="198"/>
      <c r="X1653" s="198"/>
    </row>
    <row r="1654" ht="12.0" customHeight="1">
      <c r="A1654" s="222" t="str">
        <f>IF(COUNTIFS(RC_OUT[BLOCK],RC_IN[BLOCK],RC_OUT[REMARKS],"*CLOSED*")&gt;0,"CLOSED",IF(COUNTIFS(RC_OUT[BLOCK],RC_IN[BLOCK],RC_OUT[WT],"&gt;0")&gt;0,"IN-USE",""))
</f>
        <v/>
      </c>
      <c r="B1654" s="223" t="str">
        <f>IFERROR(__xludf.DUMMYFUNCTION("IFERROR(IF(F1654&lt;&gt;"""",""WHSE ""&amp;LEFT(F1654,1),REGEXEXTRACT(E1654,""-(?:\d{2}-)?([A-Z]+)"")),"""")
"),"")</f>
        <v/>
      </c>
      <c r="C1654" s="224"/>
      <c r="D1654" s="219"/>
      <c r="E1654" s="225"/>
      <c r="F1654" s="225"/>
      <c r="G1654" s="226"/>
      <c r="H1654" s="225"/>
      <c r="I1654" s="227"/>
      <c r="J1654" s="228"/>
      <c r="K1654" s="229"/>
      <c r="L1654" s="229"/>
      <c r="M1654" s="229"/>
      <c r="N1654" s="230"/>
      <c r="O1654" s="228"/>
      <c r="P1654" s="230"/>
      <c r="Q1654" s="219"/>
      <c r="R1654" s="198"/>
      <c r="S1654" s="198"/>
      <c r="T1654" s="198"/>
      <c r="U1654" s="198"/>
      <c r="V1654" s="198"/>
      <c r="W1654" s="198"/>
      <c r="X1654" s="198"/>
    </row>
    <row r="1655" ht="12.0" customHeight="1">
      <c r="A1655" s="222" t="str">
        <f>IF(COUNTIFS(RC_OUT[BLOCK],RC_IN[BLOCK],RC_OUT[REMARKS],"*CLOSED*")&gt;0,"CLOSED",IF(COUNTIFS(RC_OUT[BLOCK],RC_IN[BLOCK],RC_OUT[WT],"&gt;0")&gt;0,"IN-USE",""))
</f>
        <v/>
      </c>
      <c r="B1655" s="223" t="str">
        <f>IFERROR(__xludf.DUMMYFUNCTION("IFERROR(IF(F1655&lt;&gt;"""",""WHSE ""&amp;LEFT(F1655,1),REGEXEXTRACT(E1655,""-(?:\d{2}-)?([A-Z]+)"")),"""")
"),"")</f>
        <v/>
      </c>
      <c r="C1655" s="224"/>
      <c r="D1655" s="219"/>
      <c r="E1655" s="225"/>
      <c r="F1655" s="225"/>
      <c r="G1655" s="226"/>
      <c r="H1655" s="225"/>
      <c r="I1655" s="227"/>
      <c r="J1655" s="228"/>
      <c r="K1655" s="229"/>
      <c r="L1655" s="229"/>
      <c r="M1655" s="229"/>
      <c r="N1655" s="230"/>
      <c r="O1655" s="228"/>
      <c r="P1655" s="230"/>
      <c r="Q1655" s="219"/>
      <c r="R1655" s="198"/>
      <c r="S1655" s="198"/>
      <c r="T1655" s="198"/>
      <c r="U1655" s="198"/>
      <c r="V1655" s="198"/>
      <c r="W1655" s="198"/>
      <c r="X1655" s="198"/>
    </row>
    <row r="1656" ht="12.0" customHeight="1">
      <c r="A1656" s="222" t="str">
        <f>IF(COUNTIFS(RC_OUT[BLOCK],RC_IN[BLOCK],RC_OUT[REMARKS],"*CLOSED*")&gt;0,"CLOSED",IF(COUNTIFS(RC_OUT[BLOCK],RC_IN[BLOCK],RC_OUT[WT],"&gt;0")&gt;0,"IN-USE",""))
</f>
        <v/>
      </c>
      <c r="B1656" s="223" t="str">
        <f>IFERROR(__xludf.DUMMYFUNCTION("IFERROR(IF(F1656&lt;&gt;"""",""WHSE ""&amp;LEFT(F1656,1),REGEXEXTRACT(E1656,""-(?:\d{2}-)?([A-Z]+)"")),"""")
"),"")</f>
        <v/>
      </c>
      <c r="C1656" s="224"/>
      <c r="D1656" s="219"/>
      <c r="E1656" s="225"/>
      <c r="F1656" s="225"/>
      <c r="G1656" s="226"/>
      <c r="H1656" s="225"/>
      <c r="I1656" s="227"/>
      <c r="J1656" s="228"/>
      <c r="K1656" s="229"/>
      <c r="L1656" s="229"/>
      <c r="M1656" s="229"/>
      <c r="N1656" s="230"/>
      <c r="O1656" s="228"/>
      <c r="P1656" s="230"/>
      <c r="Q1656" s="219"/>
      <c r="R1656" s="198"/>
      <c r="S1656" s="198"/>
      <c r="T1656" s="198"/>
      <c r="U1656" s="198"/>
      <c r="V1656" s="198"/>
      <c r="W1656" s="198"/>
      <c r="X1656" s="198"/>
    </row>
    <row r="1657" ht="12.0" customHeight="1">
      <c r="A1657" s="222" t="str">
        <f>IF(COUNTIFS(RC_OUT[BLOCK],RC_IN[BLOCK],RC_OUT[REMARKS],"*CLOSED*")&gt;0,"CLOSED",IF(COUNTIFS(RC_OUT[BLOCK],RC_IN[BLOCK],RC_OUT[WT],"&gt;0")&gt;0,"IN-USE",""))
</f>
        <v/>
      </c>
      <c r="B1657" s="223" t="str">
        <f>IFERROR(__xludf.DUMMYFUNCTION("IFERROR(IF(F1657&lt;&gt;"""",""WHSE ""&amp;LEFT(F1657,1),REGEXEXTRACT(E1657,""-(?:\d{2}-)?([A-Z]+)"")),"""")
"),"")</f>
        <v/>
      </c>
      <c r="C1657" s="224"/>
      <c r="D1657" s="219"/>
      <c r="E1657" s="225"/>
      <c r="F1657" s="225"/>
      <c r="G1657" s="226"/>
      <c r="H1657" s="225"/>
      <c r="I1657" s="227"/>
      <c r="J1657" s="228"/>
      <c r="K1657" s="229"/>
      <c r="L1657" s="229"/>
      <c r="M1657" s="229"/>
      <c r="N1657" s="230"/>
      <c r="O1657" s="228"/>
      <c r="P1657" s="230"/>
      <c r="Q1657" s="219"/>
      <c r="R1657" s="198"/>
      <c r="S1657" s="198"/>
      <c r="T1657" s="198"/>
      <c r="U1657" s="198"/>
      <c r="V1657" s="198"/>
      <c r="W1657" s="198"/>
      <c r="X1657" s="198"/>
    </row>
    <row r="1658" ht="12.0" customHeight="1">
      <c r="A1658" s="222" t="str">
        <f>IF(COUNTIFS(RC_OUT[BLOCK],RC_IN[BLOCK],RC_OUT[REMARKS],"*CLOSED*")&gt;0,"CLOSED",IF(COUNTIFS(RC_OUT[BLOCK],RC_IN[BLOCK],RC_OUT[WT],"&gt;0")&gt;0,"IN-USE",""))
</f>
        <v/>
      </c>
      <c r="B1658" s="223" t="str">
        <f>IFERROR(__xludf.DUMMYFUNCTION("IFERROR(IF(F1658&lt;&gt;"""",""WHSE ""&amp;LEFT(F1658,1),REGEXEXTRACT(E1658,""-(?:\d{2}-)?([A-Z]+)"")),"""")
"),"")</f>
        <v/>
      </c>
      <c r="C1658" s="224"/>
      <c r="D1658" s="219"/>
      <c r="E1658" s="225"/>
      <c r="F1658" s="225"/>
      <c r="G1658" s="226"/>
      <c r="H1658" s="225"/>
      <c r="I1658" s="227"/>
      <c r="J1658" s="228"/>
      <c r="K1658" s="229"/>
      <c r="L1658" s="229"/>
      <c r="M1658" s="229"/>
      <c r="N1658" s="230"/>
      <c r="O1658" s="228"/>
      <c r="P1658" s="230"/>
      <c r="Q1658" s="219"/>
      <c r="R1658" s="198"/>
      <c r="S1658" s="198"/>
      <c r="T1658" s="198"/>
      <c r="U1658" s="198"/>
      <c r="V1658" s="198"/>
      <c r="W1658" s="198"/>
      <c r="X1658" s="198"/>
    </row>
    <row r="1659" ht="12.0" customHeight="1">
      <c r="A1659" s="222" t="str">
        <f>IF(COUNTIFS(RC_OUT[BLOCK],RC_IN[BLOCK],RC_OUT[REMARKS],"*CLOSED*")&gt;0,"CLOSED",IF(COUNTIFS(RC_OUT[BLOCK],RC_IN[BLOCK],RC_OUT[WT],"&gt;0")&gt;0,"IN-USE",""))
</f>
        <v/>
      </c>
      <c r="B1659" s="223" t="str">
        <f>IFERROR(__xludf.DUMMYFUNCTION("IFERROR(IF(F1659&lt;&gt;"""",""WHSE ""&amp;LEFT(F1659,1),REGEXEXTRACT(E1659,""-(?:\d{2}-)?([A-Z]+)"")),"""")
"),"")</f>
        <v/>
      </c>
      <c r="C1659" s="224"/>
      <c r="D1659" s="219"/>
      <c r="E1659" s="225"/>
      <c r="F1659" s="225"/>
      <c r="G1659" s="226"/>
      <c r="H1659" s="225"/>
      <c r="I1659" s="227"/>
      <c r="J1659" s="228"/>
      <c r="K1659" s="229"/>
      <c r="L1659" s="229"/>
      <c r="M1659" s="229"/>
      <c r="N1659" s="230"/>
      <c r="O1659" s="228"/>
      <c r="P1659" s="230"/>
      <c r="Q1659" s="219"/>
      <c r="R1659" s="198"/>
      <c r="S1659" s="198"/>
      <c r="T1659" s="198"/>
      <c r="U1659" s="198"/>
      <c r="V1659" s="198"/>
      <c r="W1659" s="198"/>
      <c r="X1659" s="198"/>
    </row>
    <row r="1660" ht="12.0" customHeight="1">
      <c r="A1660" s="222" t="str">
        <f>IF(COUNTIFS(RC_OUT[BLOCK],RC_IN[BLOCK],RC_OUT[REMARKS],"*CLOSED*")&gt;0,"CLOSED",IF(COUNTIFS(RC_OUT[BLOCK],RC_IN[BLOCK],RC_OUT[WT],"&gt;0")&gt;0,"IN-USE",""))
</f>
        <v/>
      </c>
      <c r="B1660" s="223" t="str">
        <f>IFERROR(__xludf.DUMMYFUNCTION("IFERROR(IF(F1660&lt;&gt;"""",""WHSE ""&amp;LEFT(F1660,1),REGEXEXTRACT(E1660,""-(?:\d{2}-)?([A-Z]+)"")),"""")
"),"")</f>
        <v/>
      </c>
      <c r="C1660" s="224"/>
      <c r="D1660" s="219"/>
      <c r="E1660" s="225"/>
      <c r="F1660" s="225"/>
      <c r="G1660" s="226"/>
      <c r="H1660" s="225"/>
      <c r="I1660" s="227"/>
      <c r="J1660" s="228"/>
      <c r="K1660" s="229"/>
      <c r="L1660" s="229"/>
      <c r="M1660" s="229"/>
      <c r="N1660" s="230"/>
      <c r="O1660" s="228"/>
      <c r="P1660" s="230"/>
      <c r="Q1660" s="219"/>
      <c r="R1660" s="198"/>
      <c r="S1660" s="198"/>
      <c r="T1660" s="198"/>
      <c r="U1660" s="198"/>
      <c r="V1660" s="198"/>
      <c r="W1660" s="198"/>
      <c r="X1660" s="198"/>
    </row>
    <row r="1661" ht="12.0" customHeight="1">
      <c r="A1661" s="222" t="str">
        <f>IF(COUNTIFS(RC_OUT[BLOCK],RC_IN[BLOCK],RC_OUT[REMARKS],"*CLOSED*")&gt;0,"CLOSED",IF(COUNTIFS(RC_OUT[BLOCK],RC_IN[BLOCK],RC_OUT[WT],"&gt;0")&gt;0,"IN-USE",""))
</f>
        <v/>
      </c>
      <c r="B1661" s="223" t="str">
        <f>IFERROR(__xludf.DUMMYFUNCTION("IFERROR(IF(F1661&lt;&gt;"""",""WHSE ""&amp;LEFT(F1661,1),REGEXEXTRACT(E1661,""-(?:\d{2}-)?([A-Z]+)"")),"""")
"),"")</f>
        <v/>
      </c>
      <c r="C1661" s="224"/>
      <c r="D1661" s="219"/>
      <c r="E1661" s="225"/>
      <c r="F1661" s="225"/>
      <c r="G1661" s="226"/>
      <c r="H1661" s="225"/>
      <c r="I1661" s="227"/>
      <c r="J1661" s="228"/>
      <c r="K1661" s="229"/>
      <c r="L1661" s="229"/>
      <c r="M1661" s="229"/>
      <c r="N1661" s="230"/>
      <c r="O1661" s="228"/>
      <c r="P1661" s="230"/>
      <c r="Q1661" s="219"/>
      <c r="R1661" s="198"/>
      <c r="S1661" s="198"/>
      <c r="T1661" s="198"/>
      <c r="U1661" s="198"/>
      <c r="V1661" s="198"/>
      <c r="W1661" s="198"/>
      <c r="X1661" s="198"/>
    </row>
    <row r="1662" ht="12.0" customHeight="1">
      <c r="A1662" s="222" t="str">
        <f>IF(COUNTIFS(RC_OUT[BLOCK],RC_IN[BLOCK],RC_OUT[REMARKS],"*CLOSED*")&gt;0,"CLOSED",IF(COUNTIFS(RC_OUT[BLOCK],RC_IN[BLOCK],RC_OUT[WT],"&gt;0")&gt;0,"IN-USE",""))
</f>
        <v/>
      </c>
      <c r="B1662" s="223" t="str">
        <f>IFERROR(__xludf.DUMMYFUNCTION("IFERROR(IF(F1662&lt;&gt;"""",""WHSE ""&amp;LEFT(F1662,1),REGEXEXTRACT(E1662,""-(?:\d{2}-)?([A-Z]+)"")),"""")
"),"")</f>
        <v/>
      </c>
      <c r="C1662" s="224"/>
      <c r="D1662" s="219"/>
      <c r="E1662" s="225"/>
      <c r="F1662" s="225"/>
      <c r="G1662" s="226"/>
      <c r="H1662" s="225"/>
      <c r="I1662" s="227"/>
      <c r="J1662" s="228"/>
      <c r="K1662" s="229"/>
      <c r="L1662" s="229"/>
      <c r="M1662" s="229"/>
      <c r="N1662" s="230"/>
      <c r="O1662" s="228"/>
      <c r="P1662" s="230"/>
      <c r="Q1662" s="219"/>
      <c r="R1662" s="198"/>
      <c r="S1662" s="198"/>
      <c r="T1662" s="198"/>
      <c r="U1662" s="198"/>
      <c r="V1662" s="198"/>
      <c r="W1662" s="198"/>
      <c r="X1662" s="198"/>
    </row>
    <row r="1663" ht="12.0" customHeight="1">
      <c r="A1663" s="222" t="str">
        <f>IF(COUNTIFS(RC_OUT[BLOCK],RC_IN[BLOCK],RC_OUT[REMARKS],"*CLOSED*")&gt;0,"CLOSED",IF(COUNTIFS(RC_OUT[BLOCK],RC_IN[BLOCK],RC_OUT[WT],"&gt;0")&gt;0,"IN-USE",""))
</f>
        <v/>
      </c>
      <c r="B1663" s="223" t="str">
        <f>IFERROR(__xludf.DUMMYFUNCTION("IFERROR(IF(F1663&lt;&gt;"""",""WHSE ""&amp;LEFT(F1663,1),REGEXEXTRACT(E1663,""-(?:\d{2}-)?([A-Z]+)"")),"""")
"),"")</f>
        <v/>
      </c>
      <c r="C1663" s="224"/>
      <c r="D1663" s="219"/>
      <c r="E1663" s="225"/>
      <c r="F1663" s="225"/>
      <c r="G1663" s="226"/>
      <c r="H1663" s="225"/>
      <c r="I1663" s="227"/>
      <c r="J1663" s="228"/>
      <c r="K1663" s="229"/>
      <c r="L1663" s="229"/>
      <c r="M1663" s="229"/>
      <c r="N1663" s="230"/>
      <c r="O1663" s="228"/>
      <c r="P1663" s="230"/>
      <c r="Q1663" s="219"/>
      <c r="R1663" s="198"/>
      <c r="S1663" s="198"/>
      <c r="T1663" s="198"/>
      <c r="U1663" s="198"/>
      <c r="V1663" s="198"/>
      <c r="W1663" s="198"/>
      <c r="X1663" s="198"/>
    </row>
    <row r="1664" ht="12.0" customHeight="1">
      <c r="A1664" s="222" t="str">
        <f>IF(COUNTIFS(RC_OUT[BLOCK],RC_IN[BLOCK],RC_OUT[REMARKS],"*CLOSED*")&gt;0,"CLOSED",IF(COUNTIFS(RC_OUT[BLOCK],RC_IN[BLOCK],RC_OUT[WT],"&gt;0")&gt;0,"IN-USE",""))
</f>
        <v/>
      </c>
      <c r="B1664" s="223" t="str">
        <f>IFERROR(__xludf.DUMMYFUNCTION("IFERROR(IF(F1664&lt;&gt;"""",""WHSE ""&amp;LEFT(F1664,1),REGEXEXTRACT(E1664,""-(?:\d{2}-)?([A-Z]+)"")),"""")
"),"")</f>
        <v/>
      </c>
      <c r="C1664" s="224"/>
      <c r="D1664" s="219"/>
      <c r="E1664" s="225"/>
      <c r="F1664" s="225"/>
      <c r="G1664" s="226"/>
      <c r="H1664" s="225"/>
      <c r="I1664" s="227"/>
      <c r="J1664" s="228"/>
      <c r="K1664" s="229"/>
      <c r="L1664" s="229"/>
      <c r="M1664" s="229"/>
      <c r="N1664" s="230"/>
      <c r="O1664" s="228"/>
      <c r="P1664" s="230"/>
      <c r="Q1664" s="219"/>
      <c r="R1664" s="198"/>
      <c r="S1664" s="198"/>
      <c r="T1664" s="198"/>
      <c r="U1664" s="198"/>
      <c r="V1664" s="198"/>
      <c r="W1664" s="198"/>
      <c r="X1664" s="198"/>
    </row>
    <row r="1665" ht="12.0" customHeight="1">
      <c r="A1665" s="222" t="str">
        <f>IF(COUNTIFS(RC_OUT[BLOCK],RC_IN[BLOCK],RC_OUT[REMARKS],"*CLOSED*")&gt;0,"CLOSED",IF(COUNTIFS(RC_OUT[BLOCK],RC_IN[BLOCK],RC_OUT[WT],"&gt;0")&gt;0,"IN-USE",""))
</f>
        <v/>
      </c>
      <c r="B1665" s="223" t="str">
        <f>IFERROR(__xludf.DUMMYFUNCTION("IFERROR(IF(F1665&lt;&gt;"""",""WHSE ""&amp;LEFT(F1665,1),REGEXEXTRACT(E1665,""-(?:\d{2}-)?([A-Z]+)"")),"""")
"),"")</f>
        <v/>
      </c>
      <c r="C1665" s="224"/>
      <c r="D1665" s="219"/>
      <c r="E1665" s="225"/>
      <c r="F1665" s="225"/>
      <c r="G1665" s="226"/>
      <c r="H1665" s="225"/>
      <c r="I1665" s="227"/>
      <c r="J1665" s="228"/>
      <c r="K1665" s="229"/>
      <c r="L1665" s="229"/>
      <c r="M1665" s="229"/>
      <c r="N1665" s="230"/>
      <c r="O1665" s="228"/>
      <c r="P1665" s="230"/>
      <c r="Q1665" s="219"/>
      <c r="R1665" s="198"/>
      <c r="S1665" s="198"/>
      <c r="T1665" s="198"/>
      <c r="U1665" s="198"/>
      <c r="V1665" s="198"/>
      <c r="W1665" s="198"/>
      <c r="X1665" s="198"/>
    </row>
    <row r="1666" ht="12.0" customHeight="1">
      <c r="A1666" s="222" t="str">
        <f>IF(COUNTIFS(RC_OUT[BLOCK],RC_IN[BLOCK],RC_OUT[REMARKS],"*CLOSED*")&gt;0,"CLOSED",IF(COUNTIFS(RC_OUT[BLOCK],RC_IN[BLOCK],RC_OUT[WT],"&gt;0")&gt;0,"IN-USE",""))
</f>
        <v/>
      </c>
      <c r="B1666" s="223" t="str">
        <f>IFERROR(__xludf.DUMMYFUNCTION("IFERROR(IF(F1666&lt;&gt;"""",""WHSE ""&amp;LEFT(F1666,1),REGEXEXTRACT(E1666,""-(?:\d{2}-)?([A-Z]+)"")),"""")
"),"")</f>
        <v/>
      </c>
      <c r="C1666" s="224"/>
      <c r="D1666" s="219"/>
      <c r="E1666" s="225"/>
      <c r="F1666" s="225"/>
      <c r="G1666" s="226"/>
      <c r="H1666" s="225"/>
      <c r="I1666" s="227"/>
      <c r="J1666" s="228"/>
      <c r="K1666" s="229"/>
      <c r="L1666" s="229"/>
      <c r="M1666" s="229"/>
      <c r="N1666" s="230"/>
      <c r="O1666" s="228"/>
      <c r="P1666" s="230"/>
      <c r="Q1666" s="219"/>
      <c r="R1666" s="198"/>
      <c r="S1666" s="198"/>
      <c r="T1666" s="198"/>
      <c r="U1666" s="198"/>
      <c r="V1666" s="198"/>
      <c r="W1666" s="198"/>
      <c r="X1666" s="198"/>
    </row>
    <row r="1667" ht="12.0" customHeight="1">
      <c r="A1667" s="222" t="str">
        <f>IF(COUNTIFS(RC_OUT[BLOCK],RC_IN[BLOCK],RC_OUT[REMARKS],"*CLOSED*")&gt;0,"CLOSED",IF(COUNTIFS(RC_OUT[BLOCK],RC_IN[BLOCK],RC_OUT[WT],"&gt;0")&gt;0,"IN-USE",""))
</f>
        <v/>
      </c>
      <c r="B1667" s="223" t="str">
        <f>IFERROR(__xludf.DUMMYFUNCTION("IFERROR(IF(F1667&lt;&gt;"""",""WHSE ""&amp;LEFT(F1667,1),REGEXEXTRACT(E1667,""-(?:\d{2}-)?([A-Z]+)"")),"""")
"),"")</f>
        <v/>
      </c>
      <c r="C1667" s="224"/>
      <c r="D1667" s="219"/>
      <c r="E1667" s="225"/>
      <c r="F1667" s="225"/>
      <c r="G1667" s="226"/>
      <c r="H1667" s="225"/>
      <c r="I1667" s="227"/>
      <c r="J1667" s="228"/>
      <c r="K1667" s="229"/>
      <c r="L1667" s="229"/>
      <c r="M1667" s="229"/>
      <c r="N1667" s="230"/>
      <c r="O1667" s="228"/>
      <c r="P1667" s="230"/>
      <c r="Q1667" s="219"/>
      <c r="R1667" s="198"/>
      <c r="S1667" s="198"/>
      <c r="T1667" s="198"/>
      <c r="U1667" s="198"/>
      <c r="V1667" s="198"/>
      <c r="W1667" s="198"/>
      <c r="X1667" s="198"/>
    </row>
    <row r="1668" ht="12.0" customHeight="1">
      <c r="A1668" s="222" t="str">
        <f>IF(COUNTIFS(RC_OUT[BLOCK],RC_IN[BLOCK],RC_OUT[REMARKS],"*CLOSED*")&gt;0,"CLOSED",IF(COUNTIFS(RC_OUT[BLOCK],RC_IN[BLOCK],RC_OUT[WT],"&gt;0")&gt;0,"IN-USE",""))
</f>
        <v/>
      </c>
      <c r="B1668" s="223" t="str">
        <f>IFERROR(__xludf.DUMMYFUNCTION("IFERROR(IF(F1668&lt;&gt;"""",""WHSE ""&amp;LEFT(F1668,1),REGEXEXTRACT(E1668,""-(?:\d{2}-)?([A-Z]+)"")),"""")
"),"")</f>
        <v/>
      </c>
      <c r="C1668" s="224"/>
      <c r="D1668" s="219"/>
      <c r="E1668" s="225"/>
      <c r="F1668" s="225"/>
      <c r="G1668" s="226"/>
      <c r="H1668" s="225"/>
      <c r="I1668" s="227"/>
      <c r="J1668" s="228"/>
      <c r="K1668" s="229"/>
      <c r="L1668" s="229"/>
      <c r="M1668" s="229"/>
      <c r="N1668" s="230"/>
      <c r="O1668" s="228"/>
      <c r="P1668" s="230"/>
      <c r="Q1668" s="219"/>
      <c r="R1668" s="198"/>
      <c r="S1668" s="198"/>
      <c r="T1668" s="198"/>
      <c r="U1668" s="198"/>
      <c r="V1668" s="198"/>
      <c r="W1668" s="198"/>
      <c r="X1668" s="198"/>
    </row>
    <row r="1669" ht="12.0" customHeight="1">
      <c r="A1669" s="222" t="str">
        <f>IF(COUNTIFS(RC_OUT[BLOCK],RC_IN[BLOCK],RC_OUT[REMARKS],"*CLOSED*")&gt;0,"CLOSED",IF(COUNTIFS(RC_OUT[BLOCK],RC_IN[BLOCK],RC_OUT[WT],"&gt;0")&gt;0,"IN-USE",""))
</f>
        <v/>
      </c>
      <c r="B1669" s="223" t="str">
        <f>IFERROR(__xludf.DUMMYFUNCTION("IFERROR(IF(F1669&lt;&gt;"""",""WHSE ""&amp;LEFT(F1669,1),REGEXEXTRACT(E1669,""-(?:\d{2}-)?([A-Z]+)"")),"""")
"),"")</f>
        <v/>
      </c>
      <c r="C1669" s="224"/>
      <c r="D1669" s="219"/>
      <c r="E1669" s="225"/>
      <c r="F1669" s="225"/>
      <c r="G1669" s="226"/>
      <c r="H1669" s="225"/>
      <c r="I1669" s="227"/>
      <c r="J1669" s="228"/>
      <c r="K1669" s="229"/>
      <c r="L1669" s="229"/>
      <c r="M1669" s="229"/>
      <c r="N1669" s="230"/>
      <c r="O1669" s="228"/>
      <c r="P1669" s="230"/>
      <c r="Q1669" s="219"/>
      <c r="R1669" s="198"/>
      <c r="S1669" s="198"/>
      <c r="T1669" s="198"/>
      <c r="U1669" s="198"/>
      <c r="V1669" s="198"/>
      <c r="W1669" s="198"/>
      <c r="X1669" s="198"/>
    </row>
    <row r="1670" ht="12.0" customHeight="1">
      <c r="A1670" s="222" t="str">
        <f>IF(COUNTIFS(RC_OUT[BLOCK],RC_IN[BLOCK],RC_OUT[REMARKS],"*CLOSED*")&gt;0,"CLOSED",IF(COUNTIFS(RC_OUT[BLOCK],RC_IN[BLOCK],RC_OUT[WT],"&gt;0")&gt;0,"IN-USE",""))
</f>
        <v/>
      </c>
      <c r="B1670" s="223" t="str">
        <f>IFERROR(__xludf.DUMMYFUNCTION("IFERROR(IF(F1670&lt;&gt;"""",""WHSE ""&amp;LEFT(F1670,1),REGEXEXTRACT(E1670,""-(?:\d{2}-)?([A-Z]+)"")),"""")
"),"")</f>
        <v/>
      </c>
      <c r="C1670" s="224"/>
      <c r="D1670" s="219"/>
      <c r="E1670" s="225"/>
      <c r="F1670" s="225"/>
      <c r="G1670" s="226"/>
      <c r="H1670" s="225"/>
      <c r="I1670" s="227"/>
      <c r="J1670" s="228"/>
      <c r="K1670" s="229"/>
      <c r="L1670" s="229"/>
      <c r="M1670" s="229"/>
      <c r="N1670" s="230"/>
      <c r="O1670" s="228"/>
      <c r="P1670" s="230"/>
      <c r="Q1670" s="219"/>
      <c r="R1670" s="198"/>
      <c r="S1670" s="198"/>
      <c r="T1670" s="198"/>
      <c r="U1670" s="198"/>
      <c r="V1670" s="198"/>
      <c r="W1670" s="198"/>
      <c r="X1670" s="198"/>
    </row>
    <row r="1671" ht="12.0" customHeight="1">
      <c r="A1671" s="222" t="str">
        <f>IF(COUNTIFS(RC_OUT[BLOCK],RC_IN[BLOCK],RC_OUT[REMARKS],"*CLOSED*")&gt;0,"CLOSED",IF(COUNTIFS(RC_OUT[BLOCK],RC_IN[BLOCK],RC_OUT[WT],"&gt;0")&gt;0,"IN-USE",""))
</f>
        <v/>
      </c>
      <c r="B1671" s="223" t="str">
        <f>IFERROR(__xludf.DUMMYFUNCTION("IFERROR(IF(F1671&lt;&gt;"""",""WHSE ""&amp;LEFT(F1671,1),REGEXEXTRACT(E1671,""-(?:\d{2}-)?([A-Z]+)"")),"""")
"),"")</f>
        <v/>
      </c>
      <c r="C1671" s="224"/>
      <c r="D1671" s="219"/>
      <c r="E1671" s="225"/>
      <c r="F1671" s="225"/>
      <c r="G1671" s="226"/>
      <c r="H1671" s="225"/>
      <c r="I1671" s="227"/>
      <c r="J1671" s="228"/>
      <c r="K1671" s="229"/>
      <c r="L1671" s="229"/>
      <c r="M1671" s="229"/>
      <c r="N1671" s="230"/>
      <c r="O1671" s="228"/>
      <c r="P1671" s="230"/>
      <c r="Q1671" s="219"/>
      <c r="R1671" s="198"/>
      <c r="S1671" s="198"/>
      <c r="T1671" s="198"/>
      <c r="U1671" s="198"/>
      <c r="V1671" s="198"/>
      <c r="W1671" s="198"/>
      <c r="X1671" s="198"/>
    </row>
    <row r="1672" ht="12.0" customHeight="1">
      <c r="A1672" s="222" t="str">
        <f>IF(COUNTIFS(RC_OUT[BLOCK],RC_IN[BLOCK],RC_OUT[REMARKS],"*CLOSED*")&gt;0,"CLOSED",IF(COUNTIFS(RC_OUT[BLOCK],RC_IN[BLOCK],RC_OUT[WT],"&gt;0")&gt;0,"IN-USE",""))
</f>
        <v/>
      </c>
      <c r="B1672" s="223" t="str">
        <f>IFERROR(__xludf.DUMMYFUNCTION("IFERROR(IF(F1672&lt;&gt;"""",""WHSE ""&amp;LEFT(F1672,1),REGEXEXTRACT(E1672,""-(?:\d{2}-)?([A-Z]+)"")),"""")
"),"")</f>
        <v/>
      </c>
      <c r="C1672" s="224"/>
      <c r="D1672" s="219"/>
      <c r="E1672" s="225"/>
      <c r="F1672" s="225"/>
      <c r="G1672" s="226"/>
      <c r="H1672" s="225"/>
      <c r="I1672" s="227"/>
      <c r="J1672" s="228"/>
      <c r="K1672" s="229"/>
      <c r="L1672" s="229"/>
      <c r="M1672" s="229"/>
      <c r="N1672" s="230"/>
      <c r="O1672" s="228"/>
      <c r="P1672" s="230"/>
      <c r="Q1672" s="219"/>
      <c r="R1672" s="198"/>
      <c r="S1672" s="198"/>
      <c r="T1672" s="198"/>
      <c r="U1672" s="198"/>
      <c r="V1672" s="198"/>
      <c r="W1672" s="198"/>
      <c r="X1672" s="198"/>
    </row>
    <row r="1673" ht="12.0" customHeight="1">
      <c r="A1673" s="222" t="str">
        <f>IF(COUNTIFS(RC_OUT[BLOCK],RC_IN[BLOCK],RC_OUT[REMARKS],"*CLOSED*")&gt;0,"CLOSED",IF(COUNTIFS(RC_OUT[BLOCK],RC_IN[BLOCK],RC_OUT[WT],"&gt;0")&gt;0,"IN-USE",""))
</f>
        <v/>
      </c>
      <c r="B1673" s="223" t="str">
        <f>IFERROR(__xludf.DUMMYFUNCTION("IFERROR(IF(F1673&lt;&gt;"""",""WHSE ""&amp;LEFT(F1673,1),REGEXEXTRACT(E1673,""-(?:\d{2}-)?([A-Z]+)"")),"""")
"),"")</f>
        <v/>
      </c>
      <c r="C1673" s="224"/>
      <c r="D1673" s="219"/>
      <c r="E1673" s="225"/>
      <c r="F1673" s="225"/>
      <c r="G1673" s="226"/>
      <c r="H1673" s="225"/>
      <c r="I1673" s="227"/>
      <c r="J1673" s="228"/>
      <c r="K1673" s="229"/>
      <c r="L1673" s="229"/>
      <c r="M1673" s="229"/>
      <c r="N1673" s="230"/>
      <c r="O1673" s="228"/>
      <c r="P1673" s="230"/>
      <c r="Q1673" s="219"/>
      <c r="R1673" s="198"/>
      <c r="S1673" s="198"/>
      <c r="T1673" s="198"/>
      <c r="U1673" s="198"/>
      <c r="V1673" s="198"/>
      <c r="W1673" s="198"/>
      <c r="X1673" s="198"/>
    </row>
    <row r="1674" ht="12.0" customHeight="1">
      <c r="A1674" s="222" t="str">
        <f>IF(COUNTIFS(RC_OUT[BLOCK],RC_IN[BLOCK],RC_OUT[REMARKS],"*CLOSED*")&gt;0,"CLOSED",IF(COUNTIFS(RC_OUT[BLOCK],RC_IN[BLOCK],RC_OUT[WT],"&gt;0")&gt;0,"IN-USE",""))
</f>
        <v/>
      </c>
      <c r="B1674" s="223" t="str">
        <f>IFERROR(__xludf.DUMMYFUNCTION("IFERROR(IF(F1674&lt;&gt;"""",""WHSE ""&amp;LEFT(F1674,1),REGEXEXTRACT(E1674,""-(?:\d{2}-)?([A-Z]+)"")),"""")
"),"")</f>
        <v/>
      </c>
      <c r="C1674" s="224"/>
      <c r="D1674" s="219"/>
      <c r="E1674" s="225"/>
      <c r="F1674" s="225"/>
      <c r="G1674" s="226"/>
      <c r="H1674" s="225"/>
      <c r="I1674" s="227"/>
      <c r="J1674" s="228"/>
      <c r="K1674" s="229"/>
      <c r="L1674" s="229"/>
      <c r="M1674" s="229"/>
      <c r="N1674" s="230"/>
      <c r="O1674" s="228"/>
      <c r="P1674" s="230"/>
      <c r="Q1674" s="219"/>
      <c r="R1674" s="198"/>
      <c r="S1674" s="198"/>
      <c r="T1674" s="198"/>
      <c r="U1674" s="198"/>
      <c r="V1674" s="198"/>
      <c r="W1674" s="198"/>
      <c r="X1674" s="198"/>
    </row>
    <row r="1675" ht="12.0" customHeight="1">
      <c r="A1675" s="222" t="str">
        <f>IF(COUNTIFS(RC_OUT[BLOCK],RC_IN[BLOCK],RC_OUT[REMARKS],"*CLOSED*")&gt;0,"CLOSED",IF(COUNTIFS(RC_OUT[BLOCK],RC_IN[BLOCK],RC_OUT[WT],"&gt;0")&gt;0,"IN-USE",""))
</f>
        <v/>
      </c>
      <c r="B1675" s="223" t="str">
        <f>IFERROR(__xludf.DUMMYFUNCTION("IFERROR(IF(F1675&lt;&gt;"""",""WHSE ""&amp;LEFT(F1675,1),REGEXEXTRACT(E1675,""-(?:\d{2}-)?([A-Z]+)"")),"""")
"),"")</f>
        <v/>
      </c>
      <c r="C1675" s="224"/>
      <c r="D1675" s="219"/>
      <c r="E1675" s="225"/>
      <c r="F1675" s="225"/>
      <c r="G1675" s="226"/>
      <c r="H1675" s="225"/>
      <c r="I1675" s="227"/>
      <c r="J1675" s="228"/>
      <c r="K1675" s="229"/>
      <c r="L1675" s="229"/>
      <c r="M1675" s="229"/>
      <c r="N1675" s="230"/>
      <c r="O1675" s="228"/>
      <c r="P1675" s="230"/>
      <c r="Q1675" s="219"/>
      <c r="R1675" s="198"/>
      <c r="S1675" s="198"/>
      <c r="T1675" s="198"/>
      <c r="U1675" s="198"/>
      <c r="V1675" s="198"/>
      <c r="W1675" s="198"/>
      <c r="X1675" s="198"/>
    </row>
    <row r="1676" ht="12.0" customHeight="1">
      <c r="A1676" s="222" t="str">
        <f>IF(COUNTIFS(RC_OUT[BLOCK],RC_IN[BLOCK],RC_OUT[REMARKS],"*CLOSED*")&gt;0,"CLOSED",IF(COUNTIFS(RC_OUT[BLOCK],RC_IN[BLOCK],RC_OUT[WT],"&gt;0")&gt;0,"IN-USE",""))
</f>
        <v/>
      </c>
      <c r="B1676" s="223" t="str">
        <f>IFERROR(__xludf.DUMMYFUNCTION("IFERROR(IF(F1676&lt;&gt;"""",""WHSE ""&amp;LEFT(F1676,1),REGEXEXTRACT(E1676,""-(?:\d{2}-)?([A-Z]+)"")),"""")
"),"")</f>
        <v/>
      </c>
      <c r="C1676" s="224"/>
      <c r="D1676" s="219"/>
      <c r="E1676" s="225"/>
      <c r="F1676" s="225"/>
      <c r="G1676" s="226"/>
      <c r="H1676" s="225"/>
      <c r="I1676" s="227"/>
      <c r="J1676" s="228"/>
      <c r="K1676" s="229"/>
      <c r="L1676" s="229"/>
      <c r="M1676" s="229"/>
      <c r="N1676" s="230"/>
      <c r="O1676" s="228"/>
      <c r="P1676" s="230"/>
      <c r="Q1676" s="219"/>
      <c r="R1676" s="198"/>
      <c r="S1676" s="198"/>
      <c r="T1676" s="198"/>
      <c r="U1676" s="198"/>
      <c r="V1676" s="198"/>
      <c r="W1676" s="198"/>
      <c r="X1676" s="198"/>
    </row>
    <row r="1677" ht="12.0" customHeight="1">
      <c r="A1677" s="222" t="str">
        <f>IF(COUNTIFS(RC_OUT[BLOCK],RC_IN[BLOCK],RC_OUT[REMARKS],"*CLOSED*")&gt;0,"CLOSED",IF(COUNTIFS(RC_OUT[BLOCK],RC_IN[BLOCK],RC_OUT[WT],"&gt;0")&gt;0,"IN-USE",""))
</f>
        <v/>
      </c>
      <c r="B1677" s="223" t="str">
        <f>IFERROR(__xludf.DUMMYFUNCTION("IFERROR(IF(F1677&lt;&gt;"""",""WHSE ""&amp;LEFT(F1677,1),REGEXEXTRACT(E1677,""-(?:\d{2}-)?([A-Z]+)"")),"""")
"),"")</f>
        <v/>
      </c>
      <c r="C1677" s="224"/>
      <c r="D1677" s="219"/>
      <c r="E1677" s="225"/>
      <c r="F1677" s="225"/>
      <c r="G1677" s="226"/>
      <c r="H1677" s="225"/>
      <c r="I1677" s="227"/>
      <c r="J1677" s="228"/>
      <c r="K1677" s="229"/>
      <c r="L1677" s="229"/>
      <c r="M1677" s="229"/>
      <c r="N1677" s="230"/>
      <c r="O1677" s="228"/>
      <c r="P1677" s="230"/>
      <c r="Q1677" s="219"/>
      <c r="R1677" s="198"/>
      <c r="S1677" s="198"/>
      <c r="T1677" s="198"/>
      <c r="U1677" s="198"/>
      <c r="V1677" s="198"/>
      <c r="W1677" s="198"/>
      <c r="X1677" s="198"/>
    </row>
    <row r="1678" ht="12.0" customHeight="1">
      <c r="A1678" s="222" t="str">
        <f>IF(COUNTIFS(RC_OUT[BLOCK],RC_IN[BLOCK],RC_OUT[REMARKS],"*CLOSED*")&gt;0,"CLOSED",IF(COUNTIFS(RC_OUT[BLOCK],RC_IN[BLOCK],RC_OUT[WT],"&gt;0")&gt;0,"IN-USE",""))
</f>
        <v/>
      </c>
      <c r="B1678" s="223" t="str">
        <f>IFERROR(__xludf.DUMMYFUNCTION("IFERROR(IF(F1678&lt;&gt;"""",""WHSE ""&amp;LEFT(F1678,1),REGEXEXTRACT(E1678,""-(?:\d{2}-)?([A-Z]+)"")),"""")
"),"")</f>
        <v/>
      </c>
      <c r="C1678" s="224"/>
      <c r="D1678" s="219"/>
      <c r="E1678" s="225"/>
      <c r="F1678" s="225"/>
      <c r="G1678" s="226"/>
      <c r="H1678" s="225"/>
      <c r="I1678" s="227"/>
      <c r="J1678" s="228"/>
      <c r="K1678" s="229"/>
      <c r="L1678" s="229"/>
      <c r="M1678" s="229"/>
      <c r="N1678" s="230"/>
      <c r="O1678" s="228"/>
      <c r="P1678" s="230"/>
      <c r="Q1678" s="219"/>
      <c r="R1678" s="198"/>
      <c r="S1678" s="198"/>
      <c r="T1678" s="198"/>
      <c r="U1678" s="198"/>
      <c r="V1678" s="198"/>
      <c r="W1678" s="198"/>
      <c r="X1678" s="198"/>
    </row>
    <row r="1679" ht="12.0" customHeight="1">
      <c r="A1679" s="222" t="str">
        <f>IF(COUNTIFS(RC_OUT[BLOCK],RC_IN[BLOCK],RC_OUT[REMARKS],"*CLOSED*")&gt;0,"CLOSED",IF(COUNTIFS(RC_OUT[BLOCK],RC_IN[BLOCK],RC_OUT[WT],"&gt;0")&gt;0,"IN-USE",""))
</f>
        <v/>
      </c>
      <c r="B1679" s="223" t="str">
        <f>IFERROR(__xludf.DUMMYFUNCTION("IFERROR(IF(F1679&lt;&gt;"""",""WHSE ""&amp;LEFT(F1679,1),REGEXEXTRACT(E1679,""-(?:\d{2}-)?([A-Z]+)"")),"""")
"),"")</f>
        <v/>
      </c>
      <c r="C1679" s="224"/>
      <c r="D1679" s="219"/>
      <c r="E1679" s="225"/>
      <c r="F1679" s="225"/>
      <c r="G1679" s="226"/>
      <c r="H1679" s="225"/>
      <c r="I1679" s="227"/>
      <c r="J1679" s="228"/>
      <c r="K1679" s="229"/>
      <c r="L1679" s="229"/>
      <c r="M1679" s="229"/>
      <c r="N1679" s="230"/>
      <c r="O1679" s="228"/>
      <c r="P1679" s="230"/>
      <c r="Q1679" s="219"/>
      <c r="R1679" s="198"/>
      <c r="S1679" s="198"/>
      <c r="T1679" s="198"/>
      <c r="U1679" s="198"/>
      <c r="V1679" s="198"/>
      <c r="W1679" s="198"/>
      <c r="X1679" s="198"/>
    </row>
    <row r="1680" ht="12.0" customHeight="1">
      <c r="A1680" s="222" t="str">
        <f>IF(COUNTIFS(RC_OUT[BLOCK],RC_IN[BLOCK],RC_OUT[REMARKS],"*CLOSED*")&gt;0,"CLOSED",IF(COUNTIFS(RC_OUT[BLOCK],RC_IN[BLOCK],RC_OUT[WT],"&gt;0")&gt;0,"IN-USE",""))
</f>
        <v/>
      </c>
      <c r="B1680" s="223" t="str">
        <f>IFERROR(__xludf.DUMMYFUNCTION("IFERROR(IF(F1680&lt;&gt;"""",""WHSE ""&amp;LEFT(F1680,1),REGEXEXTRACT(E1680,""-(?:\d{2}-)?([A-Z]+)"")),"""")
"),"")</f>
        <v/>
      </c>
      <c r="C1680" s="224"/>
      <c r="D1680" s="219"/>
      <c r="E1680" s="225"/>
      <c r="F1680" s="225"/>
      <c r="G1680" s="226"/>
      <c r="H1680" s="225"/>
      <c r="I1680" s="227"/>
      <c r="J1680" s="228"/>
      <c r="K1680" s="229"/>
      <c r="L1680" s="229"/>
      <c r="M1680" s="229"/>
      <c r="N1680" s="230"/>
      <c r="O1680" s="228"/>
      <c r="P1680" s="230"/>
      <c r="Q1680" s="219"/>
      <c r="R1680" s="198"/>
      <c r="S1680" s="198"/>
      <c r="T1680" s="198"/>
      <c r="U1680" s="198"/>
      <c r="V1680" s="198"/>
      <c r="W1680" s="198"/>
      <c r="X1680" s="198"/>
    </row>
    <row r="1681" ht="12.0" customHeight="1">
      <c r="A1681" s="222" t="str">
        <f>IF(COUNTIFS(RC_OUT[BLOCK],RC_IN[BLOCK],RC_OUT[REMARKS],"*CLOSED*")&gt;0,"CLOSED",IF(COUNTIFS(RC_OUT[BLOCK],RC_IN[BLOCK],RC_OUT[WT],"&gt;0")&gt;0,"IN-USE",""))
</f>
        <v/>
      </c>
      <c r="B1681" s="223" t="str">
        <f>IFERROR(__xludf.DUMMYFUNCTION("IFERROR(IF(F1681&lt;&gt;"""",""WHSE ""&amp;LEFT(F1681,1),REGEXEXTRACT(E1681,""-(?:\d{2}-)?([A-Z]+)"")),"""")
"),"")</f>
        <v/>
      </c>
      <c r="C1681" s="224"/>
      <c r="D1681" s="219"/>
      <c r="E1681" s="225"/>
      <c r="F1681" s="225"/>
      <c r="G1681" s="226"/>
      <c r="H1681" s="225"/>
      <c r="I1681" s="227"/>
      <c r="J1681" s="228"/>
      <c r="K1681" s="229"/>
      <c r="L1681" s="229"/>
      <c r="M1681" s="229"/>
      <c r="N1681" s="230"/>
      <c r="O1681" s="228"/>
      <c r="P1681" s="230"/>
      <c r="Q1681" s="219"/>
      <c r="R1681" s="198"/>
      <c r="S1681" s="198"/>
      <c r="T1681" s="198"/>
      <c r="U1681" s="198"/>
      <c r="V1681" s="198"/>
      <c r="W1681" s="198"/>
      <c r="X1681" s="198"/>
    </row>
    <row r="1682" ht="12.0" customHeight="1">
      <c r="A1682" s="222" t="str">
        <f>IF(COUNTIFS(RC_OUT[BLOCK],RC_IN[BLOCK],RC_OUT[REMARKS],"*CLOSED*")&gt;0,"CLOSED",IF(COUNTIFS(RC_OUT[BLOCK],RC_IN[BLOCK],RC_OUT[WT],"&gt;0")&gt;0,"IN-USE",""))
</f>
        <v/>
      </c>
      <c r="B1682" s="223" t="str">
        <f>IFERROR(__xludf.DUMMYFUNCTION("IFERROR(IF(F1682&lt;&gt;"""",""WHSE ""&amp;LEFT(F1682,1),REGEXEXTRACT(E1682,""-(?:\d{2}-)?([A-Z]+)"")),"""")
"),"")</f>
        <v/>
      </c>
      <c r="C1682" s="224"/>
      <c r="D1682" s="219"/>
      <c r="E1682" s="225"/>
      <c r="F1682" s="225"/>
      <c r="G1682" s="226"/>
      <c r="H1682" s="225"/>
      <c r="I1682" s="227"/>
      <c r="J1682" s="228"/>
      <c r="K1682" s="229"/>
      <c r="L1682" s="229"/>
      <c r="M1682" s="229"/>
      <c r="N1682" s="230"/>
      <c r="O1682" s="228"/>
      <c r="P1682" s="230"/>
      <c r="Q1682" s="219"/>
      <c r="R1682" s="198"/>
      <c r="S1682" s="198"/>
      <c r="T1682" s="198"/>
      <c r="U1682" s="198"/>
      <c r="V1682" s="198"/>
      <c r="W1682" s="198"/>
      <c r="X1682" s="198"/>
    </row>
    <row r="1683" ht="12.0" customHeight="1">
      <c r="A1683" s="222" t="str">
        <f>IF(COUNTIFS(RC_OUT[BLOCK],RC_IN[BLOCK],RC_OUT[REMARKS],"*CLOSED*")&gt;0,"CLOSED",IF(COUNTIFS(RC_OUT[BLOCK],RC_IN[BLOCK],RC_OUT[WT],"&gt;0")&gt;0,"IN-USE",""))
</f>
        <v/>
      </c>
      <c r="B1683" s="223" t="str">
        <f>IFERROR(__xludf.DUMMYFUNCTION("IFERROR(IF(F1683&lt;&gt;"""",""WHSE ""&amp;LEFT(F1683,1),REGEXEXTRACT(E1683,""-(?:\d{2}-)?([A-Z]+)"")),"""")
"),"")</f>
        <v/>
      </c>
      <c r="C1683" s="224"/>
      <c r="D1683" s="219"/>
      <c r="E1683" s="225"/>
      <c r="F1683" s="225"/>
      <c r="G1683" s="226"/>
      <c r="H1683" s="225"/>
      <c r="I1683" s="227"/>
      <c r="J1683" s="228"/>
      <c r="K1683" s="229"/>
      <c r="L1683" s="229"/>
      <c r="M1683" s="229"/>
      <c r="N1683" s="230"/>
      <c r="O1683" s="228"/>
      <c r="P1683" s="230"/>
      <c r="Q1683" s="219"/>
      <c r="R1683" s="198"/>
      <c r="S1683" s="198"/>
      <c r="T1683" s="198"/>
      <c r="U1683" s="198"/>
      <c r="V1683" s="198"/>
      <c r="W1683" s="198"/>
      <c r="X1683" s="198"/>
    </row>
    <row r="1684" ht="12.0" customHeight="1">
      <c r="A1684" s="222" t="str">
        <f>IF(COUNTIFS(RC_OUT[BLOCK],RC_IN[BLOCK],RC_OUT[REMARKS],"*CLOSED*")&gt;0,"CLOSED",IF(COUNTIFS(RC_OUT[BLOCK],RC_IN[BLOCK],RC_OUT[WT],"&gt;0")&gt;0,"IN-USE",""))
</f>
        <v/>
      </c>
      <c r="B1684" s="223" t="str">
        <f>IFERROR(__xludf.DUMMYFUNCTION("IFERROR(IF(F1684&lt;&gt;"""",""WHSE ""&amp;LEFT(F1684,1),REGEXEXTRACT(E1684,""-(?:\d{2}-)?([A-Z]+)"")),"""")
"),"")</f>
        <v/>
      </c>
      <c r="C1684" s="224"/>
      <c r="D1684" s="219"/>
      <c r="E1684" s="225"/>
      <c r="F1684" s="225"/>
      <c r="G1684" s="226"/>
      <c r="H1684" s="225"/>
      <c r="I1684" s="227"/>
      <c r="J1684" s="228"/>
      <c r="K1684" s="229"/>
      <c r="L1684" s="229"/>
      <c r="M1684" s="229"/>
      <c r="N1684" s="230"/>
      <c r="O1684" s="228"/>
      <c r="P1684" s="230"/>
      <c r="Q1684" s="219"/>
      <c r="R1684" s="198"/>
      <c r="S1684" s="198"/>
      <c r="T1684" s="198"/>
      <c r="U1684" s="198"/>
      <c r="V1684" s="198"/>
      <c r="W1684" s="198"/>
      <c r="X1684" s="198"/>
    </row>
    <row r="1685" ht="12.0" customHeight="1">
      <c r="A1685" s="222" t="str">
        <f>IF(COUNTIFS(RC_OUT[BLOCK],RC_IN[BLOCK],RC_OUT[REMARKS],"*CLOSED*")&gt;0,"CLOSED",IF(COUNTIFS(RC_OUT[BLOCK],RC_IN[BLOCK],RC_OUT[WT],"&gt;0")&gt;0,"IN-USE",""))
</f>
        <v/>
      </c>
      <c r="B1685" s="223" t="str">
        <f>IFERROR(__xludf.DUMMYFUNCTION("IFERROR(IF(F1685&lt;&gt;"""",""WHSE ""&amp;LEFT(F1685,1),REGEXEXTRACT(E1685,""-(?:\d{2}-)?([A-Z]+)"")),"""")
"),"")</f>
        <v/>
      </c>
      <c r="C1685" s="224"/>
      <c r="D1685" s="219"/>
      <c r="E1685" s="225"/>
      <c r="F1685" s="225"/>
      <c r="G1685" s="226"/>
      <c r="H1685" s="225"/>
      <c r="I1685" s="227"/>
      <c r="J1685" s="228"/>
      <c r="K1685" s="229"/>
      <c r="L1685" s="229"/>
      <c r="M1685" s="229"/>
      <c r="N1685" s="230"/>
      <c r="O1685" s="228"/>
      <c r="P1685" s="230"/>
      <c r="Q1685" s="219"/>
      <c r="R1685" s="198"/>
      <c r="S1685" s="198"/>
      <c r="T1685" s="198"/>
      <c r="U1685" s="198"/>
      <c r="V1685" s="198"/>
      <c r="W1685" s="198"/>
      <c r="X1685" s="198"/>
    </row>
    <row r="1686" ht="12.0" customHeight="1">
      <c r="A1686" s="222" t="str">
        <f>IF(COUNTIFS(RC_OUT[BLOCK],RC_IN[BLOCK],RC_OUT[REMARKS],"*CLOSED*")&gt;0,"CLOSED",IF(COUNTIFS(RC_OUT[BLOCK],RC_IN[BLOCK],RC_OUT[WT],"&gt;0")&gt;0,"IN-USE",""))
</f>
        <v/>
      </c>
      <c r="B1686" s="223" t="str">
        <f>IFERROR(__xludf.DUMMYFUNCTION("IFERROR(IF(F1686&lt;&gt;"""",""WHSE ""&amp;LEFT(F1686,1),REGEXEXTRACT(E1686,""-(?:\d{2}-)?([A-Z]+)"")),"""")
"),"")</f>
        <v/>
      </c>
      <c r="C1686" s="224"/>
      <c r="D1686" s="219"/>
      <c r="E1686" s="225"/>
      <c r="F1686" s="225"/>
      <c r="G1686" s="226"/>
      <c r="H1686" s="225"/>
      <c r="I1686" s="227"/>
      <c r="J1686" s="228"/>
      <c r="K1686" s="229"/>
      <c r="L1686" s="229"/>
      <c r="M1686" s="229"/>
      <c r="N1686" s="230"/>
      <c r="O1686" s="228"/>
      <c r="P1686" s="230"/>
      <c r="Q1686" s="219"/>
      <c r="R1686" s="198"/>
      <c r="S1686" s="198"/>
      <c r="T1686" s="198"/>
      <c r="U1686" s="198"/>
      <c r="V1686" s="198"/>
      <c r="W1686" s="198"/>
      <c r="X1686" s="198"/>
    </row>
    <row r="1687" ht="12.0" customHeight="1">
      <c r="A1687" s="222" t="str">
        <f>IF(COUNTIFS(RC_OUT[BLOCK],RC_IN[BLOCK],RC_OUT[REMARKS],"*CLOSED*")&gt;0,"CLOSED",IF(COUNTIFS(RC_OUT[BLOCK],RC_IN[BLOCK],RC_OUT[WT],"&gt;0")&gt;0,"IN-USE",""))
</f>
        <v/>
      </c>
      <c r="B1687" s="223" t="str">
        <f>IFERROR(__xludf.DUMMYFUNCTION("IFERROR(IF(F1687&lt;&gt;"""",""WHSE ""&amp;LEFT(F1687,1),REGEXEXTRACT(E1687,""-(?:\d{2}-)?([A-Z]+)"")),"""")
"),"")</f>
        <v/>
      </c>
      <c r="C1687" s="224"/>
      <c r="D1687" s="219"/>
      <c r="E1687" s="225"/>
      <c r="F1687" s="225"/>
      <c r="G1687" s="226"/>
      <c r="H1687" s="225"/>
      <c r="I1687" s="227"/>
      <c r="J1687" s="228"/>
      <c r="K1687" s="229"/>
      <c r="L1687" s="229"/>
      <c r="M1687" s="229"/>
      <c r="N1687" s="230"/>
      <c r="O1687" s="228"/>
      <c r="P1687" s="230"/>
      <c r="Q1687" s="219"/>
      <c r="R1687" s="198"/>
      <c r="S1687" s="198"/>
      <c r="T1687" s="198"/>
      <c r="U1687" s="198"/>
      <c r="V1687" s="198"/>
      <c r="W1687" s="198"/>
      <c r="X1687" s="198"/>
    </row>
    <row r="1688" ht="12.0" customHeight="1">
      <c r="A1688" s="222" t="str">
        <f>IF(COUNTIFS(RC_OUT[BLOCK],RC_IN[BLOCK],RC_OUT[REMARKS],"*CLOSED*")&gt;0,"CLOSED",IF(COUNTIFS(RC_OUT[BLOCK],RC_IN[BLOCK],RC_OUT[WT],"&gt;0")&gt;0,"IN-USE",""))
</f>
        <v/>
      </c>
      <c r="B1688" s="223" t="str">
        <f>IFERROR(__xludf.DUMMYFUNCTION("IFERROR(IF(F1688&lt;&gt;"""",""WHSE ""&amp;LEFT(F1688,1),REGEXEXTRACT(E1688,""-(?:\d{2}-)?([A-Z]+)"")),"""")
"),"")</f>
        <v/>
      </c>
      <c r="C1688" s="224"/>
      <c r="D1688" s="219"/>
      <c r="E1688" s="225"/>
      <c r="F1688" s="225"/>
      <c r="G1688" s="226"/>
      <c r="H1688" s="225"/>
      <c r="I1688" s="227"/>
      <c r="J1688" s="228"/>
      <c r="K1688" s="229"/>
      <c r="L1688" s="229"/>
      <c r="M1688" s="229"/>
      <c r="N1688" s="230"/>
      <c r="O1688" s="228"/>
      <c r="P1688" s="230"/>
      <c r="Q1688" s="219"/>
      <c r="R1688" s="198"/>
      <c r="S1688" s="198"/>
      <c r="T1688" s="198"/>
      <c r="U1688" s="198"/>
      <c r="V1688" s="198"/>
      <c r="W1688" s="198"/>
      <c r="X1688" s="198"/>
    </row>
    <row r="1689" ht="12.0" customHeight="1">
      <c r="A1689" s="222" t="str">
        <f>IF(COUNTIFS(RC_OUT[BLOCK],RC_IN[BLOCK],RC_OUT[REMARKS],"*CLOSED*")&gt;0,"CLOSED",IF(COUNTIFS(RC_OUT[BLOCK],RC_IN[BLOCK],RC_OUT[WT],"&gt;0")&gt;0,"IN-USE",""))
</f>
        <v/>
      </c>
      <c r="B1689" s="223" t="str">
        <f>IFERROR(__xludf.DUMMYFUNCTION("IFERROR(IF(F1689&lt;&gt;"""",""WHSE ""&amp;LEFT(F1689,1),REGEXEXTRACT(E1689,""-(?:\d{2}-)?([A-Z]+)"")),"""")
"),"")</f>
        <v/>
      </c>
      <c r="C1689" s="224"/>
      <c r="D1689" s="219"/>
      <c r="E1689" s="225"/>
      <c r="F1689" s="225"/>
      <c r="G1689" s="226"/>
      <c r="H1689" s="225"/>
      <c r="I1689" s="227"/>
      <c r="J1689" s="228"/>
      <c r="K1689" s="229"/>
      <c r="L1689" s="229"/>
      <c r="M1689" s="229"/>
      <c r="N1689" s="230"/>
      <c r="O1689" s="228"/>
      <c r="P1689" s="230"/>
      <c r="Q1689" s="219"/>
      <c r="R1689" s="198"/>
      <c r="S1689" s="198"/>
      <c r="T1689" s="198"/>
      <c r="U1689" s="198"/>
      <c r="V1689" s="198"/>
      <c r="W1689" s="198"/>
      <c r="X1689" s="198"/>
    </row>
    <row r="1690" ht="12.0" customHeight="1">
      <c r="A1690" s="222" t="str">
        <f>IF(COUNTIFS(RC_OUT[BLOCK],RC_IN[BLOCK],RC_OUT[REMARKS],"*CLOSED*")&gt;0,"CLOSED",IF(COUNTIFS(RC_OUT[BLOCK],RC_IN[BLOCK],RC_OUT[WT],"&gt;0")&gt;0,"IN-USE",""))
</f>
        <v/>
      </c>
      <c r="B1690" s="223" t="str">
        <f>IFERROR(__xludf.DUMMYFUNCTION("IFERROR(IF(F1690&lt;&gt;"""",""WHSE ""&amp;LEFT(F1690,1),REGEXEXTRACT(E1690,""-(?:\d{2}-)?([A-Z]+)"")),"""")
"),"")</f>
        <v/>
      </c>
      <c r="C1690" s="224"/>
      <c r="D1690" s="219"/>
      <c r="E1690" s="225"/>
      <c r="F1690" s="225"/>
      <c r="G1690" s="226"/>
      <c r="H1690" s="225"/>
      <c r="I1690" s="227"/>
      <c r="J1690" s="228"/>
      <c r="K1690" s="229"/>
      <c r="L1690" s="229"/>
      <c r="M1690" s="229"/>
      <c r="N1690" s="230"/>
      <c r="O1690" s="228"/>
      <c r="P1690" s="230"/>
      <c r="Q1690" s="219"/>
      <c r="R1690" s="198"/>
      <c r="S1690" s="198"/>
      <c r="T1690" s="198"/>
      <c r="U1690" s="198"/>
      <c r="V1690" s="198"/>
      <c r="W1690" s="198"/>
      <c r="X1690" s="198"/>
    </row>
    <row r="1691" ht="12.0" customHeight="1">
      <c r="A1691" s="222" t="str">
        <f>IF(COUNTIFS(RC_OUT[BLOCK],RC_IN[BLOCK],RC_OUT[REMARKS],"*CLOSED*")&gt;0,"CLOSED",IF(COUNTIFS(RC_OUT[BLOCK],RC_IN[BLOCK],RC_OUT[WT],"&gt;0")&gt;0,"IN-USE",""))
</f>
        <v/>
      </c>
      <c r="B1691" s="223" t="str">
        <f>IFERROR(__xludf.DUMMYFUNCTION("IFERROR(IF(F1691&lt;&gt;"""",""WHSE ""&amp;LEFT(F1691,1),REGEXEXTRACT(E1691,""-(?:\d{2}-)?([A-Z]+)"")),"""")
"),"")</f>
        <v/>
      </c>
      <c r="C1691" s="224"/>
      <c r="D1691" s="219"/>
      <c r="E1691" s="225"/>
      <c r="F1691" s="225"/>
      <c r="G1691" s="226"/>
      <c r="H1691" s="225"/>
      <c r="I1691" s="227"/>
      <c r="J1691" s="228"/>
      <c r="K1691" s="229"/>
      <c r="L1691" s="229"/>
      <c r="M1691" s="229"/>
      <c r="N1691" s="230"/>
      <c r="O1691" s="228"/>
      <c r="P1691" s="230"/>
      <c r="Q1691" s="219"/>
      <c r="R1691" s="198"/>
      <c r="S1691" s="198"/>
      <c r="T1691" s="198"/>
      <c r="U1691" s="198"/>
      <c r="V1691" s="198"/>
      <c r="W1691" s="198"/>
      <c r="X1691" s="198"/>
    </row>
    <row r="1692" ht="12.0" customHeight="1">
      <c r="A1692" s="222" t="str">
        <f>IF(COUNTIFS(RC_OUT[BLOCK],RC_IN[BLOCK],RC_OUT[REMARKS],"*CLOSED*")&gt;0,"CLOSED",IF(COUNTIFS(RC_OUT[BLOCK],RC_IN[BLOCK],RC_OUT[WT],"&gt;0")&gt;0,"IN-USE",""))
</f>
        <v/>
      </c>
      <c r="B1692" s="223" t="str">
        <f>IFERROR(__xludf.DUMMYFUNCTION("IFERROR(IF(F1692&lt;&gt;"""",""WHSE ""&amp;LEFT(F1692,1),REGEXEXTRACT(E1692,""-(?:\d{2}-)?([A-Z]+)"")),"""")
"),"")</f>
        <v/>
      </c>
      <c r="C1692" s="224"/>
      <c r="D1692" s="219"/>
      <c r="E1692" s="225"/>
      <c r="F1692" s="225"/>
      <c r="G1692" s="226"/>
      <c r="H1692" s="225"/>
      <c r="I1692" s="227"/>
      <c r="J1692" s="228"/>
      <c r="K1692" s="229"/>
      <c r="L1692" s="229"/>
      <c r="M1692" s="229"/>
      <c r="N1692" s="230"/>
      <c r="O1692" s="228"/>
      <c r="P1692" s="230"/>
      <c r="Q1692" s="219"/>
      <c r="R1692" s="198"/>
      <c r="S1692" s="198"/>
      <c r="T1692" s="198"/>
      <c r="U1692" s="198"/>
      <c r="V1692" s="198"/>
      <c r="W1692" s="198"/>
      <c r="X1692" s="198"/>
    </row>
    <row r="1693" ht="12.0" customHeight="1">
      <c r="A1693" s="222" t="str">
        <f>IF(COUNTIFS(RC_OUT[BLOCK],RC_IN[BLOCK],RC_OUT[REMARKS],"*CLOSED*")&gt;0,"CLOSED",IF(COUNTIFS(RC_OUT[BLOCK],RC_IN[BLOCK],RC_OUT[WT],"&gt;0")&gt;0,"IN-USE",""))
</f>
        <v/>
      </c>
      <c r="B1693" s="223" t="str">
        <f>IFERROR(__xludf.DUMMYFUNCTION("IFERROR(IF(F1693&lt;&gt;"""",""WHSE ""&amp;LEFT(F1693,1),REGEXEXTRACT(E1693,""-(?:\d{2}-)?([A-Z]+)"")),"""")
"),"")</f>
        <v/>
      </c>
      <c r="C1693" s="224"/>
      <c r="D1693" s="219"/>
      <c r="E1693" s="225"/>
      <c r="F1693" s="225"/>
      <c r="G1693" s="226"/>
      <c r="H1693" s="225"/>
      <c r="I1693" s="227"/>
      <c r="J1693" s="228"/>
      <c r="K1693" s="229"/>
      <c r="L1693" s="229"/>
      <c r="M1693" s="229"/>
      <c r="N1693" s="230"/>
      <c r="O1693" s="228"/>
      <c r="P1693" s="230"/>
      <c r="Q1693" s="219"/>
      <c r="R1693" s="198"/>
      <c r="S1693" s="198"/>
      <c r="T1693" s="198"/>
      <c r="U1693" s="198"/>
      <c r="V1693" s="198"/>
      <c r="W1693" s="198"/>
      <c r="X1693" s="198"/>
    </row>
    <row r="1694" ht="12.0" customHeight="1">
      <c r="A1694" s="222" t="str">
        <f>IF(COUNTIFS(RC_OUT[BLOCK],RC_IN[BLOCK],RC_OUT[REMARKS],"*CLOSED*")&gt;0,"CLOSED",IF(COUNTIFS(RC_OUT[BLOCK],RC_IN[BLOCK],RC_OUT[WT],"&gt;0")&gt;0,"IN-USE",""))
</f>
        <v/>
      </c>
      <c r="B1694" s="223" t="str">
        <f>IFERROR(__xludf.DUMMYFUNCTION("IFERROR(IF(F1694&lt;&gt;"""",""WHSE ""&amp;LEFT(F1694,1),REGEXEXTRACT(E1694,""-(?:\d{2}-)?([A-Z]+)"")),"""")
"),"")</f>
        <v/>
      </c>
      <c r="C1694" s="224"/>
      <c r="D1694" s="219"/>
      <c r="E1694" s="225"/>
      <c r="F1694" s="225"/>
      <c r="G1694" s="226"/>
      <c r="H1694" s="225"/>
      <c r="I1694" s="227"/>
      <c r="J1694" s="228"/>
      <c r="K1694" s="229"/>
      <c r="L1694" s="229"/>
      <c r="M1694" s="229"/>
      <c r="N1694" s="230"/>
      <c r="O1694" s="228"/>
      <c r="P1694" s="230"/>
      <c r="Q1694" s="219"/>
      <c r="R1694" s="198"/>
      <c r="S1694" s="198"/>
      <c r="T1694" s="198"/>
      <c r="U1694" s="198"/>
      <c r="V1694" s="198"/>
      <c r="W1694" s="198"/>
      <c r="X1694" s="198"/>
    </row>
    <row r="1695" ht="12.0" customHeight="1">
      <c r="A1695" s="222" t="str">
        <f>IF(COUNTIFS(RC_OUT[BLOCK],RC_IN[BLOCK],RC_OUT[REMARKS],"*CLOSED*")&gt;0,"CLOSED",IF(COUNTIFS(RC_OUT[BLOCK],RC_IN[BLOCK],RC_OUT[WT],"&gt;0")&gt;0,"IN-USE",""))
</f>
        <v/>
      </c>
      <c r="B1695" s="223" t="str">
        <f>IFERROR(__xludf.DUMMYFUNCTION("IFERROR(IF(F1695&lt;&gt;"""",""WHSE ""&amp;LEFT(F1695,1),REGEXEXTRACT(E1695,""-(?:\d{2}-)?([A-Z]+)"")),"""")
"),"")</f>
        <v/>
      </c>
      <c r="C1695" s="224"/>
      <c r="D1695" s="219"/>
      <c r="E1695" s="225"/>
      <c r="F1695" s="225"/>
      <c r="G1695" s="226"/>
      <c r="H1695" s="225"/>
      <c r="I1695" s="227"/>
      <c r="J1695" s="228"/>
      <c r="K1695" s="229"/>
      <c r="L1695" s="229"/>
      <c r="M1695" s="229"/>
      <c r="N1695" s="230"/>
      <c r="O1695" s="228"/>
      <c r="P1695" s="230"/>
      <c r="Q1695" s="219"/>
      <c r="R1695" s="198"/>
      <c r="S1695" s="198"/>
      <c r="T1695" s="198"/>
      <c r="U1695" s="198"/>
      <c r="V1695" s="198"/>
      <c r="W1695" s="198"/>
      <c r="X1695" s="198"/>
    </row>
    <row r="1696" ht="12.0" customHeight="1">
      <c r="A1696" s="222" t="str">
        <f>IF(COUNTIFS(RC_OUT[BLOCK],RC_IN[BLOCK],RC_OUT[REMARKS],"*CLOSED*")&gt;0,"CLOSED",IF(COUNTIFS(RC_OUT[BLOCK],RC_IN[BLOCK],RC_OUT[WT],"&gt;0")&gt;0,"IN-USE",""))
</f>
        <v/>
      </c>
      <c r="B1696" s="223" t="str">
        <f>IFERROR(__xludf.DUMMYFUNCTION("IFERROR(IF(F1696&lt;&gt;"""",""WHSE ""&amp;LEFT(F1696,1),REGEXEXTRACT(E1696,""-(?:\d{2}-)?([A-Z]+)"")),"""")
"),"")</f>
        <v/>
      </c>
      <c r="C1696" s="224"/>
      <c r="D1696" s="219"/>
      <c r="E1696" s="225"/>
      <c r="F1696" s="225"/>
      <c r="G1696" s="226"/>
      <c r="H1696" s="225"/>
      <c r="I1696" s="227"/>
      <c r="J1696" s="228"/>
      <c r="K1696" s="229"/>
      <c r="L1696" s="229"/>
      <c r="M1696" s="229"/>
      <c r="N1696" s="230"/>
      <c r="O1696" s="228"/>
      <c r="P1696" s="230"/>
      <c r="Q1696" s="219"/>
      <c r="R1696" s="198"/>
      <c r="S1696" s="198"/>
      <c r="T1696" s="198"/>
      <c r="U1696" s="198"/>
      <c r="V1696" s="198"/>
      <c r="W1696" s="198"/>
      <c r="X1696" s="198"/>
    </row>
    <row r="1697" ht="12.0" customHeight="1">
      <c r="A1697" s="222" t="str">
        <f>IF(COUNTIFS(RC_OUT[BLOCK],RC_IN[BLOCK],RC_OUT[REMARKS],"*CLOSED*")&gt;0,"CLOSED",IF(COUNTIFS(RC_OUT[BLOCK],RC_IN[BLOCK],RC_OUT[WT],"&gt;0")&gt;0,"IN-USE",""))
</f>
        <v/>
      </c>
      <c r="B1697" s="223" t="str">
        <f>IFERROR(__xludf.DUMMYFUNCTION("IFERROR(IF(F1697&lt;&gt;"""",""WHSE ""&amp;LEFT(F1697,1),REGEXEXTRACT(E1697,""-(?:\d{2}-)?([A-Z]+)"")),"""")
"),"")</f>
        <v/>
      </c>
      <c r="C1697" s="224"/>
      <c r="D1697" s="219"/>
      <c r="E1697" s="225"/>
      <c r="F1697" s="225"/>
      <c r="G1697" s="226"/>
      <c r="H1697" s="225"/>
      <c r="I1697" s="227"/>
      <c r="J1697" s="228"/>
      <c r="K1697" s="229"/>
      <c r="L1697" s="229"/>
      <c r="M1697" s="229"/>
      <c r="N1697" s="230"/>
      <c r="O1697" s="228"/>
      <c r="P1697" s="230"/>
      <c r="Q1697" s="219"/>
      <c r="R1697" s="198"/>
      <c r="S1697" s="198"/>
      <c r="T1697" s="198"/>
      <c r="U1697" s="198"/>
      <c r="V1697" s="198"/>
      <c r="W1697" s="198"/>
      <c r="X1697" s="198"/>
    </row>
    <row r="1698" ht="12.0" customHeight="1">
      <c r="A1698" s="222" t="str">
        <f>IF(COUNTIFS(RC_OUT[BLOCK],RC_IN[BLOCK],RC_OUT[REMARKS],"*CLOSED*")&gt;0,"CLOSED",IF(COUNTIFS(RC_OUT[BLOCK],RC_IN[BLOCK],RC_OUT[WT],"&gt;0")&gt;0,"IN-USE",""))
</f>
        <v/>
      </c>
      <c r="B1698" s="223" t="str">
        <f>IFERROR(__xludf.DUMMYFUNCTION("IFERROR(IF(F1698&lt;&gt;"""",""WHSE ""&amp;LEFT(F1698,1),REGEXEXTRACT(E1698,""-(?:\d{2}-)?([A-Z]+)"")),"""")
"),"")</f>
        <v/>
      </c>
      <c r="C1698" s="224"/>
      <c r="D1698" s="219"/>
      <c r="E1698" s="225"/>
      <c r="F1698" s="225"/>
      <c r="G1698" s="226"/>
      <c r="H1698" s="225"/>
      <c r="I1698" s="227"/>
      <c r="J1698" s="228"/>
      <c r="K1698" s="229"/>
      <c r="L1698" s="229"/>
      <c r="M1698" s="229"/>
      <c r="N1698" s="230"/>
      <c r="O1698" s="228"/>
      <c r="P1698" s="230"/>
      <c r="Q1698" s="219"/>
      <c r="R1698" s="198"/>
      <c r="S1698" s="198"/>
      <c r="T1698" s="198"/>
      <c r="U1698" s="198"/>
      <c r="V1698" s="198"/>
      <c r="W1698" s="198"/>
      <c r="X1698" s="198"/>
    </row>
    <row r="1699" ht="12.0" customHeight="1">
      <c r="A1699" s="222" t="str">
        <f>IF(COUNTIFS(RC_OUT[BLOCK],RC_IN[BLOCK],RC_OUT[REMARKS],"*CLOSED*")&gt;0,"CLOSED",IF(COUNTIFS(RC_OUT[BLOCK],RC_IN[BLOCK],RC_OUT[WT],"&gt;0")&gt;0,"IN-USE",""))
</f>
        <v/>
      </c>
      <c r="B1699" s="223" t="str">
        <f>IFERROR(__xludf.DUMMYFUNCTION("IFERROR(IF(F1699&lt;&gt;"""",""WHSE ""&amp;LEFT(F1699,1),REGEXEXTRACT(E1699,""-(?:\d{2}-)?([A-Z]+)"")),"""")
"),"")</f>
        <v/>
      </c>
      <c r="C1699" s="224"/>
      <c r="D1699" s="219"/>
      <c r="E1699" s="225"/>
      <c r="F1699" s="225"/>
      <c r="G1699" s="226"/>
      <c r="H1699" s="225"/>
      <c r="I1699" s="227"/>
      <c r="J1699" s="228"/>
      <c r="K1699" s="229"/>
      <c r="L1699" s="229"/>
      <c r="M1699" s="229"/>
      <c r="N1699" s="230"/>
      <c r="O1699" s="228"/>
      <c r="P1699" s="230"/>
      <c r="Q1699" s="219"/>
      <c r="R1699" s="198"/>
      <c r="S1699" s="198"/>
      <c r="T1699" s="198"/>
      <c r="U1699" s="198"/>
      <c r="V1699" s="198"/>
      <c r="W1699" s="198"/>
      <c r="X1699" s="198"/>
    </row>
    <row r="1700" ht="12.0" customHeight="1">
      <c r="A1700" s="222" t="str">
        <f>IF(COUNTIFS(RC_OUT[BLOCK],RC_IN[BLOCK],RC_OUT[REMARKS],"*CLOSED*")&gt;0,"CLOSED",IF(COUNTIFS(RC_OUT[BLOCK],RC_IN[BLOCK],RC_OUT[WT],"&gt;0")&gt;0,"IN-USE",""))
</f>
        <v/>
      </c>
      <c r="B1700" s="223" t="str">
        <f>IFERROR(__xludf.DUMMYFUNCTION("IFERROR(IF(F1700&lt;&gt;"""",""WHSE ""&amp;LEFT(F1700,1),REGEXEXTRACT(E1700,""-(?:\d{2}-)?([A-Z]+)"")),"""")
"),"")</f>
        <v/>
      </c>
      <c r="C1700" s="224"/>
      <c r="D1700" s="219"/>
      <c r="E1700" s="225"/>
      <c r="F1700" s="225"/>
      <c r="G1700" s="226"/>
      <c r="H1700" s="225"/>
      <c r="I1700" s="227"/>
      <c r="J1700" s="228"/>
      <c r="K1700" s="229"/>
      <c r="L1700" s="229"/>
      <c r="M1700" s="229"/>
      <c r="N1700" s="230"/>
      <c r="O1700" s="228"/>
      <c r="P1700" s="230"/>
      <c r="Q1700" s="219"/>
      <c r="R1700" s="198"/>
      <c r="S1700" s="198"/>
      <c r="T1700" s="198"/>
      <c r="U1700" s="198"/>
      <c r="V1700" s="198"/>
      <c r="W1700" s="198"/>
      <c r="X1700" s="198"/>
    </row>
    <row r="1701" ht="12.0" customHeight="1">
      <c r="A1701" s="222" t="str">
        <f>IF(COUNTIFS(RC_OUT[BLOCK],RC_IN[BLOCK],RC_OUT[REMARKS],"*CLOSED*")&gt;0,"CLOSED",IF(COUNTIFS(RC_OUT[BLOCK],RC_IN[BLOCK],RC_OUT[WT],"&gt;0")&gt;0,"IN-USE",""))
</f>
        <v/>
      </c>
      <c r="B1701" s="223" t="str">
        <f>IFERROR(__xludf.DUMMYFUNCTION("IFERROR(IF(F1701&lt;&gt;"""",""WHSE ""&amp;LEFT(F1701,1),REGEXEXTRACT(E1701,""-(?:\d{2}-)?([A-Z]+)"")),"""")
"),"")</f>
        <v/>
      </c>
      <c r="C1701" s="224"/>
      <c r="D1701" s="219"/>
      <c r="E1701" s="225"/>
      <c r="F1701" s="225"/>
      <c r="G1701" s="226"/>
      <c r="H1701" s="225"/>
      <c r="I1701" s="227"/>
      <c r="J1701" s="228"/>
      <c r="K1701" s="229"/>
      <c r="L1701" s="229"/>
      <c r="M1701" s="229"/>
      <c r="N1701" s="230"/>
      <c r="O1701" s="228"/>
      <c r="P1701" s="230"/>
      <c r="Q1701" s="219"/>
      <c r="R1701" s="198"/>
      <c r="S1701" s="198"/>
      <c r="T1701" s="198"/>
      <c r="U1701" s="198"/>
      <c r="V1701" s="198"/>
      <c r="W1701" s="198"/>
      <c r="X1701" s="198"/>
    </row>
    <row r="1702" ht="12.0" customHeight="1">
      <c r="A1702" s="222" t="str">
        <f>IF(COUNTIFS(RC_OUT[BLOCK],RC_IN[BLOCK],RC_OUT[REMARKS],"*CLOSED*")&gt;0,"CLOSED",IF(COUNTIFS(RC_OUT[BLOCK],RC_IN[BLOCK],RC_OUT[WT],"&gt;0")&gt;0,"IN-USE",""))
</f>
        <v/>
      </c>
      <c r="B1702" s="223" t="str">
        <f>IFERROR(__xludf.DUMMYFUNCTION("IFERROR(IF(F1702&lt;&gt;"""",""WHSE ""&amp;LEFT(F1702,1),REGEXEXTRACT(E1702,""-(?:\d{2}-)?([A-Z]+)"")),"""")
"),"")</f>
        <v/>
      </c>
      <c r="C1702" s="224"/>
      <c r="D1702" s="219"/>
      <c r="E1702" s="225"/>
      <c r="F1702" s="225"/>
      <c r="G1702" s="226"/>
      <c r="H1702" s="225"/>
      <c r="I1702" s="227"/>
      <c r="J1702" s="228"/>
      <c r="K1702" s="229"/>
      <c r="L1702" s="229"/>
      <c r="M1702" s="229"/>
      <c r="N1702" s="230"/>
      <c r="O1702" s="228"/>
      <c r="P1702" s="230"/>
      <c r="Q1702" s="219"/>
      <c r="R1702" s="198"/>
      <c r="S1702" s="198"/>
      <c r="T1702" s="198"/>
      <c r="U1702" s="198"/>
      <c r="V1702" s="198"/>
      <c r="W1702" s="198"/>
      <c r="X1702" s="198"/>
    </row>
    <row r="1703" ht="12.0" customHeight="1">
      <c r="A1703" s="222" t="str">
        <f>IF(COUNTIFS(RC_OUT[BLOCK],RC_IN[BLOCK],RC_OUT[REMARKS],"*CLOSED*")&gt;0,"CLOSED",IF(COUNTIFS(RC_OUT[BLOCK],RC_IN[BLOCK],RC_OUT[WT],"&gt;0")&gt;0,"IN-USE",""))
</f>
        <v/>
      </c>
      <c r="B1703" s="223" t="str">
        <f>IFERROR(__xludf.DUMMYFUNCTION("IFERROR(IF(F1703&lt;&gt;"""",""WHSE ""&amp;LEFT(F1703,1),REGEXEXTRACT(E1703,""-(?:\d{2}-)?([A-Z]+)"")),"""")
"),"")</f>
        <v/>
      </c>
      <c r="C1703" s="224"/>
      <c r="D1703" s="219"/>
      <c r="E1703" s="225"/>
      <c r="F1703" s="225"/>
      <c r="G1703" s="226"/>
      <c r="H1703" s="225"/>
      <c r="I1703" s="227"/>
      <c r="J1703" s="228"/>
      <c r="K1703" s="229"/>
      <c r="L1703" s="229"/>
      <c r="M1703" s="229"/>
      <c r="N1703" s="230"/>
      <c r="O1703" s="228"/>
      <c r="P1703" s="230"/>
      <c r="Q1703" s="219"/>
      <c r="R1703" s="198"/>
      <c r="S1703" s="198"/>
      <c r="T1703" s="198"/>
      <c r="U1703" s="198"/>
      <c r="V1703" s="198"/>
      <c r="W1703" s="198"/>
      <c r="X1703" s="198"/>
    </row>
    <row r="1704" ht="12.0" customHeight="1">
      <c r="A1704" s="222" t="str">
        <f>IF(COUNTIFS(RC_OUT[BLOCK],RC_IN[BLOCK],RC_OUT[REMARKS],"*CLOSED*")&gt;0,"CLOSED",IF(COUNTIFS(RC_OUT[BLOCK],RC_IN[BLOCK],RC_OUT[WT],"&gt;0")&gt;0,"IN-USE",""))
</f>
        <v/>
      </c>
      <c r="B1704" s="223" t="str">
        <f>IFERROR(__xludf.DUMMYFUNCTION("IFERROR(IF(F1704&lt;&gt;"""",""WHSE ""&amp;LEFT(F1704,1),REGEXEXTRACT(E1704,""-(?:\d{2}-)?([A-Z]+)"")),"""")
"),"")</f>
        <v/>
      </c>
      <c r="C1704" s="224"/>
      <c r="D1704" s="219"/>
      <c r="E1704" s="225"/>
      <c r="F1704" s="225"/>
      <c r="G1704" s="226"/>
      <c r="H1704" s="225"/>
      <c r="I1704" s="227"/>
      <c r="J1704" s="228"/>
      <c r="K1704" s="229"/>
      <c r="L1704" s="229"/>
      <c r="M1704" s="229"/>
      <c r="N1704" s="230"/>
      <c r="O1704" s="228"/>
      <c r="P1704" s="230"/>
      <c r="Q1704" s="219"/>
      <c r="R1704" s="198"/>
      <c r="S1704" s="198"/>
      <c r="T1704" s="198"/>
      <c r="U1704" s="198"/>
      <c r="V1704" s="198"/>
      <c r="W1704" s="198"/>
      <c r="X1704" s="198"/>
    </row>
    <row r="1705" ht="12.0" customHeight="1">
      <c r="A1705" s="222" t="str">
        <f>IF(COUNTIFS(RC_OUT[BLOCK],RC_IN[BLOCK],RC_OUT[REMARKS],"*CLOSED*")&gt;0,"CLOSED",IF(COUNTIFS(RC_OUT[BLOCK],RC_IN[BLOCK],RC_OUT[WT],"&gt;0")&gt;0,"IN-USE",""))
</f>
        <v/>
      </c>
      <c r="B1705" s="223" t="str">
        <f>IFERROR(__xludf.DUMMYFUNCTION("IFERROR(IF(F1705&lt;&gt;"""",""WHSE ""&amp;LEFT(F1705,1),REGEXEXTRACT(E1705,""-(?:\d{2}-)?([A-Z]+)"")),"""")
"),"")</f>
        <v/>
      </c>
      <c r="C1705" s="224"/>
      <c r="D1705" s="219"/>
      <c r="E1705" s="225"/>
      <c r="F1705" s="225"/>
      <c r="G1705" s="226"/>
      <c r="H1705" s="225"/>
      <c r="I1705" s="227"/>
      <c r="J1705" s="228"/>
      <c r="K1705" s="229"/>
      <c r="L1705" s="229"/>
      <c r="M1705" s="229"/>
      <c r="N1705" s="230"/>
      <c r="O1705" s="228"/>
      <c r="P1705" s="230"/>
      <c r="Q1705" s="219"/>
      <c r="R1705" s="198"/>
      <c r="S1705" s="198"/>
      <c r="T1705" s="198"/>
      <c r="U1705" s="198"/>
      <c r="V1705" s="198"/>
      <c r="W1705" s="198"/>
      <c r="X1705" s="198"/>
    </row>
    <row r="1706" ht="12.0" customHeight="1">
      <c r="A1706" s="222" t="str">
        <f>IF(COUNTIFS(RC_OUT[BLOCK],RC_IN[BLOCK],RC_OUT[REMARKS],"*CLOSED*")&gt;0,"CLOSED",IF(COUNTIFS(RC_OUT[BLOCK],RC_IN[BLOCK],RC_OUT[WT],"&gt;0")&gt;0,"IN-USE",""))
</f>
        <v/>
      </c>
      <c r="B1706" s="223" t="str">
        <f>IFERROR(__xludf.DUMMYFUNCTION("IFERROR(IF(F1706&lt;&gt;"""",""WHSE ""&amp;LEFT(F1706,1),REGEXEXTRACT(E1706,""-(?:\d{2}-)?([A-Z]+)"")),"""")
"),"")</f>
        <v/>
      </c>
      <c r="C1706" s="224"/>
      <c r="D1706" s="219"/>
      <c r="E1706" s="225"/>
      <c r="F1706" s="225"/>
      <c r="G1706" s="226"/>
      <c r="H1706" s="225"/>
      <c r="I1706" s="227"/>
      <c r="J1706" s="228"/>
      <c r="K1706" s="229"/>
      <c r="L1706" s="229"/>
      <c r="M1706" s="229"/>
      <c r="N1706" s="230"/>
      <c r="O1706" s="228"/>
      <c r="P1706" s="230"/>
      <c r="Q1706" s="219"/>
      <c r="R1706" s="198"/>
      <c r="S1706" s="198"/>
      <c r="T1706" s="198"/>
      <c r="U1706" s="198"/>
      <c r="V1706" s="198"/>
      <c r="W1706" s="198"/>
      <c r="X1706" s="198"/>
    </row>
    <row r="1707" ht="12.0" customHeight="1">
      <c r="A1707" s="222" t="str">
        <f>IF(COUNTIFS(RC_OUT[BLOCK],RC_IN[BLOCK],RC_OUT[REMARKS],"*CLOSED*")&gt;0,"CLOSED",IF(COUNTIFS(RC_OUT[BLOCK],RC_IN[BLOCK],RC_OUT[WT],"&gt;0")&gt;0,"IN-USE",""))
</f>
        <v/>
      </c>
      <c r="B1707" s="223" t="str">
        <f>IFERROR(__xludf.DUMMYFUNCTION("IFERROR(IF(F1707&lt;&gt;"""",""WHSE ""&amp;LEFT(F1707,1),REGEXEXTRACT(E1707,""-(?:\d{2}-)?([A-Z]+)"")),"""")
"),"")</f>
        <v/>
      </c>
      <c r="C1707" s="224"/>
      <c r="D1707" s="219"/>
      <c r="E1707" s="225"/>
      <c r="F1707" s="225"/>
      <c r="G1707" s="226"/>
      <c r="H1707" s="225"/>
      <c r="I1707" s="227"/>
      <c r="J1707" s="228"/>
      <c r="K1707" s="229"/>
      <c r="L1707" s="229"/>
      <c r="M1707" s="229"/>
      <c r="N1707" s="230"/>
      <c r="O1707" s="228"/>
      <c r="P1707" s="230"/>
      <c r="Q1707" s="219"/>
      <c r="R1707" s="198"/>
      <c r="S1707" s="198"/>
      <c r="T1707" s="198"/>
      <c r="U1707" s="198"/>
      <c r="V1707" s="198"/>
      <c r="W1707" s="198"/>
      <c r="X1707" s="198"/>
    </row>
    <row r="1708" ht="12.0" customHeight="1">
      <c r="A1708" s="222" t="str">
        <f>IF(COUNTIFS(RC_OUT[BLOCK],RC_IN[BLOCK],RC_OUT[REMARKS],"*CLOSED*")&gt;0,"CLOSED",IF(COUNTIFS(RC_OUT[BLOCK],RC_IN[BLOCK],RC_OUT[WT],"&gt;0")&gt;0,"IN-USE",""))
</f>
        <v/>
      </c>
      <c r="B1708" s="223" t="str">
        <f>IFERROR(__xludf.DUMMYFUNCTION("IFERROR(IF(F1708&lt;&gt;"""",""WHSE ""&amp;LEFT(F1708,1),REGEXEXTRACT(E1708,""-(?:\d{2}-)?([A-Z]+)"")),"""")
"),"")</f>
        <v/>
      </c>
      <c r="C1708" s="224"/>
      <c r="D1708" s="219"/>
      <c r="E1708" s="225"/>
      <c r="F1708" s="225"/>
      <c r="G1708" s="226"/>
      <c r="H1708" s="225"/>
      <c r="I1708" s="227"/>
      <c r="J1708" s="228"/>
      <c r="K1708" s="229"/>
      <c r="L1708" s="229"/>
      <c r="M1708" s="229"/>
      <c r="N1708" s="230"/>
      <c r="O1708" s="228"/>
      <c r="P1708" s="230"/>
      <c r="Q1708" s="219"/>
      <c r="R1708" s="198"/>
      <c r="S1708" s="198"/>
      <c r="T1708" s="198"/>
      <c r="U1708" s="198"/>
      <c r="V1708" s="198"/>
      <c r="W1708" s="198"/>
      <c r="X1708" s="198"/>
    </row>
    <row r="1709" ht="12.0" customHeight="1">
      <c r="A1709" s="222" t="str">
        <f>IF(COUNTIFS(RC_OUT[BLOCK],RC_IN[BLOCK],RC_OUT[REMARKS],"*CLOSED*")&gt;0,"CLOSED",IF(COUNTIFS(RC_OUT[BLOCK],RC_IN[BLOCK],RC_OUT[WT],"&gt;0")&gt;0,"IN-USE",""))
</f>
        <v/>
      </c>
      <c r="B1709" s="223" t="str">
        <f>IFERROR(__xludf.DUMMYFUNCTION("IFERROR(IF(F1709&lt;&gt;"""",""WHSE ""&amp;LEFT(F1709,1),REGEXEXTRACT(E1709,""-(?:\d{2}-)?([A-Z]+)"")),"""")
"),"")</f>
        <v/>
      </c>
      <c r="C1709" s="224"/>
      <c r="D1709" s="219"/>
      <c r="E1709" s="225"/>
      <c r="F1709" s="225"/>
      <c r="G1709" s="226"/>
      <c r="H1709" s="225"/>
      <c r="I1709" s="227"/>
      <c r="J1709" s="228"/>
      <c r="K1709" s="229"/>
      <c r="L1709" s="229"/>
      <c r="M1709" s="229"/>
      <c r="N1709" s="230"/>
      <c r="O1709" s="228"/>
      <c r="P1709" s="230"/>
      <c r="Q1709" s="219"/>
      <c r="R1709" s="198"/>
      <c r="S1709" s="198"/>
      <c r="T1709" s="198"/>
      <c r="U1709" s="198"/>
      <c r="V1709" s="198"/>
      <c r="W1709" s="198"/>
      <c r="X1709" s="198"/>
    </row>
    <row r="1710" ht="12.0" customHeight="1">
      <c r="A1710" s="222" t="str">
        <f>IF(COUNTIFS(RC_OUT[BLOCK],RC_IN[BLOCK],RC_OUT[REMARKS],"*CLOSED*")&gt;0,"CLOSED",IF(COUNTIFS(RC_OUT[BLOCK],RC_IN[BLOCK],RC_OUT[WT],"&gt;0")&gt;0,"IN-USE",""))
</f>
        <v/>
      </c>
      <c r="B1710" s="223" t="str">
        <f>IFERROR(__xludf.DUMMYFUNCTION("IFERROR(IF(F1710&lt;&gt;"""",""WHSE ""&amp;LEFT(F1710,1),REGEXEXTRACT(E1710,""-(?:\d{2}-)?([A-Z]+)"")),"""")
"),"")</f>
        <v/>
      </c>
      <c r="C1710" s="224"/>
      <c r="D1710" s="219"/>
      <c r="E1710" s="225"/>
      <c r="F1710" s="225"/>
      <c r="G1710" s="226"/>
      <c r="H1710" s="225"/>
      <c r="I1710" s="227"/>
      <c r="J1710" s="228"/>
      <c r="K1710" s="229"/>
      <c r="L1710" s="229"/>
      <c r="M1710" s="229"/>
      <c r="N1710" s="230"/>
      <c r="O1710" s="228"/>
      <c r="P1710" s="230"/>
      <c r="Q1710" s="219"/>
      <c r="R1710" s="198"/>
      <c r="S1710" s="198"/>
      <c r="T1710" s="198"/>
      <c r="U1710" s="198"/>
      <c r="V1710" s="198"/>
      <c r="W1710" s="198"/>
      <c r="X1710" s="198"/>
    </row>
    <row r="1711" ht="12.0" customHeight="1">
      <c r="A1711" s="222" t="str">
        <f>IF(COUNTIFS(RC_OUT[BLOCK],RC_IN[BLOCK],RC_OUT[REMARKS],"*CLOSED*")&gt;0,"CLOSED",IF(COUNTIFS(RC_OUT[BLOCK],RC_IN[BLOCK],RC_OUT[WT],"&gt;0")&gt;0,"IN-USE",""))
</f>
        <v/>
      </c>
      <c r="B1711" s="223" t="str">
        <f>IFERROR(__xludf.DUMMYFUNCTION("IFERROR(IF(F1711&lt;&gt;"""",""WHSE ""&amp;LEFT(F1711,1),REGEXEXTRACT(E1711,""-(?:\d{2}-)?([A-Z]+)"")),"""")
"),"")</f>
        <v/>
      </c>
      <c r="C1711" s="224"/>
      <c r="D1711" s="219"/>
      <c r="E1711" s="225"/>
      <c r="F1711" s="225"/>
      <c r="G1711" s="226"/>
      <c r="H1711" s="225"/>
      <c r="I1711" s="227"/>
      <c r="J1711" s="228"/>
      <c r="K1711" s="229"/>
      <c r="L1711" s="229"/>
      <c r="M1711" s="229"/>
      <c r="N1711" s="230"/>
      <c r="O1711" s="228"/>
      <c r="P1711" s="230"/>
      <c r="Q1711" s="219"/>
      <c r="R1711" s="198"/>
      <c r="S1711" s="198"/>
      <c r="T1711" s="198"/>
      <c r="U1711" s="198"/>
      <c r="V1711" s="198"/>
      <c r="W1711" s="198"/>
      <c r="X1711" s="198"/>
    </row>
    <row r="1712" ht="12.0" customHeight="1">
      <c r="A1712" s="222" t="str">
        <f>IF(COUNTIFS(RC_OUT[BLOCK],RC_IN[BLOCK],RC_OUT[REMARKS],"*CLOSED*")&gt;0,"CLOSED",IF(COUNTIFS(RC_OUT[BLOCK],RC_IN[BLOCK],RC_OUT[WT],"&gt;0")&gt;0,"IN-USE",""))
</f>
        <v/>
      </c>
      <c r="B1712" s="223" t="str">
        <f>IFERROR(__xludf.DUMMYFUNCTION("IFERROR(IF(F1712&lt;&gt;"""",""WHSE ""&amp;LEFT(F1712,1),REGEXEXTRACT(E1712,""-(?:\d{2}-)?([A-Z]+)"")),"""")
"),"")</f>
        <v/>
      </c>
      <c r="C1712" s="224"/>
      <c r="D1712" s="219"/>
      <c r="E1712" s="225"/>
      <c r="F1712" s="225"/>
      <c r="G1712" s="226"/>
      <c r="H1712" s="225"/>
      <c r="I1712" s="227"/>
      <c r="J1712" s="228"/>
      <c r="K1712" s="229"/>
      <c r="L1712" s="229"/>
      <c r="M1712" s="229"/>
      <c r="N1712" s="230"/>
      <c r="O1712" s="228"/>
      <c r="P1712" s="230"/>
      <c r="Q1712" s="219"/>
      <c r="R1712" s="198"/>
      <c r="S1712" s="198"/>
      <c r="T1712" s="198"/>
      <c r="U1712" s="198"/>
      <c r="V1712" s="198"/>
      <c r="W1712" s="198"/>
      <c r="X1712" s="198"/>
    </row>
    <row r="1713" ht="12.0" customHeight="1">
      <c r="A1713" s="222" t="str">
        <f>IF(COUNTIFS(RC_OUT[BLOCK],RC_IN[BLOCK],RC_OUT[REMARKS],"*CLOSED*")&gt;0,"CLOSED",IF(COUNTIFS(RC_OUT[BLOCK],RC_IN[BLOCK],RC_OUT[WT],"&gt;0")&gt;0,"IN-USE",""))
</f>
        <v/>
      </c>
      <c r="B1713" s="223" t="str">
        <f>IFERROR(__xludf.DUMMYFUNCTION("IFERROR(IF(F1713&lt;&gt;"""",""WHSE ""&amp;LEFT(F1713,1),REGEXEXTRACT(E1713,""-(?:\d{2}-)?([A-Z]+)"")),"""")
"),"")</f>
        <v/>
      </c>
      <c r="C1713" s="224"/>
      <c r="D1713" s="219"/>
      <c r="E1713" s="225"/>
      <c r="F1713" s="225"/>
      <c r="G1713" s="226"/>
      <c r="H1713" s="225"/>
      <c r="I1713" s="227"/>
      <c r="J1713" s="228"/>
      <c r="K1713" s="229"/>
      <c r="L1713" s="229"/>
      <c r="M1713" s="229"/>
      <c r="N1713" s="230"/>
      <c r="O1713" s="228"/>
      <c r="P1713" s="230"/>
      <c r="Q1713" s="219"/>
      <c r="R1713" s="198"/>
      <c r="S1713" s="198"/>
      <c r="T1713" s="198"/>
      <c r="U1713" s="198"/>
      <c r="V1713" s="198"/>
      <c r="W1713" s="198"/>
      <c r="X1713" s="198"/>
    </row>
    <row r="1714" ht="12.0" customHeight="1">
      <c r="A1714" s="222" t="str">
        <f>IF(COUNTIFS(RC_OUT[BLOCK],RC_IN[BLOCK],RC_OUT[REMARKS],"*CLOSED*")&gt;0,"CLOSED",IF(COUNTIFS(RC_OUT[BLOCK],RC_IN[BLOCK],RC_OUT[WT],"&gt;0")&gt;0,"IN-USE",""))
</f>
        <v/>
      </c>
      <c r="B1714" s="223" t="str">
        <f>IFERROR(__xludf.DUMMYFUNCTION("IFERROR(IF(F1714&lt;&gt;"""",""WHSE ""&amp;LEFT(F1714,1),REGEXEXTRACT(E1714,""-(?:\d{2}-)?([A-Z]+)"")),"""")
"),"")</f>
        <v/>
      </c>
      <c r="C1714" s="224"/>
      <c r="D1714" s="219"/>
      <c r="E1714" s="225"/>
      <c r="F1714" s="225"/>
      <c r="G1714" s="226"/>
      <c r="H1714" s="225"/>
      <c r="I1714" s="227"/>
      <c r="J1714" s="228"/>
      <c r="K1714" s="229"/>
      <c r="L1714" s="229"/>
      <c r="M1714" s="229"/>
      <c r="N1714" s="230"/>
      <c r="O1714" s="228"/>
      <c r="P1714" s="230"/>
      <c r="Q1714" s="219"/>
      <c r="R1714" s="198"/>
      <c r="S1714" s="198"/>
      <c r="T1714" s="198"/>
      <c r="U1714" s="198"/>
      <c r="V1714" s="198"/>
      <c r="W1714" s="198"/>
      <c r="X1714" s="198"/>
    </row>
    <row r="1715" ht="12.0" customHeight="1">
      <c r="A1715" s="222" t="str">
        <f>IF(COUNTIFS(RC_OUT[BLOCK],RC_IN[BLOCK],RC_OUT[REMARKS],"*CLOSED*")&gt;0,"CLOSED",IF(COUNTIFS(RC_OUT[BLOCK],RC_IN[BLOCK],RC_OUT[WT],"&gt;0")&gt;0,"IN-USE",""))
</f>
        <v/>
      </c>
      <c r="B1715" s="223" t="str">
        <f>IFERROR(__xludf.DUMMYFUNCTION("IFERROR(IF(F1715&lt;&gt;"""",""WHSE ""&amp;LEFT(F1715,1),REGEXEXTRACT(E1715,""-(?:\d{2}-)?([A-Z]+)"")),"""")
"),"")</f>
        <v/>
      </c>
      <c r="C1715" s="224"/>
      <c r="D1715" s="219"/>
      <c r="E1715" s="225"/>
      <c r="F1715" s="225"/>
      <c r="G1715" s="226"/>
      <c r="H1715" s="225"/>
      <c r="I1715" s="227"/>
      <c r="J1715" s="228"/>
      <c r="K1715" s="229"/>
      <c r="L1715" s="229"/>
      <c r="M1715" s="229"/>
      <c r="N1715" s="230"/>
      <c r="O1715" s="228"/>
      <c r="P1715" s="230"/>
      <c r="Q1715" s="219"/>
      <c r="R1715" s="198"/>
      <c r="S1715" s="198"/>
      <c r="T1715" s="198"/>
      <c r="U1715" s="198"/>
      <c r="V1715" s="198"/>
      <c r="W1715" s="198"/>
      <c r="X1715" s="198"/>
    </row>
    <row r="1716" ht="12.0" customHeight="1">
      <c r="A1716" s="222" t="str">
        <f>IF(COUNTIFS(RC_OUT[BLOCK],RC_IN[BLOCK],RC_OUT[REMARKS],"*CLOSED*")&gt;0,"CLOSED",IF(COUNTIFS(RC_OUT[BLOCK],RC_IN[BLOCK],RC_OUT[WT],"&gt;0")&gt;0,"IN-USE",""))
</f>
        <v/>
      </c>
      <c r="B1716" s="223" t="str">
        <f>IFERROR(__xludf.DUMMYFUNCTION("IFERROR(IF(F1716&lt;&gt;"""",""WHSE ""&amp;LEFT(F1716,1),REGEXEXTRACT(E1716,""-(?:\d{2}-)?([A-Z]+)"")),"""")
"),"")</f>
        <v/>
      </c>
      <c r="C1716" s="224"/>
      <c r="D1716" s="219"/>
      <c r="E1716" s="225"/>
      <c r="F1716" s="225"/>
      <c r="G1716" s="226"/>
      <c r="H1716" s="225"/>
      <c r="I1716" s="227"/>
      <c r="J1716" s="228"/>
      <c r="K1716" s="229"/>
      <c r="L1716" s="229"/>
      <c r="M1716" s="229"/>
      <c r="N1716" s="230"/>
      <c r="O1716" s="228"/>
      <c r="P1716" s="230"/>
      <c r="Q1716" s="219"/>
      <c r="R1716" s="198"/>
      <c r="S1716" s="198"/>
      <c r="T1716" s="198"/>
      <c r="U1716" s="198"/>
      <c r="V1716" s="198"/>
      <c r="W1716" s="198"/>
      <c r="X1716" s="198"/>
    </row>
    <row r="1717" ht="12.0" customHeight="1">
      <c r="A1717" s="222" t="str">
        <f>IF(COUNTIFS(RC_OUT[BLOCK],RC_IN[BLOCK],RC_OUT[REMARKS],"*CLOSED*")&gt;0,"CLOSED",IF(COUNTIFS(RC_OUT[BLOCK],RC_IN[BLOCK],RC_OUT[WT],"&gt;0")&gt;0,"IN-USE",""))
</f>
        <v/>
      </c>
      <c r="B1717" s="223" t="str">
        <f>IFERROR(__xludf.DUMMYFUNCTION("IFERROR(IF(F1717&lt;&gt;"""",""WHSE ""&amp;LEFT(F1717,1),REGEXEXTRACT(E1717,""-(?:\d{2}-)?([A-Z]+)"")),"""")
"),"")</f>
        <v/>
      </c>
      <c r="C1717" s="224"/>
      <c r="D1717" s="219"/>
      <c r="E1717" s="225"/>
      <c r="F1717" s="225"/>
      <c r="G1717" s="226"/>
      <c r="H1717" s="225"/>
      <c r="I1717" s="227"/>
      <c r="J1717" s="228"/>
      <c r="K1717" s="229"/>
      <c r="L1717" s="229"/>
      <c r="M1717" s="229"/>
      <c r="N1717" s="230"/>
      <c r="O1717" s="228"/>
      <c r="P1717" s="230"/>
      <c r="Q1717" s="219"/>
      <c r="R1717" s="198"/>
      <c r="S1717" s="198"/>
      <c r="T1717" s="198"/>
      <c r="U1717" s="198"/>
      <c r="V1717" s="198"/>
      <c r="W1717" s="198"/>
      <c r="X1717" s="198"/>
    </row>
    <row r="1718" ht="12.0" customHeight="1">
      <c r="A1718" s="222" t="str">
        <f>IF(COUNTIFS(RC_OUT[BLOCK],RC_IN[BLOCK],RC_OUT[REMARKS],"*CLOSED*")&gt;0,"CLOSED",IF(COUNTIFS(RC_OUT[BLOCK],RC_IN[BLOCK],RC_OUT[WT],"&gt;0")&gt;0,"IN-USE",""))
</f>
        <v/>
      </c>
      <c r="B1718" s="223" t="str">
        <f>IFERROR(__xludf.DUMMYFUNCTION("IFERROR(IF(F1718&lt;&gt;"""",""WHSE ""&amp;LEFT(F1718,1),REGEXEXTRACT(E1718,""-(?:\d{2}-)?([A-Z]+)"")),"""")
"),"")</f>
        <v/>
      </c>
      <c r="C1718" s="224"/>
      <c r="D1718" s="219"/>
      <c r="E1718" s="225"/>
      <c r="F1718" s="225"/>
      <c r="G1718" s="226"/>
      <c r="H1718" s="225"/>
      <c r="I1718" s="227"/>
      <c r="J1718" s="228"/>
      <c r="K1718" s="229"/>
      <c r="L1718" s="229"/>
      <c r="M1718" s="229"/>
      <c r="N1718" s="230"/>
      <c r="O1718" s="228"/>
      <c r="P1718" s="230"/>
      <c r="Q1718" s="219"/>
      <c r="R1718" s="198"/>
      <c r="S1718" s="198"/>
      <c r="T1718" s="198"/>
      <c r="U1718" s="198"/>
      <c r="V1718" s="198"/>
      <c r="W1718" s="198"/>
      <c r="X1718" s="198"/>
    </row>
    <row r="1719" ht="12.0" customHeight="1">
      <c r="A1719" s="222" t="str">
        <f>IF(COUNTIFS(RC_OUT[BLOCK],RC_IN[BLOCK],RC_OUT[REMARKS],"*CLOSED*")&gt;0,"CLOSED",IF(COUNTIFS(RC_OUT[BLOCK],RC_IN[BLOCK],RC_OUT[WT],"&gt;0")&gt;0,"IN-USE",""))
</f>
        <v/>
      </c>
      <c r="B1719" s="223" t="str">
        <f>IFERROR(__xludf.DUMMYFUNCTION("IFERROR(IF(F1719&lt;&gt;"""",""WHSE ""&amp;LEFT(F1719,1),REGEXEXTRACT(E1719,""-(?:\d{2}-)?([A-Z]+)"")),"""")
"),"")</f>
        <v/>
      </c>
      <c r="C1719" s="224"/>
      <c r="D1719" s="219"/>
      <c r="E1719" s="225"/>
      <c r="F1719" s="225"/>
      <c r="G1719" s="226"/>
      <c r="H1719" s="225"/>
      <c r="I1719" s="227"/>
      <c r="J1719" s="228"/>
      <c r="K1719" s="229"/>
      <c r="L1719" s="229"/>
      <c r="M1719" s="229"/>
      <c r="N1719" s="230"/>
      <c r="O1719" s="228"/>
      <c r="P1719" s="230"/>
      <c r="Q1719" s="219"/>
      <c r="R1719" s="198"/>
      <c r="S1719" s="198"/>
      <c r="T1719" s="198"/>
      <c r="U1719" s="198"/>
      <c r="V1719" s="198"/>
      <c r="W1719" s="198"/>
      <c r="X1719" s="198"/>
    </row>
    <row r="1720" ht="12.0" customHeight="1">
      <c r="A1720" s="222" t="str">
        <f>IF(COUNTIFS(RC_OUT[BLOCK],RC_IN[BLOCK],RC_OUT[REMARKS],"*CLOSED*")&gt;0,"CLOSED",IF(COUNTIFS(RC_OUT[BLOCK],RC_IN[BLOCK],RC_OUT[WT],"&gt;0")&gt;0,"IN-USE",""))
</f>
        <v/>
      </c>
      <c r="B1720" s="223" t="str">
        <f>IFERROR(__xludf.DUMMYFUNCTION("IFERROR(IF(F1720&lt;&gt;"""",""WHSE ""&amp;LEFT(F1720,1),REGEXEXTRACT(E1720,""-(?:\d{2}-)?([A-Z]+)"")),"""")
"),"")</f>
        <v/>
      </c>
      <c r="C1720" s="224"/>
      <c r="D1720" s="219"/>
      <c r="E1720" s="225"/>
      <c r="F1720" s="225"/>
      <c r="G1720" s="226"/>
      <c r="H1720" s="225"/>
      <c r="I1720" s="227"/>
      <c r="J1720" s="228"/>
      <c r="K1720" s="229"/>
      <c r="L1720" s="229"/>
      <c r="M1720" s="229"/>
      <c r="N1720" s="230"/>
      <c r="O1720" s="228"/>
      <c r="P1720" s="230"/>
      <c r="Q1720" s="219"/>
      <c r="R1720" s="198"/>
      <c r="S1720" s="198"/>
      <c r="T1720" s="198"/>
      <c r="U1720" s="198"/>
      <c r="V1720" s="198"/>
      <c r="W1720" s="198"/>
      <c r="X1720" s="198"/>
    </row>
    <row r="1721" ht="12.0" customHeight="1">
      <c r="A1721" s="222" t="str">
        <f>IF(COUNTIFS(RC_OUT[BLOCK],RC_IN[BLOCK],RC_OUT[REMARKS],"*CLOSED*")&gt;0,"CLOSED",IF(COUNTIFS(RC_OUT[BLOCK],RC_IN[BLOCK],RC_OUT[WT],"&gt;0")&gt;0,"IN-USE",""))
</f>
        <v/>
      </c>
      <c r="B1721" s="223" t="str">
        <f>IFERROR(__xludf.DUMMYFUNCTION("IFERROR(IF(F1721&lt;&gt;"""",""WHSE ""&amp;LEFT(F1721,1),REGEXEXTRACT(E1721,""-(?:\d{2}-)?([A-Z]+)"")),"""")
"),"")</f>
        <v/>
      </c>
      <c r="C1721" s="224"/>
      <c r="D1721" s="219"/>
      <c r="E1721" s="225"/>
      <c r="F1721" s="225"/>
      <c r="G1721" s="226"/>
      <c r="H1721" s="225"/>
      <c r="I1721" s="227"/>
      <c r="J1721" s="228"/>
      <c r="K1721" s="229"/>
      <c r="L1721" s="229"/>
      <c r="M1721" s="229"/>
      <c r="N1721" s="230"/>
      <c r="O1721" s="228"/>
      <c r="P1721" s="230"/>
      <c r="Q1721" s="219"/>
      <c r="R1721" s="198"/>
      <c r="S1721" s="198"/>
      <c r="T1721" s="198"/>
      <c r="U1721" s="198"/>
      <c r="V1721" s="198"/>
      <c r="W1721" s="198"/>
      <c r="X1721" s="198"/>
    </row>
    <row r="1722" ht="12.0" customHeight="1">
      <c r="A1722" s="222" t="str">
        <f>IF(COUNTIFS(RC_OUT[BLOCK],RC_IN[BLOCK],RC_OUT[REMARKS],"*CLOSED*")&gt;0,"CLOSED",IF(COUNTIFS(RC_OUT[BLOCK],RC_IN[BLOCK],RC_OUT[WT],"&gt;0")&gt;0,"IN-USE",""))
</f>
        <v/>
      </c>
      <c r="B1722" s="223" t="str">
        <f>IFERROR(__xludf.DUMMYFUNCTION("IFERROR(IF(F1722&lt;&gt;"""",""WHSE ""&amp;LEFT(F1722,1),REGEXEXTRACT(E1722,""-(?:\d{2}-)?([A-Z]+)"")),"""")
"),"")</f>
        <v/>
      </c>
      <c r="C1722" s="224"/>
      <c r="D1722" s="219"/>
      <c r="E1722" s="225"/>
      <c r="F1722" s="225"/>
      <c r="G1722" s="226"/>
      <c r="H1722" s="225"/>
      <c r="I1722" s="227"/>
      <c r="J1722" s="228"/>
      <c r="K1722" s="229"/>
      <c r="L1722" s="229"/>
      <c r="M1722" s="229"/>
      <c r="N1722" s="230"/>
      <c r="O1722" s="228"/>
      <c r="P1722" s="230"/>
      <c r="Q1722" s="219"/>
      <c r="R1722" s="198"/>
      <c r="S1722" s="198"/>
      <c r="T1722" s="198"/>
      <c r="U1722" s="198"/>
      <c r="V1722" s="198"/>
      <c r="W1722" s="198"/>
      <c r="X1722" s="198"/>
    </row>
    <row r="1723" ht="12.0" customHeight="1">
      <c r="A1723" s="222" t="str">
        <f>IF(COUNTIFS(RC_OUT[BLOCK],RC_IN[BLOCK],RC_OUT[REMARKS],"*CLOSED*")&gt;0,"CLOSED",IF(COUNTIFS(RC_OUT[BLOCK],RC_IN[BLOCK],RC_OUT[WT],"&gt;0")&gt;0,"IN-USE",""))
</f>
        <v/>
      </c>
      <c r="B1723" s="223" t="str">
        <f>IFERROR(__xludf.DUMMYFUNCTION("IFERROR(IF(F1723&lt;&gt;"""",""WHSE ""&amp;LEFT(F1723,1),REGEXEXTRACT(E1723,""-(?:\d{2}-)?([A-Z]+)"")),"""")
"),"")</f>
        <v/>
      </c>
      <c r="C1723" s="224"/>
      <c r="D1723" s="219"/>
      <c r="E1723" s="225"/>
      <c r="F1723" s="225"/>
      <c r="G1723" s="226"/>
      <c r="H1723" s="225"/>
      <c r="I1723" s="227"/>
      <c r="J1723" s="228"/>
      <c r="K1723" s="229"/>
      <c r="L1723" s="229"/>
      <c r="M1723" s="229"/>
      <c r="N1723" s="230"/>
      <c r="O1723" s="228"/>
      <c r="P1723" s="230"/>
      <c r="Q1723" s="219"/>
      <c r="R1723" s="198"/>
      <c r="S1723" s="198"/>
      <c r="T1723" s="198"/>
      <c r="U1723" s="198"/>
      <c r="V1723" s="198"/>
      <c r="W1723" s="198"/>
      <c r="X1723" s="198"/>
    </row>
    <row r="1724" ht="12.0" customHeight="1">
      <c r="A1724" s="222" t="str">
        <f>IF(COUNTIFS(RC_OUT[BLOCK],RC_IN[BLOCK],RC_OUT[REMARKS],"*CLOSED*")&gt;0,"CLOSED",IF(COUNTIFS(RC_OUT[BLOCK],RC_IN[BLOCK],RC_OUT[WT],"&gt;0")&gt;0,"IN-USE",""))
</f>
        <v/>
      </c>
      <c r="B1724" s="223" t="str">
        <f>IFERROR(__xludf.DUMMYFUNCTION("IFERROR(IF(F1724&lt;&gt;"""",""WHSE ""&amp;LEFT(F1724,1),REGEXEXTRACT(E1724,""-(?:\d{2}-)?([A-Z]+)"")),"""")
"),"")</f>
        <v/>
      </c>
      <c r="C1724" s="224"/>
      <c r="D1724" s="219"/>
      <c r="E1724" s="225"/>
      <c r="F1724" s="225"/>
      <c r="G1724" s="226"/>
      <c r="H1724" s="225"/>
      <c r="I1724" s="227"/>
      <c r="J1724" s="228"/>
      <c r="K1724" s="229"/>
      <c r="L1724" s="229"/>
      <c r="M1724" s="229"/>
      <c r="N1724" s="230"/>
      <c r="O1724" s="228"/>
      <c r="P1724" s="230"/>
      <c r="Q1724" s="219"/>
      <c r="R1724" s="198"/>
      <c r="S1724" s="198"/>
      <c r="T1724" s="198"/>
      <c r="U1724" s="198"/>
      <c r="V1724" s="198"/>
      <c r="W1724" s="198"/>
      <c r="X1724" s="198"/>
    </row>
    <row r="1725" ht="12.0" customHeight="1">
      <c r="A1725" s="222" t="str">
        <f>IF(COUNTIFS(RC_OUT[BLOCK],RC_IN[BLOCK],RC_OUT[REMARKS],"*CLOSED*")&gt;0,"CLOSED",IF(COUNTIFS(RC_OUT[BLOCK],RC_IN[BLOCK],RC_OUT[WT],"&gt;0")&gt;0,"IN-USE",""))
</f>
        <v/>
      </c>
      <c r="B1725" s="223" t="str">
        <f>IFERROR(__xludf.DUMMYFUNCTION("IFERROR(IF(F1725&lt;&gt;"""",""WHSE ""&amp;LEFT(F1725,1),REGEXEXTRACT(E1725,""-(?:\d{2}-)?([A-Z]+)"")),"""")
"),"")</f>
        <v/>
      </c>
      <c r="C1725" s="224"/>
      <c r="D1725" s="219"/>
      <c r="E1725" s="225"/>
      <c r="F1725" s="225"/>
      <c r="G1725" s="226"/>
      <c r="H1725" s="225"/>
      <c r="I1725" s="227"/>
      <c r="J1725" s="228"/>
      <c r="K1725" s="229"/>
      <c r="L1725" s="229"/>
      <c r="M1725" s="229"/>
      <c r="N1725" s="230"/>
      <c r="O1725" s="228"/>
      <c r="P1725" s="230"/>
      <c r="Q1725" s="219"/>
      <c r="R1725" s="198"/>
      <c r="S1725" s="198"/>
      <c r="T1725" s="198"/>
      <c r="U1725" s="198"/>
      <c r="V1725" s="198"/>
      <c r="W1725" s="198"/>
      <c r="X1725" s="198"/>
    </row>
    <row r="1726" ht="12.0" customHeight="1">
      <c r="A1726" s="222" t="str">
        <f>IF(COUNTIFS(RC_OUT[BLOCK],RC_IN[BLOCK],RC_OUT[REMARKS],"*CLOSED*")&gt;0,"CLOSED",IF(COUNTIFS(RC_OUT[BLOCK],RC_IN[BLOCK],RC_OUT[WT],"&gt;0")&gt;0,"IN-USE",""))
</f>
        <v/>
      </c>
      <c r="B1726" s="223" t="str">
        <f>IFERROR(__xludf.DUMMYFUNCTION("IFERROR(IF(F1726&lt;&gt;"""",""WHSE ""&amp;LEFT(F1726,1),REGEXEXTRACT(E1726,""-(?:\d{2}-)?([A-Z]+)"")),"""")
"),"")</f>
        <v/>
      </c>
      <c r="C1726" s="224"/>
      <c r="D1726" s="219"/>
      <c r="E1726" s="225"/>
      <c r="F1726" s="225"/>
      <c r="G1726" s="226"/>
      <c r="H1726" s="225"/>
      <c r="I1726" s="227"/>
      <c r="J1726" s="228"/>
      <c r="K1726" s="229"/>
      <c r="L1726" s="229"/>
      <c r="M1726" s="229"/>
      <c r="N1726" s="230"/>
      <c r="O1726" s="228"/>
      <c r="P1726" s="230"/>
      <c r="Q1726" s="219"/>
      <c r="R1726" s="198"/>
      <c r="S1726" s="198"/>
      <c r="T1726" s="198"/>
      <c r="U1726" s="198"/>
      <c r="V1726" s="198"/>
      <c r="W1726" s="198"/>
      <c r="X1726" s="198"/>
    </row>
    <row r="1727" ht="12.0" customHeight="1">
      <c r="A1727" s="222" t="str">
        <f>IF(COUNTIFS(RC_OUT[BLOCK],RC_IN[BLOCK],RC_OUT[REMARKS],"*CLOSED*")&gt;0,"CLOSED",IF(COUNTIFS(RC_OUT[BLOCK],RC_IN[BLOCK],RC_OUT[WT],"&gt;0")&gt;0,"IN-USE",""))
</f>
        <v/>
      </c>
      <c r="B1727" s="223" t="str">
        <f>IFERROR(__xludf.DUMMYFUNCTION("IFERROR(IF(F1727&lt;&gt;"""",""WHSE ""&amp;LEFT(F1727,1),REGEXEXTRACT(E1727,""-(?:\d{2}-)?([A-Z]+)"")),"""")
"),"")</f>
        <v/>
      </c>
      <c r="C1727" s="224"/>
      <c r="D1727" s="219"/>
      <c r="E1727" s="225"/>
      <c r="F1727" s="225"/>
      <c r="G1727" s="226"/>
      <c r="H1727" s="225"/>
      <c r="I1727" s="227"/>
      <c r="J1727" s="228"/>
      <c r="K1727" s="229"/>
      <c r="L1727" s="229"/>
      <c r="M1727" s="229"/>
      <c r="N1727" s="230"/>
      <c r="O1727" s="228"/>
      <c r="P1727" s="230"/>
      <c r="Q1727" s="219"/>
      <c r="R1727" s="198"/>
      <c r="S1727" s="198"/>
      <c r="T1727" s="198"/>
      <c r="U1727" s="198"/>
      <c r="V1727" s="198"/>
      <c r="W1727" s="198"/>
      <c r="X1727" s="198"/>
    </row>
    <row r="1728" ht="12.0" customHeight="1">
      <c r="A1728" s="222" t="str">
        <f>IF(COUNTIFS(RC_OUT[BLOCK],RC_IN[BLOCK],RC_OUT[REMARKS],"*CLOSED*")&gt;0,"CLOSED",IF(COUNTIFS(RC_OUT[BLOCK],RC_IN[BLOCK],RC_OUT[WT],"&gt;0")&gt;0,"IN-USE",""))
</f>
        <v/>
      </c>
      <c r="B1728" s="223" t="str">
        <f>IFERROR(__xludf.DUMMYFUNCTION("IFERROR(IF(F1728&lt;&gt;"""",""WHSE ""&amp;LEFT(F1728,1),REGEXEXTRACT(E1728,""-(?:\d{2}-)?([A-Z]+)"")),"""")
"),"")</f>
        <v/>
      </c>
      <c r="C1728" s="224"/>
      <c r="D1728" s="219"/>
      <c r="E1728" s="225"/>
      <c r="F1728" s="225"/>
      <c r="G1728" s="226"/>
      <c r="H1728" s="225"/>
      <c r="I1728" s="227"/>
      <c r="J1728" s="228"/>
      <c r="K1728" s="229"/>
      <c r="L1728" s="229"/>
      <c r="M1728" s="229"/>
      <c r="N1728" s="230"/>
      <c r="O1728" s="228"/>
      <c r="P1728" s="230"/>
      <c r="Q1728" s="219"/>
      <c r="R1728" s="198"/>
      <c r="S1728" s="198"/>
      <c r="T1728" s="198"/>
      <c r="U1728" s="198"/>
      <c r="V1728" s="198"/>
      <c r="W1728" s="198"/>
      <c r="X1728" s="198"/>
    </row>
    <row r="1729" ht="12.0" customHeight="1">
      <c r="A1729" s="222" t="str">
        <f>IF(COUNTIFS(RC_OUT[BLOCK],RC_IN[BLOCK],RC_OUT[REMARKS],"*CLOSED*")&gt;0,"CLOSED",IF(COUNTIFS(RC_OUT[BLOCK],RC_IN[BLOCK],RC_OUT[WT],"&gt;0")&gt;0,"IN-USE",""))
</f>
        <v/>
      </c>
      <c r="B1729" s="223" t="str">
        <f>IFERROR(__xludf.DUMMYFUNCTION("IFERROR(IF(F1729&lt;&gt;"""",""WHSE ""&amp;LEFT(F1729,1),REGEXEXTRACT(E1729,""-(?:\d{2}-)?([A-Z]+)"")),"""")
"),"")</f>
        <v/>
      </c>
      <c r="C1729" s="224"/>
      <c r="D1729" s="219"/>
      <c r="E1729" s="225"/>
      <c r="F1729" s="225"/>
      <c r="G1729" s="226"/>
      <c r="H1729" s="225"/>
      <c r="I1729" s="227"/>
      <c r="J1729" s="228"/>
      <c r="K1729" s="229"/>
      <c r="L1729" s="229"/>
      <c r="M1729" s="229"/>
      <c r="N1729" s="230"/>
      <c r="O1729" s="228"/>
      <c r="P1729" s="230"/>
      <c r="Q1729" s="219"/>
      <c r="R1729" s="198"/>
      <c r="S1729" s="198"/>
      <c r="T1729" s="198"/>
      <c r="U1729" s="198"/>
      <c r="V1729" s="198"/>
      <c r="W1729" s="198"/>
      <c r="X1729" s="198"/>
    </row>
    <row r="1730" ht="12.0" customHeight="1">
      <c r="A1730" s="222" t="str">
        <f>IF(COUNTIFS(RC_OUT[BLOCK],RC_IN[BLOCK],RC_OUT[REMARKS],"*CLOSED*")&gt;0,"CLOSED",IF(COUNTIFS(RC_OUT[BLOCK],RC_IN[BLOCK],RC_OUT[WT],"&gt;0")&gt;0,"IN-USE",""))
</f>
        <v/>
      </c>
      <c r="B1730" s="223" t="str">
        <f>IFERROR(__xludf.DUMMYFUNCTION("IFERROR(IF(F1730&lt;&gt;"""",""WHSE ""&amp;LEFT(F1730,1),REGEXEXTRACT(E1730,""-(?:\d{2}-)?([A-Z]+)"")),"""")
"),"")</f>
        <v/>
      </c>
      <c r="C1730" s="224"/>
      <c r="D1730" s="219"/>
      <c r="E1730" s="225"/>
      <c r="F1730" s="225"/>
      <c r="G1730" s="226"/>
      <c r="H1730" s="225"/>
      <c r="I1730" s="227"/>
      <c r="J1730" s="228"/>
      <c r="K1730" s="229"/>
      <c r="L1730" s="229"/>
      <c r="M1730" s="229"/>
      <c r="N1730" s="230"/>
      <c r="O1730" s="228"/>
      <c r="P1730" s="230"/>
      <c r="Q1730" s="219"/>
      <c r="R1730" s="198"/>
      <c r="S1730" s="198"/>
      <c r="T1730" s="198"/>
      <c r="U1730" s="198"/>
      <c r="V1730" s="198"/>
      <c r="W1730" s="198"/>
      <c r="X1730" s="198"/>
    </row>
    <row r="1731" ht="12.0" customHeight="1">
      <c r="A1731" s="222" t="str">
        <f>IF(COUNTIFS(RC_OUT[BLOCK],RC_IN[BLOCK],RC_OUT[REMARKS],"*CLOSED*")&gt;0,"CLOSED",IF(COUNTIFS(RC_OUT[BLOCK],RC_IN[BLOCK],RC_OUT[WT],"&gt;0")&gt;0,"IN-USE",""))
</f>
        <v/>
      </c>
      <c r="B1731" s="223" t="str">
        <f>IFERROR(__xludf.DUMMYFUNCTION("IFERROR(IF(F1731&lt;&gt;"""",""WHSE ""&amp;LEFT(F1731,1),REGEXEXTRACT(E1731,""-(?:\d{2}-)?([A-Z]+)"")),"""")
"),"")</f>
        <v/>
      </c>
      <c r="C1731" s="224"/>
      <c r="D1731" s="219"/>
      <c r="E1731" s="225"/>
      <c r="F1731" s="225"/>
      <c r="G1731" s="226"/>
      <c r="H1731" s="225"/>
      <c r="I1731" s="227"/>
      <c r="J1731" s="228"/>
      <c r="K1731" s="229"/>
      <c r="L1731" s="229"/>
      <c r="M1731" s="229"/>
      <c r="N1731" s="230"/>
      <c r="O1731" s="228"/>
      <c r="P1731" s="230"/>
      <c r="Q1731" s="219"/>
      <c r="R1731" s="198"/>
      <c r="S1731" s="198"/>
      <c r="T1731" s="198"/>
      <c r="U1731" s="198"/>
      <c r="V1731" s="198"/>
      <c r="W1731" s="198"/>
      <c r="X1731" s="198"/>
    </row>
    <row r="1732" ht="12.0" customHeight="1">
      <c r="A1732" s="222" t="str">
        <f>IF(COUNTIFS(RC_OUT[BLOCK],RC_IN[BLOCK],RC_OUT[REMARKS],"*CLOSED*")&gt;0,"CLOSED",IF(COUNTIFS(RC_OUT[BLOCK],RC_IN[BLOCK],RC_OUT[WT],"&gt;0")&gt;0,"IN-USE",""))
</f>
        <v/>
      </c>
      <c r="B1732" s="223" t="str">
        <f>IFERROR(__xludf.DUMMYFUNCTION("IFERROR(IF(F1732&lt;&gt;"""",""WHSE ""&amp;LEFT(F1732,1),REGEXEXTRACT(E1732,""-(?:\d{2}-)?([A-Z]+)"")),"""")
"),"")</f>
        <v/>
      </c>
      <c r="C1732" s="224"/>
      <c r="D1732" s="219"/>
      <c r="E1732" s="225"/>
      <c r="F1732" s="225"/>
      <c r="G1732" s="226"/>
      <c r="H1732" s="225"/>
      <c r="I1732" s="227"/>
      <c r="J1732" s="228"/>
      <c r="K1732" s="229"/>
      <c r="L1732" s="229"/>
      <c r="M1732" s="229"/>
      <c r="N1732" s="230"/>
      <c r="O1732" s="228"/>
      <c r="P1732" s="230"/>
      <c r="Q1732" s="219"/>
      <c r="R1732" s="198"/>
      <c r="S1732" s="198"/>
      <c r="T1732" s="198"/>
      <c r="U1732" s="198"/>
      <c r="V1732" s="198"/>
      <c r="W1732" s="198"/>
      <c r="X1732" s="198"/>
    </row>
    <row r="1733" ht="12.0" customHeight="1">
      <c r="A1733" s="222" t="str">
        <f>IF(COUNTIFS(RC_OUT[BLOCK],RC_IN[BLOCK],RC_OUT[REMARKS],"*CLOSED*")&gt;0,"CLOSED",IF(COUNTIFS(RC_OUT[BLOCK],RC_IN[BLOCK],RC_OUT[WT],"&gt;0")&gt;0,"IN-USE",""))
</f>
        <v/>
      </c>
      <c r="B1733" s="223" t="str">
        <f>IFERROR(__xludf.DUMMYFUNCTION("IFERROR(IF(F1733&lt;&gt;"""",""WHSE ""&amp;LEFT(F1733,1),REGEXEXTRACT(E1733,""-(?:\d{2}-)?([A-Z]+)"")),"""")
"),"")</f>
        <v/>
      </c>
      <c r="C1733" s="224"/>
      <c r="D1733" s="219"/>
      <c r="E1733" s="225"/>
      <c r="F1733" s="225"/>
      <c r="G1733" s="226"/>
      <c r="H1733" s="225"/>
      <c r="I1733" s="227"/>
      <c r="J1733" s="228"/>
      <c r="K1733" s="229"/>
      <c r="L1733" s="229"/>
      <c r="M1733" s="229"/>
      <c r="N1733" s="230"/>
      <c r="O1733" s="228"/>
      <c r="P1733" s="230"/>
      <c r="Q1733" s="219"/>
      <c r="R1733" s="198"/>
      <c r="S1733" s="198"/>
      <c r="T1733" s="198"/>
      <c r="U1733" s="198"/>
      <c r="V1733" s="198"/>
      <c r="W1733" s="198"/>
      <c r="X1733" s="198"/>
    </row>
    <row r="1734" ht="12.0" customHeight="1">
      <c r="A1734" s="222" t="str">
        <f>IF(COUNTIFS(RC_OUT[BLOCK],RC_IN[BLOCK],RC_OUT[REMARKS],"*CLOSED*")&gt;0,"CLOSED",IF(COUNTIFS(RC_OUT[BLOCK],RC_IN[BLOCK],RC_OUT[WT],"&gt;0")&gt;0,"IN-USE",""))
</f>
        <v/>
      </c>
      <c r="B1734" s="223" t="str">
        <f>IFERROR(__xludf.DUMMYFUNCTION("IFERROR(IF(F1734&lt;&gt;"""",""WHSE ""&amp;LEFT(F1734,1),REGEXEXTRACT(E1734,""-(?:\d{2}-)?([A-Z]+)"")),"""")
"),"")</f>
        <v/>
      </c>
      <c r="C1734" s="224"/>
      <c r="D1734" s="219"/>
      <c r="E1734" s="225"/>
      <c r="F1734" s="225"/>
      <c r="G1734" s="226"/>
      <c r="H1734" s="225"/>
      <c r="I1734" s="227"/>
      <c r="J1734" s="228"/>
      <c r="K1734" s="229"/>
      <c r="L1734" s="229"/>
      <c r="M1734" s="229"/>
      <c r="N1734" s="230"/>
      <c r="O1734" s="228"/>
      <c r="P1734" s="230"/>
      <c r="Q1734" s="219"/>
      <c r="R1734" s="198"/>
      <c r="S1734" s="198"/>
      <c r="T1734" s="198"/>
      <c r="U1734" s="198"/>
      <c r="V1734" s="198"/>
      <c r="W1734" s="198"/>
      <c r="X1734" s="198"/>
    </row>
    <row r="1735" ht="12.0" customHeight="1">
      <c r="A1735" s="222" t="str">
        <f>IF(COUNTIFS(RC_OUT[BLOCK],RC_IN[BLOCK],RC_OUT[REMARKS],"*CLOSED*")&gt;0,"CLOSED",IF(COUNTIFS(RC_OUT[BLOCK],RC_IN[BLOCK],RC_OUT[WT],"&gt;0")&gt;0,"IN-USE",""))
</f>
        <v/>
      </c>
      <c r="B1735" s="223" t="str">
        <f>IFERROR(__xludf.DUMMYFUNCTION("IFERROR(IF(F1735&lt;&gt;"""",""WHSE ""&amp;LEFT(F1735,1),REGEXEXTRACT(E1735,""-(?:\d{2}-)?([A-Z]+)"")),"""")
"),"")</f>
        <v/>
      </c>
      <c r="C1735" s="224"/>
      <c r="D1735" s="219"/>
      <c r="E1735" s="225"/>
      <c r="F1735" s="225"/>
      <c r="G1735" s="226"/>
      <c r="H1735" s="225"/>
      <c r="I1735" s="227"/>
      <c r="J1735" s="228"/>
      <c r="K1735" s="229"/>
      <c r="L1735" s="229"/>
      <c r="M1735" s="229"/>
      <c r="N1735" s="230"/>
      <c r="O1735" s="228"/>
      <c r="P1735" s="230"/>
      <c r="Q1735" s="219"/>
      <c r="R1735" s="198"/>
      <c r="S1735" s="198"/>
      <c r="T1735" s="198"/>
      <c r="U1735" s="198"/>
      <c r="V1735" s="198"/>
      <c r="W1735" s="198"/>
      <c r="X1735" s="198"/>
    </row>
    <row r="1736" ht="12.0" customHeight="1">
      <c r="A1736" s="222" t="str">
        <f>IF(COUNTIFS(RC_OUT[BLOCK],RC_IN[BLOCK],RC_OUT[REMARKS],"*CLOSED*")&gt;0,"CLOSED",IF(COUNTIFS(RC_OUT[BLOCK],RC_IN[BLOCK],RC_OUT[WT],"&gt;0")&gt;0,"IN-USE",""))
</f>
        <v/>
      </c>
      <c r="B1736" s="223" t="str">
        <f>IFERROR(__xludf.DUMMYFUNCTION("IFERROR(IF(F1736&lt;&gt;"""",""WHSE ""&amp;LEFT(F1736,1),REGEXEXTRACT(E1736,""-(?:\d{2}-)?([A-Z]+)"")),"""")
"),"")</f>
        <v/>
      </c>
      <c r="C1736" s="224"/>
      <c r="D1736" s="219"/>
      <c r="E1736" s="225"/>
      <c r="F1736" s="225"/>
      <c r="G1736" s="226"/>
      <c r="H1736" s="225"/>
      <c r="I1736" s="227"/>
      <c r="J1736" s="228"/>
      <c r="K1736" s="229"/>
      <c r="L1736" s="229"/>
      <c r="M1736" s="229"/>
      <c r="N1736" s="230"/>
      <c r="O1736" s="228"/>
      <c r="P1736" s="230"/>
      <c r="Q1736" s="219"/>
      <c r="R1736" s="198"/>
      <c r="S1736" s="198"/>
      <c r="T1736" s="198"/>
      <c r="U1736" s="198"/>
      <c r="V1736" s="198"/>
      <c r="W1736" s="198"/>
      <c r="X1736" s="198"/>
    </row>
    <row r="1737" ht="12.0" customHeight="1">
      <c r="A1737" s="222" t="str">
        <f>IF(COUNTIFS(RC_OUT[BLOCK],RC_IN[BLOCK],RC_OUT[REMARKS],"*CLOSED*")&gt;0,"CLOSED",IF(COUNTIFS(RC_OUT[BLOCK],RC_IN[BLOCK],RC_OUT[WT],"&gt;0")&gt;0,"IN-USE",""))
</f>
        <v/>
      </c>
      <c r="B1737" s="223" t="str">
        <f>IFERROR(__xludf.DUMMYFUNCTION("IFERROR(IF(F1737&lt;&gt;"""",""WHSE ""&amp;LEFT(F1737,1),REGEXEXTRACT(E1737,""-(?:\d{2}-)?([A-Z]+)"")),"""")
"),"")</f>
        <v/>
      </c>
      <c r="C1737" s="224"/>
      <c r="D1737" s="219"/>
      <c r="E1737" s="225"/>
      <c r="F1737" s="225"/>
      <c r="G1737" s="226"/>
      <c r="H1737" s="225"/>
      <c r="I1737" s="227"/>
      <c r="J1737" s="228"/>
      <c r="K1737" s="229"/>
      <c r="L1737" s="229"/>
      <c r="M1737" s="229"/>
      <c r="N1737" s="230"/>
      <c r="O1737" s="228"/>
      <c r="P1737" s="230"/>
      <c r="Q1737" s="219"/>
      <c r="R1737" s="198"/>
      <c r="S1737" s="198"/>
      <c r="T1737" s="198"/>
      <c r="U1737" s="198"/>
      <c r="V1737" s="198"/>
      <c r="W1737" s="198"/>
      <c r="X1737" s="198"/>
    </row>
    <row r="1738" ht="12.0" customHeight="1">
      <c r="A1738" s="222" t="str">
        <f>IF(COUNTIFS(RC_OUT[BLOCK],RC_IN[BLOCK],RC_OUT[REMARKS],"*CLOSED*")&gt;0,"CLOSED",IF(COUNTIFS(RC_OUT[BLOCK],RC_IN[BLOCK],RC_OUT[WT],"&gt;0")&gt;0,"IN-USE",""))
</f>
        <v/>
      </c>
      <c r="B1738" s="223" t="str">
        <f>IFERROR(__xludf.DUMMYFUNCTION("IFERROR(IF(F1738&lt;&gt;"""",""WHSE ""&amp;LEFT(F1738,1),REGEXEXTRACT(E1738,""-(?:\d{2}-)?([A-Z]+)"")),"""")
"),"")</f>
        <v/>
      </c>
      <c r="C1738" s="224"/>
      <c r="D1738" s="219"/>
      <c r="E1738" s="225"/>
      <c r="F1738" s="225"/>
      <c r="G1738" s="226"/>
      <c r="H1738" s="225"/>
      <c r="I1738" s="227"/>
      <c r="J1738" s="228"/>
      <c r="K1738" s="229"/>
      <c r="L1738" s="229"/>
      <c r="M1738" s="229"/>
      <c r="N1738" s="230"/>
      <c r="O1738" s="228"/>
      <c r="P1738" s="230"/>
      <c r="Q1738" s="219"/>
      <c r="R1738" s="198"/>
      <c r="S1738" s="198"/>
      <c r="T1738" s="198"/>
      <c r="U1738" s="198"/>
      <c r="V1738" s="198"/>
      <c r="W1738" s="198"/>
      <c r="X1738" s="198"/>
    </row>
    <row r="1739" ht="12.0" customHeight="1">
      <c r="A1739" s="222" t="str">
        <f>IF(COUNTIFS(RC_OUT[BLOCK],RC_IN[BLOCK],RC_OUT[REMARKS],"*CLOSED*")&gt;0,"CLOSED",IF(COUNTIFS(RC_OUT[BLOCK],RC_IN[BLOCK],RC_OUT[WT],"&gt;0")&gt;0,"IN-USE",""))
</f>
        <v/>
      </c>
      <c r="B1739" s="223" t="str">
        <f>IFERROR(__xludf.DUMMYFUNCTION("IFERROR(IF(F1739&lt;&gt;"""",""WHSE ""&amp;LEFT(F1739,1),REGEXEXTRACT(E1739,""-(?:\d{2}-)?([A-Z]+)"")),"""")
"),"")</f>
        <v/>
      </c>
      <c r="C1739" s="224"/>
      <c r="D1739" s="219"/>
      <c r="E1739" s="225"/>
      <c r="F1739" s="225"/>
      <c r="G1739" s="226"/>
      <c r="H1739" s="225"/>
      <c r="I1739" s="227"/>
      <c r="J1739" s="228"/>
      <c r="K1739" s="229"/>
      <c r="L1739" s="229"/>
      <c r="M1739" s="229"/>
      <c r="N1739" s="230"/>
      <c r="O1739" s="228"/>
      <c r="P1739" s="230"/>
      <c r="Q1739" s="219"/>
      <c r="R1739" s="198"/>
      <c r="S1739" s="198"/>
      <c r="T1739" s="198"/>
      <c r="U1739" s="198"/>
      <c r="V1739" s="198"/>
      <c r="W1739" s="198"/>
      <c r="X1739" s="198"/>
    </row>
    <row r="1740" ht="12.0" customHeight="1">
      <c r="A1740" s="222" t="str">
        <f>IF(COUNTIFS(RC_OUT[BLOCK],RC_IN[BLOCK],RC_OUT[REMARKS],"*CLOSED*")&gt;0,"CLOSED",IF(COUNTIFS(RC_OUT[BLOCK],RC_IN[BLOCK],RC_OUT[WT],"&gt;0")&gt;0,"IN-USE",""))
</f>
        <v/>
      </c>
      <c r="B1740" s="223" t="str">
        <f>IFERROR(__xludf.DUMMYFUNCTION("IFERROR(IF(F1740&lt;&gt;"""",""WHSE ""&amp;LEFT(F1740,1),REGEXEXTRACT(E1740,""-(?:\d{2}-)?([A-Z]+)"")),"""")
"),"")</f>
        <v/>
      </c>
      <c r="C1740" s="224"/>
      <c r="D1740" s="219"/>
      <c r="E1740" s="225"/>
      <c r="F1740" s="225"/>
      <c r="G1740" s="226"/>
      <c r="H1740" s="225"/>
      <c r="I1740" s="227"/>
      <c r="J1740" s="228"/>
      <c r="K1740" s="229"/>
      <c r="L1740" s="229"/>
      <c r="M1740" s="229"/>
      <c r="N1740" s="230"/>
      <c r="O1740" s="228"/>
      <c r="P1740" s="230"/>
      <c r="Q1740" s="219"/>
      <c r="R1740" s="198"/>
      <c r="S1740" s="198"/>
      <c r="T1740" s="198"/>
      <c r="U1740" s="198"/>
      <c r="V1740" s="198"/>
      <c r="W1740" s="198"/>
      <c r="X1740" s="198"/>
    </row>
    <row r="1741" ht="12.0" customHeight="1">
      <c r="A1741" s="222" t="str">
        <f>IF(COUNTIFS(RC_OUT[BLOCK],RC_IN[BLOCK],RC_OUT[REMARKS],"*CLOSED*")&gt;0,"CLOSED",IF(COUNTIFS(RC_OUT[BLOCK],RC_IN[BLOCK],RC_OUT[WT],"&gt;0")&gt;0,"IN-USE",""))
</f>
        <v/>
      </c>
      <c r="B1741" s="223" t="str">
        <f>IFERROR(__xludf.DUMMYFUNCTION("IFERROR(IF(F1741&lt;&gt;"""",""WHSE ""&amp;LEFT(F1741,1),REGEXEXTRACT(E1741,""-(?:\d{2}-)?([A-Z]+)"")),"""")
"),"")</f>
        <v/>
      </c>
      <c r="C1741" s="224"/>
      <c r="D1741" s="219"/>
      <c r="E1741" s="225"/>
      <c r="F1741" s="225"/>
      <c r="G1741" s="226"/>
      <c r="H1741" s="225"/>
      <c r="I1741" s="227"/>
      <c r="J1741" s="228"/>
      <c r="K1741" s="229"/>
      <c r="L1741" s="229"/>
      <c r="M1741" s="229"/>
      <c r="N1741" s="230"/>
      <c r="O1741" s="228"/>
      <c r="P1741" s="230"/>
      <c r="Q1741" s="219"/>
      <c r="R1741" s="198"/>
      <c r="S1741" s="198"/>
      <c r="T1741" s="198"/>
      <c r="U1741" s="198"/>
      <c r="V1741" s="198"/>
      <c r="W1741" s="198"/>
      <c r="X1741" s="198"/>
    </row>
    <row r="1742" ht="12.0" customHeight="1">
      <c r="A1742" s="222" t="str">
        <f>IF(COUNTIFS(RC_OUT[BLOCK],RC_IN[BLOCK],RC_OUT[REMARKS],"*CLOSED*")&gt;0,"CLOSED",IF(COUNTIFS(RC_OUT[BLOCK],RC_IN[BLOCK],RC_OUT[WT],"&gt;0")&gt;0,"IN-USE",""))
</f>
        <v/>
      </c>
      <c r="B1742" s="223" t="str">
        <f>IFERROR(__xludf.DUMMYFUNCTION("IFERROR(IF(F1742&lt;&gt;"""",""WHSE ""&amp;LEFT(F1742,1),REGEXEXTRACT(E1742,""-(?:\d{2}-)?([A-Z]+)"")),"""")
"),"")</f>
        <v/>
      </c>
      <c r="C1742" s="224"/>
      <c r="D1742" s="219"/>
      <c r="E1742" s="225"/>
      <c r="F1742" s="225"/>
      <c r="G1742" s="226"/>
      <c r="H1742" s="225"/>
      <c r="I1742" s="227"/>
      <c r="J1742" s="228"/>
      <c r="K1742" s="229"/>
      <c r="L1742" s="229"/>
      <c r="M1742" s="229"/>
      <c r="N1742" s="230"/>
      <c r="O1742" s="228"/>
      <c r="P1742" s="230"/>
      <c r="Q1742" s="219"/>
      <c r="R1742" s="198"/>
      <c r="S1742" s="198"/>
      <c r="T1742" s="198"/>
      <c r="U1742" s="198"/>
      <c r="V1742" s="198"/>
      <c r="W1742" s="198"/>
      <c r="X1742" s="198"/>
    </row>
    <row r="1743" ht="12.0" customHeight="1">
      <c r="A1743" s="222" t="str">
        <f>IF(COUNTIFS(RC_OUT[BLOCK],RC_IN[BLOCK],RC_OUT[REMARKS],"*CLOSED*")&gt;0,"CLOSED",IF(COUNTIFS(RC_OUT[BLOCK],RC_IN[BLOCK],RC_OUT[WT],"&gt;0")&gt;0,"IN-USE",""))
</f>
        <v/>
      </c>
      <c r="B1743" s="223" t="str">
        <f>IFERROR(__xludf.DUMMYFUNCTION("IFERROR(IF(F1743&lt;&gt;"""",""WHSE ""&amp;LEFT(F1743,1),REGEXEXTRACT(E1743,""-(?:\d{2}-)?([A-Z]+)"")),"""")
"),"")</f>
        <v/>
      </c>
      <c r="C1743" s="224"/>
      <c r="D1743" s="219"/>
      <c r="E1743" s="225"/>
      <c r="F1743" s="225"/>
      <c r="G1743" s="226"/>
      <c r="H1743" s="225"/>
      <c r="I1743" s="227"/>
      <c r="J1743" s="228"/>
      <c r="K1743" s="229"/>
      <c r="L1743" s="229"/>
      <c r="M1743" s="229"/>
      <c r="N1743" s="230"/>
      <c r="O1743" s="228"/>
      <c r="P1743" s="230"/>
      <c r="Q1743" s="219"/>
      <c r="R1743" s="198"/>
      <c r="S1743" s="198"/>
      <c r="T1743" s="198"/>
      <c r="U1743" s="198"/>
      <c r="V1743" s="198"/>
      <c r="W1743" s="198"/>
      <c r="X1743" s="198"/>
    </row>
    <row r="1744" ht="12.0" customHeight="1">
      <c r="A1744" s="222" t="str">
        <f>IF(COUNTIFS(RC_OUT[BLOCK],RC_IN[BLOCK],RC_OUT[REMARKS],"*CLOSED*")&gt;0,"CLOSED",IF(COUNTIFS(RC_OUT[BLOCK],RC_IN[BLOCK],RC_OUT[WT],"&gt;0")&gt;0,"IN-USE",""))
</f>
        <v/>
      </c>
      <c r="B1744" s="223" t="str">
        <f>IFERROR(__xludf.DUMMYFUNCTION("IFERROR(IF(F1744&lt;&gt;"""",""WHSE ""&amp;LEFT(F1744,1),REGEXEXTRACT(E1744,""-(?:\d{2}-)?([A-Z]+)"")),"""")
"),"")</f>
        <v/>
      </c>
      <c r="C1744" s="224"/>
      <c r="D1744" s="219"/>
      <c r="E1744" s="225"/>
      <c r="F1744" s="225"/>
      <c r="G1744" s="226"/>
      <c r="H1744" s="225"/>
      <c r="I1744" s="227"/>
      <c r="J1744" s="228"/>
      <c r="K1744" s="229"/>
      <c r="L1744" s="229"/>
      <c r="M1744" s="229"/>
      <c r="N1744" s="230"/>
      <c r="O1744" s="228"/>
      <c r="P1744" s="230"/>
      <c r="Q1744" s="219"/>
      <c r="R1744" s="198"/>
      <c r="S1744" s="198"/>
      <c r="T1744" s="198"/>
      <c r="U1744" s="198"/>
      <c r="V1744" s="198"/>
      <c r="W1744" s="198"/>
      <c r="X1744" s="198"/>
    </row>
    <row r="1745" ht="12.0" customHeight="1">
      <c r="A1745" s="222" t="str">
        <f>IF(COUNTIFS(RC_OUT[BLOCK],RC_IN[BLOCK],RC_OUT[REMARKS],"*CLOSED*")&gt;0,"CLOSED",IF(COUNTIFS(RC_OUT[BLOCK],RC_IN[BLOCK],RC_OUT[WT],"&gt;0")&gt;0,"IN-USE",""))
</f>
        <v/>
      </c>
      <c r="B1745" s="223" t="str">
        <f>IFERROR(__xludf.DUMMYFUNCTION("IFERROR(IF(F1745&lt;&gt;"""",""WHSE ""&amp;LEFT(F1745,1),REGEXEXTRACT(E1745,""-(?:\d{2}-)?([A-Z]+)"")),"""")
"),"")</f>
        <v/>
      </c>
      <c r="C1745" s="224"/>
      <c r="D1745" s="219"/>
      <c r="E1745" s="225"/>
      <c r="F1745" s="225"/>
      <c r="G1745" s="226"/>
      <c r="H1745" s="225"/>
      <c r="I1745" s="227"/>
      <c r="J1745" s="228"/>
      <c r="K1745" s="229"/>
      <c r="L1745" s="229"/>
      <c r="M1745" s="229"/>
      <c r="N1745" s="230"/>
      <c r="O1745" s="228"/>
      <c r="P1745" s="230"/>
      <c r="Q1745" s="219"/>
      <c r="R1745" s="198"/>
      <c r="S1745" s="198"/>
      <c r="T1745" s="198"/>
      <c r="U1745" s="198"/>
      <c r="V1745" s="198"/>
      <c r="W1745" s="198"/>
      <c r="X1745" s="198"/>
    </row>
    <row r="1746" ht="12.0" customHeight="1">
      <c r="A1746" s="222" t="str">
        <f>IF(COUNTIFS(RC_OUT[BLOCK],RC_IN[BLOCK],RC_OUT[REMARKS],"*CLOSED*")&gt;0,"CLOSED",IF(COUNTIFS(RC_OUT[BLOCK],RC_IN[BLOCK],RC_OUT[WT],"&gt;0")&gt;0,"IN-USE",""))
</f>
        <v/>
      </c>
      <c r="B1746" s="223" t="str">
        <f>IFERROR(__xludf.DUMMYFUNCTION("IFERROR(IF(F1746&lt;&gt;"""",""WHSE ""&amp;LEFT(F1746,1),REGEXEXTRACT(E1746,""-(?:\d{2}-)?([A-Z]+)"")),"""")
"),"")</f>
        <v/>
      </c>
      <c r="C1746" s="224"/>
      <c r="D1746" s="219"/>
      <c r="E1746" s="225"/>
      <c r="F1746" s="225"/>
      <c r="G1746" s="226"/>
      <c r="H1746" s="225"/>
      <c r="I1746" s="227"/>
      <c r="J1746" s="228"/>
      <c r="K1746" s="229"/>
      <c r="L1746" s="229"/>
      <c r="M1746" s="229"/>
      <c r="N1746" s="230"/>
      <c r="O1746" s="228"/>
      <c r="P1746" s="230"/>
      <c r="Q1746" s="219"/>
      <c r="R1746" s="198"/>
      <c r="S1746" s="198"/>
      <c r="T1746" s="198"/>
      <c r="U1746" s="198"/>
      <c r="V1746" s="198"/>
      <c r="W1746" s="198"/>
      <c r="X1746" s="198"/>
    </row>
    <row r="1747" ht="12.0" customHeight="1">
      <c r="A1747" s="222" t="str">
        <f>IF(COUNTIFS(RC_OUT[BLOCK],RC_IN[BLOCK],RC_OUT[REMARKS],"*CLOSED*")&gt;0,"CLOSED",IF(COUNTIFS(RC_OUT[BLOCK],RC_IN[BLOCK],RC_OUT[WT],"&gt;0")&gt;0,"IN-USE",""))
</f>
        <v/>
      </c>
      <c r="B1747" s="223" t="str">
        <f>IFERROR(__xludf.DUMMYFUNCTION("IFERROR(IF(F1747&lt;&gt;"""",""WHSE ""&amp;LEFT(F1747,1),REGEXEXTRACT(E1747,""-(?:\d{2}-)?([A-Z]+)"")),"""")
"),"")</f>
        <v/>
      </c>
      <c r="C1747" s="224"/>
      <c r="D1747" s="219"/>
      <c r="E1747" s="225"/>
      <c r="F1747" s="225"/>
      <c r="G1747" s="226"/>
      <c r="H1747" s="225"/>
      <c r="I1747" s="227"/>
      <c r="J1747" s="228"/>
      <c r="K1747" s="229"/>
      <c r="L1747" s="229"/>
      <c r="M1747" s="229"/>
      <c r="N1747" s="230"/>
      <c r="O1747" s="228"/>
      <c r="P1747" s="230"/>
      <c r="Q1747" s="219"/>
      <c r="R1747" s="198"/>
      <c r="S1747" s="198"/>
      <c r="T1747" s="198"/>
      <c r="U1747" s="198"/>
      <c r="V1747" s="198"/>
      <c r="W1747" s="198"/>
      <c r="X1747" s="198"/>
    </row>
    <row r="1748" ht="12.0" customHeight="1">
      <c r="A1748" s="222" t="str">
        <f>IF(COUNTIFS(RC_OUT[BLOCK],RC_IN[BLOCK],RC_OUT[REMARKS],"*CLOSED*")&gt;0,"CLOSED",IF(COUNTIFS(RC_OUT[BLOCK],RC_IN[BLOCK],RC_OUT[WT],"&gt;0")&gt;0,"IN-USE",""))
</f>
        <v/>
      </c>
      <c r="B1748" s="223" t="str">
        <f>IFERROR(__xludf.DUMMYFUNCTION("IFERROR(IF(F1748&lt;&gt;"""",""WHSE ""&amp;LEFT(F1748,1),REGEXEXTRACT(E1748,""-(?:\d{2}-)?([A-Z]+)"")),"""")
"),"")</f>
        <v/>
      </c>
      <c r="C1748" s="224"/>
      <c r="D1748" s="219"/>
      <c r="E1748" s="225"/>
      <c r="F1748" s="225"/>
      <c r="G1748" s="226"/>
      <c r="H1748" s="225"/>
      <c r="I1748" s="227"/>
      <c r="J1748" s="228"/>
      <c r="K1748" s="229"/>
      <c r="L1748" s="229"/>
      <c r="M1748" s="229"/>
      <c r="N1748" s="230"/>
      <c r="O1748" s="228"/>
      <c r="P1748" s="230"/>
      <c r="Q1748" s="219"/>
      <c r="R1748" s="198"/>
      <c r="S1748" s="198"/>
      <c r="T1748" s="198"/>
      <c r="U1748" s="198"/>
      <c r="V1748" s="198"/>
      <c r="W1748" s="198"/>
      <c r="X1748" s="198"/>
    </row>
    <row r="1749" ht="12.0" customHeight="1">
      <c r="A1749" s="222" t="str">
        <f>IF(COUNTIFS(RC_OUT[BLOCK],RC_IN[BLOCK],RC_OUT[REMARKS],"*CLOSED*")&gt;0,"CLOSED",IF(COUNTIFS(RC_OUT[BLOCK],RC_IN[BLOCK],RC_OUT[WT],"&gt;0")&gt;0,"IN-USE",""))
</f>
        <v/>
      </c>
      <c r="B1749" s="223" t="str">
        <f>IFERROR(__xludf.DUMMYFUNCTION("IFERROR(IF(F1749&lt;&gt;"""",""WHSE ""&amp;LEFT(F1749,1),REGEXEXTRACT(E1749,""-(?:\d{2}-)?([A-Z]+)"")),"""")
"),"")</f>
        <v/>
      </c>
      <c r="C1749" s="224"/>
      <c r="D1749" s="219"/>
      <c r="E1749" s="225"/>
      <c r="F1749" s="225"/>
      <c r="G1749" s="226"/>
      <c r="H1749" s="225"/>
      <c r="I1749" s="227"/>
      <c r="J1749" s="228"/>
      <c r="K1749" s="229"/>
      <c r="L1749" s="229"/>
      <c r="M1749" s="229"/>
      <c r="N1749" s="230"/>
      <c r="O1749" s="228"/>
      <c r="P1749" s="230"/>
      <c r="Q1749" s="219"/>
      <c r="R1749" s="198"/>
      <c r="S1749" s="198"/>
      <c r="T1749" s="198"/>
      <c r="U1749" s="198"/>
      <c r="V1749" s="198"/>
      <c r="W1749" s="198"/>
      <c r="X1749" s="198"/>
    </row>
    <row r="1750" ht="12.0" customHeight="1">
      <c r="A1750" s="222" t="str">
        <f>IF(COUNTIFS(RC_OUT[BLOCK],RC_IN[BLOCK],RC_OUT[REMARKS],"*CLOSED*")&gt;0,"CLOSED",IF(COUNTIFS(RC_OUT[BLOCK],RC_IN[BLOCK],RC_OUT[WT],"&gt;0")&gt;0,"IN-USE",""))
</f>
        <v/>
      </c>
      <c r="B1750" s="223" t="str">
        <f>IFERROR(__xludf.DUMMYFUNCTION("IFERROR(IF(F1750&lt;&gt;"""",""WHSE ""&amp;LEFT(F1750,1),REGEXEXTRACT(E1750,""-(?:\d{2}-)?([A-Z]+)"")),"""")
"),"")</f>
        <v/>
      </c>
      <c r="C1750" s="224"/>
      <c r="D1750" s="219"/>
      <c r="E1750" s="225"/>
      <c r="F1750" s="225"/>
      <c r="G1750" s="226"/>
      <c r="H1750" s="225"/>
      <c r="I1750" s="227"/>
      <c r="J1750" s="228"/>
      <c r="K1750" s="229"/>
      <c r="L1750" s="229"/>
      <c r="M1750" s="229"/>
      <c r="N1750" s="230"/>
      <c r="O1750" s="228"/>
      <c r="P1750" s="230"/>
      <c r="Q1750" s="219"/>
      <c r="R1750" s="198"/>
      <c r="S1750" s="198"/>
      <c r="T1750" s="198"/>
      <c r="U1750" s="198"/>
      <c r="V1750" s="198"/>
      <c r="W1750" s="198"/>
      <c r="X1750" s="198"/>
    </row>
    <row r="1751" ht="12.0" customHeight="1">
      <c r="A1751" s="222" t="str">
        <f>IF(COUNTIFS(RC_OUT[BLOCK],RC_IN[BLOCK],RC_OUT[REMARKS],"*CLOSED*")&gt;0,"CLOSED",IF(COUNTIFS(RC_OUT[BLOCK],RC_IN[BLOCK],RC_OUT[WT],"&gt;0")&gt;0,"IN-USE",""))
</f>
        <v/>
      </c>
      <c r="B1751" s="223" t="str">
        <f>IFERROR(__xludf.DUMMYFUNCTION("IFERROR(IF(F1751&lt;&gt;"""",""WHSE ""&amp;LEFT(F1751,1),REGEXEXTRACT(E1751,""-(?:\d{2}-)?([A-Z]+)"")),"""")
"),"")</f>
        <v/>
      </c>
      <c r="C1751" s="224"/>
      <c r="D1751" s="219"/>
      <c r="E1751" s="225"/>
      <c r="F1751" s="225"/>
      <c r="G1751" s="226"/>
      <c r="H1751" s="225"/>
      <c r="I1751" s="227"/>
      <c r="J1751" s="228"/>
      <c r="K1751" s="229"/>
      <c r="L1751" s="229"/>
      <c r="M1751" s="229"/>
      <c r="N1751" s="230"/>
      <c r="O1751" s="228"/>
      <c r="P1751" s="230"/>
      <c r="Q1751" s="219"/>
      <c r="R1751" s="198"/>
      <c r="S1751" s="198"/>
      <c r="T1751" s="198"/>
      <c r="U1751" s="198"/>
      <c r="V1751" s="198"/>
      <c r="W1751" s="198"/>
      <c r="X1751" s="198"/>
    </row>
    <row r="1752" ht="12.0" customHeight="1">
      <c r="A1752" s="222" t="str">
        <f>IF(COUNTIFS(RC_OUT[BLOCK],RC_IN[BLOCK],RC_OUT[REMARKS],"*CLOSED*")&gt;0,"CLOSED",IF(COUNTIFS(RC_OUT[BLOCK],RC_IN[BLOCK],RC_OUT[WT],"&gt;0")&gt;0,"IN-USE",""))
</f>
        <v/>
      </c>
      <c r="B1752" s="223" t="str">
        <f>IFERROR(__xludf.DUMMYFUNCTION("IFERROR(IF(F1752&lt;&gt;"""",""WHSE ""&amp;LEFT(F1752,1),REGEXEXTRACT(E1752,""-(?:\d{2}-)?([A-Z]+)"")),"""")
"),"")</f>
        <v/>
      </c>
      <c r="C1752" s="224"/>
      <c r="D1752" s="219"/>
      <c r="E1752" s="225"/>
      <c r="F1752" s="225"/>
      <c r="G1752" s="226"/>
      <c r="H1752" s="225"/>
      <c r="I1752" s="227"/>
      <c r="J1752" s="228"/>
      <c r="K1752" s="229"/>
      <c r="L1752" s="229"/>
      <c r="M1752" s="229"/>
      <c r="N1752" s="230"/>
      <c r="O1752" s="228"/>
      <c r="P1752" s="230"/>
      <c r="Q1752" s="219"/>
      <c r="R1752" s="198"/>
      <c r="S1752" s="198"/>
      <c r="T1752" s="198"/>
      <c r="U1752" s="198"/>
      <c r="V1752" s="198"/>
      <c r="W1752" s="198"/>
      <c r="X1752" s="198"/>
    </row>
    <row r="1753" ht="12.0" customHeight="1">
      <c r="A1753" s="222" t="str">
        <f>IF(COUNTIFS(RC_OUT[BLOCK],RC_IN[BLOCK],RC_OUT[REMARKS],"*CLOSED*")&gt;0,"CLOSED",IF(COUNTIFS(RC_OUT[BLOCK],RC_IN[BLOCK],RC_OUT[WT],"&gt;0")&gt;0,"IN-USE",""))
</f>
        <v/>
      </c>
      <c r="B1753" s="223" t="str">
        <f>IFERROR(__xludf.DUMMYFUNCTION("IFERROR(IF(F1753&lt;&gt;"""",""WHSE ""&amp;LEFT(F1753,1),REGEXEXTRACT(E1753,""-(?:\d{2}-)?([A-Z]+)"")),"""")
"),"")</f>
        <v/>
      </c>
      <c r="C1753" s="224"/>
      <c r="D1753" s="219"/>
      <c r="E1753" s="225"/>
      <c r="F1753" s="225"/>
      <c r="G1753" s="226"/>
      <c r="H1753" s="225"/>
      <c r="I1753" s="227"/>
      <c r="J1753" s="228"/>
      <c r="K1753" s="229"/>
      <c r="L1753" s="229"/>
      <c r="M1753" s="229"/>
      <c r="N1753" s="230"/>
      <c r="O1753" s="228"/>
      <c r="P1753" s="230"/>
      <c r="Q1753" s="219"/>
      <c r="R1753" s="198"/>
      <c r="S1753" s="198"/>
      <c r="T1753" s="198"/>
      <c r="U1753" s="198"/>
      <c r="V1753" s="198"/>
      <c r="W1753" s="198"/>
      <c r="X1753" s="198"/>
    </row>
    <row r="1754" ht="12.0" customHeight="1">
      <c r="A1754" s="222" t="str">
        <f>IF(COUNTIFS(RC_OUT[BLOCK],RC_IN[BLOCK],RC_OUT[REMARKS],"*CLOSED*")&gt;0,"CLOSED",IF(COUNTIFS(RC_OUT[BLOCK],RC_IN[BLOCK],RC_OUT[WT],"&gt;0")&gt;0,"IN-USE",""))
</f>
        <v/>
      </c>
      <c r="B1754" s="223" t="str">
        <f>IFERROR(__xludf.DUMMYFUNCTION("IFERROR(IF(F1754&lt;&gt;"""",""WHSE ""&amp;LEFT(F1754,1),REGEXEXTRACT(E1754,""-(?:\d{2}-)?([A-Z]+)"")),"""")
"),"")</f>
        <v/>
      </c>
      <c r="C1754" s="224"/>
      <c r="D1754" s="219"/>
      <c r="E1754" s="225"/>
      <c r="F1754" s="225"/>
      <c r="G1754" s="226"/>
      <c r="H1754" s="225"/>
      <c r="I1754" s="227"/>
      <c r="J1754" s="228"/>
      <c r="K1754" s="229"/>
      <c r="L1754" s="229"/>
      <c r="M1754" s="229"/>
      <c r="N1754" s="230"/>
      <c r="O1754" s="228"/>
      <c r="P1754" s="230"/>
      <c r="Q1754" s="219"/>
      <c r="R1754" s="198"/>
      <c r="S1754" s="198"/>
      <c r="T1754" s="198"/>
      <c r="U1754" s="198"/>
      <c r="V1754" s="198"/>
      <c r="W1754" s="198"/>
      <c r="X1754" s="198"/>
    </row>
    <row r="1755" ht="12.0" customHeight="1">
      <c r="A1755" s="222" t="str">
        <f>IF(COUNTIFS(RC_OUT[BLOCK],RC_IN[BLOCK],RC_OUT[REMARKS],"*CLOSED*")&gt;0,"CLOSED",IF(COUNTIFS(RC_OUT[BLOCK],RC_IN[BLOCK],RC_OUT[WT],"&gt;0")&gt;0,"IN-USE",""))
</f>
        <v/>
      </c>
      <c r="B1755" s="223" t="str">
        <f>IFERROR(__xludf.DUMMYFUNCTION("IFERROR(IF(F1755&lt;&gt;"""",""WHSE ""&amp;LEFT(F1755,1),REGEXEXTRACT(E1755,""-(?:\d{2}-)?([A-Z]+)"")),"""")
"),"")</f>
        <v/>
      </c>
      <c r="C1755" s="224"/>
      <c r="D1755" s="219"/>
      <c r="E1755" s="225"/>
      <c r="F1755" s="225"/>
      <c r="G1755" s="226"/>
      <c r="H1755" s="225"/>
      <c r="I1755" s="227"/>
      <c r="J1755" s="228"/>
      <c r="K1755" s="229"/>
      <c r="L1755" s="229"/>
      <c r="M1755" s="229"/>
      <c r="N1755" s="230"/>
      <c r="O1755" s="228"/>
      <c r="P1755" s="230"/>
      <c r="Q1755" s="219"/>
      <c r="R1755" s="198"/>
      <c r="S1755" s="198"/>
      <c r="T1755" s="198"/>
      <c r="U1755" s="198"/>
      <c r="V1755" s="198"/>
      <c r="W1755" s="198"/>
      <c r="X1755" s="198"/>
    </row>
    <row r="1756" ht="12.0" customHeight="1">
      <c r="A1756" s="222" t="str">
        <f>IF(COUNTIFS(RC_OUT[BLOCK],RC_IN[BLOCK],RC_OUT[REMARKS],"*CLOSED*")&gt;0,"CLOSED",IF(COUNTIFS(RC_OUT[BLOCK],RC_IN[BLOCK],RC_OUT[WT],"&gt;0")&gt;0,"IN-USE",""))
</f>
        <v/>
      </c>
      <c r="B1756" s="223" t="str">
        <f>IFERROR(__xludf.DUMMYFUNCTION("IFERROR(IF(F1756&lt;&gt;"""",""WHSE ""&amp;LEFT(F1756,1),REGEXEXTRACT(E1756,""-(?:\d{2}-)?([A-Z]+)"")),"""")
"),"")</f>
        <v/>
      </c>
      <c r="C1756" s="224"/>
      <c r="D1756" s="219"/>
      <c r="E1756" s="225"/>
      <c r="F1756" s="225"/>
      <c r="G1756" s="226"/>
      <c r="H1756" s="225"/>
      <c r="I1756" s="227"/>
      <c r="J1756" s="228"/>
      <c r="K1756" s="229"/>
      <c r="L1756" s="229"/>
      <c r="M1756" s="229"/>
      <c r="N1756" s="230"/>
      <c r="O1756" s="228"/>
      <c r="P1756" s="230"/>
      <c r="Q1756" s="219"/>
      <c r="R1756" s="198"/>
      <c r="S1756" s="198"/>
      <c r="T1756" s="198"/>
      <c r="U1756" s="198"/>
      <c r="V1756" s="198"/>
      <c r="W1756" s="198"/>
      <c r="X1756" s="198"/>
    </row>
    <row r="1757" ht="12.0" customHeight="1">
      <c r="A1757" s="222" t="str">
        <f>IF(COUNTIFS(RC_OUT[BLOCK],RC_IN[BLOCK],RC_OUT[REMARKS],"*CLOSED*")&gt;0,"CLOSED",IF(COUNTIFS(RC_OUT[BLOCK],RC_IN[BLOCK],RC_OUT[WT],"&gt;0")&gt;0,"IN-USE",""))
</f>
        <v/>
      </c>
      <c r="B1757" s="223" t="str">
        <f>IFERROR(__xludf.DUMMYFUNCTION("IFERROR(IF(F1757&lt;&gt;"""",""WHSE ""&amp;LEFT(F1757,1),REGEXEXTRACT(E1757,""-(?:\d{2}-)?([A-Z]+)"")),"""")
"),"")</f>
        <v/>
      </c>
      <c r="C1757" s="224"/>
      <c r="D1757" s="219"/>
      <c r="E1757" s="225"/>
      <c r="F1757" s="225"/>
      <c r="G1757" s="226"/>
      <c r="H1757" s="225"/>
      <c r="I1757" s="227"/>
      <c r="J1757" s="228"/>
      <c r="K1757" s="229"/>
      <c r="L1757" s="229"/>
      <c r="M1757" s="229"/>
      <c r="N1757" s="230"/>
      <c r="O1757" s="228"/>
      <c r="P1757" s="230"/>
      <c r="Q1757" s="219"/>
      <c r="R1757" s="198"/>
      <c r="S1757" s="198"/>
      <c r="T1757" s="198"/>
      <c r="U1757" s="198"/>
      <c r="V1757" s="198"/>
      <c r="W1757" s="198"/>
      <c r="X1757" s="198"/>
    </row>
    <row r="1758" ht="12.0" customHeight="1">
      <c r="A1758" s="222" t="str">
        <f>IF(COUNTIFS(RC_OUT[BLOCK],RC_IN[BLOCK],RC_OUT[REMARKS],"*CLOSED*")&gt;0,"CLOSED",IF(COUNTIFS(RC_OUT[BLOCK],RC_IN[BLOCK],RC_OUT[WT],"&gt;0")&gt;0,"IN-USE",""))
</f>
        <v/>
      </c>
      <c r="B1758" s="223" t="str">
        <f>IFERROR(__xludf.DUMMYFUNCTION("IFERROR(IF(F1758&lt;&gt;"""",""WHSE ""&amp;LEFT(F1758,1),REGEXEXTRACT(E1758,""-(?:\d{2}-)?([A-Z]+)"")),"""")
"),"")</f>
        <v/>
      </c>
      <c r="C1758" s="224"/>
      <c r="D1758" s="219"/>
      <c r="E1758" s="225"/>
      <c r="F1758" s="225"/>
      <c r="G1758" s="226"/>
      <c r="H1758" s="225"/>
      <c r="I1758" s="227"/>
      <c r="J1758" s="228"/>
      <c r="K1758" s="229"/>
      <c r="L1758" s="229"/>
      <c r="M1758" s="229"/>
      <c r="N1758" s="230"/>
      <c r="O1758" s="228"/>
      <c r="P1758" s="230"/>
      <c r="Q1758" s="219"/>
      <c r="R1758" s="198"/>
      <c r="S1758" s="198"/>
      <c r="T1758" s="198"/>
      <c r="U1758" s="198"/>
      <c r="V1758" s="198"/>
      <c r="W1758" s="198"/>
      <c r="X1758" s="198"/>
    </row>
    <row r="1759" ht="12.0" customHeight="1">
      <c r="A1759" s="222" t="str">
        <f>IF(COUNTIFS(RC_OUT[BLOCK],RC_IN[BLOCK],RC_OUT[REMARKS],"*CLOSED*")&gt;0,"CLOSED",IF(COUNTIFS(RC_OUT[BLOCK],RC_IN[BLOCK],RC_OUT[WT],"&gt;0")&gt;0,"IN-USE",""))
</f>
        <v/>
      </c>
      <c r="B1759" s="223" t="str">
        <f>IFERROR(__xludf.DUMMYFUNCTION("IFERROR(IF(F1759&lt;&gt;"""",""WHSE ""&amp;LEFT(F1759,1),REGEXEXTRACT(E1759,""-(?:\d{2}-)?([A-Z]+)"")),"""")
"),"")</f>
        <v/>
      </c>
      <c r="C1759" s="224"/>
      <c r="D1759" s="219"/>
      <c r="E1759" s="225"/>
      <c r="F1759" s="225"/>
      <c r="G1759" s="226"/>
      <c r="H1759" s="225"/>
      <c r="I1759" s="227"/>
      <c r="J1759" s="228"/>
      <c r="K1759" s="229"/>
      <c r="L1759" s="229"/>
      <c r="M1759" s="229"/>
      <c r="N1759" s="230"/>
      <c r="O1759" s="228"/>
      <c r="P1759" s="230"/>
      <c r="Q1759" s="219"/>
      <c r="R1759" s="198"/>
      <c r="S1759" s="198"/>
      <c r="T1759" s="198"/>
      <c r="U1759" s="198"/>
      <c r="V1759" s="198"/>
      <c r="W1759" s="198"/>
      <c r="X1759" s="198"/>
    </row>
    <row r="1760" ht="12.0" customHeight="1">
      <c r="A1760" s="222" t="str">
        <f>IF(COUNTIFS(RC_OUT[BLOCK],RC_IN[BLOCK],RC_OUT[REMARKS],"*CLOSED*")&gt;0,"CLOSED",IF(COUNTIFS(RC_OUT[BLOCK],RC_IN[BLOCK],RC_OUT[WT],"&gt;0")&gt;0,"IN-USE",""))
</f>
        <v/>
      </c>
      <c r="B1760" s="223" t="str">
        <f>IFERROR(__xludf.DUMMYFUNCTION("IFERROR(IF(F1760&lt;&gt;"""",""WHSE ""&amp;LEFT(F1760,1),REGEXEXTRACT(E1760,""-(?:\d{2}-)?([A-Z]+)"")),"""")
"),"")</f>
        <v/>
      </c>
      <c r="C1760" s="224"/>
      <c r="D1760" s="219"/>
      <c r="E1760" s="225"/>
      <c r="F1760" s="225"/>
      <c r="G1760" s="226"/>
      <c r="H1760" s="225"/>
      <c r="I1760" s="227"/>
      <c r="J1760" s="228"/>
      <c r="K1760" s="229"/>
      <c r="L1760" s="229"/>
      <c r="M1760" s="229"/>
      <c r="N1760" s="230"/>
      <c r="O1760" s="228"/>
      <c r="P1760" s="230"/>
      <c r="Q1760" s="219"/>
      <c r="R1760" s="198"/>
      <c r="S1760" s="198"/>
      <c r="T1760" s="198"/>
      <c r="U1760" s="198"/>
      <c r="V1760" s="198"/>
      <c r="W1760" s="198"/>
      <c r="X1760" s="198"/>
    </row>
    <row r="1761" ht="12.0" customHeight="1">
      <c r="A1761" s="222" t="str">
        <f>IF(COUNTIFS(RC_OUT[BLOCK],RC_IN[BLOCK],RC_OUT[REMARKS],"*CLOSED*")&gt;0,"CLOSED",IF(COUNTIFS(RC_OUT[BLOCK],RC_IN[BLOCK],RC_OUT[WT],"&gt;0")&gt;0,"IN-USE",""))
</f>
        <v/>
      </c>
      <c r="B1761" s="223" t="str">
        <f>IFERROR(__xludf.DUMMYFUNCTION("IFERROR(IF(F1761&lt;&gt;"""",""WHSE ""&amp;LEFT(F1761,1),REGEXEXTRACT(E1761,""-(?:\d{2}-)?([A-Z]+)"")),"""")
"),"")</f>
        <v/>
      </c>
      <c r="C1761" s="224"/>
      <c r="D1761" s="219"/>
      <c r="E1761" s="225"/>
      <c r="F1761" s="225"/>
      <c r="G1761" s="226"/>
      <c r="H1761" s="225"/>
      <c r="I1761" s="227"/>
      <c r="J1761" s="228"/>
      <c r="K1761" s="229"/>
      <c r="L1761" s="229"/>
      <c r="M1761" s="229"/>
      <c r="N1761" s="230"/>
      <c r="O1761" s="228"/>
      <c r="P1761" s="230"/>
      <c r="Q1761" s="219"/>
      <c r="R1761" s="198"/>
      <c r="S1761" s="198"/>
      <c r="T1761" s="198"/>
      <c r="U1761" s="198"/>
      <c r="V1761" s="198"/>
      <c r="W1761" s="198"/>
      <c r="X1761" s="198"/>
    </row>
    <row r="1762" ht="12.0" customHeight="1">
      <c r="A1762" s="222" t="str">
        <f>IF(COUNTIFS(RC_OUT[BLOCK],RC_IN[BLOCK],RC_OUT[REMARKS],"*CLOSED*")&gt;0,"CLOSED",IF(COUNTIFS(RC_OUT[BLOCK],RC_IN[BLOCK],RC_OUT[WT],"&gt;0")&gt;0,"IN-USE",""))
</f>
        <v/>
      </c>
      <c r="B1762" s="223" t="str">
        <f>IFERROR(__xludf.DUMMYFUNCTION("IFERROR(IF(F1762&lt;&gt;"""",""WHSE ""&amp;LEFT(F1762,1),REGEXEXTRACT(E1762,""-(?:\d{2}-)?([A-Z]+)"")),"""")
"),"")</f>
        <v/>
      </c>
      <c r="C1762" s="224"/>
      <c r="D1762" s="219"/>
      <c r="E1762" s="225"/>
      <c r="F1762" s="225"/>
      <c r="G1762" s="226"/>
      <c r="H1762" s="225"/>
      <c r="I1762" s="227"/>
      <c r="J1762" s="228"/>
      <c r="K1762" s="229"/>
      <c r="L1762" s="229"/>
      <c r="M1762" s="229"/>
      <c r="N1762" s="230"/>
      <c r="O1762" s="228"/>
      <c r="P1762" s="230"/>
      <c r="Q1762" s="219"/>
      <c r="R1762" s="198"/>
      <c r="S1762" s="198"/>
      <c r="T1762" s="198"/>
      <c r="U1762" s="198"/>
      <c r="V1762" s="198"/>
      <c r="W1762" s="198"/>
      <c r="X1762" s="198"/>
    </row>
    <row r="1763" ht="12.0" customHeight="1">
      <c r="A1763" s="222" t="str">
        <f>IF(COUNTIFS(RC_OUT[BLOCK],RC_IN[BLOCK],RC_OUT[REMARKS],"*CLOSED*")&gt;0,"CLOSED",IF(COUNTIFS(RC_OUT[BLOCK],RC_IN[BLOCK],RC_OUT[WT],"&gt;0")&gt;0,"IN-USE",""))
</f>
        <v/>
      </c>
      <c r="B1763" s="223" t="str">
        <f>IFERROR(__xludf.DUMMYFUNCTION("IFERROR(IF(F1763&lt;&gt;"""",""WHSE ""&amp;LEFT(F1763,1),REGEXEXTRACT(E1763,""-(?:\d{2}-)?([A-Z]+)"")),"""")
"),"")</f>
        <v/>
      </c>
      <c r="C1763" s="224"/>
      <c r="D1763" s="219"/>
      <c r="E1763" s="225"/>
      <c r="F1763" s="225"/>
      <c r="G1763" s="226"/>
      <c r="H1763" s="225"/>
      <c r="I1763" s="227"/>
      <c r="J1763" s="228"/>
      <c r="K1763" s="229"/>
      <c r="L1763" s="229"/>
      <c r="M1763" s="229"/>
      <c r="N1763" s="230"/>
      <c r="O1763" s="228"/>
      <c r="P1763" s="230"/>
      <c r="Q1763" s="219"/>
      <c r="R1763" s="198"/>
      <c r="S1763" s="198"/>
      <c r="T1763" s="198"/>
      <c r="U1763" s="198"/>
      <c r="V1763" s="198"/>
      <c r="W1763" s="198"/>
      <c r="X1763" s="198"/>
    </row>
    <row r="1764" ht="12.0" customHeight="1">
      <c r="A1764" s="222" t="str">
        <f>IF(COUNTIFS(RC_OUT[BLOCK],RC_IN[BLOCK],RC_OUT[REMARKS],"*CLOSED*")&gt;0,"CLOSED",IF(COUNTIFS(RC_OUT[BLOCK],RC_IN[BLOCK],RC_OUT[WT],"&gt;0")&gt;0,"IN-USE",""))
</f>
        <v/>
      </c>
      <c r="B1764" s="223" t="str">
        <f>IFERROR(__xludf.DUMMYFUNCTION("IFERROR(IF(F1764&lt;&gt;"""",""WHSE ""&amp;LEFT(F1764,1),REGEXEXTRACT(E1764,""-(?:\d{2}-)?([A-Z]+)"")),"""")
"),"")</f>
        <v/>
      </c>
      <c r="C1764" s="224"/>
      <c r="D1764" s="219"/>
      <c r="E1764" s="225"/>
      <c r="F1764" s="225"/>
      <c r="G1764" s="226"/>
      <c r="H1764" s="225"/>
      <c r="I1764" s="227"/>
      <c r="J1764" s="228"/>
      <c r="K1764" s="229"/>
      <c r="L1764" s="229"/>
      <c r="M1764" s="229"/>
      <c r="N1764" s="230"/>
      <c r="O1764" s="228"/>
      <c r="P1764" s="230"/>
      <c r="Q1764" s="219"/>
      <c r="R1764" s="198"/>
      <c r="S1764" s="198"/>
      <c r="T1764" s="198"/>
      <c r="U1764" s="198"/>
      <c r="V1764" s="198"/>
      <c r="W1764" s="198"/>
      <c r="X1764" s="198"/>
    </row>
    <row r="1765" ht="12.0" customHeight="1">
      <c r="A1765" s="222" t="str">
        <f>IF(COUNTIFS(RC_OUT[BLOCK],RC_IN[BLOCK],RC_OUT[REMARKS],"*CLOSED*")&gt;0,"CLOSED",IF(COUNTIFS(RC_OUT[BLOCK],RC_IN[BLOCK],RC_OUT[WT],"&gt;0")&gt;0,"IN-USE",""))
</f>
        <v/>
      </c>
      <c r="B1765" s="223" t="str">
        <f>IFERROR(__xludf.DUMMYFUNCTION("IFERROR(IF(F1765&lt;&gt;"""",""WHSE ""&amp;LEFT(F1765,1),REGEXEXTRACT(E1765,""-(?:\d{2}-)?([A-Z]+)"")),"""")
"),"")</f>
        <v/>
      </c>
      <c r="C1765" s="224"/>
      <c r="D1765" s="219"/>
      <c r="E1765" s="225"/>
      <c r="F1765" s="225"/>
      <c r="G1765" s="226"/>
      <c r="H1765" s="225"/>
      <c r="I1765" s="227"/>
      <c r="J1765" s="228"/>
      <c r="K1765" s="229"/>
      <c r="L1765" s="229"/>
      <c r="M1765" s="229"/>
      <c r="N1765" s="230"/>
      <c r="O1765" s="228"/>
      <c r="P1765" s="230"/>
      <c r="Q1765" s="219"/>
      <c r="R1765" s="198"/>
      <c r="S1765" s="198"/>
      <c r="T1765" s="198"/>
      <c r="U1765" s="198"/>
      <c r="V1765" s="198"/>
      <c r="W1765" s="198"/>
      <c r="X1765" s="198"/>
    </row>
    <row r="1766" ht="12.0" customHeight="1">
      <c r="A1766" s="222" t="str">
        <f>IF(COUNTIFS(RC_OUT[BLOCK],RC_IN[BLOCK],RC_OUT[REMARKS],"*CLOSED*")&gt;0,"CLOSED",IF(COUNTIFS(RC_OUT[BLOCK],RC_IN[BLOCK],RC_OUT[WT],"&gt;0")&gt;0,"IN-USE",""))
</f>
        <v/>
      </c>
      <c r="B1766" s="223" t="str">
        <f>IFERROR(__xludf.DUMMYFUNCTION("IFERROR(IF(F1766&lt;&gt;"""",""WHSE ""&amp;LEFT(F1766,1),REGEXEXTRACT(E1766,""-(?:\d{2}-)?([A-Z]+)"")),"""")
"),"")</f>
        <v/>
      </c>
      <c r="C1766" s="224"/>
      <c r="D1766" s="219"/>
      <c r="E1766" s="225"/>
      <c r="F1766" s="225"/>
      <c r="G1766" s="226"/>
      <c r="H1766" s="225"/>
      <c r="I1766" s="227"/>
      <c r="J1766" s="228"/>
      <c r="K1766" s="229"/>
      <c r="L1766" s="229"/>
      <c r="M1766" s="229"/>
      <c r="N1766" s="230"/>
      <c r="O1766" s="228"/>
      <c r="P1766" s="230"/>
      <c r="Q1766" s="219"/>
      <c r="R1766" s="198"/>
      <c r="S1766" s="198"/>
      <c r="T1766" s="198"/>
      <c r="U1766" s="198"/>
      <c r="V1766" s="198"/>
      <c r="W1766" s="198"/>
      <c r="X1766" s="198"/>
    </row>
    <row r="1767" ht="12.0" customHeight="1">
      <c r="A1767" s="222" t="str">
        <f>IF(COUNTIFS(RC_OUT[BLOCK],RC_IN[BLOCK],RC_OUT[REMARKS],"*CLOSED*")&gt;0,"CLOSED",IF(COUNTIFS(RC_OUT[BLOCK],RC_IN[BLOCK],RC_OUT[WT],"&gt;0")&gt;0,"IN-USE",""))
</f>
        <v/>
      </c>
      <c r="B1767" s="223" t="str">
        <f>IFERROR(__xludf.DUMMYFUNCTION("IFERROR(IF(F1767&lt;&gt;"""",""WHSE ""&amp;LEFT(F1767,1),REGEXEXTRACT(E1767,""-(?:\d{2}-)?([A-Z]+)"")),"""")
"),"")</f>
        <v/>
      </c>
      <c r="C1767" s="224"/>
      <c r="D1767" s="219"/>
      <c r="E1767" s="225"/>
      <c r="F1767" s="225"/>
      <c r="G1767" s="226"/>
      <c r="H1767" s="225"/>
      <c r="I1767" s="227"/>
      <c r="J1767" s="228"/>
      <c r="K1767" s="229"/>
      <c r="L1767" s="229"/>
      <c r="M1767" s="229"/>
      <c r="N1767" s="230"/>
      <c r="O1767" s="228"/>
      <c r="P1767" s="230"/>
      <c r="Q1767" s="219"/>
      <c r="R1767" s="198"/>
      <c r="S1767" s="198"/>
      <c r="T1767" s="198"/>
      <c r="U1767" s="198"/>
      <c r="V1767" s="198"/>
      <c r="W1767" s="198"/>
      <c r="X1767" s="198"/>
    </row>
    <row r="1768" ht="12.0" customHeight="1">
      <c r="A1768" s="222" t="str">
        <f>IF(COUNTIFS(RC_OUT[BLOCK],RC_IN[BLOCK],RC_OUT[REMARKS],"*CLOSED*")&gt;0,"CLOSED",IF(COUNTIFS(RC_OUT[BLOCK],RC_IN[BLOCK],RC_OUT[WT],"&gt;0")&gt;0,"IN-USE",""))
</f>
        <v/>
      </c>
      <c r="B1768" s="223" t="str">
        <f>IFERROR(__xludf.DUMMYFUNCTION("IFERROR(IF(F1768&lt;&gt;"""",""WHSE ""&amp;LEFT(F1768,1),REGEXEXTRACT(E1768,""-(?:\d{2}-)?([A-Z]+)"")),"""")
"),"")</f>
        <v/>
      </c>
      <c r="C1768" s="224"/>
      <c r="D1768" s="219"/>
      <c r="E1768" s="225"/>
      <c r="F1768" s="225"/>
      <c r="G1768" s="226"/>
      <c r="H1768" s="225"/>
      <c r="I1768" s="227"/>
      <c r="J1768" s="228"/>
      <c r="K1768" s="229"/>
      <c r="L1768" s="229"/>
      <c r="M1768" s="229"/>
      <c r="N1768" s="230"/>
      <c r="O1768" s="228"/>
      <c r="P1768" s="230"/>
      <c r="Q1768" s="219"/>
      <c r="R1768" s="198"/>
      <c r="S1768" s="198"/>
      <c r="T1768" s="198"/>
      <c r="U1768" s="198"/>
      <c r="V1768" s="198"/>
      <c r="W1768" s="198"/>
      <c r="X1768" s="198"/>
    </row>
    <row r="1769" ht="12.0" customHeight="1">
      <c r="A1769" s="222" t="str">
        <f>IF(COUNTIFS(RC_OUT[BLOCK],RC_IN[BLOCK],RC_OUT[REMARKS],"*CLOSED*")&gt;0,"CLOSED",IF(COUNTIFS(RC_OUT[BLOCK],RC_IN[BLOCK],RC_OUT[WT],"&gt;0")&gt;0,"IN-USE",""))
</f>
        <v/>
      </c>
      <c r="B1769" s="223" t="str">
        <f>IFERROR(__xludf.DUMMYFUNCTION("IFERROR(IF(F1769&lt;&gt;"""",""WHSE ""&amp;LEFT(F1769,1),REGEXEXTRACT(E1769,""-(?:\d{2}-)?([A-Z]+)"")),"""")
"),"")</f>
        <v/>
      </c>
      <c r="C1769" s="224"/>
      <c r="D1769" s="219"/>
      <c r="E1769" s="225"/>
      <c r="F1769" s="225"/>
      <c r="G1769" s="226"/>
      <c r="H1769" s="225"/>
      <c r="I1769" s="227"/>
      <c r="J1769" s="228"/>
      <c r="K1769" s="229"/>
      <c r="L1769" s="229"/>
      <c r="M1769" s="229"/>
      <c r="N1769" s="230"/>
      <c r="O1769" s="228"/>
      <c r="P1769" s="230"/>
      <c r="Q1769" s="219"/>
      <c r="R1769" s="198"/>
      <c r="S1769" s="198"/>
      <c r="T1769" s="198"/>
      <c r="U1769" s="198"/>
      <c r="V1769" s="198"/>
      <c r="W1769" s="198"/>
      <c r="X1769" s="198"/>
    </row>
    <row r="1770" ht="12.0" customHeight="1">
      <c r="A1770" s="222" t="str">
        <f>IF(COUNTIFS(RC_OUT[BLOCK],RC_IN[BLOCK],RC_OUT[REMARKS],"*CLOSED*")&gt;0,"CLOSED",IF(COUNTIFS(RC_OUT[BLOCK],RC_IN[BLOCK],RC_OUT[WT],"&gt;0")&gt;0,"IN-USE",""))
</f>
        <v/>
      </c>
      <c r="B1770" s="223" t="str">
        <f>IFERROR(__xludf.DUMMYFUNCTION("IFERROR(IF(F1770&lt;&gt;"""",""WHSE ""&amp;LEFT(F1770,1),REGEXEXTRACT(E1770,""-(?:\d{2}-)?([A-Z]+)"")),"""")
"),"")</f>
        <v/>
      </c>
      <c r="C1770" s="224"/>
      <c r="D1770" s="219"/>
      <c r="E1770" s="225"/>
      <c r="F1770" s="225"/>
      <c r="G1770" s="226"/>
      <c r="H1770" s="225"/>
      <c r="I1770" s="227"/>
      <c r="J1770" s="228"/>
      <c r="K1770" s="229"/>
      <c r="L1770" s="229"/>
      <c r="M1770" s="229"/>
      <c r="N1770" s="230"/>
      <c r="O1770" s="228"/>
      <c r="P1770" s="230"/>
      <c r="Q1770" s="219"/>
      <c r="R1770" s="198"/>
      <c r="S1770" s="198"/>
      <c r="T1770" s="198"/>
      <c r="U1770" s="198"/>
      <c r="V1770" s="198"/>
      <c r="W1770" s="198"/>
      <c r="X1770" s="198"/>
    </row>
    <row r="1771" ht="12.0" customHeight="1">
      <c r="A1771" s="222" t="str">
        <f>IF(COUNTIFS(RC_OUT[BLOCK],RC_IN[BLOCK],RC_OUT[REMARKS],"*CLOSED*")&gt;0,"CLOSED",IF(COUNTIFS(RC_OUT[BLOCK],RC_IN[BLOCK],RC_OUT[WT],"&gt;0")&gt;0,"IN-USE",""))
</f>
        <v/>
      </c>
      <c r="B1771" s="223" t="str">
        <f>IFERROR(__xludf.DUMMYFUNCTION("IFERROR(IF(F1771&lt;&gt;"""",""WHSE ""&amp;LEFT(F1771,1),REGEXEXTRACT(E1771,""-(?:\d{2}-)?([A-Z]+)"")),"""")
"),"")</f>
        <v/>
      </c>
      <c r="C1771" s="224"/>
      <c r="D1771" s="219"/>
      <c r="E1771" s="225"/>
      <c r="F1771" s="225"/>
      <c r="G1771" s="226"/>
      <c r="H1771" s="225"/>
      <c r="I1771" s="227"/>
      <c r="J1771" s="228"/>
      <c r="K1771" s="229"/>
      <c r="L1771" s="229"/>
      <c r="M1771" s="229"/>
      <c r="N1771" s="230"/>
      <c r="O1771" s="228"/>
      <c r="P1771" s="230"/>
      <c r="Q1771" s="219"/>
      <c r="R1771" s="198"/>
      <c r="S1771" s="198"/>
      <c r="T1771" s="198"/>
      <c r="U1771" s="198"/>
      <c r="V1771" s="198"/>
      <c r="W1771" s="198"/>
      <c r="X1771" s="198"/>
    </row>
    <row r="1772" ht="12.0" customHeight="1">
      <c r="A1772" s="222" t="str">
        <f>IF(COUNTIFS(RC_OUT[BLOCK],RC_IN[BLOCK],RC_OUT[REMARKS],"*CLOSED*")&gt;0,"CLOSED",IF(COUNTIFS(RC_OUT[BLOCK],RC_IN[BLOCK],RC_OUT[WT],"&gt;0")&gt;0,"IN-USE",""))
</f>
        <v/>
      </c>
      <c r="B1772" s="223" t="str">
        <f>IFERROR(__xludf.DUMMYFUNCTION("IFERROR(IF(F1772&lt;&gt;"""",""WHSE ""&amp;LEFT(F1772,1),REGEXEXTRACT(E1772,""-(?:\d{2}-)?([A-Z]+)"")),"""")
"),"")</f>
        <v/>
      </c>
      <c r="C1772" s="224"/>
      <c r="D1772" s="219"/>
      <c r="E1772" s="225"/>
      <c r="F1772" s="225"/>
      <c r="G1772" s="226"/>
      <c r="H1772" s="225"/>
      <c r="I1772" s="227"/>
      <c r="J1772" s="228"/>
      <c r="K1772" s="229"/>
      <c r="L1772" s="229"/>
      <c r="M1772" s="229"/>
      <c r="N1772" s="230"/>
      <c r="O1772" s="228"/>
      <c r="P1772" s="230"/>
      <c r="Q1772" s="219"/>
      <c r="R1772" s="198"/>
      <c r="S1772" s="198"/>
      <c r="T1772" s="198"/>
      <c r="U1772" s="198"/>
      <c r="V1772" s="198"/>
      <c r="W1772" s="198"/>
      <c r="X1772" s="198"/>
    </row>
    <row r="1773" ht="12.0" customHeight="1">
      <c r="A1773" s="222" t="str">
        <f>IF(COUNTIFS(RC_OUT[BLOCK],RC_IN[BLOCK],RC_OUT[REMARKS],"*CLOSED*")&gt;0,"CLOSED",IF(COUNTIFS(RC_OUT[BLOCK],RC_IN[BLOCK],RC_OUT[WT],"&gt;0")&gt;0,"IN-USE",""))
</f>
        <v/>
      </c>
      <c r="B1773" s="223" t="str">
        <f>IFERROR(__xludf.DUMMYFUNCTION("IFERROR(IF(F1773&lt;&gt;"""",""WHSE ""&amp;LEFT(F1773,1),REGEXEXTRACT(E1773,""-(?:\d{2}-)?([A-Z]+)"")),"""")
"),"")</f>
        <v/>
      </c>
      <c r="C1773" s="224"/>
      <c r="D1773" s="219"/>
      <c r="E1773" s="225"/>
      <c r="F1773" s="225"/>
      <c r="G1773" s="226"/>
      <c r="H1773" s="225"/>
      <c r="I1773" s="227"/>
      <c r="J1773" s="228"/>
      <c r="K1773" s="229"/>
      <c r="L1773" s="229"/>
      <c r="M1773" s="229"/>
      <c r="N1773" s="230"/>
      <c r="O1773" s="228"/>
      <c r="P1773" s="230"/>
      <c r="Q1773" s="219"/>
      <c r="R1773" s="198"/>
      <c r="S1773" s="198"/>
      <c r="T1773" s="198"/>
      <c r="U1773" s="198"/>
      <c r="V1773" s="198"/>
      <c r="W1773" s="198"/>
      <c r="X1773" s="198"/>
    </row>
    <row r="1774" ht="12.0" customHeight="1">
      <c r="A1774" s="222" t="str">
        <f>IF(COUNTIFS(RC_OUT[BLOCK],RC_IN[BLOCK],RC_OUT[REMARKS],"*CLOSED*")&gt;0,"CLOSED",IF(COUNTIFS(RC_OUT[BLOCK],RC_IN[BLOCK],RC_OUT[WT],"&gt;0")&gt;0,"IN-USE",""))
</f>
        <v/>
      </c>
      <c r="B1774" s="223" t="str">
        <f>IFERROR(__xludf.DUMMYFUNCTION("IFERROR(IF(F1774&lt;&gt;"""",""WHSE ""&amp;LEFT(F1774,1),REGEXEXTRACT(E1774,""-(?:\d{2}-)?([A-Z]+)"")),"""")
"),"")</f>
        <v/>
      </c>
      <c r="C1774" s="224"/>
      <c r="D1774" s="219"/>
      <c r="E1774" s="225"/>
      <c r="F1774" s="225"/>
      <c r="G1774" s="226"/>
      <c r="H1774" s="225"/>
      <c r="I1774" s="227"/>
      <c r="J1774" s="228"/>
      <c r="K1774" s="229"/>
      <c r="L1774" s="229"/>
      <c r="M1774" s="229"/>
      <c r="N1774" s="230"/>
      <c r="O1774" s="228"/>
      <c r="P1774" s="230"/>
      <c r="Q1774" s="219"/>
      <c r="R1774" s="198"/>
      <c r="S1774" s="198"/>
      <c r="T1774" s="198"/>
      <c r="U1774" s="198"/>
      <c r="V1774" s="198"/>
      <c r="W1774" s="198"/>
      <c r="X1774" s="198"/>
    </row>
    <row r="1775" ht="12.0" customHeight="1">
      <c r="A1775" s="222" t="str">
        <f>IF(COUNTIFS(RC_OUT[BLOCK],RC_IN[BLOCK],RC_OUT[REMARKS],"*CLOSED*")&gt;0,"CLOSED",IF(COUNTIFS(RC_OUT[BLOCK],RC_IN[BLOCK],RC_OUT[WT],"&gt;0")&gt;0,"IN-USE",""))
</f>
        <v/>
      </c>
      <c r="B1775" s="223" t="str">
        <f>IFERROR(__xludf.DUMMYFUNCTION("IFERROR(IF(F1775&lt;&gt;"""",""WHSE ""&amp;LEFT(F1775,1),REGEXEXTRACT(E1775,""-(?:\d{2}-)?([A-Z]+)"")),"""")
"),"")</f>
        <v/>
      </c>
      <c r="C1775" s="224"/>
      <c r="D1775" s="219"/>
      <c r="E1775" s="225"/>
      <c r="F1775" s="225"/>
      <c r="G1775" s="226"/>
      <c r="H1775" s="225"/>
      <c r="I1775" s="227"/>
      <c r="J1775" s="228"/>
      <c r="K1775" s="229"/>
      <c r="L1775" s="229"/>
      <c r="M1775" s="229"/>
      <c r="N1775" s="230"/>
      <c r="O1775" s="228"/>
      <c r="P1775" s="230"/>
      <c r="Q1775" s="219"/>
      <c r="R1775" s="198"/>
      <c r="S1775" s="198"/>
      <c r="T1775" s="198"/>
      <c r="U1775" s="198"/>
      <c r="V1775" s="198"/>
      <c r="W1775" s="198"/>
      <c r="X1775" s="198"/>
    </row>
    <row r="1776" ht="12.0" customHeight="1">
      <c r="A1776" s="222" t="str">
        <f>IF(COUNTIFS(RC_OUT[BLOCK],RC_IN[BLOCK],RC_OUT[REMARKS],"*CLOSED*")&gt;0,"CLOSED",IF(COUNTIFS(RC_OUT[BLOCK],RC_IN[BLOCK],RC_OUT[WT],"&gt;0")&gt;0,"IN-USE",""))
</f>
        <v/>
      </c>
      <c r="B1776" s="223" t="str">
        <f>IFERROR(__xludf.DUMMYFUNCTION("IFERROR(IF(F1776&lt;&gt;"""",""WHSE ""&amp;LEFT(F1776,1),REGEXEXTRACT(E1776,""-(?:\d{2}-)?([A-Z]+)"")),"""")
"),"")</f>
        <v/>
      </c>
      <c r="C1776" s="224"/>
      <c r="D1776" s="219"/>
      <c r="E1776" s="225"/>
      <c r="F1776" s="225"/>
      <c r="G1776" s="226"/>
      <c r="H1776" s="225"/>
      <c r="I1776" s="227"/>
      <c r="J1776" s="228"/>
      <c r="K1776" s="229"/>
      <c r="L1776" s="229"/>
      <c r="M1776" s="229"/>
      <c r="N1776" s="230"/>
      <c r="O1776" s="228"/>
      <c r="P1776" s="230"/>
      <c r="Q1776" s="219"/>
      <c r="R1776" s="198"/>
      <c r="S1776" s="198"/>
      <c r="T1776" s="198"/>
      <c r="U1776" s="198"/>
      <c r="V1776" s="198"/>
      <c r="W1776" s="198"/>
      <c r="X1776" s="198"/>
    </row>
    <row r="1777" ht="12.0" customHeight="1">
      <c r="A1777" s="222" t="str">
        <f>IF(COUNTIFS(RC_OUT[BLOCK],RC_IN[BLOCK],RC_OUT[REMARKS],"*CLOSED*")&gt;0,"CLOSED",IF(COUNTIFS(RC_OUT[BLOCK],RC_IN[BLOCK],RC_OUT[WT],"&gt;0")&gt;0,"IN-USE",""))
</f>
        <v/>
      </c>
      <c r="B1777" s="223" t="str">
        <f>IFERROR(__xludf.DUMMYFUNCTION("IFERROR(IF(F1777&lt;&gt;"""",""WHSE ""&amp;LEFT(F1777,1),REGEXEXTRACT(E1777,""-(?:\d{2}-)?([A-Z]+)"")),"""")
"),"")</f>
        <v/>
      </c>
      <c r="C1777" s="224"/>
      <c r="D1777" s="219"/>
      <c r="E1777" s="225"/>
      <c r="F1777" s="225"/>
      <c r="G1777" s="226"/>
      <c r="H1777" s="225"/>
      <c r="I1777" s="227"/>
      <c r="J1777" s="228"/>
      <c r="K1777" s="229"/>
      <c r="L1777" s="229"/>
      <c r="M1777" s="229"/>
      <c r="N1777" s="230"/>
      <c r="O1777" s="228"/>
      <c r="P1777" s="230"/>
      <c r="Q1777" s="219"/>
      <c r="R1777" s="198"/>
      <c r="S1777" s="198"/>
      <c r="T1777" s="198"/>
      <c r="U1777" s="198"/>
      <c r="V1777" s="198"/>
      <c r="W1777" s="198"/>
      <c r="X1777" s="198"/>
    </row>
    <row r="1778" ht="12.0" customHeight="1">
      <c r="A1778" s="222" t="str">
        <f>IF(COUNTIFS(RC_OUT[BLOCK],RC_IN[BLOCK],RC_OUT[REMARKS],"*CLOSED*")&gt;0,"CLOSED",IF(COUNTIFS(RC_OUT[BLOCK],RC_IN[BLOCK],RC_OUT[WT],"&gt;0")&gt;0,"IN-USE",""))
</f>
        <v/>
      </c>
      <c r="B1778" s="223" t="str">
        <f>IFERROR(__xludf.DUMMYFUNCTION("IFERROR(IF(F1778&lt;&gt;"""",""WHSE ""&amp;LEFT(F1778,1),REGEXEXTRACT(E1778,""-(?:\d{2}-)?([A-Z]+)"")),"""")
"),"")</f>
        <v/>
      </c>
      <c r="C1778" s="224"/>
      <c r="D1778" s="219"/>
      <c r="E1778" s="225"/>
      <c r="F1778" s="225"/>
      <c r="G1778" s="226"/>
      <c r="H1778" s="225"/>
      <c r="I1778" s="227"/>
      <c r="J1778" s="228"/>
      <c r="K1778" s="229"/>
      <c r="L1778" s="229"/>
      <c r="M1778" s="229"/>
      <c r="N1778" s="230"/>
      <c r="O1778" s="228"/>
      <c r="P1778" s="230"/>
      <c r="Q1778" s="219"/>
      <c r="R1778" s="198"/>
      <c r="S1778" s="198"/>
      <c r="T1778" s="198"/>
      <c r="U1778" s="198"/>
      <c r="V1778" s="198"/>
      <c r="W1778" s="198"/>
      <c r="X1778" s="198"/>
    </row>
    <row r="1779" ht="12.0" customHeight="1">
      <c r="A1779" s="222" t="str">
        <f>IF(COUNTIFS(RC_OUT[BLOCK],RC_IN[BLOCK],RC_OUT[REMARKS],"*CLOSED*")&gt;0,"CLOSED",IF(COUNTIFS(RC_OUT[BLOCK],RC_IN[BLOCK],RC_OUT[WT],"&gt;0")&gt;0,"IN-USE",""))
</f>
        <v/>
      </c>
      <c r="B1779" s="223" t="str">
        <f>IFERROR(__xludf.DUMMYFUNCTION("IFERROR(IF(F1779&lt;&gt;"""",""WHSE ""&amp;LEFT(F1779,1),REGEXEXTRACT(E1779,""-(?:\d{2}-)?([A-Z]+)"")),"""")
"),"")</f>
        <v/>
      </c>
      <c r="C1779" s="224"/>
      <c r="D1779" s="219"/>
      <c r="E1779" s="225"/>
      <c r="F1779" s="225"/>
      <c r="G1779" s="226"/>
      <c r="H1779" s="225"/>
      <c r="I1779" s="227"/>
      <c r="J1779" s="228"/>
      <c r="K1779" s="229"/>
      <c r="L1779" s="229"/>
      <c r="M1779" s="229"/>
      <c r="N1779" s="230"/>
      <c r="O1779" s="228"/>
      <c r="P1779" s="230"/>
      <c r="Q1779" s="219"/>
      <c r="R1779" s="198"/>
      <c r="S1779" s="198"/>
      <c r="T1779" s="198"/>
      <c r="U1779" s="198"/>
      <c r="V1779" s="198"/>
      <c r="W1779" s="198"/>
      <c r="X1779" s="198"/>
    </row>
    <row r="1780" ht="12.0" customHeight="1">
      <c r="A1780" s="222" t="str">
        <f>IF(COUNTIFS(RC_OUT[BLOCK],RC_IN[BLOCK],RC_OUT[REMARKS],"*CLOSED*")&gt;0,"CLOSED",IF(COUNTIFS(RC_OUT[BLOCK],RC_IN[BLOCK],RC_OUT[WT],"&gt;0")&gt;0,"IN-USE",""))
</f>
        <v/>
      </c>
      <c r="B1780" s="223" t="str">
        <f>IFERROR(__xludf.DUMMYFUNCTION("IFERROR(IF(F1780&lt;&gt;"""",""WHSE ""&amp;LEFT(F1780,1),REGEXEXTRACT(E1780,""-(?:\d{2}-)?([A-Z]+)"")),"""")
"),"")</f>
        <v/>
      </c>
      <c r="C1780" s="224"/>
      <c r="D1780" s="219"/>
      <c r="E1780" s="225"/>
      <c r="F1780" s="225"/>
      <c r="G1780" s="226"/>
      <c r="H1780" s="225"/>
      <c r="I1780" s="227"/>
      <c r="J1780" s="228"/>
      <c r="K1780" s="229"/>
      <c r="L1780" s="229"/>
      <c r="M1780" s="229"/>
      <c r="N1780" s="230"/>
      <c r="O1780" s="228"/>
      <c r="P1780" s="230"/>
      <c r="Q1780" s="219"/>
      <c r="R1780" s="198"/>
      <c r="S1780" s="198"/>
      <c r="T1780" s="198"/>
      <c r="U1780" s="198"/>
      <c r="V1780" s="198"/>
      <c r="W1780" s="198"/>
      <c r="X1780" s="198"/>
    </row>
    <row r="1781" ht="12.0" customHeight="1">
      <c r="A1781" s="222" t="str">
        <f>IF(COUNTIFS(RC_OUT[BLOCK],RC_IN[BLOCK],RC_OUT[REMARKS],"*CLOSED*")&gt;0,"CLOSED",IF(COUNTIFS(RC_OUT[BLOCK],RC_IN[BLOCK],RC_OUT[WT],"&gt;0")&gt;0,"IN-USE",""))
</f>
        <v/>
      </c>
      <c r="B1781" s="223" t="str">
        <f>IFERROR(__xludf.DUMMYFUNCTION("IFERROR(IF(F1781&lt;&gt;"""",""WHSE ""&amp;LEFT(F1781,1),REGEXEXTRACT(E1781,""-(?:\d{2}-)?([A-Z]+)"")),"""")
"),"")</f>
        <v/>
      </c>
      <c r="C1781" s="224"/>
      <c r="D1781" s="219"/>
      <c r="E1781" s="225"/>
      <c r="F1781" s="225"/>
      <c r="G1781" s="226"/>
      <c r="H1781" s="225"/>
      <c r="I1781" s="227"/>
      <c r="J1781" s="228"/>
      <c r="K1781" s="229"/>
      <c r="L1781" s="229"/>
      <c r="M1781" s="229"/>
      <c r="N1781" s="230"/>
      <c r="O1781" s="228"/>
      <c r="P1781" s="230"/>
      <c r="Q1781" s="219"/>
      <c r="R1781" s="198"/>
      <c r="S1781" s="198"/>
      <c r="T1781" s="198"/>
      <c r="U1781" s="198"/>
      <c r="V1781" s="198"/>
      <c r="W1781" s="198"/>
      <c r="X1781" s="198"/>
    </row>
    <row r="1782" ht="12.0" customHeight="1">
      <c r="A1782" s="222" t="str">
        <f>IF(COUNTIFS(RC_OUT[BLOCK],RC_IN[BLOCK],RC_OUT[REMARKS],"*CLOSED*")&gt;0,"CLOSED",IF(COUNTIFS(RC_OUT[BLOCK],RC_IN[BLOCK],RC_OUT[WT],"&gt;0")&gt;0,"IN-USE",""))
</f>
        <v/>
      </c>
      <c r="B1782" s="223" t="str">
        <f>IFERROR(__xludf.DUMMYFUNCTION("IFERROR(IF(F1782&lt;&gt;"""",""WHSE ""&amp;LEFT(F1782,1),REGEXEXTRACT(E1782,""-(?:\d{2}-)?([A-Z]+)"")),"""")
"),"")</f>
        <v/>
      </c>
      <c r="C1782" s="224"/>
      <c r="D1782" s="219"/>
      <c r="E1782" s="225"/>
      <c r="F1782" s="225"/>
      <c r="G1782" s="226"/>
      <c r="H1782" s="225"/>
      <c r="I1782" s="227"/>
      <c r="J1782" s="228"/>
      <c r="K1782" s="229"/>
      <c r="L1782" s="229"/>
      <c r="M1782" s="229"/>
      <c r="N1782" s="230"/>
      <c r="O1782" s="228"/>
      <c r="P1782" s="230"/>
      <c r="Q1782" s="219"/>
      <c r="R1782" s="198"/>
      <c r="S1782" s="198"/>
      <c r="T1782" s="198"/>
      <c r="U1782" s="198"/>
      <c r="V1782" s="198"/>
      <c r="W1782" s="198"/>
      <c r="X1782" s="198"/>
    </row>
    <row r="1783" ht="12.0" customHeight="1">
      <c r="A1783" s="222" t="str">
        <f>IF(COUNTIFS(RC_OUT[BLOCK],RC_IN[BLOCK],RC_OUT[REMARKS],"*CLOSED*")&gt;0,"CLOSED",IF(COUNTIFS(RC_OUT[BLOCK],RC_IN[BLOCK],RC_OUT[WT],"&gt;0")&gt;0,"IN-USE",""))
</f>
        <v/>
      </c>
      <c r="B1783" s="223" t="str">
        <f>IFERROR(__xludf.DUMMYFUNCTION("IFERROR(IF(F1783&lt;&gt;"""",""WHSE ""&amp;LEFT(F1783,1),REGEXEXTRACT(E1783,""-(?:\d{2}-)?([A-Z]+)"")),"""")
"),"")</f>
        <v/>
      </c>
      <c r="C1783" s="224"/>
      <c r="D1783" s="219"/>
      <c r="E1783" s="225"/>
      <c r="F1783" s="225"/>
      <c r="G1783" s="226"/>
      <c r="H1783" s="225"/>
      <c r="I1783" s="227"/>
      <c r="J1783" s="228"/>
      <c r="K1783" s="229"/>
      <c r="L1783" s="229"/>
      <c r="M1783" s="229"/>
      <c r="N1783" s="230"/>
      <c r="O1783" s="228"/>
      <c r="P1783" s="230"/>
      <c r="Q1783" s="219"/>
      <c r="R1783" s="198"/>
      <c r="S1783" s="198"/>
      <c r="T1783" s="198"/>
      <c r="U1783" s="198"/>
      <c r="V1783" s="198"/>
      <c r="W1783" s="198"/>
      <c r="X1783" s="198"/>
    </row>
    <row r="1784" ht="12.0" customHeight="1">
      <c r="A1784" s="222" t="str">
        <f>IF(COUNTIFS(RC_OUT[BLOCK],RC_IN[BLOCK],RC_OUT[REMARKS],"*CLOSED*")&gt;0,"CLOSED",IF(COUNTIFS(RC_OUT[BLOCK],RC_IN[BLOCK],RC_OUT[WT],"&gt;0")&gt;0,"IN-USE",""))
</f>
        <v/>
      </c>
      <c r="B1784" s="223" t="str">
        <f>IFERROR(__xludf.DUMMYFUNCTION("IFERROR(IF(F1784&lt;&gt;"""",""WHSE ""&amp;LEFT(F1784,1),REGEXEXTRACT(E1784,""-(?:\d{2}-)?([A-Z]+)"")),"""")
"),"")</f>
        <v/>
      </c>
      <c r="C1784" s="224"/>
      <c r="D1784" s="219"/>
      <c r="E1784" s="225"/>
      <c r="F1784" s="225"/>
      <c r="G1784" s="226"/>
      <c r="H1784" s="225"/>
      <c r="I1784" s="227"/>
      <c r="J1784" s="228"/>
      <c r="K1784" s="229"/>
      <c r="L1784" s="229"/>
      <c r="M1784" s="229"/>
      <c r="N1784" s="230"/>
      <c r="O1784" s="228"/>
      <c r="P1784" s="230"/>
      <c r="Q1784" s="219"/>
      <c r="R1784" s="198"/>
      <c r="S1784" s="198"/>
      <c r="T1784" s="198"/>
      <c r="U1784" s="198"/>
      <c r="V1784" s="198"/>
      <c r="W1784" s="198"/>
      <c r="X1784" s="198"/>
    </row>
    <row r="1785" ht="12.0" customHeight="1">
      <c r="A1785" s="222" t="str">
        <f>IF(COUNTIFS(RC_OUT[BLOCK],RC_IN[BLOCK],RC_OUT[REMARKS],"*CLOSED*")&gt;0,"CLOSED",IF(COUNTIFS(RC_OUT[BLOCK],RC_IN[BLOCK],RC_OUT[WT],"&gt;0")&gt;0,"IN-USE",""))
</f>
        <v/>
      </c>
      <c r="B1785" s="223" t="str">
        <f>IFERROR(__xludf.DUMMYFUNCTION("IFERROR(IF(F1785&lt;&gt;"""",""WHSE ""&amp;LEFT(F1785,1),REGEXEXTRACT(E1785,""-(?:\d{2}-)?([A-Z]+)"")),"""")
"),"")</f>
        <v/>
      </c>
      <c r="C1785" s="224"/>
      <c r="D1785" s="219"/>
      <c r="E1785" s="225"/>
      <c r="F1785" s="225"/>
      <c r="G1785" s="226"/>
      <c r="H1785" s="225"/>
      <c r="I1785" s="227"/>
      <c r="J1785" s="228"/>
      <c r="K1785" s="229"/>
      <c r="L1785" s="229"/>
      <c r="M1785" s="229"/>
      <c r="N1785" s="230"/>
      <c r="O1785" s="228"/>
      <c r="P1785" s="230"/>
      <c r="Q1785" s="219"/>
      <c r="R1785" s="198"/>
      <c r="S1785" s="198"/>
      <c r="T1785" s="198"/>
      <c r="U1785" s="198"/>
      <c r="V1785" s="198"/>
      <c r="W1785" s="198"/>
      <c r="X1785" s="198"/>
    </row>
    <row r="1786" ht="12.0" customHeight="1">
      <c r="A1786" s="222" t="str">
        <f>IF(COUNTIFS(RC_OUT[BLOCK],RC_IN[BLOCK],RC_OUT[REMARKS],"*CLOSED*")&gt;0,"CLOSED",IF(COUNTIFS(RC_OUT[BLOCK],RC_IN[BLOCK],RC_OUT[WT],"&gt;0")&gt;0,"IN-USE",""))
</f>
        <v/>
      </c>
      <c r="B1786" s="223" t="str">
        <f>IFERROR(__xludf.DUMMYFUNCTION("IFERROR(IF(F1786&lt;&gt;"""",""WHSE ""&amp;LEFT(F1786,1),REGEXEXTRACT(E1786,""-(?:\d{2}-)?([A-Z]+)"")),"""")
"),"")</f>
        <v/>
      </c>
      <c r="C1786" s="224"/>
      <c r="D1786" s="219"/>
      <c r="E1786" s="225"/>
      <c r="F1786" s="225"/>
      <c r="G1786" s="226"/>
      <c r="H1786" s="225"/>
      <c r="I1786" s="227"/>
      <c r="J1786" s="228"/>
      <c r="K1786" s="229"/>
      <c r="L1786" s="229"/>
      <c r="M1786" s="229"/>
      <c r="N1786" s="230"/>
      <c r="O1786" s="228"/>
      <c r="P1786" s="230"/>
      <c r="Q1786" s="219"/>
      <c r="R1786" s="198"/>
      <c r="S1786" s="198"/>
      <c r="T1786" s="198"/>
      <c r="U1786" s="198"/>
      <c r="V1786" s="198"/>
      <c r="W1786" s="198"/>
      <c r="X1786" s="198"/>
    </row>
    <row r="1787" ht="12.0" customHeight="1">
      <c r="A1787" s="222" t="str">
        <f>IF(COUNTIFS(RC_OUT[BLOCK],RC_IN[BLOCK],RC_OUT[REMARKS],"*CLOSED*")&gt;0,"CLOSED",IF(COUNTIFS(RC_OUT[BLOCK],RC_IN[BLOCK],RC_OUT[WT],"&gt;0")&gt;0,"IN-USE",""))
</f>
        <v/>
      </c>
      <c r="B1787" s="223" t="str">
        <f>IFERROR(__xludf.DUMMYFUNCTION("IFERROR(IF(F1787&lt;&gt;"""",""WHSE ""&amp;LEFT(F1787,1),REGEXEXTRACT(E1787,""-(?:\d{2}-)?([A-Z]+)"")),"""")
"),"")</f>
        <v/>
      </c>
      <c r="C1787" s="224"/>
      <c r="D1787" s="219"/>
      <c r="E1787" s="225"/>
      <c r="F1787" s="225"/>
      <c r="G1787" s="226"/>
      <c r="H1787" s="225"/>
      <c r="I1787" s="227"/>
      <c r="J1787" s="228"/>
      <c r="K1787" s="229"/>
      <c r="L1787" s="229"/>
      <c r="M1787" s="229"/>
      <c r="N1787" s="230"/>
      <c r="O1787" s="228"/>
      <c r="P1787" s="230"/>
      <c r="Q1787" s="219"/>
      <c r="R1787" s="198"/>
      <c r="S1787" s="198"/>
      <c r="T1787" s="198"/>
      <c r="U1787" s="198"/>
      <c r="V1787" s="198"/>
      <c r="W1787" s="198"/>
      <c r="X1787" s="198"/>
    </row>
    <row r="1788" ht="12.0" customHeight="1">
      <c r="A1788" s="222" t="str">
        <f>IF(COUNTIFS(RC_OUT[BLOCK],RC_IN[BLOCK],RC_OUT[REMARKS],"*CLOSED*")&gt;0,"CLOSED",IF(COUNTIFS(RC_OUT[BLOCK],RC_IN[BLOCK],RC_OUT[WT],"&gt;0")&gt;0,"IN-USE",""))
</f>
        <v/>
      </c>
      <c r="B1788" s="223" t="str">
        <f>IFERROR(__xludf.DUMMYFUNCTION("IFERROR(IF(F1788&lt;&gt;"""",""WHSE ""&amp;LEFT(F1788,1),REGEXEXTRACT(E1788,""-(?:\d{2}-)?([A-Z]+)"")),"""")
"),"")</f>
        <v/>
      </c>
      <c r="C1788" s="224"/>
      <c r="D1788" s="219"/>
      <c r="E1788" s="225"/>
      <c r="F1788" s="225"/>
      <c r="G1788" s="226"/>
      <c r="H1788" s="225"/>
      <c r="I1788" s="227"/>
      <c r="J1788" s="228"/>
      <c r="K1788" s="229"/>
      <c r="L1788" s="229"/>
      <c r="M1788" s="229"/>
      <c r="N1788" s="230"/>
      <c r="O1788" s="228"/>
      <c r="P1788" s="230"/>
      <c r="Q1788" s="219"/>
      <c r="R1788" s="198"/>
      <c r="S1788" s="198"/>
      <c r="T1788" s="198"/>
      <c r="U1788" s="198"/>
      <c r="V1788" s="198"/>
      <c r="W1788" s="198"/>
      <c r="X1788" s="198"/>
    </row>
    <row r="1789" ht="12.0" customHeight="1">
      <c r="A1789" s="222" t="str">
        <f>IF(COUNTIFS(RC_OUT[BLOCK],RC_IN[BLOCK],RC_OUT[REMARKS],"*CLOSED*")&gt;0,"CLOSED",IF(COUNTIFS(RC_OUT[BLOCK],RC_IN[BLOCK],RC_OUT[WT],"&gt;0")&gt;0,"IN-USE",""))
</f>
        <v/>
      </c>
      <c r="B1789" s="223" t="str">
        <f>IFERROR(__xludf.DUMMYFUNCTION("IFERROR(IF(F1789&lt;&gt;"""",""WHSE ""&amp;LEFT(F1789,1),REGEXEXTRACT(E1789,""-(?:\d{2}-)?([A-Z]+)"")),"""")
"),"")</f>
        <v/>
      </c>
      <c r="C1789" s="224"/>
      <c r="D1789" s="219"/>
      <c r="E1789" s="225"/>
      <c r="F1789" s="225"/>
      <c r="G1789" s="226"/>
      <c r="H1789" s="225"/>
      <c r="I1789" s="227"/>
      <c r="J1789" s="228"/>
      <c r="K1789" s="229"/>
      <c r="L1789" s="229"/>
      <c r="M1789" s="229"/>
      <c r="N1789" s="230"/>
      <c r="O1789" s="228"/>
      <c r="P1789" s="230"/>
      <c r="Q1789" s="219"/>
      <c r="R1789" s="198"/>
      <c r="S1789" s="198"/>
      <c r="T1789" s="198"/>
      <c r="U1789" s="198"/>
      <c r="V1789" s="198"/>
      <c r="W1789" s="198"/>
      <c r="X1789" s="198"/>
    </row>
    <row r="1790" ht="12.0" customHeight="1">
      <c r="A1790" s="222" t="str">
        <f>IF(COUNTIFS(RC_OUT[BLOCK],RC_IN[BLOCK],RC_OUT[REMARKS],"*CLOSED*")&gt;0,"CLOSED",IF(COUNTIFS(RC_OUT[BLOCK],RC_IN[BLOCK],RC_OUT[WT],"&gt;0")&gt;0,"IN-USE",""))
</f>
        <v/>
      </c>
      <c r="B1790" s="223" t="str">
        <f>IFERROR(__xludf.DUMMYFUNCTION("IFERROR(IF(F1790&lt;&gt;"""",""WHSE ""&amp;LEFT(F1790,1),REGEXEXTRACT(E1790,""-(?:\d{2}-)?([A-Z]+)"")),"""")
"),"")</f>
        <v/>
      </c>
      <c r="C1790" s="224"/>
      <c r="D1790" s="219"/>
      <c r="E1790" s="225"/>
      <c r="F1790" s="225"/>
      <c r="G1790" s="226"/>
      <c r="H1790" s="225"/>
      <c r="I1790" s="227"/>
      <c r="J1790" s="228"/>
      <c r="K1790" s="229"/>
      <c r="L1790" s="229"/>
      <c r="M1790" s="229"/>
      <c r="N1790" s="230"/>
      <c r="O1790" s="228"/>
      <c r="P1790" s="230"/>
      <c r="Q1790" s="219"/>
      <c r="R1790" s="198"/>
      <c r="S1790" s="198"/>
      <c r="T1790" s="198"/>
      <c r="U1790" s="198"/>
      <c r="V1790" s="198"/>
      <c r="W1790" s="198"/>
      <c r="X1790" s="198"/>
    </row>
    <row r="1791" ht="12.0" customHeight="1">
      <c r="A1791" s="222" t="str">
        <f>IF(COUNTIFS(RC_OUT[BLOCK],RC_IN[BLOCK],RC_OUT[REMARKS],"*CLOSED*")&gt;0,"CLOSED",IF(COUNTIFS(RC_OUT[BLOCK],RC_IN[BLOCK],RC_OUT[WT],"&gt;0")&gt;0,"IN-USE",""))
</f>
        <v/>
      </c>
      <c r="B1791" s="223" t="str">
        <f>IFERROR(__xludf.DUMMYFUNCTION("IFERROR(IF(F1791&lt;&gt;"""",""WHSE ""&amp;LEFT(F1791,1),REGEXEXTRACT(E1791,""-(?:\d{2}-)?([A-Z]+)"")),"""")
"),"")</f>
        <v/>
      </c>
      <c r="C1791" s="224"/>
      <c r="D1791" s="219"/>
      <c r="E1791" s="225"/>
      <c r="F1791" s="225"/>
      <c r="G1791" s="226"/>
      <c r="H1791" s="225"/>
      <c r="I1791" s="227"/>
      <c r="J1791" s="228"/>
      <c r="K1791" s="229"/>
      <c r="L1791" s="229"/>
      <c r="M1791" s="229"/>
      <c r="N1791" s="230"/>
      <c r="O1791" s="228"/>
      <c r="P1791" s="230"/>
      <c r="Q1791" s="219"/>
      <c r="R1791" s="198"/>
      <c r="S1791" s="198"/>
      <c r="T1791" s="198"/>
      <c r="U1791" s="198"/>
      <c r="V1791" s="198"/>
      <c r="W1791" s="198"/>
      <c r="X1791" s="198"/>
    </row>
    <row r="1792" ht="12.0" customHeight="1">
      <c r="A1792" s="222" t="str">
        <f>IF(COUNTIFS(RC_OUT[BLOCK],RC_IN[BLOCK],RC_OUT[REMARKS],"*CLOSED*")&gt;0,"CLOSED",IF(COUNTIFS(RC_OUT[BLOCK],RC_IN[BLOCK],RC_OUT[WT],"&gt;0")&gt;0,"IN-USE",""))
</f>
        <v/>
      </c>
      <c r="B1792" s="223" t="str">
        <f>IFERROR(__xludf.DUMMYFUNCTION("IFERROR(IF(F1792&lt;&gt;"""",""WHSE ""&amp;LEFT(F1792,1),REGEXEXTRACT(E1792,""-(?:\d{2}-)?([A-Z]+)"")),"""")
"),"")</f>
        <v/>
      </c>
      <c r="C1792" s="224"/>
      <c r="D1792" s="219"/>
      <c r="E1792" s="225"/>
      <c r="F1792" s="225"/>
      <c r="G1792" s="226"/>
      <c r="H1792" s="225"/>
      <c r="I1792" s="227"/>
      <c r="J1792" s="228"/>
      <c r="K1792" s="229"/>
      <c r="L1792" s="229"/>
      <c r="M1792" s="229"/>
      <c r="N1792" s="230"/>
      <c r="O1792" s="228"/>
      <c r="P1792" s="230"/>
      <c r="Q1792" s="219"/>
      <c r="R1792" s="198"/>
      <c r="S1792" s="198"/>
      <c r="T1792" s="198"/>
      <c r="U1792" s="198"/>
      <c r="V1792" s="198"/>
      <c r="W1792" s="198"/>
      <c r="X1792" s="198"/>
    </row>
    <row r="1793" ht="12.0" customHeight="1">
      <c r="A1793" s="222" t="str">
        <f>IF(COUNTIFS(RC_OUT[BLOCK],RC_IN[BLOCK],RC_OUT[REMARKS],"*CLOSED*")&gt;0,"CLOSED",IF(COUNTIFS(RC_OUT[BLOCK],RC_IN[BLOCK],RC_OUT[WT],"&gt;0")&gt;0,"IN-USE",""))
</f>
        <v/>
      </c>
      <c r="B1793" s="223" t="str">
        <f>IFERROR(__xludf.DUMMYFUNCTION("IFERROR(IF(F1793&lt;&gt;"""",""WHSE ""&amp;LEFT(F1793,1),REGEXEXTRACT(E1793,""-(?:\d{2}-)?([A-Z]+)"")),"""")
"),"")</f>
        <v/>
      </c>
      <c r="C1793" s="224"/>
      <c r="D1793" s="219"/>
      <c r="E1793" s="225"/>
      <c r="F1793" s="225"/>
      <c r="G1793" s="226"/>
      <c r="H1793" s="225"/>
      <c r="I1793" s="227"/>
      <c r="J1793" s="228"/>
      <c r="K1793" s="229"/>
      <c r="L1793" s="229"/>
      <c r="M1793" s="229"/>
      <c r="N1793" s="230"/>
      <c r="O1793" s="228"/>
      <c r="P1793" s="230"/>
      <c r="Q1793" s="219"/>
      <c r="R1793" s="198"/>
      <c r="S1793" s="198"/>
      <c r="T1793" s="198"/>
      <c r="U1793" s="198"/>
      <c r="V1793" s="198"/>
      <c r="W1793" s="198"/>
      <c r="X1793" s="198"/>
    </row>
    <row r="1794" ht="12.0" customHeight="1">
      <c r="A1794" s="222" t="str">
        <f>IF(COUNTIFS(RC_OUT[BLOCK],RC_IN[BLOCK],RC_OUT[REMARKS],"*CLOSED*")&gt;0,"CLOSED",IF(COUNTIFS(RC_OUT[BLOCK],RC_IN[BLOCK],RC_OUT[WT],"&gt;0")&gt;0,"IN-USE",""))
</f>
        <v/>
      </c>
      <c r="B1794" s="223" t="str">
        <f>IFERROR(__xludf.DUMMYFUNCTION("IFERROR(IF(F1794&lt;&gt;"""",""WHSE ""&amp;LEFT(F1794,1),REGEXEXTRACT(E1794,""-(?:\d{2}-)?([A-Z]+)"")),"""")
"),"")</f>
        <v/>
      </c>
      <c r="C1794" s="224"/>
      <c r="D1794" s="219"/>
      <c r="E1794" s="225"/>
      <c r="F1794" s="225"/>
      <c r="G1794" s="226"/>
      <c r="H1794" s="225"/>
      <c r="I1794" s="227"/>
      <c r="J1794" s="228"/>
      <c r="K1794" s="229"/>
      <c r="L1794" s="229"/>
      <c r="M1794" s="229"/>
      <c r="N1794" s="230"/>
      <c r="O1794" s="228"/>
      <c r="P1794" s="230"/>
      <c r="Q1794" s="219"/>
      <c r="R1794" s="198"/>
      <c r="S1794" s="198"/>
      <c r="T1794" s="198"/>
      <c r="U1794" s="198"/>
      <c r="V1794" s="198"/>
      <c r="W1794" s="198"/>
      <c r="X1794" s="198"/>
    </row>
    <row r="1795" ht="12.0" customHeight="1">
      <c r="A1795" s="222" t="str">
        <f>IF(COUNTIFS(RC_OUT[BLOCK],RC_IN[BLOCK],RC_OUT[REMARKS],"*CLOSED*")&gt;0,"CLOSED",IF(COUNTIFS(RC_OUT[BLOCK],RC_IN[BLOCK],RC_OUT[WT],"&gt;0")&gt;0,"IN-USE",""))
</f>
        <v/>
      </c>
      <c r="B1795" s="223" t="str">
        <f>IFERROR(__xludf.DUMMYFUNCTION("IFERROR(IF(F1795&lt;&gt;"""",""WHSE ""&amp;LEFT(F1795,1),REGEXEXTRACT(E1795,""-(?:\d{2}-)?([A-Z]+)"")),"""")
"),"")</f>
        <v/>
      </c>
      <c r="C1795" s="224"/>
      <c r="D1795" s="219"/>
      <c r="E1795" s="225"/>
      <c r="F1795" s="225"/>
      <c r="G1795" s="226"/>
      <c r="H1795" s="225"/>
      <c r="I1795" s="227"/>
      <c r="J1795" s="228"/>
      <c r="K1795" s="229"/>
      <c r="L1795" s="229"/>
      <c r="M1795" s="229"/>
      <c r="N1795" s="230"/>
      <c r="O1795" s="228"/>
      <c r="P1795" s="230"/>
      <c r="Q1795" s="219"/>
      <c r="R1795" s="198"/>
      <c r="S1795" s="198"/>
      <c r="T1795" s="198"/>
      <c r="U1795" s="198"/>
      <c r="V1795" s="198"/>
      <c r="W1795" s="198"/>
      <c r="X1795" s="198"/>
    </row>
    <row r="1796" ht="12.0" customHeight="1">
      <c r="A1796" s="222" t="str">
        <f>IF(COUNTIFS(RC_OUT[BLOCK],RC_IN[BLOCK],RC_OUT[REMARKS],"*CLOSED*")&gt;0,"CLOSED",IF(COUNTIFS(RC_OUT[BLOCK],RC_IN[BLOCK],RC_OUT[WT],"&gt;0")&gt;0,"IN-USE",""))
</f>
        <v/>
      </c>
      <c r="B1796" s="223" t="str">
        <f>IFERROR(__xludf.DUMMYFUNCTION("IFERROR(IF(F1796&lt;&gt;"""",""WHSE ""&amp;LEFT(F1796,1),REGEXEXTRACT(E1796,""-(?:\d{2}-)?([A-Z]+)"")),"""")
"),"")</f>
        <v/>
      </c>
      <c r="C1796" s="224"/>
      <c r="D1796" s="219"/>
      <c r="E1796" s="225"/>
      <c r="F1796" s="225"/>
      <c r="G1796" s="226"/>
      <c r="H1796" s="225"/>
      <c r="I1796" s="227"/>
      <c r="J1796" s="228"/>
      <c r="K1796" s="229"/>
      <c r="L1796" s="229"/>
      <c r="M1796" s="229"/>
      <c r="N1796" s="230"/>
      <c r="O1796" s="228"/>
      <c r="P1796" s="230"/>
      <c r="Q1796" s="219"/>
      <c r="R1796" s="198"/>
      <c r="S1796" s="198"/>
      <c r="T1796" s="198"/>
      <c r="U1796" s="198"/>
      <c r="V1796" s="198"/>
      <c r="W1796" s="198"/>
      <c r="X1796" s="198"/>
    </row>
    <row r="1797" ht="12.0" customHeight="1">
      <c r="A1797" s="222" t="str">
        <f>IF(COUNTIFS(RC_OUT[BLOCK],RC_IN[BLOCK],RC_OUT[REMARKS],"*CLOSED*")&gt;0,"CLOSED",IF(COUNTIFS(RC_OUT[BLOCK],RC_IN[BLOCK],RC_OUT[WT],"&gt;0")&gt;0,"IN-USE",""))
</f>
        <v/>
      </c>
      <c r="B1797" s="223" t="str">
        <f>IFERROR(__xludf.DUMMYFUNCTION("IFERROR(IF(F1797&lt;&gt;"""",""WHSE ""&amp;LEFT(F1797,1),REGEXEXTRACT(E1797,""-(?:\d{2}-)?([A-Z]+)"")),"""")
"),"")</f>
        <v/>
      </c>
      <c r="C1797" s="224"/>
      <c r="D1797" s="219"/>
      <c r="E1797" s="225"/>
      <c r="F1797" s="225"/>
      <c r="G1797" s="226"/>
      <c r="H1797" s="225"/>
      <c r="I1797" s="227"/>
      <c r="J1797" s="228"/>
      <c r="K1797" s="229"/>
      <c r="L1797" s="229"/>
      <c r="M1797" s="229"/>
      <c r="N1797" s="230"/>
      <c r="O1797" s="228"/>
      <c r="P1797" s="230"/>
      <c r="Q1797" s="219"/>
      <c r="R1797" s="198"/>
      <c r="S1797" s="198"/>
      <c r="T1797" s="198"/>
      <c r="U1797" s="198"/>
      <c r="V1797" s="198"/>
      <c r="W1797" s="198"/>
      <c r="X1797" s="198"/>
    </row>
    <row r="1798" ht="12.0" customHeight="1">
      <c r="A1798" s="222" t="str">
        <f>IF(COUNTIFS(RC_OUT[BLOCK],RC_IN[BLOCK],RC_OUT[REMARKS],"*CLOSED*")&gt;0,"CLOSED",IF(COUNTIFS(RC_OUT[BLOCK],RC_IN[BLOCK],RC_OUT[WT],"&gt;0")&gt;0,"IN-USE",""))
</f>
        <v/>
      </c>
      <c r="B1798" s="223" t="str">
        <f>IFERROR(__xludf.DUMMYFUNCTION("IFERROR(IF(F1798&lt;&gt;"""",""WHSE ""&amp;LEFT(F1798,1),REGEXEXTRACT(E1798,""-(?:\d{2}-)?([A-Z]+)"")),"""")
"),"")</f>
        <v/>
      </c>
      <c r="C1798" s="224"/>
      <c r="D1798" s="219"/>
      <c r="E1798" s="225"/>
      <c r="F1798" s="225"/>
      <c r="G1798" s="226"/>
      <c r="H1798" s="225"/>
      <c r="I1798" s="227"/>
      <c r="J1798" s="228"/>
      <c r="K1798" s="229"/>
      <c r="L1798" s="229"/>
      <c r="M1798" s="229"/>
      <c r="N1798" s="230"/>
      <c r="O1798" s="228"/>
      <c r="P1798" s="230"/>
      <c r="Q1798" s="219"/>
      <c r="R1798" s="198"/>
      <c r="S1798" s="198"/>
      <c r="T1798" s="198"/>
      <c r="U1798" s="198"/>
      <c r="V1798" s="198"/>
      <c r="W1798" s="198"/>
      <c r="X1798" s="198"/>
    </row>
    <row r="1799" ht="12.0" customHeight="1">
      <c r="A1799" s="222" t="str">
        <f>IF(COUNTIFS(RC_OUT[BLOCK],RC_IN[BLOCK],RC_OUT[REMARKS],"*CLOSED*")&gt;0,"CLOSED",IF(COUNTIFS(RC_OUT[BLOCK],RC_IN[BLOCK],RC_OUT[WT],"&gt;0")&gt;0,"IN-USE",""))
</f>
        <v/>
      </c>
      <c r="B1799" s="223" t="str">
        <f>IFERROR(__xludf.DUMMYFUNCTION("IFERROR(IF(F1799&lt;&gt;"""",""WHSE ""&amp;LEFT(F1799,1),REGEXEXTRACT(E1799,""-(?:\d{2}-)?([A-Z]+)"")),"""")
"),"")</f>
        <v/>
      </c>
      <c r="C1799" s="224"/>
      <c r="D1799" s="219"/>
      <c r="E1799" s="225"/>
      <c r="F1799" s="225"/>
      <c r="G1799" s="226"/>
      <c r="H1799" s="225"/>
      <c r="I1799" s="227"/>
      <c r="J1799" s="228"/>
      <c r="K1799" s="229"/>
      <c r="L1799" s="229"/>
      <c r="M1799" s="229"/>
      <c r="N1799" s="230"/>
      <c r="O1799" s="228"/>
      <c r="P1799" s="230"/>
      <c r="Q1799" s="219"/>
      <c r="R1799" s="198"/>
      <c r="S1799" s="198"/>
      <c r="T1799" s="198"/>
      <c r="U1799" s="198"/>
      <c r="V1799" s="198"/>
      <c r="W1799" s="198"/>
      <c r="X1799" s="198"/>
    </row>
    <row r="1800" ht="12.0" customHeight="1">
      <c r="A1800" s="222" t="str">
        <f>IF(COUNTIFS(RC_OUT[BLOCK],RC_IN[BLOCK],RC_OUT[REMARKS],"*CLOSED*")&gt;0,"CLOSED",IF(COUNTIFS(RC_OUT[BLOCK],RC_IN[BLOCK],RC_OUT[WT],"&gt;0")&gt;0,"IN-USE",""))
</f>
        <v/>
      </c>
      <c r="B1800" s="223" t="str">
        <f>IFERROR(__xludf.DUMMYFUNCTION("IFERROR(IF(F1800&lt;&gt;"""",""WHSE ""&amp;LEFT(F1800,1),REGEXEXTRACT(E1800,""-(?:\d{2}-)?([A-Z]+)"")),"""")
"),"")</f>
        <v/>
      </c>
      <c r="C1800" s="224"/>
      <c r="D1800" s="219"/>
      <c r="E1800" s="225"/>
      <c r="F1800" s="225"/>
      <c r="G1800" s="226"/>
      <c r="H1800" s="225"/>
      <c r="I1800" s="227"/>
      <c r="J1800" s="228"/>
      <c r="K1800" s="229"/>
      <c r="L1800" s="229"/>
      <c r="M1800" s="229"/>
      <c r="N1800" s="230"/>
      <c r="O1800" s="228"/>
      <c r="P1800" s="230"/>
      <c r="Q1800" s="219"/>
      <c r="R1800" s="198"/>
      <c r="S1800" s="198"/>
      <c r="T1800" s="198"/>
      <c r="U1800" s="198"/>
      <c r="V1800" s="198"/>
      <c r="W1800" s="198"/>
      <c r="X1800" s="198"/>
    </row>
    <row r="1801" ht="12.0" customHeight="1">
      <c r="A1801" s="222" t="str">
        <f>IF(COUNTIFS(RC_OUT[BLOCK],RC_IN[BLOCK],RC_OUT[REMARKS],"*CLOSED*")&gt;0,"CLOSED",IF(COUNTIFS(RC_OUT[BLOCK],RC_IN[BLOCK],RC_OUT[WT],"&gt;0")&gt;0,"IN-USE",""))
</f>
        <v/>
      </c>
      <c r="B1801" s="223" t="str">
        <f>IFERROR(__xludf.DUMMYFUNCTION("IFERROR(IF(F1801&lt;&gt;"""",""WHSE ""&amp;LEFT(F1801,1),REGEXEXTRACT(E1801,""-(?:\d{2}-)?([A-Z]+)"")),"""")
"),"")</f>
        <v/>
      </c>
      <c r="C1801" s="224"/>
      <c r="D1801" s="219"/>
      <c r="E1801" s="225"/>
      <c r="F1801" s="225"/>
      <c r="G1801" s="226"/>
      <c r="H1801" s="225"/>
      <c r="I1801" s="227"/>
      <c r="J1801" s="228"/>
      <c r="K1801" s="229"/>
      <c r="L1801" s="229"/>
      <c r="M1801" s="229"/>
      <c r="N1801" s="230"/>
      <c r="O1801" s="228"/>
      <c r="P1801" s="230"/>
      <c r="Q1801" s="219"/>
      <c r="R1801" s="198"/>
      <c r="S1801" s="198"/>
      <c r="T1801" s="198"/>
      <c r="U1801" s="198"/>
      <c r="V1801" s="198"/>
      <c r="W1801" s="198"/>
      <c r="X1801" s="198"/>
    </row>
    <row r="1802" ht="12.0" customHeight="1">
      <c r="A1802" s="222" t="str">
        <f>IF(COUNTIFS(RC_OUT[BLOCK],RC_IN[BLOCK],RC_OUT[REMARKS],"*CLOSED*")&gt;0,"CLOSED",IF(COUNTIFS(RC_OUT[BLOCK],RC_IN[BLOCK],RC_OUT[WT],"&gt;0")&gt;0,"IN-USE",""))
</f>
        <v/>
      </c>
      <c r="B1802" s="223" t="str">
        <f>IFERROR(__xludf.DUMMYFUNCTION("IFERROR(IF(F1802&lt;&gt;"""",""WHSE ""&amp;LEFT(F1802,1),REGEXEXTRACT(E1802,""-(?:\d{2}-)?([A-Z]+)"")),"""")
"),"")</f>
        <v/>
      </c>
      <c r="C1802" s="224"/>
      <c r="D1802" s="219"/>
      <c r="E1802" s="225"/>
      <c r="F1802" s="225"/>
      <c r="G1802" s="226"/>
      <c r="H1802" s="225"/>
      <c r="I1802" s="227"/>
      <c r="J1802" s="228"/>
      <c r="K1802" s="229"/>
      <c r="L1802" s="229"/>
      <c r="M1802" s="229"/>
      <c r="N1802" s="230"/>
      <c r="O1802" s="228"/>
      <c r="P1802" s="230"/>
      <c r="Q1802" s="219"/>
      <c r="R1802" s="198"/>
      <c r="S1802" s="198"/>
      <c r="T1802" s="198"/>
      <c r="U1802" s="198"/>
      <c r="V1802" s="198"/>
      <c r="W1802" s="198"/>
      <c r="X1802" s="198"/>
    </row>
    <row r="1803" ht="12.0" customHeight="1">
      <c r="A1803" s="222" t="str">
        <f>IF(COUNTIFS(RC_OUT[BLOCK],RC_IN[BLOCK],RC_OUT[REMARKS],"*CLOSED*")&gt;0,"CLOSED",IF(COUNTIFS(RC_OUT[BLOCK],RC_IN[BLOCK],RC_OUT[WT],"&gt;0")&gt;0,"IN-USE",""))
</f>
        <v/>
      </c>
      <c r="B1803" s="223" t="str">
        <f>IFERROR(__xludf.DUMMYFUNCTION("IFERROR(IF(F1803&lt;&gt;"""",""WHSE ""&amp;LEFT(F1803,1),REGEXEXTRACT(E1803,""-(?:\d{2}-)?([A-Z]+)"")),"""")
"),"")</f>
        <v/>
      </c>
      <c r="C1803" s="224"/>
      <c r="D1803" s="219"/>
      <c r="E1803" s="225"/>
      <c r="F1803" s="225"/>
      <c r="G1803" s="226"/>
      <c r="H1803" s="225"/>
      <c r="I1803" s="227"/>
      <c r="J1803" s="228"/>
      <c r="K1803" s="229"/>
      <c r="L1803" s="229"/>
      <c r="M1803" s="229"/>
      <c r="N1803" s="230"/>
      <c r="O1803" s="228"/>
      <c r="P1803" s="230"/>
      <c r="Q1803" s="219"/>
      <c r="R1803" s="198"/>
      <c r="S1803" s="198"/>
      <c r="T1803" s="198"/>
      <c r="U1803" s="198"/>
      <c r="V1803" s="198"/>
      <c r="W1803" s="198"/>
      <c r="X1803" s="198"/>
    </row>
    <row r="1804" ht="12.0" customHeight="1">
      <c r="A1804" s="222" t="str">
        <f>IF(COUNTIFS(RC_OUT[BLOCK],RC_IN[BLOCK],RC_OUT[REMARKS],"*CLOSED*")&gt;0,"CLOSED",IF(COUNTIFS(RC_OUT[BLOCK],RC_IN[BLOCK],RC_OUT[WT],"&gt;0")&gt;0,"IN-USE",""))
</f>
        <v/>
      </c>
      <c r="B1804" s="223" t="str">
        <f>IFERROR(__xludf.DUMMYFUNCTION("IFERROR(IF(F1804&lt;&gt;"""",""WHSE ""&amp;LEFT(F1804,1),REGEXEXTRACT(E1804,""-(?:\d{2}-)?([A-Z]+)"")),"""")
"),"")</f>
        <v/>
      </c>
      <c r="C1804" s="224"/>
      <c r="D1804" s="219"/>
      <c r="E1804" s="225"/>
      <c r="F1804" s="225"/>
      <c r="G1804" s="226"/>
      <c r="H1804" s="225"/>
      <c r="I1804" s="227"/>
      <c r="J1804" s="228"/>
      <c r="K1804" s="229"/>
      <c r="L1804" s="229"/>
      <c r="M1804" s="229"/>
      <c r="N1804" s="230"/>
      <c r="O1804" s="228"/>
      <c r="P1804" s="230"/>
      <c r="Q1804" s="219"/>
      <c r="R1804" s="198"/>
      <c r="S1804" s="198"/>
      <c r="T1804" s="198"/>
      <c r="U1804" s="198"/>
      <c r="V1804" s="198"/>
      <c r="W1804" s="198"/>
      <c r="X1804" s="198"/>
    </row>
    <row r="1805" ht="12.0" customHeight="1">
      <c r="A1805" s="222" t="str">
        <f>IF(COUNTIFS(RC_OUT[BLOCK],RC_IN[BLOCK],RC_OUT[REMARKS],"*CLOSED*")&gt;0,"CLOSED",IF(COUNTIFS(RC_OUT[BLOCK],RC_IN[BLOCK],RC_OUT[WT],"&gt;0")&gt;0,"IN-USE",""))
</f>
        <v/>
      </c>
      <c r="B1805" s="223" t="str">
        <f>IFERROR(__xludf.DUMMYFUNCTION("IFERROR(IF(F1805&lt;&gt;"""",""WHSE ""&amp;LEFT(F1805,1),REGEXEXTRACT(E1805,""-(?:\d{2}-)?([A-Z]+)"")),"""")
"),"")</f>
        <v/>
      </c>
      <c r="C1805" s="224"/>
      <c r="D1805" s="219"/>
      <c r="E1805" s="225"/>
      <c r="F1805" s="225"/>
      <c r="G1805" s="226"/>
      <c r="H1805" s="225"/>
      <c r="I1805" s="227"/>
      <c r="J1805" s="228"/>
      <c r="K1805" s="229"/>
      <c r="L1805" s="229"/>
      <c r="M1805" s="229"/>
      <c r="N1805" s="230"/>
      <c r="O1805" s="228"/>
      <c r="P1805" s="230"/>
      <c r="Q1805" s="219"/>
      <c r="R1805" s="198"/>
      <c r="S1805" s="198"/>
      <c r="T1805" s="198"/>
      <c r="U1805" s="198"/>
      <c r="V1805" s="198"/>
      <c r="W1805" s="198"/>
      <c r="X1805" s="198"/>
    </row>
    <row r="1806" ht="12.0" customHeight="1">
      <c r="A1806" s="222" t="str">
        <f>IF(COUNTIFS(RC_OUT[BLOCK],RC_IN[BLOCK],RC_OUT[REMARKS],"*CLOSED*")&gt;0,"CLOSED",IF(COUNTIFS(RC_OUT[BLOCK],RC_IN[BLOCK],RC_OUT[WT],"&gt;0")&gt;0,"IN-USE",""))
</f>
        <v/>
      </c>
      <c r="B1806" s="223" t="str">
        <f>IFERROR(__xludf.DUMMYFUNCTION("IFERROR(IF(F1806&lt;&gt;"""",""WHSE ""&amp;LEFT(F1806,1),REGEXEXTRACT(E1806,""-(?:\d{2}-)?([A-Z]+)"")),"""")
"),"")</f>
        <v/>
      </c>
      <c r="C1806" s="224"/>
      <c r="D1806" s="219"/>
      <c r="E1806" s="225"/>
      <c r="F1806" s="225"/>
      <c r="G1806" s="226"/>
      <c r="H1806" s="225"/>
      <c r="I1806" s="227"/>
      <c r="J1806" s="228"/>
      <c r="K1806" s="229"/>
      <c r="L1806" s="229"/>
      <c r="M1806" s="229"/>
      <c r="N1806" s="230"/>
      <c r="O1806" s="228"/>
      <c r="P1806" s="230"/>
      <c r="Q1806" s="219"/>
      <c r="R1806" s="198"/>
      <c r="S1806" s="198"/>
      <c r="T1806" s="198"/>
      <c r="U1806" s="198"/>
      <c r="V1806" s="198"/>
      <c r="W1806" s="198"/>
      <c r="X1806" s="198"/>
    </row>
    <row r="1807" ht="12.0" customHeight="1">
      <c r="A1807" s="222" t="str">
        <f>IF(COUNTIFS(RC_OUT[BLOCK],RC_IN[BLOCK],RC_OUT[REMARKS],"*CLOSED*")&gt;0,"CLOSED",IF(COUNTIFS(RC_OUT[BLOCK],RC_IN[BLOCK],RC_OUT[WT],"&gt;0")&gt;0,"IN-USE",""))
</f>
        <v/>
      </c>
      <c r="B1807" s="223" t="str">
        <f>IFERROR(__xludf.DUMMYFUNCTION("IFERROR(IF(F1807&lt;&gt;"""",""WHSE ""&amp;LEFT(F1807,1),REGEXEXTRACT(E1807,""-(?:\d{2}-)?([A-Z]+)"")),"""")
"),"")</f>
        <v/>
      </c>
      <c r="C1807" s="224"/>
      <c r="D1807" s="219"/>
      <c r="E1807" s="225"/>
      <c r="F1807" s="225"/>
      <c r="G1807" s="226"/>
      <c r="H1807" s="225"/>
      <c r="I1807" s="227"/>
      <c r="J1807" s="228"/>
      <c r="K1807" s="229"/>
      <c r="L1807" s="229"/>
      <c r="M1807" s="229"/>
      <c r="N1807" s="230"/>
      <c r="O1807" s="228"/>
      <c r="P1807" s="230"/>
      <c r="Q1807" s="219"/>
      <c r="R1807" s="198"/>
      <c r="S1807" s="198"/>
      <c r="T1807" s="198"/>
      <c r="U1807" s="198"/>
      <c r="V1807" s="198"/>
      <c r="W1807" s="198"/>
      <c r="X1807" s="198"/>
    </row>
    <row r="1808" ht="12.0" customHeight="1">
      <c r="A1808" s="222" t="str">
        <f>IF(COUNTIFS(RC_OUT[BLOCK],RC_IN[BLOCK],RC_OUT[REMARKS],"*CLOSED*")&gt;0,"CLOSED",IF(COUNTIFS(RC_OUT[BLOCK],RC_IN[BLOCK],RC_OUT[WT],"&gt;0")&gt;0,"IN-USE",""))
</f>
        <v/>
      </c>
      <c r="B1808" s="223" t="str">
        <f>IFERROR(__xludf.DUMMYFUNCTION("IFERROR(IF(F1808&lt;&gt;"""",""WHSE ""&amp;LEFT(F1808,1),REGEXEXTRACT(E1808,""-(?:\d{2}-)?([A-Z]+)"")),"""")
"),"")</f>
        <v/>
      </c>
      <c r="C1808" s="224"/>
      <c r="D1808" s="219"/>
      <c r="E1808" s="225"/>
      <c r="F1808" s="225"/>
      <c r="G1808" s="226"/>
      <c r="H1808" s="225"/>
      <c r="I1808" s="227"/>
      <c r="J1808" s="228"/>
      <c r="K1808" s="229"/>
      <c r="L1808" s="229"/>
      <c r="M1808" s="229"/>
      <c r="N1808" s="230"/>
      <c r="O1808" s="228"/>
      <c r="P1808" s="230"/>
      <c r="Q1808" s="219"/>
      <c r="R1808" s="198"/>
      <c r="S1808" s="198"/>
      <c r="T1808" s="198"/>
      <c r="U1808" s="198"/>
      <c r="V1808" s="198"/>
      <c r="W1808" s="198"/>
      <c r="X1808" s="198"/>
    </row>
    <row r="1809" ht="12.0" customHeight="1">
      <c r="A1809" s="222" t="str">
        <f>IF(COUNTIFS(RC_OUT[BLOCK],RC_IN[BLOCK],RC_OUT[REMARKS],"*CLOSED*")&gt;0,"CLOSED",IF(COUNTIFS(RC_OUT[BLOCK],RC_IN[BLOCK],RC_OUT[WT],"&gt;0")&gt;0,"IN-USE",""))
</f>
        <v/>
      </c>
      <c r="B1809" s="223" t="str">
        <f>IFERROR(__xludf.DUMMYFUNCTION("IFERROR(IF(F1809&lt;&gt;"""",""WHSE ""&amp;LEFT(F1809,1),REGEXEXTRACT(E1809,""-(?:\d{2}-)?([A-Z]+)"")),"""")
"),"")</f>
        <v/>
      </c>
      <c r="C1809" s="224"/>
      <c r="D1809" s="219"/>
      <c r="E1809" s="225"/>
      <c r="F1809" s="225"/>
      <c r="G1809" s="226"/>
      <c r="H1809" s="225"/>
      <c r="I1809" s="227"/>
      <c r="J1809" s="228"/>
      <c r="K1809" s="229"/>
      <c r="L1809" s="229"/>
      <c r="M1809" s="229"/>
      <c r="N1809" s="230"/>
      <c r="O1809" s="228"/>
      <c r="P1809" s="230"/>
      <c r="Q1809" s="219"/>
      <c r="R1809" s="198"/>
      <c r="S1809" s="198"/>
      <c r="T1809" s="198"/>
      <c r="U1809" s="198"/>
      <c r="V1809" s="198"/>
      <c r="W1809" s="198"/>
      <c r="X1809" s="198"/>
    </row>
    <row r="1810" ht="12.0" customHeight="1">
      <c r="A1810" s="222" t="str">
        <f>IF(COUNTIFS(RC_OUT[BLOCK],RC_IN[BLOCK],RC_OUT[REMARKS],"*CLOSED*")&gt;0,"CLOSED",IF(COUNTIFS(RC_OUT[BLOCK],RC_IN[BLOCK],RC_OUT[WT],"&gt;0")&gt;0,"IN-USE",""))
</f>
        <v/>
      </c>
      <c r="B1810" s="223" t="str">
        <f>IFERROR(__xludf.DUMMYFUNCTION("IFERROR(IF(F1810&lt;&gt;"""",""WHSE ""&amp;LEFT(F1810,1),REGEXEXTRACT(E1810,""-(?:\d{2}-)?([A-Z]+)"")),"""")
"),"")</f>
        <v/>
      </c>
      <c r="C1810" s="224"/>
      <c r="D1810" s="219"/>
      <c r="E1810" s="225"/>
      <c r="F1810" s="225"/>
      <c r="G1810" s="226"/>
      <c r="H1810" s="225"/>
      <c r="I1810" s="227"/>
      <c r="J1810" s="228"/>
      <c r="K1810" s="229"/>
      <c r="L1810" s="229"/>
      <c r="M1810" s="229"/>
      <c r="N1810" s="230"/>
      <c r="O1810" s="228"/>
      <c r="P1810" s="230"/>
      <c r="Q1810" s="219"/>
      <c r="R1810" s="198"/>
      <c r="S1810" s="198"/>
      <c r="T1810" s="198"/>
      <c r="U1810" s="198"/>
      <c r="V1810" s="198"/>
      <c r="W1810" s="198"/>
      <c r="X1810" s="198"/>
    </row>
    <row r="1811" ht="12.0" customHeight="1">
      <c r="A1811" s="222" t="str">
        <f>IF(COUNTIFS(RC_OUT[BLOCK],RC_IN[BLOCK],RC_OUT[REMARKS],"*CLOSED*")&gt;0,"CLOSED",IF(COUNTIFS(RC_OUT[BLOCK],RC_IN[BLOCK],RC_OUT[WT],"&gt;0")&gt;0,"IN-USE",""))
</f>
        <v/>
      </c>
      <c r="B1811" s="223" t="str">
        <f>IFERROR(__xludf.DUMMYFUNCTION("IFERROR(IF(F1811&lt;&gt;"""",""WHSE ""&amp;LEFT(F1811,1),REGEXEXTRACT(E1811,""-(?:\d{2}-)?([A-Z]+)"")),"""")
"),"")</f>
        <v/>
      </c>
      <c r="C1811" s="224"/>
      <c r="D1811" s="219"/>
      <c r="E1811" s="225"/>
      <c r="F1811" s="225"/>
      <c r="G1811" s="226"/>
      <c r="H1811" s="225"/>
      <c r="I1811" s="227"/>
      <c r="J1811" s="228"/>
      <c r="K1811" s="229"/>
      <c r="L1811" s="229"/>
      <c r="M1811" s="229"/>
      <c r="N1811" s="230"/>
      <c r="O1811" s="228"/>
      <c r="P1811" s="230"/>
      <c r="Q1811" s="219"/>
      <c r="R1811" s="198"/>
      <c r="S1811" s="198"/>
      <c r="T1811" s="198"/>
      <c r="U1811" s="198"/>
      <c r="V1811" s="198"/>
      <c r="W1811" s="198"/>
      <c r="X1811" s="198"/>
    </row>
    <row r="1812" ht="12.0" customHeight="1">
      <c r="A1812" s="222" t="str">
        <f>IF(COUNTIFS(RC_OUT[BLOCK],RC_IN[BLOCK],RC_OUT[REMARKS],"*CLOSED*")&gt;0,"CLOSED",IF(COUNTIFS(RC_OUT[BLOCK],RC_IN[BLOCK],RC_OUT[WT],"&gt;0")&gt;0,"IN-USE",""))
</f>
        <v/>
      </c>
      <c r="B1812" s="223" t="str">
        <f>IFERROR(__xludf.DUMMYFUNCTION("IFERROR(IF(F1812&lt;&gt;"""",""WHSE ""&amp;LEFT(F1812,1),REGEXEXTRACT(E1812,""-(?:\d{2}-)?([A-Z]+)"")),"""")
"),"")</f>
        <v/>
      </c>
      <c r="C1812" s="224"/>
      <c r="D1812" s="219"/>
      <c r="E1812" s="225"/>
      <c r="F1812" s="225"/>
      <c r="G1812" s="226"/>
      <c r="H1812" s="225"/>
      <c r="I1812" s="227"/>
      <c r="J1812" s="228"/>
      <c r="K1812" s="229"/>
      <c r="L1812" s="229"/>
      <c r="M1812" s="229"/>
      <c r="N1812" s="230"/>
      <c r="O1812" s="228"/>
      <c r="P1812" s="230"/>
      <c r="Q1812" s="219"/>
      <c r="R1812" s="198"/>
      <c r="S1812" s="198"/>
      <c r="T1812" s="198"/>
      <c r="U1812" s="198"/>
      <c r="V1812" s="198"/>
      <c r="W1812" s="198"/>
      <c r="X1812" s="198"/>
    </row>
    <row r="1813" ht="12.0" customHeight="1">
      <c r="A1813" s="222" t="str">
        <f>IF(COUNTIFS(RC_OUT[BLOCK],RC_IN[BLOCK],RC_OUT[REMARKS],"*CLOSED*")&gt;0,"CLOSED",IF(COUNTIFS(RC_OUT[BLOCK],RC_IN[BLOCK],RC_OUT[WT],"&gt;0")&gt;0,"IN-USE",""))
</f>
        <v/>
      </c>
      <c r="B1813" s="223" t="str">
        <f>IFERROR(__xludf.DUMMYFUNCTION("IFERROR(IF(F1813&lt;&gt;"""",""WHSE ""&amp;LEFT(F1813,1),REGEXEXTRACT(E1813,""-(?:\d{2}-)?([A-Z]+)"")),"""")
"),"")</f>
        <v/>
      </c>
      <c r="C1813" s="224"/>
      <c r="D1813" s="219"/>
      <c r="E1813" s="225"/>
      <c r="F1813" s="225"/>
      <c r="G1813" s="226"/>
      <c r="H1813" s="225"/>
      <c r="I1813" s="227"/>
      <c r="J1813" s="228"/>
      <c r="K1813" s="229"/>
      <c r="L1813" s="229"/>
      <c r="M1813" s="229"/>
      <c r="N1813" s="230"/>
      <c r="O1813" s="228"/>
      <c r="P1813" s="230"/>
      <c r="Q1813" s="219"/>
      <c r="R1813" s="198"/>
      <c r="S1813" s="198"/>
      <c r="T1813" s="198"/>
      <c r="U1813" s="198"/>
      <c r="V1813" s="198"/>
      <c r="W1813" s="198"/>
      <c r="X1813" s="198"/>
    </row>
    <row r="1814" ht="12.0" customHeight="1">
      <c r="A1814" s="222" t="str">
        <f>IF(COUNTIFS(RC_OUT[BLOCK],RC_IN[BLOCK],RC_OUT[REMARKS],"*CLOSED*")&gt;0,"CLOSED",IF(COUNTIFS(RC_OUT[BLOCK],RC_IN[BLOCK],RC_OUT[WT],"&gt;0")&gt;0,"IN-USE",""))
</f>
        <v/>
      </c>
      <c r="B1814" s="223" t="str">
        <f>IFERROR(__xludf.DUMMYFUNCTION("IFERROR(IF(F1814&lt;&gt;"""",""WHSE ""&amp;LEFT(F1814,1),REGEXEXTRACT(E1814,""-(?:\d{2}-)?([A-Z]+)"")),"""")
"),"")</f>
        <v/>
      </c>
      <c r="C1814" s="224"/>
      <c r="D1814" s="219"/>
      <c r="E1814" s="225"/>
      <c r="F1814" s="225"/>
      <c r="G1814" s="226"/>
      <c r="H1814" s="225"/>
      <c r="I1814" s="227"/>
      <c r="J1814" s="228"/>
      <c r="K1814" s="229"/>
      <c r="L1814" s="229"/>
      <c r="M1814" s="229"/>
      <c r="N1814" s="230"/>
      <c r="O1814" s="228"/>
      <c r="P1814" s="230"/>
      <c r="Q1814" s="219"/>
      <c r="R1814" s="198"/>
      <c r="S1814" s="198"/>
      <c r="T1814" s="198"/>
      <c r="U1814" s="198"/>
      <c r="V1814" s="198"/>
      <c r="W1814" s="198"/>
      <c r="X1814" s="198"/>
    </row>
    <row r="1815" ht="12.0" customHeight="1">
      <c r="A1815" s="222" t="str">
        <f>IF(COUNTIFS(RC_OUT[BLOCK],RC_IN[BLOCK],RC_OUT[REMARKS],"*CLOSED*")&gt;0,"CLOSED",IF(COUNTIFS(RC_OUT[BLOCK],RC_IN[BLOCK],RC_OUT[WT],"&gt;0")&gt;0,"IN-USE",""))
</f>
        <v/>
      </c>
      <c r="B1815" s="223" t="str">
        <f>IFERROR(__xludf.DUMMYFUNCTION("IFERROR(IF(F1815&lt;&gt;"""",""WHSE ""&amp;LEFT(F1815,1),REGEXEXTRACT(E1815,""-(?:\d{2}-)?([A-Z]+)"")),"""")
"),"")</f>
        <v/>
      </c>
      <c r="C1815" s="224"/>
      <c r="D1815" s="219"/>
      <c r="E1815" s="225"/>
      <c r="F1815" s="225"/>
      <c r="G1815" s="226"/>
      <c r="H1815" s="225"/>
      <c r="I1815" s="227"/>
      <c r="J1815" s="228"/>
      <c r="K1815" s="229"/>
      <c r="L1815" s="229"/>
      <c r="M1815" s="229"/>
      <c r="N1815" s="230"/>
      <c r="O1815" s="228"/>
      <c r="P1815" s="230"/>
      <c r="Q1815" s="219"/>
      <c r="R1815" s="198"/>
      <c r="S1815" s="198"/>
      <c r="T1815" s="198"/>
      <c r="U1815" s="198"/>
      <c r="V1815" s="198"/>
      <c r="W1815" s="198"/>
      <c r="X1815" s="198"/>
    </row>
    <row r="1816" ht="12.0" customHeight="1">
      <c r="A1816" s="222" t="str">
        <f>IF(COUNTIFS(RC_OUT[BLOCK],RC_IN[BLOCK],RC_OUT[REMARKS],"*CLOSED*")&gt;0,"CLOSED",IF(COUNTIFS(RC_OUT[BLOCK],RC_IN[BLOCK],RC_OUT[WT],"&gt;0")&gt;0,"IN-USE",""))
</f>
        <v/>
      </c>
      <c r="B1816" s="223" t="str">
        <f>IFERROR(__xludf.DUMMYFUNCTION("IFERROR(IF(F1816&lt;&gt;"""",""WHSE ""&amp;LEFT(F1816,1),REGEXEXTRACT(E1816,""-(?:\d{2}-)?([A-Z]+)"")),"""")
"),"")</f>
        <v/>
      </c>
      <c r="C1816" s="224"/>
      <c r="D1816" s="219"/>
      <c r="E1816" s="225"/>
      <c r="F1816" s="225"/>
      <c r="G1816" s="226"/>
      <c r="H1816" s="225"/>
      <c r="I1816" s="227"/>
      <c r="J1816" s="228"/>
      <c r="K1816" s="229"/>
      <c r="L1816" s="229"/>
      <c r="M1816" s="229"/>
      <c r="N1816" s="230"/>
      <c r="O1816" s="228"/>
      <c r="P1816" s="230"/>
      <c r="Q1816" s="219"/>
      <c r="R1816" s="198"/>
      <c r="S1816" s="198"/>
      <c r="T1816" s="198"/>
      <c r="U1816" s="198"/>
      <c r="V1816" s="198"/>
      <c r="W1816" s="198"/>
      <c r="X1816" s="198"/>
    </row>
    <row r="1817" ht="12.0" customHeight="1">
      <c r="A1817" s="222" t="str">
        <f>IF(COUNTIFS(RC_OUT[BLOCK],RC_IN[BLOCK],RC_OUT[REMARKS],"*CLOSED*")&gt;0,"CLOSED",IF(COUNTIFS(RC_OUT[BLOCK],RC_IN[BLOCK],RC_OUT[WT],"&gt;0")&gt;0,"IN-USE",""))
</f>
        <v/>
      </c>
      <c r="B1817" s="223" t="str">
        <f>IFERROR(__xludf.DUMMYFUNCTION("IFERROR(IF(F1817&lt;&gt;"""",""WHSE ""&amp;LEFT(F1817,1),REGEXEXTRACT(E1817,""-(?:\d{2}-)?([A-Z]+)"")),"""")
"),"")</f>
        <v/>
      </c>
      <c r="C1817" s="224"/>
      <c r="D1817" s="219"/>
      <c r="E1817" s="225"/>
      <c r="F1817" s="225"/>
      <c r="G1817" s="226"/>
      <c r="H1817" s="225"/>
      <c r="I1817" s="227"/>
      <c r="J1817" s="228"/>
      <c r="K1817" s="229"/>
      <c r="L1817" s="229"/>
      <c r="M1817" s="229"/>
      <c r="N1817" s="230"/>
      <c r="O1817" s="228"/>
      <c r="P1817" s="230"/>
      <c r="Q1817" s="219"/>
      <c r="R1817" s="198"/>
      <c r="S1817" s="198"/>
      <c r="T1817" s="198"/>
      <c r="U1817" s="198"/>
      <c r="V1817" s="198"/>
      <c r="W1817" s="198"/>
      <c r="X1817" s="198"/>
    </row>
    <row r="1818" ht="12.0" customHeight="1">
      <c r="A1818" s="222" t="str">
        <f>IF(COUNTIFS(RC_OUT[BLOCK],RC_IN[BLOCK],RC_OUT[REMARKS],"*CLOSED*")&gt;0,"CLOSED",IF(COUNTIFS(RC_OUT[BLOCK],RC_IN[BLOCK],RC_OUT[WT],"&gt;0")&gt;0,"IN-USE",""))
</f>
        <v/>
      </c>
      <c r="B1818" s="223" t="str">
        <f>IFERROR(__xludf.DUMMYFUNCTION("IFERROR(IF(F1818&lt;&gt;"""",""WHSE ""&amp;LEFT(F1818,1),REGEXEXTRACT(E1818,""-(?:\d{2}-)?([A-Z]+)"")),"""")
"),"")</f>
        <v/>
      </c>
      <c r="C1818" s="224"/>
      <c r="D1818" s="219"/>
      <c r="E1818" s="225"/>
      <c r="F1818" s="225"/>
      <c r="G1818" s="226"/>
      <c r="H1818" s="225"/>
      <c r="I1818" s="227"/>
      <c r="J1818" s="228"/>
      <c r="K1818" s="229"/>
      <c r="L1818" s="229"/>
      <c r="M1818" s="229"/>
      <c r="N1818" s="230"/>
      <c r="O1818" s="228"/>
      <c r="P1818" s="230"/>
      <c r="Q1818" s="219"/>
      <c r="R1818" s="198"/>
      <c r="S1818" s="198"/>
      <c r="T1818" s="198"/>
      <c r="U1818" s="198"/>
      <c r="V1818" s="198"/>
      <c r="W1818" s="198"/>
      <c r="X1818" s="198"/>
    </row>
    <row r="1819" ht="12.0" customHeight="1">
      <c r="A1819" s="222" t="str">
        <f>IF(COUNTIFS(RC_OUT[BLOCK],RC_IN[BLOCK],RC_OUT[REMARKS],"*CLOSED*")&gt;0,"CLOSED",IF(COUNTIFS(RC_OUT[BLOCK],RC_IN[BLOCK],RC_OUT[WT],"&gt;0")&gt;0,"IN-USE",""))
</f>
        <v/>
      </c>
      <c r="B1819" s="223" t="str">
        <f>IFERROR(__xludf.DUMMYFUNCTION("IFERROR(IF(F1819&lt;&gt;"""",""WHSE ""&amp;LEFT(F1819,1),REGEXEXTRACT(E1819,""-(?:\d{2}-)?([A-Z]+)"")),"""")
"),"")</f>
        <v/>
      </c>
      <c r="C1819" s="224"/>
      <c r="D1819" s="219"/>
      <c r="E1819" s="225"/>
      <c r="F1819" s="225"/>
      <c r="G1819" s="226"/>
      <c r="H1819" s="225"/>
      <c r="I1819" s="227"/>
      <c r="J1819" s="228"/>
      <c r="K1819" s="229"/>
      <c r="L1819" s="229"/>
      <c r="M1819" s="229"/>
      <c r="N1819" s="230"/>
      <c r="O1819" s="228"/>
      <c r="P1819" s="230"/>
      <c r="Q1819" s="219"/>
      <c r="R1819" s="198"/>
      <c r="S1819" s="198"/>
      <c r="T1819" s="198"/>
      <c r="U1819" s="198"/>
      <c r="V1819" s="198"/>
      <c r="W1819" s="198"/>
      <c r="X1819" s="198"/>
    </row>
    <row r="1820" ht="12.0" customHeight="1">
      <c r="A1820" s="222" t="str">
        <f>IF(COUNTIFS(RC_OUT[BLOCK],RC_IN[BLOCK],RC_OUT[REMARKS],"*CLOSED*")&gt;0,"CLOSED",IF(COUNTIFS(RC_OUT[BLOCK],RC_IN[BLOCK],RC_OUT[WT],"&gt;0")&gt;0,"IN-USE",""))
</f>
        <v/>
      </c>
      <c r="B1820" s="223" t="str">
        <f>IFERROR(__xludf.DUMMYFUNCTION("IFERROR(IF(F1820&lt;&gt;"""",""WHSE ""&amp;LEFT(F1820,1),REGEXEXTRACT(E1820,""-(?:\d{2}-)?([A-Z]+)"")),"""")
"),"")</f>
        <v/>
      </c>
      <c r="C1820" s="224"/>
      <c r="D1820" s="219"/>
      <c r="E1820" s="225"/>
      <c r="F1820" s="225"/>
      <c r="G1820" s="226"/>
      <c r="H1820" s="225"/>
      <c r="I1820" s="227"/>
      <c r="J1820" s="228"/>
      <c r="K1820" s="229"/>
      <c r="L1820" s="229"/>
      <c r="M1820" s="229"/>
      <c r="N1820" s="230"/>
      <c r="O1820" s="228"/>
      <c r="P1820" s="230"/>
      <c r="Q1820" s="219"/>
      <c r="R1820" s="198"/>
      <c r="S1820" s="198"/>
      <c r="T1820" s="198"/>
      <c r="U1820" s="198"/>
      <c r="V1820" s="198"/>
      <c r="W1820" s="198"/>
      <c r="X1820" s="198"/>
    </row>
    <row r="1821" ht="12.0" customHeight="1">
      <c r="A1821" s="222" t="str">
        <f>IF(COUNTIFS(RC_OUT[BLOCK],RC_IN[BLOCK],RC_OUT[REMARKS],"*CLOSED*")&gt;0,"CLOSED",IF(COUNTIFS(RC_OUT[BLOCK],RC_IN[BLOCK],RC_OUT[WT],"&gt;0")&gt;0,"IN-USE",""))
</f>
        <v/>
      </c>
      <c r="B1821" s="223" t="str">
        <f>IFERROR(__xludf.DUMMYFUNCTION("IFERROR(IF(F1821&lt;&gt;"""",""WHSE ""&amp;LEFT(F1821,1),REGEXEXTRACT(E1821,""-(?:\d{2}-)?([A-Z]+)"")),"""")
"),"")</f>
        <v/>
      </c>
      <c r="C1821" s="224"/>
      <c r="D1821" s="219"/>
      <c r="E1821" s="225"/>
      <c r="F1821" s="225"/>
      <c r="G1821" s="226"/>
      <c r="H1821" s="225"/>
      <c r="I1821" s="227"/>
      <c r="J1821" s="228"/>
      <c r="K1821" s="229"/>
      <c r="L1821" s="229"/>
      <c r="M1821" s="229"/>
      <c r="N1821" s="230"/>
      <c r="O1821" s="228"/>
      <c r="P1821" s="230"/>
      <c r="Q1821" s="219"/>
      <c r="R1821" s="198"/>
      <c r="S1821" s="198"/>
      <c r="T1821" s="198"/>
      <c r="U1821" s="198"/>
      <c r="V1821" s="198"/>
      <c r="W1821" s="198"/>
      <c r="X1821" s="198"/>
    </row>
    <row r="1822" ht="12.0" customHeight="1">
      <c r="A1822" s="222" t="str">
        <f>IF(COUNTIFS(RC_OUT[BLOCK],RC_IN[BLOCK],RC_OUT[REMARKS],"*CLOSED*")&gt;0,"CLOSED",IF(COUNTIFS(RC_OUT[BLOCK],RC_IN[BLOCK],RC_OUT[WT],"&gt;0")&gt;0,"IN-USE",""))
</f>
        <v/>
      </c>
      <c r="B1822" s="223" t="str">
        <f>IFERROR(__xludf.DUMMYFUNCTION("IFERROR(IF(F1822&lt;&gt;"""",""WHSE ""&amp;LEFT(F1822,1),REGEXEXTRACT(E1822,""-(?:\d{2}-)?([A-Z]+)"")),"""")
"),"")</f>
        <v/>
      </c>
      <c r="C1822" s="224"/>
      <c r="D1822" s="219"/>
      <c r="E1822" s="225"/>
      <c r="F1822" s="225"/>
      <c r="G1822" s="226"/>
      <c r="H1822" s="225"/>
      <c r="I1822" s="227"/>
      <c r="J1822" s="228"/>
      <c r="K1822" s="229"/>
      <c r="L1822" s="229"/>
      <c r="M1822" s="229"/>
      <c r="N1822" s="230"/>
      <c r="O1822" s="228"/>
      <c r="P1822" s="230"/>
      <c r="Q1822" s="219"/>
      <c r="R1822" s="198"/>
      <c r="S1822" s="198"/>
      <c r="T1822" s="198"/>
      <c r="U1822" s="198"/>
      <c r="V1822" s="198"/>
      <c r="W1822" s="198"/>
      <c r="X1822" s="198"/>
    </row>
    <row r="1823" ht="12.0" customHeight="1">
      <c r="A1823" s="222" t="str">
        <f>IF(COUNTIFS(RC_OUT[BLOCK],RC_IN[BLOCK],RC_OUT[REMARKS],"*CLOSED*")&gt;0,"CLOSED",IF(COUNTIFS(RC_OUT[BLOCK],RC_IN[BLOCK],RC_OUT[WT],"&gt;0")&gt;0,"IN-USE",""))
</f>
        <v/>
      </c>
      <c r="B1823" s="223" t="str">
        <f>IFERROR(__xludf.DUMMYFUNCTION("IFERROR(IF(F1823&lt;&gt;"""",""WHSE ""&amp;LEFT(F1823,1),REGEXEXTRACT(E1823,""-(?:\d{2}-)?([A-Z]+)"")),"""")
"),"")</f>
        <v/>
      </c>
      <c r="C1823" s="224"/>
      <c r="D1823" s="219"/>
      <c r="E1823" s="225"/>
      <c r="F1823" s="225"/>
      <c r="G1823" s="226"/>
      <c r="H1823" s="225"/>
      <c r="I1823" s="227"/>
      <c r="J1823" s="228"/>
      <c r="K1823" s="229"/>
      <c r="L1823" s="229"/>
      <c r="M1823" s="229"/>
      <c r="N1823" s="230"/>
      <c r="O1823" s="228"/>
      <c r="P1823" s="230"/>
      <c r="Q1823" s="219"/>
      <c r="R1823" s="198"/>
      <c r="S1823" s="198"/>
      <c r="T1823" s="198"/>
      <c r="U1823" s="198"/>
      <c r="V1823" s="198"/>
      <c r="W1823" s="198"/>
      <c r="X1823" s="198"/>
    </row>
    <row r="1824" ht="12.0" customHeight="1">
      <c r="A1824" s="222" t="str">
        <f>IF(COUNTIFS(RC_OUT[BLOCK],RC_IN[BLOCK],RC_OUT[REMARKS],"*CLOSED*")&gt;0,"CLOSED",IF(COUNTIFS(RC_OUT[BLOCK],RC_IN[BLOCK],RC_OUT[WT],"&gt;0")&gt;0,"IN-USE",""))
</f>
        <v/>
      </c>
      <c r="B1824" s="223" t="str">
        <f>IFERROR(__xludf.DUMMYFUNCTION("IFERROR(IF(F1824&lt;&gt;"""",""WHSE ""&amp;LEFT(F1824,1),REGEXEXTRACT(E1824,""-(?:\d{2}-)?([A-Z]+)"")),"""")
"),"")</f>
        <v/>
      </c>
      <c r="C1824" s="224"/>
      <c r="D1824" s="219"/>
      <c r="E1824" s="225"/>
      <c r="F1824" s="225"/>
      <c r="G1824" s="226"/>
      <c r="H1824" s="225"/>
      <c r="I1824" s="227"/>
      <c r="J1824" s="228"/>
      <c r="K1824" s="229"/>
      <c r="L1824" s="229"/>
      <c r="M1824" s="229"/>
      <c r="N1824" s="230"/>
      <c r="O1824" s="228"/>
      <c r="P1824" s="230"/>
      <c r="Q1824" s="219"/>
      <c r="R1824" s="198"/>
      <c r="S1824" s="198"/>
      <c r="T1824" s="198"/>
      <c r="U1824" s="198"/>
      <c r="V1824" s="198"/>
      <c r="W1824" s="198"/>
      <c r="X1824" s="198"/>
    </row>
    <row r="1825" ht="12.0" customHeight="1">
      <c r="A1825" s="222" t="str">
        <f>IF(COUNTIFS(RC_OUT[BLOCK],RC_IN[BLOCK],RC_OUT[REMARKS],"*CLOSED*")&gt;0,"CLOSED",IF(COUNTIFS(RC_OUT[BLOCK],RC_IN[BLOCK],RC_OUT[WT],"&gt;0")&gt;0,"IN-USE",""))
</f>
        <v/>
      </c>
      <c r="B1825" s="223" t="str">
        <f>IFERROR(__xludf.DUMMYFUNCTION("IFERROR(IF(F1825&lt;&gt;"""",""WHSE ""&amp;LEFT(F1825,1),REGEXEXTRACT(E1825,""-(?:\d{2}-)?([A-Z]+)"")),"""")
"),"")</f>
        <v/>
      </c>
      <c r="C1825" s="224"/>
      <c r="D1825" s="219"/>
      <c r="E1825" s="225"/>
      <c r="F1825" s="225"/>
      <c r="G1825" s="226"/>
      <c r="H1825" s="225"/>
      <c r="I1825" s="227"/>
      <c r="J1825" s="228"/>
      <c r="K1825" s="229"/>
      <c r="L1825" s="229"/>
      <c r="M1825" s="229"/>
      <c r="N1825" s="230"/>
      <c r="O1825" s="228"/>
      <c r="P1825" s="230"/>
      <c r="Q1825" s="219"/>
      <c r="R1825" s="198"/>
      <c r="S1825" s="198"/>
      <c r="T1825" s="198"/>
      <c r="U1825" s="198"/>
      <c r="V1825" s="198"/>
      <c r="W1825" s="198"/>
      <c r="X1825" s="198"/>
    </row>
    <row r="1826" ht="12.0" customHeight="1">
      <c r="A1826" s="222" t="str">
        <f>IF(COUNTIFS(RC_OUT[BLOCK],RC_IN[BLOCK],RC_OUT[REMARKS],"*CLOSED*")&gt;0,"CLOSED",IF(COUNTIFS(RC_OUT[BLOCK],RC_IN[BLOCK],RC_OUT[WT],"&gt;0")&gt;0,"IN-USE",""))
</f>
        <v/>
      </c>
      <c r="B1826" s="223" t="str">
        <f>IFERROR(__xludf.DUMMYFUNCTION("IFERROR(IF(F1826&lt;&gt;"""",""WHSE ""&amp;LEFT(F1826,1),REGEXEXTRACT(E1826,""-(?:\d{2}-)?([A-Z]+)"")),"""")
"),"")</f>
        <v/>
      </c>
      <c r="C1826" s="224"/>
      <c r="D1826" s="219"/>
      <c r="E1826" s="225"/>
      <c r="F1826" s="225"/>
      <c r="G1826" s="226"/>
      <c r="H1826" s="225"/>
      <c r="I1826" s="227"/>
      <c r="J1826" s="228"/>
      <c r="K1826" s="229"/>
      <c r="L1826" s="229"/>
      <c r="M1826" s="229"/>
      <c r="N1826" s="230"/>
      <c r="O1826" s="228"/>
      <c r="P1826" s="230"/>
      <c r="Q1826" s="219"/>
      <c r="R1826" s="198"/>
      <c r="S1826" s="198"/>
      <c r="T1826" s="198"/>
      <c r="U1826" s="198"/>
      <c r="V1826" s="198"/>
      <c r="W1826" s="198"/>
      <c r="X1826" s="198"/>
    </row>
    <row r="1827" ht="12.0" customHeight="1">
      <c r="A1827" s="222" t="str">
        <f>IF(COUNTIFS(RC_OUT[BLOCK],RC_IN[BLOCK],RC_OUT[REMARKS],"*CLOSED*")&gt;0,"CLOSED",IF(COUNTIFS(RC_OUT[BLOCK],RC_IN[BLOCK],RC_OUT[WT],"&gt;0")&gt;0,"IN-USE",""))
</f>
        <v/>
      </c>
      <c r="B1827" s="223" t="str">
        <f>IFERROR(__xludf.DUMMYFUNCTION("IFERROR(IF(F1827&lt;&gt;"""",""WHSE ""&amp;LEFT(F1827,1),REGEXEXTRACT(E1827,""-(?:\d{2}-)?([A-Z]+)"")),"""")
"),"")</f>
        <v/>
      </c>
      <c r="C1827" s="224"/>
      <c r="D1827" s="219"/>
      <c r="E1827" s="225"/>
      <c r="F1827" s="225"/>
      <c r="G1827" s="226"/>
      <c r="H1827" s="225"/>
      <c r="I1827" s="227"/>
      <c r="J1827" s="228"/>
      <c r="K1827" s="229"/>
      <c r="L1827" s="229"/>
      <c r="M1827" s="229"/>
      <c r="N1827" s="230"/>
      <c r="O1827" s="228"/>
      <c r="P1827" s="230"/>
      <c r="Q1827" s="219"/>
      <c r="R1827" s="198"/>
      <c r="S1827" s="198"/>
      <c r="T1827" s="198"/>
      <c r="U1827" s="198"/>
      <c r="V1827" s="198"/>
      <c r="W1827" s="198"/>
      <c r="X1827" s="198"/>
    </row>
    <row r="1828" ht="12.0" customHeight="1">
      <c r="A1828" s="222" t="str">
        <f>IF(COUNTIFS(RC_OUT[BLOCK],RC_IN[BLOCK],RC_OUT[REMARKS],"*CLOSED*")&gt;0,"CLOSED",IF(COUNTIFS(RC_OUT[BLOCK],RC_IN[BLOCK],RC_OUT[WT],"&gt;0")&gt;0,"IN-USE",""))
</f>
        <v/>
      </c>
      <c r="B1828" s="223" t="str">
        <f>IFERROR(__xludf.DUMMYFUNCTION("IFERROR(IF(F1828&lt;&gt;"""",""WHSE ""&amp;LEFT(F1828,1),REGEXEXTRACT(E1828,""-(?:\d{2}-)?([A-Z]+)"")),"""")
"),"")</f>
        <v/>
      </c>
      <c r="C1828" s="224"/>
      <c r="D1828" s="219"/>
      <c r="E1828" s="225"/>
      <c r="F1828" s="225"/>
      <c r="G1828" s="226"/>
      <c r="H1828" s="225"/>
      <c r="I1828" s="227"/>
      <c r="J1828" s="228"/>
      <c r="K1828" s="229"/>
      <c r="L1828" s="229"/>
      <c r="M1828" s="229"/>
      <c r="N1828" s="230"/>
      <c r="O1828" s="228"/>
      <c r="P1828" s="230"/>
      <c r="Q1828" s="219"/>
      <c r="R1828" s="198"/>
      <c r="S1828" s="198"/>
      <c r="T1828" s="198"/>
      <c r="U1828" s="198"/>
      <c r="V1828" s="198"/>
      <c r="W1828" s="198"/>
      <c r="X1828" s="198"/>
    </row>
    <row r="1829" ht="12.0" customHeight="1">
      <c r="A1829" s="222" t="str">
        <f>IF(COUNTIFS(RC_OUT[BLOCK],RC_IN[BLOCK],RC_OUT[REMARKS],"*CLOSED*")&gt;0,"CLOSED",IF(COUNTIFS(RC_OUT[BLOCK],RC_IN[BLOCK],RC_OUT[WT],"&gt;0")&gt;0,"IN-USE",""))
</f>
        <v/>
      </c>
      <c r="B1829" s="223" t="str">
        <f>IFERROR(__xludf.DUMMYFUNCTION("IFERROR(IF(F1829&lt;&gt;"""",""WHSE ""&amp;LEFT(F1829,1),REGEXEXTRACT(E1829,""-(?:\d{2}-)?([A-Z]+)"")),"""")
"),"")</f>
        <v/>
      </c>
      <c r="C1829" s="224"/>
      <c r="D1829" s="219"/>
      <c r="E1829" s="225"/>
      <c r="F1829" s="225"/>
      <c r="G1829" s="226"/>
      <c r="H1829" s="225"/>
      <c r="I1829" s="227"/>
      <c r="J1829" s="228"/>
      <c r="K1829" s="229"/>
      <c r="L1829" s="229"/>
      <c r="M1829" s="229"/>
      <c r="N1829" s="230"/>
      <c r="O1829" s="228"/>
      <c r="P1829" s="230"/>
      <c r="Q1829" s="219"/>
      <c r="R1829" s="198"/>
      <c r="S1829" s="198"/>
      <c r="T1829" s="198"/>
      <c r="U1829" s="198"/>
      <c r="V1829" s="198"/>
      <c r="W1829" s="198"/>
      <c r="X1829" s="198"/>
    </row>
    <row r="1830" ht="12.0" customHeight="1">
      <c r="A1830" s="222" t="str">
        <f>IF(COUNTIFS(RC_OUT[BLOCK],RC_IN[BLOCK],RC_OUT[REMARKS],"*CLOSED*")&gt;0,"CLOSED",IF(COUNTIFS(RC_OUT[BLOCK],RC_IN[BLOCK],RC_OUT[WT],"&gt;0")&gt;0,"IN-USE",""))
</f>
        <v/>
      </c>
      <c r="B1830" s="223" t="str">
        <f>IFERROR(__xludf.DUMMYFUNCTION("IFERROR(IF(F1830&lt;&gt;"""",""WHSE ""&amp;LEFT(F1830,1),REGEXEXTRACT(E1830,""-(?:\d{2}-)?([A-Z]+)"")),"""")
"),"")</f>
        <v/>
      </c>
      <c r="C1830" s="224"/>
      <c r="D1830" s="219"/>
      <c r="E1830" s="225"/>
      <c r="F1830" s="225"/>
      <c r="G1830" s="226"/>
      <c r="H1830" s="225"/>
      <c r="I1830" s="227"/>
      <c r="J1830" s="228"/>
      <c r="K1830" s="229"/>
      <c r="L1830" s="229"/>
      <c r="M1830" s="229"/>
      <c r="N1830" s="230"/>
      <c r="O1830" s="228"/>
      <c r="P1830" s="230"/>
      <c r="Q1830" s="219"/>
      <c r="R1830" s="198"/>
      <c r="S1830" s="198"/>
      <c r="T1830" s="198"/>
      <c r="U1830" s="198"/>
      <c r="V1830" s="198"/>
      <c r="W1830" s="198"/>
      <c r="X1830" s="198"/>
    </row>
    <row r="1831" ht="12.0" customHeight="1">
      <c r="A1831" s="222" t="str">
        <f>IF(COUNTIFS(RC_OUT[BLOCK],RC_IN[BLOCK],RC_OUT[REMARKS],"*CLOSED*")&gt;0,"CLOSED",IF(COUNTIFS(RC_OUT[BLOCK],RC_IN[BLOCK],RC_OUT[WT],"&gt;0")&gt;0,"IN-USE",""))
</f>
        <v/>
      </c>
      <c r="B1831" s="223" t="str">
        <f>IFERROR(__xludf.DUMMYFUNCTION("IFERROR(IF(F1831&lt;&gt;"""",""WHSE ""&amp;LEFT(F1831,1),REGEXEXTRACT(E1831,""-(?:\d{2}-)?([A-Z]+)"")),"""")
"),"")</f>
        <v/>
      </c>
      <c r="C1831" s="224"/>
      <c r="D1831" s="219"/>
      <c r="E1831" s="225"/>
      <c r="F1831" s="225"/>
      <c r="G1831" s="226"/>
      <c r="H1831" s="225"/>
      <c r="I1831" s="227"/>
      <c r="J1831" s="228"/>
      <c r="K1831" s="229"/>
      <c r="L1831" s="229"/>
      <c r="M1831" s="229"/>
      <c r="N1831" s="230"/>
      <c r="O1831" s="228"/>
      <c r="P1831" s="230"/>
      <c r="Q1831" s="219"/>
      <c r="R1831" s="198"/>
      <c r="S1831" s="198"/>
      <c r="T1831" s="198"/>
      <c r="U1831" s="198"/>
      <c r="V1831" s="198"/>
      <c r="W1831" s="198"/>
      <c r="X1831" s="198"/>
    </row>
    <row r="1832" ht="12.0" customHeight="1">
      <c r="A1832" s="222" t="str">
        <f>IF(COUNTIFS(RC_OUT[BLOCK],RC_IN[BLOCK],RC_OUT[REMARKS],"*CLOSED*")&gt;0,"CLOSED",IF(COUNTIFS(RC_OUT[BLOCK],RC_IN[BLOCK],RC_OUT[WT],"&gt;0")&gt;0,"IN-USE",""))
</f>
        <v/>
      </c>
      <c r="B1832" s="223" t="str">
        <f>IFERROR(__xludf.DUMMYFUNCTION("IFERROR(IF(F1832&lt;&gt;"""",""WHSE ""&amp;LEFT(F1832,1),REGEXEXTRACT(E1832,""-(?:\d{2}-)?([A-Z]+)"")),"""")
"),"")</f>
        <v/>
      </c>
      <c r="C1832" s="224"/>
      <c r="D1832" s="219"/>
      <c r="E1832" s="225"/>
      <c r="F1832" s="225"/>
      <c r="G1832" s="226"/>
      <c r="H1832" s="225"/>
      <c r="I1832" s="227"/>
      <c r="J1832" s="228"/>
      <c r="K1832" s="229"/>
      <c r="L1832" s="229"/>
      <c r="M1832" s="229"/>
      <c r="N1832" s="230"/>
      <c r="O1832" s="228"/>
      <c r="P1832" s="230"/>
      <c r="Q1832" s="219"/>
      <c r="R1832" s="198"/>
      <c r="S1832" s="198"/>
      <c r="T1832" s="198"/>
      <c r="U1832" s="198"/>
      <c r="V1832" s="198"/>
      <c r="W1832" s="198"/>
      <c r="X1832" s="198"/>
    </row>
    <row r="1833" ht="12.0" customHeight="1">
      <c r="A1833" s="222" t="str">
        <f>IF(COUNTIFS(RC_OUT[BLOCK],RC_IN[BLOCK],RC_OUT[REMARKS],"*CLOSED*")&gt;0,"CLOSED",IF(COUNTIFS(RC_OUT[BLOCK],RC_IN[BLOCK],RC_OUT[WT],"&gt;0")&gt;0,"IN-USE",""))
</f>
        <v/>
      </c>
      <c r="B1833" s="223" t="str">
        <f>IFERROR(__xludf.DUMMYFUNCTION("IFERROR(IF(F1833&lt;&gt;"""",""WHSE ""&amp;LEFT(F1833,1),REGEXEXTRACT(E1833,""-(?:\d{2}-)?([A-Z]+)"")),"""")
"),"")</f>
        <v/>
      </c>
      <c r="C1833" s="224"/>
      <c r="D1833" s="219"/>
      <c r="E1833" s="225"/>
      <c r="F1833" s="225"/>
      <c r="G1833" s="226"/>
      <c r="H1833" s="225"/>
      <c r="I1833" s="227"/>
      <c r="J1833" s="228"/>
      <c r="K1833" s="229"/>
      <c r="L1833" s="229"/>
      <c r="M1833" s="229"/>
      <c r="N1833" s="230"/>
      <c r="O1833" s="228"/>
      <c r="P1833" s="230"/>
      <c r="Q1833" s="219"/>
      <c r="R1833" s="198"/>
      <c r="S1833" s="198"/>
      <c r="T1833" s="198"/>
      <c r="U1833" s="198"/>
      <c r="V1833" s="198"/>
      <c r="W1833" s="198"/>
      <c r="X1833" s="198"/>
    </row>
    <row r="1834" ht="12.0" customHeight="1">
      <c r="A1834" s="222" t="str">
        <f>IF(COUNTIFS(RC_OUT[BLOCK],RC_IN[BLOCK],RC_OUT[REMARKS],"*CLOSED*")&gt;0,"CLOSED",IF(COUNTIFS(RC_OUT[BLOCK],RC_IN[BLOCK],RC_OUT[WT],"&gt;0")&gt;0,"IN-USE",""))
</f>
        <v/>
      </c>
      <c r="B1834" s="223" t="str">
        <f>IFERROR(__xludf.DUMMYFUNCTION("IFERROR(IF(F1834&lt;&gt;"""",""WHSE ""&amp;LEFT(F1834,1),REGEXEXTRACT(E1834,""-(?:\d{2}-)?([A-Z]+)"")),"""")
"),"")</f>
        <v/>
      </c>
      <c r="C1834" s="224"/>
      <c r="D1834" s="219"/>
      <c r="E1834" s="225"/>
      <c r="F1834" s="225"/>
      <c r="G1834" s="226"/>
      <c r="H1834" s="225"/>
      <c r="I1834" s="227"/>
      <c r="J1834" s="228"/>
      <c r="K1834" s="229"/>
      <c r="L1834" s="229"/>
      <c r="M1834" s="229"/>
      <c r="N1834" s="230"/>
      <c r="O1834" s="228"/>
      <c r="P1834" s="230"/>
      <c r="Q1834" s="219"/>
      <c r="R1834" s="198"/>
      <c r="S1834" s="198"/>
      <c r="T1834" s="198"/>
      <c r="U1834" s="198"/>
      <c r="V1834" s="198"/>
      <c r="W1834" s="198"/>
      <c r="X1834" s="198"/>
    </row>
    <row r="1835" ht="12.0" customHeight="1">
      <c r="A1835" s="222" t="str">
        <f>IF(COUNTIFS(RC_OUT[BLOCK],RC_IN[BLOCK],RC_OUT[REMARKS],"*CLOSED*")&gt;0,"CLOSED",IF(COUNTIFS(RC_OUT[BLOCK],RC_IN[BLOCK],RC_OUT[WT],"&gt;0")&gt;0,"IN-USE",""))
</f>
        <v/>
      </c>
      <c r="B1835" s="223" t="str">
        <f>IFERROR(__xludf.DUMMYFUNCTION("IFERROR(IF(F1835&lt;&gt;"""",""WHSE ""&amp;LEFT(F1835,1),REGEXEXTRACT(E1835,""-(?:\d{2}-)?([A-Z]+)"")),"""")
"),"")</f>
        <v/>
      </c>
      <c r="C1835" s="224"/>
      <c r="D1835" s="219"/>
      <c r="E1835" s="225"/>
      <c r="F1835" s="225"/>
      <c r="G1835" s="226"/>
      <c r="H1835" s="225"/>
      <c r="I1835" s="227"/>
      <c r="J1835" s="228"/>
      <c r="K1835" s="229"/>
      <c r="L1835" s="229"/>
      <c r="M1835" s="229"/>
      <c r="N1835" s="230"/>
      <c r="O1835" s="228"/>
      <c r="P1835" s="230"/>
      <c r="Q1835" s="219"/>
      <c r="R1835" s="198"/>
      <c r="S1835" s="198"/>
      <c r="T1835" s="198"/>
      <c r="U1835" s="198"/>
      <c r="V1835" s="198"/>
      <c r="W1835" s="198"/>
      <c r="X1835" s="198"/>
    </row>
    <row r="1836" ht="12.0" customHeight="1">
      <c r="A1836" s="222" t="str">
        <f>IF(COUNTIFS(RC_OUT[BLOCK],RC_IN[BLOCK],RC_OUT[REMARKS],"*CLOSED*")&gt;0,"CLOSED",IF(COUNTIFS(RC_OUT[BLOCK],RC_IN[BLOCK],RC_OUT[WT],"&gt;0")&gt;0,"IN-USE",""))
</f>
        <v/>
      </c>
      <c r="B1836" s="223" t="str">
        <f>IFERROR(__xludf.DUMMYFUNCTION("IFERROR(IF(F1836&lt;&gt;"""",""WHSE ""&amp;LEFT(F1836,1),REGEXEXTRACT(E1836,""-(?:\d{2}-)?([A-Z]+)"")),"""")
"),"")</f>
        <v/>
      </c>
      <c r="C1836" s="224"/>
      <c r="D1836" s="219"/>
      <c r="E1836" s="225"/>
      <c r="F1836" s="225"/>
      <c r="G1836" s="226"/>
      <c r="H1836" s="225"/>
      <c r="I1836" s="227"/>
      <c r="J1836" s="228"/>
      <c r="K1836" s="229"/>
      <c r="L1836" s="229"/>
      <c r="M1836" s="229"/>
      <c r="N1836" s="230"/>
      <c r="O1836" s="228"/>
      <c r="P1836" s="230"/>
      <c r="Q1836" s="219"/>
      <c r="R1836" s="198"/>
      <c r="S1836" s="198"/>
      <c r="T1836" s="198"/>
      <c r="U1836" s="198"/>
      <c r="V1836" s="198"/>
      <c r="W1836" s="198"/>
      <c r="X1836" s="198"/>
    </row>
    <row r="1837" ht="12.0" customHeight="1">
      <c r="A1837" s="222" t="str">
        <f>IF(COUNTIFS(RC_OUT[BLOCK],RC_IN[BLOCK],RC_OUT[REMARKS],"*CLOSED*")&gt;0,"CLOSED",IF(COUNTIFS(RC_OUT[BLOCK],RC_IN[BLOCK],RC_OUT[WT],"&gt;0")&gt;0,"IN-USE",""))
</f>
        <v/>
      </c>
      <c r="B1837" s="223" t="str">
        <f>IFERROR(__xludf.DUMMYFUNCTION("IFERROR(IF(F1837&lt;&gt;"""",""WHSE ""&amp;LEFT(F1837,1),REGEXEXTRACT(E1837,""-(?:\d{2}-)?([A-Z]+)"")),"""")
"),"")</f>
        <v/>
      </c>
      <c r="C1837" s="224"/>
      <c r="D1837" s="219"/>
      <c r="E1837" s="225"/>
      <c r="F1837" s="225"/>
      <c r="G1837" s="226"/>
      <c r="H1837" s="225"/>
      <c r="I1837" s="227"/>
      <c r="J1837" s="228"/>
      <c r="K1837" s="229"/>
      <c r="L1837" s="229"/>
      <c r="M1837" s="229"/>
      <c r="N1837" s="230"/>
      <c r="O1837" s="228"/>
      <c r="P1837" s="230"/>
      <c r="Q1837" s="219"/>
      <c r="R1837" s="198"/>
      <c r="S1837" s="198"/>
      <c r="T1837" s="198"/>
      <c r="U1837" s="198"/>
      <c r="V1837" s="198"/>
      <c r="W1837" s="198"/>
      <c r="X1837" s="198"/>
    </row>
    <row r="1838" ht="12.0" customHeight="1">
      <c r="A1838" s="222" t="str">
        <f>IF(COUNTIFS(RC_OUT[BLOCK],RC_IN[BLOCK],RC_OUT[REMARKS],"*CLOSED*")&gt;0,"CLOSED",IF(COUNTIFS(RC_OUT[BLOCK],RC_IN[BLOCK],RC_OUT[WT],"&gt;0")&gt;0,"IN-USE",""))
</f>
        <v/>
      </c>
      <c r="B1838" s="223" t="str">
        <f>IFERROR(__xludf.DUMMYFUNCTION("IFERROR(IF(F1838&lt;&gt;"""",""WHSE ""&amp;LEFT(F1838,1),REGEXEXTRACT(E1838,""-(?:\d{2}-)?([A-Z]+)"")),"""")
"),"")</f>
        <v/>
      </c>
      <c r="C1838" s="224"/>
      <c r="D1838" s="219"/>
      <c r="E1838" s="225"/>
      <c r="F1838" s="225"/>
      <c r="G1838" s="226"/>
      <c r="H1838" s="225"/>
      <c r="I1838" s="227"/>
      <c r="J1838" s="228"/>
      <c r="K1838" s="229"/>
      <c r="L1838" s="229"/>
      <c r="M1838" s="229"/>
      <c r="N1838" s="230"/>
      <c r="O1838" s="228"/>
      <c r="P1838" s="230"/>
      <c r="Q1838" s="219"/>
      <c r="R1838" s="198"/>
      <c r="S1838" s="198"/>
      <c r="T1838" s="198"/>
      <c r="U1838" s="198"/>
      <c r="V1838" s="198"/>
      <c r="W1838" s="198"/>
      <c r="X1838" s="198"/>
    </row>
    <row r="1839" ht="12.0" customHeight="1">
      <c r="A1839" s="222" t="str">
        <f>IF(COUNTIFS(RC_OUT[BLOCK],RC_IN[BLOCK],RC_OUT[REMARKS],"*CLOSED*")&gt;0,"CLOSED",IF(COUNTIFS(RC_OUT[BLOCK],RC_IN[BLOCK],RC_OUT[WT],"&gt;0")&gt;0,"IN-USE",""))
</f>
        <v/>
      </c>
      <c r="B1839" s="223" t="str">
        <f>IFERROR(__xludf.DUMMYFUNCTION("IFERROR(IF(F1839&lt;&gt;"""",""WHSE ""&amp;LEFT(F1839,1),REGEXEXTRACT(E1839,""-(?:\d{2}-)?([A-Z]+)"")),"""")
"),"")</f>
        <v/>
      </c>
      <c r="C1839" s="224"/>
      <c r="D1839" s="219"/>
      <c r="E1839" s="225"/>
      <c r="F1839" s="225"/>
      <c r="G1839" s="226"/>
      <c r="H1839" s="225"/>
      <c r="I1839" s="227"/>
      <c r="J1839" s="228"/>
      <c r="K1839" s="229"/>
      <c r="L1839" s="229"/>
      <c r="M1839" s="229"/>
      <c r="N1839" s="230"/>
      <c r="O1839" s="228"/>
      <c r="P1839" s="230"/>
      <c r="Q1839" s="219"/>
      <c r="R1839" s="198"/>
      <c r="S1839" s="198"/>
      <c r="T1839" s="198"/>
      <c r="U1839" s="198"/>
      <c r="V1839" s="198"/>
      <c r="W1839" s="198"/>
      <c r="X1839" s="198"/>
    </row>
    <row r="1840" ht="12.0" customHeight="1">
      <c r="A1840" s="222" t="str">
        <f>IF(COUNTIFS(RC_OUT[BLOCK],RC_IN[BLOCK],RC_OUT[REMARKS],"*CLOSED*")&gt;0,"CLOSED",IF(COUNTIFS(RC_OUT[BLOCK],RC_IN[BLOCK],RC_OUT[WT],"&gt;0")&gt;0,"IN-USE",""))
</f>
        <v/>
      </c>
      <c r="B1840" s="223" t="str">
        <f>IFERROR(__xludf.DUMMYFUNCTION("IFERROR(IF(F1840&lt;&gt;"""",""WHSE ""&amp;LEFT(F1840,1),REGEXEXTRACT(E1840,""-(?:\d{2}-)?([A-Z]+)"")),"""")
"),"")</f>
        <v/>
      </c>
      <c r="C1840" s="224"/>
      <c r="D1840" s="219"/>
      <c r="E1840" s="225"/>
      <c r="F1840" s="225"/>
      <c r="G1840" s="226"/>
      <c r="H1840" s="225"/>
      <c r="I1840" s="227"/>
      <c r="J1840" s="228"/>
      <c r="K1840" s="229"/>
      <c r="L1840" s="229"/>
      <c r="M1840" s="229"/>
      <c r="N1840" s="230"/>
      <c r="O1840" s="228"/>
      <c r="P1840" s="230"/>
      <c r="Q1840" s="219"/>
      <c r="R1840" s="198"/>
      <c r="S1840" s="198"/>
      <c r="T1840" s="198"/>
      <c r="U1840" s="198"/>
      <c r="V1840" s="198"/>
      <c r="W1840" s="198"/>
      <c r="X1840" s="198"/>
    </row>
    <row r="1841" ht="12.0" customHeight="1">
      <c r="A1841" s="222" t="str">
        <f>IF(COUNTIFS(RC_OUT[BLOCK],RC_IN[BLOCK],RC_OUT[REMARKS],"*CLOSED*")&gt;0,"CLOSED",IF(COUNTIFS(RC_OUT[BLOCK],RC_IN[BLOCK],RC_OUT[WT],"&gt;0")&gt;0,"IN-USE",""))
</f>
        <v/>
      </c>
      <c r="B1841" s="223" t="str">
        <f>IFERROR(__xludf.DUMMYFUNCTION("IFERROR(IF(F1841&lt;&gt;"""",""WHSE ""&amp;LEFT(F1841,1),REGEXEXTRACT(E1841,""-(?:\d{2}-)?([A-Z]+)"")),"""")
"),"")</f>
        <v/>
      </c>
      <c r="C1841" s="224"/>
      <c r="D1841" s="219"/>
      <c r="E1841" s="225"/>
      <c r="F1841" s="225"/>
      <c r="G1841" s="226"/>
      <c r="H1841" s="225"/>
      <c r="I1841" s="227"/>
      <c r="J1841" s="228"/>
      <c r="K1841" s="229"/>
      <c r="L1841" s="229"/>
      <c r="M1841" s="229"/>
      <c r="N1841" s="230"/>
      <c r="O1841" s="228"/>
      <c r="P1841" s="230"/>
      <c r="Q1841" s="219"/>
      <c r="R1841" s="198"/>
      <c r="S1841" s="198"/>
      <c r="T1841" s="198"/>
      <c r="U1841" s="198"/>
      <c r="V1841" s="198"/>
      <c r="W1841" s="198"/>
      <c r="X1841" s="198"/>
    </row>
    <row r="1842" ht="12.0" customHeight="1">
      <c r="A1842" s="222" t="str">
        <f>IF(COUNTIFS(RC_OUT[BLOCK],RC_IN[BLOCK],RC_OUT[REMARKS],"*CLOSED*")&gt;0,"CLOSED",IF(COUNTIFS(RC_OUT[BLOCK],RC_IN[BLOCK],RC_OUT[WT],"&gt;0")&gt;0,"IN-USE",""))
</f>
        <v/>
      </c>
      <c r="B1842" s="223" t="str">
        <f>IFERROR(__xludf.DUMMYFUNCTION("IFERROR(IF(F1842&lt;&gt;"""",""WHSE ""&amp;LEFT(F1842,1),REGEXEXTRACT(E1842,""-(?:\d{2}-)?([A-Z]+)"")),"""")
"),"")</f>
        <v/>
      </c>
      <c r="C1842" s="224"/>
      <c r="D1842" s="219"/>
      <c r="E1842" s="225"/>
      <c r="F1842" s="225"/>
      <c r="G1842" s="226"/>
      <c r="H1842" s="225"/>
      <c r="I1842" s="227"/>
      <c r="J1842" s="228"/>
      <c r="K1842" s="229"/>
      <c r="L1842" s="229"/>
      <c r="M1842" s="229"/>
      <c r="N1842" s="230"/>
      <c r="O1842" s="228"/>
      <c r="P1842" s="230"/>
      <c r="Q1842" s="219"/>
      <c r="R1842" s="198"/>
      <c r="S1842" s="198"/>
      <c r="T1842" s="198"/>
      <c r="U1842" s="198"/>
      <c r="V1842" s="198"/>
      <c r="W1842" s="198"/>
      <c r="X1842" s="198"/>
    </row>
    <row r="1843" ht="12.0" customHeight="1">
      <c r="A1843" s="222" t="str">
        <f>IF(COUNTIFS(RC_OUT[BLOCK],RC_IN[BLOCK],RC_OUT[REMARKS],"*CLOSED*")&gt;0,"CLOSED",IF(COUNTIFS(RC_OUT[BLOCK],RC_IN[BLOCK],RC_OUT[WT],"&gt;0")&gt;0,"IN-USE",""))
</f>
        <v/>
      </c>
      <c r="B1843" s="223" t="str">
        <f>IFERROR(__xludf.DUMMYFUNCTION("IFERROR(IF(F1843&lt;&gt;"""",""WHSE ""&amp;LEFT(F1843,1),REGEXEXTRACT(E1843,""-(?:\d{2}-)?([A-Z]+)"")),"""")
"),"")</f>
        <v/>
      </c>
      <c r="C1843" s="224"/>
      <c r="D1843" s="219"/>
      <c r="E1843" s="225"/>
      <c r="F1843" s="225"/>
      <c r="G1843" s="226"/>
      <c r="H1843" s="225"/>
      <c r="I1843" s="227"/>
      <c r="J1843" s="228"/>
      <c r="K1843" s="229"/>
      <c r="L1843" s="229"/>
      <c r="M1843" s="229"/>
      <c r="N1843" s="230"/>
      <c r="O1843" s="228"/>
      <c r="P1843" s="230"/>
      <c r="Q1843" s="219"/>
      <c r="R1843" s="198"/>
      <c r="S1843" s="198"/>
      <c r="T1843" s="198"/>
      <c r="U1843" s="198"/>
      <c r="V1843" s="198"/>
      <c r="W1843" s="198"/>
      <c r="X1843" s="198"/>
    </row>
    <row r="1844" ht="12.0" customHeight="1">
      <c r="A1844" s="222" t="str">
        <f>IF(COUNTIFS(RC_OUT[BLOCK],RC_IN[BLOCK],RC_OUT[REMARKS],"*CLOSED*")&gt;0,"CLOSED",IF(COUNTIFS(RC_OUT[BLOCK],RC_IN[BLOCK],RC_OUT[WT],"&gt;0")&gt;0,"IN-USE",""))
</f>
        <v/>
      </c>
      <c r="B1844" s="223" t="str">
        <f>IFERROR(__xludf.DUMMYFUNCTION("IFERROR(IF(F1844&lt;&gt;"""",""WHSE ""&amp;LEFT(F1844,1),REGEXEXTRACT(E1844,""-(?:\d{2}-)?([A-Z]+)"")),"""")
"),"")</f>
        <v/>
      </c>
      <c r="C1844" s="224"/>
      <c r="D1844" s="219"/>
      <c r="E1844" s="225"/>
      <c r="F1844" s="225"/>
      <c r="G1844" s="226"/>
      <c r="H1844" s="225"/>
      <c r="I1844" s="227"/>
      <c r="J1844" s="228"/>
      <c r="K1844" s="229"/>
      <c r="L1844" s="229"/>
      <c r="M1844" s="229"/>
      <c r="N1844" s="230"/>
      <c r="O1844" s="228"/>
      <c r="P1844" s="230"/>
      <c r="Q1844" s="219"/>
      <c r="R1844" s="198"/>
      <c r="S1844" s="198"/>
      <c r="T1844" s="198"/>
      <c r="U1844" s="198"/>
      <c r="V1844" s="198"/>
      <c r="W1844" s="198"/>
      <c r="X1844" s="198"/>
    </row>
    <row r="1845" ht="12.0" customHeight="1">
      <c r="A1845" s="222" t="str">
        <f>IF(COUNTIFS(RC_OUT[BLOCK],RC_IN[BLOCK],RC_OUT[REMARKS],"*CLOSED*")&gt;0,"CLOSED",IF(COUNTIFS(RC_OUT[BLOCK],RC_IN[BLOCK],RC_OUT[WT],"&gt;0")&gt;0,"IN-USE",""))
</f>
        <v/>
      </c>
      <c r="B1845" s="223" t="str">
        <f>IFERROR(__xludf.DUMMYFUNCTION("IFERROR(IF(F1845&lt;&gt;"""",""WHSE ""&amp;LEFT(F1845,1),REGEXEXTRACT(E1845,""-(?:\d{2}-)?([A-Z]+)"")),"""")
"),"")</f>
        <v/>
      </c>
      <c r="C1845" s="224"/>
      <c r="D1845" s="219"/>
      <c r="E1845" s="225"/>
      <c r="F1845" s="225"/>
      <c r="G1845" s="226"/>
      <c r="H1845" s="225"/>
      <c r="I1845" s="227"/>
      <c r="J1845" s="228"/>
      <c r="K1845" s="229"/>
      <c r="L1845" s="229"/>
      <c r="M1845" s="229"/>
      <c r="N1845" s="230"/>
      <c r="O1845" s="228"/>
      <c r="P1845" s="230"/>
      <c r="Q1845" s="219"/>
      <c r="R1845" s="198"/>
      <c r="S1845" s="198"/>
      <c r="T1845" s="198"/>
      <c r="U1845" s="198"/>
      <c r="V1845" s="198"/>
      <c r="W1845" s="198"/>
      <c r="X1845" s="198"/>
    </row>
    <row r="1846" ht="12.0" customHeight="1">
      <c r="A1846" s="222" t="str">
        <f>IF(COUNTIFS(RC_OUT[BLOCK],RC_IN[BLOCK],RC_OUT[REMARKS],"*CLOSED*")&gt;0,"CLOSED",IF(COUNTIFS(RC_OUT[BLOCK],RC_IN[BLOCK],RC_OUT[WT],"&gt;0")&gt;0,"IN-USE",""))
</f>
        <v/>
      </c>
      <c r="B1846" s="223" t="str">
        <f>IFERROR(__xludf.DUMMYFUNCTION("IFERROR(IF(F1846&lt;&gt;"""",""WHSE ""&amp;LEFT(F1846,1),REGEXEXTRACT(E1846,""-(?:\d{2}-)?([A-Z]+)"")),"""")
"),"")</f>
        <v/>
      </c>
      <c r="C1846" s="224"/>
      <c r="D1846" s="219"/>
      <c r="E1846" s="225"/>
      <c r="F1846" s="225"/>
      <c r="G1846" s="226"/>
      <c r="H1846" s="225"/>
      <c r="I1846" s="227"/>
      <c r="J1846" s="228"/>
      <c r="K1846" s="229"/>
      <c r="L1846" s="229"/>
      <c r="M1846" s="229"/>
      <c r="N1846" s="230"/>
      <c r="O1846" s="228"/>
      <c r="P1846" s="230"/>
      <c r="Q1846" s="219"/>
      <c r="R1846" s="198"/>
      <c r="S1846" s="198"/>
      <c r="T1846" s="198"/>
      <c r="U1846" s="198"/>
      <c r="V1846" s="198"/>
      <c r="W1846" s="198"/>
      <c r="X1846" s="198"/>
    </row>
    <row r="1847" ht="12.0" customHeight="1">
      <c r="A1847" s="222" t="str">
        <f>IF(COUNTIFS(RC_OUT[BLOCK],RC_IN[BLOCK],RC_OUT[REMARKS],"*CLOSED*")&gt;0,"CLOSED",IF(COUNTIFS(RC_OUT[BLOCK],RC_IN[BLOCK],RC_OUT[WT],"&gt;0")&gt;0,"IN-USE",""))
</f>
        <v/>
      </c>
      <c r="B1847" s="223" t="str">
        <f>IFERROR(__xludf.DUMMYFUNCTION("IFERROR(IF(F1847&lt;&gt;"""",""WHSE ""&amp;LEFT(F1847,1),REGEXEXTRACT(E1847,""-(?:\d{2}-)?([A-Z]+)"")),"""")
"),"")</f>
        <v/>
      </c>
      <c r="C1847" s="224"/>
      <c r="D1847" s="219"/>
      <c r="E1847" s="225"/>
      <c r="F1847" s="225"/>
      <c r="G1847" s="226"/>
      <c r="H1847" s="225"/>
      <c r="I1847" s="227"/>
      <c r="J1847" s="228"/>
      <c r="K1847" s="229"/>
      <c r="L1847" s="229"/>
      <c r="M1847" s="229"/>
      <c r="N1847" s="230"/>
      <c r="O1847" s="228"/>
      <c r="P1847" s="230"/>
      <c r="Q1847" s="219"/>
      <c r="R1847" s="198"/>
      <c r="S1847" s="198"/>
      <c r="T1847" s="198"/>
      <c r="U1847" s="198"/>
      <c r="V1847" s="198"/>
      <c r="W1847" s="198"/>
      <c r="X1847" s="198"/>
    </row>
    <row r="1848" ht="12.0" customHeight="1">
      <c r="A1848" s="222" t="str">
        <f>IF(COUNTIFS(RC_OUT[BLOCK],RC_IN[BLOCK],RC_OUT[REMARKS],"*CLOSED*")&gt;0,"CLOSED",IF(COUNTIFS(RC_OUT[BLOCK],RC_IN[BLOCK],RC_OUT[WT],"&gt;0")&gt;0,"IN-USE",""))
</f>
        <v/>
      </c>
      <c r="B1848" s="223" t="str">
        <f>IFERROR(__xludf.DUMMYFUNCTION("IFERROR(IF(F1848&lt;&gt;"""",""WHSE ""&amp;LEFT(F1848,1),REGEXEXTRACT(E1848,""-(?:\d{2}-)?([A-Z]+)"")),"""")
"),"")</f>
        <v/>
      </c>
      <c r="C1848" s="224"/>
      <c r="D1848" s="219"/>
      <c r="E1848" s="225"/>
      <c r="F1848" s="225"/>
      <c r="G1848" s="226"/>
      <c r="H1848" s="225"/>
      <c r="I1848" s="227"/>
      <c r="J1848" s="228"/>
      <c r="K1848" s="229"/>
      <c r="L1848" s="229"/>
      <c r="M1848" s="229"/>
      <c r="N1848" s="230"/>
      <c r="O1848" s="228"/>
      <c r="P1848" s="230"/>
      <c r="Q1848" s="219"/>
      <c r="R1848" s="198"/>
      <c r="S1848" s="198"/>
      <c r="T1848" s="198"/>
      <c r="U1848" s="198"/>
      <c r="V1848" s="198"/>
      <c r="W1848" s="198"/>
      <c r="X1848" s="198"/>
    </row>
    <row r="1849" ht="12.0" customHeight="1">
      <c r="A1849" s="222" t="str">
        <f>IF(COUNTIFS(RC_OUT[BLOCK],RC_IN[BLOCK],RC_OUT[REMARKS],"*CLOSED*")&gt;0,"CLOSED",IF(COUNTIFS(RC_OUT[BLOCK],RC_IN[BLOCK],RC_OUT[WT],"&gt;0")&gt;0,"IN-USE",""))
</f>
        <v/>
      </c>
      <c r="B1849" s="223" t="str">
        <f>IFERROR(__xludf.DUMMYFUNCTION("IFERROR(IF(F1849&lt;&gt;"""",""WHSE ""&amp;LEFT(F1849,1),REGEXEXTRACT(E1849,""-(?:\d{2}-)?([A-Z]+)"")),"""")
"),"")</f>
        <v/>
      </c>
      <c r="C1849" s="224"/>
      <c r="D1849" s="219"/>
      <c r="E1849" s="225"/>
      <c r="F1849" s="225"/>
      <c r="G1849" s="226"/>
      <c r="H1849" s="225"/>
      <c r="I1849" s="227"/>
      <c r="J1849" s="228"/>
      <c r="K1849" s="229"/>
      <c r="L1849" s="229"/>
      <c r="M1849" s="229"/>
      <c r="N1849" s="230"/>
      <c r="O1849" s="228"/>
      <c r="P1849" s="230"/>
      <c r="Q1849" s="219"/>
      <c r="R1849" s="198"/>
      <c r="S1849" s="198"/>
      <c r="T1849" s="198"/>
      <c r="U1849" s="198"/>
      <c r="V1849" s="198"/>
      <c r="W1849" s="198"/>
      <c r="X1849" s="198"/>
    </row>
    <row r="1850" ht="12.0" customHeight="1">
      <c r="A1850" s="222" t="str">
        <f>IF(COUNTIFS(RC_OUT[BLOCK],RC_IN[BLOCK],RC_OUT[REMARKS],"*CLOSED*")&gt;0,"CLOSED",IF(COUNTIFS(RC_OUT[BLOCK],RC_IN[BLOCK],RC_OUT[WT],"&gt;0")&gt;0,"IN-USE",""))
</f>
        <v/>
      </c>
      <c r="B1850" s="223" t="str">
        <f>IFERROR(__xludf.DUMMYFUNCTION("IFERROR(IF(F1850&lt;&gt;"""",""WHSE ""&amp;LEFT(F1850,1),REGEXEXTRACT(E1850,""-(?:\d{2}-)?([A-Z]+)"")),"""")
"),"")</f>
        <v/>
      </c>
      <c r="C1850" s="224"/>
      <c r="D1850" s="219"/>
      <c r="E1850" s="225"/>
      <c r="F1850" s="225"/>
      <c r="G1850" s="226"/>
      <c r="H1850" s="225"/>
      <c r="I1850" s="227"/>
      <c r="J1850" s="228"/>
      <c r="K1850" s="229"/>
      <c r="L1850" s="229"/>
      <c r="M1850" s="229"/>
      <c r="N1850" s="230"/>
      <c r="O1850" s="228"/>
      <c r="P1850" s="230"/>
      <c r="Q1850" s="219"/>
      <c r="R1850" s="198"/>
      <c r="S1850" s="198"/>
      <c r="T1850" s="198"/>
      <c r="U1850" s="198"/>
      <c r="V1850" s="198"/>
      <c r="W1850" s="198"/>
      <c r="X1850" s="198"/>
    </row>
    <row r="1851" ht="12.0" customHeight="1">
      <c r="A1851" s="222" t="str">
        <f>IF(COUNTIFS(RC_OUT[BLOCK],RC_IN[BLOCK],RC_OUT[REMARKS],"*CLOSED*")&gt;0,"CLOSED",IF(COUNTIFS(RC_OUT[BLOCK],RC_IN[BLOCK],RC_OUT[WT],"&gt;0")&gt;0,"IN-USE",""))
</f>
        <v/>
      </c>
      <c r="B1851" s="223" t="str">
        <f>IFERROR(__xludf.DUMMYFUNCTION("IFERROR(IF(F1851&lt;&gt;"""",""WHSE ""&amp;LEFT(F1851,1),REGEXEXTRACT(E1851,""-(?:\d{2}-)?([A-Z]+)"")),"""")
"),"")</f>
        <v/>
      </c>
      <c r="C1851" s="224"/>
      <c r="D1851" s="219"/>
      <c r="E1851" s="225"/>
      <c r="F1851" s="225"/>
      <c r="G1851" s="226"/>
      <c r="H1851" s="225"/>
      <c r="I1851" s="227"/>
      <c r="J1851" s="228"/>
      <c r="K1851" s="229"/>
      <c r="L1851" s="229"/>
      <c r="M1851" s="229"/>
      <c r="N1851" s="230"/>
      <c r="O1851" s="228"/>
      <c r="P1851" s="230"/>
      <c r="Q1851" s="219"/>
      <c r="R1851" s="198"/>
      <c r="S1851" s="198"/>
      <c r="T1851" s="198"/>
      <c r="U1851" s="198"/>
      <c r="V1851" s="198"/>
      <c r="W1851" s="198"/>
      <c r="X1851" s="198"/>
    </row>
    <row r="1852" ht="12.0" customHeight="1">
      <c r="A1852" s="222" t="str">
        <f>IF(COUNTIFS(RC_OUT[BLOCK],RC_IN[BLOCK],RC_OUT[REMARKS],"*CLOSED*")&gt;0,"CLOSED",IF(COUNTIFS(RC_OUT[BLOCK],RC_IN[BLOCK],RC_OUT[WT],"&gt;0")&gt;0,"IN-USE",""))
</f>
        <v/>
      </c>
      <c r="B1852" s="223" t="str">
        <f>IFERROR(__xludf.DUMMYFUNCTION("IFERROR(IF(F1852&lt;&gt;"""",""WHSE ""&amp;LEFT(F1852,1),REGEXEXTRACT(E1852,""-(?:\d{2}-)?([A-Z]+)"")),"""")
"),"")</f>
        <v/>
      </c>
      <c r="C1852" s="224"/>
      <c r="D1852" s="219"/>
      <c r="E1852" s="225"/>
      <c r="F1852" s="225"/>
      <c r="G1852" s="226"/>
      <c r="H1852" s="225"/>
      <c r="I1852" s="227"/>
      <c r="J1852" s="228"/>
      <c r="K1852" s="229"/>
      <c r="L1852" s="229"/>
      <c r="M1852" s="229"/>
      <c r="N1852" s="230"/>
      <c r="O1852" s="228"/>
      <c r="P1852" s="230"/>
      <c r="Q1852" s="219"/>
      <c r="R1852" s="198"/>
      <c r="S1852" s="198"/>
      <c r="T1852" s="198"/>
      <c r="U1852" s="198"/>
      <c r="V1852" s="198"/>
      <c r="W1852" s="198"/>
      <c r="X1852" s="198"/>
    </row>
    <row r="1853" ht="12.0" customHeight="1">
      <c r="A1853" s="222" t="str">
        <f>IF(COUNTIFS(RC_OUT[BLOCK],RC_IN[BLOCK],RC_OUT[REMARKS],"*CLOSED*")&gt;0,"CLOSED",IF(COUNTIFS(RC_OUT[BLOCK],RC_IN[BLOCK],RC_OUT[WT],"&gt;0")&gt;0,"IN-USE",""))
</f>
        <v/>
      </c>
      <c r="B1853" s="223" t="str">
        <f>IFERROR(__xludf.DUMMYFUNCTION("IFERROR(IF(F1853&lt;&gt;"""",""WHSE ""&amp;LEFT(F1853,1),REGEXEXTRACT(E1853,""-(?:\d{2}-)?([A-Z]+)"")),"""")
"),"")</f>
        <v/>
      </c>
      <c r="C1853" s="224"/>
      <c r="D1853" s="219"/>
      <c r="E1853" s="225"/>
      <c r="F1853" s="225"/>
      <c r="G1853" s="226"/>
      <c r="H1853" s="225"/>
      <c r="I1853" s="227"/>
      <c r="J1853" s="228"/>
      <c r="K1853" s="229"/>
      <c r="L1853" s="229"/>
      <c r="M1853" s="229"/>
      <c r="N1853" s="230"/>
      <c r="O1853" s="228"/>
      <c r="P1853" s="230"/>
      <c r="Q1853" s="219"/>
      <c r="R1853" s="198"/>
      <c r="S1853" s="198"/>
      <c r="T1853" s="198"/>
      <c r="U1853" s="198"/>
      <c r="V1853" s="198"/>
      <c r="W1853" s="198"/>
      <c r="X1853" s="198"/>
    </row>
    <row r="1854" ht="12.0" customHeight="1">
      <c r="A1854" s="222" t="str">
        <f>IF(COUNTIFS(RC_OUT[BLOCK],RC_IN[BLOCK],RC_OUT[REMARKS],"*CLOSED*")&gt;0,"CLOSED",IF(COUNTIFS(RC_OUT[BLOCK],RC_IN[BLOCK],RC_OUT[WT],"&gt;0")&gt;0,"IN-USE",""))
</f>
        <v/>
      </c>
      <c r="B1854" s="223" t="str">
        <f>IFERROR(__xludf.DUMMYFUNCTION("IFERROR(IF(F1854&lt;&gt;"""",""WHSE ""&amp;LEFT(F1854,1),REGEXEXTRACT(E1854,""-(?:\d{2}-)?([A-Z]+)"")),"""")
"),"")</f>
        <v/>
      </c>
      <c r="C1854" s="224"/>
      <c r="D1854" s="219"/>
      <c r="E1854" s="225"/>
      <c r="F1854" s="225"/>
      <c r="G1854" s="226"/>
      <c r="H1854" s="225"/>
      <c r="I1854" s="227"/>
      <c r="J1854" s="228"/>
      <c r="K1854" s="229"/>
      <c r="L1854" s="229"/>
      <c r="M1854" s="229"/>
      <c r="N1854" s="230"/>
      <c r="O1854" s="228"/>
      <c r="P1854" s="230"/>
      <c r="Q1854" s="219"/>
      <c r="R1854" s="198"/>
      <c r="S1854" s="198"/>
      <c r="T1854" s="198"/>
      <c r="U1854" s="198"/>
      <c r="V1854" s="198"/>
      <c r="W1854" s="198"/>
      <c r="X1854" s="198"/>
    </row>
    <row r="1855" ht="12.0" customHeight="1">
      <c r="A1855" s="222" t="str">
        <f>IF(COUNTIFS(RC_OUT[BLOCK],RC_IN[BLOCK],RC_OUT[REMARKS],"*CLOSED*")&gt;0,"CLOSED",IF(COUNTIFS(RC_OUT[BLOCK],RC_IN[BLOCK],RC_OUT[WT],"&gt;0")&gt;0,"IN-USE",""))
</f>
        <v/>
      </c>
      <c r="B1855" s="223" t="str">
        <f>IFERROR(__xludf.DUMMYFUNCTION("IFERROR(IF(F1855&lt;&gt;"""",""WHSE ""&amp;LEFT(F1855,1),REGEXEXTRACT(E1855,""-(?:\d{2}-)?([A-Z]+)"")),"""")
"),"")</f>
        <v/>
      </c>
      <c r="C1855" s="224"/>
      <c r="D1855" s="219"/>
      <c r="E1855" s="225"/>
      <c r="F1855" s="225"/>
      <c r="G1855" s="226"/>
      <c r="H1855" s="225"/>
      <c r="I1855" s="227"/>
      <c r="J1855" s="228"/>
      <c r="K1855" s="229"/>
      <c r="L1855" s="229"/>
      <c r="M1855" s="229"/>
      <c r="N1855" s="230"/>
      <c r="O1855" s="228"/>
      <c r="P1855" s="230"/>
      <c r="Q1855" s="219"/>
      <c r="R1855" s="198"/>
      <c r="S1855" s="198"/>
      <c r="T1855" s="198"/>
      <c r="U1855" s="198"/>
      <c r="V1855" s="198"/>
      <c r="W1855" s="198"/>
      <c r="X1855" s="198"/>
    </row>
    <row r="1856" ht="12.0" customHeight="1">
      <c r="A1856" s="222" t="str">
        <f>IF(COUNTIFS(RC_OUT[BLOCK],RC_IN[BLOCK],RC_OUT[REMARKS],"*CLOSED*")&gt;0,"CLOSED",IF(COUNTIFS(RC_OUT[BLOCK],RC_IN[BLOCK],RC_OUT[WT],"&gt;0")&gt;0,"IN-USE",""))
</f>
        <v/>
      </c>
      <c r="B1856" s="223" t="str">
        <f>IFERROR(__xludf.DUMMYFUNCTION("IFERROR(IF(F1856&lt;&gt;"""",""WHSE ""&amp;LEFT(F1856,1),REGEXEXTRACT(E1856,""-(?:\d{2}-)?([A-Z]+)"")),"""")
"),"")</f>
        <v/>
      </c>
      <c r="C1856" s="224"/>
      <c r="D1856" s="219"/>
      <c r="E1856" s="225"/>
      <c r="F1856" s="225"/>
      <c r="G1856" s="226"/>
      <c r="H1856" s="225"/>
      <c r="I1856" s="227"/>
      <c r="J1856" s="228"/>
      <c r="K1856" s="229"/>
      <c r="L1856" s="229"/>
      <c r="M1856" s="229"/>
      <c r="N1856" s="230"/>
      <c r="O1856" s="228"/>
      <c r="P1856" s="230"/>
      <c r="Q1856" s="219"/>
      <c r="R1856" s="198"/>
      <c r="S1856" s="198"/>
      <c r="T1856" s="198"/>
      <c r="U1856" s="198"/>
      <c r="V1856" s="198"/>
      <c r="W1856" s="198"/>
      <c r="X1856" s="198"/>
    </row>
    <row r="1857" ht="12.0" customHeight="1">
      <c r="A1857" s="222" t="str">
        <f>IF(COUNTIFS(RC_OUT[BLOCK],RC_IN[BLOCK],RC_OUT[REMARKS],"*CLOSED*")&gt;0,"CLOSED",IF(COUNTIFS(RC_OUT[BLOCK],RC_IN[BLOCK],RC_OUT[WT],"&gt;0")&gt;0,"IN-USE",""))
</f>
        <v/>
      </c>
      <c r="B1857" s="223" t="str">
        <f>IFERROR(__xludf.DUMMYFUNCTION("IFERROR(IF(F1857&lt;&gt;"""",""WHSE ""&amp;LEFT(F1857,1),REGEXEXTRACT(E1857,""-(?:\d{2}-)?([A-Z]+)"")),"""")
"),"")</f>
        <v/>
      </c>
      <c r="C1857" s="224"/>
      <c r="D1857" s="219"/>
      <c r="E1857" s="225"/>
      <c r="F1857" s="225"/>
      <c r="G1857" s="226"/>
      <c r="H1857" s="225"/>
      <c r="I1857" s="227"/>
      <c r="J1857" s="228"/>
      <c r="K1857" s="229"/>
      <c r="L1857" s="229"/>
      <c r="M1857" s="229"/>
      <c r="N1857" s="230"/>
      <c r="O1857" s="228"/>
      <c r="P1857" s="230"/>
      <c r="Q1857" s="219"/>
      <c r="R1857" s="198"/>
      <c r="S1857" s="198"/>
      <c r="T1857" s="198"/>
      <c r="U1857" s="198"/>
      <c r="V1857" s="198"/>
      <c r="W1857" s="198"/>
      <c r="X1857" s="198"/>
    </row>
    <row r="1858" ht="12.0" customHeight="1">
      <c r="A1858" s="222" t="str">
        <f>IF(COUNTIFS(RC_OUT[BLOCK],RC_IN[BLOCK],RC_OUT[REMARKS],"*CLOSED*")&gt;0,"CLOSED",IF(COUNTIFS(RC_OUT[BLOCK],RC_IN[BLOCK],RC_OUT[WT],"&gt;0")&gt;0,"IN-USE",""))
</f>
        <v/>
      </c>
      <c r="B1858" s="223" t="str">
        <f>IFERROR(__xludf.DUMMYFUNCTION("IFERROR(IF(F1858&lt;&gt;"""",""WHSE ""&amp;LEFT(F1858,1),REGEXEXTRACT(E1858,""-(?:\d{2}-)?([A-Z]+)"")),"""")
"),"")</f>
        <v/>
      </c>
      <c r="C1858" s="224"/>
      <c r="D1858" s="219"/>
      <c r="E1858" s="225"/>
      <c r="F1858" s="225"/>
      <c r="G1858" s="226"/>
      <c r="H1858" s="225"/>
      <c r="I1858" s="227"/>
      <c r="J1858" s="228"/>
      <c r="K1858" s="229"/>
      <c r="L1858" s="229"/>
      <c r="M1858" s="229"/>
      <c r="N1858" s="230"/>
      <c r="O1858" s="228"/>
      <c r="P1858" s="230"/>
      <c r="Q1858" s="219"/>
      <c r="R1858" s="198"/>
      <c r="S1858" s="198"/>
      <c r="T1858" s="198"/>
      <c r="U1858" s="198"/>
      <c r="V1858" s="198"/>
      <c r="W1858" s="198"/>
      <c r="X1858" s="198"/>
    </row>
    <row r="1859" ht="12.0" customHeight="1">
      <c r="A1859" s="222" t="str">
        <f>IF(COUNTIFS(RC_OUT[BLOCK],RC_IN[BLOCK],RC_OUT[REMARKS],"*CLOSED*")&gt;0,"CLOSED",IF(COUNTIFS(RC_OUT[BLOCK],RC_IN[BLOCK],RC_OUT[WT],"&gt;0")&gt;0,"IN-USE",""))
</f>
        <v/>
      </c>
      <c r="B1859" s="223" t="str">
        <f>IFERROR(__xludf.DUMMYFUNCTION("IFERROR(IF(F1859&lt;&gt;"""",""WHSE ""&amp;LEFT(F1859,1),REGEXEXTRACT(E1859,""-(?:\d{2}-)?([A-Z]+)"")),"""")
"),"")</f>
        <v/>
      </c>
      <c r="C1859" s="224"/>
      <c r="D1859" s="219"/>
      <c r="E1859" s="225"/>
      <c r="F1859" s="225"/>
      <c r="G1859" s="226"/>
      <c r="H1859" s="225"/>
      <c r="I1859" s="227"/>
      <c r="J1859" s="228"/>
      <c r="K1859" s="229"/>
      <c r="L1859" s="229"/>
      <c r="M1859" s="229"/>
      <c r="N1859" s="230"/>
      <c r="O1859" s="228"/>
      <c r="P1859" s="230"/>
      <c r="Q1859" s="219"/>
      <c r="R1859" s="198"/>
      <c r="S1859" s="198"/>
      <c r="T1859" s="198"/>
      <c r="U1859" s="198"/>
      <c r="V1859" s="198"/>
      <c r="W1859" s="198"/>
      <c r="X1859" s="198"/>
    </row>
    <row r="1860" ht="12.0" customHeight="1">
      <c r="A1860" s="222" t="str">
        <f>IF(COUNTIFS(RC_OUT[BLOCK],RC_IN[BLOCK],RC_OUT[REMARKS],"*CLOSED*")&gt;0,"CLOSED",IF(COUNTIFS(RC_OUT[BLOCK],RC_IN[BLOCK],RC_OUT[WT],"&gt;0")&gt;0,"IN-USE",""))
</f>
        <v/>
      </c>
      <c r="B1860" s="223" t="str">
        <f>IFERROR(__xludf.DUMMYFUNCTION("IFERROR(IF(F1860&lt;&gt;"""",""WHSE ""&amp;LEFT(F1860,1),REGEXEXTRACT(E1860,""-(?:\d{2}-)?([A-Z]+)"")),"""")
"),"")</f>
        <v/>
      </c>
      <c r="C1860" s="224"/>
      <c r="D1860" s="219"/>
      <c r="E1860" s="225"/>
      <c r="F1860" s="225"/>
      <c r="G1860" s="226"/>
      <c r="H1860" s="225"/>
      <c r="I1860" s="227"/>
      <c r="J1860" s="228"/>
      <c r="K1860" s="229"/>
      <c r="L1860" s="229"/>
      <c r="M1860" s="229"/>
      <c r="N1860" s="230"/>
      <c r="O1860" s="228"/>
      <c r="P1860" s="230"/>
      <c r="Q1860" s="219"/>
      <c r="R1860" s="198"/>
      <c r="S1860" s="198"/>
      <c r="T1860" s="198"/>
      <c r="U1860" s="198"/>
      <c r="V1860" s="198"/>
      <c r="W1860" s="198"/>
      <c r="X1860" s="198"/>
    </row>
    <row r="1861" ht="12.0" customHeight="1">
      <c r="A1861" s="222" t="str">
        <f>IF(COUNTIFS(RC_OUT[BLOCK],RC_IN[BLOCK],RC_OUT[REMARKS],"*CLOSED*")&gt;0,"CLOSED",IF(COUNTIFS(RC_OUT[BLOCK],RC_IN[BLOCK],RC_OUT[WT],"&gt;0")&gt;0,"IN-USE",""))
</f>
        <v/>
      </c>
      <c r="B1861" s="223" t="str">
        <f>IFERROR(__xludf.DUMMYFUNCTION("IFERROR(IF(F1861&lt;&gt;"""",""WHSE ""&amp;LEFT(F1861,1),REGEXEXTRACT(E1861,""-(?:\d{2}-)?([A-Z]+)"")),"""")
"),"")</f>
        <v/>
      </c>
      <c r="C1861" s="224"/>
      <c r="D1861" s="219"/>
      <c r="E1861" s="225"/>
      <c r="F1861" s="225"/>
      <c r="G1861" s="226"/>
      <c r="H1861" s="225"/>
      <c r="I1861" s="227"/>
      <c r="J1861" s="228"/>
      <c r="K1861" s="229"/>
      <c r="L1861" s="229"/>
      <c r="M1861" s="229"/>
      <c r="N1861" s="230"/>
      <c r="O1861" s="228"/>
      <c r="P1861" s="230"/>
      <c r="Q1861" s="219"/>
      <c r="R1861" s="198"/>
      <c r="S1861" s="198"/>
      <c r="T1861" s="198"/>
      <c r="U1861" s="198"/>
      <c r="V1861" s="198"/>
      <c r="W1861" s="198"/>
      <c r="X1861" s="198"/>
    </row>
    <row r="1862" ht="12.0" customHeight="1">
      <c r="A1862" s="222" t="str">
        <f>IF(COUNTIFS(RC_OUT[BLOCK],RC_IN[BLOCK],RC_OUT[REMARKS],"*CLOSED*")&gt;0,"CLOSED",IF(COUNTIFS(RC_OUT[BLOCK],RC_IN[BLOCK],RC_OUT[WT],"&gt;0")&gt;0,"IN-USE",""))
</f>
        <v/>
      </c>
      <c r="B1862" s="223" t="str">
        <f>IFERROR(__xludf.DUMMYFUNCTION("IFERROR(IF(F1862&lt;&gt;"""",""WHSE ""&amp;LEFT(F1862,1),REGEXEXTRACT(E1862,""-(?:\d{2}-)?([A-Z]+)"")),"""")
"),"")</f>
        <v/>
      </c>
      <c r="C1862" s="224"/>
      <c r="D1862" s="219"/>
      <c r="E1862" s="225"/>
      <c r="F1862" s="225"/>
      <c r="G1862" s="226"/>
      <c r="H1862" s="225"/>
      <c r="I1862" s="227"/>
      <c r="J1862" s="228"/>
      <c r="K1862" s="229"/>
      <c r="L1862" s="229"/>
      <c r="M1862" s="229"/>
      <c r="N1862" s="230"/>
      <c r="O1862" s="228"/>
      <c r="P1862" s="230"/>
      <c r="Q1862" s="219"/>
      <c r="R1862" s="198"/>
      <c r="S1862" s="198"/>
      <c r="T1862" s="198"/>
      <c r="U1862" s="198"/>
      <c r="V1862" s="198"/>
      <c r="W1862" s="198"/>
      <c r="X1862" s="198"/>
    </row>
    <row r="1863" ht="12.0" customHeight="1">
      <c r="A1863" s="222" t="str">
        <f>IF(COUNTIFS(RC_OUT[BLOCK],RC_IN[BLOCK],RC_OUT[REMARKS],"*CLOSED*")&gt;0,"CLOSED",IF(COUNTIFS(RC_OUT[BLOCK],RC_IN[BLOCK],RC_OUT[WT],"&gt;0")&gt;0,"IN-USE",""))
</f>
        <v/>
      </c>
      <c r="B1863" s="223" t="str">
        <f>IFERROR(__xludf.DUMMYFUNCTION("IFERROR(IF(F1863&lt;&gt;"""",""WHSE ""&amp;LEFT(F1863,1),REGEXEXTRACT(E1863,""-(?:\d{2}-)?([A-Z]+)"")),"""")
"),"")</f>
        <v/>
      </c>
      <c r="C1863" s="224"/>
      <c r="D1863" s="219"/>
      <c r="E1863" s="225"/>
      <c r="F1863" s="225"/>
      <c r="G1863" s="226"/>
      <c r="H1863" s="225"/>
      <c r="I1863" s="227"/>
      <c r="J1863" s="228"/>
      <c r="K1863" s="229"/>
      <c r="L1863" s="229"/>
      <c r="M1863" s="229"/>
      <c r="N1863" s="230"/>
      <c r="O1863" s="228"/>
      <c r="P1863" s="230"/>
      <c r="Q1863" s="219"/>
      <c r="R1863" s="198"/>
      <c r="S1863" s="198"/>
      <c r="T1863" s="198"/>
      <c r="U1863" s="198"/>
      <c r="V1863" s="198"/>
      <c r="W1863" s="198"/>
      <c r="X1863" s="198"/>
    </row>
    <row r="1864" ht="12.0" customHeight="1">
      <c r="A1864" s="222" t="str">
        <f>IF(COUNTIFS(RC_OUT[BLOCK],RC_IN[BLOCK],RC_OUT[REMARKS],"*CLOSED*")&gt;0,"CLOSED",IF(COUNTIFS(RC_OUT[BLOCK],RC_IN[BLOCK],RC_OUT[WT],"&gt;0")&gt;0,"IN-USE",""))
</f>
        <v/>
      </c>
      <c r="B1864" s="223" t="str">
        <f>IFERROR(__xludf.DUMMYFUNCTION("IFERROR(IF(F1864&lt;&gt;"""",""WHSE ""&amp;LEFT(F1864,1),REGEXEXTRACT(E1864,""-(?:\d{2}-)?([A-Z]+)"")),"""")
"),"")</f>
        <v/>
      </c>
      <c r="C1864" s="224"/>
      <c r="D1864" s="219"/>
      <c r="E1864" s="225"/>
      <c r="F1864" s="225"/>
      <c r="G1864" s="226"/>
      <c r="H1864" s="225"/>
      <c r="I1864" s="227"/>
      <c r="J1864" s="228"/>
      <c r="K1864" s="229"/>
      <c r="L1864" s="229"/>
      <c r="M1864" s="229"/>
      <c r="N1864" s="230"/>
      <c r="O1864" s="228"/>
      <c r="P1864" s="230"/>
      <c r="Q1864" s="219"/>
      <c r="R1864" s="198"/>
      <c r="S1864" s="198"/>
      <c r="T1864" s="198"/>
      <c r="U1864" s="198"/>
      <c r="V1864" s="198"/>
      <c r="W1864" s="198"/>
      <c r="X1864" s="198"/>
    </row>
    <row r="1865" ht="12.0" customHeight="1">
      <c r="A1865" s="222" t="str">
        <f>IF(COUNTIFS(RC_OUT[BLOCK],RC_IN[BLOCK],RC_OUT[REMARKS],"*CLOSED*")&gt;0,"CLOSED",IF(COUNTIFS(RC_OUT[BLOCK],RC_IN[BLOCK],RC_OUT[WT],"&gt;0")&gt;0,"IN-USE",""))
</f>
        <v/>
      </c>
      <c r="B1865" s="223" t="str">
        <f>IFERROR(__xludf.DUMMYFUNCTION("IFERROR(IF(F1865&lt;&gt;"""",""WHSE ""&amp;LEFT(F1865,1),REGEXEXTRACT(E1865,""-(?:\d{2}-)?([A-Z]+)"")),"""")
"),"")</f>
        <v/>
      </c>
      <c r="C1865" s="224"/>
      <c r="D1865" s="219"/>
      <c r="E1865" s="225"/>
      <c r="F1865" s="225"/>
      <c r="G1865" s="226"/>
      <c r="H1865" s="225"/>
      <c r="I1865" s="227"/>
      <c r="J1865" s="228"/>
      <c r="K1865" s="229"/>
      <c r="L1865" s="229"/>
      <c r="M1865" s="229"/>
      <c r="N1865" s="230"/>
      <c r="O1865" s="228"/>
      <c r="P1865" s="230"/>
      <c r="Q1865" s="219"/>
      <c r="R1865" s="198"/>
      <c r="S1865" s="198"/>
      <c r="T1865" s="198"/>
      <c r="U1865" s="198"/>
      <c r="V1865" s="198"/>
      <c r="W1865" s="198"/>
      <c r="X1865" s="198"/>
    </row>
    <row r="1866" ht="12.0" customHeight="1">
      <c r="A1866" s="222" t="str">
        <f>IF(COUNTIFS(RC_OUT[BLOCK],RC_IN[BLOCK],RC_OUT[REMARKS],"*CLOSED*")&gt;0,"CLOSED",IF(COUNTIFS(RC_OUT[BLOCK],RC_IN[BLOCK],RC_OUT[WT],"&gt;0")&gt;0,"IN-USE",""))
</f>
        <v/>
      </c>
      <c r="B1866" s="223" t="str">
        <f>IFERROR(__xludf.DUMMYFUNCTION("IFERROR(IF(F1866&lt;&gt;"""",""WHSE ""&amp;LEFT(F1866,1),REGEXEXTRACT(E1866,""-(?:\d{2}-)?([A-Z]+)"")),"""")
"),"")</f>
        <v/>
      </c>
      <c r="C1866" s="224"/>
      <c r="D1866" s="219"/>
      <c r="E1866" s="225"/>
      <c r="F1866" s="225"/>
      <c r="G1866" s="226"/>
      <c r="H1866" s="225"/>
      <c r="I1866" s="227"/>
      <c r="J1866" s="228"/>
      <c r="K1866" s="229"/>
      <c r="L1866" s="229"/>
      <c r="M1866" s="229"/>
      <c r="N1866" s="230"/>
      <c r="O1866" s="228"/>
      <c r="P1866" s="230"/>
      <c r="Q1866" s="219"/>
      <c r="R1866" s="198"/>
      <c r="S1866" s="198"/>
      <c r="T1866" s="198"/>
      <c r="U1866" s="198"/>
      <c r="V1866" s="198"/>
      <c r="W1866" s="198"/>
      <c r="X1866" s="198"/>
    </row>
    <row r="1867" ht="12.0" customHeight="1">
      <c r="A1867" s="222" t="str">
        <f>IF(COUNTIFS(RC_OUT[BLOCK],RC_IN[BLOCK],RC_OUT[REMARKS],"*CLOSED*")&gt;0,"CLOSED",IF(COUNTIFS(RC_OUT[BLOCK],RC_IN[BLOCK],RC_OUT[WT],"&gt;0")&gt;0,"IN-USE",""))
</f>
        <v/>
      </c>
      <c r="B1867" s="223" t="str">
        <f>IFERROR(__xludf.DUMMYFUNCTION("IFERROR(IF(F1867&lt;&gt;"""",""WHSE ""&amp;LEFT(F1867,1),REGEXEXTRACT(E1867,""-(?:\d{2}-)?([A-Z]+)"")),"""")
"),"")</f>
        <v/>
      </c>
      <c r="C1867" s="224"/>
      <c r="D1867" s="219"/>
      <c r="E1867" s="225"/>
      <c r="F1867" s="225"/>
      <c r="G1867" s="226"/>
      <c r="H1867" s="225"/>
      <c r="I1867" s="227"/>
      <c r="J1867" s="228"/>
      <c r="K1867" s="229"/>
      <c r="L1867" s="229"/>
      <c r="M1867" s="229"/>
      <c r="N1867" s="230"/>
      <c r="O1867" s="228"/>
      <c r="P1867" s="230"/>
      <c r="Q1867" s="219"/>
      <c r="R1867" s="198"/>
      <c r="S1867" s="198"/>
      <c r="T1867" s="198"/>
      <c r="U1867" s="198"/>
      <c r="V1867" s="198"/>
      <c r="W1867" s="198"/>
      <c r="X1867" s="198"/>
    </row>
    <row r="1868" ht="12.0" customHeight="1">
      <c r="A1868" s="222" t="str">
        <f>IF(COUNTIFS(RC_OUT[BLOCK],RC_IN[BLOCK],RC_OUT[REMARKS],"*CLOSED*")&gt;0,"CLOSED",IF(COUNTIFS(RC_OUT[BLOCK],RC_IN[BLOCK],RC_OUT[WT],"&gt;0")&gt;0,"IN-USE",""))
</f>
        <v/>
      </c>
      <c r="B1868" s="223" t="str">
        <f>IFERROR(__xludf.DUMMYFUNCTION("IFERROR(IF(F1868&lt;&gt;"""",""WHSE ""&amp;LEFT(F1868,1),REGEXEXTRACT(E1868,""-(?:\d{2}-)?([A-Z]+)"")),"""")
"),"")</f>
        <v/>
      </c>
      <c r="C1868" s="224"/>
      <c r="D1868" s="219"/>
      <c r="E1868" s="225"/>
      <c r="F1868" s="225"/>
      <c r="G1868" s="226"/>
      <c r="H1868" s="225"/>
      <c r="I1868" s="227"/>
      <c r="J1868" s="228"/>
      <c r="K1868" s="229"/>
      <c r="L1868" s="229"/>
      <c r="M1868" s="229"/>
      <c r="N1868" s="230"/>
      <c r="O1868" s="228"/>
      <c r="P1868" s="230"/>
      <c r="Q1868" s="219"/>
      <c r="R1868" s="198"/>
      <c r="S1868" s="198"/>
      <c r="T1868" s="198"/>
      <c r="U1868" s="198"/>
      <c r="V1868" s="198"/>
      <c r="W1868" s="198"/>
      <c r="X1868" s="198"/>
    </row>
    <row r="1869" ht="12.0" customHeight="1">
      <c r="A1869" s="222" t="str">
        <f>IF(COUNTIFS(RC_OUT[BLOCK],RC_IN[BLOCK],RC_OUT[REMARKS],"*CLOSED*")&gt;0,"CLOSED",IF(COUNTIFS(RC_OUT[BLOCK],RC_IN[BLOCK],RC_OUT[WT],"&gt;0")&gt;0,"IN-USE",""))
</f>
        <v/>
      </c>
      <c r="B1869" s="223" t="str">
        <f>IFERROR(__xludf.DUMMYFUNCTION("IFERROR(IF(F1869&lt;&gt;"""",""WHSE ""&amp;LEFT(F1869,1),REGEXEXTRACT(E1869,""-(?:\d{2}-)?([A-Z]+)"")),"""")
"),"")</f>
        <v/>
      </c>
      <c r="C1869" s="224"/>
      <c r="D1869" s="219"/>
      <c r="E1869" s="225"/>
      <c r="F1869" s="225"/>
      <c r="G1869" s="226"/>
      <c r="H1869" s="225"/>
      <c r="I1869" s="227"/>
      <c r="J1869" s="228"/>
      <c r="K1869" s="229"/>
      <c r="L1869" s="229"/>
      <c r="M1869" s="229"/>
      <c r="N1869" s="230"/>
      <c r="O1869" s="228"/>
      <c r="P1869" s="230"/>
      <c r="Q1869" s="219"/>
      <c r="R1869" s="198"/>
      <c r="S1869" s="198"/>
      <c r="T1869" s="198"/>
      <c r="U1869" s="198"/>
      <c r="V1869" s="198"/>
      <c r="W1869" s="198"/>
      <c r="X1869" s="198"/>
    </row>
    <row r="1870" ht="12.0" customHeight="1">
      <c r="A1870" s="222" t="str">
        <f>IF(COUNTIFS(RC_OUT[BLOCK],RC_IN[BLOCK],RC_OUT[REMARKS],"*CLOSED*")&gt;0,"CLOSED",IF(COUNTIFS(RC_OUT[BLOCK],RC_IN[BLOCK],RC_OUT[WT],"&gt;0")&gt;0,"IN-USE",""))
</f>
        <v/>
      </c>
      <c r="B1870" s="223" t="str">
        <f>IFERROR(__xludf.DUMMYFUNCTION("IFERROR(IF(F1870&lt;&gt;"""",""WHSE ""&amp;LEFT(F1870,1),REGEXEXTRACT(E1870,""-(?:\d{2}-)?([A-Z]+)"")),"""")
"),"")</f>
        <v/>
      </c>
      <c r="C1870" s="224"/>
      <c r="D1870" s="219"/>
      <c r="E1870" s="225"/>
      <c r="F1870" s="225"/>
      <c r="G1870" s="226"/>
      <c r="H1870" s="225"/>
      <c r="I1870" s="227"/>
      <c r="J1870" s="228"/>
      <c r="K1870" s="229"/>
      <c r="L1870" s="229"/>
      <c r="M1870" s="229"/>
      <c r="N1870" s="230"/>
      <c r="O1870" s="228"/>
      <c r="P1870" s="230"/>
      <c r="Q1870" s="219"/>
      <c r="R1870" s="198"/>
      <c r="S1870" s="198"/>
      <c r="T1870" s="198"/>
      <c r="U1870" s="198"/>
      <c r="V1870" s="198"/>
      <c r="W1870" s="198"/>
      <c r="X1870" s="198"/>
    </row>
    <row r="1871" ht="12.0" customHeight="1">
      <c r="A1871" s="222" t="str">
        <f>IF(COUNTIFS(RC_OUT[BLOCK],RC_IN[BLOCK],RC_OUT[REMARKS],"*CLOSED*")&gt;0,"CLOSED",IF(COUNTIFS(RC_OUT[BLOCK],RC_IN[BLOCK],RC_OUT[WT],"&gt;0")&gt;0,"IN-USE",""))
</f>
        <v/>
      </c>
      <c r="B1871" s="223" t="str">
        <f>IFERROR(__xludf.DUMMYFUNCTION("IFERROR(IF(F1871&lt;&gt;"""",""WHSE ""&amp;LEFT(F1871,1),REGEXEXTRACT(E1871,""-(?:\d{2}-)?([A-Z]+)"")),"""")
"),"")</f>
        <v/>
      </c>
      <c r="C1871" s="224"/>
      <c r="D1871" s="219"/>
      <c r="E1871" s="225"/>
      <c r="F1871" s="225"/>
      <c r="G1871" s="226"/>
      <c r="H1871" s="225"/>
      <c r="I1871" s="227"/>
      <c r="J1871" s="228"/>
      <c r="K1871" s="229"/>
      <c r="L1871" s="229"/>
      <c r="M1871" s="229"/>
      <c r="N1871" s="230"/>
      <c r="O1871" s="228"/>
      <c r="P1871" s="230"/>
      <c r="Q1871" s="219"/>
      <c r="R1871" s="198"/>
      <c r="S1871" s="198"/>
      <c r="T1871" s="198"/>
      <c r="U1871" s="198"/>
      <c r="V1871" s="198"/>
      <c r="W1871" s="198"/>
      <c r="X1871" s="198"/>
    </row>
    <row r="1872" ht="12.0" customHeight="1">
      <c r="A1872" s="222" t="str">
        <f>IF(COUNTIFS(RC_OUT[BLOCK],RC_IN[BLOCK],RC_OUT[REMARKS],"*CLOSED*")&gt;0,"CLOSED",IF(COUNTIFS(RC_OUT[BLOCK],RC_IN[BLOCK],RC_OUT[WT],"&gt;0")&gt;0,"IN-USE",""))
</f>
        <v/>
      </c>
      <c r="B1872" s="223" t="str">
        <f>IFERROR(__xludf.DUMMYFUNCTION("IFERROR(IF(F1872&lt;&gt;"""",""WHSE ""&amp;LEFT(F1872,1),REGEXEXTRACT(E1872,""-(?:\d{2}-)?([A-Z]+)"")),"""")
"),"")</f>
        <v/>
      </c>
      <c r="C1872" s="224"/>
      <c r="D1872" s="219"/>
      <c r="E1872" s="225"/>
      <c r="F1872" s="225"/>
      <c r="G1872" s="226"/>
      <c r="H1872" s="225"/>
      <c r="I1872" s="227"/>
      <c r="J1872" s="228"/>
      <c r="K1872" s="229"/>
      <c r="L1872" s="229"/>
      <c r="M1872" s="229"/>
      <c r="N1872" s="230"/>
      <c r="O1872" s="228"/>
      <c r="P1872" s="230"/>
      <c r="Q1872" s="219"/>
      <c r="R1872" s="198"/>
      <c r="S1872" s="198"/>
      <c r="T1872" s="198"/>
      <c r="U1872" s="198"/>
      <c r="V1872" s="198"/>
      <c r="W1872" s="198"/>
      <c r="X1872" s="198"/>
    </row>
    <row r="1873" ht="12.0" customHeight="1">
      <c r="A1873" s="222" t="str">
        <f>IF(COUNTIFS(RC_OUT[BLOCK],RC_IN[BLOCK],RC_OUT[REMARKS],"*CLOSED*")&gt;0,"CLOSED",IF(COUNTIFS(RC_OUT[BLOCK],RC_IN[BLOCK],RC_OUT[WT],"&gt;0")&gt;0,"IN-USE",""))
</f>
        <v/>
      </c>
      <c r="B1873" s="223" t="str">
        <f>IFERROR(__xludf.DUMMYFUNCTION("IFERROR(IF(F1873&lt;&gt;"""",""WHSE ""&amp;LEFT(F1873,1),REGEXEXTRACT(E1873,""-(?:\d{2}-)?([A-Z]+)"")),"""")
"),"")</f>
        <v/>
      </c>
      <c r="C1873" s="224"/>
      <c r="D1873" s="219"/>
      <c r="E1873" s="225"/>
      <c r="F1873" s="225"/>
      <c r="G1873" s="226"/>
      <c r="H1873" s="225"/>
      <c r="I1873" s="227"/>
      <c r="J1873" s="228"/>
      <c r="K1873" s="229"/>
      <c r="L1873" s="229"/>
      <c r="M1873" s="229"/>
      <c r="N1873" s="230"/>
      <c r="O1873" s="228"/>
      <c r="P1873" s="230"/>
      <c r="Q1873" s="219"/>
      <c r="R1873" s="198"/>
      <c r="S1873" s="198"/>
      <c r="T1873" s="198"/>
      <c r="U1873" s="198"/>
      <c r="V1873" s="198"/>
      <c r="W1873" s="198"/>
      <c r="X1873" s="198"/>
    </row>
    <row r="1874" ht="12.0" customHeight="1">
      <c r="A1874" s="222" t="str">
        <f>IF(COUNTIFS(RC_OUT[BLOCK],RC_IN[BLOCK],RC_OUT[REMARKS],"*CLOSED*")&gt;0,"CLOSED",IF(COUNTIFS(RC_OUT[BLOCK],RC_IN[BLOCK],RC_OUT[WT],"&gt;0")&gt;0,"IN-USE",""))
</f>
        <v/>
      </c>
      <c r="B1874" s="223" t="str">
        <f>IFERROR(__xludf.DUMMYFUNCTION("IFERROR(IF(F1874&lt;&gt;"""",""WHSE ""&amp;LEFT(F1874,1),REGEXEXTRACT(E1874,""-(?:\d{2}-)?([A-Z]+)"")),"""")
"),"")</f>
        <v/>
      </c>
      <c r="C1874" s="224"/>
      <c r="D1874" s="219"/>
      <c r="E1874" s="225"/>
      <c r="F1874" s="225"/>
      <c r="G1874" s="226"/>
      <c r="H1874" s="225"/>
      <c r="I1874" s="227"/>
      <c r="J1874" s="228"/>
      <c r="K1874" s="229"/>
      <c r="L1874" s="229"/>
      <c r="M1874" s="229"/>
      <c r="N1874" s="230"/>
      <c r="O1874" s="228"/>
      <c r="P1874" s="230"/>
      <c r="Q1874" s="219"/>
      <c r="R1874" s="198"/>
      <c r="S1874" s="198"/>
      <c r="T1874" s="198"/>
      <c r="U1874" s="198"/>
      <c r="V1874" s="198"/>
      <c r="W1874" s="198"/>
      <c r="X1874" s="198"/>
    </row>
    <row r="1875" ht="12.0" customHeight="1">
      <c r="A1875" s="222" t="str">
        <f>IF(COUNTIFS(RC_OUT[BLOCK],RC_IN[BLOCK],RC_OUT[REMARKS],"*CLOSED*")&gt;0,"CLOSED",IF(COUNTIFS(RC_OUT[BLOCK],RC_IN[BLOCK],RC_OUT[WT],"&gt;0")&gt;0,"IN-USE",""))
</f>
        <v/>
      </c>
      <c r="B1875" s="223" t="str">
        <f>IFERROR(__xludf.DUMMYFUNCTION("IFERROR(IF(F1875&lt;&gt;"""",""WHSE ""&amp;LEFT(F1875,1),REGEXEXTRACT(E1875,""-(?:\d{2}-)?([A-Z]+)"")),"""")
"),"")</f>
        <v/>
      </c>
      <c r="C1875" s="224"/>
      <c r="D1875" s="219"/>
      <c r="E1875" s="225"/>
      <c r="F1875" s="225"/>
      <c r="G1875" s="226"/>
      <c r="H1875" s="225"/>
      <c r="I1875" s="227"/>
      <c r="J1875" s="228"/>
      <c r="K1875" s="229"/>
      <c r="L1875" s="229"/>
      <c r="M1875" s="229"/>
      <c r="N1875" s="230"/>
      <c r="O1875" s="228"/>
      <c r="P1875" s="230"/>
      <c r="Q1875" s="219"/>
      <c r="R1875" s="198"/>
      <c r="S1875" s="198"/>
      <c r="T1875" s="198"/>
      <c r="U1875" s="198"/>
      <c r="V1875" s="198"/>
      <c r="W1875" s="198"/>
      <c r="X1875" s="198"/>
    </row>
    <row r="1876" ht="12.0" customHeight="1">
      <c r="A1876" s="222" t="str">
        <f>IF(COUNTIFS(RC_OUT[BLOCK],RC_IN[BLOCK],RC_OUT[REMARKS],"*CLOSED*")&gt;0,"CLOSED",IF(COUNTIFS(RC_OUT[BLOCK],RC_IN[BLOCK],RC_OUT[WT],"&gt;0")&gt;0,"IN-USE",""))
</f>
        <v/>
      </c>
      <c r="B1876" s="223" t="str">
        <f>IFERROR(__xludf.DUMMYFUNCTION("IFERROR(IF(F1876&lt;&gt;"""",""WHSE ""&amp;LEFT(F1876,1),REGEXEXTRACT(E1876,""-(?:\d{2}-)?([A-Z]+)"")),"""")
"),"")</f>
        <v/>
      </c>
      <c r="C1876" s="224"/>
      <c r="D1876" s="219"/>
      <c r="E1876" s="225"/>
      <c r="F1876" s="225"/>
      <c r="G1876" s="226"/>
      <c r="H1876" s="225"/>
      <c r="I1876" s="227"/>
      <c r="J1876" s="228"/>
      <c r="K1876" s="229"/>
      <c r="L1876" s="229"/>
      <c r="M1876" s="229"/>
      <c r="N1876" s="230"/>
      <c r="O1876" s="228"/>
      <c r="P1876" s="230"/>
      <c r="Q1876" s="219"/>
      <c r="R1876" s="198"/>
      <c r="S1876" s="198"/>
      <c r="T1876" s="198"/>
      <c r="U1876" s="198"/>
      <c r="V1876" s="198"/>
      <c r="W1876" s="198"/>
      <c r="X1876" s="198"/>
    </row>
    <row r="1877" ht="12.0" customHeight="1">
      <c r="A1877" s="222" t="str">
        <f>IF(COUNTIFS(RC_OUT[BLOCK],RC_IN[BLOCK],RC_OUT[REMARKS],"*CLOSED*")&gt;0,"CLOSED",IF(COUNTIFS(RC_OUT[BLOCK],RC_IN[BLOCK],RC_OUT[WT],"&gt;0")&gt;0,"IN-USE",""))
</f>
        <v/>
      </c>
      <c r="B1877" s="223" t="str">
        <f>IFERROR(__xludf.DUMMYFUNCTION("IFERROR(IF(F1877&lt;&gt;"""",""WHSE ""&amp;LEFT(F1877,1),REGEXEXTRACT(E1877,""-(?:\d{2}-)?([A-Z]+)"")),"""")
"),"")</f>
        <v/>
      </c>
      <c r="C1877" s="224"/>
      <c r="D1877" s="219"/>
      <c r="E1877" s="225"/>
      <c r="F1877" s="225"/>
      <c r="G1877" s="226"/>
      <c r="H1877" s="225"/>
      <c r="I1877" s="227"/>
      <c r="J1877" s="228"/>
      <c r="K1877" s="229"/>
      <c r="L1877" s="229"/>
      <c r="M1877" s="229"/>
      <c r="N1877" s="230"/>
      <c r="O1877" s="228"/>
      <c r="P1877" s="230"/>
      <c r="Q1877" s="219"/>
      <c r="R1877" s="198"/>
      <c r="S1877" s="198"/>
      <c r="T1877" s="198"/>
      <c r="U1877" s="198"/>
      <c r="V1877" s="198"/>
      <c r="W1877" s="198"/>
      <c r="X1877" s="198"/>
    </row>
    <row r="1878" ht="12.0" customHeight="1">
      <c r="A1878" s="222" t="str">
        <f>IF(COUNTIFS(RC_OUT[BLOCK],RC_IN[BLOCK],RC_OUT[REMARKS],"*CLOSED*")&gt;0,"CLOSED",IF(COUNTIFS(RC_OUT[BLOCK],RC_IN[BLOCK],RC_OUT[WT],"&gt;0")&gt;0,"IN-USE",""))
</f>
        <v/>
      </c>
      <c r="B1878" s="223" t="str">
        <f>IFERROR(__xludf.DUMMYFUNCTION("IFERROR(IF(F1878&lt;&gt;"""",""WHSE ""&amp;LEFT(F1878,1),REGEXEXTRACT(E1878,""-(?:\d{2}-)?([A-Z]+)"")),"""")
"),"")</f>
        <v/>
      </c>
      <c r="C1878" s="224"/>
      <c r="D1878" s="219"/>
      <c r="E1878" s="225"/>
      <c r="F1878" s="225"/>
      <c r="G1878" s="226"/>
      <c r="H1878" s="225"/>
      <c r="I1878" s="227"/>
      <c r="J1878" s="228"/>
      <c r="K1878" s="229"/>
      <c r="L1878" s="229"/>
      <c r="M1878" s="229"/>
      <c r="N1878" s="230"/>
      <c r="O1878" s="228"/>
      <c r="P1878" s="230"/>
      <c r="Q1878" s="219"/>
      <c r="R1878" s="198"/>
      <c r="S1878" s="198"/>
      <c r="T1878" s="198"/>
      <c r="U1878" s="198"/>
      <c r="V1878" s="198"/>
      <c r="W1878" s="198"/>
      <c r="X1878" s="198"/>
    </row>
    <row r="1879" ht="12.0" customHeight="1">
      <c r="A1879" s="222" t="str">
        <f>IF(COUNTIFS(RC_OUT[BLOCK],RC_IN[BLOCK],RC_OUT[REMARKS],"*CLOSED*")&gt;0,"CLOSED",IF(COUNTIFS(RC_OUT[BLOCK],RC_IN[BLOCK],RC_OUT[WT],"&gt;0")&gt;0,"IN-USE",""))
</f>
        <v/>
      </c>
      <c r="B1879" s="223" t="str">
        <f>IFERROR(__xludf.DUMMYFUNCTION("IFERROR(IF(F1879&lt;&gt;"""",""WHSE ""&amp;LEFT(F1879,1),REGEXEXTRACT(E1879,""-(?:\d{2}-)?([A-Z]+)"")),"""")
"),"")</f>
        <v/>
      </c>
      <c r="C1879" s="224"/>
      <c r="D1879" s="219"/>
      <c r="E1879" s="225"/>
      <c r="F1879" s="225"/>
      <c r="G1879" s="226"/>
      <c r="H1879" s="225"/>
      <c r="I1879" s="227"/>
      <c r="J1879" s="228"/>
      <c r="K1879" s="229"/>
      <c r="L1879" s="229"/>
      <c r="M1879" s="229"/>
      <c r="N1879" s="230"/>
      <c r="O1879" s="228"/>
      <c r="P1879" s="230"/>
      <c r="Q1879" s="219"/>
      <c r="R1879" s="198"/>
      <c r="S1879" s="198"/>
      <c r="T1879" s="198"/>
      <c r="U1879" s="198"/>
      <c r="V1879" s="198"/>
      <c r="W1879" s="198"/>
      <c r="X1879" s="198"/>
    </row>
    <row r="1880" ht="12.0" customHeight="1">
      <c r="A1880" s="222" t="str">
        <f>IF(COUNTIFS(RC_OUT[BLOCK],RC_IN[BLOCK],RC_OUT[REMARKS],"*CLOSED*")&gt;0,"CLOSED",IF(COUNTIFS(RC_OUT[BLOCK],RC_IN[BLOCK],RC_OUT[WT],"&gt;0")&gt;0,"IN-USE",""))
</f>
        <v/>
      </c>
      <c r="B1880" s="223" t="str">
        <f>IFERROR(__xludf.DUMMYFUNCTION("IFERROR(IF(F1880&lt;&gt;"""",""WHSE ""&amp;LEFT(F1880,1),REGEXEXTRACT(E1880,""-(?:\d{2}-)?([A-Z]+)"")),"""")
"),"")</f>
        <v/>
      </c>
      <c r="C1880" s="224"/>
      <c r="D1880" s="219"/>
      <c r="E1880" s="225"/>
      <c r="F1880" s="225"/>
      <c r="G1880" s="226"/>
      <c r="H1880" s="225"/>
      <c r="I1880" s="227"/>
      <c r="J1880" s="228"/>
      <c r="K1880" s="229"/>
      <c r="L1880" s="229"/>
      <c r="M1880" s="229"/>
      <c r="N1880" s="230"/>
      <c r="O1880" s="228"/>
      <c r="P1880" s="230"/>
      <c r="Q1880" s="219"/>
      <c r="R1880" s="198"/>
      <c r="S1880" s="198"/>
      <c r="T1880" s="198"/>
      <c r="U1880" s="198"/>
      <c r="V1880" s="198"/>
      <c r="W1880" s="198"/>
      <c r="X1880" s="198"/>
    </row>
    <row r="1881" ht="12.0" customHeight="1">
      <c r="A1881" s="222" t="str">
        <f>IF(COUNTIFS(RC_OUT[BLOCK],RC_IN[BLOCK],RC_OUT[REMARKS],"*CLOSED*")&gt;0,"CLOSED",IF(COUNTIFS(RC_OUT[BLOCK],RC_IN[BLOCK],RC_OUT[WT],"&gt;0")&gt;0,"IN-USE",""))
</f>
        <v/>
      </c>
      <c r="B1881" s="223" t="str">
        <f>IFERROR(__xludf.DUMMYFUNCTION("IFERROR(IF(F1881&lt;&gt;"""",""WHSE ""&amp;LEFT(F1881,1),REGEXEXTRACT(E1881,""-(?:\d{2}-)?([A-Z]+)"")),"""")
"),"")</f>
        <v/>
      </c>
      <c r="C1881" s="224"/>
      <c r="D1881" s="219"/>
      <c r="E1881" s="225"/>
      <c r="F1881" s="225"/>
      <c r="G1881" s="226"/>
      <c r="H1881" s="225"/>
      <c r="I1881" s="227"/>
      <c r="J1881" s="228"/>
      <c r="K1881" s="229"/>
      <c r="L1881" s="229"/>
      <c r="M1881" s="229"/>
      <c r="N1881" s="230"/>
      <c r="O1881" s="228"/>
      <c r="P1881" s="230"/>
      <c r="Q1881" s="219"/>
      <c r="R1881" s="198"/>
      <c r="S1881" s="198"/>
      <c r="T1881" s="198"/>
      <c r="U1881" s="198"/>
      <c r="V1881" s="198"/>
      <c r="W1881" s="198"/>
      <c r="X1881" s="198"/>
    </row>
    <row r="1882" ht="12.0" customHeight="1">
      <c r="A1882" s="222" t="str">
        <f>IF(COUNTIFS(RC_OUT[BLOCK],RC_IN[BLOCK],RC_OUT[REMARKS],"*CLOSED*")&gt;0,"CLOSED",IF(COUNTIFS(RC_OUT[BLOCK],RC_IN[BLOCK],RC_OUT[WT],"&gt;0")&gt;0,"IN-USE",""))
</f>
        <v/>
      </c>
      <c r="B1882" s="223" t="str">
        <f>IFERROR(__xludf.DUMMYFUNCTION("IFERROR(IF(F1882&lt;&gt;"""",""WHSE ""&amp;LEFT(F1882,1),REGEXEXTRACT(E1882,""-(?:\d{2}-)?([A-Z]+)"")),"""")
"),"")</f>
        <v/>
      </c>
      <c r="C1882" s="224"/>
      <c r="D1882" s="219"/>
      <c r="E1882" s="225"/>
      <c r="F1882" s="225"/>
      <c r="G1882" s="226"/>
      <c r="H1882" s="225"/>
      <c r="I1882" s="227"/>
      <c r="J1882" s="228"/>
      <c r="K1882" s="229"/>
      <c r="L1882" s="229"/>
      <c r="M1882" s="229"/>
      <c r="N1882" s="230"/>
      <c r="O1882" s="228"/>
      <c r="P1882" s="230"/>
      <c r="Q1882" s="219"/>
      <c r="R1882" s="198"/>
      <c r="S1882" s="198"/>
      <c r="T1882" s="198"/>
      <c r="U1882" s="198"/>
      <c r="V1882" s="198"/>
      <c r="W1882" s="198"/>
      <c r="X1882" s="198"/>
    </row>
    <row r="1883" ht="12.0" customHeight="1">
      <c r="A1883" s="222" t="str">
        <f>IF(COUNTIFS(RC_OUT[BLOCK],RC_IN[BLOCK],RC_OUT[REMARKS],"*CLOSED*")&gt;0,"CLOSED",IF(COUNTIFS(RC_OUT[BLOCK],RC_IN[BLOCK],RC_OUT[WT],"&gt;0")&gt;0,"IN-USE",""))
</f>
        <v/>
      </c>
      <c r="B1883" s="223" t="str">
        <f>IFERROR(__xludf.DUMMYFUNCTION("IFERROR(IF(F1883&lt;&gt;"""",""WHSE ""&amp;LEFT(F1883,1),REGEXEXTRACT(E1883,""-(?:\d{2}-)?([A-Z]+)"")),"""")
"),"")</f>
        <v/>
      </c>
      <c r="C1883" s="224"/>
      <c r="D1883" s="219"/>
      <c r="E1883" s="225"/>
      <c r="F1883" s="225"/>
      <c r="G1883" s="226"/>
      <c r="H1883" s="225"/>
      <c r="I1883" s="227"/>
      <c r="J1883" s="228"/>
      <c r="K1883" s="229"/>
      <c r="L1883" s="229"/>
      <c r="M1883" s="229"/>
      <c r="N1883" s="230"/>
      <c r="O1883" s="228"/>
      <c r="P1883" s="230"/>
      <c r="Q1883" s="219"/>
      <c r="R1883" s="198"/>
      <c r="S1883" s="198"/>
      <c r="T1883" s="198"/>
      <c r="U1883" s="198"/>
      <c r="V1883" s="198"/>
      <c r="W1883" s="198"/>
      <c r="X1883" s="198"/>
    </row>
    <row r="1884" ht="12.0" customHeight="1">
      <c r="A1884" s="222" t="str">
        <f>IF(COUNTIFS(RC_OUT[BLOCK],RC_IN[BLOCK],RC_OUT[REMARKS],"*CLOSED*")&gt;0,"CLOSED",IF(COUNTIFS(RC_OUT[BLOCK],RC_IN[BLOCK],RC_OUT[WT],"&gt;0")&gt;0,"IN-USE",""))
</f>
        <v/>
      </c>
      <c r="B1884" s="223" t="str">
        <f>IFERROR(__xludf.DUMMYFUNCTION("IFERROR(IF(F1884&lt;&gt;"""",""WHSE ""&amp;LEFT(F1884,1),REGEXEXTRACT(E1884,""-(?:\d{2}-)?([A-Z]+)"")),"""")
"),"")</f>
        <v/>
      </c>
      <c r="C1884" s="224"/>
      <c r="D1884" s="219"/>
      <c r="E1884" s="225"/>
      <c r="F1884" s="225"/>
      <c r="G1884" s="226"/>
      <c r="H1884" s="225"/>
      <c r="I1884" s="227"/>
      <c r="J1884" s="228"/>
      <c r="K1884" s="229"/>
      <c r="L1884" s="229"/>
      <c r="M1884" s="229"/>
      <c r="N1884" s="230"/>
      <c r="O1884" s="228"/>
      <c r="P1884" s="230"/>
      <c r="Q1884" s="219"/>
      <c r="R1884" s="198"/>
      <c r="S1884" s="198"/>
      <c r="T1884" s="198"/>
      <c r="U1884" s="198"/>
      <c r="V1884" s="198"/>
      <c r="W1884" s="198"/>
      <c r="X1884" s="198"/>
    </row>
    <row r="1885" ht="12.0" customHeight="1">
      <c r="A1885" s="222" t="str">
        <f>IF(COUNTIFS(RC_OUT[BLOCK],RC_IN[BLOCK],RC_OUT[REMARKS],"*CLOSED*")&gt;0,"CLOSED",IF(COUNTIFS(RC_OUT[BLOCK],RC_IN[BLOCK],RC_OUT[WT],"&gt;0")&gt;0,"IN-USE",""))
</f>
        <v/>
      </c>
      <c r="B1885" s="223" t="str">
        <f>IFERROR(__xludf.DUMMYFUNCTION("IFERROR(IF(F1885&lt;&gt;"""",""WHSE ""&amp;LEFT(F1885,1),REGEXEXTRACT(E1885,""-(?:\d{2}-)?([A-Z]+)"")),"""")
"),"")</f>
        <v/>
      </c>
      <c r="C1885" s="224"/>
      <c r="D1885" s="219"/>
      <c r="E1885" s="225"/>
      <c r="F1885" s="225"/>
      <c r="G1885" s="226"/>
      <c r="H1885" s="225"/>
      <c r="I1885" s="227"/>
      <c r="J1885" s="228"/>
      <c r="K1885" s="229"/>
      <c r="L1885" s="229"/>
      <c r="M1885" s="229"/>
      <c r="N1885" s="230"/>
      <c r="O1885" s="228"/>
      <c r="P1885" s="230"/>
      <c r="Q1885" s="219"/>
      <c r="R1885" s="198"/>
      <c r="S1885" s="198"/>
      <c r="T1885" s="198"/>
      <c r="U1885" s="198"/>
      <c r="V1885" s="198"/>
      <c r="W1885" s="198"/>
      <c r="X1885" s="198"/>
    </row>
    <row r="1886" ht="12.0" customHeight="1">
      <c r="A1886" s="222" t="str">
        <f>IF(COUNTIFS(RC_OUT[BLOCK],RC_IN[BLOCK],RC_OUT[REMARKS],"*CLOSED*")&gt;0,"CLOSED",IF(COUNTIFS(RC_OUT[BLOCK],RC_IN[BLOCK],RC_OUT[WT],"&gt;0")&gt;0,"IN-USE",""))
</f>
        <v/>
      </c>
      <c r="B1886" s="223" t="str">
        <f>IFERROR(__xludf.DUMMYFUNCTION("IFERROR(IF(F1886&lt;&gt;"""",""WHSE ""&amp;LEFT(F1886,1),REGEXEXTRACT(E1886,""-(?:\d{2}-)?([A-Z]+)"")),"""")
"),"")</f>
        <v/>
      </c>
      <c r="C1886" s="224"/>
      <c r="D1886" s="219"/>
      <c r="E1886" s="225"/>
      <c r="F1886" s="225"/>
      <c r="G1886" s="226"/>
      <c r="H1886" s="225"/>
      <c r="I1886" s="227"/>
      <c r="J1886" s="228"/>
      <c r="K1886" s="229"/>
      <c r="L1886" s="229"/>
      <c r="M1886" s="229"/>
      <c r="N1886" s="230"/>
      <c r="O1886" s="228"/>
      <c r="P1886" s="230"/>
      <c r="Q1886" s="219"/>
      <c r="R1886" s="198"/>
      <c r="S1886" s="198"/>
      <c r="T1886" s="198"/>
      <c r="U1886" s="198"/>
      <c r="V1886" s="198"/>
      <c r="W1886" s="198"/>
      <c r="X1886" s="198"/>
    </row>
    <row r="1887" ht="12.0" customHeight="1">
      <c r="A1887" s="222" t="str">
        <f>IF(COUNTIFS(RC_OUT[BLOCK],RC_IN[BLOCK],RC_OUT[REMARKS],"*CLOSED*")&gt;0,"CLOSED",IF(COUNTIFS(RC_OUT[BLOCK],RC_IN[BLOCK],RC_OUT[WT],"&gt;0")&gt;0,"IN-USE",""))
</f>
        <v/>
      </c>
      <c r="B1887" s="223" t="str">
        <f>IFERROR(__xludf.DUMMYFUNCTION("IFERROR(IF(F1887&lt;&gt;"""",""WHSE ""&amp;LEFT(F1887,1),REGEXEXTRACT(E1887,""-(?:\d{2}-)?([A-Z]+)"")),"""")
"),"")</f>
        <v/>
      </c>
      <c r="C1887" s="224"/>
      <c r="D1887" s="219"/>
      <c r="E1887" s="225"/>
      <c r="F1887" s="225"/>
      <c r="G1887" s="226"/>
      <c r="H1887" s="225"/>
      <c r="I1887" s="227"/>
      <c r="J1887" s="228"/>
      <c r="K1887" s="229"/>
      <c r="L1887" s="229"/>
      <c r="M1887" s="229"/>
      <c r="N1887" s="230"/>
      <c r="O1887" s="228"/>
      <c r="P1887" s="230"/>
      <c r="Q1887" s="219"/>
      <c r="R1887" s="198"/>
      <c r="S1887" s="198"/>
      <c r="T1887" s="198"/>
      <c r="U1887" s="198"/>
      <c r="V1887" s="198"/>
      <c r="W1887" s="198"/>
      <c r="X1887" s="198"/>
    </row>
    <row r="1888" ht="12.0" customHeight="1">
      <c r="A1888" s="222" t="str">
        <f>IF(COUNTIFS(RC_OUT[BLOCK],RC_IN[BLOCK],RC_OUT[REMARKS],"*CLOSED*")&gt;0,"CLOSED",IF(COUNTIFS(RC_OUT[BLOCK],RC_IN[BLOCK],RC_OUT[WT],"&gt;0")&gt;0,"IN-USE",""))
</f>
        <v/>
      </c>
      <c r="B1888" s="223" t="str">
        <f>IFERROR(__xludf.DUMMYFUNCTION("IFERROR(IF(F1888&lt;&gt;"""",""WHSE ""&amp;LEFT(F1888,1),REGEXEXTRACT(E1888,""-(?:\d{2}-)?([A-Z]+)"")),"""")
"),"")</f>
        <v/>
      </c>
      <c r="C1888" s="224"/>
      <c r="D1888" s="219"/>
      <c r="E1888" s="225"/>
      <c r="F1888" s="225"/>
      <c r="G1888" s="226"/>
      <c r="H1888" s="225"/>
      <c r="I1888" s="227"/>
      <c r="J1888" s="228"/>
      <c r="K1888" s="229"/>
      <c r="L1888" s="229"/>
      <c r="M1888" s="229"/>
      <c r="N1888" s="230"/>
      <c r="O1888" s="228"/>
      <c r="P1888" s="230"/>
      <c r="Q1888" s="219"/>
      <c r="R1888" s="198"/>
      <c r="S1888" s="198"/>
      <c r="T1888" s="198"/>
      <c r="U1888" s="198"/>
      <c r="V1888" s="198"/>
      <c r="W1888" s="198"/>
      <c r="X1888" s="198"/>
    </row>
    <row r="1889" ht="12.0" customHeight="1">
      <c r="A1889" s="222" t="str">
        <f>IF(COUNTIFS(RC_OUT[BLOCK],RC_IN[BLOCK],RC_OUT[REMARKS],"*CLOSED*")&gt;0,"CLOSED",IF(COUNTIFS(RC_OUT[BLOCK],RC_IN[BLOCK],RC_OUT[WT],"&gt;0")&gt;0,"IN-USE",""))
</f>
        <v/>
      </c>
      <c r="B1889" s="223" t="str">
        <f>IFERROR(__xludf.DUMMYFUNCTION("IFERROR(IF(F1889&lt;&gt;"""",""WHSE ""&amp;LEFT(F1889,1),REGEXEXTRACT(E1889,""-(?:\d{2}-)?([A-Z]+)"")),"""")
"),"")</f>
        <v/>
      </c>
      <c r="C1889" s="224"/>
      <c r="D1889" s="219"/>
      <c r="E1889" s="225"/>
      <c r="F1889" s="225"/>
      <c r="G1889" s="226"/>
      <c r="H1889" s="225"/>
      <c r="I1889" s="227"/>
      <c r="J1889" s="228"/>
      <c r="K1889" s="229"/>
      <c r="L1889" s="229"/>
      <c r="M1889" s="229"/>
      <c r="N1889" s="230"/>
      <c r="O1889" s="228"/>
      <c r="P1889" s="230"/>
      <c r="Q1889" s="219"/>
      <c r="R1889" s="198"/>
      <c r="S1889" s="198"/>
      <c r="T1889" s="198"/>
      <c r="U1889" s="198"/>
      <c r="V1889" s="198"/>
      <c r="W1889" s="198"/>
      <c r="X1889" s="198"/>
    </row>
    <row r="1890" ht="12.0" customHeight="1">
      <c r="A1890" s="222" t="str">
        <f>IF(COUNTIFS(RC_OUT[BLOCK],RC_IN[BLOCK],RC_OUT[REMARKS],"*CLOSED*")&gt;0,"CLOSED",IF(COUNTIFS(RC_OUT[BLOCK],RC_IN[BLOCK],RC_OUT[WT],"&gt;0")&gt;0,"IN-USE",""))
</f>
        <v/>
      </c>
      <c r="B1890" s="223" t="str">
        <f>IFERROR(__xludf.DUMMYFUNCTION("IFERROR(IF(F1890&lt;&gt;"""",""WHSE ""&amp;LEFT(F1890,1),REGEXEXTRACT(E1890,""-(?:\d{2}-)?([A-Z]+)"")),"""")
"),"")</f>
        <v/>
      </c>
      <c r="C1890" s="224"/>
      <c r="D1890" s="219"/>
      <c r="E1890" s="225"/>
      <c r="F1890" s="225"/>
      <c r="G1890" s="226"/>
      <c r="H1890" s="225"/>
      <c r="I1890" s="227"/>
      <c r="J1890" s="228"/>
      <c r="K1890" s="229"/>
      <c r="L1890" s="229"/>
      <c r="M1890" s="229"/>
      <c r="N1890" s="230"/>
      <c r="O1890" s="228"/>
      <c r="P1890" s="230"/>
      <c r="Q1890" s="219"/>
      <c r="R1890" s="198"/>
      <c r="S1890" s="198"/>
      <c r="T1890" s="198"/>
      <c r="U1890" s="198"/>
      <c r="V1890" s="198"/>
      <c r="W1890" s="198"/>
      <c r="X1890" s="198"/>
    </row>
    <row r="1891" ht="12.0" customHeight="1">
      <c r="A1891" s="222" t="str">
        <f>IF(COUNTIFS(RC_OUT[BLOCK],RC_IN[BLOCK],RC_OUT[REMARKS],"*CLOSED*")&gt;0,"CLOSED",IF(COUNTIFS(RC_OUT[BLOCK],RC_IN[BLOCK],RC_OUT[WT],"&gt;0")&gt;0,"IN-USE",""))
</f>
        <v/>
      </c>
      <c r="B1891" s="223" t="str">
        <f>IFERROR(__xludf.DUMMYFUNCTION("IFERROR(IF(F1891&lt;&gt;"""",""WHSE ""&amp;LEFT(F1891,1),REGEXEXTRACT(E1891,""-(?:\d{2}-)?([A-Z]+)"")),"""")
"),"")</f>
        <v/>
      </c>
      <c r="C1891" s="224"/>
      <c r="D1891" s="219"/>
      <c r="E1891" s="225"/>
      <c r="F1891" s="225"/>
      <c r="G1891" s="226"/>
      <c r="H1891" s="225"/>
      <c r="I1891" s="227"/>
      <c r="J1891" s="228"/>
      <c r="K1891" s="229"/>
      <c r="L1891" s="229"/>
      <c r="M1891" s="229"/>
      <c r="N1891" s="230"/>
      <c r="O1891" s="228"/>
      <c r="P1891" s="230"/>
      <c r="Q1891" s="219"/>
      <c r="R1891" s="198"/>
      <c r="S1891" s="198"/>
      <c r="T1891" s="198"/>
      <c r="U1891" s="198"/>
      <c r="V1891" s="198"/>
      <c r="W1891" s="198"/>
      <c r="X1891" s="198"/>
    </row>
    <row r="1892" ht="12.0" customHeight="1">
      <c r="A1892" s="222" t="str">
        <f>IF(COUNTIFS(RC_OUT[BLOCK],RC_IN[BLOCK],RC_OUT[REMARKS],"*CLOSED*")&gt;0,"CLOSED",IF(COUNTIFS(RC_OUT[BLOCK],RC_IN[BLOCK],RC_OUT[WT],"&gt;0")&gt;0,"IN-USE",""))
</f>
        <v/>
      </c>
      <c r="B1892" s="223" t="str">
        <f>IFERROR(__xludf.DUMMYFUNCTION("IFERROR(IF(F1892&lt;&gt;"""",""WHSE ""&amp;LEFT(F1892,1),REGEXEXTRACT(E1892,""-(?:\d{2}-)?([A-Z]+)"")),"""")
"),"")</f>
        <v/>
      </c>
      <c r="C1892" s="224"/>
      <c r="D1892" s="219"/>
      <c r="E1892" s="225"/>
      <c r="F1892" s="225"/>
      <c r="G1892" s="226"/>
      <c r="H1892" s="225"/>
      <c r="I1892" s="227"/>
      <c r="J1892" s="228"/>
      <c r="K1892" s="229"/>
      <c r="L1892" s="229"/>
      <c r="M1892" s="229"/>
      <c r="N1892" s="230"/>
      <c r="O1892" s="228"/>
      <c r="P1892" s="230"/>
      <c r="Q1892" s="219"/>
      <c r="R1892" s="198"/>
      <c r="S1892" s="198"/>
      <c r="T1892" s="198"/>
      <c r="U1892" s="198"/>
      <c r="V1892" s="198"/>
      <c r="W1892" s="198"/>
      <c r="X1892" s="198"/>
    </row>
    <row r="1893" ht="12.0" customHeight="1">
      <c r="A1893" s="222" t="str">
        <f>IF(COUNTIFS(RC_OUT[BLOCK],RC_IN[BLOCK],RC_OUT[REMARKS],"*CLOSED*")&gt;0,"CLOSED",IF(COUNTIFS(RC_OUT[BLOCK],RC_IN[BLOCK],RC_OUT[WT],"&gt;0")&gt;0,"IN-USE",""))
</f>
        <v/>
      </c>
      <c r="B1893" s="223" t="str">
        <f>IFERROR(__xludf.DUMMYFUNCTION("IFERROR(IF(F1893&lt;&gt;"""",""WHSE ""&amp;LEFT(F1893,1),REGEXEXTRACT(E1893,""-(?:\d{2}-)?([A-Z]+)"")),"""")
"),"")</f>
        <v/>
      </c>
      <c r="C1893" s="224"/>
      <c r="D1893" s="219"/>
      <c r="E1893" s="225"/>
      <c r="F1893" s="225"/>
      <c r="G1893" s="226"/>
      <c r="H1893" s="225"/>
      <c r="I1893" s="227"/>
      <c r="J1893" s="228"/>
      <c r="K1893" s="229"/>
      <c r="L1893" s="229"/>
      <c r="M1893" s="229"/>
      <c r="N1893" s="230"/>
      <c r="O1893" s="228"/>
      <c r="P1893" s="230"/>
      <c r="Q1893" s="219"/>
      <c r="R1893" s="198"/>
      <c r="S1893" s="198"/>
      <c r="T1893" s="198"/>
      <c r="U1893" s="198"/>
      <c r="V1893" s="198"/>
      <c r="W1893" s="198"/>
      <c r="X1893" s="198"/>
    </row>
    <row r="1894" ht="12.0" customHeight="1">
      <c r="A1894" s="222" t="str">
        <f>IF(COUNTIFS(RC_OUT[BLOCK],RC_IN[BLOCK],RC_OUT[REMARKS],"*CLOSED*")&gt;0,"CLOSED",IF(COUNTIFS(RC_OUT[BLOCK],RC_IN[BLOCK],RC_OUT[WT],"&gt;0")&gt;0,"IN-USE",""))
</f>
        <v/>
      </c>
      <c r="B1894" s="223" t="str">
        <f>IFERROR(__xludf.DUMMYFUNCTION("IFERROR(IF(F1894&lt;&gt;"""",""WHSE ""&amp;LEFT(F1894,1),REGEXEXTRACT(E1894,""-(?:\d{2}-)?([A-Z]+)"")),"""")
"),"")</f>
        <v/>
      </c>
      <c r="C1894" s="224"/>
      <c r="D1894" s="219"/>
      <c r="E1894" s="225"/>
      <c r="F1894" s="225"/>
      <c r="G1894" s="226"/>
      <c r="H1894" s="225"/>
      <c r="I1894" s="227"/>
      <c r="J1894" s="228"/>
      <c r="K1894" s="229"/>
      <c r="L1894" s="229"/>
      <c r="M1894" s="229"/>
      <c r="N1894" s="230"/>
      <c r="O1894" s="228"/>
      <c r="P1894" s="230"/>
      <c r="Q1894" s="219"/>
      <c r="R1894" s="198"/>
      <c r="S1894" s="198"/>
      <c r="T1894" s="198"/>
      <c r="U1894" s="198"/>
      <c r="V1894" s="198"/>
      <c r="W1894" s="198"/>
      <c r="X1894" s="198"/>
    </row>
    <row r="1895" ht="12.0" customHeight="1">
      <c r="A1895" s="222" t="str">
        <f>IF(COUNTIFS(RC_OUT[BLOCK],RC_IN[BLOCK],RC_OUT[REMARKS],"*CLOSED*")&gt;0,"CLOSED",IF(COUNTIFS(RC_OUT[BLOCK],RC_IN[BLOCK],RC_OUT[WT],"&gt;0")&gt;0,"IN-USE",""))
</f>
        <v/>
      </c>
      <c r="B1895" s="223" t="str">
        <f>IFERROR(__xludf.DUMMYFUNCTION("IFERROR(IF(F1895&lt;&gt;"""",""WHSE ""&amp;LEFT(F1895,1),REGEXEXTRACT(E1895,""-(?:\d{2}-)?([A-Z]+)"")),"""")
"),"")</f>
        <v/>
      </c>
      <c r="C1895" s="224"/>
      <c r="D1895" s="219"/>
      <c r="E1895" s="225"/>
      <c r="F1895" s="225"/>
      <c r="G1895" s="226"/>
      <c r="H1895" s="225"/>
      <c r="I1895" s="227"/>
      <c r="J1895" s="228"/>
      <c r="K1895" s="229"/>
      <c r="L1895" s="229"/>
      <c r="M1895" s="229"/>
      <c r="N1895" s="230"/>
      <c r="O1895" s="228"/>
      <c r="P1895" s="230"/>
      <c r="Q1895" s="219"/>
      <c r="R1895" s="198"/>
      <c r="S1895" s="198"/>
      <c r="T1895" s="198"/>
      <c r="U1895" s="198"/>
      <c r="V1895" s="198"/>
      <c r="W1895" s="198"/>
      <c r="X1895" s="198"/>
    </row>
    <row r="1896" ht="12.0" customHeight="1">
      <c r="A1896" s="222" t="str">
        <f>IF(COUNTIFS(RC_OUT[BLOCK],RC_IN[BLOCK],RC_OUT[REMARKS],"*CLOSED*")&gt;0,"CLOSED",IF(COUNTIFS(RC_OUT[BLOCK],RC_IN[BLOCK],RC_OUT[WT],"&gt;0")&gt;0,"IN-USE",""))
</f>
        <v/>
      </c>
      <c r="B1896" s="223" t="str">
        <f>IFERROR(__xludf.DUMMYFUNCTION("IFERROR(IF(F1896&lt;&gt;"""",""WHSE ""&amp;LEFT(F1896,1),REGEXEXTRACT(E1896,""-(?:\d{2}-)?([A-Z]+)"")),"""")
"),"")</f>
        <v/>
      </c>
      <c r="C1896" s="224"/>
      <c r="D1896" s="219"/>
      <c r="E1896" s="225"/>
      <c r="F1896" s="225"/>
      <c r="G1896" s="226"/>
      <c r="H1896" s="225"/>
      <c r="I1896" s="227"/>
      <c r="J1896" s="228"/>
      <c r="K1896" s="229"/>
      <c r="L1896" s="229"/>
      <c r="M1896" s="229"/>
      <c r="N1896" s="230"/>
      <c r="O1896" s="228"/>
      <c r="P1896" s="230"/>
      <c r="Q1896" s="219"/>
      <c r="R1896" s="198"/>
      <c r="S1896" s="198"/>
      <c r="T1896" s="198"/>
      <c r="U1896" s="198"/>
      <c r="V1896" s="198"/>
      <c r="W1896" s="198"/>
      <c r="X1896" s="198"/>
    </row>
    <row r="1897" ht="12.0" customHeight="1">
      <c r="A1897" s="222" t="str">
        <f>IF(COUNTIFS(RC_OUT[BLOCK],RC_IN[BLOCK],RC_OUT[REMARKS],"*CLOSED*")&gt;0,"CLOSED",IF(COUNTIFS(RC_OUT[BLOCK],RC_IN[BLOCK],RC_OUT[WT],"&gt;0")&gt;0,"IN-USE",""))
</f>
        <v/>
      </c>
      <c r="B1897" s="223" t="str">
        <f>IFERROR(__xludf.DUMMYFUNCTION("IFERROR(IF(F1897&lt;&gt;"""",""WHSE ""&amp;LEFT(F1897,1),REGEXEXTRACT(E1897,""-(?:\d{2}-)?([A-Z]+)"")),"""")
"),"")</f>
        <v/>
      </c>
      <c r="C1897" s="224"/>
      <c r="D1897" s="219"/>
      <c r="E1897" s="225"/>
      <c r="F1897" s="225"/>
      <c r="G1897" s="226"/>
      <c r="H1897" s="225"/>
      <c r="I1897" s="227"/>
      <c r="J1897" s="228"/>
      <c r="K1897" s="229"/>
      <c r="L1897" s="229"/>
      <c r="M1897" s="229"/>
      <c r="N1897" s="230"/>
      <c r="O1897" s="228"/>
      <c r="P1897" s="230"/>
      <c r="Q1897" s="219"/>
      <c r="R1897" s="198"/>
      <c r="S1897" s="198"/>
      <c r="T1897" s="198"/>
      <c r="U1897" s="198"/>
      <c r="V1897" s="198"/>
      <c r="W1897" s="198"/>
      <c r="X1897" s="198"/>
    </row>
    <row r="1898" ht="12.0" customHeight="1">
      <c r="A1898" s="222" t="str">
        <f>IF(COUNTIFS(RC_OUT[BLOCK],RC_IN[BLOCK],RC_OUT[REMARKS],"*CLOSED*")&gt;0,"CLOSED",IF(COUNTIFS(RC_OUT[BLOCK],RC_IN[BLOCK],RC_OUT[WT],"&gt;0")&gt;0,"IN-USE",""))
</f>
        <v/>
      </c>
      <c r="B1898" s="223" t="str">
        <f>IFERROR(__xludf.DUMMYFUNCTION("IFERROR(IF(F1898&lt;&gt;"""",""WHSE ""&amp;LEFT(F1898,1),REGEXEXTRACT(E1898,""-(?:\d{2}-)?([A-Z]+)"")),"""")
"),"")</f>
        <v/>
      </c>
      <c r="C1898" s="224"/>
      <c r="D1898" s="219"/>
      <c r="E1898" s="225"/>
      <c r="F1898" s="225"/>
      <c r="G1898" s="226"/>
      <c r="H1898" s="225"/>
      <c r="I1898" s="227"/>
      <c r="J1898" s="228"/>
      <c r="K1898" s="229"/>
      <c r="L1898" s="229"/>
      <c r="M1898" s="229"/>
      <c r="N1898" s="230"/>
      <c r="O1898" s="228"/>
      <c r="P1898" s="230"/>
      <c r="Q1898" s="219"/>
      <c r="R1898" s="198"/>
      <c r="S1898" s="198"/>
      <c r="T1898" s="198"/>
      <c r="U1898" s="198"/>
      <c r="V1898" s="198"/>
      <c r="W1898" s="198"/>
      <c r="X1898" s="198"/>
    </row>
    <row r="1899" ht="12.0" customHeight="1">
      <c r="A1899" s="222" t="str">
        <f>IF(COUNTIFS(RC_OUT[BLOCK],RC_IN[BLOCK],RC_OUT[REMARKS],"*CLOSED*")&gt;0,"CLOSED",IF(COUNTIFS(RC_OUT[BLOCK],RC_IN[BLOCK],RC_OUT[WT],"&gt;0")&gt;0,"IN-USE",""))
</f>
        <v/>
      </c>
      <c r="B1899" s="223" t="str">
        <f>IFERROR(__xludf.DUMMYFUNCTION("IFERROR(IF(F1899&lt;&gt;"""",""WHSE ""&amp;LEFT(F1899,1),REGEXEXTRACT(E1899,""-(?:\d{2}-)?([A-Z]+)"")),"""")
"),"")</f>
        <v/>
      </c>
      <c r="C1899" s="224"/>
      <c r="D1899" s="219"/>
      <c r="E1899" s="225"/>
      <c r="F1899" s="225"/>
      <c r="G1899" s="226"/>
      <c r="H1899" s="225"/>
      <c r="I1899" s="227"/>
      <c r="J1899" s="228"/>
      <c r="K1899" s="229"/>
      <c r="L1899" s="229"/>
      <c r="M1899" s="229"/>
      <c r="N1899" s="230"/>
      <c r="O1899" s="228"/>
      <c r="P1899" s="230"/>
      <c r="Q1899" s="219"/>
      <c r="R1899" s="198"/>
      <c r="S1899" s="198"/>
      <c r="T1899" s="198"/>
      <c r="U1899" s="198"/>
      <c r="V1899" s="198"/>
      <c r="W1899" s="198"/>
      <c r="X1899" s="198"/>
    </row>
    <row r="1900" ht="12.0" customHeight="1">
      <c r="A1900" s="222" t="str">
        <f>IF(COUNTIFS(RC_OUT[BLOCK],RC_IN[BLOCK],RC_OUT[REMARKS],"*CLOSED*")&gt;0,"CLOSED",IF(COUNTIFS(RC_OUT[BLOCK],RC_IN[BLOCK],RC_OUT[WT],"&gt;0")&gt;0,"IN-USE",""))
</f>
        <v/>
      </c>
      <c r="B1900" s="223" t="str">
        <f>IFERROR(__xludf.DUMMYFUNCTION("IFERROR(IF(F1900&lt;&gt;"""",""WHSE ""&amp;LEFT(F1900,1),REGEXEXTRACT(E1900,""-(?:\d{2}-)?([A-Z]+)"")),"""")
"),"")</f>
        <v/>
      </c>
      <c r="C1900" s="224"/>
      <c r="D1900" s="219"/>
      <c r="E1900" s="225"/>
      <c r="F1900" s="225"/>
      <c r="G1900" s="226"/>
      <c r="H1900" s="225"/>
      <c r="I1900" s="227"/>
      <c r="J1900" s="228"/>
      <c r="K1900" s="229"/>
      <c r="L1900" s="229"/>
      <c r="M1900" s="229"/>
      <c r="N1900" s="230"/>
      <c r="O1900" s="228"/>
      <c r="P1900" s="230"/>
      <c r="Q1900" s="219"/>
      <c r="R1900" s="198"/>
      <c r="S1900" s="198"/>
      <c r="T1900" s="198"/>
      <c r="U1900" s="198"/>
      <c r="V1900" s="198"/>
      <c r="W1900" s="198"/>
      <c r="X1900" s="198"/>
    </row>
    <row r="1901" ht="12.0" customHeight="1">
      <c r="A1901" s="222" t="str">
        <f>IF(COUNTIFS(RC_OUT[BLOCK],RC_IN[BLOCK],RC_OUT[REMARKS],"*CLOSED*")&gt;0,"CLOSED",IF(COUNTIFS(RC_OUT[BLOCK],RC_IN[BLOCK],RC_OUT[WT],"&gt;0")&gt;0,"IN-USE",""))
</f>
        <v/>
      </c>
      <c r="B1901" s="223" t="str">
        <f>IFERROR(__xludf.DUMMYFUNCTION("IFERROR(IF(F1901&lt;&gt;"""",""WHSE ""&amp;LEFT(F1901,1),REGEXEXTRACT(E1901,""-(?:\d{2}-)?([A-Z]+)"")),"""")
"),"")</f>
        <v/>
      </c>
      <c r="C1901" s="224"/>
      <c r="D1901" s="219"/>
      <c r="E1901" s="225"/>
      <c r="F1901" s="225"/>
      <c r="G1901" s="226"/>
      <c r="H1901" s="225"/>
      <c r="I1901" s="227"/>
      <c r="J1901" s="228"/>
      <c r="K1901" s="229"/>
      <c r="L1901" s="229"/>
      <c r="M1901" s="229"/>
      <c r="N1901" s="230"/>
      <c r="O1901" s="228"/>
      <c r="P1901" s="230"/>
      <c r="Q1901" s="219"/>
      <c r="R1901" s="198"/>
      <c r="S1901" s="198"/>
      <c r="T1901" s="198"/>
      <c r="U1901" s="198"/>
      <c r="V1901" s="198"/>
      <c r="W1901" s="198"/>
      <c r="X1901" s="198"/>
    </row>
    <row r="1902" ht="12.0" customHeight="1">
      <c r="A1902" s="222" t="str">
        <f>IF(COUNTIFS(RC_OUT[BLOCK],RC_IN[BLOCK],RC_OUT[REMARKS],"*CLOSED*")&gt;0,"CLOSED",IF(COUNTIFS(RC_OUT[BLOCK],RC_IN[BLOCK],RC_OUT[WT],"&gt;0")&gt;0,"IN-USE",""))
</f>
        <v/>
      </c>
      <c r="B1902" s="223" t="str">
        <f>IFERROR(__xludf.DUMMYFUNCTION("IFERROR(IF(F1902&lt;&gt;"""",""WHSE ""&amp;LEFT(F1902,1),REGEXEXTRACT(E1902,""-(?:\d{2}-)?([A-Z]+)"")),"""")
"),"")</f>
        <v/>
      </c>
      <c r="C1902" s="224"/>
      <c r="D1902" s="219"/>
      <c r="E1902" s="225"/>
      <c r="F1902" s="225"/>
      <c r="G1902" s="226"/>
      <c r="H1902" s="225"/>
      <c r="I1902" s="227"/>
      <c r="J1902" s="228"/>
      <c r="K1902" s="229"/>
      <c r="L1902" s="229"/>
      <c r="M1902" s="229"/>
      <c r="N1902" s="230"/>
      <c r="O1902" s="228"/>
      <c r="P1902" s="230"/>
      <c r="Q1902" s="219"/>
      <c r="R1902" s="198"/>
      <c r="S1902" s="198"/>
      <c r="T1902" s="198"/>
      <c r="U1902" s="198"/>
      <c r="V1902" s="198"/>
      <c r="W1902" s="198"/>
      <c r="X1902" s="198"/>
    </row>
    <row r="1903" ht="12.0" customHeight="1">
      <c r="A1903" s="222" t="str">
        <f>IF(COUNTIFS(RC_OUT[BLOCK],RC_IN[BLOCK],RC_OUT[REMARKS],"*CLOSED*")&gt;0,"CLOSED",IF(COUNTIFS(RC_OUT[BLOCK],RC_IN[BLOCK],RC_OUT[WT],"&gt;0")&gt;0,"IN-USE",""))
</f>
        <v/>
      </c>
      <c r="B1903" s="223" t="str">
        <f>IFERROR(__xludf.DUMMYFUNCTION("IFERROR(IF(F1903&lt;&gt;"""",""WHSE ""&amp;LEFT(F1903,1),REGEXEXTRACT(E1903,""-(?:\d{2}-)?([A-Z]+)"")),"""")
"),"")</f>
        <v/>
      </c>
      <c r="C1903" s="224"/>
      <c r="D1903" s="219"/>
      <c r="E1903" s="225"/>
      <c r="F1903" s="225"/>
      <c r="G1903" s="226"/>
      <c r="H1903" s="225"/>
      <c r="I1903" s="227"/>
      <c r="J1903" s="228"/>
      <c r="K1903" s="229"/>
      <c r="L1903" s="229"/>
      <c r="M1903" s="229"/>
      <c r="N1903" s="230"/>
      <c r="O1903" s="228"/>
      <c r="P1903" s="230"/>
      <c r="Q1903" s="219"/>
      <c r="R1903" s="198"/>
      <c r="S1903" s="198"/>
      <c r="T1903" s="198"/>
      <c r="U1903" s="198"/>
      <c r="V1903" s="198"/>
      <c r="W1903" s="198"/>
      <c r="X1903" s="198"/>
    </row>
    <row r="1904" ht="12.0" customHeight="1">
      <c r="A1904" s="222" t="str">
        <f>IF(COUNTIFS(RC_OUT[BLOCK],RC_IN[BLOCK],RC_OUT[REMARKS],"*CLOSED*")&gt;0,"CLOSED",IF(COUNTIFS(RC_OUT[BLOCK],RC_IN[BLOCK],RC_OUT[WT],"&gt;0")&gt;0,"IN-USE",""))
</f>
        <v/>
      </c>
      <c r="B1904" s="223" t="str">
        <f>IFERROR(__xludf.DUMMYFUNCTION("IFERROR(IF(F1904&lt;&gt;"""",""WHSE ""&amp;LEFT(F1904,1),REGEXEXTRACT(E1904,""-(?:\d{2}-)?([A-Z]+)"")),"""")
"),"")</f>
        <v/>
      </c>
      <c r="C1904" s="224"/>
      <c r="D1904" s="219"/>
      <c r="E1904" s="225"/>
      <c r="F1904" s="225"/>
      <c r="G1904" s="226"/>
      <c r="H1904" s="225"/>
      <c r="I1904" s="227"/>
      <c r="J1904" s="228"/>
      <c r="K1904" s="229"/>
      <c r="L1904" s="229"/>
      <c r="M1904" s="229"/>
      <c r="N1904" s="230"/>
      <c r="O1904" s="228"/>
      <c r="P1904" s="230"/>
      <c r="Q1904" s="219"/>
      <c r="R1904" s="198"/>
      <c r="S1904" s="198"/>
      <c r="T1904" s="198"/>
      <c r="U1904" s="198"/>
      <c r="V1904" s="198"/>
      <c r="W1904" s="198"/>
      <c r="X1904" s="198"/>
    </row>
    <row r="1905" ht="12.0" customHeight="1">
      <c r="A1905" s="222" t="str">
        <f>IF(COUNTIFS(RC_OUT[BLOCK],RC_IN[BLOCK],RC_OUT[REMARKS],"*CLOSED*")&gt;0,"CLOSED",IF(COUNTIFS(RC_OUT[BLOCK],RC_IN[BLOCK],RC_OUT[WT],"&gt;0")&gt;0,"IN-USE",""))
</f>
        <v/>
      </c>
      <c r="B1905" s="223" t="str">
        <f>IFERROR(__xludf.DUMMYFUNCTION("IFERROR(IF(F1905&lt;&gt;"""",""WHSE ""&amp;LEFT(F1905,1),REGEXEXTRACT(E1905,""-(?:\d{2}-)?([A-Z]+)"")),"""")
"),"")</f>
        <v/>
      </c>
      <c r="C1905" s="224"/>
      <c r="D1905" s="219"/>
      <c r="E1905" s="225"/>
      <c r="F1905" s="225"/>
      <c r="G1905" s="226"/>
      <c r="H1905" s="225"/>
      <c r="I1905" s="227"/>
      <c r="J1905" s="228"/>
      <c r="K1905" s="229"/>
      <c r="L1905" s="229"/>
      <c r="M1905" s="229"/>
      <c r="N1905" s="230"/>
      <c r="O1905" s="228"/>
      <c r="P1905" s="230"/>
      <c r="Q1905" s="219"/>
      <c r="R1905" s="198"/>
      <c r="S1905" s="198"/>
      <c r="T1905" s="198"/>
      <c r="U1905" s="198"/>
      <c r="V1905" s="198"/>
      <c r="W1905" s="198"/>
      <c r="X1905" s="198"/>
    </row>
    <row r="1906" ht="12.0" customHeight="1">
      <c r="A1906" s="222" t="str">
        <f>IF(COUNTIFS(RC_OUT[BLOCK],RC_IN[BLOCK],RC_OUT[REMARKS],"*CLOSED*")&gt;0,"CLOSED",IF(COUNTIFS(RC_OUT[BLOCK],RC_IN[BLOCK],RC_OUT[WT],"&gt;0")&gt;0,"IN-USE",""))
</f>
        <v/>
      </c>
      <c r="B1906" s="223" t="str">
        <f>IFERROR(__xludf.DUMMYFUNCTION("IFERROR(IF(F1906&lt;&gt;"""",""WHSE ""&amp;LEFT(F1906,1),REGEXEXTRACT(E1906,""-(?:\d{2}-)?([A-Z]+)"")),"""")
"),"")</f>
        <v/>
      </c>
      <c r="C1906" s="224"/>
      <c r="D1906" s="219"/>
      <c r="E1906" s="225"/>
      <c r="F1906" s="225"/>
      <c r="G1906" s="226"/>
      <c r="H1906" s="225"/>
      <c r="I1906" s="227"/>
      <c r="J1906" s="228"/>
      <c r="K1906" s="229"/>
      <c r="L1906" s="229"/>
      <c r="M1906" s="229"/>
      <c r="N1906" s="230"/>
      <c r="O1906" s="228"/>
      <c r="P1906" s="230"/>
      <c r="Q1906" s="219"/>
      <c r="R1906" s="198"/>
      <c r="S1906" s="198"/>
      <c r="T1906" s="198"/>
      <c r="U1906" s="198"/>
      <c r="V1906" s="198"/>
      <c r="W1906" s="198"/>
      <c r="X1906" s="198"/>
    </row>
    <row r="1907" ht="12.0" customHeight="1">
      <c r="A1907" s="222" t="str">
        <f>IF(COUNTIFS(RC_OUT[BLOCK],RC_IN[BLOCK],RC_OUT[REMARKS],"*CLOSED*")&gt;0,"CLOSED",IF(COUNTIFS(RC_OUT[BLOCK],RC_IN[BLOCK],RC_OUT[WT],"&gt;0")&gt;0,"IN-USE",""))
</f>
        <v/>
      </c>
      <c r="B1907" s="223" t="str">
        <f>IFERROR(__xludf.DUMMYFUNCTION("IFERROR(IF(F1907&lt;&gt;"""",""WHSE ""&amp;LEFT(F1907,1),REGEXEXTRACT(E1907,""-(?:\d{2}-)?([A-Z]+)"")),"""")
"),"")</f>
        <v/>
      </c>
      <c r="C1907" s="224"/>
      <c r="D1907" s="219"/>
      <c r="E1907" s="225"/>
      <c r="F1907" s="225"/>
      <c r="G1907" s="226"/>
      <c r="H1907" s="225"/>
      <c r="I1907" s="227"/>
      <c r="J1907" s="228"/>
      <c r="K1907" s="229"/>
      <c r="L1907" s="229"/>
      <c r="M1907" s="229"/>
      <c r="N1907" s="230"/>
      <c r="O1907" s="228"/>
      <c r="P1907" s="230"/>
      <c r="Q1907" s="219"/>
      <c r="R1907" s="198"/>
      <c r="S1907" s="198"/>
      <c r="T1907" s="198"/>
      <c r="U1907" s="198"/>
      <c r="V1907" s="198"/>
      <c r="W1907" s="198"/>
      <c r="X1907" s="198"/>
    </row>
    <row r="1908" ht="12.0" customHeight="1">
      <c r="A1908" s="222" t="str">
        <f>IF(COUNTIFS(RC_OUT[BLOCK],RC_IN[BLOCK],RC_OUT[REMARKS],"*CLOSED*")&gt;0,"CLOSED",IF(COUNTIFS(RC_OUT[BLOCK],RC_IN[BLOCK],RC_OUT[WT],"&gt;0")&gt;0,"IN-USE",""))
</f>
        <v/>
      </c>
      <c r="B1908" s="223" t="str">
        <f>IFERROR(__xludf.DUMMYFUNCTION("IFERROR(IF(F1908&lt;&gt;"""",""WHSE ""&amp;LEFT(F1908,1),REGEXEXTRACT(E1908,""-(?:\d{2}-)?([A-Z]+)"")),"""")
"),"")</f>
        <v/>
      </c>
      <c r="C1908" s="224"/>
      <c r="D1908" s="219"/>
      <c r="E1908" s="225"/>
      <c r="F1908" s="225"/>
      <c r="G1908" s="226"/>
      <c r="H1908" s="225"/>
      <c r="I1908" s="227"/>
      <c r="J1908" s="228"/>
      <c r="K1908" s="229"/>
      <c r="L1908" s="229"/>
      <c r="M1908" s="229"/>
      <c r="N1908" s="230"/>
      <c r="O1908" s="228"/>
      <c r="P1908" s="230"/>
      <c r="Q1908" s="219"/>
      <c r="R1908" s="198"/>
      <c r="S1908" s="198"/>
      <c r="T1908" s="198"/>
      <c r="U1908" s="198"/>
      <c r="V1908" s="198"/>
      <c r="W1908" s="198"/>
      <c r="X1908" s="198"/>
    </row>
    <row r="1909" ht="12.0" customHeight="1">
      <c r="A1909" s="222" t="str">
        <f>IF(COUNTIFS(RC_OUT[BLOCK],RC_IN[BLOCK],RC_OUT[REMARKS],"*CLOSED*")&gt;0,"CLOSED",IF(COUNTIFS(RC_OUT[BLOCK],RC_IN[BLOCK],RC_OUT[WT],"&gt;0")&gt;0,"IN-USE",""))
</f>
        <v/>
      </c>
      <c r="B1909" s="223" t="str">
        <f>IFERROR(__xludf.DUMMYFUNCTION("IFERROR(IF(F1909&lt;&gt;"""",""WHSE ""&amp;LEFT(F1909,1),REGEXEXTRACT(E1909,""-(?:\d{2}-)?([A-Z]+)"")),"""")
"),"")</f>
        <v/>
      </c>
      <c r="C1909" s="224"/>
      <c r="D1909" s="219"/>
      <c r="E1909" s="225"/>
      <c r="F1909" s="225"/>
      <c r="G1909" s="226"/>
      <c r="H1909" s="225"/>
      <c r="I1909" s="227"/>
      <c r="J1909" s="228"/>
      <c r="K1909" s="229"/>
      <c r="L1909" s="229"/>
      <c r="M1909" s="229"/>
      <c r="N1909" s="230"/>
      <c r="O1909" s="228"/>
      <c r="P1909" s="230"/>
      <c r="Q1909" s="219"/>
      <c r="R1909" s="198"/>
      <c r="S1909" s="198"/>
      <c r="T1909" s="198"/>
      <c r="U1909" s="198"/>
      <c r="V1909" s="198"/>
      <c r="W1909" s="198"/>
      <c r="X1909" s="198"/>
    </row>
    <row r="1910" ht="12.0" customHeight="1">
      <c r="A1910" s="222" t="str">
        <f>IF(COUNTIFS(RC_OUT[BLOCK],RC_IN[BLOCK],RC_OUT[REMARKS],"*CLOSED*")&gt;0,"CLOSED",IF(COUNTIFS(RC_OUT[BLOCK],RC_IN[BLOCK],RC_OUT[WT],"&gt;0")&gt;0,"IN-USE",""))
</f>
        <v/>
      </c>
      <c r="B1910" s="223" t="str">
        <f>IFERROR(__xludf.DUMMYFUNCTION("IFERROR(IF(F1910&lt;&gt;"""",""WHSE ""&amp;LEFT(F1910,1),REGEXEXTRACT(E1910,""-(?:\d{2}-)?([A-Z]+)"")),"""")
"),"")</f>
        <v/>
      </c>
      <c r="C1910" s="224"/>
      <c r="D1910" s="219"/>
      <c r="E1910" s="225"/>
      <c r="F1910" s="225"/>
      <c r="G1910" s="226"/>
      <c r="H1910" s="225"/>
      <c r="I1910" s="227"/>
      <c r="J1910" s="228"/>
      <c r="K1910" s="229"/>
      <c r="L1910" s="229"/>
      <c r="M1910" s="229"/>
      <c r="N1910" s="230"/>
      <c r="O1910" s="228"/>
      <c r="P1910" s="230"/>
      <c r="Q1910" s="219"/>
      <c r="R1910" s="198"/>
      <c r="S1910" s="198"/>
      <c r="T1910" s="198"/>
      <c r="U1910" s="198"/>
      <c r="V1910" s="198"/>
      <c r="W1910" s="198"/>
      <c r="X1910" s="198"/>
    </row>
    <row r="1911" ht="12.0" customHeight="1">
      <c r="A1911" s="222" t="str">
        <f>IF(COUNTIFS(RC_OUT[BLOCK],RC_IN[BLOCK],RC_OUT[REMARKS],"*CLOSED*")&gt;0,"CLOSED",IF(COUNTIFS(RC_OUT[BLOCK],RC_IN[BLOCK],RC_OUT[WT],"&gt;0")&gt;0,"IN-USE",""))
</f>
        <v/>
      </c>
      <c r="B1911" s="223" t="str">
        <f>IFERROR(__xludf.DUMMYFUNCTION("IFERROR(IF(F1911&lt;&gt;"""",""WHSE ""&amp;LEFT(F1911,1),REGEXEXTRACT(E1911,""-(?:\d{2}-)?([A-Z]+)"")),"""")
"),"")</f>
        <v/>
      </c>
      <c r="C1911" s="224"/>
      <c r="D1911" s="219"/>
      <c r="E1911" s="225"/>
      <c r="F1911" s="225"/>
      <c r="G1911" s="226"/>
      <c r="H1911" s="225"/>
      <c r="I1911" s="227"/>
      <c r="J1911" s="228"/>
      <c r="K1911" s="229"/>
      <c r="L1911" s="229"/>
      <c r="M1911" s="229"/>
      <c r="N1911" s="230"/>
      <c r="O1911" s="228"/>
      <c r="P1911" s="230"/>
      <c r="Q1911" s="219"/>
      <c r="R1911" s="198"/>
      <c r="S1911" s="198"/>
      <c r="T1911" s="198"/>
      <c r="U1911" s="198"/>
      <c r="V1911" s="198"/>
      <c r="W1911" s="198"/>
      <c r="X1911" s="198"/>
    </row>
    <row r="1912" ht="12.0" customHeight="1">
      <c r="A1912" s="222" t="str">
        <f>IF(COUNTIFS(RC_OUT[BLOCK],RC_IN[BLOCK],RC_OUT[REMARKS],"*CLOSED*")&gt;0,"CLOSED",IF(COUNTIFS(RC_OUT[BLOCK],RC_IN[BLOCK],RC_OUT[WT],"&gt;0")&gt;0,"IN-USE",""))
</f>
        <v/>
      </c>
      <c r="B1912" s="223" t="str">
        <f>IFERROR(__xludf.DUMMYFUNCTION("IFERROR(IF(F1912&lt;&gt;"""",""WHSE ""&amp;LEFT(F1912,1),REGEXEXTRACT(E1912,""-(?:\d{2}-)?([A-Z]+)"")),"""")
"),"")</f>
        <v/>
      </c>
      <c r="C1912" s="224"/>
      <c r="D1912" s="219"/>
      <c r="E1912" s="225"/>
      <c r="F1912" s="225"/>
      <c r="G1912" s="226"/>
      <c r="H1912" s="225"/>
      <c r="I1912" s="227"/>
      <c r="J1912" s="228"/>
      <c r="K1912" s="229"/>
      <c r="L1912" s="229"/>
      <c r="M1912" s="229"/>
      <c r="N1912" s="230"/>
      <c r="O1912" s="228"/>
      <c r="P1912" s="230"/>
      <c r="Q1912" s="219"/>
      <c r="R1912" s="198"/>
      <c r="S1912" s="198"/>
      <c r="T1912" s="198"/>
      <c r="U1912" s="198"/>
      <c r="V1912" s="198"/>
      <c r="W1912" s="198"/>
      <c r="X1912" s="198"/>
    </row>
    <row r="1913" ht="12.0" customHeight="1">
      <c r="A1913" s="222" t="str">
        <f>IF(COUNTIFS(RC_OUT[BLOCK],RC_IN[BLOCK],RC_OUT[REMARKS],"*CLOSED*")&gt;0,"CLOSED",IF(COUNTIFS(RC_OUT[BLOCK],RC_IN[BLOCK],RC_OUT[WT],"&gt;0")&gt;0,"IN-USE",""))
</f>
        <v/>
      </c>
      <c r="B1913" s="223" t="str">
        <f>IFERROR(__xludf.DUMMYFUNCTION("IFERROR(IF(F1913&lt;&gt;"""",""WHSE ""&amp;LEFT(F1913,1),REGEXEXTRACT(E1913,""-(?:\d{2}-)?([A-Z]+)"")),"""")
"),"")</f>
        <v/>
      </c>
      <c r="C1913" s="224"/>
      <c r="D1913" s="219"/>
      <c r="E1913" s="225"/>
      <c r="F1913" s="225"/>
      <c r="G1913" s="226"/>
      <c r="H1913" s="225"/>
      <c r="I1913" s="227"/>
      <c r="J1913" s="228"/>
      <c r="K1913" s="229"/>
      <c r="L1913" s="229"/>
      <c r="M1913" s="229"/>
      <c r="N1913" s="230"/>
      <c r="O1913" s="228"/>
      <c r="P1913" s="230"/>
      <c r="Q1913" s="219"/>
      <c r="R1913" s="198"/>
      <c r="S1913" s="198"/>
      <c r="T1913" s="198"/>
      <c r="U1913" s="198"/>
      <c r="V1913" s="198"/>
      <c r="W1913" s="198"/>
      <c r="X1913" s="198"/>
    </row>
    <row r="1914" ht="12.0" customHeight="1">
      <c r="A1914" s="222" t="str">
        <f>IF(COUNTIFS(RC_OUT[BLOCK],RC_IN[BLOCK],RC_OUT[REMARKS],"*CLOSED*")&gt;0,"CLOSED",IF(COUNTIFS(RC_OUT[BLOCK],RC_IN[BLOCK],RC_OUT[WT],"&gt;0")&gt;0,"IN-USE",""))
</f>
        <v/>
      </c>
      <c r="B1914" s="223" t="str">
        <f>IFERROR(__xludf.DUMMYFUNCTION("IFERROR(IF(F1914&lt;&gt;"""",""WHSE ""&amp;LEFT(F1914,1),REGEXEXTRACT(E1914,""-(?:\d{2}-)?([A-Z]+)"")),"""")
"),"")</f>
        <v/>
      </c>
      <c r="C1914" s="224"/>
      <c r="D1914" s="219"/>
      <c r="E1914" s="225"/>
      <c r="F1914" s="225"/>
      <c r="G1914" s="226"/>
      <c r="H1914" s="225"/>
      <c r="I1914" s="227"/>
      <c r="J1914" s="228"/>
      <c r="K1914" s="229"/>
      <c r="L1914" s="229"/>
      <c r="M1914" s="229"/>
      <c r="N1914" s="230"/>
      <c r="O1914" s="228"/>
      <c r="P1914" s="230"/>
      <c r="Q1914" s="219"/>
      <c r="R1914" s="198"/>
      <c r="S1914" s="198"/>
      <c r="T1914" s="198"/>
      <c r="U1914" s="198"/>
      <c r="V1914" s="198"/>
      <c r="W1914" s="198"/>
      <c r="X1914" s="198"/>
    </row>
    <row r="1915" ht="12.0" customHeight="1">
      <c r="A1915" s="222" t="str">
        <f>IF(COUNTIFS(RC_OUT[BLOCK],RC_IN[BLOCK],RC_OUT[REMARKS],"*CLOSED*")&gt;0,"CLOSED",IF(COUNTIFS(RC_OUT[BLOCK],RC_IN[BLOCK],RC_OUT[WT],"&gt;0")&gt;0,"IN-USE",""))
</f>
        <v/>
      </c>
      <c r="B1915" s="223" t="str">
        <f>IFERROR(__xludf.DUMMYFUNCTION("IFERROR(IF(F1915&lt;&gt;"""",""WHSE ""&amp;LEFT(F1915,1),REGEXEXTRACT(E1915,""-(?:\d{2}-)?([A-Z]+)"")),"""")
"),"")</f>
        <v/>
      </c>
      <c r="C1915" s="224"/>
      <c r="D1915" s="219"/>
      <c r="E1915" s="225"/>
      <c r="F1915" s="225"/>
      <c r="G1915" s="226"/>
      <c r="H1915" s="225"/>
      <c r="I1915" s="227"/>
      <c r="J1915" s="228"/>
      <c r="K1915" s="229"/>
      <c r="L1915" s="229"/>
      <c r="M1915" s="229"/>
      <c r="N1915" s="230"/>
      <c r="O1915" s="228"/>
      <c r="P1915" s="230"/>
      <c r="Q1915" s="219"/>
      <c r="R1915" s="198"/>
      <c r="S1915" s="198"/>
      <c r="T1915" s="198"/>
      <c r="U1915" s="198"/>
      <c r="V1915" s="198"/>
      <c r="W1915" s="198"/>
      <c r="X1915" s="198"/>
    </row>
    <row r="1916" ht="12.0" customHeight="1">
      <c r="A1916" s="222" t="str">
        <f>IF(COUNTIFS(RC_OUT[BLOCK],RC_IN[BLOCK],RC_OUT[REMARKS],"*CLOSED*")&gt;0,"CLOSED",IF(COUNTIFS(RC_OUT[BLOCK],RC_IN[BLOCK],RC_OUT[WT],"&gt;0")&gt;0,"IN-USE",""))
</f>
        <v/>
      </c>
      <c r="B1916" s="223" t="str">
        <f>IFERROR(__xludf.DUMMYFUNCTION("IFERROR(IF(F1916&lt;&gt;"""",""WHSE ""&amp;LEFT(F1916,1),REGEXEXTRACT(E1916,""-(?:\d{2}-)?([A-Z]+)"")),"""")
"),"")</f>
        <v/>
      </c>
      <c r="C1916" s="224"/>
      <c r="D1916" s="219"/>
      <c r="E1916" s="225"/>
      <c r="F1916" s="225"/>
      <c r="G1916" s="226"/>
      <c r="H1916" s="225"/>
      <c r="I1916" s="227"/>
      <c r="J1916" s="228"/>
      <c r="K1916" s="229"/>
      <c r="L1916" s="229"/>
      <c r="M1916" s="229"/>
      <c r="N1916" s="230"/>
      <c r="O1916" s="228"/>
      <c r="P1916" s="230"/>
      <c r="Q1916" s="219"/>
      <c r="R1916" s="198"/>
      <c r="S1916" s="198"/>
      <c r="T1916" s="198"/>
      <c r="U1916" s="198"/>
      <c r="V1916" s="198"/>
      <c r="W1916" s="198"/>
      <c r="X1916" s="198"/>
    </row>
    <row r="1917" ht="12.0" customHeight="1">
      <c r="A1917" s="222" t="str">
        <f>IF(COUNTIFS(RC_OUT[BLOCK],RC_IN[BLOCK],RC_OUT[REMARKS],"*CLOSED*")&gt;0,"CLOSED",IF(COUNTIFS(RC_OUT[BLOCK],RC_IN[BLOCK],RC_OUT[WT],"&gt;0")&gt;0,"IN-USE",""))
</f>
        <v/>
      </c>
      <c r="B1917" s="223" t="str">
        <f>IFERROR(__xludf.DUMMYFUNCTION("IFERROR(IF(F1917&lt;&gt;"""",""WHSE ""&amp;LEFT(F1917,1),REGEXEXTRACT(E1917,""-(?:\d{2}-)?([A-Z]+)"")),"""")
"),"")</f>
        <v/>
      </c>
      <c r="C1917" s="224"/>
      <c r="D1917" s="219"/>
      <c r="E1917" s="225"/>
      <c r="F1917" s="225"/>
      <c r="G1917" s="226"/>
      <c r="H1917" s="225"/>
      <c r="I1917" s="227"/>
      <c r="J1917" s="228"/>
      <c r="K1917" s="229"/>
      <c r="L1917" s="229"/>
      <c r="M1917" s="229"/>
      <c r="N1917" s="230"/>
      <c r="O1917" s="228"/>
      <c r="P1917" s="230"/>
      <c r="Q1917" s="219"/>
      <c r="R1917" s="198"/>
      <c r="S1917" s="198"/>
      <c r="T1917" s="198"/>
      <c r="U1917" s="198"/>
      <c r="V1917" s="198"/>
      <c r="W1917" s="198"/>
      <c r="X1917" s="198"/>
    </row>
    <row r="1918" ht="12.0" customHeight="1">
      <c r="A1918" s="222" t="str">
        <f>IF(COUNTIFS(RC_OUT[BLOCK],RC_IN[BLOCK],RC_OUT[REMARKS],"*CLOSED*")&gt;0,"CLOSED",IF(COUNTIFS(RC_OUT[BLOCK],RC_IN[BLOCK],RC_OUT[WT],"&gt;0")&gt;0,"IN-USE",""))
</f>
        <v/>
      </c>
      <c r="B1918" s="223" t="str">
        <f>IFERROR(__xludf.DUMMYFUNCTION("IFERROR(IF(F1918&lt;&gt;"""",""WHSE ""&amp;LEFT(F1918,1),REGEXEXTRACT(E1918,""-(?:\d{2}-)?([A-Z]+)"")),"""")
"),"")</f>
        <v/>
      </c>
      <c r="C1918" s="224"/>
      <c r="D1918" s="219"/>
      <c r="E1918" s="225"/>
      <c r="F1918" s="225"/>
      <c r="G1918" s="226"/>
      <c r="H1918" s="225"/>
      <c r="I1918" s="227"/>
      <c r="J1918" s="228"/>
      <c r="K1918" s="229"/>
      <c r="L1918" s="229"/>
      <c r="M1918" s="229"/>
      <c r="N1918" s="230"/>
      <c r="O1918" s="228"/>
      <c r="P1918" s="230"/>
      <c r="Q1918" s="219"/>
      <c r="R1918" s="198"/>
      <c r="S1918" s="198"/>
      <c r="T1918" s="198"/>
      <c r="U1918" s="198"/>
      <c r="V1918" s="198"/>
      <c r="W1918" s="198"/>
      <c r="X1918" s="198"/>
    </row>
    <row r="1919" ht="12.0" customHeight="1">
      <c r="A1919" s="222" t="str">
        <f>IF(COUNTIFS(RC_OUT[BLOCK],RC_IN[BLOCK],RC_OUT[REMARKS],"*CLOSED*")&gt;0,"CLOSED",IF(COUNTIFS(RC_OUT[BLOCK],RC_IN[BLOCK],RC_OUT[WT],"&gt;0")&gt;0,"IN-USE",""))
</f>
        <v/>
      </c>
      <c r="B1919" s="223" t="str">
        <f>IFERROR(__xludf.DUMMYFUNCTION("IFERROR(IF(F1919&lt;&gt;"""",""WHSE ""&amp;LEFT(F1919,1),REGEXEXTRACT(E1919,""-(?:\d{2}-)?([A-Z]+)"")),"""")
"),"")</f>
        <v/>
      </c>
      <c r="C1919" s="224"/>
      <c r="D1919" s="219"/>
      <c r="E1919" s="225"/>
      <c r="F1919" s="225"/>
      <c r="G1919" s="226"/>
      <c r="H1919" s="225"/>
      <c r="I1919" s="227"/>
      <c r="J1919" s="228"/>
      <c r="K1919" s="229"/>
      <c r="L1919" s="229"/>
      <c r="M1919" s="229"/>
      <c r="N1919" s="230"/>
      <c r="O1919" s="228"/>
      <c r="P1919" s="230"/>
      <c r="Q1919" s="219"/>
      <c r="R1919" s="198"/>
      <c r="S1919" s="198"/>
      <c r="T1919" s="198"/>
      <c r="U1919" s="198"/>
      <c r="V1919" s="198"/>
      <c r="W1919" s="198"/>
      <c r="X1919" s="198"/>
    </row>
    <row r="1920" ht="12.0" customHeight="1">
      <c r="A1920" s="222" t="str">
        <f>IF(COUNTIFS(RC_OUT[BLOCK],RC_IN[BLOCK],RC_OUT[REMARKS],"*CLOSED*")&gt;0,"CLOSED",IF(COUNTIFS(RC_OUT[BLOCK],RC_IN[BLOCK],RC_OUT[WT],"&gt;0")&gt;0,"IN-USE",""))
</f>
        <v/>
      </c>
      <c r="B1920" s="223" t="str">
        <f>IFERROR(__xludf.DUMMYFUNCTION("IFERROR(IF(F1920&lt;&gt;"""",""WHSE ""&amp;LEFT(F1920,1),REGEXEXTRACT(E1920,""-(?:\d{2}-)?([A-Z]+)"")),"""")
"),"")</f>
        <v/>
      </c>
      <c r="C1920" s="224"/>
      <c r="D1920" s="219"/>
      <c r="E1920" s="225"/>
      <c r="F1920" s="225"/>
      <c r="G1920" s="226"/>
      <c r="H1920" s="225"/>
      <c r="I1920" s="227"/>
      <c r="J1920" s="228"/>
      <c r="K1920" s="229"/>
      <c r="L1920" s="229"/>
      <c r="M1920" s="229"/>
      <c r="N1920" s="230"/>
      <c r="O1920" s="228"/>
      <c r="P1920" s="230"/>
      <c r="Q1920" s="219"/>
      <c r="R1920" s="198"/>
      <c r="S1920" s="198"/>
      <c r="T1920" s="198"/>
      <c r="U1920" s="198"/>
      <c r="V1920" s="198"/>
      <c r="W1920" s="198"/>
      <c r="X1920" s="198"/>
    </row>
    <row r="1921" ht="12.0" customHeight="1">
      <c r="A1921" s="222" t="str">
        <f>IF(COUNTIFS(RC_OUT[BLOCK],RC_IN[BLOCK],RC_OUT[REMARKS],"*CLOSED*")&gt;0,"CLOSED",IF(COUNTIFS(RC_OUT[BLOCK],RC_IN[BLOCK],RC_OUT[WT],"&gt;0")&gt;0,"IN-USE",""))
</f>
        <v/>
      </c>
      <c r="B1921" s="223" t="str">
        <f>IFERROR(__xludf.DUMMYFUNCTION("IFERROR(IF(F1921&lt;&gt;"""",""WHSE ""&amp;LEFT(F1921,1),REGEXEXTRACT(E1921,""-(?:\d{2}-)?([A-Z]+)"")),"""")
"),"")</f>
        <v/>
      </c>
      <c r="C1921" s="224"/>
      <c r="D1921" s="219"/>
      <c r="E1921" s="225"/>
      <c r="F1921" s="225"/>
      <c r="G1921" s="226"/>
      <c r="H1921" s="225"/>
      <c r="I1921" s="227"/>
      <c r="J1921" s="228"/>
      <c r="K1921" s="229"/>
      <c r="L1921" s="229"/>
      <c r="M1921" s="229"/>
      <c r="N1921" s="230"/>
      <c r="O1921" s="228"/>
      <c r="P1921" s="230"/>
      <c r="Q1921" s="219"/>
      <c r="R1921" s="198"/>
      <c r="S1921" s="198"/>
      <c r="T1921" s="198"/>
      <c r="U1921" s="198"/>
      <c r="V1921" s="198"/>
      <c r="W1921" s="198"/>
      <c r="X1921" s="198"/>
    </row>
    <row r="1922" ht="12.0" customHeight="1">
      <c r="A1922" s="222" t="str">
        <f>IF(COUNTIFS(RC_OUT[BLOCK],RC_IN[BLOCK],RC_OUT[REMARKS],"*CLOSED*")&gt;0,"CLOSED",IF(COUNTIFS(RC_OUT[BLOCK],RC_IN[BLOCK],RC_OUT[WT],"&gt;0")&gt;0,"IN-USE",""))
</f>
        <v/>
      </c>
      <c r="B1922" s="223" t="str">
        <f>IFERROR(__xludf.DUMMYFUNCTION("IFERROR(IF(F1922&lt;&gt;"""",""WHSE ""&amp;LEFT(F1922,1),REGEXEXTRACT(E1922,""-(?:\d{2}-)?([A-Z]+)"")),"""")
"),"")</f>
        <v/>
      </c>
      <c r="C1922" s="224"/>
      <c r="D1922" s="219"/>
      <c r="E1922" s="225"/>
      <c r="F1922" s="225"/>
      <c r="G1922" s="226"/>
      <c r="H1922" s="225"/>
      <c r="I1922" s="227"/>
      <c r="J1922" s="228"/>
      <c r="K1922" s="229"/>
      <c r="L1922" s="229"/>
      <c r="M1922" s="229"/>
      <c r="N1922" s="230"/>
      <c r="O1922" s="228"/>
      <c r="P1922" s="230"/>
      <c r="Q1922" s="219"/>
      <c r="R1922" s="198"/>
      <c r="S1922" s="198"/>
      <c r="T1922" s="198"/>
      <c r="U1922" s="198"/>
      <c r="V1922" s="198"/>
      <c r="W1922" s="198"/>
      <c r="X1922" s="198"/>
    </row>
    <row r="1923" ht="12.0" customHeight="1">
      <c r="A1923" s="222" t="str">
        <f>IF(COUNTIFS(RC_OUT[BLOCK],RC_IN[BLOCK],RC_OUT[REMARKS],"*CLOSED*")&gt;0,"CLOSED",IF(COUNTIFS(RC_OUT[BLOCK],RC_IN[BLOCK],RC_OUT[WT],"&gt;0")&gt;0,"IN-USE",""))
</f>
        <v/>
      </c>
      <c r="B1923" s="223" t="str">
        <f>IFERROR(__xludf.DUMMYFUNCTION("IFERROR(IF(F1923&lt;&gt;"""",""WHSE ""&amp;LEFT(F1923,1),REGEXEXTRACT(E1923,""-(?:\d{2}-)?([A-Z]+)"")),"""")
"),"")</f>
        <v/>
      </c>
      <c r="C1923" s="224"/>
      <c r="D1923" s="219"/>
      <c r="E1923" s="225"/>
      <c r="F1923" s="225"/>
      <c r="G1923" s="226"/>
      <c r="H1923" s="225"/>
      <c r="I1923" s="227"/>
      <c r="J1923" s="228"/>
      <c r="K1923" s="229"/>
      <c r="L1923" s="229"/>
      <c r="M1923" s="229"/>
      <c r="N1923" s="230"/>
      <c r="O1923" s="228"/>
      <c r="P1923" s="230"/>
      <c r="Q1923" s="219"/>
      <c r="R1923" s="198"/>
      <c r="S1923" s="198"/>
      <c r="T1923" s="198"/>
      <c r="U1923" s="198"/>
      <c r="V1923" s="198"/>
      <c r="W1923" s="198"/>
      <c r="X1923" s="198"/>
    </row>
    <row r="1924" ht="12.0" customHeight="1">
      <c r="A1924" s="222" t="str">
        <f>IF(COUNTIFS(RC_OUT[BLOCK],RC_IN[BLOCK],RC_OUT[REMARKS],"*CLOSED*")&gt;0,"CLOSED",IF(COUNTIFS(RC_OUT[BLOCK],RC_IN[BLOCK],RC_OUT[WT],"&gt;0")&gt;0,"IN-USE",""))
</f>
        <v/>
      </c>
      <c r="B1924" s="223" t="str">
        <f>IFERROR(__xludf.DUMMYFUNCTION("IFERROR(IF(F1924&lt;&gt;"""",""WHSE ""&amp;LEFT(F1924,1),REGEXEXTRACT(E1924,""-(?:\d{2}-)?([A-Z]+)"")),"""")
"),"")</f>
        <v/>
      </c>
      <c r="C1924" s="224"/>
      <c r="D1924" s="219"/>
      <c r="E1924" s="225"/>
      <c r="F1924" s="225"/>
      <c r="G1924" s="226"/>
      <c r="H1924" s="225"/>
      <c r="I1924" s="227"/>
      <c r="J1924" s="228"/>
      <c r="K1924" s="229"/>
      <c r="L1924" s="229"/>
      <c r="M1924" s="229"/>
      <c r="N1924" s="230"/>
      <c r="O1924" s="228"/>
      <c r="P1924" s="230"/>
      <c r="Q1924" s="219"/>
      <c r="R1924" s="198"/>
      <c r="S1924" s="198"/>
      <c r="T1924" s="198"/>
      <c r="U1924" s="198"/>
      <c r="V1924" s="198"/>
      <c r="W1924" s="198"/>
      <c r="X1924" s="198"/>
    </row>
    <row r="1925" ht="12.0" customHeight="1">
      <c r="A1925" s="222" t="str">
        <f>IF(COUNTIFS(RC_OUT[BLOCK],RC_IN[BLOCK],RC_OUT[REMARKS],"*CLOSED*")&gt;0,"CLOSED",IF(COUNTIFS(RC_OUT[BLOCK],RC_IN[BLOCK],RC_OUT[WT],"&gt;0")&gt;0,"IN-USE",""))
</f>
        <v/>
      </c>
      <c r="B1925" s="223" t="str">
        <f>IFERROR(__xludf.DUMMYFUNCTION("IFERROR(IF(F1925&lt;&gt;"""",""WHSE ""&amp;LEFT(F1925,1),REGEXEXTRACT(E1925,""-(?:\d{2}-)?([A-Z]+)"")),"""")
"),"")</f>
        <v/>
      </c>
      <c r="C1925" s="224"/>
      <c r="D1925" s="219"/>
      <c r="E1925" s="225"/>
      <c r="F1925" s="225"/>
      <c r="G1925" s="226"/>
      <c r="H1925" s="225"/>
      <c r="I1925" s="227"/>
      <c r="J1925" s="228"/>
      <c r="K1925" s="229"/>
      <c r="L1925" s="229"/>
      <c r="M1925" s="229"/>
      <c r="N1925" s="230"/>
      <c r="O1925" s="228"/>
      <c r="P1925" s="230"/>
      <c r="Q1925" s="219"/>
      <c r="R1925" s="198"/>
      <c r="S1925" s="198"/>
      <c r="T1925" s="198"/>
      <c r="U1925" s="198"/>
      <c r="V1925" s="198"/>
      <c r="W1925" s="198"/>
      <c r="X1925" s="198"/>
    </row>
    <row r="1926" ht="12.0" customHeight="1">
      <c r="A1926" s="222" t="str">
        <f>IF(COUNTIFS(RC_OUT[BLOCK],RC_IN[BLOCK],RC_OUT[REMARKS],"*CLOSED*")&gt;0,"CLOSED",IF(COUNTIFS(RC_OUT[BLOCK],RC_IN[BLOCK],RC_OUT[WT],"&gt;0")&gt;0,"IN-USE",""))
</f>
        <v/>
      </c>
      <c r="B1926" s="223" t="str">
        <f>IFERROR(__xludf.DUMMYFUNCTION("IFERROR(IF(F1926&lt;&gt;"""",""WHSE ""&amp;LEFT(F1926,1),REGEXEXTRACT(E1926,""-(?:\d{2}-)?([A-Z]+)"")),"""")
"),"")</f>
        <v/>
      </c>
      <c r="C1926" s="224"/>
      <c r="D1926" s="219"/>
      <c r="E1926" s="225"/>
      <c r="F1926" s="225"/>
      <c r="G1926" s="226"/>
      <c r="H1926" s="225"/>
      <c r="I1926" s="227"/>
      <c r="J1926" s="228"/>
      <c r="K1926" s="229"/>
      <c r="L1926" s="229"/>
      <c r="M1926" s="229"/>
      <c r="N1926" s="230"/>
      <c r="O1926" s="228"/>
      <c r="P1926" s="230"/>
      <c r="Q1926" s="219"/>
      <c r="R1926" s="198"/>
      <c r="S1926" s="198"/>
      <c r="T1926" s="198"/>
      <c r="U1926" s="198"/>
      <c r="V1926" s="198"/>
      <c r="W1926" s="198"/>
      <c r="X1926" s="198"/>
    </row>
    <row r="1927" ht="12.0" customHeight="1">
      <c r="A1927" s="222" t="str">
        <f>IF(COUNTIFS(RC_OUT[BLOCK],RC_IN[BLOCK],RC_OUT[REMARKS],"*CLOSED*")&gt;0,"CLOSED",IF(COUNTIFS(RC_OUT[BLOCK],RC_IN[BLOCK],RC_OUT[WT],"&gt;0")&gt;0,"IN-USE",""))
</f>
        <v/>
      </c>
      <c r="B1927" s="223" t="str">
        <f>IFERROR(__xludf.DUMMYFUNCTION("IFERROR(IF(F1927&lt;&gt;"""",""WHSE ""&amp;LEFT(F1927,1),REGEXEXTRACT(E1927,""-(?:\d{2}-)?([A-Z]+)"")),"""")
"),"")</f>
        <v/>
      </c>
      <c r="C1927" s="224"/>
      <c r="D1927" s="219"/>
      <c r="E1927" s="225"/>
      <c r="F1927" s="225"/>
      <c r="G1927" s="226"/>
      <c r="H1927" s="225"/>
      <c r="I1927" s="227"/>
      <c r="J1927" s="228"/>
      <c r="K1927" s="229"/>
      <c r="L1927" s="229"/>
      <c r="M1927" s="229"/>
      <c r="N1927" s="230"/>
      <c r="O1927" s="228"/>
      <c r="P1927" s="230"/>
      <c r="Q1927" s="219"/>
      <c r="R1927" s="198"/>
      <c r="S1927" s="198"/>
      <c r="T1927" s="198"/>
      <c r="U1927" s="198"/>
      <c r="V1927" s="198"/>
      <c r="W1927" s="198"/>
      <c r="X1927" s="198"/>
    </row>
    <row r="1928" ht="12.0" customHeight="1">
      <c r="A1928" s="222" t="str">
        <f>IF(COUNTIFS(RC_OUT[BLOCK],RC_IN[BLOCK],RC_OUT[REMARKS],"*CLOSED*")&gt;0,"CLOSED",IF(COUNTIFS(RC_OUT[BLOCK],RC_IN[BLOCK],RC_OUT[WT],"&gt;0")&gt;0,"IN-USE",""))
</f>
        <v/>
      </c>
      <c r="B1928" s="223" t="str">
        <f>IFERROR(__xludf.DUMMYFUNCTION("IFERROR(IF(F1928&lt;&gt;"""",""WHSE ""&amp;LEFT(F1928,1),REGEXEXTRACT(E1928,""-(?:\d{2}-)?([A-Z]+)"")),"""")
"),"")</f>
        <v/>
      </c>
      <c r="C1928" s="224"/>
      <c r="D1928" s="219"/>
      <c r="E1928" s="225"/>
      <c r="F1928" s="225"/>
      <c r="G1928" s="226"/>
      <c r="H1928" s="225"/>
      <c r="I1928" s="227"/>
      <c r="J1928" s="228"/>
      <c r="K1928" s="229"/>
      <c r="L1928" s="229"/>
      <c r="M1928" s="229"/>
      <c r="N1928" s="230"/>
      <c r="O1928" s="228"/>
      <c r="P1928" s="230"/>
      <c r="Q1928" s="219"/>
      <c r="R1928" s="198"/>
      <c r="S1928" s="198"/>
      <c r="T1928" s="198"/>
      <c r="U1928" s="198"/>
      <c r="V1928" s="198"/>
      <c r="W1928" s="198"/>
      <c r="X1928" s="198"/>
    </row>
    <row r="1929" ht="12.0" customHeight="1">
      <c r="A1929" s="222" t="str">
        <f>IF(COUNTIFS(RC_OUT[BLOCK],RC_IN[BLOCK],RC_OUT[REMARKS],"*CLOSED*")&gt;0,"CLOSED",IF(COUNTIFS(RC_OUT[BLOCK],RC_IN[BLOCK],RC_OUT[WT],"&gt;0")&gt;0,"IN-USE",""))
</f>
        <v/>
      </c>
      <c r="B1929" s="223" t="str">
        <f>IFERROR(__xludf.DUMMYFUNCTION("IFERROR(IF(F1929&lt;&gt;"""",""WHSE ""&amp;LEFT(F1929,1),REGEXEXTRACT(E1929,""-(?:\d{2}-)?([A-Z]+)"")),"""")
"),"")</f>
        <v/>
      </c>
      <c r="C1929" s="224"/>
      <c r="D1929" s="219"/>
      <c r="E1929" s="225"/>
      <c r="F1929" s="225"/>
      <c r="G1929" s="226"/>
      <c r="H1929" s="225"/>
      <c r="I1929" s="227"/>
      <c r="J1929" s="228"/>
      <c r="K1929" s="229"/>
      <c r="L1929" s="229"/>
      <c r="M1929" s="229"/>
      <c r="N1929" s="230"/>
      <c r="O1929" s="228"/>
      <c r="P1929" s="230"/>
      <c r="Q1929" s="219"/>
      <c r="R1929" s="198"/>
      <c r="S1929" s="198"/>
      <c r="T1929" s="198"/>
      <c r="U1929" s="198"/>
      <c r="V1929" s="198"/>
      <c r="W1929" s="198"/>
      <c r="X1929" s="198"/>
    </row>
    <row r="1930" ht="12.0" customHeight="1">
      <c r="A1930" s="222" t="str">
        <f>IF(COUNTIFS(RC_OUT[BLOCK],RC_IN[BLOCK],RC_OUT[REMARKS],"*CLOSED*")&gt;0,"CLOSED",IF(COUNTIFS(RC_OUT[BLOCK],RC_IN[BLOCK],RC_OUT[WT],"&gt;0")&gt;0,"IN-USE",""))
</f>
        <v/>
      </c>
      <c r="B1930" s="223" t="str">
        <f>IFERROR(__xludf.DUMMYFUNCTION("IFERROR(IF(F1930&lt;&gt;"""",""WHSE ""&amp;LEFT(F1930,1),REGEXEXTRACT(E1930,""-(?:\d{2}-)?([A-Z]+)"")),"""")
"),"")</f>
        <v/>
      </c>
      <c r="C1930" s="224"/>
      <c r="D1930" s="219"/>
      <c r="E1930" s="225"/>
      <c r="F1930" s="225"/>
      <c r="G1930" s="226"/>
      <c r="H1930" s="225"/>
      <c r="I1930" s="227"/>
      <c r="J1930" s="228"/>
      <c r="K1930" s="229"/>
      <c r="L1930" s="229"/>
      <c r="M1930" s="229"/>
      <c r="N1930" s="230"/>
      <c r="O1930" s="228"/>
      <c r="P1930" s="230"/>
      <c r="Q1930" s="219"/>
      <c r="R1930" s="198"/>
      <c r="S1930" s="198"/>
      <c r="T1930" s="198"/>
      <c r="U1930" s="198"/>
      <c r="V1930" s="198"/>
      <c r="W1930" s="198"/>
      <c r="X1930" s="198"/>
    </row>
    <row r="1931" ht="12.0" customHeight="1">
      <c r="A1931" s="222" t="str">
        <f>IF(COUNTIFS(RC_OUT[BLOCK],RC_IN[BLOCK],RC_OUT[REMARKS],"*CLOSED*")&gt;0,"CLOSED",IF(COUNTIFS(RC_OUT[BLOCK],RC_IN[BLOCK],RC_OUT[WT],"&gt;0")&gt;0,"IN-USE",""))
</f>
        <v/>
      </c>
      <c r="B1931" s="223" t="str">
        <f>IFERROR(__xludf.DUMMYFUNCTION("IFERROR(IF(F1931&lt;&gt;"""",""WHSE ""&amp;LEFT(F1931,1),REGEXEXTRACT(E1931,""-(?:\d{2}-)?([A-Z]+)"")),"""")
"),"")</f>
        <v/>
      </c>
      <c r="C1931" s="224"/>
      <c r="D1931" s="219"/>
      <c r="E1931" s="225"/>
      <c r="F1931" s="225"/>
      <c r="G1931" s="226"/>
      <c r="H1931" s="225"/>
      <c r="I1931" s="227"/>
      <c r="J1931" s="228"/>
      <c r="K1931" s="229"/>
      <c r="L1931" s="229"/>
      <c r="M1931" s="229"/>
      <c r="N1931" s="230"/>
      <c r="O1931" s="228"/>
      <c r="P1931" s="230"/>
      <c r="Q1931" s="219"/>
      <c r="R1931" s="198"/>
      <c r="S1931" s="198"/>
      <c r="T1931" s="198"/>
      <c r="U1931" s="198"/>
      <c r="V1931" s="198"/>
      <c r="W1931" s="198"/>
      <c r="X1931" s="198"/>
    </row>
    <row r="1932" ht="12.0" customHeight="1">
      <c r="A1932" s="222" t="str">
        <f>IF(COUNTIFS(RC_OUT[BLOCK],RC_IN[BLOCK],RC_OUT[REMARKS],"*CLOSED*")&gt;0,"CLOSED",IF(COUNTIFS(RC_OUT[BLOCK],RC_IN[BLOCK],RC_OUT[WT],"&gt;0")&gt;0,"IN-USE",""))
</f>
        <v/>
      </c>
      <c r="B1932" s="223" t="str">
        <f>IFERROR(__xludf.DUMMYFUNCTION("IFERROR(IF(F1932&lt;&gt;"""",""WHSE ""&amp;LEFT(F1932,1),REGEXEXTRACT(E1932,""-(?:\d{2}-)?([A-Z]+)"")),"""")
"),"")</f>
        <v/>
      </c>
      <c r="C1932" s="224"/>
      <c r="D1932" s="219"/>
      <c r="E1932" s="225"/>
      <c r="F1932" s="225"/>
      <c r="G1932" s="226"/>
      <c r="H1932" s="225"/>
      <c r="I1932" s="227"/>
      <c r="J1932" s="228"/>
      <c r="K1932" s="229"/>
      <c r="L1932" s="229"/>
      <c r="M1932" s="229"/>
      <c r="N1932" s="230"/>
      <c r="O1932" s="228"/>
      <c r="P1932" s="230"/>
      <c r="Q1932" s="219"/>
      <c r="R1932" s="198"/>
      <c r="S1932" s="198"/>
      <c r="T1932" s="198"/>
      <c r="U1932" s="198"/>
      <c r="V1932" s="198"/>
      <c r="W1932" s="198"/>
      <c r="X1932" s="198"/>
    </row>
    <row r="1933" ht="12.0" customHeight="1">
      <c r="A1933" s="222" t="str">
        <f>IF(COUNTIFS(RC_OUT[BLOCK],RC_IN[BLOCK],RC_OUT[REMARKS],"*CLOSED*")&gt;0,"CLOSED",IF(COUNTIFS(RC_OUT[BLOCK],RC_IN[BLOCK],RC_OUT[WT],"&gt;0")&gt;0,"IN-USE",""))
</f>
        <v/>
      </c>
      <c r="B1933" s="223" t="str">
        <f>IFERROR(__xludf.DUMMYFUNCTION("IFERROR(IF(F1933&lt;&gt;"""",""WHSE ""&amp;LEFT(F1933,1),REGEXEXTRACT(E1933,""-(?:\d{2}-)?([A-Z]+)"")),"""")
"),"")</f>
        <v/>
      </c>
      <c r="C1933" s="224"/>
      <c r="D1933" s="219"/>
      <c r="E1933" s="225"/>
      <c r="F1933" s="225"/>
      <c r="G1933" s="226"/>
      <c r="H1933" s="225"/>
      <c r="I1933" s="227"/>
      <c r="J1933" s="228"/>
      <c r="K1933" s="229"/>
      <c r="L1933" s="229"/>
      <c r="M1933" s="229"/>
      <c r="N1933" s="230"/>
      <c r="O1933" s="228"/>
      <c r="P1933" s="230"/>
      <c r="Q1933" s="219"/>
      <c r="R1933" s="198"/>
      <c r="S1933" s="198"/>
      <c r="T1933" s="198"/>
      <c r="U1933" s="198"/>
      <c r="V1933" s="198"/>
      <c r="W1933" s="198"/>
      <c r="X1933" s="198"/>
    </row>
    <row r="1934" ht="12.0" customHeight="1">
      <c r="A1934" s="222" t="str">
        <f>IF(COUNTIFS(RC_OUT[BLOCK],RC_IN[BLOCK],RC_OUT[REMARKS],"*CLOSED*")&gt;0,"CLOSED",IF(COUNTIFS(RC_OUT[BLOCK],RC_IN[BLOCK],RC_OUT[WT],"&gt;0")&gt;0,"IN-USE",""))
</f>
        <v/>
      </c>
      <c r="B1934" s="223" t="str">
        <f>IFERROR(__xludf.DUMMYFUNCTION("IFERROR(IF(F1934&lt;&gt;"""",""WHSE ""&amp;LEFT(F1934,1),REGEXEXTRACT(E1934,""-(?:\d{2}-)?([A-Z]+)"")),"""")
"),"")</f>
        <v/>
      </c>
      <c r="C1934" s="224"/>
      <c r="D1934" s="219"/>
      <c r="E1934" s="225"/>
      <c r="F1934" s="225"/>
      <c r="G1934" s="226"/>
      <c r="H1934" s="225"/>
      <c r="I1934" s="227"/>
      <c r="J1934" s="228"/>
      <c r="K1934" s="229"/>
      <c r="L1934" s="229"/>
      <c r="M1934" s="229"/>
      <c r="N1934" s="230"/>
      <c r="O1934" s="228"/>
      <c r="P1934" s="230"/>
      <c r="Q1934" s="219"/>
      <c r="R1934" s="198"/>
      <c r="S1934" s="198"/>
      <c r="T1934" s="198"/>
      <c r="U1934" s="198"/>
      <c r="V1934" s="198"/>
      <c r="W1934" s="198"/>
      <c r="X1934" s="198"/>
    </row>
    <row r="1935" ht="12.0" customHeight="1">
      <c r="A1935" s="222" t="str">
        <f>IF(COUNTIFS(RC_OUT[BLOCK],RC_IN[BLOCK],RC_OUT[REMARKS],"*CLOSED*")&gt;0,"CLOSED",IF(COUNTIFS(RC_OUT[BLOCK],RC_IN[BLOCK],RC_OUT[WT],"&gt;0")&gt;0,"IN-USE",""))
</f>
        <v/>
      </c>
      <c r="B1935" s="223" t="str">
        <f>IFERROR(__xludf.DUMMYFUNCTION("IFERROR(IF(F1935&lt;&gt;"""",""WHSE ""&amp;LEFT(F1935,1),REGEXEXTRACT(E1935,""-(?:\d{2}-)?([A-Z]+)"")),"""")
"),"")</f>
        <v/>
      </c>
      <c r="C1935" s="224"/>
      <c r="D1935" s="219"/>
      <c r="E1935" s="225"/>
      <c r="F1935" s="225"/>
      <c r="G1935" s="226"/>
      <c r="H1935" s="225"/>
      <c r="I1935" s="227"/>
      <c r="J1935" s="228"/>
      <c r="K1935" s="229"/>
      <c r="L1935" s="229"/>
      <c r="M1935" s="229"/>
      <c r="N1935" s="230"/>
      <c r="O1935" s="228"/>
      <c r="P1935" s="230"/>
      <c r="Q1935" s="219"/>
      <c r="R1935" s="198"/>
      <c r="S1935" s="198"/>
      <c r="T1935" s="198"/>
      <c r="U1935" s="198"/>
      <c r="V1935" s="198"/>
      <c r="W1935" s="198"/>
      <c r="X1935" s="198"/>
    </row>
    <row r="1936" ht="12.0" customHeight="1">
      <c r="A1936" s="222" t="str">
        <f>IF(COUNTIFS(RC_OUT[BLOCK],RC_IN[BLOCK],RC_OUT[REMARKS],"*CLOSED*")&gt;0,"CLOSED",IF(COUNTIFS(RC_OUT[BLOCK],RC_IN[BLOCK],RC_OUT[WT],"&gt;0")&gt;0,"IN-USE",""))
</f>
        <v/>
      </c>
      <c r="B1936" s="223" t="str">
        <f>IFERROR(__xludf.DUMMYFUNCTION("IFERROR(IF(F1936&lt;&gt;"""",""WHSE ""&amp;LEFT(F1936,1),REGEXEXTRACT(E1936,""-(?:\d{2}-)?([A-Z]+)"")),"""")
"),"")</f>
        <v/>
      </c>
      <c r="C1936" s="224"/>
      <c r="D1936" s="219"/>
      <c r="E1936" s="225"/>
      <c r="F1936" s="225"/>
      <c r="G1936" s="226"/>
      <c r="H1936" s="225"/>
      <c r="I1936" s="227"/>
      <c r="J1936" s="228"/>
      <c r="K1936" s="229"/>
      <c r="L1936" s="229"/>
      <c r="M1936" s="229"/>
      <c r="N1936" s="230"/>
      <c r="O1936" s="228"/>
      <c r="P1936" s="230"/>
      <c r="Q1936" s="219"/>
      <c r="R1936" s="198"/>
      <c r="S1936" s="198"/>
      <c r="T1936" s="198"/>
      <c r="U1936" s="198"/>
      <c r="V1936" s="198"/>
      <c r="W1936" s="198"/>
      <c r="X1936" s="198"/>
    </row>
    <row r="1937" ht="12.0" customHeight="1">
      <c r="A1937" s="222" t="str">
        <f>IF(COUNTIFS(RC_OUT[BLOCK],RC_IN[BLOCK],RC_OUT[REMARKS],"*CLOSED*")&gt;0,"CLOSED",IF(COUNTIFS(RC_OUT[BLOCK],RC_IN[BLOCK],RC_OUT[WT],"&gt;0")&gt;0,"IN-USE",""))
</f>
        <v/>
      </c>
      <c r="B1937" s="223" t="str">
        <f>IFERROR(__xludf.DUMMYFUNCTION("IFERROR(IF(F1937&lt;&gt;"""",""WHSE ""&amp;LEFT(F1937,1),REGEXEXTRACT(E1937,""-(?:\d{2}-)?([A-Z]+)"")),"""")
"),"")</f>
        <v/>
      </c>
      <c r="C1937" s="224"/>
      <c r="D1937" s="219"/>
      <c r="E1937" s="225"/>
      <c r="F1937" s="225"/>
      <c r="G1937" s="226"/>
      <c r="H1937" s="225"/>
      <c r="I1937" s="227"/>
      <c r="J1937" s="228"/>
      <c r="K1937" s="229"/>
      <c r="L1937" s="229"/>
      <c r="M1937" s="229"/>
      <c r="N1937" s="230"/>
      <c r="O1937" s="228"/>
      <c r="P1937" s="230"/>
      <c r="Q1937" s="219"/>
      <c r="R1937" s="198"/>
      <c r="S1937" s="198"/>
      <c r="T1937" s="198"/>
      <c r="U1937" s="198"/>
      <c r="V1937" s="198"/>
      <c r="W1937" s="198"/>
      <c r="X1937" s="198"/>
    </row>
    <row r="1938" ht="12.0" customHeight="1">
      <c r="A1938" s="222" t="str">
        <f>IF(COUNTIFS(RC_OUT[BLOCK],RC_IN[BLOCK],RC_OUT[REMARKS],"*CLOSED*")&gt;0,"CLOSED",IF(COUNTIFS(RC_OUT[BLOCK],RC_IN[BLOCK],RC_OUT[WT],"&gt;0")&gt;0,"IN-USE",""))
</f>
        <v/>
      </c>
      <c r="B1938" s="223" t="str">
        <f>IFERROR(__xludf.DUMMYFUNCTION("IFERROR(IF(F1938&lt;&gt;"""",""WHSE ""&amp;LEFT(F1938,1),REGEXEXTRACT(E1938,""-(?:\d{2}-)?([A-Z]+)"")),"""")
"),"")</f>
        <v/>
      </c>
      <c r="C1938" s="224"/>
      <c r="D1938" s="219"/>
      <c r="E1938" s="225"/>
      <c r="F1938" s="225"/>
      <c r="G1938" s="226"/>
      <c r="H1938" s="225"/>
      <c r="I1938" s="227"/>
      <c r="J1938" s="228"/>
      <c r="K1938" s="229"/>
      <c r="L1938" s="229"/>
      <c r="M1938" s="229"/>
      <c r="N1938" s="230"/>
      <c r="O1938" s="228"/>
      <c r="P1938" s="230"/>
      <c r="Q1938" s="219"/>
      <c r="R1938" s="198"/>
      <c r="S1938" s="198"/>
      <c r="T1938" s="198"/>
      <c r="U1938" s="198"/>
      <c r="V1938" s="198"/>
      <c r="W1938" s="198"/>
      <c r="X1938" s="198"/>
    </row>
    <row r="1939" ht="12.0" customHeight="1">
      <c r="A1939" s="222" t="str">
        <f>IF(COUNTIFS(RC_OUT[BLOCK],RC_IN[BLOCK],RC_OUT[REMARKS],"*CLOSED*")&gt;0,"CLOSED",IF(COUNTIFS(RC_OUT[BLOCK],RC_IN[BLOCK],RC_OUT[WT],"&gt;0")&gt;0,"IN-USE",""))
</f>
        <v/>
      </c>
      <c r="B1939" s="223" t="str">
        <f>IFERROR(__xludf.DUMMYFUNCTION("IFERROR(IF(F1939&lt;&gt;"""",""WHSE ""&amp;LEFT(F1939,1),REGEXEXTRACT(E1939,""-(?:\d{2}-)?([A-Z]+)"")),"""")
"),"")</f>
        <v/>
      </c>
      <c r="C1939" s="224"/>
      <c r="D1939" s="219"/>
      <c r="E1939" s="225"/>
      <c r="F1939" s="225"/>
      <c r="G1939" s="226"/>
      <c r="H1939" s="225"/>
      <c r="I1939" s="227"/>
      <c r="J1939" s="228"/>
      <c r="K1939" s="229"/>
      <c r="L1939" s="229"/>
      <c r="M1939" s="229"/>
      <c r="N1939" s="230"/>
      <c r="O1939" s="228"/>
      <c r="P1939" s="230"/>
      <c r="Q1939" s="219"/>
      <c r="R1939" s="198"/>
      <c r="S1939" s="198"/>
      <c r="T1939" s="198"/>
      <c r="U1939" s="198"/>
      <c r="V1939" s="198"/>
      <c r="W1939" s="198"/>
      <c r="X1939" s="198"/>
    </row>
    <row r="1940" ht="12.0" customHeight="1">
      <c r="A1940" s="222" t="str">
        <f>IF(COUNTIFS(RC_OUT[BLOCK],RC_IN[BLOCK],RC_OUT[REMARKS],"*CLOSED*")&gt;0,"CLOSED",IF(COUNTIFS(RC_OUT[BLOCK],RC_IN[BLOCK],RC_OUT[WT],"&gt;0")&gt;0,"IN-USE",""))
</f>
        <v/>
      </c>
      <c r="B1940" s="223" t="str">
        <f>IFERROR(__xludf.DUMMYFUNCTION("IFERROR(IF(F1940&lt;&gt;"""",""WHSE ""&amp;LEFT(F1940,1),REGEXEXTRACT(E1940,""-(?:\d{2}-)?([A-Z]+)"")),"""")
"),"")</f>
        <v/>
      </c>
      <c r="C1940" s="224"/>
      <c r="D1940" s="219"/>
      <c r="E1940" s="225"/>
      <c r="F1940" s="225"/>
      <c r="G1940" s="226"/>
      <c r="H1940" s="225"/>
      <c r="I1940" s="227"/>
      <c r="J1940" s="228"/>
      <c r="K1940" s="229"/>
      <c r="L1940" s="229"/>
      <c r="M1940" s="229"/>
      <c r="N1940" s="230"/>
      <c r="O1940" s="228"/>
      <c r="P1940" s="230"/>
      <c r="Q1940" s="219"/>
      <c r="R1940" s="198"/>
      <c r="S1940" s="198"/>
      <c r="T1940" s="198"/>
      <c r="U1940" s="198"/>
      <c r="V1940" s="198"/>
      <c r="W1940" s="198"/>
      <c r="X1940" s="198"/>
    </row>
    <row r="1941" ht="12.0" customHeight="1">
      <c r="A1941" s="222" t="str">
        <f>IF(COUNTIFS(RC_OUT[BLOCK],RC_IN[BLOCK],RC_OUT[REMARKS],"*CLOSED*")&gt;0,"CLOSED",IF(COUNTIFS(RC_OUT[BLOCK],RC_IN[BLOCK],RC_OUT[WT],"&gt;0")&gt;0,"IN-USE",""))
</f>
        <v/>
      </c>
      <c r="B1941" s="223" t="str">
        <f>IFERROR(__xludf.DUMMYFUNCTION("IFERROR(IF(F1941&lt;&gt;"""",""WHSE ""&amp;LEFT(F1941,1),REGEXEXTRACT(E1941,""-(?:\d{2}-)?([A-Z]+)"")),"""")
"),"")</f>
        <v/>
      </c>
      <c r="C1941" s="224"/>
      <c r="D1941" s="219"/>
      <c r="E1941" s="225"/>
      <c r="F1941" s="225"/>
      <c r="G1941" s="226"/>
      <c r="H1941" s="225"/>
      <c r="I1941" s="227"/>
      <c r="J1941" s="228"/>
      <c r="K1941" s="229"/>
      <c r="L1941" s="229"/>
      <c r="M1941" s="229"/>
      <c r="N1941" s="230"/>
      <c r="O1941" s="228"/>
      <c r="P1941" s="230"/>
      <c r="Q1941" s="219"/>
      <c r="R1941" s="198"/>
      <c r="S1941" s="198"/>
      <c r="T1941" s="198"/>
      <c r="U1941" s="198"/>
      <c r="V1941" s="198"/>
      <c r="W1941" s="198"/>
      <c r="X1941" s="198"/>
    </row>
    <row r="1942" ht="12.0" customHeight="1">
      <c r="A1942" s="222" t="str">
        <f>IF(COUNTIFS(RC_OUT[BLOCK],RC_IN[BLOCK],RC_OUT[REMARKS],"*CLOSED*")&gt;0,"CLOSED",IF(COUNTIFS(RC_OUT[BLOCK],RC_IN[BLOCK],RC_OUT[WT],"&gt;0")&gt;0,"IN-USE",""))
</f>
        <v/>
      </c>
      <c r="B1942" s="223" t="str">
        <f>IFERROR(__xludf.DUMMYFUNCTION("IFERROR(IF(F1942&lt;&gt;"""",""WHSE ""&amp;LEFT(F1942,1),REGEXEXTRACT(E1942,""-(?:\d{2}-)?([A-Z]+)"")),"""")
"),"")</f>
        <v/>
      </c>
      <c r="C1942" s="224"/>
      <c r="D1942" s="219"/>
      <c r="E1942" s="225"/>
      <c r="F1942" s="225"/>
      <c r="G1942" s="226"/>
      <c r="H1942" s="225"/>
      <c r="I1942" s="227"/>
      <c r="J1942" s="228"/>
      <c r="K1942" s="229"/>
      <c r="L1942" s="229"/>
      <c r="M1942" s="229"/>
      <c r="N1942" s="230"/>
      <c r="O1942" s="228"/>
      <c r="P1942" s="230"/>
      <c r="Q1942" s="219"/>
      <c r="R1942" s="198"/>
      <c r="S1942" s="198"/>
      <c r="T1942" s="198"/>
      <c r="U1942" s="198"/>
      <c r="V1942" s="198"/>
      <c r="W1942" s="198"/>
      <c r="X1942" s="198"/>
    </row>
    <row r="1943" ht="12.0" customHeight="1">
      <c r="A1943" s="222" t="str">
        <f>IF(COUNTIFS(RC_OUT[BLOCK],RC_IN[BLOCK],RC_OUT[REMARKS],"*CLOSED*")&gt;0,"CLOSED",IF(COUNTIFS(RC_OUT[BLOCK],RC_IN[BLOCK],RC_OUT[WT],"&gt;0")&gt;0,"IN-USE",""))
</f>
        <v/>
      </c>
      <c r="B1943" s="223" t="str">
        <f>IFERROR(__xludf.DUMMYFUNCTION("IFERROR(IF(F1943&lt;&gt;"""",""WHSE ""&amp;LEFT(F1943,1),REGEXEXTRACT(E1943,""-(?:\d{2}-)?([A-Z]+)"")),"""")
"),"")</f>
        <v/>
      </c>
      <c r="C1943" s="224"/>
      <c r="D1943" s="219"/>
      <c r="E1943" s="225"/>
      <c r="F1943" s="225"/>
      <c r="G1943" s="226"/>
      <c r="H1943" s="225"/>
      <c r="I1943" s="227"/>
      <c r="J1943" s="228"/>
      <c r="K1943" s="229"/>
      <c r="L1943" s="229"/>
      <c r="M1943" s="229"/>
      <c r="N1943" s="230"/>
      <c r="O1943" s="228"/>
      <c r="P1943" s="230"/>
      <c r="Q1943" s="219"/>
      <c r="R1943" s="198"/>
      <c r="S1943" s="198"/>
      <c r="T1943" s="198"/>
      <c r="U1943" s="198"/>
      <c r="V1943" s="198"/>
      <c r="W1943" s="198"/>
      <c r="X1943" s="198"/>
    </row>
    <row r="1944" ht="12.0" customHeight="1">
      <c r="A1944" s="222" t="str">
        <f>IF(COUNTIFS(RC_OUT[BLOCK],RC_IN[BLOCK],RC_OUT[REMARKS],"*CLOSED*")&gt;0,"CLOSED",IF(COUNTIFS(RC_OUT[BLOCK],RC_IN[BLOCK],RC_OUT[WT],"&gt;0")&gt;0,"IN-USE",""))
</f>
        <v/>
      </c>
      <c r="B1944" s="223" t="str">
        <f>IFERROR(__xludf.DUMMYFUNCTION("IFERROR(IF(F1944&lt;&gt;"""",""WHSE ""&amp;LEFT(F1944,1),REGEXEXTRACT(E1944,""-(?:\d{2}-)?([A-Z]+)"")),"""")
"),"")</f>
        <v/>
      </c>
      <c r="C1944" s="224"/>
      <c r="D1944" s="219"/>
      <c r="E1944" s="225"/>
      <c r="F1944" s="225"/>
      <c r="G1944" s="226"/>
      <c r="H1944" s="225"/>
      <c r="I1944" s="227"/>
      <c r="J1944" s="228"/>
      <c r="K1944" s="229"/>
      <c r="L1944" s="229"/>
      <c r="M1944" s="229"/>
      <c r="N1944" s="230"/>
      <c r="O1944" s="228"/>
      <c r="P1944" s="230"/>
      <c r="Q1944" s="219"/>
      <c r="R1944" s="198"/>
      <c r="S1944" s="198"/>
      <c r="T1944" s="198"/>
      <c r="U1944" s="198"/>
      <c r="V1944" s="198"/>
      <c r="W1944" s="198"/>
      <c r="X1944" s="198"/>
    </row>
    <row r="1945" ht="12.0" customHeight="1">
      <c r="A1945" s="222" t="str">
        <f>IF(COUNTIFS(RC_OUT[BLOCK],RC_IN[BLOCK],RC_OUT[REMARKS],"*CLOSED*")&gt;0,"CLOSED",IF(COUNTIFS(RC_OUT[BLOCK],RC_IN[BLOCK],RC_OUT[WT],"&gt;0")&gt;0,"IN-USE",""))
</f>
        <v/>
      </c>
      <c r="B1945" s="223" t="str">
        <f>IFERROR(__xludf.DUMMYFUNCTION("IFERROR(IF(F1945&lt;&gt;"""",""WHSE ""&amp;LEFT(F1945,1),REGEXEXTRACT(E1945,""-(?:\d{2}-)?([A-Z]+)"")),"""")
"),"")</f>
        <v/>
      </c>
      <c r="C1945" s="224"/>
      <c r="D1945" s="219"/>
      <c r="E1945" s="225"/>
      <c r="F1945" s="225"/>
      <c r="G1945" s="226"/>
      <c r="H1945" s="225"/>
      <c r="I1945" s="227"/>
      <c r="J1945" s="228"/>
      <c r="K1945" s="229"/>
      <c r="L1945" s="229"/>
      <c r="M1945" s="229"/>
      <c r="N1945" s="230"/>
      <c r="O1945" s="228"/>
      <c r="P1945" s="230"/>
      <c r="Q1945" s="219"/>
      <c r="R1945" s="198"/>
      <c r="S1945" s="198"/>
      <c r="T1945" s="198"/>
      <c r="U1945" s="198"/>
      <c r="V1945" s="198"/>
      <c r="W1945" s="198"/>
      <c r="X1945" s="198"/>
    </row>
    <row r="1946" ht="12.0" customHeight="1">
      <c r="A1946" s="222" t="str">
        <f>IF(COUNTIFS(RC_OUT[BLOCK],RC_IN[BLOCK],RC_OUT[REMARKS],"*CLOSED*")&gt;0,"CLOSED",IF(COUNTIFS(RC_OUT[BLOCK],RC_IN[BLOCK],RC_OUT[WT],"&gt;0")&gt;0,"IN-USE",""))
</f>
        <v/>
      </c>
      <c r="B1946" s="223" t="str">
        <f>IFERROR(__xludf.DUMMYFUNCTION("IFERROR(IF(F1946&lt;&gt;"""",""WHSE ""&amp;LEFT(F1946,1),REGEXEXTRACT(E1946,""-(?:\d{2}-)?([A-Z]+)"")),"""")
"),"")</f>
        <v/>
      </c>
      <c r="C1946" s="224"/>
      <c r="D1946" s="219"/>
      <c r="E1946" s="225"/>
      <c r="F1946" s="225"/>
      <c r="G1946" s="226"/>
      <c r="H1946" s="225"/>
      <c r="I1946" s="227"/>
      <c r="J1946" s="228"/>
      <c r="K1946" s="229"/>
      <c r="L1946" s="229"/>
      <c r="M1946" s="229"/>
      <c r="N1946" s="230"/>
      <c r="O1946" s="228"/>
      <c r="P1946" s="230"/>
      <c r="Q1946" s="219"/>
      <c r="R1946" s="198"/>
      <c r="S1946" s="198"/>
      <c r="T1946" s="198"/>
      <c r="U1946" s="198"/>
      <c r="V1946" s="198"/>
      <c r="W1946" s="198"/>
      <c r="X1946" s="198"/>
    </row>
    <row r="1947" ht="12.0" customHeight="1">
      <c r="A1947" s="222" t="str">
        <f>IF(COUNTIFS(RC_OUT[BLOCK],RC_IN[BLOCK],RC_OUT[REMARKS],"*CLOSED*")&gt;0,"CLOSED",IF(COUNTIFS(RC_OUT[BLOCK],RC_IN[BLOCK],RC_OUT[WT],"&gt;0")&gt;0,"IN-USE",""))
</f>
        <v/>
      </c>
      <c r="B1947" s="223" t="str">
        <f>IFERROR(__xludf.DUMMYFUNCTION("IFERROR(IF(F1947&lt;&gt;"""",""WHSE ""&amp;LEFT(F1947,1),REGEXEXTRACT(E1947,""-(?:\d{2}-)?([A-Z]+)"")),"""")
"),"")</f>
        <v/>
      </c>
      <c r="C1947" s="224"/>
      <c r="D1947" s="219"/>
      <c r="E1947" s="225"/>
      <c r="F1947" s="225"/>
      <c r="G1947" s="226"/>
      <c r="H1947" s="225"/>
      <c r="I1947" s="227"/>
      <c r="J1947" s="228"/>
      <c r="K1947" s="229"/>
      <c r="L1947" s="229"/>
      <c r="M1947" s="229"/>
      <c r="N1947" s="230"/>
      <c r="O1947" s="228"/>
      <c r="P1947" s="230"/>
      <c r="Q1947" s="219"/>
      <c r="R1947" s="198"/>
      <c r="S1947" s="198"/>
      <c r="T1947" s="198"/>
      <c r="U1947" s="198"/>
      <c r="V1947" s="198"/>
      <c r="W1947" s="198"/>
      <c r="X1947" s="198"/>
    </row>
    <row r="1948" ht="12.0" customHeight="1">
      <c r="A1948" s="222" t="str">
        <f>IF(COUNTIFS(RC_OUT[BLOCK],RC_IN[BLOCK],RC_OUT[REMARKS],"*CLOSED*")&gt;0,"CLOSED",IF(COUNTIFS(RC_OUT[BLOCK],RC_IN[BLOCK],RC_OUT[WT],"&gt;0")&gt;0,"IN-USE",""))
</f>
        <v/>
      </c>
      <c r="B1948" s="223" t="str">
        <f>IFERROR(__xludf.DUMMYFUNCTION("IFERROR(IF(F1948&lt;&gt;"""",""WHSE ""&amp;LEFT(F1948,1),REGEXEXTRACT(E1948,""-(?:\d{2}-)?([A-Z]+)"")),"""")
"),"")</f>
        <v/>
      </c>
      <c r="C1948" s="224"/>
      <c r="D1948" s="219"/>
      <c r="E1948" s="225"/>
      <c r="F1948" s="225"/>
      <c r="G1948" s="226"/>
      <c r="H1948" s="225"/>
      <c r="I1948" s="227"/>
      <c r="J1948" s="228"/>
      <c r="K1948" s="229"/>
      <c r="L1948" s="229"/>
      <c r="M1948" s="229"/>
      <c r="N1948" s="230"/>
      <c r="O1948" s="228"/>
      <c r="P1948" s="230"/>
      <c r="Q1948" s="219"/>
      <c r="R1948" s="198"/>
      <c r="S1948" s="198"/>
      <c r="T1948" s="198"/>
      <c r="U1948" s="198"/>
      <c r="V1948" s="198"/>
      <c r="W1948" s="198"/>
      <c r="X1948" s="198"/>
    </row>
    <row r="1949" ht="12.0" customHeight="1">
      <c r="A1949" s="222" t="str">
        <f>IF(COUNTIFS(RC_OUT[BLOCK],RC_IN[BLOCK],RC_OUT[REMARKS],"*CLOSED*")&gt;0,"CLOSED",IF(COUNTIFS(RC_OUT[BLOCK],RC_IN[BLOCK],RC_OUT[WT],"&gt;0")&gt;0,"IN-USE",""))
</f>
        <v/>
      </c>
      <c r="B1949" s="223" t="str">
        <f>IFERROR(__xludf.DUMMYFUNCTION("IFERROR(IF(F1949&lt;&gt;"""",""WHSE ""&amp;LEFT(F1949,1),REGEXEXTRACT(E1949,""-(?:\d{2}-)?([A-Z]+)"")),"""")
"),"")</f>
        <v/>
      </c>
      <c r="C1949" s="224"/>
      <c r="D1949" s="219"/>
      <c r="E1949" s="225"/>
      <c r="F1949" s="225"/>
      <c r="G1949" s="226"/>
      <c r="H1949" s="225"/>
      <c r="I1949" s="227"/>
      <c r="J1949" s="228"/>
      <c r="K1949" s="229"/>
      <c r="L1949" s="229"/>
      <c r="M1949" s="229"/>
      <c r="N1949" s="230"/>
      <c r="O1949" s="228"/>
      <c r="P1949" s="230"/>
      <c r="Q1949" s="219"/>
      <c r="R1949" s="198"/>
      <c r="S1949" s="198"/>
      <c r="T1949" s="198"/>
      <c r="U1949" s="198"/>
      <c r="V1949" s="198"/>
      <c r="W1949" s="198"/>
      <c r="X1949" s="198"/>
    </row>
    <row r="1950" ht="12.0" customHeight="1">
      <c r="A1950" s="222" t="str">
        <f>IF(COUNTIFS(RC_OUT[BLOCK],RC_IN[BLOCK],RC_OUT[REMARKS],"*CLOSED*")&gt;0,"CLOSED",IF(COUNTIFS(RC_OUT[BLOCK],RC_IN[BLOCK],RC_OUT[WT],"&gt;0")&gt;0,"IN-USE",""))
</f>
        <v/>
      </c>
      <c r="B1950" s="223" t="str">
        <f>IFERROR(__xludf.DUMMYFUNCTION("IFERROR(IF(F1950&lt;&gt;"""",""WHSE ""&amp;LEFT(F1950,1),REGEXEXTRACT(E1950,""-(?:\d{2}-)?([A-Z]+)"")),"""")
"),"")</f>
        <v/>
      </c>
      <c r="C1950" s="224"/>
      <c r="D1950" s="219"/>
      <c r="E1950" s="225"/>
      <c r="F1950" s="225"/>
      <c r="G1950" s="226"/>
      <c r="H1950" s="225"/>
      <c r="I1950" s="227"/>
      <c r="J1950" s="228"/>
      <c r="K1950" s="229"/>
      <c r="L1950" s="229"/>
      <c r="M1950" s="229"/>
      <c r="N1950" s="230"/>
      <c r="O1950" s="228"/>
      <c r="P1950" s="230"/>
      <c r="Q1950" s="219"/>
      <c r="R1950" s="198"/>
      <c r="S1950" s="198"/>
      <c r="T1950" s="198"/>
      <c r="U1950" s="198"/>
      <c r="V1950" s="198"/>
      <c r="W1950" s="198"/>
      <c r="X1950" s="198"/>
    </row>
    <row r="1951" ht="12.0" customHeight="1">
      <c r="A1951" s="222" t="str">
        <f>IF(COUNTIFS(RC_OUT[BLOCK],RC_IN[BLOCK],RC_OUT[REMARKS],"*CLOSED*")&gt;0,"CLOSED",IF(COUNTIFS(RC_OUT[BLOCK],RC_IN[BLOCK],RC_OUT[WT],"&gt;0")&gt;0,"IN-USE",""))
</f>
        <v/>
      </c>
      <c r="B1951" s="223" t="str">
        <f>IFERROR(__xludf.DUMMYFUNCTION("IFERROR(IF(F1951&lt;&gt;"""",""WHSE ""&amp;LEFT(F1951,1),REGEXEXTRACT(E1951,""-(?:\d{2}-)?([A-Z]+)"")),"""")
"),"")</f>
        <v/>
      </c>
      <c r="C1951" s="224"/>
      <c r="D1951" s="219"/>
      <c r="E1951" s="225"/>
      <c r="F1951" s="225"/>
      <c r="G1951" s="226"/>
      <c r="H1951" s="225"/>
      <c r="I1951" s="227"/>
      <c r="J1951" s="228"/>
      <c r="K1951" s="229"/>
      <c r="L1951" s="229"/>
      <c r="M1951" s="229"/>
      <c r="N1951" s="230"/>
      <c r="O1951" s="228"/>
      <c r="P1951" s="230"/>
      <c r="Q1951" s="219"/>
      <c r="R1951" s="198"/>
      <c r="S1951" s="198"/>
      <c r="T1951" s="198"/>
      <c r="U1951" s="198"/>
      <c r="V1951" s="198"/>
      <c r="W1951" s="198"/>
      <c r="X1951" s="198"/>
    </row>
    <row r="1952" ht="12.0" customHeight="1">
      <c r="A1952" s="222" t="str">
        <f>IF(COUNTIFS(RC_OUT[BLOCK],RC_IN[BLOCK],RC_OUT[REMARKS],"*CLOSED*")&gt;0,"CLOSED",IF(COUNTIFS(RC_OUT[BLOCK],RC_IN[BLOCK],RC_OUT[WT],"&gt;0")&gt;0,"IN-USE",""))
</f>
        <v/>
      </c>
      <c r="B1952" s="223" t="str">
        <f>IFERROR(__xludf.DUMMYFUNCTION("IFERROR(IF(F1952&lt;&gt;"""",""WHSE ""&amp;LEFT(F1952,1),REGEXEXTRACT(E1952,""-(?:\d{2}-)?([A-Z]+)"")),"""")
"),"")</f>
        <v/>
      </c>
      <c r="C1952" s="224"/>
      <c r="D1952" s="219"/>
      <c r="E1952" s="225"/>
      <c r="F1952" s="225"/>
      <c r="G1952" s="226"/>
      <c r="H1952" s="225"/>
      <c r="I1952" s="227"/>
      <c r="J1952" s="228"/>
      <c r="K1952" s="229"/>
      <c r="L1952" s="229"/>
      <c r="M1952" s="229"/>
      <c r="N1952" s="230"/>
      <c r="O1952" s="228"/>
      <c r="P1952" s="230"/>
      <c r="Q1952" s="219"/>
      <c r="R1952" s="198"/>
      <c r="S1952" s="198"/>
      <c r="T1952" s="198"/>
      <c r="U1952" s="198"/>
      <c r="V1952" s="198"/>
      <c r="W1952" s="198"/>
      <c r="X1952" s="198"/>
    </row>
    <row r="1953" ht="12.0" customHeight="1">
      <c r="A1953" s="222" t="str">
        <f>IF(COUNTIFS(RC_OUT[BLOCK],RC_IN[BLOCK],RC_OUT[REMARKS],"*CLOSED*")&gt;0,"CLOSED",IF(COUNTIFS(RC_OUT[BLOCK],RC_IN[BLOCK],RC_OUT[WT],"&gt;0")&gt;0,"IN-USE",""))
</f>
        <v/>
      </c>
      <c r="B1953" s="223" t="str">
        <f>IFERROR(__xludf.DUMMYFUNCTION("IFERROR(IF(F1953&lt;&gt;"""",""WHSE ""&amp;LEFT(F1953,1),REGEXEXTRACT(E1953,""-(?:\d{2}-)?([A-Z]+)"")),"""")
"),"")</f>
        <v/>
      </c>
      <c r="C1953" s="224"/>
      <c r="D1953" s="219"/>
      <c r="E1953" s="225"/>
      <c r="F1953" s="225"/>
      <c r="G1953" s="226"/>
      <c r="H1953" s="225"/>
      <c r="I1953" s="227"/>
      <c r="J1953" s="228"/>
      <c r="K1953" s="229"/>
      <c r="L1953" s="229"/>
      <c r="M1953" s="229"/>
      <c r="N1953" s="230"/>
      <c r="O1953" s="228"/>
      <c r="P1953" s="230"/>
      <c r="Q1953" s="219"/>
      <c r="R1953" s="198"/>
      <c r="S1953" s="198"/>
      <c r="T1953" s="198"/>
      <c r="U1953" s="198"/>
      <c r="V1953" s="198"/>
      <c r="W1953" s="198"/>
      <c r="X1953" s="198"/>
    </row>
    <row r="1954" ht="12.0" customHeight="1">
      <c r="A1954" s="222" t="str">
        <f>IF(COUNTIFS(RC_OUT[BLOCK],RC_IN[BLOCK],RC_OUT[REMARKS],"*CLOSED*")&gt;0,"CLOSED",IF(COUNTIFS(RC_OUT[BLOCK],RC_IN[BLOCK],RC_OUT[WT],"&gt;0")&gt;0,"IN-USE",""))
</f>
        <v/>
      </c>
      <c r="B1954" s="223" t="str">
        <f>IFERROR(__xludf.DUMMYFUNCTION("IFERROR(IF(F1954&lt;&gt;"""",""WHSE ""&amp;LEFT(F1954,1),REGEXEXTRACT(E1954,""-(?:\d{2}-)?([A-Z]+)"")),"""")
"),"")</f>
        <v/>
      </c>
      <c r="C1954" s="224"/>
      <c r="D1954" s="219"/>
      <c r="E1954" s="225"/>
      <c r="F1954" s="225"/>
      <c r="G1954" s="226"/>
      <c r="H1954" s="225"/>
      <c r="I1954" s="227"/>
      <c r="J1954" s="228"/>
      <c r="K1954" s="229"/>
      <c r="L1954" s="229"/>
      <c r="M1954" s="229"/>
      <c r="N1954" s="230"/>
      <c r="O1954" s="228"/>
      <c r="P1954" s="230"/>
      <c r="Q1954" s="219"/>
      <c r="R1954" s="198"/>
      <c r="S1954" s="198"/>
      <c r="T1954" s="198"/>
      <c r="U1954" s="198"/>
      <c r="V1954" s="198"/>
      <c r="W1954" s="198"/>
      <c r="X1954" s="198"/>
    </row>
    <row r="1955" ht="12.0" customHeight="1">
      <c r="A1955" s="222" t="str">
        <f>IF(COUNTIFS(RC_OUT[BLOCK],RC_IN[BLOCK],RC_OUT[REMARKS],"*CLOSED*")&gt;0,"CLOSED",IF(COUNTIFS(RC_OUT[BLOCK],RC_IN[BLOCK],RC_OUT[WT],"&gt;0")&gt;0,"IN-USE",""))
</f>
        <v/>
      </c>
      <c r="B1955" s="223" t="str">
        <f>IFERROR(__xludf.DUMMYFUNCTION("IFERROR(IF(F1955&lt;&gt;"""",""WHSE ""&amp;LEFT(F1955,1),REGEXEXTRACT(E1955,""-(?:\d{2}-)?([A-Z]+)"")),"""")
"),"")</f>
        <v/>
      </c>
      <c r="C1955" s="224"/>
      <c r="D1955" s="219"/>
      <c r="E1955" s="225"/>
      <c r="F1955" s="225"/>
      <c r="G1955" s="226"/>
      <c r="H1955" s="225"/>
      <c r="I1955" s="227"/>
      <c r="J1955" s="228"/>
      <c r="K1955" s="229"/>
      <c r="L1955" s="229"/>
      <c r="M1955" s="229"/>
      <c r="N1955" s="230"/>
      <c r="O1955" s="228"/>
      <c r="P1955" s="230"/>
      <c r="Q1955" s="219"/>
      <c r="R1955" s="198"/>
      <c r="S1955" s="198"/>
      <c r="T1955" s="198"/>
      <c r="U1955" s="198"/>
      <c r="V1955" s="198"/>
      <c r="W1955" s="198"/>
      <c r="X1955" s="198"/>
    </row>
    <row r="1956" ht="12.0" customHeight="1">
      <c r="A1956" s="222" t="str">
        <f>IF(COUNTIFS(RC_OUT[BLOCK],RC_IN[BLOCK],RC_OUT[REMARKS],"*CLOSED*")&gt;0,"CLOSED",IF(COUNTIFS(RC_OUT[BLOCK],RC_IN[BLOCK],RC_OUT[WT],"&gt;0")&gt;0,"IN-USE",""))
</f>
        <v/>
      </c>
      <c r="B1956" s="223" t="str">
        <f>IFERROR(__xludf.DUMMYFUNCTION("IFERROR(IF(F1956&lt;&gt;"""",""WHSE ""&amp;LEFT(F1956,1),REGEXEXTRACT(E1956,""-(?:\d{2}-)?([A-Z]+)"")),"""")
"),"")</f>
        <v/>
      </c>
      <c r="C1956" s="224"/>
      <c r="D1956" s="219"/>
      <c r="E1956" s="225"/>
      <c r="F1956" s="225"/>
      <c r="G1956" s="226"/>
      <c r="H1956" s="225"/>
      <c r="I1956" s="227"/>
      <c r="J1956" s="228"/>
      <c r="K1956" s="229"/>
      <c r="L1956" s="229"/>
      <c r="M1956" s="229"/>
      <c r="N1956" s="230"/>
      <c r="O1956" s="228"/>
      <c r="P1956" s="230"/>
      <c r="Q1956" s="219"/>
      <c r="R1956" s="198"/>
      <c r="S1956" s="198"/>
      <c r="T1956" s="198"/>
      <c r="U1956" s="198"/>
      <c r="V1956" s="198"/>
      <c r="W1956" s="198"/>
      <c r="X1956" s="198"/>
    </row>
    <row r="1957" ht="12.0" customHeight="1">
      <c r="A1957" s="222" t="str">
        <f>IF(COUNTIFS(RC_OUT[BLOCK],RC_IN[BLOCK],RC_OUT[REMARKS],"*CLOSED*")&gt;0,"CLOSED",IF(COUNTIFS(RC_OUT[BLOCK],RC_IN[BLOCK],RC_OUT[WT],"&gt;0")&gt;0,"IN-USE",""))
</f>
        <v/>
      </c>
      <c r="B1957" s="223" t="str">
        <f>IFERROR(__xludf.DUMMYFUNCTION("IFERROR(IF(F1957&lt;&gt;"""",""WHSE ""&amp;LEFT(F1957,1),REGEXEXTRACT(E1957,""-(?:\d{2}-)?([A-Z]+)"")),"""")
"),"")</f>
        <v/>
      </c>
      <c r="C1957" s="224"/>
      <c r="D1957" s="219"/>
      <c r="E1957" s="225"/>
      <c r="F1957" s="225"/>
      <c r="G1957" s="226"/>
      <c r="H1957" s="225"/>
      <c r="I1957" s="227"/>
      <c r="J1957" s="228"/>
      <c r="K1957" s="229"/>
      <c r="L1957" s="229"/>
      <c r="M1957" s="229"/>
      <c r="N1957" s="230"/>
      <c r="O1957" s="228"/>
      <c r="P1957" s="230"/>
      <c r="Q1957" s="219"/>
      <c r="R1957" s="198"/>
      <c r="S1957" s="198"/>
      <c r="T1957" s="198"/>
      <c r="U1957" s="198"/>
      <c r="V1957" s="198"/>
      <c r="W1957" s="198"/>
      <c r="X1957" s="198"/>
    </row>
    <row r="1958" ht="12.0" customHeight="1">
      <c r="A1958" s="222" t="str">
        <f>IF(COUNTIFS(RC_OUT[BLOCK],RC_IN[BLOCK],RC_OUT[REMARKS],"*CLOSED*")&gt;0,"CLOSED",IF(COUNTIFS(RC_OUT[BLOCK],RC_IN[BLOCK],RC_OUT[WT],"&gt;0")&gt;0,"IN-USE",""))
</f>
        <v/>
      </c>
      <c r="B1958" s="223" t="str">
        <f>IFERROR(__xludf.DUMMYFUNCTION("IFERROR(IF(F1958&lt;&gt;"""",""WHSE ""&amp;LEFT(F1958,1),REGEXEXTRACT(E1958,""-(?:\d{2}-)?([A-Z]+)"")),"""")
"),"")</f>
        <v/>
      </c>
      <c r="C1958" s="224"/>
      <c r="D1958" s="219"/>
      <c r="E1958" s="225"/>
      <c r="F1958" s="225"/>
      <c r="G1958" s="226"/>
      <c r="H1958" s="225"/>
      <c r="I1958" s="227"/>
      <c r="J1958" s="228"/>
      <c r="K1958" s="229"/>
      <c r="L1958" s="229"/>
      <c r="M1958" s="229"/>
      <c r="N1958" s="230"/>
      <c r="O1958" s="228"/>
      <c r="P1958" s="230"/>
      <c r="Q1958" s="219"/>
      <c r="R1958" s="198"/>
      <c r="S1958" s="198"/>
      <c r="T1958" s="198"/>
      <c r="U1958" s="198"/>
      <c r="V1958" s="198"/>
      <c r="W1958" s="198"/>
      <c r="X1958" s="198"/>
    </row>
    <row r="1959" ht="12.0" customHeight="1">
      <c r="A1959" s="222" t="str">
        <f>IF(COUNTIFS(RC_OUT[BLOCK],RC_IN[BLOCK],RC_OUT[REMARKS],"*CLOSED*")&gt;0,"CLOSED",IF(COUNTIFS(RC_OUT[BLOCK],RC_IN[BLOCK],RC_OUT[WT],"&gt;0")&gt;0,"IN-USE",""))
</f>
        <v/>
      </c>
      <c r="B1959" s="223" t="str">
        <f>IFERROR(__xludf.DUMMYFUNCTION("IFERROR(IF(F1959&lt;&gt;"""",""WHSE ""&amp;LEFT(F1959,1),REGEXEXTRACT(E1959,""-(?:\d{2}-)?([A-Z]+)"")),"""")
"),"")</f>
        <v/>
      </c>
      <c r="C1959" s="224"/>
      <c r="D1959" s="219"/>
      <c r="E1959" s="225"/>
      <c r="F1959" s="225"/>
      <c r="G1959" s="226"/>
      <c r="H1959" s="225"/>
      <c r="I1959" s="227"/>
      <c r="J1959" s="228"/>
      <c r="K1959" s="229"/>
      <c r="L1959" s="229"/>
      <c r="M1959" s="229"/>
      <c r="N1959" s="230"/>
      <c r="O1959" s="228"/>
      <c r="P1959" s="230"/>
      <c r="Q1959" s="219"/>
      <c r="R1959" s="198"/>
      <c r="S1959" s="198"/>
      <c r="T1959" s="198"/>
      <c r="U1959" s="198"/>
      <c r="V1959" s="198"/>
      <c r="W1959" s="198"/>
      <c r="X1959" s="198"/>
    </row>
    <row r="1960" ht="12.0" customHeight="1">
      <c r="A1960" s="222" t="str">
        <f>IF(COUNTIFS(RC_OUT[BLOCK],RC_IN[BLOCK],RC_OUT[REMARKS],"*CLOSED*")&gt;0,"CLOSED",IF(COUNTIFS(RC_OUT[BLOCK],RC_IN[BLOCK],RC_OUT[WT],"&gt;0")&gt;0,"IN-USE",""))
</f>
        <v/>
      </c>
      <c r="B1960" s="223" t="str">
        <f>IFERROR(__xludf.DUMMYFUNCTION("IFERROR(IF(F1960&lt;&gt;"""",""WHSE ""&amp;LEFT(F1960,1),REGEXEXTRACT(E1960,""-(?:\d{2}-)?([A-Z]+)"")),"""")
"),"")</f>
        <v/>
      </c>
      <c r="C1960" s="224"/>
      <c r="D1960" s="219"/>
      <c r="E1960" s="225"/>
      <c r="F1960" s="225"/>
      <c r="G1960" s="226"/>
      <c r="H1960" s="225"/>
      <c r="I1960" s="227"/>
      <c r="J1960" s="228"/>
      <c r="K1960" s="229"/>
      <c r="L1960" s="229"/>
      <c r="M1960" s="229"/>
      <c r="N1960" s="230"/>
      <c r="O1960" s="228"/>
      <c r="P1960" s="230"/>
      <c r="Q1960" s="219"/>
      <c r="R1960" s="198"/>
      <c r="S1960" s="198"/>
      <c r="T1960" s="198"/>
      <c r="U1960" s="198"/>
      <c r="V1960" s="198"/>
      <c r="W1960" s="198"/>
      <c r="X1960" s="198"/>
    </row>
    <row r="1961" ht="12.0" customHeight="1">
      <c r="A1961" s="222" t="str">
        <f>IF(COUNTIFS(RC_OUT[BLOCK],RC_IN[BLOCK],RC_OUT[REMARKS],"*CLOSED*")&gt;0,"CLOSED",IF(COUNTIFS(RC_OUT[BLOCK],RC_IN[BLOCK],RC_OUT[WT],"&gt;0")&gt;0,"IN-USE",""))
</f>
        <v/>
      </c>
      <c r="B1961" s="223" t="str">
        <f>IFERROR(__xludf.DUMMYFUNCTION("IFERROR(IF(F1961&lt;&gt;"""",""WHSE ""&amp;LEFT(F1961,1),REGEXEXTRACT(E1961,""-(?:\d{2}-)?([A-Z]+)"")),"""")
"),"")</f>
        <v/>
      </c>
      <c r="C1961" s="224"/>
      <c r="D1961" s="219"/>
      <c r="E1961" s="225"/>
      <c r="F1961" s="225"/>
      <c r="G1961" s="226"/>
      <c r="H1961" s="225"/>
      <c r="I1961" s="227"/>
      <c r="J1961" s="228"/>
      <c r="K1961" s="229"/>
      <c r="L1961" s="229"/>
      <c r="M1961" s="229"/>
      <c r="N1961" s="230"/>
      <c r="O1961" s="228"/>
      <c r="P1961" s="230"/>
      <c r="Q1961" s="219"/>
      <c r="R1961" s="198"/>
      <c r="S1961" s="198"/>
      <c r="T1961" s="198"/>
      <c r="U1961" s="198"/>
      <c r="V1961" s="198"/>
      <c r="W1961" s="198"/>
      <c r="X1961" s="198"/>
    </row>
    <row r="1962" ht="12.0" customHeight="1">
      <c r="A1962" s="222" t="str">
        <f>IF(COUNTIFS(RC_OUT[BLOCK],RC_IN[BLOCK],RC_OUT[REMARKS],"*CLOSED*")&gt;0,"CLOSED",IF(COUNTIFS(RC_OUT[BLOCK],RC_IN[BLOCK],RC_OUT[WT],"&gt;0")&gt;0,"IN-USE",""))
</f>
        <v/>
      </c>
      <c r="B1962" s="223" t="str">
        <f>IFERROR(__xludf.DUMMYFUNCTION("IFERROR(IF(F1962&lt;&gt;"""",""WHSE ""&amp;LEFT(F1962,1),REGEXEXTRACT(E1962,""-(?:\d{2}-)?([A-Z]+)"")),"""")
"),"")</f>
        <v/>
      </c>
      <c r="C1962" s="224"/>
      <c r="D1962" s="219"/>
      <c r="E1962" s="225"/>
      <c r="F1962" s="225"/>
      <c r="G1962" s="226"/>
      <c r="H1962" s="225"/>
      <c r="I1962" s="227"/>
      <c r="J1962" s="228"/>
      <c r="K1962" s="229"/>
      <c r="L1962" s="229"/>
      <c r="M1962" s="229"/>
      <c r="N1962" s="230"/>
      <c r="O1962" s="228"/>
      <c r="P1962" s="230"/>
      <c r="Q1962" s="219"/>
      <c r="R1962" s="198"/>
      <c r="S1962" s="198"/>
      <c r="T1962" s="198"/>
      <c r="U1962" s="198"/>
      <c r="V1962" s="198"/>
      <c r="W1962" s="198"/>
      <c r="X1962" s="198"/>
    </row>
    <row r="1963" ht="12.0" customHeight="1">
      <c r="A1963" s="222" t="str">
        <f>IF(COUNTIFS(RC_OUT[BLOCK],RC_IN[BLOCK],RC_OUT[REMARKS],"*CLOSED*")&gt;0,"CLOSED",IF(COUNTIFS(RC_OUT[BLOCK],RC_IN[BLOCK],RC_OUT[WT],"&gt;0")&gt;0,"IN-USE",""))
</f>
        <v/>
      </c>
      <c r="B1963" s="223" t="str">
        <f>IFERROR(__xludf.DUMMYFUNCTION("IFERROR(IF(F1963&lt;&gt;"""",""WHSE ""&amp;LEFT(F1963,1),REGEXEXTRACT(E1963,""-(?:\d{2}-)?([A-Z]+)"")),"""")
"),"")</f>
        <v/>
      </c>
      <c r="C1963" s="224"/>
      <c r="D1963" s="219"/>
      <c r="E1963" s="225"/>
      <c r="F1963" s="225"/>
      <c r="G1963" s="226"/>
      <c r="H1963" s="225"/>
      <c r="I1963" s="227"/>
      <c r="J1963" s="228"/>
      <c r="K1963" s="229"/>
      <c r="L1963" s="229"/>
      <c r="M1963" s="229"/>
      <c r="N1963" s="230"/>
      <c r="O1963" s="228"/>
      <c r="P1963" s="230"/>
      <c r="Q1963" s="219"/>
      <c r="R1963" s="198"/>
      <c r="S1963" s="198"/>
      <c r="T1963" s="198"/>
      <c r="U1963" s="198"/>
      <c r="V1963" s="198"/>
      <c r="W1963" s="198"/>
      <c r="X1963" s="198"/>
    </row>
    <row r="1964" ht="12.0" customHeight="1">
      <c r="A1964" s="222" t="str">
        <f>IF(COUNTIFS(RC_OUT[BLOCK],RC_IN[BLOCK],RC_OUT[REMARKS],"*CLOSED*")&gt;0,"CLOSED",IF(COUNTIFS(RC_OUT[BLOCK],RC_IN[BLOCK],RC_OUT[WT],"&gt;0")&gt;0,"IN-USE",""))
</f>
        <v/>
      </c>
      <c r="B1964" s="223" t="str">
        <f>IFERROR(__xludf.DUMMYFUNCTION("IFERROR(IF(F1964&lt;&gt;"""",""WHSE ""&amp;LEFT(F1964,1),REGEXEXTRACT(E1964,""-(?:\d{2}-)?([A-Z]+)"")),"""")
"),"")</f>
        <v/>
      </c>
      <c r="C1964" s="224"/>
      <c r="D1964" s="219"/>
      <c r="E1964" s="225"/>
      <c r="F1964" s="225"/>
      <c r="G1964" s="226"/>
      <c r="H1964" s="225"/>
      <c r="I1964" s="227"/>
      <c r="J1964" s="228"/>
      <c r="K1964" s="229"/>
      <c r="L1964" s="229"/>
      <c r="M1964" s="229"/>
      <c r="N1964" s="230"/>
      <c r="O1964" s="228"/>
      <c r="P1964" s="230"/>
      <c r="Q1964" s="219"/>
      <c r="R1964" s="198"/>
      <c r="S1964" s="198"/>
      <c r="T1964" s="198"/>
      <c r="U1964" s="198"/>
      <c r="V1964" s="198"/>
      <c r="W1964" s="198"/>
      <c r="X1964" s="198"/>
    </row>
    <row r="1965" ht="12.0" customHeight="1">
      <c r="A1965" s="222" t="str">
        <f>IF(COUNTIFS(RC_OUT[BLOCK],RC_IN[BLOCK],RC_OUT[REMARKS],"*CLOSED*")&gt;0,"CLOSED",IF(COUNTIFS(RC_OUT[BLOCK],RC_IN[BLOCK],RC_OUT[WT],"&gt;0")&gt;0,"IN-USE",""))
</f>
        <v/>
      </c>
      <c r="B1965" s="223" t="str">
        <f>IFERROR(__xludf.DUMMYFUNCTION("IFERROR(IF(F1965&lt;&gt;"""",""WHSE ""&amp;LEFT(F1965,1),REGEXEXTRACT(E1965,""-(?:\d{2}-)?([A-Z]+)"")),"""")
"),"")</f>
        <v/>
      </c>
      <c r="C1965" s="224"/>
      <c r="D1965" s="219"/>
      <c r="E1965" s="225"/>
      <c r="F1965" s="225"/>
      <c r="G1965" s="226"/>
      <c r="H1965" s="225"/>
      <c r="I1965" s="227"/>
      <c r="J1965" s="228"/>
      <c r="K1965" s="229"/>
      <c r="L1965" s="229"/>
      <c r="M1965" s="229"/>
      <c r="N1965" s="230"/>
      <c r="O1965" s="228"/>
      <c r="P1965" s="230"/>
      <c r="Q1965" s="219"/>
      <c r="R1965" s="198"/>
      <c r="S1965" s="198"/>
      <c r="T1965" s="198"/>
      <c r="U1965" s="198"/>
      <c r="V1965" s="198"/>
      <c r="W1965" s="198"/>
      <c r="X1965" s="198"/>
    </row>
    <row r="1966" ht="12.0" customHeight="1">
      <c r="A1966" s="222" t="str">
        <f>IF(COUNTIFS(RC_OUT[BLOCK],RC_IN[BLOCK],RC_OUT[REMARKS],"*CLOSED*")&gt;0,"CLOSED",IF(COUNTIFS(RC_OUT[BLOCK],RC_IN[BLOCK],RC_OUT[WT],"&gt;0")&gt;0,"IN-USE",""))
</f>
        <v/>
      </c>
      <c r="B1966" s="223" t="str">
        <f>IFERROR(__xludf.DUMMYFUNCTION("IFERROR(IF(F1966&lt;&gt;"""",""WHSE ""&amp;LEFT(F1966,1),REGEXEXTRACT(E1966,""-(?:\d{2}-)?([A-Z]+)"")),"""")
"),"")</f>
        <v/>
      </c>
      <c r="C1966" s="224"/>
      <c r="D1966" s="219"/>
      <c r="E1966" s="225"/>
      <c r="F1966" s="225"/>
      <c r="G1966" s="226"/>
      <c r="H1966" s="225"/>
      <c r="I1966" s="227"/>
      <c r="J1966" s="228"/>
      <c r="K1966" s="229"/>
      <c r="L1966" s="229"/>
      <c r="M1966" s="229"/>
      <c r="N1966" s="230"/>
      <c r="O1966" s="228"/>
      <c r="P1966" s="230"/>
      <c r="Q1966" s="219"/>
      <c r="R1966" s="198"/>
      <c r="S1966" s="198"/>
      <c r="T1966" s="198"/>
      <c r="U1966" s="198"/>
      <c r="V1966" s="198"/>
      <c r="W1966" s="198"/>
      <c r="X1966" s="198"/>
    </row>
    <row r="1967" ht="12.0" customHeight="1">
      <c r="A1967" s="222" t="str">
        <f>IF(COUNTIFS(RC_OUT[BLOCK],RC_IN[BLOCK],RC_OUT[REMARKS],"*CLOSED*")&gt;0,"CLOSED",IF(COUNTIFS(RC_OUT[BLOCK],RC_IN[BLOCK],RC_OUT[WT],"&gt;0")&gt;0,"IN-USE",""))
</f>
        <v/>
      </c>
      <c r="B1967" s="223" t="str">
        <f>IFERROR(__xludf.DUMMYFUNCTION("IFERROR(IF(F1967&lt;&gt;"""",""WHSE ""&amp;LEFT(F1967,1),REGEXEXTRACT(E1967,""-(?:\d{2}-)?([A-Z]+)"")),"""")
"),"")</f>
        <v/>
      </c>
      <c r="C1967" s="224"/>
      <c r="D1967" s="219"/>
      <c r="E1967" s="225"/>
      <c r="F1967" s="225"/>
      <c r="G1967" s="226"/>
      <c r="H1967" s="225"/>
      <c r="I1967" s="227"/>
      <c r="J1967" s="228"/>
      <c r="K1967" s="229"/>
      <c r="L1967" s="229"/>
      <c r="M1967" s="229"/>
      <c r="N1967" s="230"/>
      <c r="O1967" s="228"/>
      <c r="P1967" s="230"/>
      <c r="Q1967" s="219"/>
      <c r="R1967" s="198"/>
      <c r="S1967" s="198"/>
      <c r="T1967" s="198"/>
      <c r="U1967" s="198"/>
      <c r="V1967" s="198"/>
      <c r="W1967" s="198"/>
      <c r="X1967" s="198"/>
    </row>
    <row r="1968" ht="12.0" customHeight="1">
      <c r="A1968" s="222" t="str">
        <f>IF(COUNTIFS(RC_OUT[BLOCK],RC_IN[BLOCK],RC_OUT[REMARKS],"*CLOSED*")&gt;0,"CLOSED",IF(COUNTIFS(RC_OUT[BLOCK],RC_IN[BLOCK],RC_OUT[WT],"&gt;0")&gt;0,"IN-USE",""))
</f>
        <v/>
      </c>
      <c r="B1968" s="223" t="str">
        <f>IFERROR(__xludf.DUMMYFUNCTION("IFERROR(IF(F1968&lt;&gt;"""",""WHSE ""&amp;LEFT(F1968,1),REGEXEXTRACT(E1968,""-(?:\d{2}-)?([A-Z]+)"")),"""")
"),"")</f>
        <v/>
      </c>
      <c r="C1968" s="224"/>
      <c r="D1968" s="219"/>
      <c r="E1968" s="225"/>
      <c r="F1968" s="225"/>
      <c r="G1968" s="226"/>
      <c r="H1968" s="225"/>
      <c r="I1968" s="227"/>
      <c r="J1968" s="228"/>
      <c r="K1968" s="229"/>
      <c r="L1968" s="229"/>
      <c r="M1968" s="229"/>
      <c r="N1968" s="230"/>
      <c r="O1968" s="228"/>
      <c r="P1968" s="230"/>
      <c r="Q1968" s="219"/>
      <c r="R1968" s="198"/>
      <c r="S1968" s="198"/>
      <c r="T1968" s="198"/>
      <c r="U1968" s="198"/>
      <c r="V1968" s="198"/>
      <c r="W1968" s="198"/>
      <c r="X1968" s="198"/>
    </row>
    <row r="1969" ht="12.0" customHeight="1">
      <c r="A1969" s="222" t="str">
        <f>IF(COUNTIFS(RC_OUT[BLOCK],RC_IN[BLOCK],RC_OUT[REMARKS],"*CLOSED*")&gt;0,"CLOSED",IF(COUNTIFS(RC_OUT[BLOCK],RC_IN[BLOCK],RC_OUT[WT],"&gt;0")&gt;0,"IN-USE",""))
</f>
        <v/>
      </c>
      <c r="B1969" s="223" t="str">
        <f>IFERROR(__xludf.DUMMYFUNCTION("IFERROR(IF(F1969&lt;&gt;"""",""WHSE ""&amp;LEFT(F1969,1),REGEXEXTRACT(E1969,""-(?:\d{2}-)?([A-Z]+)"")),"""")
"),"")</f>
        <v/>
      </c>
      <c r="C1969" s="224"/>
      <c r="D1969" s="219"/>
      <c r="E1969" s="225"/>
      <c r="F1969" s="225"/>
      <c r="G1969" s="226"/>
      <c r="H1969" s="225"/>
      <c r="I1969" s="227"/>
      <c r="J1969" s="228"/>
      <c r="K1969" s="229"/>
      <c r="L1969" s="229"/>
      <c r="M1969" s="229"/>
      <c r="N1969" s="230"/>
      <c r="O1969" s="228"/>
      <c r="P1969" s="230"/>
      <c r="Q1969" s="219"/>
      <c r="R1969" s="198"/>
      <c r="S1969" s="198"/>
      <c r="T1969" s="198"/>
      <c r="U1969" s="198"/>
      <c r="V1969" s="198"/>
      <c r="W1969" s="198"/>
      <c r="X1969" s="198"/>
    </row>
    <row r="1970" ht="12.0" customHeight="1">
      <c r="A1970" s="222" t="str">
        <f>IF(COUNTIFS(RC_OUT[BLOCK],RC_IN[BLOCK],RC_OUT[REMARKS],"*CLOSED*")&gt;0,"CLOSED",IF(COUNTIFS(RC_OUT[BLOCK],RC_IN[BLOCK],RC_OUT[WT],"&gt;0")&gt;0,"IN-USE",""))
</f>
        <v/>
      </c>
      <c r="B1970" s="223" t="str">
        <f>IFERROR(__xludf.DUMMYFUNCTION("IFERROR(IF(F1970&lt;&gt;"""",""WHSE ""&amp;LEFT(F1970,1),REGEXEXTRACT(E1970,""-(?:\d{2}-)?([A-Z]+)"")),"""")
"),"")</f>
        <v/>
      </c>
      <c r="C1970" s="224"/>
      <c r="D1970" s="219"/>
      <c r="E1970" s="225"/>
      <c r="F1970" s="225"/>
      <c r="G1970" s="226"/>
      <c r="H1970" s="225"/>
      <c r="I1970" s="227"/>
      <c r="J1970" s="228"/>
      <c r="K1970" s="229"/>
      <c r="L1970" s="229"/>
      <c r="M1970" s="229"/>
      <c r="N1970" s="230"/>
      <c r="O1970" s="228"/>
      <c r="P1970" s="230"/>
      <c r="Q1970" s="219"/>
      <c r="R1970" s="198"/>
      <c r="S1970" s="198"/>
      <c r="T1970" s="198"/>
      <c r="U1970" s="198"/>
      <c r="V1970" s="198"/>
      <c r="W1970" s="198"/>
      <c r="X1970" s="198"/>
    </row>
    <row r="1971" ht="12.0" customHeight="1">
      <c r="A1971" s="222" t="str">
        <f>IF(COUNTIFS(RC_OUT[BLOCK],RC_IN[BLOCK],RC_OUT[REMARKS],"*CLOSED*")&gt;0,"CLOSED",IF(COUNTIFS(RC_OUT[BLOCK],RC_IN[BLOCK],RC_OUT[WT],"&gt;0")&gt;0,"IN-USE",""))
</f>
        <v/>
      </c>
      <c r="B1971" s="223" t="str">
        <f>IFERROR(__xludf.DUMMYFUNCTION("IFERROR(IF(F1971&lt;&gt;"""",""WHSE ""&amp;LEFT(F1971,1),REGEXEXTRACT(E1971,""-(?:\d{2}-)?([A-Z]+)"")),"""")
"),"")</f>
        <v/>
      </c>
      <c r="C1971" s="224"/>
      <c r="D1971" s="219"/>
      <c r="E1971" s="225"/>
      <c r="F1971" s="225"/>
      <c r="G1971" s="226"/>
      <c r="H1971" s="225"/>
      <c r="I1971" s="227"/>
      <c r="J1971" s="228"/>
      <c r="K1971" s="229"/>
      <c r="L1971" s="229"/>
      <c r="M1971" s="229"/>
      <c r="N1971" s="230"/>
      <c r="O1971" s="228"/>
      <c r="P1971" s="230"/>
      <c r="Q1971" s="219"/>
      <c r="R1971" s="198"/>
      <c r="S1971" s="198"/>
      <c r="T1971" s="198"/>
      <c r="U1971" s="198"/>
      <c r="V1971" s="198"/>
      <c r="W1971" s="198"/>
      <c r="X1971" s="198"/>
    </row>
    <row r="1972" ht="12.0" customHeight="1">
      <c r="A1972" s="222" t="str">
        <f>IF(COUNTIFS(RC_OUT[BLOCK],RC_IN[BLOCK],RC_OUT[REMARKS],"*CLOSED*")&gt;0,"CLOSED",IF(COUNTIFS(RC_OUT[BLOCK],RC_IN[BLOCK],RC_OUT[WT],"&gt;0")&gt;0,"IN-USE",""))
</f>
        <v/>
      </c>
      <c r="B1972" s="223" t="str">
        <f>IFERROR(__xludf.DUMMYFUNCTION("IFERROR(IF(F1972&lt;&gt;"""",""WHSE ""&amp;LEFT(F1972,1),REGEXEXTRACT(E1972,""-(?:\d{2}-)?([A-Z]+)"")),"""")
"),"")</f>
        <v/>
      </c>
      <c r="C1972" s="224"/>
      <c r="D1972" s="219"/>
      <c r="E1972" s="225"/>
      <c r="F1972" s="225"/>
      <c r="G1972" s="226"/>
      <c r="H1972" s="225"/>
      <c r="I1972" s="227"/>
      <c r="J1972" s="228"/>
      <c r="K1972" s="229"/>
      <c r="L1972" s="229"/>
      <c r="M1972" s="229"/>
      <c r="N1972" s="230"/>
      <c r="O1972" s="228"/>
      <c r="P1972" s="230"/>
      <c r="Q1972" s="219"/>
      <c r="R1972" s="198"/>
      <c r="S1972" s="198"/>
      <c r="T1972" s="198"/>
      <c r="U1972" s="198"/>
      <c r="V1972" s="198"/>
      <c r="W1972" s="198"/>
      <c r="X1972" s="198"/>
    </row>
    <row r="1973" ht="12.0" customHeight="1">
      <c r="A1973" s="222" t="str">
        <f>IF(COUNTIFS(RC_OUT[BLOCK],RC_IN[BLOCK],RC_OUT[REMARKS],"*CLOSED*")&gt;0,"CLOSED",IF(COUNTIFS(RC_OUT[BLOCK],RC_IN[BLOCK],RC_OUT[WT],"&gt;0")&gt;0,"IN-USE",""))
</f>
        <v/>
      </c>
      <c r="B1973" s="223" t="str">
        <f>IFERROR(__xludf.DUMMYFUNCTION("IFERROR(IF(F1973&lt;&gt;"""",""WHSE ""&amp;LEFT(F1973,1),REGEXEXTRACT(E1973,""-(?:\d{2}-)?([A-Z]+)"")),"""")
"),"")</f>
        <v/>
      </c>
      <c r="C1973" s="224"/>
      <c r="D1973" s="219"/>
      <c r="E1973" s="225"/>
      <c r="F1973" s="225"/>
      <c r="G1973" s="226"/>
      <c r="H1973" s="225"/>
      <c r="I1973" s="227"/>
      <c r="J1973" s="228"/>
      <c r="K1973" s="229"/>
      <c r="L1973" s="229"/>
      <c r="M1973" s="229"/>
      <c r="N1973" s="230"/>
      <c r="O1973" s="228"/>
      <c r="P1973" s="230"/>
      <c r="Q1973" s="219"/>
      <c r="R1973" s="198"/>
      <c r="S1973" s="198"/>
      <c r="T1973" s="198"/>
      <c r="U1973" s="198"/>
      <c r="V1973" s="198"/>
      <c r="W1973" s="198"/>
      <c r="X1973" s="198"/>
    </row>
    <row r="1974" ht="12.0" customHeight="1">
      <c r="A1974" s="222" t="str">
        <f>IF(COUNTIFS(RC_OUT[BLOCK],RC_IN[BLOCK],RC_OUT[REMARKS],"*CLOSED*")&gt;0,"CLOSED",IF(COUNTIFS(RC_OUT[BLOCK],RC_IN[BLOCK],RC_OUT[WT],"&gt;0")&gt;0,"IN-USE",""))
</f>
        <v/>
      </c>
      <c r="B1974" s="223" t="str">
        <f>IFERROR(__xludf.DUMMYFUNCTION("IFERROR(IF(F1974&lt;&gt;"""",""WHSE ""&amp;LEFT(F1974,1),REGEXEXTRACT(E1974,""-(?:\d{2}-)?([A-Z]+)"")),"""")
"),"")</f>
        <v/>
      </c>
      <c r="C1974" s="224"/>
      <c r="D1974" s="219"/>
      <c r="E1974" s="225"/>
      <c r="F1974" s="225"/>
      <c r="G1974" s="226"/>
      <c r="H1974" s="225"/>
      <c r="I1974" s="227"/>
      <c r="J1974" s="228"/>
      <c r="K1974" s="229"/>
      <c r="L1974" s="229"/>
      <c r="M1974" s="229"/>
      <c r="N1974" s="230"/>
      <c r="O1974" s="228"/>
      <c r="P1974" s="230"/>
      <c r="Q1974" s="219"/>
      <c r="R1974" s="198"/>
      <c r="S1974" s="198"/>
      <c r="T1974" s="198"/>
      <c r="U1974" s="198"/>
      <c r="V1974" s="198"/>
      <c r="W1974" s="198"/>
      <c r="X1974" s="198"/>
    </row>
    <row r="1975" ht="12.0" customHeight="1">
      <c r="A1975" s="222" t="str">
        <f>IF(COUNTIFS(RC_OUT[BLOCK],RC_IN[BLOCK],RC_OUT[REMARKS],"*CLOSED*")&gt;0,"CLOSED",IF(COUNTIFS(RC_OUT[BLOCK],RC_IN[BLOCK],RC_OUT[WT],"&gt;0")&gt;0,"IN-USE",""))
</f>
        <v/>
      </c>
      <c r="B1975" s="223" t="str">
        <f>IFERROR(__xludf.DUMMYFUNCTION("IFERROR(IF(F1975&lt;&gt;"""",""WHSE ""&amp;LEFT(F1975,1),REGEXEXTRACT(E1975,""-(?:\d{2}-)?([A-Z]+)"")),"""")
"),"")</f>
        <v/>
      </c>
      <c r="C1975" s="224"/>
      <c r="D1975" s="219"/>
      <c r="E1975" s="225"/>
      <c r="F1975" s="225"/>
      <c r="G1975" s="226"/>
      <c r="H1975" s="225"/>
      <c r="I1975" s="227"/>
      <c r="J1975" s="228"/>
      <c r="K1975" s="229"/>
      <c r="L1975" s="229"/>
      <c r="M1975" s="229"/>
      <c r="N1975" s="230"/>
      <c r="O1975" s="228"/>
      <c r="P1975" s="230"/>
      <c r="Q1975" s="219"/>
      <c r="R1975" s="198"/>
      <c r="S1975" s="198"/>
      <c r="T1975" s="198"/>
      <c r="U1975" s="198"/>
      <c r="V1975" s="198"/>
      <c r="W1975" s="198"/>
      <c r="X1975" s="198"/>
    </row>
    <row r="1976" ht="12.0" customHeight="1">
      <c r="A1976" s="222" t="str">
        <f>IF(COUNTIFS(RC_OUT[BLOCK],RC_IN[BLOCK],RC_OUT[REMARKS],"*CLOSED*")&gt;0,"CLOSED",IF(COUNTIFS(RC_OUT[BLOCK],RC_IN[BLOCK],RC_OUT[WT],"&gt;0")&gt;0,"IN-USE",""))
</f>
        <v/>
      </c>
      <c r="B1976" s="223" t="str">
        <f>IFERROR(__xludf.DUMMYFUNCTION("IFERROR(IF(F1976&lt;&gt;"""",""WHSE ""&amp;LEFT(F1976,1),REGEXEXTRACT(E1976,""-(?:\d{2}-)?([A-Z]+)"")),"""")
"),"")</f>
        <v/>
      </c>
      <c r="C1976" s="224"/>
      <c r="D1976" s="219"/>
      <c r="E1976" s="225"/>
      <c r="F1976" s="225"/>
      <c r="G1976" s="226"/>
      <c r="H1976" s="225"/>
      <c r="I1976" s="227"/>
      <c r="J1976" s="228"/>
      <c r="K1976" s="229"/>
      <c r="L1976" s="229"/>
      <c r="M1976" s="229"/>
      <c r="N1976" s="230"/>
      <c r="O1976" s="228"/>
      <c r="P1976" s="230"/>
      <c r="Q1976" s="219"/>
      <c r="R1976" s="198"/>
      <c r="S1976" s="198"/>
      <c r="T1976" s="198"/>
      <c r="U1976" s="198"/>
      <c r="V1976" s="198"/>
      <c r="W1976" s="198"/>
      <c r="X1976" s="198"/>
    </row>
    <row r="1977" ht="12.0" customHeight="1">
      <c r="A1977" s="222" t="str">
        <f>IF(COUNTIFS(RC_OUT[BLOCK],RC_IN[BLOCK],RC_OUT[REMARKS],"*CLOSED*")&gt;0,"CLOSED",IF(COUNTIFS(RC_OUT[BLOCK],RC_IN[BLOCK],RC_OUT[WT],"&gt;0")&gt;0,"IN-USE",""))
</f>
        <v/>
      </c>
      <c r="B1977" s="223" t="str">
        <f>IFERROR(__xludf.DUMMYFUNCTION("IFERROR(IF(F1977&lt;&gt;"""",""WHSE ""&amp;LEFT(F1977,1),REGEXEXTRACT(E1977,""-(?:\d{2}-)?([A-Z]+)"")),"""")
"),"")</f>
        <v/>
      </c>
      <c r="C1977" s="224"/>
      <c r="D1977" s="219"/>
      <c r="E1977" s="225"/>
      <c r="F1977" s="225"/>
      <c r="G1977" s="226"/>
      <c r="H1977" s="225"/>
      <c r="I1977" s="227"/>
      <c r="J1977" s="228"/>
      <c r="K1977" s="229"/>
      <c r="L1977" s="229"/>
      <c r="M1977" s="229"/>
      <c r="N1977" s="230"/>
      <c r="O1977" s="228"/>
      <c r="P1977" s="230"/>
      <c r="Q1977" s="219"/>
      <c r="R1977" s="198"/>
      <c r="S1977" s="198"/>
      <c r="T1977" s="198"/>
      <c r="U1977" s="198"/>
      <c r="V1977" s="198"/>
      <c r="W1977" s="198"/>
      <c r="X1977" s="198"/>
    </row>
    <row r="1978" ht="12.0" customHeight="1">
      <c r="A1978" s="222" t="str">
        <f>IF(COUNTIFS(RC_OUT[BLOCK],RC_IN[BLOCK],RC_OUT[REMARKS],"*CLOSED*")&gt;0,"CLOSED",IF(COUNTIFS(RC_OUT[BLOCK],RC_IN[BLOCK],RC_OUT[WT],"&gt;0")&gt;0,"IN-USE",""))
</f>
        <v/>
      </c>
      <c r="B1978" s="223" t="str">
        <f>IFERROR(__xludf.DUMMYFUNCTION("IFERROR(IF(F1978&lt;&gt;"""",""WHSE ""&amp;LEFT(F1978,1),REGEXEXTRACT(E1978,""-(?:\d{2}-)?([A-Z]+)"")),"""")
"),"")</f>
        <v/>
      </c>
      <c r="C1978" s="224"/>
      <c r="D1978" s="219"/>
      <c r="E1978" s="225"/>
      <c r="F1978" s="225"/>
      <c r="G1978" s="226"/>
      <c r="H1978" s="225"/>
      <c r="I1978" s="227"/>
      <c r="J1978" s="228"/>
      <c r="K1978" s="229"/>
      <c r="L1978" s="229"/>
      <c r="M1978" s="229"/>
      <c r="N1978" s="230"/>
      <c r="O1978" s="228"/>
      <c r="P1978" s="230"/>
      <c r="Q1978" s="219"/>
      <c r="R1978" s="198"/>
      <c r="S1978" s="198"/>
      <c r="T1978" s="198"/>
      <c r="U1978" s="198"/>
      <c r="V1978" s="198"/>
      <c r="W1978" s="198"/>
      <c r="X1978" s="198"/>
    </row>
    <row r="1979" ht="12.0" customHeight="1">
      <c r="A1979" s="222" t="str">
        <f>IF(COUNTIFS(RC_OUT[BLOCK],RC_IN[BLOCK],RC_OUT[REMARKS],"*CLOSED*")&gt;0,"CLOSED",IF(COUNTIFS(RC_OUT[BLOCK],RC_IN[BLOCK],RC_OUT[WT],"&gt;0")&gt;0,"IN-USE",""))
</f>
        <v/>
      </c>
      <c r="B1979" s="223" t="str">
        <f>IFERROR(__xludf.DUMMYFUNCTION("IFERROR(IF(F1979&lt;&gt;"""",""WHSE ""&amp;LEFT(F1979,1),REGEXEXTRACT(E1979,""-(?:\d{2}-)?([A-Z]+)"")),"""")
"),"")</f>
        <v/>
      </c>
      <c r="C1979" s="224"/>
      <c r="D1979" s="219"/>
      <c r="E1979" s="225"/>
      <c r="F1979" s="225"/>
      <c r="G1979" s="226"/>
      <c r="H1979" s="225"/>
      <c r="I1979" s="227"/>
      <c r="J1979" s="228"/>
      <c r="K1979" s="229"/>
      <c r="L1979" s="229"/>
      <c r="M1979" s="229"/>
      <c r="N1979" s="230"/>
      <c r="O1979" s="228"/>
      <c r="P1979" s="230"/>
      <c r="Q1979" s="219"/>
      <c r="R1979" s="198"/>
      <c r="S1979" s="198"/>
      <c r="T1979" s="198"/>
      <c r="U1979" s="198"/>
      <c r="V1979" s="198"/>
      <c r="W1979" s="198"/>
      <c r="X1979" s="198"/>
    </row>
    <row r="1980" ht="12.0" customHeight="1">
      <c r="A1980" s="222" t="str">
        <f>IF(COUNTIFS(RC_OUT[BLOCK],RC_IN[BLOCK],RC_OUT[REMARKS],"*CLOSED*")&gt;0,"CLOSED",IF(COUNTIFS(RC_OUT[BLOCK],RC_IN[BLOCK],RC_OUT[WT],"&gt;0")&gt;0,"IN-USE",""))
</f>
        <v/>
      </c>
      <c r="B1980" s="223" t="str">
        <f>IFERROR(__xludf.DUMMYFUNCTION("IFERROR(IF(F1980&lt;&gt;"""",""WHSE ""&amp;LEFT(F1980,1),REGEXEXTRACT(E1980,""-(?:\d{2}-)?([A-Z]+)"")),"""")
"),"")</f>
        <v/>
      </c>
      <c r="C1980" s="224"/>
      <c r="D1980" s="219"/>
      <c r="E1980" s="225"/>
      <c r="F1980" s="225"/>
      <c r="G1980" s="226"/>
      <c r="H1980" s="225"/>
      <c r="I1980" s="227"/>
      <c r="J1980" s="228"/>
      <c r="K1980" s="229"/>
      <c r="L1980" s="229"/>
      <c r="M1980" s="229"/>
      <c r="N1980" s="230"/>
      <c r="O1980" s="228"/>
      <c r="P1980" s="230"/>
      <c r="Q1980" s="219"/>
      <c r="R1980" s="198"/>
      <c r="S1980" s="198"/>
      <c r="T1980" s="198"/>
      <c r="U1980" s="198"/>
      <c r="V1980" s="198"/>
      <c r="W1980" s="198"/>
      <c r="X1980" s="198"/>
    </row>
    <row r="1981" ht="12.0" customHeight="1">
      <c r="A1981" s="222" t="str">
        <f>IF(COUNTIFS(RC_OUT[BLOCK],RC_IN[BLOCK],RC_OUT[REMARKS],"*CLOSED*")&gt;0,"CLOSED",IF(COUNTIFS(RC_OUT[BLOCK],RC_IN[BLOCK],RC_OUT[WT],"&gt;0")&gt;0,"IN-USE",""))
</f>
        <v/>
      </c>
      <c r="B1981" s="223" t="str">
        <f>IFERROR(__xludf.DUMMYFUNCTION("IFERROR(IF(F1981&lt;&gt;"""",""WHSE ""&amp;LEFT(F1981,1),REGEXEXTRACT(E1981,""-(?:\d{2}-)?([A-Z]+)"")),"""")
"),"")</f>
        <v/>
      </c>
      <c r="C1981" s="224"/>
      <c r="D1981" s="219"/>
      <c r="E1981" s="225"/>
      <c r="F1981" s="225"/>
      <c r="G1981" s="226"/>
      <c r="H1981" s="225"/>
      <c r="I1981" s="227"/>
      <c r="J1981" s="228"/>
      <c r="K1981" s="229"/>
      <c r="L1981" s="229"/>
      <c r="M1981" s="229"/>
      <c r="N1981" s="230"/>
      <c r="O1981" s="228"/>
      <c r="P1981" s="230"/>
      <c r="Q1981" s="219"/>
      <c r="R1981" s="198"/>
      <c r="S1981" s="198"/>
      <c r="T1981" s="198"/>
      <c r="U1981" s="198"/>
      <c r="V1981" s="198"/>
      <c r="W1981" s="198"/>
      <c r="X1981" s="198"/>
    </row>
    <row r="1982" ht="12.0" customHeight="1">
      <c r="A1982" s="222" t="str">
        <f>IF(COUNTIFS(RC_OUT[BLOCK],RC_IN[BLOCK],RC_OUT[REMARKS],"*CLOSED*")&gt;0,"CLOSED",IF(COUNTIFS(RC_OUT[BLOCK],RC_IN[BLOCK],RC_OUT[WT],"&gt;0")&gt;0,"IN-USE",""))
</f>
        <v/>
      </c>
      <c r="B1982" s="223" t="str">
        <f>IFERROR(__xludf.DUMMYFUNCTION("IFERROR(IF(F1982&lt;&gt;"""",""WHSE ""&amp;LEFT(F1982,1),REGEXEXTRACT(E1982,""-(?:\d{2}-)?([A-Z]+)"")),"""")
"),"")</f>
        <v/>
      </c>
      <c r="C1982" s="224"/>
      <c r="D1982" s="219"/>
      <c r="E1982" s="225"/>
      <c r="F1982" s="225"/>
      <c r="G1982" s="226"/>
      <c r="H1982" s="225"/>
      <c r="I1982" s="227"/>
      <c r="J1982" s="228"/>
      <c r="K1982" s="229"/>
      <c r="L1982" s="229"/>
      <c r="M1982" s="229"/>
      <c r="N1982" s="230"/>
      <c r="O1982" s="228"/>
      <c r="P1982" s="230"/>
      <c r="Q1982" s="219"/>
      <c r="R1982" s="198"/>
      <c r="S1982" s="198"/>
      <c r="T1982" s="198"/>
      <c r="U1982" s="198"/>
      <c r="V1982" s="198"/>
      <c r="W1982" s="198"/>
      <c r="X1982" s="198"/>
    </row>
    <row r="1983" ht="12.0" customHeight="1">
      <c r="A1983" s="222" t="str">
        <f>IF(COUNTIFS(RC_OUT[BLOCK],RC_IN[BLOCK],RC_OUT[REMARKS],"*CLOSED*")&gt;0,"CLOSED",IF(COUNTIFS(RC_OUT[BLOCK],RC_IN[BLOCK],RC_OUT[WT],"&gt;0")&gt;0,"IN-USE",""))
</f>
        <v/>
      </c>
      <c r="B1983" s="223" t="str">
        <f>IFERROR(__xludf.DUMMYFUNCTION("IFERROR(IF(F1983&lt;&gt;"""",""WHSE ""&amp;LEFT(F1983,1),REGEXEXTRACT(E1983,""-(?:\d{2}-)?([A-Z]+)"")),"""")
"),"")</f>
        <v/>
      </c>
      <c r="C1983" s="224"/>
      <c r="D1983" s="219"/>
      <c r="E1983" s="225"/>
      <c r="F1983" s="225"/>
      <c r="G1983" s="226"/>
      <c r="H1983" s="225"/>
      <c r="I1983" s="227"/>
      <c r="J1983" s="228"/>
      <c r="K1983" s="229"/>
      <c r="L1983" s="229"/>
      <c r="M1983" s="229"/>
      <c r="N1983" s="230"/>
      <c r="O1983" s="228"/>
      <c r="P1983" s="230"/>
      <c r="Q1983" s="219"/>
      <c r="R1983" s="198"/>
      <c r="S1983" s="198"/>
      <c r="T1983" s="198"/>
      <c r="U1983" s="198"/>
      <c r="V1983" s="198"/>
      <c r="W1983" s="198"/>
      <c r="X1983" s="198"/>
    </row>
    <row r="1984" ht="12.0" customHeight="1">
      <c r="A1984" s="222" t="str">
        <f>IF(COUNTIFS(RC_OUT[BLOCK],RC_IN[BLOCK],RC_OUT[REMARKS],"*CLOSED*")&gt;0,"CLOSED",IF(COUNTIFS(RC_OUT[BLOCK],RC_IN[BLOCK],RC_OUT[WT],"&gt;0")&gt;0,"IN-USE",""))
</f>
        <v/>
      </c>
      <c r="B1984" s="223" t="str">
        <f>IFERROR(__xludf.DUMMYFUNCTION("IFERROR(IF(F1984&lt;&gt;"""",""WHSE ""&amp;LEFT(F1984,1),REGEXEXTRACT(E1984,""-(?:\d{2}-)?([A-Z]+)"")),"""")
"),"")</f>
        <v/>
      </c>
      <c r="C1984" s="224"/>
      <c r="D1984" s="219"/>
      <c r="E1984" s="225"/>
      <c r="F1984" s="225"/>
      <c r="G1984" s="226"/>
      <c r="H1984" s="225"/>
      <c r="I1984" s="227"/>
      <c r="J1984" s="228"/>
      <c r="K1984" s="229"/>
      <c r="L1984" s="229"/>
      <c r="M1984" s="229"/>
      <c r="N1984" s="230"/>
      <c r="O1984" s="228"/>
      <c r="P1984" s="230"/>
      <c r="Q1984" s="219"/>
      <c r="R1984" s="198"/>
      <c r="S1984" s="198"/>
      <c r="T1984" s="198"/>
      <c r="U1984" s="198"/>
      <c r="V1984" s="198"/>
      <c r="W1984" s="198"/>
      <c r="X1984" s="198"/>
    </row>
    <row r="1985" ht="12.0" customHeight="1">
      <c r="A1985" s="222" t="str">
        <f>IF(COUNTIFS(RC_OUT[BLOCK],RC_IN[BLOCK],RC_OUT[REMARKS],"*CLOSED*")&gt;0,"CLOSED",IF(COUNTIFS(RC_OUT[BLOCK],RC_IN[BLOCK],RC_OUT[WT],"&gt;0")&gt;0,"IN-USE",""))
</f>
        <v/>
      </c>
      <c r="B1985" s="223" t="str">
        <f>IFERROR(__xludf.DUMMYFUNCTION("IFERROR(IF(F1985&lt;&gt;"""",""WHSE ""&amp;LEFT(F1985,1),REGEXEXTRACT(E1985,""-(?:\d{2}-)?([A-Z]+)"")),"""")
"),"")</f>
        <v/>
      </c>
      <c r="C1985" s="224"/>
      <c r="D1985" s="219"/>
      <c r="E1985" s="225"/>
      <c r="F1985" s="225"/>
      <c r="G1985" s="226"/>
      <c r="H1985" s="225"/>
      <c r="I1985" s="227"/>
      <c r="J1985" s="228"/>
      <c r="K1985" s="229"/>
      <c r="L1985" s="229"/>
      <c r="M1985" s="229"/>
      <c r="N1985" s="230"/>
      <c r="O1985" s="228"/>
      <c r="P1985" s="230"/>
      <c r="Q1985" s="219"/>
      <c r="R1985" s="198"/>
      <c r="S1985" s="198"/>
      <c r="T1985" s="198"/>
      <c r="U1985" s="198"/>
      <c r="V1985" s="198"/>
      <c r="W1985" s="198"/>
      <c r="X1985" s="198"/>
    </row>
    <row r="1986" ht="12.0" customHeight="1">
      <c r="A1986" s="222" t="str">
        <f>IF(COUNTIFS(RC_OUT[BLOCK],RC_IN[BLOCK],RC_OUT[REMARKS],"*CLOSED*")&gt;0,"CLOSED",IF(COUNTIFS(RC_OUT[BLOCK],RC_IN[BLOCK],RC_OUT[WT],"&gt;0")&gt;0,"IN-USE",""))
</f>
        <v/>
      </c>
      <c r="B1986" s="223" t="str">
        <f>IFERROR(__xludf.DUMMYFUNCTION("IFERROR(IF(F1986&lt;&gt;"""",""WHSE ""&amp;LEFT(F1986,1),REGEXEXTRACT(E1986,""-(?:\d{2}-)?([A-Z]+)"")),"""")
"),"")</f>
        <v/>
      </c>
      <c r="C1986" s="224"/>
      <c r="D1986" s="219"/>
      <c r="E1986" s="225"/>
      <c r="F1986" s="225"/>
      <c r="G1986" s="226"/>
      <c r="H1986" s="225"/>
      <c r="I1986" s="227"/>
      <c r="J1986" s="228"/>
      <c r="K1986" s="229"/>
      <c r="L1986" s="229"/>
      <c r="M1986" s="229"/>
      <c r="N1986" s="230"/>
      <c r="O1986" s="228"/>
      <c r="P1986" s="230"/>
      <c r="Q1986" s="219"/>
      <c r="R1986" s="198"/>
      <c r="S1986" s="198"/>
      <c r="T1986" s="198"/>
      <c r="U1986" s="198"/>
      <c r="V1986" s="198"/>
      <c r="W1986" s="198"/>
      <c r="X1986" s="198"/>
    </row>
    <row r="1987" ht="12.0" customHeight="1">
      <c r="A1987" s="222" t="str">
        <f>IF(COUNTIFS(RC_OUT[BLOCK],RC_IN[BLOCK],RC_OUT[REMARKS],"*CLOSED*")&gt;0,"CLOSED",IF(COUNTIFS(RC_OUT[BLOCK],RC_IN[BLOCK],RC_OUT[WT],"&gt;0")&gt;0,"IN-USE",""))
</f>
        <v/>
      </c>
      <c r="B1987" s="223" t="str">
        <f>IFERROR(__xludf.DUMMYFUNCTION("IFERROR(IF(F1987&lt;&gt;"""",""WHSE ""&amp;LEFT(F1987,1),REGEXEXTRACT(E1987,""-(?:\d{2}-)?([A-Z]+)"")),"""")
"),"")</f>
        <v/>
      </c>
      <c r="C1987" s="224"/>
      <c r="D1987" s="219"/>
      <c r="E1987" s="225"/>
      <c r="F1987" s="225"/>
      <c r="G1987" s="226"/>
      <c r="H1987" s="225"/>
      <c r="I1987" s="227"/>
      <c r="J1987" s="228"/>
      <c r="K1987" s="229"/>
      <c r="L1987" s="229"/>
      <c r="M1987" s="229"/>
      <c r="N1987" s="230"/>
      <c r="O1987" s="228"/>
      <c r="P1987" s="230"/>
      <c r="Q1987" s="219"/>
      <c r="R1987" s="198"/>
      <c r="S1987" s="198"/>
      <c r="T1987" s="198"/>
      <c r="U1987" s="198"/>
      <c r="V1987" s="198"/>
      <c r="W1987" s="198"/>
      <c r="X1987" s="198"/>
    </row>
    <row r="1988" ht="12.0" customHeight="1">
      <c r="A1988" s="222" t="str">
        <f>IF(COUNTIFS(RC_OUT[BLOCK],RC_IN[BLOCK],RC_OUT[REMARKS],"*CLOSED*")&gt;0,"CLOSED",IF(COUNTIFS(RC_OUT[BLOCK],RC_IN[BLOCK],RC_OUT[WT],"&gt;0")&gt;0,"IN-USE",""))
</f>
        <v/>
      </c>
      <c r="B1988" s="223" t="str">
        <f>IFERROR(__xludf.DUMMYFUNCTION("IFERROR(IF(F1988&lt;&gt;"""",""WHSE ""&amp;LEFT(F1988,1),REGEXEXTRACT(E1988,""-(?:\d{2}-)?([A-Z]+)"")),"""")
"),"")</f>
        <v/>
      </c>
      <c r="C1988" s="224"/>
      <c r="D1988" s="219"/>
      <c r="E1988" s="225"/>
      <c r="F1988" s="225"/>
      <c r="G1988" s="226"/>
      <c r="H1988" s="225"/>
      <c r="I1988" s="227"/>
      <c r="J1988" s="228"/>
      <c r="K1988" s="229"/>
      <c r="L1988" s="229"/>
      <c r="M1988" s="229"/>
      <c r="N1988" s="230"/>
      <c r="O1988" s="228"/>
      <c r="P1988" s="230"/>
      <c r="Q1988" s="219"/>
      <c r="R1988" s="198"/>
      <c r="S1988" s="198"/>
      <c r="T1988" s="198"/>
      <c r="U1988" s="198"/>
      <c r="V1988" s="198"/>
      <c r="W1988" s="198"/>
      <c r="X1988" s="198"/>
    </row>
    <row r="1989" ht="12.0" customHeight="1">
      <c r="A1989" s="222" t="str">
        <f>IF(COUNTIFS(RC_OUT[BLOCK],RC_IN[BLOCK],RC_OUT[REMARKS],"*CLOSED*")&gt;0,"CLOSED",IF(COUNTIFS(RC_OUT[BLOCK],RC_IN[BLOCK],RC_OUT[WT],"&gt;0")&gt;0,"IN-USE",""))
</f>
        <v/>
      </c>
      <c r="B1989" s="223" t="str">
        <f>IFERROR(__xludf.DUMMYFUNCTION("IFERROR(IF(F1989&lt;&gt;"""",""WHSE ""&amp;LEFT(F1989,1),REGEXEXTRACT(E1989,""-(?:\d{2}-)?([A-Z]+)"")),"""")
"),"")</f>
        <v/>
      </c>
      <c r="C1989" s="224"/>
      <c r="D1989" s="219"/>
      <c r="E1989" s="225"/>
      <c r="F1989" s="225"/>
      <c r="G1989" s="226"/>
      <c r="H1989" s="225"/>
      <c r="I1989" s="227"/>
      <c r="J1989" s="228"/>
      <c r="K1989" s="229"/>
      <c r="L1989" s="229"/>
      <c r="M1989" s="229"/>
      <c r="N1989" s="230"/>
      <c r="O1989" s="228"/>
      <c r="P1989" s="230"/>
      <c r="Q1989" s="219"/>
      <c r="R1989" s="198"/>
      <c r="S1989" s="198"/>
      <c r="T1989" s="198"/>
      <c r="U1989" s="198"/>
      <c r="V1989" s="198"/>
      <c r="W1989" s="198"/>
      <c r="X1989" s="198"/>
    </row>
    <row r="1990" ht="12.0" customHeight="1">
      <c r="A1990" s="222" t="str">
        <f>IF(COUNTIFS(RC_OUT[BLOCK],RC_IN[BLOCK],RC_OUT[REMARKS],"*CLOSED*")&gt;0,"CLOSED",IF(COUNTIFS(RC_OUT[BLOCK],RC_IN[BLOCK],RC_OUT[WT],"&gt;0")&gt;0,"IN-USE",""))
</f>
        <v/>
      </c>
      <c r="B1990" s="223" t="str">
        <f>IFERROR(__xludf.DUMMYFUNCTION("IFERROR(IF(F1990&lt;&gt;"""",""WHSE ""&amp;LEFT(F1990,1),REGEXEXTRACT(E1990,""-(?:\d{2}-)?([A-Z]+)"")),"""")
"),"")</f>
        <v/>
      </c>
      <c r="C1990" s="224"/>
      <c r="D1990" s="219"/>
      <c r="E1990" s="225"/>
      <c r="F1990" s="225"/>
      <c r="G1990" s="226"/>
      <c r="H1990" s="225"/>
      <c r="I1990" s="227"/>
      <c r="J1990" s="228"/>
      <c r="K1990" s="229"/>
      <c r="L1990" s="229"/>
      <c r="M1990" s="229"/>
      <c r="N1990" s="230"/>
      <c r="O1990" s="228"/>
      <c r="P1990" s="230"/>
      <c r="Q1990" s="219"/>
      <c r="R1990" s="198"/>
      <c r="S1990" s="198"/>
      <c r="T1990" s="198"/>
      <c r="U1990" s="198"/>
      <c r="V1990" s="198"/>
      <c r="W1990" s="198"/>
      <c r="X1990" s="198"/>
    </row>
    <row r="1991" ht="12.0" customHeight="1">
      <c r="A1991" s="222" t="str">
        <f>IF(COUNTIFS(RC_OUT[BLOCK],RC_IN[BLOCK],RC_OUT[REMARKS],"*CLOSED*")&gt;0,"CLOSED",IF(COUNTIFS(RC_OUT[BLOCK],RC_IN[BLOCK],RC_OUT[WT],"&gt;0")&gt;0,"IN-USE",""))
</f>
        <v/>
      </c>
      <c r="B1991" s="223" t="str">
        <f>IFERROR(__xludf.DUMMYFUNCTION("IFERROR(IF(F1991&lt;&gt;"""",""WHSE ""&amp;LEFT(F1991,1),REGEXEXTRACT(E1991,""-(?:\d{2}-)?([A-Z]+)"")),"""")
"),"")</f>
        <v/>
      </c>
      <c r="C1991" s="224"/>
      <c r="D1991" s="219"/>
      <c r="E1991" s="225"/>
      <c r="F1991" s="225"/>
      <c r="G1991" s="226"/>
      <c r="H1991" s="225"/>
      <c r="I1991" s="227"/>
      <c r="J1991" s="228"/>
      <c r="K1991" s="229"/>
      <c r="L1991" s="229"/>
      <c r="M1991" s="229"/>
      <c r="N1991" s="230"/>
      <c r="O1991" s="228"/>
      <c r="P1991" s="230"/>
      <c r="Q1991" s="219"/>
      <c r="R1991" s="198"/>
      <c r="S1991" s="198"/>
      <c r="T1991" s="198"/>
      <c r="U1991" s="198"/>
      <c r="V1991" s="198"/>
      <c r="W1991" s="198"/>
      <c r="X1991" s="198"/>
    </row>
    <row r="1992" ht="12.0" customHeight="1">
      <c r="A1992" s="222" t="str">
        <f>IF(COUNTIFS(RC_OUT[BLOCK],RC_IN[BLOCK],RC_OUT[REMARKS],"*CLOSED*")&gt;0,"CLOSED",IF(COUNTIFS(RC_OUT[BLOCK],RC_IN[BLOCK],RC_OUT[WT],"&gt;0")&gt;0,"IN-USE",""))
</f>
        <v/>
      </c>
      <c r="B1992" s="223" t="str">
        <f>IFERROR(__xludf.DUMMYFUNCTION("IFERROR(IF(F1992&lt;&gt;"""",""WHSE ""&amp;LEFT(F1992,1),REGEXEXTRACT(E1992,""-(?:\d{2}-)?([A-Z]+)"")),"""")
"),"")</f>
        <v/>
      </c>
      <c r="C1992" s="224"/>
      <c r="D1992" s="219"/>
      <c r="E1992" s="225"/>
      <c r="F1992" s="225"/>
      <c r="G1992" s="226"/>
      <c r="H1992" s="225"/>
      <c r="I1992" s="227"/>
      <c r="J1992" s="228"/>
      <c r="K1992" s="229"/>
      <c r="L1992" s="229"/>
      <c r="M1992" s="229"/>
      <c r="N1992" s="230"/>
      <c r="O1992" s="228"/>
      <c r="P1992" s="230"/>
      <c r="Q1992" s="219"/>
      <c r="R1992" s="198"/>
      <c r="S1992" s="198"/>
      <c r="T1992" s="198"/>
      <c r="U1992" s="198"/>
      <c r="V1992" s="198"/>
      <c r="W1992" s="198"/>
      <c r="X1992" s="198"/>
    </row>
    <row r="1993" ht="12.0" customHeight="1">
      <c r="A1993" s="222" t="str">
        <f>IF(COUNTIFS(RC_OUT[BLOCK],RC_IN[BLOCK],RC_OUT[REMARKS],"*CLOSED*")&gt;0,"CLOSED",IF(COUNTIFS(RC_OUT[BLOCK],RC_IN[BLOCK],RC_OUT[WT],"&gt;0")&gt;0,"IN-USE",""))
</f>
        <v/>
      </c>
      <c r="B1993" s="223" t="str">
        <f>IFERROR(__xludf.DUMMYFUNCTION("IFERROR(IF(F1993&lt;&gt;"""",""WHSE ""&amp;LEFT(F1993,1),REGEXEXTRACT(E1993,""-(?:\d{2}-)?([A-Z]+)"")),"""")
"),"")</f>
        <v/>
      </c>
      <c r="C1993" s="224"/>
      <c r="D1993" s="219"/>
      <c r="E1993" s="225"/>
      <c r="F1993" s="225"/>
      <c r="G1993" s="226"/>
      <c r="H1993" s="225"/>
      <c r="I1993" s="227"/>
      <c r="J1993" s="228"/>
      <c r="K1993" s="229"/>
      <c r="L1993" s="229"/>
      <c r="M1993" s="229"/>
      <c r="N1993" s="230"/>
      <c r="O1993" s="228"/>
      <c r="P1993" s="230"/>
      <c r="Q1993" s="219"/>
      <c r="R1993" s="198"/>
      <c r="S1993" s="198"/>
      <c r="T1993" s="198"/>
      <c r="U1993" s="198"/>
      <c r="V1993" s="198"/>
      <c r="W1993" s="198"/>
      <c r="X1993" s="198"/>
    </row>
    <row r="1994" ht="12.0" customHeight="1">
      <c r="A1994" s="222" t="str">
        <f>IF(COUNTIFS(RC_OUT[BLOCK],RC_IN[BLOCK],RC_OUT[REMARKS],"*CLOSED*")&gt;0,"CLOSED",IF(COUNTIFS(RC_OUT[BLOCK],RC_IN[BLOCK],RC_OUT[WT],"&gt;0")&gt;0,"IN-USE",""))
</f>
        <v/>
      </c>
      <c r="B1994" s="223" t="str">
        <f>IFERROR(__xludf.DUMMYFUNCTION("IFERROR(IF(F1994&lt;&gt;"""",""WHSE ""&amp;LEFT(F1994,1),REGEXEXTRACT(E1994,""-(?:\d{2}-)?([A-Z]+)"")),"""")
"),"")</f>
        <v/>
      </c>
      <c r="C1994" s="224"/>
      <c r="D1994" s="219"/>
      <c r="E1994" s="225"/>
      <c r="F1994" s="225"/>
      <c r="G1994" s="226"/>
      <c r="H1994" s="225"/>
      <c r="I1994" s="227"/>
      <c r="J1994" s="228"/>
      <c r="K1994" s="229"/>
      <c r="L1994" s="229"/>
      <c r="M1994" s="229"/>
      <c r="N1994" s="230"/>
      <c r="O1994" s="228"/>
      <c r="P1994" s="230"/>
      <c r="Q1994" s="219"/>
      <c r="R1994" s="198"/>
      <c r="S1994" s="198"/>
      <c r="T1994" s="198"/>
      <c r="U1994" s="198"/>
      <c r="V1994" s="198"/>
      <c r="W1994" s="198"/>
      <c r="X1994" s="198"/>
    </row>
    <row r="1995" ht="12.0" customHeight="1">
      <c r="A1995" s="222" t="str">
        <f>IF(COUNTIFS(RC_OUT[BLOCK],RC_IN[BLOCK],RC_OUT[REMARKS],"*CLOSED*")&gt;0,"CLOSED",IF(COUNTIFS(RC_OUT[BLOCK],RC_IN[BLOCK],RC_OUT[WT],"&gt;0")&gt;0,"IN-USE",""))
</f>
        <v/>
      </c>
      <c r="B1995" s="223" t="str">
        <f>IFERROR(__xludf.DUMMYFUNCTION("IFERROR(IF(F1995&lt;&gt;"""",""WHSE ""&amp;LEFT(F1995,1),REGEXEXTRACT(E1995,""-(?:\d{2}-)?([A-Z]+)"")),"""")
"),"")</f>
        <v/>
      </c>
      <c r="C1995" s="224"/>
      <c r="D1995" s="219"/>
      <c r="E1995" s="225"/>
      <c r="F1995" s="225"/>
      <c r="G1995" s="226"/>
      <c r="H1995" s="225"/>
      <c r="I1995" s="227"/>
      <c r="J1995" s="228"/>
      <c r="K1995" s="229"/>
      <c r="L1995" s="229"/>
      <c r="M1995" s="229"/>
      <c r="N1995" s="230"/>
      <c r="O1995" s="228"/>
      <c r="P1995" s="230"/>
      <c r="Q1995" s="219"/>
      <c r="R1995" s="198"/>
      <c r="S1995" s="198"/>
      <c r="T1995" s="198"/>
      <c r="U1995" s="198"/>
      <c r="V1995" s="198"/>
      <c r="W1995" s="198"/>
      <c r="X1995" s="198"/>
    </row>
    <row r="1996" ht="12.0" customHeight="1">
      <c r="A1996" s="222" t="str">
        <f>IF(COUNTIFS(RC_OUT[BLOCK],RC_IN[BLOCK],RC_OUT[REMARKS],"*CLOSED*")&gt;0,"CLOSED",IF(COUNTIFS(RC_OUT[BLOCK],RC_IN[BLOCK],RC_OUT[WT],"&gt;0")&gt;0,"IN-USE",""))
</f>
        <v/>
      </c>
      <c r="B1996" s="223" t="str">
        <f>IFERROR(__xludf.DUMMYFUNCTION("IFERROR(IF(F1996&lt;&gt;"""",""WHSE ""&amp;LEFT(F1996,1),REGEXEXTRACT(E1996,""-(?:\d{2}-)?([A-Z]+)"")),"""")
"),"")</f>
        <v/>
      </c>
      <c r="C1996" s="224"/>
      <c r="D1996" s="219"/>
      <c r="E1996" s="225"/>
      <c r="F1996" s="225"/>
      <c r="G1996" s="226"/>
      <c r="H1996" s="225"/>
      <c r="I1996" s="227"/>
      <c r="J1996" s="228"/>
      <c r="K1996" s="229"/>
      <c r="L1996" s="229"/>
      <c r="M1996" s="229"/>
      <c r="N1996" s="230"/>
      <c r="O1996" s="228"/>
      <c r="P1996" s="230"/>
      <c r="Q1996" s="219"/>
      <c r="R1996" s="198"/>
      <c r="S1996" s="198"/>
      <c r="T1996" s="198"/>
      <c r="U1996" s="198"/>
      <c r="V1996" s="198"/>
      <c r="W1996" s="198"/>
      <c r="X1996" s="198"/>
    </row>
    <row r="1997" ht="12.0" customHeight="1">
      <c r="A1997" s="222" t="str">
        <f>IF(COUNTIFS(RC_OUT[BLOCK],RC_IN[BLOCK],RC_OUT[REMARKS],"*CLOSED*")&gt;0,"CLOSED",IF(COUNTIFS(RC_OUT[BLOCK],RC_IN[BLOCK],RC_OUT[WT],"&gt;0")&gt;0,"IN-USE",""))
</f>
        <v/>
      </c>
      <c r="B1997" s="223" t="str">
        <f>IFERROR(__xludf.DUMMYFUNCTION("IFERROR(IF(F1997&lt;&gt;"""",""WHSE ""&amp;LEFT(F1997,1),REGEXEXTRACT(E1997,""-(?:\d{2}-)?([A-Z]+)"")),"""")
"),"")</f>
        <v/>
      </c>
      <c r="C1997" s="224"/>
      <c r="D1997" s="219"/>
      <c r="E1997" s="225"/>
      <c r="F1997" s="225"/>
      <c r="G1997" s="226"/>
      <c r="H1997" s="225"/>
      <c r="I1997" s="227"/>
      <c r="J1997" s="228"/>
      <c r="K1997" s="229"/>
      <c r="L1997" s="229"/>
      <c r="M1997" s="229"/>
      <c r="N1997" s="230"/>
      <c r="O1997" s="228"/>
      <c r="P1997" s="230"/>
      <c r="Q1997" s="219"/>
      <c r="R1997" s="198"/>
      <c r="S1997" s="198"/>
      <c r="T1997" s="198"/>
      <c r="U1997" s="198"/>
      <c r="V1997" s="198"/>
      <c r="W1997" s="198"/>
      <c r="X1997" s="198"/>
    </row>
    <row r="1998" ht="12.0" customHeight="1">
      <c r="A1998" s="222" t="str">
        <f>IF(COUNTIFS(RC_OUT[BLOCK],RC_IN[BLOCK],RC_OUT[REMARKS],"*CLOSED*")&gt;0,"CLOSED",IF(COUNTIFS(RC_OUT[BLOCK],RC_IN[BLOCK],RC_OUT[WT],"&gt;0")&gt;0,"IN-USE",""))
</f>
        <v/>
      </c>
      <c r="B1998" s="223" t="str">
        <f>IFERROR(__xludf.DUMMYFUNCTION("IFERROR(IF(F1998&lt;&gt;"""",""WHSE ""&amp;LEFT(F1998,1),REGEXEXTRACT(E1998,""-(?:\d{2}-)?([A-Z]+)"")),"""")
"),"")</f>
        <v/>
      </c>
      <c r="C1998" s="224"/>
      <c r="D1998" s="219"/>
      <c r="E1998" s="225"/>
      <c r="F1998" s="225"/>
      <c r="G1998" s="226"/>
      <c r="H1998" s="225"/>
      <c r="I1998" s="227"/>
      <c r="J1998" s="228"/>
      <c r="K1998" s="229"/>
      <c r="L1998" s="229"/>
      <c r="M1998" s="229"/>
      <c r="N1998" s="230"/>
      <c r="O1998" s="228"/>
      <c r="P1998" s="230"/>
      <c r="Q1998" s="219"/>
      <c r="R1998" s="198"/>
      <c r="S1998" s="198"/>
      <c r="T1998" s="198"/>
      <c r="U1998" s="198"/>
      <c r="V1998" s="198"/>
      <c r="W1998" s="198"/>
      <c r="X1998" s="198"/>
    </row>
    <row r="1999" ht="12.0" customHeight="1">
      <c r="A1999" s="222" t="str">
        <f>IF(COUNTIFS(RC_OUT[BLOCK],RC_IN[BLOCK],RC_OUT[REMARKS],"*CLOSED*")&gt;0,"CLOSED",IF(COUNTIFS(RC_OUT[BLOCK],RC_IN[BLOCK],RC_OUT[WT],"&gt;0")&gt;0,"IN-USE",""))
</f>
        <v/>
      </c>
      <c r="B1999" s="223" t="str">
        <f>IFERROR(__xludf.DUMMYFUNCTION("IFERROR(IF(F1999&lt;&gt;"""",""WHSE ""&amp;LEFT(F1999,1),REGEXEXTRACT(E1999,""-(?:\d{2}-)?([A-Z]+)"")),"""")
"),"")</f>
        <v/>
      </c>
      <c r="C1999" s="224"/>
      <c r="D1999" s="219"/>
      <c r="E1999" s="225"/>
      <c r="F1999" s="225"/>
      <c r="G1999" s="226"/>
      <c r="H1999" s="225"/>
      <c r="I1999" s="227"/>
      <c r="J1999" s="228"/>
      <c r="K1999" s="229"/>
      <c r="L1999" s="229"/>
      <c r="M1999" s="229"/>
      <c r="N1999" s="230"/>
      <c r="O1999" s="228"/>
      <c r="P1999" s="230"/>
      <c r="Q1999" s="219"/>
      <c r="R1999" s="198"/>
      <c r="S1999" s="198"/>
      <c r="T1999" s="198"/>
      <c r="U1999" s="198"/>
      <c r="V1999" s="198"/>
      <c r="W1999" s="198"/>
      <c r="X1999" s="198"/>
    </row>
    <row r="2000" ht="12.0" customHeight="1">
      <c r="A2000" s="222" t="str">
        <f>IF(COUNTIFS(RC_OUT[BLOCK],RC_IN[BLOCK],RC_OUT[REMARKS],"*CLOSED*")&gt;0,"CLOSED",IF(COUNTIFS(RC_OUT[BLOCK],RC_IN[BLOCK],RC_OUT[WT],"&gt;0")&gt;0,"IN-USE",""))
</f>
        <v/>
      </c>
      <c r="B2000" s="223" t="str">
        <f>IFERROR(__xludf.DUMMYFUNCTION("IFERROR(IF(F2000&lt;&gt;"""",""WHSE ""&amp;LEFT(F2000,1),REGEXEXTRACT(E2000,""-(?:\d{2}-)?([A-Z]+)"")),"""")
"),"")</f>
        <v/>
      </c>
      <c r="C2000" s="224"/>
      <c r="D2000" s="219"/>
      <c r="E2000" s="225"/>
      <c r="F2000" s="225"/>
      <c r="G2000" s="226"/>
      <c r="H2000" s="225"/>
      <c r="I2000" s="227"/>
      <c r="J2000" s="228"/>
      <c r="K2000" s="229"/>
      <c r="L2000" s="229"/>
      <c r="M2000" s="229"/>
      <c r="N2000" s="230"/>
      <c r="O2000" s="228"/>
      <c r="P2000" s="230"/>
      <c r="Q2000" s="219"/>
      <c r="R2000" s="198"/>
      <c r="S2000" s="198"/>
      <c r="T2000" s="198"/>
      <c r="U2000" s="198"/>
      <c r="V2000" s="198"/>
      <c r="W2000" s="198"/>
      <c r="X2000" s="198"/>
    </row>
    <row r="2001" ht="12.0" customHeight="1">
      <c r="A2001" s="222" t="str">
        <f>IF(COUNTIFS(RC_OUT[BLOCK],RC_IN[BLOCK],RC_OUT[REMARKS],"*CLOSED*")&gt;0,"CLOSED",IF(COUNTIFS(RC_OUT[BLOCK],RC_IN[BLOCK],RC_OUT[WT],"&gt;0")&gt;0,"IN-USE",""))
</f>
        <v/>
      </c>
      <c r="B2001" s="223" t="str">
        <f>IFERROR(__xludf.DUMMYFUNCTION("IFERROR(IF(F2001&lt;&gt;"""",""WHSE ""&amp;LEFT(F2001,1),REGEXEXTRACT(E2001,""-(?:\d{2}-)?([A-Z]+)"")),"""")
"),"")</f>
        <v/>
      </c>
      <c r="C2001" s="224"/>
      <c r="D2001" s="219"/>
      <c r="E2001" s="225"/>
      <c r="F2001" s="225"/>
      <c r="G2001" s="226"/>
      <c r="H2001" s="225"/>
      <c r="I2001" s="227"/>
      <c r="J2001" s="228"/>
      <c r="K2001" s="229"/>
      <c r="L2001" s="229"/>
      <c r="M2001" s="229"/>
      <c r="N2001" s="230"/>
      <c r="O2001" s="228"/>
      <c r="P2001" s="230"/>
      <c r="Q2001" s="219"/>
      <c r="R2001" s="198"/>
      <c r="S2001" s="198"/>
      <c r="T2001" s="198"/>
      <c r="U2001" s="198"/>
      <c r="V2001" s="198"/>
      <c r="W2001" s="198"/>
      <c r="X2001" s="198"/>
    </row>
    <row r="2002" ht="12.0" customHeight="1">
      <c r="A2002" s="222" t="str">
        <f>IF(COUNTIFS(RC_OUT[BLOCK],RC_IN[BLOCK],RC_OUT[REMARKS],"*CLOSED*")&gt;0,"CLOSED",IF(COUNTIFS(RC_OUT[BLOCK],RC_IN[BLOCK],RC_OUT[WT],"&gt;0")&gt;0,"IN-USE",""))
</f>
        <v/>
      </c>
      <c r="B2002" s="223" t="str">
        <f>IFERROR(__xludf.DUMMYFUNCTION("IFERROR(IF(F2002&lt;&gt;"""",""WHSE ""&amp;LEFT(F2002,1),REGEXEXTRACT(E2002,""-(?:\d{2}-)?([A-Z]+)"")),"""")
"),"")</f>
        <v/>
      </c>
      <c r="C2002" s="224"/>
      <c r="D2002" s="219"/>
      <c r="E2002" s="225"/>
      <c r="F2002" s="225"/>
      <c r="G2002" s="226"/>
      <c r="H2002" s="225"/>
      <c r="I2002" s="227"/>
      <c r="J2002" s="228"/>
      <c r="K2002" s="229"/>
      <c r="L2002" s="229"/>
      <c r="M2002" s="229"/>
      <c r="N2002" s="230"/>
      <c r="O2002" s="228"/>
      <c r="P2002" s="230"/>
      <c r="Q2002" s="219"/>
      <c r="R2002" s="198"/>
      <c r="S2002" s="198"/>
      <c r="T2002" s="198"/>
      <c r="U2002" s="198"/>
      <c r="V2002" s="198"/>
      <c r="W2002" s="198"/>
      <c r="X2002" s="198"/>
    </row>
    <row r="2003" ht="12.0" customHeight="1">
      <c r="A2003" s="222" t="str">
        <f>IF(COUNTIFS(RC_OUT[BLOCK],RC_IN[BLOCK],RC_OUT[REMARKS],"*CLOSED*")&gt;0,"CLOSED",IF(COUNTIFS(RC_OUT[BLOCK],RC_IN[BLOCK],RC_OUT[WT],"&gt;0")&gt;0,"IN-USE",""))
</f>
        <v/>
      </c>
      <c r="B2003" s="223" t="str">
        <f>IFERROR(__xludf.DUMMYFUNCTION("IFERROR(IF(F2003&lt;&gt;"""",""WHSE ""&amp;LEFT(F2003,1),REGEXEXTRACT(E2003,""-(?:\d{2}-)?([A-Z]+)"")),"""")
"),"")</f>
        <v/>
      </c>
      <c r="C2003" s="224"/>
      <c r="D2003" s="219"/>
      <c r="E2003" s="225"/>
      <c r="F2003" s="225"/>
      <c r="G2003" s="226"/>
      <c r="H2003" s="225"/>
      <c r="I2003" s="227"/>
      <c r="J2003" s="228"/>
      <c r="K2003" s="229"/>
      <c r="L2003" s="229"/>
      <c r="M2003" s="229"/>
      <c r="N2003" s="230"/>
      <c r="O2003" s="228"/>
      <c r="P2003" s="230"/>
      <c r="Q2003" s="219"/>
      <c r="R2003" s="198"/>
      <c r="S2003" s="198"/>
      <c r="T2003" s="198"/>
      <c r="U2003" s="198"/>
      <c r="V2003" s="198"/>
      <c r="W2003" s="198"/>
      <c r="X2003" s="198"/>
    </row>
    <row r="2004" ht="12.0" customHeight="1">
      <c r="A2004" s="222" t="str">
        <f>IF(COUNTIFS(RC_OUT[BLOCK],RC_IN[BLOCK],RC_OUT[REMARKS],"*CLOSED*")&gt;0,"CLOSED",IF(COUNTIFS(RC_OUT[BLOCK],RC_IN[BLOCK],RC_OUT[WT],"&gt;0")&gt;0,"IN-USE",""))
</f>
        <v/>
      </c>
      <c r="B2004" s="223" t="str">
        <f>IFERROR(__xludf.DUMMYFUNCTION("IFERROR(IF(F2004&lt;&gt;"""",""WHSE ""&amp;LEFT(F2004,1),REGEXEXTRACT(E2004,""-(?:\d{2}-)?([A-Z]+)"")),"""")
"),"")</f>
        <v/>
      </c>
      <c r="C2004" s="224"/>
      <c r="D2004" s="219"/>
      <c r="E2004" s="225"/>
      <c r="F2004" s="225"/>
      <c r="G2004" s="226"/>
      <c r="H2004" s="225"/>
      <c r="I2004" s="227"/>
      <c r="J2004" s="228"/>
      <c r="K2004" s="229"/>
      <c r="L2004" s="229"/>
      <c r="M2004" s="229"/>
      <c r="N2004" s="230"/>
      <c r="O2004" s="228"/>
      <c r="P2004" s="230"/>
      <c r="Q2004" s="219"/>
      <c r="R2004" s="198"/>
      <c r="S2004" s="198"/>
      <c r="T2004" s="198"/>
      <c r="U2004" s="198"/>
      <c r="V2004" s="198"/>
      <c r="W2004" s="198"/>
      <c r="X2004" s="198"/>
    </row>
    <row r="2005" ht="12.0" customHeight="1">
      <c r="A2005" s="222" t="str">
        <f>IF(COUNTIFS(RC_OUT[BLOCK],RC_IN[BLOCK],RC_OUT[REMARKS],"*CLOSED*")&gt;0,"CLOSED",IF(COUNTIFS(RC_OUT[BLOCK],RC_IN[BLOCK],RC_OUT[WT],"&gt;0")&gt;0,"IN-USE",""))
</f>
        <v/>
      </c>
      <c r="B2005" s="223" t="str">
        <f>IFERROR(__xludf.DUMMYFUNCTION("IFERROR(IF(F2005&lt;&gt;"""",""WHSE ""&amp;LEFT(F2005,1),REGEXEXTRACT(E2005,""-(?:\d{2}-)?([A-Z]+)"")),"""")
"),"")</f>
        <v/>
      </c>
      <c r="C2005" s="224"/>
      <c r="D2005" s="219"/>
      <c r="E2005" s="225"/>
      <c r="F2005" s="225"/>
      <c r="G2005" s="226"/>
      <c r="H2005" s="225"/>
      <c r="I2005" s="227"/>
      <c r="J2005" s="228"/>
      <c r="K2005" s="229"/>
      <c r="L2005" s="229"/>
      <c r="M2005" s="229"/>
      <c r="N2005" s="230"/>
      <c r="O2005" s="228"/>
      <c r="P2005" s="230"/>
      <c r="Q2005" s="219"/>
      <c r="R2005" s="198"/>
      <c r="S2005" s="198"/>
      <c r="T2005" s="198"/>
      <c r="U2005" s="198"/>
      <c r="V2005" s="198"/>
      <c r="W2005" s="198"/>
      <c r="X2005" s="198"/>
    </row>
    <row r="2006" ht="12.0" customHeight="1">
      <c r="A2006" s="222" t="str">
        <f>IF(COUNTIFS(RC_OUT[BLOCK],RC_IN[BLOCK],RC_OUT[REMARKS],"*CLOSED*")&gt;0,"CLOSED",IF(COUNTIFS(RC_OUT[BLOCK],RC_IN[BLOCK],RC_OUT[WT],"&gt;0")&gt;0,"IN-USE",""))
</f>
        <v/>
      </c>
      <c r="B2006" s="223" t="str">
        <f>IFERROR(__xludf.DUMMYFUNCTION("IFERROR(IF(F2006&lt;&gt;"""",""WHSE ""&amp;LEFT(F2006,1),REGEXEXTRACT(E2006,""-(?:\d{2}-)?([A-Z]+)"")),"""")
"),"")</f>
        <v/>
      </c>
      <c r="C2006" s="224"/>
      <c r="D2006" s="219"/>
      <c r="E2006" s="225"/>
      <c r="F2006" s="225"/>
      <c r="G2006" s="226"/>
      <c r="H2006" s="225"/>
      <c r="I2006" s="227"/>
      <c r="J2006" s="228"/>
      <c r="K2006" s="229"/>
      <c r="L2006" s="229"/>
      <c r="M2006" s="229"/>
      <c r="N2006" s="230"/>
      <c r="O2006" s="228"/>
      <c r="P2006" s="230"/>
      <c r="Q2006" s="219"/>
      <c r="R2006" s="198"/>
      <c r="S2006" s="198"/>
      <c r="T2006" s="198"/>
      <c r="U2006" s="198"/>
      <c r="V2006" s="198"/>
      <c r="W2006" s="198"/>
      <c r="X2006" s="198"/>
    </row>
    <row r="2007" ht="12.0" customHeight="1">
      <c r="A2007" s="222" t="str">
        <f>IF(COUNTIFS(RC_OUT[BLOCK],RC_IN[BLOCK],RC_OUT[REMARKS],"*CLOSED*")&gt;0,"CLOSED",IF(COUNTIFS(RC_OUT[BLOCK],RC_IN[BLOCK],RC_OUT[WT],"&gt;0")&gt;0,"IN-USE",""))
</f>
        <v/>
      </c>
      <c r="B2007" s="223" t="str">
        <f>IFERROR(__xludf.DUMMYFUNCTION("IFERROR(IF(F2007&lt;&gt;"""",""WHSE ""&amp;LEFT(F2007,1),REGEXEXTRACT(E2007,""-(?:\d{2}-)?([A-Z]+)"")),"""")
"),"")</f>
        <v/>
      </c>
      <c r="C2007" s="224"/>
      <c r="D2007" s="219"/>
      <c r="E2007" s="225"/>
      <c r="F2007" s="225"/>
      <c r="G2007" s="226"/>
      <c r="H2007" s="225"/>
      <c r="I2007" s="227"/>
      <c r="J2007" s="228"/>
      <c r="K2007" s="229"/>
      <c r="L2007" s="229"/>
      <c r="M2007" s="229"/>
      <c r="N2007" s="230"/>
      <c r="O2007" s="228"/>
      <c r="P2007" s="230"/>
      <c r="Q2007" s="219"/>
      <c r="R2007" s="198"/>
      <c r="S2007" s="198"/>
      <c r="T2007" s="198"/>
      <c r="U2007" s="198"/>
      <c r="V2007" s="198"/>
      <c r="W2007" s="198"/>
      <c r="X2007" s="198"/>
    </row>
    <row r="2008" ht="12.0" customHeight="1">
      <c r="A2008" s="222" t="str">
        <f>IF(COUNTIFS(RC_OUT[BLOCK],RC_IN[BLOCK],RC_OUT[REMARKS],"*CLOSED*")&gt;0,"CLOSED",IF(COUNTIFS(RC_OUT[BLOCK],RC_IN[BLOCK],RC_OUT[WT],"&gt;0")&gt;0,"IN-USE",""))
</f>
        <v/>
      </c>
      <c r="B2008" s="223" t="str">
        <f>IFERROR(__xludf.DUMMYFUNCTION("IFERROR(IF(F2008&lt;&gt;"""",""WHSE ""&amp;LEFT(F2008,1),REGEXEXTRACT(E2008,""-(?:\d{2}-)?([A-Z]+)"")),"""")
"),"")</f>
        <v/>
      </c>
      <c r="C2008" s="224"/>
      <c r="D2008" s="219"/>
      <c r="E2008" s="225"/>
      <c r="F2008" s="225"/>
      <c r="G2008" s="226"/>
      <c r="H2008" s="225"/>
      <c r="I2008" s="227"/>
      <c r="J2008" s="228"/>
      <c r="K2008" s="229"/>
      <c r="L2008" s="229"/>
      <c r="M2008" s="229"/>
      <c r="N2008" s="230"/>
      <c r="O2008" s="228"/>
      <c r="P2008" s="230"/>
      <c r="Q2008" s="219"/>
      <c r="R2008" s="198"/>
      <c r="S2008" s="198"/>
      <c r="T2008" s="198"/>
      <c r="U2008" s="198"/>
      <c r="V2008" s="198"/>
      <c r="W2008" s="198"/>
      <c r="X2008" s="198"/>
    </row>
    <row r="2009" ht="12.0" customHeight="1">
      <c r="A2009" s="222" t="str">
        <f>IF(COUNTIFS(RC_OUT[BLOCK],RC_IN[BLOCK],RC_OUT[REMARKS],"*CLOSED*")&gt;0,"CLOSED",IF(COUNTIFS(RC_OUT[BLOCK],RC_IN[BLOCK],RC_OUT[WT],"&gt;0")&gt;0,"IN-USE",""))
</f>
        <v/>
      </c>
      <c r="B2009" s="223" t="str">
        <f>IFERROR(__xludf.DUMMYFUNCTION("IFERROR(IF(F2009&lt;&gt;"""",""WHSE ""&amp;LEFT(F2009,1),REGEXEXTRACT(E2009,""-(?:\d{2}-)?([A-Z]+)"")),"""")
"),"")</f>
        <v/>
      </c>
      <c r="C2009" s="224"/>
      <c r="D2009" s="219"/>
      <c r="E2009" s="225"/>
      <c r="F2009" s="225"/>
      <c r="G2009" s="226"/>
      <c r="H2009" s="225"/>
      <c r="I2009" s="227"/>
      <c r="J2009" s="228"/>
      <c r="K2009" s="229"/>
      <c r="L2009" s="229"/>
      <c r="M2009" s="229"/>
      <c r="N2009" s="230"/>
      <c r="O2009" s="228"/>
      <c r="P2009" s="230"/>
      <c r="Q2009" s="219"/>
      <c r="R2009" s="198"/>
      <c r="S2009" s="198"/>
      <c r="T2009" s="198"/>
      <c r="U2009" s="198"/>
      <c r="V2009" s="198"/>
      <c r="W2009" s="198"/>
      <c r="X2009" s="198"/>
    </row>
    <row r="2010" ht="12.0" customHeight="1">
      <c r="A2010" s="222" t="str">
        <f>IF(COUNTIFS(RC_OUT[BLOCK],RC_IN[BLOCK],RC_OUT[REMARKS],"*CLOSED*")&gt;0,"CLOSED",IF(COUNTIFS(RC_OUT[BLOCK],RC_IN[BLOCK],RC_OUT[WT],"&gt;0")&gt;0,"IN-USE",""))
</f>
        <v/>
      </c>
      <c r="B2010" s="223" t="str">
        <f>IFERROR(__xludf.DUMMYFUNCTION("IFERROR(IF(F2010&lt;&gt;"""",""WHSE ""&amp;LEFT(F2010,1),REGEXEXTRACT(E2010,""-(?:\d{2}-)?([A-Z]+)"")),"""")
"),"")</f>
        <v/>
      </c>
      <c r="C2010" s="224"/>
      <c r="D2010" s="219"/>
      <c r="E2010" s="225"/>
      <c r="F2010" s="225"/>
      <c r="G2010" s="226"/>
      <c r="H2010" s="225"/>
      <c r="I2010" s="227"/>
      <c r="J2010" s="228"/>
      <c r="K2010" s="229"/>
      <c r="L2010" s="229"/>
      <c r="M2010" s="229"/>
      <c r="N2010" s="230"/>
      <c r="O2010" s="228"/>
      <c r="P2010" s="230"/>
      <c r="Q2010" s="219"/>
      <c r="R2010" s="198"/>
      <c r="S2010" s="198"/>
      <c r="T2010" s="198"/>
      <c r="U2010" s="198"/>
      <c r="V2010" s="198"/>
      <c r="W2010" s="198"/>
      <c r="X2010" s="198"/>
    </row>
    <row r="2011" ht="12.0" customHeight="1">
      <c r="A2011" s="222" t="str">
        <f>IF(COUNTIFS(RC_OUT[BLOCK],RC_IN[BLOCK],RC_OUT[REMARKS],"*CLOSED*")&gt;0,"CLOSED",IF(COUNTIFS(RC_OUT[BLOCK],RC_IN[BLOCK],RC_OUT[WT],"&gt;0")&gt;0,"IN-USE",""))
</f>
        <v/>
      </c>
      <c r="B2011" s="223" t="str">
        <f>IFERROR(__xludf.DUMMYFUNCTION("IFERROR(IF(F2011&lt;&gt;"""",""WHSE ""&amp;LEFT(F2011,1),REGEXEXTRACT(E2011,""-(?:\d{2}-)?([A-Z]+)"")),"""")
"),"")</f>
        <v/>
      </c>
      <c r="C2011" s="224"/>
      <c r="D2011" s="219"/>
      <c r="E2011" s="225"/>
      <c r="F2011" s="225"/>
      <c r="G2011" s="226"/>
      <c r="H2011" s="225"/>
      <c r="I2011" s="227"/>
      <c r="J2011" s="228"/>
      <c r="K2011" s="229"/>
      <c r="L2011" s="229"/>
      <c r="M2011" s="229"/>
      <c r="N2011" s="230"/>
      <c r="O2011" s="228"/>
      <c r="P2011" s="230"/>
      <c r="Q2011" s="219"/>
      <c r="R2011" s="198"/>
      <c r="S2011" s="198"/>
      <c r="T2011" s="198"/>
      <c r="U2011" s="198"/>
      <c r="V2011" s="198"/>
      <c r="W2011" s="198"/>
      <c r="X2011" s="198"/>
    </row>
    <row r="2012" ht="12.0" customHeight="1">
      <c r="A2012" s="222" t="str">
        <f>IF(COUNTIFS(RC_OUT[BLOCK],RC_IN[BLOCK],RC_OUT[REMARKS],"*CLOSED*")&gt;0,"CLOSED",IF(COUNTIFS(RC_OUT[BLOCK],RC_IN[BLOCK],RC_OUT[WT],"&gt;0")&gt;0,"IN-USE",""))
</f>
        <v/>
      </c>
      <c r="B2012" s="223" t="str">
        <f>IFERROR(__xludf.DUMMYFUNCTION("IFERROR(IF(F2012&lt;&gt;"""",""WHSE ""&amp;LEFT(F2012,1),REGEXEXTRACT(E2012,""-(?:\d{2}-)?([A-Z]+)"")),"""")
"),"")</f>
        <v/>
      </c>
      <c r="C2012" s="224"/>
      <c r="D2012" s="219"/>
      <c r="E2012" s="225"/>
      <c r="F2012" s="225"/>
      <c r="G2012" s="226"/>
      <c r="H2012" s="225"/>
      <c r="I2012" s="227"/>
      <c r="J2012" s="228"/>
      <c r="K2012" s="229"/>
      <c r="L2012" s="229"/>
      <c r="M2012" s="229"/>
      <c r="N2012" s="230"/>
      <c r="O2012" s="228"/>
      <c r="P2012" s="230"/>
      <c r="Q2012" s="219"/>
      <c r="R2012" s="198"/>
      <c r="S2012" s="198"/>
      <c r="T2012" s="198"/>
      <c r="U2012" s="198"/>
      <c r="V2012" s="198"/>
      <c r="W2012" s="198"/>
      <c r="X2012" s="198"/>
    </row>
    <row r="2013" ht="12.0" customHeight="1">
      <c r="A2013" s="222" t="str">
        <f>IF(COUNTIFS(RC_OUT[BLOCK],RC_IN[BLOCK],RC_OUT[REMARKS],"*CLOSED*")&gt;0,"CLOSED",IF(COUNTIFS(RC_OUT[BLOCK],RC_IN[BLOCK],RC_OUT[WT],"&gt;0")&gt;0,"IN-USE",""))
</f>
        <v/>
      </c>
      <c r="B2013" s="223" t="str">
        <f>IFERROR(__xludf.DUMMYFUNCTION("IFERROR(IF(F2013&lt;&gt;"""",""WHSE ""&amp;LEFT(F2013,1),REGEXEXTRACT(E2013,""-(?:\d{2}-)?([A-Z]+)"")),"""")
"),"")</f>
        <v/>
      </c>
      <c r="C2013" s="224"/>
      <c r="D2013" s="219"/>
      <c r="E2013" s="225"/>
      <c r="F2013" s="225"/>
      <c r="G2013" s="226"/>
      <c r="H2013" s="225"/>
      <c r="I2013" s="227"/>
      <c r="J2013" s="228"/>
      <c r="K2013" s="229"/>
      <c r="L2013" s="229"/>
      <c r="M2013" s="229"/>
      <c r="N2013" s="230"/>
      <c r="O2013" s="228"/>
      <c r="P2013" s="230"/>
      <c r="Q2013" s="219"/>
      <c r="R2013" s="198"/>
      <c r="S2013" s="198"/>
      <c r="T2013" s="198"/>
      <c r="U2013" s="198"/>
      <c r="V2013" s="198"/>
      <c r="W2013" s="198"/>
      <c r="X2013" s="198"/>
    </row>
    <row r="2014" ht="12.0" customHeight="1">
      <c r="A2014" s="222" t="str">
        <f>IF(COUNTIFS(RC_OUT[BLOCK],RC_IN[BLOCK],RC_OUT[REMARKS],"*CLOSED*")&gt;0,"CLOSED",IF(COUNTIFS(RC_OUT[BLOCK],RC_IN[BLOCK],RC_OUT[WT],"&gt;0")&gt;0,"IN-USE",""))
</f>
        <v/>
      </c>
      <c r="B2014" s="223" t="str">
        <f>IFERROR(__xludf.DUMMYFUNCTION("IFERROR(IF(F2014&lt;&gt;"""",""WHSE ""&amp;LEFT(F2014,1),REGEXEXTRACT(E2014,""-(?:\d{2}-)?([A-Z]+)"")),"""")
"),"")</f>
        <v/>
      </c>
      <c r="C2014" s="224"/>
      <c r="D2014" s="219"/>
      <c r="E2014" s="225"/>
      <c r="F2014" s="225"/>
      <c r="G2014" s="226"/>
      <c r="H2014" s="225"/>
      <c r="I2014" s="227"/>
      <c r="J2014" s="228"/>
      <c r="K2014" s="229"/>
      <c r="L2014" s="229"/>
      <c r="M2014" s="229"/>
      <c r="N2014" s="230"/>
      <c r="O2014" s="228"/>
      <c r="P2014" s="230"/>
      <c r="Q2014" s="219"/>
      <c r="R2014" s="198"/>
      <c r="S2014" s="198"/>
      <c r="T2014" s="198"/>
      <c r="U2014" s="198"/>
      <c r="V2014" s="198"/>
      <c r="W2014" s="198"/>
      <c r="X2014" s="198"/>
    </row>
    <row r="2015" ht="12.0" customHeight="1">
      <c r="A2015" s="222" t="str">
        <f>IF(COUNTIFS(RC_OUT[BLOCK],RC_IN[BLOCK],RC_OUT[REMARKS],"*CLOSED*")&gt;0,"CLOSED",IF(COUNTIFS(RC_OUT[BLOCK],RC_IN[BLOCK],RC_OUT[WT],"&gt;0")&gt;0,"IN-USE",""))
</f>
        <v/>
      </c>
      <c r="B2015" s="223" t="str">
        <f>IFERROR(__xludf.DUMMYFUNCTION("IFERROR(IF(F2015&lt;&gt;"""",""WHSE ""&amp;LEFT(F2015,1),REGEXEXTRACT(E2015,""-(?:\d{2}-)?([A-Z]+)"")),"""")
"),"")</f>
        <v/>
      </c>
      <c r="C2015" s="224"/>
      <c r="D2015" s="219"/>
      <c r="E2015" s="225"/>
      <c r="F2015" s="225"/>
      <c r="G2015" s="226"/>
      <c r="H2015" s="225"/>
      <c r="I2015" s="227"/>
      <c r="J2015" s="228"/>
      <c r="K2015" s="229"/>
      <c r="L2015" s="229"/>
      <c r="M2015" s="229"/>
      <c r="N2015" s="230"/>
      <c r="O2015" s="228"/>
      <c r="P2015" s="230"/>
      <c r="Q2015" s="219"/>
      <c r="R2015" s="198"/>
      <c r="S2015" s="198"/>
      <c r="T2015" s="198"/>
      <c r="U2015" s="198"/>
      <c r="V2015" s="198"/>
      <c r="W2015" s="198"/>
      <c r="X2015" s="198"/>
    </row>
    <row r="2016" ht="12.0" customHeight="1">
      <c r="A2016" s="222" t="str">
        <f>IF(COUNTIFS(RC_OUT[BLOCK],RC_IN[BLOCK],RC_OUT[REMARKS],"*CLOSED*")&gt;0,"CLOSED",IF(COUNTIFS(RC_OUT[BLOCK],RC_IN[BLOCK],RC_OUT[WT],"&gt;0")&gt;0,"IN-USE",""))
</f>
        <v/>
      </c>
      <c r="B2016" s="223" t="str">
        <f>IFERROR(__xludf.DUMMYFUNCTION("IFERROR(IF(F2016&lt;&gt;"""",""WHSE ""&amp;LEFT(F2016,1),REGEXEXTRACT(E2016,""-(?:\d{2}-)?([A-Z]+)"")),"""")
"),"")</f>
        <v/>
      </c>
      <c r="C2016" s="224"/>
      <c r="D2016" s="219"/>
      <c r="E2016" s="225"/>
      <c r="F2016" s="225"/>
      <c r="G2016" s="226"/>
      <c r="H2016" s="225"/>
      <c r="I2016" s="227"/>
      <c r="J2016" s="228"/>
      <c r="K2016" s="229"/>
      <c r="L2016" s="229"/>
      <c r="M2016" s="229"/>
      <c r="N2016" s="230"/>
      <c r="O2016" s="228"/>
      <c r="P2016" s="230"/>
      <c r="Q2016" s="219"/>
      <c r="R2016" s="198"/>
      <c r="S2016" s="198"/>
      <c r="T2016" s="198"/>
      <c r="U2016" s="198"/>
      <c r="V2016" s="198"/>
      <c r="W2016" s="198"/>
      <c r="X2016" s="198"/>
    </row>
    <row r="2017" ht="12.0" customHeight="1">
      <c r="A2017" s="222" t="str">
        <f>IF(COUNTIFS(RC_OUT[BLOCK],RC_IN[BLOCK],RC_OUT[REMARKS],"*CLOSED*")&gt;0,"CLOSED",IF(COUNTIFS(RC_OUT[BLOCK],RC_IN[BLOCK],RC_OUT[WT],"&gt;0")&gt;0,"IN-USE",""))
</f>
        <v/>
      </c>
      <c r="B2017" s="223" t="str">
        <f>IFERROR(__xludf.DUMMYFUNCTION("IFERROR(IF(F2017&lt;&gt;"""",""WHSE ""&amp;LEFT(F2017,1),REGEXEXTRACT(E2017,""-(?:\d{2}-)?([A-Z]+)"")),"""")
"),"")</f>
        <v/>
      </c>
      <c r="C2017" s="224"/>
      <c r="D2017" s="219"/>
      <c r="E2017" s="225"/>
      <c r="F2017" s="225"/>
      <c r="G2017" s="226"/>
      <c r="H2017" s="225"/>
      <c r="I2017" s="227"/>
      <c r="J2017" s="228"/>
      <c r="K2017" s="229"/>
      <c r="L2017" s="229"/>
      <c r="M2017" s="229"/>
      <c r="N2017" s="230"/>
      <c r="O2017" s="228"/>
      <c r="P2017" s="230"/>
      <c r="Q2017" s="219"/>
      <c r="R2017" s="198"/>
      <c r="S2017" s="198"/>
      <c r="T2017" s="198"/>
      <c r="U2017" s="198"/>
      <c r="V2017" s="198"/>
      <c r="W2017" s="198"/>
      <c r="X2017" s="198"/>
    </row>
    <row r="2018" ht="12.0" customHeight="1">
      <c r="A2018" s="222" t="str">
        <f>IF(COUNTIFS(RC_OUT[BLOCK],RC_IN[BLOCK],RC_OUT[REMARKS],"*CLOSED*")&gt;0,"CLOSED",IF(COUNTIFS(RC_OUT[BLOCK],RC_IN[BLOCK],RC_OUT[WT],"&gt;0")&gt;0,"IN-USE",""))
</f>
        <v/>
      </c>
      <c r="B2018" s="223" t="str">
        <f>IFERROR(__xludf.DUMMYFUNCTION("IFERROR(IF(F2018&lt;&gt;"""",""WHSE ""&amp;LEFT(F2018,1),REGEXEXTRACT(E2018,""-(?:\d{2}-)?([A-Z]+)"")),"""")
"),"")</f>
        <v/>
      </c>
      <c r="C2018" s="224"/>
      <c r="D2018" s="219"/>
      <c r="E2018" s="225"/>
      <c r="F2018" s="225"/>
      <c r="G2018" s="226"/>
      <c r="H2018" s="225"/>
      <c r="I2018" s="227"/>
      <c r="J2018" s="228"/>
      <c r="K2018" s="229"/>
      <c r="L2018" s="229"/>
      <c r="M2018" s="229"/>
      <c r="N2018" s="230"/>
      <c r="O2018" s="228"/>
      <c r="P2018" s="230"/>
      <c r="Q2018" s="219"/>
      <c r="R2018" s="198"/>
      <c r="S2018" s="198"/>
      <c r="T2018" s="198"/>
      <c r="U2018" s="198"/>
      <c r="V2018" s="198"/>
      <c r="W2018" s="198"/>
      <c r="X2018" s="198"/>
    </row>
    <row r="2019" ht="12.0" customHeight="1">
      <c r="A2019" s="222" t="str">
        <f>IF(COUNTIFS(RC_OUT[BLOCK],RC_IN[BLOCK],RC_OUT[REMARKS],"*CLOSED*")&gt;0,"CLOSED",IF(COUNTIFS(RC_OUT[BLOCK],RC_IN[BLOCK],RC_OUT[WT],"&gt;0")&gt;0,"IN-USE",""))
</f>
        <v/>
      </c>
      <c r="B2019" s="223" t="str">
        <f>IFERROR(__xludf.DUMMYFUNCTION("IFERROR(IF(F2019&lt;&gt;"""",""WHSE ""&amp;LEFT(F2019,1),REGEXEXTRACT(E2019,""-(?:\d{2}-)?([A-Z]+)"")),"""")
"),"")</f>
        <v/>
      </c>
      <c r="C2019" s="224"/>
      <c r="D2019" s="219"/>
      <c r="E2019" s="225"/>
      <c r="F2019" s="225"/>
      <c r="G2019" s="226"/>
      <c r="H2019" s="225"/>
      <c r="I2019" s="227"/>
      <c r="J2019" s="228"/>
      <c r="K2019" s="229"/>
      <c r="L2019" s="229"/>
      <c r="M2019" s="229"/>
      <c r="N2019" s="230"/>
      <c r="O2019" s="228"/>
      <c r="P2019" s="230"/>
      <c r="Q2019" s="219"/>
      <c r="R2019" s="198"/>
      <c r="S2019" s="198"/>
      <c r="T2019" s="198"/>
      <c r="U2019" s="198"/>
      <c r="V2019" s="198"/>
      <c r="W2019" s="198"/>
      <c r="X2019" s="198"/>
    </row>
    <row r="2020" ht="12.0" customHeight="1">
      <c r="A2020" s="222" t="str">
        <f>IF(COUNTIFS(RC_OUT[BLOCK],RC_IN[BLOCK],RC_OUT[REMARKS],"*CLOSED*")&gt;0,"CLOSED",IF(COUNTIFS(RC_OUT[BLOCK],RC_IN[BLOCK],RC_OUT[WT],"&gt;0")&gt;0,"IN-USE",""))
</f>
        <v/>
      </c>
      <c r="B2020" s="223" t="str">
        <f>IFERROR(__xludf.DUMMYFUNCTION("IFERROR(IF(F2020&lt;&gt;"""",""WHSE ""&amp;LEFT(F2020,1),REGEXEXTRACT(E2020,""-(?:\d{2}-)?([A-Z]+)"")),"""")
"),"")</f>
        <v/>
      </c>
      <c r="C2020" s="224"/>
      <c r="D2020" s="219"/>
      <c r="E2020" s="225"/>
      <c r="F2020" s="225"/>
      <c r="G2020" s="226"/>
      <c r="H2020" s="225"/>
      <c r="I2020" s="227"/>
      <c r="J2020" s="228"/>
      <c r="K2020" s="229"/>
      <c r="L2020" s="229"/>
      <c r="M2020" s="229"/>
      <c r="N2020" s="230"/>
      <c r="O2020" s="228"/>
      <c r="P2020" s="230"/>
      <c r="Q2020" s="219"/>
      <c r="R2020" s="198"/>
      <c r="S2020" s="198"/>
      <c r="T2020" s="198"/>
      <c r="U2020" s="198"/>
      <c r="V2020" s="198"/>
      <c r="W2020" s="198"/>
      <c r="X2020" s="198"/>
    </row>
    <row r="2021" ht="12.0" customHeight="1">
      <c r="A2021" s="222" t="str">
        <f>IF(COUNTIFS(RC_OUT[BLOCK],RC_IN[BLOCK],RC_OUT[REMARKS],"*CLOSED*")&gt;0,"CLOSED",IF(COUNTIFS(RC_OUT[BLOCK],RC_IN[BLOCK],RC_OUT[WT],"&gt;0")&gt;0,"IN-USE",""))
</f>
        <v/>
      </c>
      <c r="B2021" s="223" t="str">
        <f>IFERROR(__xludf.DUMMYFUNCTION("IFERROR(IF(F2021&lt;&gt;"""",""WHSE ""&amp;LEFT(F2021,1),REGEXEXTRACT(E2021,""-(?:\d{2}-)?([A-Z]+)"")),"""")
"),"")</f>
        <v/>
      </c>
      <c r="C2021" s="224"/>
      <c r="D2021" s="219"/>
      <c r="E2021" s="225"/>
      <c r="F2021" s="225"/>
      <c r="G2021" s="226"/>
      <c r="H2021" s="225"/>
      <c r="I2021" s="227"/>
      <c r="J2021" s="228"/>
      <c r="K2021" s="229"/>
      <c r="L2021" s="229"/>
      <c r="M2021" s="229"/>
      <c r="N2021" s="230"/>
      <c r="O2021" s="228"/>
      <c r="P2021" s="230"/>
      <c r="Q2021" s="219"/>
      <c r="R2021" s="198"/>
      <c r="S2021" s="198"/>
      <c r="T2021" s="198"/>
      <c r="U2021" s="198"/>
      <c r="V2021" s="198"/>
      <c r="W2021" s="198"/>
      <c r="X2021" s="198"/>
    </row>
    <row r="2022" ht="12.0" customHeight="1">
      <c r="A2022" s="222" t="str">
        <f>IF(COUNTIFS(RC_OUT[BLOCK],RC_IN[BLOCK],RC_OUT[REMARKS],"*CLOSED*")&gt;0,"CLOSED",IF(COUNTIFS(RC_OUT[BLOCK],RC_IN[BLOCK],RC_OUT[WT],"&gt;0")&gt;0,"IN-USE",""))
</f>
        <v/>
      </c>
      <c r="B2022" s="223" t="str">
        <f>IFERROR(__xludf.DUMMYFUNCTION("IFERROR(IF(F2022&lt;&gt;"""",""WHSE ""&amp;LEFT(F2022,1),REGEXEXTRACT(E2022,""-(?:\d{2}-)?([A-Z]+)"")),"""")
"),"")</f>
        <v/>
      </c>
      <c r="C2022" s="224"/>
      <c r="D2022" s="219"/>
      <c r="E2022" s="225"/>
      <c r="F2022" s="225"/>
      <c r="G2022" s="226"/>
      <c r="H2022" s="225"/>
      <c r="I2022" s="227"/>
      <c r="J2022" s="228"/>
      <c r="K2022" s="229"/>
      <c r="L2022" s="229"/>
      <c r="M2022" s="229"/>
      <c r="N2022" s="230"/>
      <c r="O2022" s="228"/>
      <c r="P2022" s="230"/>
      <c r="Q2022" s="219"/>
      <c r="R2022" s="198"/>
      <c r="S2022" s="198"/>
      <c r="T2022" s="198"/>
      <c r="U2022" s="198"/>
      <c r="V2022" s="198"/>
      <c r="W2022" s="198"/>
      <c r="X2022" s="198"/>
    </row>
    <row r="2023" ht="12.0" customHeight="1">
      <c r="A2023" s="222" t="str">
        <f>IF(COUNTIFS(RC_OUT[BLOCK],RC_IN[BLOCK],RC_OUT[REMARKS],"*CLOSED*")&gt;0,"CLOSED",IF(COUNTIFS(RC_OUT[BLOCK],RC_IN[BLOCK],RC_OUT[WT],"&gt;0")&gt;0,"IN-USE",""))
</f>
        <v/>
      </c>
      <c r="B2023" s="223" t="str">
        <f>IFERROR(__xludf.DUMMYFUNCTION("IFERROR(IF(F2023&lt;&gt;"""",""WHSE ""&amp;LEFT(F2023,1),REGEXEXTRACT(E2023,""-(?:\d{2}-)?([A-Z]+)"")),"""")
"),"")</f>
        <v/>
      </c>
      <c r="C2023" s="224"/>
      <c r="D2023" s="219"/>
      <c r="E2023" s="225"/>
      <c r="F2023" s="225"/>
      <c r="G2023" s="226"/>
      <c r="H2023" s="225"/>
      <c r="I2023" s="227"/>
      <c r="J2023" s="228"/>
      <c r="K2023" s="229"/>
      <c r="L2023" s="229"/>
      <c r="M2023" s="229"/>
      <c r="N2023" s="230"/>
      <c r="O2023" s="228"/>
      <c r="P2023" s="230"/>
      <c r="Q2023" s="219"/>
      <c r="R2023" s="198"/>
      <c r="S2023" s="198"/>
      <c r="T2023" s="198"/>
      <c r="U2023" s="198"/>
      <c r="V2023" s="198"/>
      <c r="W2023" s="198"/>
      <c r="X2023" s="198"/>
    </row>
    <row r="2024" ht="12.0" customHeight="1">
      <c r="A2024" s="222" t="str">
        <f>IF(COUNTIFS(RC_OUT[BLOCK],RC_IN[BLOCK],RC_OUT[REMARKS],"*CLOSED*")&gt;0,"CLOSED",IF(COUNTIFS(RC_OUT[BLOCK],RC_IN[BLOCK],RC_OUT[WT],"&gt;0")&gt;0,"IN-USE",""))
</f>
        <v/>
      </c>
      <c r="B2024" s="223" t="str">
        <f>IFERROR(__xludf.DUMMYFUNCTION("IFERROR(IF(F2024&lt;&gt;"""",""WHSE ""&amp;LEFT(F2024,1),REGEXEXTRACT(E2024,""-(?:\d{2}-)?([A-Z]+)"")),"""")
"),"")</f>
        <v/>
      </c>
      <c r="C2024" s="224"/>
      <c r="D2024" s="219"/>
      <c r="E2024" s="225"/>
      <c r="F2024" s="225"/>
      <c r="G2024" s="226"/>
      <c r="H2024" s="225"/>
      <c r="I2024" s="227"/>
      <c r="J2024" s="228"/>
      <c r="K2024" s="229"/>
      <c r="L2024" s="229"/>
      <c r="M2024" s="229"/>
      <c r="N2024" s="230"/>
      <c r="O2024" s="228"/>
      <c r="P2024" s="230"/>
      <c r="Q2024" s="219"/>
      <c r="R2024" s="198"/>
      <c r="S2024" s="198"/>
      <c r="T2024" s="198"/>
      <c r="U2024" s="198"/>
      <c r="V2024" s="198"/>
      <c r="W2024" s="198"/>
      <c r="X2024" s="198"/>
    </row>
    <row r="2025" ht="12.0" customHeight="1">
      <c r="A2025" s="222" t="str">
        <f>IF(COUNTIFS(RC_OUT[BLOCK],RC_IN[BLOCK],RC_OUT[REMARKS],"*CLOSED*")&gt;0,"CLOSED",IF(COUNTIFS(RC_OUT[BLOCK],RC_IN[BLOCK],RC_OUT[WT],"&gt;0")&gt;0,"IN-USE",""))
</f>
        <v/>
      </c>
      <c r="B2025" s="223" t="str">
        <f>IFERROR(__xludf.DUMMYFUNCTION("IFERROR(IF(F2025&lt;&gt;"""",""WHSE ""&amp;LEFT(F2025,1),REGEXEXTRACT(E2025,""-(?:\d{2}-)?([A-Z]+)"")),"""")
"),"")</f>
        <v/>
      </c>
      <c r="C2025" s="224"/>
      <c r="D2025" s="219"/>
      <c r="E2025" s="225"/>
      <c r="F2025" s="225"/>
      <c r="G2025" s="226"/>
      <c r="H2025" s="225"/>
      <c r="I2025" s="227"/>
      <c r="J2025" s="228"/>
      <c r="K2025" s="229"/>
      <c r="L2025" s="229"/>
      <c r="M2025" s="229"/>
      <c r="N2025" s="230"/>
      <c r="O2025" s="228"/>
      <c r="P2025" s="230"/>
      <c r="Q2025" s="219"/>
      <c r="R2025" s="198"/>
      <c r="S2025" s="198"/>
      <c r="T2025" s="198"/>
      <c r="U2025" s="198"/>
      <c r="V2025" s="198"/>
      <c r="W2025" s="198"/>
      <c r="X2025" s="198"/>
    </row>
    <row r="2026" ht="12.0" customHeight="1">
      <c r="A2026" s="222" t="str">
        <f>IF(COUNTIFS(RC_OUT[BLOCK],RC_IN[BLOCK],RC_OUT[REMARKS],"*CLOSED*")&gt;0,"CLOSED",IF(COUNTIFS(RC_OUT[BLOCK],RC_IN[BLOCK],RC_OUT[WT],"&gt;0")&gt;0,"IN-USE",""))
</f>
        <v/>
      </c>
      <c r="B2026" s="223" t="str">
        <f>IFERROR(__xludf.DUMMYFUNCTION("IFERROR(IF(F2026&lt;&gt;"""",""WHSE ""&amp;LEFT(F2026,1),REGEXEXTRACT(E2026,""-(?:\d{2}-)?([A-Z]+)"")),"""")
"),"")</f>
        <v/>
      </c>
      <c r="C2026" s="224"/>
      <c r="D2026" s="219"/>
      <c r="E2026" s="225"/>
      <c r="F2026" s="225"/>
      <c r="G2026" s="226"/>
      <c r="H2026" s="225"/>
      <c r="I2026" s="227"/>
      <c r="J2026" s="228"/>
      <c r="K2026" s="229"/>
      <c r="L2026" s="229"/>
      <c r="M2026" s="229"/>
      <c r="N2026" s="230"/>
      <c r="O2026" s="228"/>
      <c r="P2026" s="230"/>
      <c r="Q2026" s="219"/>
      <c r="R2026" s="198"/>
      <c r="S2026" s="198"/>
      <c r="T2026" s="198"/>
      <c r="U2026" s="198"/>
      <c r="V2026" s="198"/>
      <c r="W2026" s="198"/>
      <c r="X2026" s="198"/>
    </row>
    <row r="2027" ht="12.0" customHeight="1">
      <c r="A2027" s="222" t="str">
        <f>IF(COUNTIFS(RC_OUT[BLOCK],RC_IN[BLOCK],RC_OUT[REMARKS],"*CLOSED*")&gt;0,"CLOSED",IF(COUNTIFS(RC_OUT[BLOCK],RC_IN[BLOCK],RC_OUT[WT],"&gt;0")&gt;0,"IN-USE",""))
</f>
        <v/>
      </c>
      <c r="B2027" s="223" t="str">
        <f>IFERROR(__xludf.DUMMYFUNCTION("IFERROR(IF(F2027&lt;&gt;"""",""WHSE ""&amp;LEFT(F2027,1),REGEXEXTRACT(E2027,""-(?:\d{2}-)?([A-Z]+)"")),"""")
"),"")</f>
        <v/>
      </c>
      <c r="C2027" s="224"/>
      <c r="D2027" s="219"/>
      <c r="E2027" s="225"/>
      <c r="F2027" s="225"/>
      <c r="G2027" s="226"/>
      <c r="H2027" s="225"/>
      <c r="I2027" s="227"/>
      <c r="J2027" s="228"/>
      <c r="K2027" s="229"/>
      <c r="L2027" s="229"/>
      <c r="M2027" s="229"/>
      <c r="N2027" s="230"/>
      <c r="O2027" s="228"/>
      <c r="P2027" s="230"/>
      <c r="Q2027" s="219"/>
      <c r="R2027" s="198"/>
      <c r="S2027" s="198"/>
      <c r="T2027" s="198"/>
      <c r="U2027" s="198"/>
      <c r="V2027" s="198"/>
      <c r="W2027" s="198"/>
      <c r="X2027" s="198"/>
    </row>
    <row r="2028" ht="12.0" customHeight="1">
      <c r="A2028" s="222" t="str">
        <f>IF(COUNTIFS(RC_OUT[BLOCK],RC_IN[BLOCK],RC_OUT[REMARKS],"*CLOSED*")&gt;0,"CLOSED",IF(COUNTIFS(RC_OUT[BLOCK],RC_IN[BLOCK],RC_OUT[WT],"&gt;0")&gt;0,"IN-USE",""))
</f>
        <v/>
      </c>
      <c r="B2028" s="223" t="str">
        <f>IFERROR(__xludf.DUMMYFUNCTION("IFERROR(IF(F2028&lt;&gt;"""",""WHSE ""&amp;LEFT(F2028,1),REGEXEXTRACT(E2028,""-(?:\d{2}-)?([A-Z]+)"")),"""")
"),"")</f>
        <v/>
      </c>
      <c r="C2028" s="224"/>
      <c r="D2028" s="219"/>
      <c r="E2028" s="225"/>
      <c r="F2028" s="225"/>
      <c r="G2028" s="226"/>
      <c r="H2028" s="225"/>
      <c r="I2028" s="227"/>
      <c r="J2028" s="228"/>
      <c r="K2028" s="229"/>
      <c r="L2028" s="229"/>
      <c r="M2028" s="229"/>
      <c r="N2028" s="230"/>
      <c r="O2028" s="228"/>
      <c r="P2028" s="230"/>
      <c r="Q2028" s="219"/>
      <c r="R2028" s="198"/>
      <c r="S2028" s="198"/>
      <c r="T2028" s="198"/>
      <c r="U2028" s="198"/>
      <c r="V2028" s="198"/>
      <c r="W2028" s="198"/>
      <c r="X2028" s="198"/>
    </row>
    <row r="2029" ht="12.0" customHeight="1">
      <c r="A2029" s="222" t="str">
        <f>IF(COUNTIFS(RC_OUT[BLOCK],RC_IN[BLOCK],RC_OUT[REMARKS],"*CLOSED*")&gt;0,"CLOSED",IF(COUNTIFS(RC_OUT[BLOCK],RC_IN[BLOCK],RC_OUT[WT],"&gt;0")&gt;0,"IN-USE",""))
</f>
        <v/>
      </c>
      <c r="B2029" s="223" t="str">
        <f>IFERROR(__xludf.DUMMYFUNCTION("IFERROR(IF(F2029&lt;&gt;"""",""WHSE ""&amp;LEFT(F2029,1),REGEXEXTRACT(E2029,""-(?:\d{2}-)?([A-Z]+)"")),"""")
"),"")</f>
        <v/>
      </c>
      <c r="C2029" s="224"/>
      <c r="D2029" s="219"/>
      <c r="E2029" s="225"/>
      <c r="F2029" s="225"/>
      <c r="G2029" s="226"/>
      <c r="H2029" s="225"/>
      <c r="I2029" s="227"/>
      <c r="J2029" s="228"/>
      <c r="K2029" s="229"/>
      <c r="L2029" s="229"/>
      <c r="M2029" s="229"/>
      <c r="N2029" s="230"/>
      <c r="O2029" s="228"/>
      <c r="P2029" s="230"/>
      <c r="Q2029" s="219"/>
      <c r="R2029" s="198"/>
      <c r="S2029" s="198"/>
      <c r="T2029" s="198"/>
      <c r="U2029" s="198"/>
      <c r="V2029" s="198"/>
      <c r="W2029" s="198"/>
      <c r="X2029" s="198"/>
    </row>
    <row r="2030" ht="12.0" customHeight="1">
      <c r="A2030" s="222" t="str">
        <f>IF(COUNTIFS(RC_OUT[BLOCK],RC_IN[BLOCK],RC_OUT[REMARKS],"*CLOSED*")&gt;0,"CLOSED",IF(COUNTIFS(RC_OUT[BLOCK],RC_IN[BLOCK],RC_OUT[WT],"&gt;0")&gt;0,"IN-USE",""))
</f>
        <v/>
      </c>
      <c r="B2030" s="223" t="str">
        <f>IFERROR(__xludf.DUMMYFUNCTION("IFERROR(IF(F2030&lt;&gt;"""",""WHSE ""&amp;LEFT(F2030,1),REGEXEXTRACT(E2030,""-(?:\d{2}-)?([A-Z]+)"")),"""")
"),"")</f>
        <v/>
      </c>
      <c r="C2030" s="224"/>
      <c r="D2030" s="219"/>
      <c r="E2030" s="225"/>
      <c r="F2030" s="225"/>
      <c r="G2030" s="226"/>
      <c r="H2030" s="225"/>
      <c r="I2030" s="227"/>
      <c r="J2030" s="228"/>
      <c r="K2030" s="229"/>
      <c r="L2030" s="229"/>
      <c r="M2030" s="229"/>
      <c r="N2030" s="230"/>
      <c r="O2030" s="228"/>
      <c r="P2030" s="230"/>
      <c r="Q2030" s="219"/>
      <c r="R2030" s="198"/>
      <c r="S2030" s="198"/>
      <c r="T2030" s="198"/>
      <c r="U2030" s="198"/>
      <c r="V2030" s="198"/>
      <c r="W2030" s="198"/>
      <c r="X2030" s="198"/>
    </row>
    <row r="2031" ht="12.0" customHeight="1">
      <c r="A2031" s="222" t="str">
        <f>IF(COUNTIFS(RC_OUT[BLOCK],RC_IN[BLOCK],RC_OUT[REMARKS],"*CLOSED*")&gt;0,"CLOSED",IF(COUNTIFS(RC_OUT[BLOCK],RC_IN[BLOCK],RC_OUT[WT],"&gt;0")&gt;0,"IN-USE",""))
</f>
        <v/>
      </c>
      <c r="B2031" s="223" t="str">
        <f>IFERROR(__xludf.DUMMYFUNCTION("IFERROR(IF(F2031&lt;&gt;"""",""WHSE ""&amp;LEFT(F2031,1),REGEXEXTRACT(E2031,""-(?:\d{2}-)?([A-Z]+)"")),"""")
"),"")</f>
        <v/>
      </c>
      <c r="C2031" s="224"/>
      <c r="D2031" s="219"/>
      <c r="E2031" s="225"/>
      <c r="F2031" s="225"/>
      <c r="G2031" s="226"/>
      <c r="H2031" s="225"/>
      <c r="I2031" s="227"/>
      <c r="J2031" s="228"/>
      <c r="K2031" s="229"/>
      <c r="L2031" s="229"/>
      <c r="M2031" s="229"/>
      <c r="N2031" s="230"/>
      <c r="O2031" s="228"/>
      <c r="P2031" s="230"/>
      <c r="Q2031" s="219"/>
      <c r="R2031" s="198"/>
      <c r="S2031" s="198"/>
      <c r="T2031" s="198"/>
      <c r="U2031" s="198"/>
      <c r="V2031" s="198"/>
      <c r="W2031" s="198"/>
      <c r="X2031" s="198"/>
    </row>
    <row r="2032" ht="12.0" customHeight="1">
      <c r="A2032" s="222" t="str">
        <f>IF(COUNTIFS(RC_OUT[BLOCK],RC_IN[BLOCK],RC_OUT[REMARKS],"*CLOSED*")&gt;0,"CLOSED",IF(COUNTIFS(RC_OUT[BLOCK],RC_IN[BLOCK],RC_OUT[WT],"&gt;0")&gt;0,"IN-USE",""))
</f>
        <v/>
      </c>
      <c r="B2032" s="223" t="str">
        <f>IFERROR(__xludf.DUMMYFUNCTION("IFERROR(IF(F2032&lt;&gt;"""",""WHSE ""&amp;LEFT(F2032,1),REGEXEXTRACT(E2032,""-(?:\d{2}-)?([A-Z]+)"")),"""")
"),"")</f>
        <v/>
      </c>
      <c r="C2032" s="224"/>
      <c r="D2032" s="219"/>
      <c r="E2032" s="225"/>
      <c r="F2032" s="225"/>
      <c r="G2032" s="226"/>
      <c r="H2032" s="225"/>
      <c r="I2032" s="227"/>
      <c r="J2032" s="228"/>
      <c r="K2032" s="229"/>
      <c r="L2032" s="229"/>
      <c r="M2032" s="229"/>
      <c r="N2032" s="230"/>
      <c r="O2032" s="228"/>
      <c r="P2032" s="230"/>
      <c r="Q2032" s="219"/>
      <c r="R2032" s="198"/>
      <c r="S2032" s="198"/>
      <c r="T2032" s="198"/>
      <c r="U2032" s="198"/>
      <c r="V2032" s="198"/>
      <c r="W2032" s="198"/>
      <c r="X2032" s="198"/>
    </row>
    <row r="2033" ht="12.0" customHeight="1">
      <c r="A2033" s="222" t="str">
        <f>IF(COUNTIFS(RC_OUT[BLOCK],RC_IN[BLOCK],RC_OUT[REMARKS],"*CLOSED*")&gt;0,"CLOSED",IF(COUNTIFS(RC_OUT[BLOCK],RC_IN[BLOCK],RC_OUT[WT],"&gt;0")&gt;0,"IN-USE",""))
</f>
        <v/>
      </c>
      <c r="B2033" s="223" t="str">
        <f>IFERROR(__xludf.DUMMYFUNCTION("IFERROR(IF(F2033&lt;&gt;"""",""WHSE ""&amp;LEFT(F2033,1),REGEXEXTRACT(E2033,""-(?:\d{2}-)?([A-Z]+)"")),"""")
"),"")</f>
        <v/>
      </c>
      <c r="C2033" s="224"/>
      <c r="D2033" s="219"/>
      <c r="E2033" s="225"/>
      <c r="F2033" s="225"/>
      <c r="G2033" s="226"/>
      <c r="H2033" s="225"/>
      <c r="I2033" s="227"/>
      <c r="J2033" s="228"/>
      <c r="K2033" s="229"/>
      <c r="L2033" s="229"/>
      <c r="M2033" s="229"/>
      <c r="N2033" s="230"/>
      <c r="O2033" s="228"/>
      <c r="P2033" s="230"/>
      <c r="Q2033" s="219"/>
      <c r="R2033" s="198"/>
      <c r="S2033" s="198"/>
      <c r="T2033" s="198"/>
      <c r="U2033" s="198"/>
      <c r="V2033" s="198"/>
      <c r="W2033" s="198"/>
      <c r="X2033" s="198"/>
    </row>
    <row r="2034" ht="12.0" customHeight="1">
      <c r="A2034" s="222" t="str">
        <f>IF(COUNTIFS(RC_OUT[BLOCK],RC_IN[BLOCK],RC_OUT[REMARKS],"*CLOSED*")&gt;0,"CLOSED",IF(COUNTIFS(RC_OUT[BLOCK],RC_IN[BLOCK],RC_OUT[WT],"&gt;0")&gt;0,"IN-USE",""))
</f>
        <v/>
      </c>
      <c r="B2034" s="223" t="str">
        <f>IFERROR(__xludf.DUMMYFUNCTION("IFERROR(IF(F2034&lt;&gt;"""",""WHSE ""&amp;LEFT(F2034,1),REGEXEXTRACT(E2034,""-(?:\d{2}-)?([A-Z]+)"")),"""")
"),"")</f>
        <v/>
      </c>
      <c r="C2034" s="224"/>
      <c r="D2034" s="219"/>
      <c r="E2034" s="225"/>
      <c r="F2034" s="225"/>
      <c r="G2034" s="226"/>
      <c r="H2034" s="225"/>
      <c r="I2034" s="227"/>
      <c r="J2034" s="228"/>
      <c r="K2034" s="229"/>
      <c r="L2034" s="229"/>
      <c r="M2034" s="229"/>
      <c r="N2034" s="230"/>
      <c r="O2034" s="228"/>
      <c r="P2034" s="230"/>
      <c r="Q2034" s="219"/>
      <c r="R2034" s="198"/>
      <c r="S2034" s="198"/>
      <c r="T2034" s="198"/>
      <c r="U2034" s="198"/>
      <c r="V2034" s="198"/>
      <c r="W2034" s="198"/>
      <c r="X2034" s="198"/>
    </row>
    <row r="2035" ht="12.0" customHeight="1">
      <c r="A2035" s="222" t="str">
        <f>IF(COUNTIFS(RC_OUT[BLOCK],RC_IN[BLOCK],RC_OUT[REMARKS],"*CLOSED*")&gt;0,"CLOSED",IF(COUNTIFS(RC_OUT[BLOCK],RC_IN[BLOCK],RC_OUT[WT],"&gt;0")&gt;0,"IN-USE",""))
</f>
        <v/>
      </c>
      <c r="B2035" s="223" t="str">
        <f>IFERROR(__xludf.DUMMYFUNCTION("IFERROR(IF(F2035&lt;&gt;"""",""WHSE ""&amp;LEFT(F2035,1),REGEXEXTRACT(E2035,""-(?:\d{2}-)?([A-Z]+)"")),"""")
"),"")</f>
        <v/>
      </c>
      <c r="C2035" s="224"/>
      <c r="D2035" s="219"/>
      <c r="E2035" s="225"/>
      <c r="F2035" s="225"/>
      <c r="G2035" s="226"/>
      <c r="H2035" s="225"/>
      <c r="I2035" s="227"/>
      <c r="J2035" s="228"/>
      <c r="K2035" s="229"/>
      <c r="L2035" s="229"/>
      <c r="M2035" s="229"/>
      <c r="N2035" s="230"/>
      <c r="O2035" s="228"/>
      <c r="P2035" s="230"/>
      <c r="Q2035" s="219"/>
      <c r="R2035" s="198"/>
      <c r="S2035" s="198"/>
      <c r="T2035" s="198"/>
      <c r="U2035" s="198"/>
      <c r="V2035" s="198"/>
      <c r="W2035" s="198"/>
      <c r="X2035" s="198"/>
    </row>
    <row r="2036" ht="12.0" customHeight="1">
      <c r="A2036" s="222" t="str">
        <f>IF(COUNTIFS(RC_OUT[BLOCK],RC_IN[BLOCK],RC_OUT[REMARKS],"*CLOSED*")&gt;0,"CLOSED",IF(COUNTIFS(RC_OUT[BLOCK],RC_IN[BLOCK],RC_OUT[WT],"&gt;0")&gt;0,"IN-USE",""))
</f>
        <v/>
      </c>
      <c r="B2036" s="223" t="str">
        <f>IFERROR(__xludf.DUMMYFUNCTION("IFERROR(IF(F2036&lt;&gt;"""",""WHSE ""&amp;LEFT(F2036,1),REGEXEXTRACT(E2036,""-(?:\d{2}-)?([A-Z]+)"")),"""")
"),"")</f>
        <v/>
      </c>
      <c r="C2036" s="224"/>
      <c r="D2036" s="219"/>
      <c r="E2036" s="225"/>
      <c r="F2036" s="225"/>
      <c r="G2036" s="226"/>
      <c r="H2036" s="225"/>
      <c r="I2036" s="227"/>
      <c r="J2036" s="228"/>
      <c r="K2036" s="229"/>
      <c r="L2036" s="229"/>
      <c r="M2036" s="229"/>
      <c r="N2036" s="230"/>
      <c r="O2036" s="228"/>
      <c r="P2036" s="230"/>
      <c r="Q2036" s="219"/>
      <c r="R2036" s="198"/>
      <c r="S2036" s="198"/>
      <c r="T2036" s="198"/>
      <c r="U2036" s="198"/>
      <c r="V2036" s="198"/>
      <c r="W2036" s="198"/>
      <c r="X2036" s="198"/>
    </row>
    <row r="2037" ht="12.0" customHeight="1">
      <c r="A2037" s="222" t="str">
        <f>IF(COUNTIFS(RC_OUT[BLOCK],RC_IN[BLOCK],RC_OUT[REMARKS],"*CLOSED*")&gt;0,"CLOSED",IF(COUNTIFS(RC_OUT[BLOCK],RC_IN[BLOCK],RC_OUT[WT],"&gt;0")&gt;0,"IN-USE",""))
</f>
        <v/>
      </c>
      <c r="B2037" s="223" t="str">
        <f>IFERROR(__xludf.DUMMYFUNCTION("IFERROR(IF(F2037&lt;&gt;"""",""WHSE ""&amp;LEFT(F2037,1),REGEXEXTRACT(E2037,""-(?:\d{2}-)?([A-Z]+)"")),"""")
"),"")</f>
        <v/>
      </c>
      <c r="C2037" s="224"/>
      <c r="D2037" s="219"/>
      <c r="E2037" s="225"/>
      <c r="F2037" s="225"/>
      <c r="G2037" s="226"/>
      <c r="H2037" s="225"/>
      <c r="I2037" s="227"/>
      <c r="J2037" s="228"/>
      <c r="K2037" s="229"/>
      <c r="L2037" s="229"/>
      <c r="M2037" s="229"/>
      <c r="N2037" s="230"/>
      <c r="O2037" s="228"/>
      <c r="P2037" s="230"/>
      <c r="Q2037" s="219"/>
      <c r="R2037" s="198"/>
      <c r="S2037" s="198"/>
      <c r="T2037" s="198"/>
      <c r="U2037" s="198"/>
      <c r="V2037" s="198"/>
      <c r="W2037" s="198"/>
      <c r="X2037" s="198"/>
    </row>
    <row r="2038" ht="12.0" customHeight="1">
      <c r="A2038" s="222" t="str">
        <f>IF(COUNTIFS(RC_OUT[BLOCK],RC_IN[BLOCK],RC_OUT[REMARKS],"*CLOSED*")&gt;0,"CLOSED",IF(COUNTIFS(RC_OUT[BLOCK],RC_IN[BLOCK],RC_OUT[WT],"&gt;0")&gt;0,"IN-USE",""))
</f>
        <v/>
      </c>
      <c r="B2038" s="223" t="str">
        <f>IFERROR(__xludf.DUMMYFUNCTION("IFERROR(IF(F2038&lt;&gt;"""",""WHSE ""&amp;LEFT(F2038,1),REGEXEXTRACT(E2038,""-(?:\d{2}-)?([A-Z]+)"")),"""")
"),"")</f>
        <v/>
      </c>
      <c r="C2038" s="224"/>
      <c r="D2038" s="219"/>
      <c r="E2038" s="225"/>
      <c r="F2038" s="225"/>
      <c r="G2038" s="226"/>
      <c r="H2038" s="225"/>
      <c r="I2038" s="227"/>
      <c r="J2038" s="228"/>
      <c r="K2038" s="229"/>
      <c r="L2038" s="229"/>
      <c r="M2038" s="229"/>
      <c r="N2038" s="230"/>
      <c r="O2038" s="228"/>
      <c r="P2038" s="230"/>
      <c r="Q2038" s="219"/>
      <c r="R2038" s="198"/>
      <c r="S2038" s="198"/>
      <c r="T2038" s="198"/>
      <c r="U2038" s="198"/>
      <c r="V2038" s="198"/>
      <c r="W2038" s="198"/>
      <c r="X2038" s="198"/>
    </row>
    <row r="2039" ht="12.0" customHeight="1">
      <c r="A2039" s="222" t="str">
        <f>IF(COUNTIFS(RC_OUT[BLOCK],RC_IN[BLOCK],RC_OUT[REMARKS],"*CLOSED*")&gt;0,"CLOSED",IF(COUNTIFS(RC_OUT[BLOCK],RC_IN[BLOCK],RC_OUT[WT],"&gt;0")&gt;0,"IN-USE",""))
</f>
        <v/>
      </c>
      <c r="B2039" s="223" t="str">
        <f>IFERROR(__xludf.DUMMYFUNCTION("IFERROR(IF(F2039&lt;&gt;"""",""WHSE ""&amp;LEFT(F2039,1),REGEXEXTRACT(E2039,""-(?:\d{2}-)?([A-Z]+)"")),"""")
"),"")</f>
        <v/>
      </c>
      <c r="C2039" s="224"/>
      <c r="D2039" s="219"/>
      <c r="E2039" s="225"/>
      <c r="F2039" s="225"/>
      <c r="G2039" s="226"/>
      <c r="H2039" s="225"/>
      <c r="I2039" s="227"/>
      <c r="J2039" s="228"/>
      <c r="K2039" s="229"/>
      <c r="L2039" s="229"/>
      <c r="M2039" s="229"/>
      <c r="N2039" s="230"/>
      <c r="O2039" s="228"/>
      <c r="P2039" s="230"/>
      <c r="Q2039" s="219"/>
      <c r="R2039" s="198"/>
      <c r="S2039" s="198"/>
      <c r="T2039" s="198"/>
      <c r="U2039" s="198"/>
      <c r="V2039" s="198"/>
      <c r="W2039" s="198"/>
      <c r="X2039" s="198"/>
    </row>
    <row r="2040" ht="12.0" customHeight="1">
      <c r="A2040" s="222" t="str">
        <f>IF(COUNTIFS(RC_OUT[BLOCK],RC_IN[BLOCK],RC_OUT[REMARKS],"*CLOSED*")&gt;0,"CLOSED",IF(COUNTIFS(RC_OUT[BLOCK],RC_IN[BLOCK],RC_OUT[WT],"&gt;0")&gt;0,"IN-USE",""))
</f>
        <v/>
      </c>
      <c r="B2040" s="223" t="str">
        <f>IFERROR(__xludf.DUMMYFUNCTION("IFERROR(IF(F2040&lt;&gt;"""",""WHSE ""&amp;LEFT(F2040,1),REGEXEXTRACT(E2040,""-(?:\d{2}-)?([A-Z]+)"")),"""")
"),"")</f>
        <v/>
      </c>
      <c r="C2040" s="224"/>
      <c r="D2040" s="219"/>
      <c r="E2040" s="225"/>
      <c r="F2040" s="225"/>
      <c r="G2040" s="226"/>
      <c r="H2040" s="225"/>
      <c r="I2040" s="227"/>
      <c r="J2040" s="228"/>
      <c r="K2040" s="229"/>
      <c r="L2040" s="229"/>
      <c r="M2040" s="229"/>
      <c r="N2040" s="230"/>
      <c r="O2040" s="228"/>
      <c r="P2040" s="230"/>
      <c r="Q2040" s="219"/>
      <c r="R2040" s="198"/>
      <c r="S2040" s="198"/>
      <c r="T2040" s="198"/>
      <c r="U2040" s="198"/>
      <c r="V2040" s="198"/>
      <c r="W2040" s="198"/>
      <c r="X2040" s="198"/>
    </row>
    <row r="2041" ht="12.0" customHeight="1">
      <c r="A2041" s="222" t="str">
        <f>IF(COUNTIFS(RC_OUT[BLOCK],RC_IN[BLOCK],RC_OUT[REMARKS],"*CLOSED*")&gt;0,"CLOSED",IF(COUNTIFS(RC_OUT[BLOCK],RC_IN[BLOCK],RC_OUT[WT],"&gt;0")&gt;0,"IN-USE",""))
</f>
        <v/>
      </c>
      <c r="B2041" s="223" t="str">
        <f>IFERROR(__xludf.DUMMYFUNCTION("IFERROR(IF(F2041&lt;&gt;"""",""WHSE ""&amp;LEFT(F2041,1),REGEXEXTRACT(E2041,""-(?:\d{2}-)?([A-Z]+)"")),"""")
"),"")</f>
        <v/>
      </c>
      <c r="C2041" s="224"/>
      <c r="D2041" s="219"/>
      <c r="E2041" s="225"/>
      <c r="F2041" s="225"/>
      <c r="G2041" s="226"/>
      <c r="H2041" s="225"/>
      <c r="I2041" s="227"/>
      <c r="J2041" s="228"/>
      <c r="K2041" s="229"/>
      <c r="L2041" s="229"/>
      <c r="M2041" s="229"/>
      <c r="N2041" s="230"/>
      <c r="O2041" s="228"/>
      <c r="P2041" s="230"/>
      <c r="Q2041" s="219"/>
      <c r="R2041" s="198"/>
      <c r="S2041" s="198"/>
      <c r="T2041" s="198"/>
      <c r="U2041" s="198"/>
      <c r="V2041" s="198"/>
      <c r="W2041" s="198"/>
      <c r="X2041" s="198"/>
    </row>
    <row r="2042" ht="12.0" customHeight="1">
      <c r="A2042" s="222" t="str">
        <f>IF(COUNTIFS(RC_OUT[BLOCK],RC_IN[BLOCK],RC_OUT[REMARKS],"*CLOSED*")&gt;0,"CLOSED",IF(COUNTIFS(RC_OUT[BLOCK],RC_IN[BLOCK],RC_OUT[WT],"&gt;0")&gt;0,"IN-USE",""))
</f>
        <v/>
      </c>
      <c r="B2042" s="223" t="str">
        <f>IFERROR(__xludf.DUMMYFUNCTION("IFERROR(IF(F2042&lt;&gt;"""",""WHSE ""&amp;LEFT(F2042,1),REGEXEXTRACT(E2042,""-(?:\d{2}-)?([A-Z]+)"")),"""")
"),"")</f>
        <v/>
      </c>
      <c r="C2042" s="224"/>
      <c r="D2042" s="219"/>
      <c r="E2042" s="225"/>
      <c r="F2042" s="225"/>
      <c r="G2042" s="226"/>
      <c r="H2042" s="225"/>
      <c r="I2042" s="227"/>
      <c r="J2042" s="228"/>
      <c r="K2042" s="229"/>
      <c r="L2042" s="229"/>
      <c r="M2042" s="229"/>
      <c r="N2042" s="230"/>
      <c r="O2042" s="228"/>
      <c r="P2042" s="230"/>
      <c r="Q2042" s="219"/>
      <c r="R2042" s="198"/>
      <c r="S2042" s="198"/>
      <c r="T2042" s="198"/>
      <c r="U2042" s="198"/>
      <c r="V2042" s="198"/>
      <c r="W2042" s="198"/>
      <c r="X2042" s="198"/>
    </row>
    <row r="2043" ht="12.0" customHeight="1">
      <c r="A2043" s="222" t="str">
        <f>IF(COUNTIFS(RC_OUT[BLOCK],RC_IN[BLOCK],RC_OUT[REMARKS],"*CLOSED*")&gt;0,"CLOSED",IF(COUNTIFS(RC_OUT[BLOCK],RC_IN[BLOCK],RC_OUT[WT],"&gt;0")&gt;0,"IN-USE",""))
</f>
        <v/>
      </c>
      <c r="B2043" s="223" t="str">
        <f>IFERROR(__xludf.DUMMYFUNCTION("IFERROR(IF(F2043&lt;&gt;"""",""WHSE ""&amp;LEFT(F2043,1),REGEXEXTRACT(E2043,""-(?:\d{2}-)?([A-Z]+)"")),"""")
"),"")</f>
        <v/>
      </c>
      <c r="C2043" s="224"/>
      <c r="D2043" s="219"/>
      <c r="E2043" s="225"/>
      <c r="F2043" s="225"/>
      <c r="G2043" s="226"/>
      <c r="H2043" s="225"/>
      <c r="I2043" s="227"/>
      <c r="J2043" s="228"/>
      <c r="K2043" s="229"/>
      <c r="L2043" s="229"/>
      <c r="M2043" s="229"/>
      <c r="N2043" s="230"/>
      <c r="O2043" s="228"/>
      <c r="P2043" s="230"/>
      <c r="Q2043" s="219"/>
      <c r="R2043" s="198"/>
      <c r="S2043" s="198"/>
      <c r="T2043" s="198"/>
      <c r="U2043" s="198"/>
      <c r="V2043" s="198"/>
      <c r="W2043" s="198"/>
      <c r="X2043" s="198"/>
    </row>
    <row r="2044" ht="12.0" customHeight="1">
      <c r="A2044" s="222" t="str">
        <f>IF(COUNTIFS(RC_OUT[BLOCK],RC_IN[BLOCK],RC_OUT[REMARKS],"*CLOSED*")&gt;0,"CLOSED",IF(COUNTIFS(RC_OUT[BLOCK],RC_IN[BLOCK],RC_OUT[WT],"&gt;0")&gt;0,"IN-USE",""))
</f>
        <v/>
      </c>
      <c r="B2044" s="223" t="str">
        <f>IFERROR(__xludf.DUMMYFUNCTION("IFERROR(IF(F2044&lt;&gt;"""",""WHSE ""&amp;LEFT(F2044,1),REGEXEXTRACT(E2044,""-(?:\d{2}-)?([A-Z]+)"")),"""")
"),"")</f>
        <v/>
      </c>
      <c r="C2044" s="224"/>
      <c r="D2044" s="219"/>
      <c r="E2044" s="225"/>
      <c r="F2044" s="225"/>
      <c r="G2044" s="226"/>
      <c r="H2044" s="225"/>
      <c r="I2044" s="227"/>
      <c r="J2044" s="228"/>
      <c r="K2044" s="229"/>
      <c r="L2044" s="229"/>
      <c r="M2044" s="229"/>
      <c r="N2044" s="230"/>
      <c r="O2044" s="228"/>
      <c r="P2044" s="230"/>
      <c r="Q2044" s="219"/>
      <c r="R2044" s="198"/>
      <c r="S2044" s="198"/>
      <c r="T2044" s="198"/>
      <c r="U2044" s="198"/>
      <c r="V2044" s="198"/>
      <c r="W2044" s="198"/>
      <c r="X2044" s="198"/>
    </row>
    <row r="2045" ht="12.0" customHeight="1">
      <c r="A2045" s="222" t="str">
        <f>IF(COUNTIFS(RC_OUT[BLOCK],RC_IN[BLOCK],RC_OUT[REMARKS],"*CLOSED*")&gt;0,"CLOSED",IF(COUNTIFS(RC_OUT[BLOCK],RC_IN[BLOCK],RC_OUT[WT],"&gt;0")&gt;0,"IN-USE",""))
</f>
        <v/>
      </c>
      <c r="B2045" s="223" t="str">
        <f>IFERROR(__xludf.DUMMYFUNCTION("IFERROR(IF(F2045&lt;&gt;"""",""WHSE ""&amp;LEFT(F2045,1),REGEXEXTRACT(E2045,""-(?:\d{2}-)?([A-Z]+)"")),"""")
"),"")</f>
        <v/>
      </c>
      <c r="C2045" s="224"/>
      <c r="D2045" s="219"/>
      <c r="E2045" s="225"/>
      <c r="F2045" s="225"/>
      <c r="G2045" s="226"/>
      <c r="H2045" s="225"/>
      <c r="I2045" s="227"/>
      <c r="J2045" s="228"/>
      <c r="K2045" s="229"/>
      <c r="L2045" s="229"/>
      <c r="M2045" s="229"/>
      <c r="N2045" s="230"/>
      <c r="O2045" s="228"/>
      <c r="P2045" s="230"/>
      <c r="Q2045" s="219"/>
      <c r="R2045" s="198"/>
      <c r="S2045" s="198"/>
      <c r="T2045" s="198"/>
      <c r="U2045" s="198"/>
      <c r="V2045" s="198"/>
      <c r="W2045" s="198"/>
      <c r="X2045" s="198"/>
    </row>
    <row r="2046" ht="12.0" customHeight="1">
      <c r="A2046" s="222" t="str">
        <f>IF(COUNTIFS(RC_OUT[BLOCK],RC_IN[BLOCK],RC_OUT[REMARKS],"*CLOSED*")&gt;0,"CLOSED",IF(COUNTIFS(RC_OUT[BLOCK],RC_IN[BLOCK],RC_OUT[WT],"&gt;0")&gt;0,"IN-USE",""))
</f>
        <v/>
      </c>
      <c r="B2046" s="223" t="str">
        <f>IFERROR(__xludf.DUMMYFUNCTION("IFERROR(IF(F2046&lt;&gt;"""",""WHSE ""&amp;LEFT(F2046,1),REGEXEXTRACT(E2046,""-(?:\d{2}-)?([A-Z]+)"")),"""")
"),"")</f>
        <v/>
      </c>
      <c r="C2046" s="224"/>
      <c r="D2046" s="219"/>
      <c r="E2046" s="225"/>
      <c r="F2046" s="225"/>
      <c r="G2046" s="226"/>
      <c r="H2046" s="225"/>
      <c r="I2046" s="227"/>
      <c r="J2046" s="228"/>
      <c r="K2046" s="229"/>
      <c r="L2046" s="229"/>
      <c r="M2046" s="229"/>
      <c r="N2046" s="230"/>
      <c r="O2046" s="228"/>
      <c r="P2046" s="230"/>
      <c r="Q2046" s="219"/>
      <c r="R2046" s="198"/>
      <c r="S2046" s="198"/>
      <c r="T2046" s="198"/>
      <c r="U2046" s="198"/>
      <c r="V2046" s="198"/>
      <c r="W2046" s="198"/>
      <c r="X2046" s="198"/>
    </row>
    <row r="2047" ht="12.0" customHeight="1">
      <c r="A2047" s="222" t="str">
        <f>IF(COUNTIFS(RC_OUT[BLOCK],RC_IN[BLOCK],RC_OUT[REMARKS],"*CLOSED*")&gt;0,"CLOSED",IF(COUNTIFS(RC_OUT[BLOCK],RC_IN[BLOCK],RC_OUT[WT],"&gt;0")&gt;0,"IN-USE",""))
</f>
        <v/>
      </c>
      <c r="B2047" s="223" t="str">
        <f>IFERROR(__xludf.DUMMYFUNCTION("IFERROR(IF(F2047&lt;&gt;"""",""WHSE ""&amp;LEFT(F2047,1),REGEXEXTRACT(E2047,""-(?:\d{2}-)?([A-Z]+)"")),"""")
"),"")</f>
        <v/>
      </c>
      <c r="C2047" s="224"/>
      <c r="D2047" s="219"/>
      <c r="E2047" s="225"/>
      <c r="F2047" s="225"/>
      <c r="G2047" s="226"/>
      <c r="H2047" s="225"/>
      <c r="I2047" s="227"/>
      <c r="J2047" s="228"/>
      <c r="K2047" s="229"/>
      <c r="L2047" s="229"/>
      <c r="M2047" s="229"/>
      <c r="N2047" s="230"/>
      <c r="O2047" s="228"/>
      <c r="P2047" s="230"/>
      <c r="Q2047" s="219"/>
      <c r="R2047" s="198"/>
      <c r="S2047" s="198"/>
      <c r="T2047" s="198"/>
      <c r="U2047" s="198"/>
      <c r="V2047" s="198"/>
      <c r="W2047" s="198"/>
      <c r="X2047" s="198"/>
    </row>
    <row r="2048" ht="12.0" customHeight="1">
      <c r="A2048" s="222" t="str">
        <f>IF(COUNTIFS(RC_OUT[BLOCK],RC_IN[BLOCK],RC_OUT[REMARKS],"*CLOSED*")&gt;0,"CLOSED",IF(COUNTIFS(RC_OUT[BLOCK],RC_IN[BLOCK],RC_OUT[WT],"&gt;0")&gt;0,"IN-USE",""))
</f>
        <v/>
      </c>
      <c r="B2048" s="223" t="str">
        <f>IFERROR(__xludf.DUMMYFUNCTION("IFERROR(IF(F2048&lt;&gt;"""",""WHSE ""&amp;LEFT(F2048,1),REGEXEXTRACT(E2048,""-(?:\d{2}-)?([A-Z]+)"")),"""")
"),"")</f>
        <v/>
      </c>
      <c r="C2048" s="224"/>
      <c r="D2048" s="219"/>
      <c r="E2048" s="225"/>
      <c r="F2048" s="225"/>
      <c r="G2048" s="226"/>
      <c r="H2048" s="225"/>
      <c r="I2048" s="227"/>
      <c r="J2048" s="228"/>
      <c r="K2048" s="229"/>
      <c r="L2048" s="229"/>
      <c r="M2048" s="229"/>
      <c r="N2048" s="230"/>
      <c r="O2048" s="228"/>
      <c r="P2048" s="230"/>
      <c r="Q2048" s="219"/>
      <c r="R2048" s="198"/>
      <c r="S2048" s="198"/>
      <c r="T2048" s="198"/>
      <c r="U2048" s="198"/>
      <c r="V2048" s="198"/>
      <c r="W2048" s="198"/>
      <c r="X2048" s="198"/>
    </row>
    <row r="2049" ht="12.0" customHeight="1">
      <c r="A2049" s="222" t="str">
        <f>IF(COUNTIFS(RC_OUT[BLOCK],RC_IN[BLOCK],RC_OUT[REMARKS],"*CLOSED*")&gt;0,"CLOSED",IF(COUNTIFS(RC_OUT[BLOCK],RC_IN[BLOCK],RC_OUT[WT],"&gt;0")&gt;0,"IN-USE",""))
</f>
        <v/>
      </c>
      <c r="B2049" s="223" t="str">
        <f>IFERROR(__xludf.DUMMYFUNCTION("IFERROR(IF(F2049&lt;&gt;"""",""WHSE ""&amp;LEFT(F2049,1),REGEXEXTRACT(E2049,""-(?:\d{2}-)?([A-Z]+)"")),"""")
"),"")</f>
        <v/>
      </c>
      <c r="C2049" s="224"/>
      <c r="D2049" s="219"/>
      <c r="E2049" s="225"/>
      <c r="F2049" s="225"/>
      <c r="G2049" s="226"/>
      <c r="H2049" s="225"/>
      <c r="I2049" s="227"/>
      <c r="J2049" s="228"/>
      <c r="K2049" s="229"/>
      <c r="L2049" s="229"/>
      <c r="M2049" s="229"/>
      <c r="N2049" s="230"/>
      <c r="O2049" s="228"/>
      <c r="P2049" s="230"/>
      <c r="Q2049" s="219"/>
      <c r="R2049" s="198"/>
      <c r="S2049" s="198"/>
      <c r="T2049" s="198"/>
      <c r="U2049" s="198"/>
      <c r="V2049" s="198"/>
      <c r="W2049" s="198"/>
      <c r="X2049" s="198"/>
    </row>
    <row r="2050" ht="12.0" customHeight="1">
      <c r="A2050" s="222" t="str">
        <f>IF(COUNTIFS(RC_OUT[BLOCK],RC_IN[BLOCK],RC_OUT[REMARKS],"*CLOSED*")&gt;0,"CLOSED",IF(COUNTIFS(RC_OUT[BLOCK],RC_IN[BLOCK],RC_OUT[WT],"&gt;0")&gt;0,"IN-USE",""))
</f>
        <v/>
      </c>
      <c r="B2050" s="223" t="str">
        <f>IFERROR(__xludf.DUMMYFUNCTION("IFERROR(IF(F2050&lt;&gt;"""",""WHSE ""&amp;LEFT(F2050,1),REGEXEXTRACT(E2050,""-(?:\d{2}-)?([A-Z]+)"")),"""")
"),"")</f>
        <v/>
      </c>
      <c r="C2050" s="224"/>
      <c r="D2050" s="219"/>
      <c r="E2050" s="225"/>
      <c r="F2050" s="225"/>
      <c r="G2050" s="226"/>
      <c r="H2050" s="225"/>
      <c r="I2050" s="227"/>
      <c r="J2050" s="228"/>
      <c r="K2050" s="229"/>
      <c r="L2050" s="229"/>
      <c r="M2050" s="229"/>
      <c r="N2050" s="230"/>
      <c r="O2050" s="228"/>
      <c r="P2050" s="230"/>
      <c r="Q2050" s="219"/>
      <c r="R2050" s="198"/>
      <c r="S2050" s="198"/>
      <c r="T2050" s="198"/>
      <c r="U2050" s="198"/>
      <c r="V2050" s="198"/>
      <c r="W2050" s="198"/>
      <c r="X2050" s="198"/>
    </row>
    <row r="2051" ht="12.0" customHeight="1">
      <c r="A2051" s="222" t="str">
        <f>IF(COUNTIFS(RC_OUT[BLOCK],RC_IN[BLOCK],RC_OUT[REMARKS],"*CLOSED*")&gt;0,"CLOSED",IF(COUNTIFS(RC_OUT[BLOCK],RC_IN[BLOCK],RC_OUT[WT],"&gt;0")&gt;0,"IN-USE",""))
</f>
        <v/>
      </c>
      <c r="B2051" s="223" t="str">
        <f>IFERROR(__xludf.DUMMYFUNCTION("IFERROR(IF(F2051&lt;&gt;"""",""WHSE ""&amp;LEFT(F2051,1),REGEXEXTRACT(E2051,""-(?:\d{2}-)?([A-Z]+)"")),"""")
"),"")</f>
        <v/>
      </c>
      <c r="C2051" s="224"/>
      <c r="D2051" s="219"/>
      <c r="E2051" s="225"/>
      <c r="F2051" s="225"/>
      <c r="G2051" s="226"/>
      <c r="H2051" s="225"/>
      <c r="I2051" s="227"/>
      <c r="J2051" s="228"/>
      <c r="K2051" s="229"/>
      <c r="L2051" s="229"/>
      <c r="M2051" s="229"/>
      <c r="N2051" s="230"/>
      <c r="O2051" s="228"/>
      <c r="P2051" s="230"/>
      <c r="Q2051" s="219"/>
      <c r="R2051" s="198"/>
      <c r="S2051" s="198"/>
      <c r="T2051" s="198"/>
      <c r="U2051" s="198"/>
      <c r="V2051" s="198"/>
      <c r="W2051" s="198"/>
      <c r="X2051" s="198"/>
    </row>
    <row r="2052" ht="12.0" customHeight="1">
      <c r="A2052" s="222" t="str">
        <f>IF(COUNTIFS(RC_OUT[BLOCK],RC_IN[BLOCK],RC_OUT[REMARKS],"*CLOSED*")&gt;0,"CLOSED",IF(COUNTIFS(RC_OUT[BLOCK],RC_IN[BLOCK],RC_OUT[WT],"&gt;0")&gt;0,"IN-USE",""))
</f>
        <v/>
      </c>
      <c r="B2052" s="223" t="str">
        <f>IFERROR(__xludf.DUMMYFUNCTION("IFERROR(IF(F2052&lt;&gt;"""",""WHSE ""&amp;LEFT(F2052,1),REGEXEXTRACT(E2052,""-(?:\d{2}-)?([A-Z]+)"")),"""")
"),"")</f>
        <v/>
      </c>
      <c r="C2052" s="224"/>
      <c r="D2052" s="219"/>
      <c r="E2052" s="225"/>
      <c r="F2052" s="225"/>
      <c r="G2052" s="226"/>
      <c r="H2052" s="225"/>
      <c r="I2052" s="227"/>
      <c r="J2052" s="228"/>
      <c r="K2052" s="229"/>
      <c r="L2052" s="229"/>
      <c r="M2052" s="229"/>
      <c r="N2052" s="230"/>
      <c r="O2052" s="228"/>
      <c r="P2052" s="230"/>
      <c r="Q2052" s="219"/>
      <c r="R2052" s="198"/>
      <c r="S2052" s="198"/>
      <c r="T2052" s="198"/>
      <c r="U2052" s="198"/>
      <c r="V2052" s="198"/>
      <c r="W2052" s="198"/>
      <c r="X2052" s="198"/>
    </row>
    <row r="2053" ht="12.0" customHeight="1">
      <c r="A2053" s="222" t="str">
        <f>IF(COUNTIFS(RC_OUT[BLOCK],RC_IN[BLOCK],RC_OUT[REMARKS],"*CLOSED*")&gt;0,"CLOSED",IF(COUNTIFS(RC_OUT[BLOCK],RC_IN[BLOCK],RC_OUT[WT],"&gt;0")&gt;0,"IN-USE",""))
</f>
        <v/>
      </c>
      <c r="B2053" s="223" t="str">
        <f>IFERROR(__xludf.DUMMYFUNCTION("IFERROR(IF(F2053&lt;&gt;"""",""WHSE ""&amp;LEFT(F2053,1),REGEXEXTRACT(E2053,""-(?:\d{2}-)?([A-Z]+)"")),"""")
"),"")</f>
        <v/>
      </c>
      <c r="C2053" s="224"/>
      <c r="D2053" s="219"/>
      <c r="E2053" s="225"/>
      <c r="F2053" s="225"/>
      <c r="G2053" s="226"/>
      <c r="H2053" s="225"/>
      <c r="I2053" s="227"/>
      <c r="J2053" s="228"/>
      <c r="K2053" s="229"/>
      <c r="L2053" s="229"/>
      <c r="M2053" s="229"/>
      <c r="N2053" s="230"/>
      <c r="O2053" s="228"/>
      <c r="P2053" s="230"/>
      <c r="Q2053" s="219"/>
      <c r="R2053" s="198"/>
      <c r="S2053" s="198"/>
      <c r="T2053" s="198"/>
      <c r="U2053" s="198"/>
      <c r="V2053" s="198"/>
      <c r="W2053" s="198"/>
      <c r="X2053" s="198"/>
    </row>
    <row r="2054" ht="12.0" customHeight="1">
      <c r="A2054" s="222" t="str">
        <f>IF(COUNTIFS(RC_OUT[BLOCK],RC_IN[BLOCK],RC_OUT[REMARKS],"*CLOSED*")&gt;0,"CLOSED",IF(COUNTIFS(RC_OUT[BLOCK],RC_IN[BLOCK],RC_OUT[WT],"&gt;0")&gt;0,"IN-USE",""))
</f>
        <v/>
      </c>
      <c r="B2054" s="223" t="str">
        <f>IFERROR(__xludf.DUMMYFUNCTION("IFERROR(IF(F2054&lt;&gt;"""",""WHSE ""&amp;LEFT(F2054,1),REGEXEXTRACT(E2054,""-(?:\d{2}-)?([A-Z]+)"")),"""")
"),"")</f>
        <v/>
      </c>
      <c r="C2054" s="224"/>
      <c r="D2054" s="219"/>
      <c r="E2054" s="225"/>
      <c r="F2054" s="225"/>
      <c r="G2054" s="226"/>
      <c r="H2054" s="225"/>
      <c r="I2054" s="227"/>
      <c r="J2054" s="228"/>
      <c r="K2054" s="229"/>
      <c r="L2054" s="229"/>
      <c r="M2054" s="229"/>
      <c r="N2054" s="230"/>
      <c r="O2054" s="228"/>
      <c r="P2054" s="230"/>
      <c r="Q2054" s="219"/>
      <c r="R2054" s="198"/>
      <c r="S2054" s="198"/>
      <c r="T2054" s="198"/>
      <c r="U2054" s="198"/>
      <c r="V2054" s="198"/>
      <c r="W2054" s="198"/>
      <c r="X2054" s="198"/>
    </row>
    <row r="2055" ht="12.0" customHeight="1">
      <c r="A2055" s="222" t="str">
        <f>IF(COUNTIFS(RC_OUT[BLOCK],RC_IN[BLOCK],RC_OUT[REMARKS],"*CLOSED*")&gt;0,"CLOSED",IF(COUNTIFS(RC_OUT[BLOCK],RC_IN[BLOCK],RC_OUT[WT],"&gt;0")&gt;0,"IN-USE",""))
</f>
        <v/>
      </c>
      <c r="B2055" s="223" t="str">
        <f>IFERROR(__xludf.DUMMYFUNCTION("IFERROR(IF(F2055&lt;&gt;"""",""WHSE ""&amp;LEFT(F2055,1),REGEXEXTRACT(E2055,""-(?:\d{2}-)?([A-Z]+)"")),"""")
"),"")</f>
        <v/>
      </c>
      <c r="C2055" s="224"/>
      <c r="D2055" s="219"/>
      <c r="E2055" s="225"/>
      <c r="F2055" s="225"/>
      <c r="G2055" s="226"/>
      <c r="H2055" s="225"/>
      <c r="I2055" s="227"/>
      <c r="J2055" s="228"/>
      <c r="K2055" s="229"/>
      <c r="L2055" s="229"/>
      <c r="M2055" s="229"/>
      <c r="N2055" s="230"/>
      <c r="O2055" s="228"/>
      <c r="P2055" s="230"/>
      <c r="Q2055" s="219"/>
      <c r="R2055" s="198"/>
      <c r="S2055" s="198"/>
      <c r="T2055" s="198"/>
      <c r="U2055" s="198"/>
      <c r="V2055" s="198"/>
      <c r="W2055" s="198"/>
      <c r="X2055" s="198"/>
    </row>
    <row r="2056" ht="12.0" customHeight="1">
      <c r="A2056" s="222" t="str">
        <f>IF(COUNTIFS(RC_OUT[BLOCK],RC_IN[BLOCK],RC_OUT[REMARKS],"*CLOSED*")&gt;0,"CLOSED",IF(COUNTIFS(RC_OUT[BLOCK],RC_IN[BLOCK],RC_OUT[WT],"&gt;0")&gt;0,"IN-USE",""))
</f>
        <v/>
      </c>
      <c r="B2056" s="223" t="str">
        <f>IFERROR(__xludf.DUMMYFUNCTION("IFERROR(IF(F2056&lt;&gt;"""",""WHSE ""&amp;LEFT(F2056,1),REGEXEXTRACT(E2056,""-(?:\d{2}-)?([A-Z]+)"")),"""")
"),"")</f>
        <v/>
      </c>
      <c r="C2056" s="224"/>
      <c r="D2056" s="219"/>
      <c r="E2056" s="225"/>
      <c r="F2056" s="225"/>
      <c r="G2056" s="226"/>
      <c r="H2056" s="225"/>
      <c r="I2056" s="227"/>
      <c r="J2056" s="228"/>
      <c r="K2056" s="229"/>
      <c r="L2056" s="229"/>
      <c r="M2056" s="229"/>
      <c r="N2056" s="230"/>
      <c r="O2056" s="228"/>
      <c r="P2056" s="230"/>
      <c r="Q2056" s="219"/>
      <c r="R2056" s="198"/>
      <c r="S2056" s="198"/>
      <c r="T2056" s="198"/>
      <c r="U2056" s="198"/>
      <c r="V2056" s="198"/>
      <c r="W2056" s="198"/>
      <c r="X2056" s="198"/>
    </row>
    <row r="2057" ht="12.0" customHeight="1">
      <c r="A2057" s="222" t="str">
        <f>IF(COUNTIFS(RC_OUT[BLOCK],RC_IN[BLOCK],RC_OUT[REMARKS],"*CLOSED*")&gt;0,"CLOSED",IF(COUNTIFS(RC_OUT[BLOCK],RC_IN[BLOCK],RC_OUT[WT],"&gt;0")&gt;0,"IN-USE",""))
</f>
        <v/>
      </c>
      <c r="B2057" s="223" t="str">
        <f>IFERROR(__xludf.DUMMYFUNCTION("IFERROR(IF(F2057&lt;&gt;"""",""WHSE ""&amp;LEFT(F2057,1),REGEXEXTRACT(E2057,""-(?:\d{2}-)?([A-Z]+)"")),"""")
"),"")</f>
        <v/>
      </c>
      <c r="C2057" s="224"/>
      <c r="D2057" s="219"/>
      <c r="E2057" s="225"/>
      <c r="F2057" s="225"/>
      <c r="G2057" s="226"/>
      <c r="H2057" s="225"/>
      <c r="I2057" s="227"/>
      <c r="J2057" s="228"/>
      <c r="K2057" s="229"/>
      <c r="L2057" s="229"/>
      <c r="M2057" s="229"/>
      <c r="N2057" s="230"/>
      <c r="O2057" s="228"/>
      <c r="P2057" s="230"/>
      <c r="Q2057" s="219"/>
      <c r="R2057" s="198"/>
      <c r="S2057" s="198"/>
      <c r="T2057" s="198"/>
      <c r="U2057" s="198"/>
      <c r="V2057" s="198"/>
      <c r="W2057" s="198"/>
      <c r="X2057" s="198"/>
    </row>
    <row r="2058" ht="12.0" customHeight="1">
      <c r="A2058" s="222" t="str">
        <f>IF(COUNTIFS(RC_OUT[BLOCK],RC_IN[BLOCK],RC_OUT[REMARKS],"*CLOSED*")&gt;0,"CLOSED",IF(COUNTIFS(RC_OUT[BLOCK],RC_IN[BLOCK],RC_OUT[WT],"&gt;0")&gt;0,"IN-USE",""))
</f>
        <v/>
      </c>
      <c r="B2058" s="223" t="str">
        <f>IFERROR(__xludf.DUMMYFUNCTION("IFERROR(IF(F2058&lt;&gt;"""",""WHSE ""&amp;LEFT(F2058,1),REGEXEXTRACT(E2058,""-(?:\d{2}-)?([A-Z]+)"")),"""")
"),"")</f>
        <v/>
      </c>
      <c r="C2058" s="224"/>
      <c r="D2058" s="219"/>
      <c r="E2058" s="225"/>
      <c r="F2058" s="225"/>
      <c r="G2058" s="226"/>
      <c r="H2058" s="225"/>
      <c r="I2058" s="227"/>
      <c r="J2058" s="228"/>
      <c r="K2058" s="229"/>
      <c r="L2058" s="229"/>
      <c r="M2058" s="229"/>
      <c r="N2058" s="230"/>
      <c r="O2058" s="228"/>
      <c r="P2058" s="230"/>
      <c r="Q2058" s="219"/>
      <c r="R2058" s="198"/>
      <c r="S2058" s="198"/>
      <c r="T2058" s="198"/>
      <c r="U2058" s="198"/>
      <c r="V2058" s="198"/>
      <c r="W2058" s="198"/>
      <c r="X2058" s="198"/>
    </row>
    <row r="2059" ht="12.0" customHeight="1">
      <c r="A2059" s="222" t="str">
        <f>IF(COUNTIFS(RC_OUT[BLOCK],RC_IN[BLOCK],RC_OUT[REMARKS],"*CLOSED*")&gt;0,"CLOSED",IF(COUNTIFS(RC_OUT[BLOCK],RC_IN[BLOCK],RC_OUT[WT],"&gt;0")&gt;0,"IN-USE",""))
</f>
        <v/>
      </c>
      <c r="B2059" s="223" t="str">
        <f>IFERROR(__xludf.DUMMYFUNCTION("IFERROR(IF(F2059&lt;&gt;"""",""WHSE ""&amp;LEFT(F2059,1),REGEXEXTRACT(E2059,""-(?:\d{2}-)?([A-Z]+)"")),"""")
"),"")</f>
        <v/>
      </c>
      <c r="C2059" s="224"/>
      <c r="D2059" s="219"/>
      <c r="E2059" s="225"/>
      <c r="F2059" s="225"/>
      <c r="G2059" s="226"/>
      <c r="H2059" s="225"/>
      <c r="I2059" s="227"/>
      <c r="J2059" s="228"/>
      <c r="K2059" s="229"/>
      <c r="L2059" s="229"/>
      <c r="M2059" s="229"/>
      <c r="N2059" s="230"/>
      <c r="O2059" s="228"/>
      <c r="P2059" s="230"/>
      <c r="Q2059" s="219"/>
      <c r="R2059" s="198"/>
      <c r="S2059" s="198"/>
      <c r="T2059" s="198"/>
      <c r="U2059" s="198"/>
      <c r="V2059" s="198"/>
      <c r="W2059" s="198"/>
      <c r="X2059" s="198"/>
    </row>
    <row r="2060" ht="12.0" customHeight="1">
      <c r="A2060" s="222" t="str">
        <f>IF(COUNTIFS(RC_OUT[BLOCK],RC_IN[BLOCK],RC_OUT[REMARKS],"*CLOSED*")&gt;0,"CLOSED",IF(COUNTIFS(RC_OUT[BLOCK],RC_IN[BLOCK],RC_OUT[WT],"&gt;0")&gt;0,"IN-USE",""))
</f>
        <v/>
      </c>
      <c r="B2060" s="223" t="str">
        <f>IFERROR(__xludf.DUMMYFUNCTION("IFERROR(IF(F2060&lt;&gt;"""",""WHSE ""&amp;LEFT(F2060,1),REGEXEXTRACT(E2060,""-(?:\d{2}-)?([A-Z]+)"")),"""")
"),"")</f>
        <v/>
      </c>
      <c r="C2060" s="224"/>
      <c r="D2060" s="219"/>
      <c r="E2060" s="225"/>
      <c r="F2060" s="225"/>
      <c r="G2060" s="226"/>
      <c r="H2060" s="225"/>
      <c r="I2060" s="227"/>
      <c r="J2060" s="228"/>
      <c r="K2060" s="229"/>
      <c r="L2060" s="229"/>
      <c r="M2060" s="229"/>
      <c r="N2060" s="230"/>
      <c r="O2060" s="228"/>
      <c r="P2060" s="230"/>
      <c r="Q2060" s="219"/>
      <c r="R2060" s="198"/>
      <c r="S2060" s="198"/>
      <c r="T2060" s="198"/>
      <c r="U2060" s="198"/>
      <c r="V2060" s="198"/>
      <c r="W2060" s="198"/>
      <c r="X2060" s="198"/>
    </row>
    <row r="2061" ht="12.0" customHeight="1">
      <c r="A2061" s="222" t="str">
        <f>IF(COUNTIFS(RC_OUT[BLOCK],RC_IN[BLOCK],RC_OUT[REMARKS],"*CLOSED*")&gt;0,"CLOSED",IF(COUNTIFS(RC_OUT[BLOCK],RC_IN[BLOCK],RC_OUT[WT],"&gt;0")&gt;0,"IN-USE",""))
</f>
        <v/>
      </c>
      <c r="B2061" s="223" t="str">
        <f>IFERROR(__xludf.DUMMYFUNCTION("IFERROR(IF(F2061&lt;&gt;"""",""WHSE ""&amp;LEFT(F2061,1),REGEXEXTRACT(E2061,""-(?:\d{2}-)?([A-Z]+)"")),"""")
"),"")</f>
        <v/>
      </c>
      <c r="C2061" s="224"/>
      <c r="D2061" s="219"/>
      <c r="E2061" s="225"/>
      <c r="F2061" s="225"/>
      <c r="G2061" s="226"/>
      <c r="H2061" s="225"/>
      <c r="I2061" s="227"/>
      <c r="J2061" s="228"/>
      <c r="K2061" s="229"/>
      <c r="L2061" s="229"/>
      <c r="M2061" s="229"/>
      <c r="N2061" s="230"/>
      <c r="O2061" s="228"/>
      <c r="P2061" s="230"/>
      <c r="Q2061" s="219"/>
      <c r="R2061" s="198"/>
      <c r="S2061" s="198"/>
      <c r="T2061" s="198"/>
      <c r="U2061" s="198"/>
      <c r="V2061" s="198"/>
      <c r="W2061" s="198"/>
      <c r="X2061" s="198"/>
    </row>
    <row r="2062" ht="12.0" customHeight="1">
      <c r="A2062" s="222" t="str">
        <f>IF(COUNTIFS(RC_OUT[BLOCK],RC_IN[BLOCK],RC_OUT[REMARKS],"*CLOSED*")&gt;0,"CLOSED",IF(COUNTIFS(RC_OUT[BLOCK],RC_IN[BLOCK],RC_OUT[WT],"&gt;0")&gt;0,"IN-USE",""))
</f>
        <v/>
      </c>
      <c r="B2062" s="223" t="str">
        <f>IFERROR(__xludf.DUMMYFUNCTION("IFERROR(IF(F2062&lt;&gt;"""",""WHSE ""&amp;LEFT(F2062,1),REGEXEXTRACT(E2062,""-(?:\d{2}-)?([A-Z]+)"")),"""")
"),"")</f>
        <v/>
      </c>
      <c r="C2062" s="224"/>
      <c r="D2062" s="219"/>
      <c r="E2062" s="225"/>
      <c r="F2062" s="225"/>
      <c r="G2062" s="226"/>
      <c r="H2062" s="225"/>
      <c r="I2062" s="227"/>
      <c r="J2062" s="228"/>
      <c r="K2062" s="229"/>
      <c r="L2062" s="229"/>
      <c r="M2062" s="229"/>
      <c r="N2062" s="230"/>
      <c r="O2062" s="228"/>
      <c r="P2062" s="230"/>
      <c r="Q2062" s="219"/>
      <c r="R2062" s="198"/>
      <c r="S2062" s="198"/>
      <c r="T2062" s="198"/>
      <c r="U2062" s="198"/>
      <c r="V2062" s="198"/>
      <c r="W2062" s="198"/>
      <c r="X2062" s="198"/>
    </row>
    <row r="2063" ht="12.0" customHeight="1">
      <c r="A2063" s="222" t="str">
        <f>IF(COUNTIFS(RC_OUT[BLOCK],RC_IN[BLOCK],RC_OUT[REMARKS],"*CLOSED*")&gt;0,"CLOSED",IF(COUNTIFS(RC_OUT[BLOCK],RC_IN[BLOCK],RC_OUT[WT],"&gt;0")&gt;0,"IN-USE",""))
</f>
        <v/>
      </c>
      <c r="B2063" s="223" t="str">
        <f>IFERROR(__xludf.DUMMYFUNCTION("IFERROR(IF(F2063&lt;&gt;"""",""WHSE ""&amp;LEFT(F2063,1),REGEXEXTRACT(E2063,""-(?:\d{2}-)?([A-Z]+)"")),"""")
"),"")</f>
        <v/>
      </c>
      <c r="C2063" s="224"/>
      <c r="D2063" s="219"/>
      <c r="E2063" s="225"/>
      <c r="F2063" s="225"/>
      <c r="G2063" s="226"/>
      <c r="H2063" s="225"/>
      <c r="I2063" s="227"/>
      <c r="J2063" s="228"/>
      <c r="K2063" s="229"/>
      <c r="L2063" s="229"/>
      <c r="M2063" s="229"/>
      <c r="N2063" s="230"/>
      <c r="O2063" s="228"/>
      <c r="P2063" s="230"/>
      <c r="Q2063" s="219"/>
      <c r="R2063" s="198"/>
      <c r="S2063" s="198"/>
      <c r="T2063" s="198"/>
      <c r="U2063" s="198"/>
      <c r="V2063" s="198"/>
      <c r="W2063" s="198"/>
      <c r="X2063" s="198"/>
    </row>
    <row r="2064" ht="12.0" customHeight="1">
      <c r="A2064" s="222" t="str">
        <f>IF(COUNTIFS(RC_OUT[BLOCK],RC_IN[BLOCK],RC_OUT[REMARKS],"*CLOSED*")&gt;0,"CLOSED",IF(COUNTIFS(RC_OUT[BLOCK],RC_IN[BLOCK],RC_OUT[WT],"&gt;0")&gt;0,"IN-USE",""))
</f>
        <v/>
      </c>
      <c r="B2064" s="223" t="str">
        <f>IFERROR(__xludf.DUMMYFUNCTION("IFERROR(IF(F2064&lt;&gt;"""",""WHSE ""&amp;LEFT(F2064,1),REGEXEXTRACT(E2064,""-(?:\d{2}-)?([A-Z]+)"")),"""")
"),"")</f>
        <v/>
      </c>
      <c r="C2064" s="224"/>
      <c r="D2064" s="219"/>
      <c r="E2064" s="225"/>
      <c r="F2064" s="225"/>
      <c r="G2064" s="226"/>
      <c r="H2064" s="225"/>
      <c r="I2064" s="227"/>
      <c r="J2064" s="228"/>
      <c r="K2064" s="229"/>
      <c r="L2064" s="229"/>
      <c r="M2064" s="229"/>
      <c r="N2064" s="230"/>
      <c r="O2064" s="228"/>
      <c r="P2064" s="230"/>
      <c r="Q2064" s="219"/>
      <c r="R2064" s="198"/>
      <c r="S2064" s="198"/>
      <c r="T2064" s="198"/>
      <c r="U2064" s="198"/>
      <c r="V2064" s="198"/>
      <c r="W2064" s="198"/>
      <c r="X2064" s="198"/>
    </row>
    <row r="2065" ht="12.0" customHeight="1">
      <c r="A2065" s="222" t="str">
        <f>IF(COUNTIFS(RC_OUT[BLOCK],RC_IN[BLOCK],RC_OUT[REMARKS],"*CLOSED*")&gt;0,"CLOSED",IF(COUNTIFS(RC_OUT[BLOCK],RC_IN[BLOCK],RC_OUT[WT],"&gt;0")&gt;0,"IN-USE",""))
</f>
        <v/>
      </c>
      <c r="B2065" s="223" t="str">
        <f>IFERROR(__xludf.DUMMYFUNCTION("IFERROR(IF(F2065&lt;&gt;"""",""WHSE ""&amp;LEFT(F2065,1),REGEXEXTRACT(E2065,""-(?:\d{2}-)?([A-Z]+)"")),"""")
"),"")</f>
        <v/>
      </c>
      <c r="C2065" s="224"/>
      <c r="D2065" s="219"/>
      <c r="E2065" s="225"/>
      <c r="F2065" s="225"/>
      <c r="G2065" s="226"/>
      <c r="H2065" s="225"/>
      <c r="I2065" s="227"/>
      <c r="J2065" s="228"/>
      <c r="K2065" s="229"/>
      <c r="L2065" s="229"/>
      <c r="M2065" s="229"/>
      <c r="N2065" s="230"/>
      <c r="O2065" s="228"/>
      <c r="P2065" s="230"/>
      <c r="Q2065" s="219"/>
      <c r="R2065" s="198"/>
      <c r="S2065" s="198"/>
      <c r="T2065" s="198"/>
      <c r="U2065" s="198"/>
      <c r="V2065" s="198"/>
      <c r="W2065" s="198"/>
      <c r="X2065" s="198"/>
    </row>
    <row r="2066" ht="12.0" customHeight="1">
      <c r="A2066" s="222" t="str">
        <f>IF(COUNTIFS(RC_OUT[BLOCK],RC_IN[BLOCK],RC_OUT[REMARKS],"*CLOSED*")&gt;0,"CLOSED",IF(COUNTIFS(RC_OUT[BLOCK],RC_IN[BLOCK],RC_OUT[WT],"&gt;0")&gt;0,"IN-USE",""))
</f>
        <v/>
      </c>
      <c r="B2066" s="223" t="str">
        <f>IFERROR(__xludf.DUMMYFUNCTION("IFERROR(IF(F2066&lt;&gt;"""",""WHSE ""&amp;LEFT(F2066,1),REGEXEXTRACT(E2066,""-(?:\d{2}-)?([A-Z]+)"")),"""")
"),"")</f>
        <v/>
      </c>
      <c r="C2066" s="224"/>
      <c r="D2066" s="219"/>
      <c r="E2066" s="225"/>
      <c r="F2066" s="225"/>
      <c r="G2066" s="226"/>
      <c r="H2066" s="225"/>
      <c r="I2066" s="227"/>
      <c r="J2066" s="228"/>
      <c r="K2066" s="229"/>
      <c r="L2066" s="229"/>
      <c r="M2066" s="229"/>
      <c r="N2066" s="230"/>
      <c r="O2066" s="228"/>
      <c r="P2066" s="230"/>
      <c r="Q2066" s="219"/>
      <c r="R2066" s="198"/>
      <c r="S2066" s="198"/>
      <c r="T2066" s="198"/>
      <c r="U2066" s="198"/>
      <c r="V2066" s="198"/>
      <c r="W2066" s="198"/>
      <c r="X2066" s="198"/>
    </row>
    <row r="2067" ht="12.0" customHeight="1">
      <c r="A2067" s="222" t="str">
        <f>IF(COUNTIFS(RC_OUT[BLOCK],RC_IN[BLOCK],RC_OUT[REMARKS],"*CLOSED*")&gt;0,"CLOSED",IF(COUNTIFS(RC_OUT[BLOCK],RC_IN[BLOCK],RC_OUT[WT],"&gt;0")&gt;0,"IN-USE",""))
</f>
        <v/>
      </c>
      <c r="B2067" s="223" t="str">
        <f>IFERROR(__xludf.DUMMYFUNCTION("IFERROR(IF(F2067&lt;&gt;"""",""WHSE ""&amp;LEFT(F2067,1),REGEXEXTRACT(E2067,""-(?:\d{2}-)?([A-Z]+)"")),"""")
"),"")</f>
        <v/>
      </c>
      <c r="C2067" s="224"/>
      <c r="D2067" s="219"/>
      <c r="E2067" s="225"/>
      <c r="F2067" s="225"/>
      <c r="G2067" s="226"/>
      <c r="H2067" s="225"/>
      <c r="I2067" s="227"/>
      <c r="J2067" s="228"/>
      <c r="K2067" s="229"/>
      <c r="L2067" s="229"/>
      <c r="M2067" s="229"/>
      <c r="N2067" s="230"/>
      <c r="O2067" s="228"/>
      <c r="P2067" s="230"/>
      <c r="Q2067" s="219"/>
      <c r="R2067" s="198"/>
      <c r="S2067" s="198"/>
      <c r="T2067" s="198"/>
      <c r="U2067" s="198"/>
      <c r="V2067" s="198"/>
      <c r="W2067" s="198"/>
      <c r="X2067" s="198"/>
    </row>
    <row r="2068" ht="12.0" customHeight="1">
      <c r="A2068" s="222" t="str">
        <f>IF(COUNTIFS(RC_OUT[BLOCK],RC_IN[BLOCK],RC_OUT[REMARKS],"*CLOSED*")&gt;0,"CLOSED",IF(COUNTIFS(RC_OUT[BLOCK],RC_IN[BLOCK],RC_OUT[WT],"&gt;0")&gt;0,"IN-USE",""))
</f>
        <v/>
      </c>
      <c r="B2068" s="223" t="str">
        <f>IFERROR(__xludf.DUMMYFUNCTION("IFERROR(IF(F2068&lt;&gt;"""",""WHSE ""&amp;LEFT(F2068,1),REGEXEXTRACT(E2068,""-(?:\d{2}-)?([A-Z]+)"")),"""")
"),"")</f>
        <v/>
      </c>
      <c r="C2068" s="224"/>
      <c r="D2068" s="219"/>
      <c r="E2068" s="225"/>
      <c r="F2068" s="225"/>
      <c r="G2068" s="226"/>
      <c r="H2068" s="225"/>
      <c r="I2068" s="227"/>
      <c r="J2068" s="228"/>
      <c r="K2068" s="229"/>
      <c r="L2068" s="229"/>
      <c r="M2068" s="229"/>
      <c r="N2068" s="230"/>
      <c r="O2068" s="228"/>
      <c r="P2068" s="230"/>
      <c r="Q2068" s="219"/>
      <c r="R2068" s="198"/>
      <c r="S2068" s="198"/>
      <c r="T2068" s="198"/>
      <c r="U2068" s="198"/>
      <c r="V2068" s="198"/>
      <c r="W2068" s="198"/>
      <c r="X2068" s="198"/>
    </row>
    <row r="2069" ht="12.0" customHeight="1">
      <c r="A2069" s="222" t="str">
        <f>IF(COUNTIFS(RC_OUT[BLOCK],RC_IN[BLOCK],RC_OUT[REMARKS],"*CLOSED*")&gt;0,"CLOSED",IF(COUNTIFS(RC_OUT[BLOCK],RC_IN[BLOCK],RC_OUT[WT],"&gt;0")&gt;0,"IN-USE",""))
</f>
        <v/>
      </c>
      <c r="B2069" s="223" t="str">
        <f>IFERROR(__xludf.DUMMYFUNCTION("IFERROR(IF(F2069&lt;&gt;"""",""WHSE ""&amp;LEFT(F2069,1),REGEXEXTRACT(E2069,""-(?:\d{2}-)?([A-Z]+)"")),"""")
"),"")</f>
        <v/>
      </c>
      <c r="C2069" s="224"/>
      <c r="D2069" s="219"/>
      <c r="E2069" s="225"/>
      <c r="F2069" s="225"/>
      <c r="G2069" s="226"/>
      <c r="H2069" s="225"/>
      <c r="I2069" s="227"/>
      <c r="J2069" s="228"/>
      <c r="K2069" s="229"/>
      <c r="L2069" s="229"/>
      <c r="M2069" s="229"/>
      <c r="N2069" s="230"/>
      <c r="O2069" s="228"/>
      <c r="P2069" s="230"/>
      <c r="Q2069" s="219"/>
      <c r="R2069" s="198"/>
      <c r="S2069" s="198"/>
      <c r="T2069" s="198"/>
      <c r="U2069" s="198"/>
      <c r="V2069" s="198"/>
      <c r="W2069" s="198"/>
      <c r="X2069" s="198"/>
    </row>
    <row r="2070" ht="12.0" customHeight="1">
      <c r="A2070" s="222" t="str">
        <f>IF(COUNTIFS(RC_OUT[BLOCK],RC_IN[BLOCK],RC_OUT[REMARKS],"*CLOSED*")&gt;0,"CLOSED",IF(COUNTIFS(RC_OUT[BLOCK],RC_IN[BLOCK],RC_OUT[WT],"&gt;0")&gt;0,"IN-USE",""))
</f>
        <v/>
      </c>
      <c r="B2070" s="223" t="str">
        <f>IFERROR(__xludf.DUMMYFUNCTION("IFERROR(IF(F2070&lt;&gt;"""",""WHSE ""&amp;LEFT(F2070,1),REGEXEXTRACT(E2070,""-(?:\d{2}-)?([A-Z]+)"")),"""")
"),"")</f>
        <v/>
      </c>
      <c r="C2070" s="224"/>
      <c r="D2070" s="219"/>
      <c r="E2070" s="225"/>
      <c r="F2070" s="225"/>
      <c r="G2070" s="226"/>
      <c r="H2070" s="225"/>
      <c r="I2070" s="227"/>
      <c r="J2070" s="228"/>
      <c r="K2070" s="229"/>
      <c r="L2070" s="229"/>
      <c r="M2070" s="229"/>
      <c r="N2070" s="230"/>
      <c r="O2070" s="228"/>
      <c r="P2070" s="230"/>
      <c r="Q2070" s="219"/>
      <c r="R2070" s="198"/>
      <c r="S2070" s="198"/>
      <c r="T2070" s="198"/>
      <c r="U2070" s="198"/>
      <c r="V2070" s="198"/>
      <c r="W2070" s="198"/>
      <c r="X2070" s="198"/>
    </row>
    <row r="2071" ht="12.0" customHeight="1">
      <c r="A2071" s="222" t="str">
        <f>IF(COUNTIFS(RC_OUT[BLOCK],RC_IN[BLOCK],RC_OUT[REMARKS],"*CLOSED*")&gt;0,"CLOSED",IF(COUNTIFS(RC_OUT[BLOCK],RC_IN[BLOCK],RC_OUT[WT],"&gt;0")&gt;0,"IN-USE",""))
</f>
        <v/>
      </c>
      <c r="B2071" s="223" t="str">
        <f>IFERROR(__xludf.DUMMYFUNCTION("IFERROR(IF(F2071&lt;&gt;"""",""WHSE ""&amp;LEFT(F2071,1),REGEXEXTRACT(E2071,""-(?:\d{2}-)?([A-Z]+)"")),"""")
"),"")</f>
        <v/>
      </c>
      <c r="C2071" s="224"/>
      <c r="D2071" s="219"/>
      <c r="E2071" s="225"/>
      <c r="F2071" s="225"/>
      <c r="G2071" s="226"/>
      <c r="H2071" s="225"/>
      <c r="I2071" s="227"/>
      <c r="J2071" s="228"/>
      <c r="K2071" s="229"/>
      <c r="L2071" s="229"/>
      <c r="M2071" s="229"/>
      <c r="N2071" s="230"/>
      <c r="O2071" s="228"/>
      <c r="P2071" s="230"/>
      <c r="Q2071" s="219"/>
      <c r="R2071" s="198"/>
      <c r="S2071" s="198"/>
      <c r="T2071" s="198"/>
      <c r="U2071" s="198"/>
      <c r="V2071" s="198"/>
      <c r="W2071" s="198"/>
      <c r="X2071" s="198"/>
    </row>
    <row r="2072" ht="12.0" customHeight="1">
      <c r="A2072" s="222" t="str">
        <f>IF(COUNTIFS(RC_OUT[BLOCK],RC_IN[BLOCK],RC_OUT[REMARKS],"*CLOSED*")&gt;0,"CLOSED",IF(COUNTIFS(RC_OUT[BLOCK],RC_IN[BLOCK],RC_OUT[WT],"&gt;0")&gt;0,"IN-USE",""))
</f>
        <v/>
      </c>
      <c r="B2072" s="223" t="str">
        <f>IFERROR(__xludf.DUMMYFUNCTION("IFERROR(IF(F2072&lt;&gt;"""",""WHSE ""&amp;LEFT(F2072,1),REGEXEXTRACT(E2072,""-(?:\d{2}-)?([A-Z]+)"")),"""")
"),"")</f>
        <v/>
      </c>
      <c r="C2072" s="224"/>
      <c r="D2072" s="219"/>
      <c r="E2072" s="225"/>
      <c r="F2072" s="225"/>
      <c r="G2072" s="226"/>
      <c r="H2072" s="225"/>
      <c r="I2072" s="227"/>
      <c r="J2072" s="228"/>
      <c r="K2072" s="229"/>
      <c r="L2072" s="229"/>
      <c r="M2072" s="229"/>
      <c r="N2072" s="230"/>
      <c r="O2072" s="228"/>
      <c r="P2072" s="230"/>
      <c r="Q2072" s="219"/>
      <c r="R2072" s="198"/>
      <c r="S2072" s="198"/>
      <c r="T2072" s="198"/>
      <c r="U2072" s="198"/>
      <c r="V2072" s="198"/>
      <c r="W2072" s="198"/>
      <c r="X2072" s="198"/>
    </row>
    <row r="2073" ht="12.0" customHeight="1">
      <c r="A2073" s="222" t="str">
        <f>IF(COUNTIFS(RC_OUT[BLOCK],RC_IN[BLOCK],RC_OUT[REMARKS],"*CLOSED*")&gt;0,"CLOSED",IF(COUNTIFS(RC_OUT[BLOCK],RC_IN[BLOCK],RC_OUT[WT],"&gt;0")&gt;0,"IN-USE",""))
</f>
        <v/>
      </c>
      <c r="B2073" s="223" t="str">
        <f>IFERROR(__xludf.DUMMYFUNCTION("IFERROR(IF(F2073&lt;&gt;"""",""WHSE ""&amp;LEFT(F2073,1),REGEXEXTRACT(E2073,""-(?:\d{2}-)?([A-Z]+)"")),"""")
"),"")</f>
        <v/>
      </c>
      <c r="C2073" s="224"/>
      <c r="D2073" s="219"/>
      <c r="E2073" s="225"/>
      <c r="F2073" s="225"/>
      <c r="G2073" s="226"/>
      <c r="H2073" s="225"/>
      <c r="I2073" s="227"/>
      <c r="J2073" s="228"/>
      <c r="K2073" s="229"/>
      <c r="L2073" s="229"/>
      <c r="M2073" s="229"/>
      <c r="N2073" s="230"/>
      <c r="O2073" s="228"/>
      <c r="P2073" s="230"/>
      <c r="Q2073" s="219"/>
      <c r="R2073" s="198"/>
      <c r="S2073" s="198"/>
      <c r="T2073" s="198"/>
      <c r="U2073" s="198"/>
      <c r="V2073" s="198"/>
      <c r="W2073" s="198"/>
      <c r="X2073" s="198"/>
    </row>
    <row r="2074" ht="12.0" customHeight="1">
      <c r="A2074" s="222" t="str">
        <f>IF(COUNTIFS(RC_OUT[BLOCK],RC_IN[BLOCK],RC_OUT[REMARKS],"*CLOSED*")&gt;0,"CLOSED",IF(COUNTIFS(RC_OUT[BLOCK],RC_IN[BLOCK],RC_OUT[WT],"&gt;0")&gt;0,"IN-USE",""))
</f>
        <v/>
      </c>
      <c r="B2074" s="223" t="str">
        <f>IFERROR(__xludf.DUMMYFUNCTION("IFERROR(IF(F2074&lt;&gt;"""",""WHSE ""&amp;LEFT(F2074,1),REGEXEXTRACT(E2074,""-(?:\d{2}-)?([A-Z]+)"")),"""")
"),"")</f>
        <v/>
      </c>
      <c r="C2074" s="224"/>
      <c r="D2074" s="219"/>
      <c r="E2074" s="225"/>
      <c r="F2074" s="225"/>
      <c r="G2074" s="226"/>
      <c r="H2074" s="225"/>
      <c r="I2074" s="227"/>
      <c r="J2074" s="228"/>
      <c r="K2074" s="229"/>
      <c r="L2074" s="229"/>
      <c r="M2074" s="229"/>
      <c r="N2074" s="230"/>
      <c r="O2074" s="228"/>
      <c r="P2074" s="230"/>
      <c r="Q2074" s="219"/>
      <c r="R2074" s="198"/>
      <c r="S2074" s="198"/>
      <c r="T2074" s="198"/>
      <c r="U2074" s="198"/>
      <c r="V2074" s="198"/>
      <c r="W2074" s="198"/>
      <c r="X2074" s="198"/>
    </row>
    <row r="2075" ht="12.0" customHeight="1">
      <c r="A2075" s="222" t="str">
        <f>IF(COUNTIFS(RC_OUT[BLOCK],RC_IN[BLOCK],RC_OUT[REMARKS],"*CLOSED*")&gt;0,"CLOSED",IF(COUNTIFS(RC_OUT[BLOCK],RC_IN[BLOCK],RC_OUT[WT],"&gt;0")&gt;0,"IN-USE",""))
</f>
        <v/>
      </c>
      <c r="B2075" s="223" t="str">
        <f>IFERROR(__xludf.DUMMYFUNCTION("IFERROR(IF(F2075&lt;&gt;"""",""WHSE ""&amp;LEFT(F2075,1),REGEXEXTRACT(E2075,""-(?:\d{2}-)?([A-Z]+)"")),"""")
"),"")</f>
        <v/>
      </c>
      <c r="C2075" s="224"/>
      <c r="D2075" s="219"/>
      <c r="E2075" s="225"/>
      <c r="F2075" s="225"/>
      <c r="G2075" s="226"/>
      <c r="H2075" s="225"/>
      <c r="I2075" s="227"/>
      <c r="J2075" s="228"/>
      <c r="K2075" s="229"/>
      <c r="L2075" s="229"/>
      <c r="M2075" s="229"/>
      <c r="N2075" s="230"/>
      <c r="O2075" s="228"/>
      <c r="P2075" s="230"/>
      <c r="Q2075" s="219"/>
      <c r="R2075" s="198"/>
      <c r="S2075" s="198"/>
      <c r="T2075" s="198"/>
      <c r="U2075" s="198"/>
      <c r="V2075" s="198"/>
      <c r="W2075" s="198"/>
      <c r="X2075" s="198"/>
    </row>
    <row r="2076" ht="12.0" customHeight="1">
      <c r="A2076" s="222" t="str">
        <f>IF(COUNTIFS(RC_OUT[BLOCK],RC_IN[BLOCK],RC_OUT[REMARKS],"*CLOSED*")&gt;0,"CLOSED",IF(COUNTIFS(RC_OUT[BLOCK],RC_IN[BLOCK],RC_OUT[WT],"&gt;0")&gt;0,"IN-USE",""))
</f>
        <v/>
      </c>
      <c r="B2076" s="223" t="str">
        <f>IFERROR(__xludf.DUMMYFUNCTION("IFERROR(IF(F2076&lt;&gt;"""",""WHSE ""&amp;LEFT(F2076,1),REGEXEXTRACT(E2076,""-(?:\d{2}-)?([A-Z]+)"")),"""")
"),"")</f>
        <v/>
      </c>
      <c r="C2076" s="224"/>
      <c r="D2076" s="219"/>
      <c r="E2076" s="225"/>
      <c r="F2076" s="225"/>
      <c r="G2076" s="226"/>
      <c r="H2076" s="225"/>
      <c r="I2076" s="227"/>
      <c r="J2076" s="228"/>
      <c r="K2076" s="229"/>
      <c r="L2076" s="229"/>
      <c r="M2076" s="229"/>
      <c r="N2076" s="230"/>
      <c r="O2076" s="228"/>
      <c r="P2076" s="230"/>
      <c r="Q2076" s="219"/>
      <c r="R2076" s="198"/>
      <c r="S2076" s="198"/>
      <c r="T2076" s="198"/>
      <c r="U2076" s="198"/>
      <c r="V2076" s="198"/>
      <c r="W2076" s="198"/>
      <c r="X2076" s="198"/>
    </row>
    <row r="2077" ht="12.0" customHeight="1">
      <c r="A2077" s="222" t="str">
        <f>IF(COUNTIFS(RC_OUT[BLOCK],RC_IN[BLOCK],RC_OUT[REMARKS],"*CLOSED*")&gt;0,"CLOSED",IF(COUNTIFS(RC_OUT[BLOCK],RC_IN[BLOCK],RC_OUT[WT],"&gt;0")&gt;0,"IN-USE",""))
</f>
        <v/>
      </c>
      <c r="B2077" s="223" t="str">
        <f>IFERROR(__xludf.DUMMYFUNCTION("IFERROR(IF(F2077&lt;&gt;"""",""WHSE ""&amp;LEFT(F2077,1),REGEXEXTRACT(E2077,""-(?:\d{2}-)?([A-Z]+)"")),"""")
"),"")</f>
        <v/>
      </c>
      <c r="C2077" s="224"/>
      <c r="D2077" s="219"/>
      <c r="E2077" s="225"/>
      <c r="F2077" s="225"/>
      <c r="G2077" s="226"/>
      <c r="H2077" s="225"/>
      <c r="I2077" s="227"/>
      <c r="J2077" s="228"/>
      <c r="K2077" s="229"/>
      <c r="L2077" s="229"/>
      <c r="M2077" s="229"/>
      <c r="N2077" s="230"/>
      <c r="O2077" s="228"/>
      <c r="P2077" s="230"/>
      <c r="Q2077" s="219"/>
      <c r="R2077" s="198"/>
      <c r="S2077" s="198"/>
      <c r="T2077" s="198"/>
      <c r="U2077" s="198"/>
      <c r="V2077" s="198"/>
      <c r="W2077" s="198"/>
      <c r="X2077" s="198"/>
    </row>
    <row r="2078" ht="12.0" customHeight="1">
      <c r="A2078" s="222" t="str">
        <f>IF(COUNTIFS(RC_OUT[BLOCK],RC_IN[BLOCK],RC_OUT[REMARKS],"*CLOSED*")&gt;0,"CLOSED",IF(COUNTIFS(RC_OUT[BLOCK],RC_IN[BLOCK],RC_OUT[WT],"&gt;0")&gt;0,"IN-USE",""))
</f>
        <v/>
      </c>
      <c r="B2078" s="223" t="str">
        <f>IFERROR(__xludf.DUMMYFUNCTION("IFERROR(IF(F2078&lt;&gt;"""",""WHSE ""&amp;LEFT(F2078,1),REGEXEXTRACT(E2078,""-(?:\d{2}-)?([A-Z]+)"")),"""")
"),"")</f>
        <v/>
      </c>
      <c r="C2078" s="224"/>
      <c r="D2078" s="219"/>
      <c r="E2078" s="225"/>
      <c r="F2078" s="225"/>
      <c r="G2078" s="226"/>
      <c r="H2078" s="225"/>
      <c r="I2078" s="227"/>
      <c r="J2078" s="228"/>
      <c r="K2078" s="229"/>
      <c r="L2078" s="229"/>
      <c r="M2078" s="229"/>
      <c r="N2078" s="230"/>
      <c r="O2078" s="228"/>
      <c r="P2078" s="230"/>
      <c r="Q2078" s="219"/>
      <c r="R2078" s="198"/>
      <c r="S2078" s="198"/>
      <c r="T2078" s="198"/>
      <c r="U2078" s="198"/>
      <c r="V2078" s="198"/>
      <c r="W2078" s="198"/>
      <c r="X2078" s="198"/>
    </row>
    <row r="2079" ht="12.0" customHeight="1">
      <c r="A2079" s="222" t="str">
        <f>IF(COUNTIFS(RC_OUT[BLOCK],RC_IN[BLOCK],RC_OUT[REMARKS],"*CLOSED*")&gt;0,"CLOSED",IF(COUNTIFS(RC_OUT[BLOCK],RC_IN[BLOCK],RC_OUT[WT],"&gt;0")&gt;0,"IN-USE",""))
</f>
        <v/>
      </c>
      <c r="B2079" s="223" t="str">
        <f>IFERROR(__xludf.DUMMYFUNCTION("IFERROR(IF(F2079&lt;&gt;"""",""WHSE ""&amp;LEFT(F2079,1),REGEXEXTRACT(E2079,""-(?:\d{2}-)?([A-Z]+)"")),"""")
"),"")</f>
        <v/>
      </c>
      <c r="C2079" s="224"/>
      <c r="D2079" s="219"/>
      <c r="E2079" s="225"/>
      <c r="F2079" s="225"/>
      <c r="G2079" s="226"/>
      <c r="H2079" s="225"/>
      <c r="I2079" s="227"/>
      <c r="J2079" s="228"/>
      <c r="K2079" s="229"/>
      <c r="L2079" s="229"/>
      <c r="M2079" s="229"/>
      <c r="N2079" s="230"/>
      <c r="O2079" s="228"/>
      <c r="P2079" s="230"/>
      <c r="Q2079" s="219"/>
      <c r="R2079" s="198"/>
      <c r="S2079" s="198"/>
      <c r="T2079" s="198"/>
      <c r="U2079" s="198"/>
      <c r="V2079" s="198"/>
      <c r="W2079" s="198"/>
      <c r="X2079" s="198"/>
    </row>
    <row r="2080" ht="12.0" customHeight="1">
      <c r="A2080" s="222" t="str">
        <f>IF(COUNTIFS(RC_OUT[BLOCK],RC_IN[BLOCK],RC_OUT[REMARKS],"*CLOSED*")&gt;0,"CLOSED",IF(COUNTIFS(RC_OUT[BLOCK],RC_IN[BLOCK],RC_OUT[WT],"&gt;0")&gt;0,"IN-USE",""))
</f>
        <v/>
      </c>
      <c r="B2080" s="223" t="str">
        <f>IFERROR(__xludf.DUMMYFUNCTION("IFERROR(IF(F2080&lt;&gt;"""",""WHSE ""&amp;LEFT(F2080,1),REGEXEXTRACT(E2080,""-(?:\d{2}-)?([A-Z]+)"")),"""")
"),"")</f>
        <v/>
      </c>
      <c r="C2080" s="224"/>
      <c r="D2080" s="219"/>
      <c r="E2080" s="225"/>
      <c r="F2080" s="225"/>
      <c r="G2080" s="226"/>
      <c r="H2080" s="225"/>
      <c r="I2080" s="227"/>
      <c r="J2080" s="228"/>
      <c r="K2080" s="229"/>
      <c r="L2080" s="229"/>
      <c r="M2080" s="229"/>
      <c r="N2080" s="230"/>
      <c r="O2080" s="228"/>
      <c r="P2080" s="230"/>
      <c r="Q2080" s="219"/>
      <c r="R2080" s="198"/>
      <c r="S2080" s="198"/>
      <c r="T2080" s="198"/>
      <c r="U2080" s="198"/>
      <c r="V2080" s="198"/>
      <c r="W2080" s="198"/>
      <c r="X2080" s="198"/>
    </row>
    <row r="2081" ht="12.0" customHeight="1">
      <c r="A2081" s="222" t="str">
        <f>IF(COUNTIFS(RC_OUT[BLOCK],RC_IN[BLOCK],RC_OUT[REMARKS],"*CLOSED*")&gt;0,"CLOSED",IF(COUNTIFS(RC_OUT[BLOCK],RC_IN[BLOCK],RC_OUT[WT],"&gt;0")&gt;0,"IN-USE",""))
</f>
        <v/>
      </c>
      <c r="B2081" s="223" t="str">
        <f>IFERROR(__xludf.DUMMYFUNCTION("IFERROR(IF(F2081&lt;&gt;"""",""WHSE ""&amp;LEFT(F2081,1),REGEXEXTRACT(E2081,""-(?:\d{2}-)?([A-Z]+)"")),"""")
"),"")</f>
        <v/>
      </c>
      <c r="C2081" s="224"/>
      <c r="D2081" s="219"/>
      <c r="E2081" s="225"/>
      <c r="F2081" s="225"/>
      <c r="G2081" s="226"/>
      <c r="H2081" s="225"/>
      <c r="I2081" s="227"/>
      <c r="J2081" s="228"/>
      <c r="K2081" s="229"/>
      <c r="L2081" s="229"/>
      <c r="M2081" s="229"/>
      <c r="N2081" s="230"/>
      <c r="O2081" s="228"/>
      <c r="P2081" s="230"/>
      <c r="Q2081" s="219"/>
      <c r="R2081" s="198"/>
      <c r="S2081" s="198"/>
      <c r="T2081" s="198"/>
      <c r="U2081" s="198"/>
      <c r="V2081" s="198"/>
      <c r="W2081" s="198"/>
      <c r="X2081" s="198"/>
    </row>
    <row r="2082" ht="12.0" customHeight="1">
      <c r="A2082" s="222" t="str">
        <f>IF(COUNTIFS(RC_OUT[BLOCK],RC_IN[BLOCK],RC_OUT[REMARKS],"*CLOSED*")&gt;0,"CLOSED",IF(COUNTIFS(RC_OUT[BLOCK],RC_IN[BLOCK],RC_OUT[WT],"&gt;0")&gt;0,"IN-USE",""))
</f>
        <v/>
      </c>
      <c r="B2082" s="223" t="str">
        <f>IFERROR(__xludf.DUMMYFUNCTION("IFERROR(IF(F2082&lt;&gt;"""",""WHSE ""&amp;LEFT(F2082,1),REGEXEXTRACT(E2082,""-(?:\d{2}-)?([A-Z]+)"")),"""")
"),"")</f>
        <v/>
      </c>
      <c r="C2082" s="224"/>
      <c r="D2082" s="219"/>
      <c r="E2082" s="225"/>
      <c r="F2082" s="225"/>
      <c r="G2082" s="226"/>
      <c r="H2082" s="225"/>
      <c r="I2082" s="227"/>
      <c r="J2082" s="228"/>
      <c r="K2082" s="229"/>
      <c r="L2082" s="229"/>
      <c r="M2082" s="229"/>
      <c r="N2082" s="230"/>
      <c r="O2082" s="228"/>
      <c r="P2082" s="230"/>
      <c r="Q2082" s="219"/>
      <c r="R2082" s="198"/>
      <c r="S2082" s="198"/>
      <c r="T2082" s="198"/>
      <c r="U2082" s="198"/>
      <c r="V2082" s="198"/>
      <c r="W2082" s="198"/>
      <c r="X2082" s="198"/>
    </row>
    <row r="2083" ht="12.0" customHeight="1">
      <c r="A2083" s="222" t="str">
        <f>IF(COUNTIFS(RC_OUT[BLOCK],RC_IN[BLOCK],RC_OUT[REMARKS],"*CLOSED*")&gt;0,"CLOSED",IF(COUNTIFS(RC_OUT[BLOCK],RC_IN[BLOCK],RC_OUT[WT],"&gt;0")&gt;0,"IN-USE",""))
</f>
        <v/>
      </c>
      <c r="B2083" s="223" t="str">
        <f>IFERROR(__xludf.DUMMYFUNCTION("IFERROR(IF(F2083&lt;&gt;"""",""WHSE ""&amp;LEFT(F2083,1),REGEXEXTRACT(E2083,""-(?:\d{2}-)?([A-Z]+)"")),"""")
"),"")</f>
        <v/>
      </c>
      <c r="C2083" s="224"/>
      <c r="D2083" s="219"/>
      <c r="E2083" s="225"/>
      <c r="F2083" s="225"/>
      <c r="G2083" s="226"/>
      <c r="H2083" s="225"/>
      <c r="I2083" s="227"/>
      <c r="J2083" s="228"/>
      <c r="K2083" s="229"/>
      <c r="L2083" s="229"/>
      <c r="M2083" s="229"/>
      <c r="N2083" s="230"/>
      <c r="O2083" s="228"/>
      <c r="P2083" s="230"/>
      <c r="Q2083" s="219"/>
      <c r="R2083" s="198"/>
      <c r="S2083" s="198"/>
      <c r="T2083" s="198"/>
      <c r="U2083" s="198"/>
      <c r="V2083" s="198"/>
      <c r="W2083" s="198"/>
      <c r="X2083" s="198"/>
    </row>
    <row r="2084" ht="12.0" customHeight="1">
      <c r="A2084" s="222" t="str">
        <f>IF(COUNTIFS(RC_OUT[BLOCK],RC_IN[BLOCK],RC_OUT[REMARKS],"*CLOSED*")&gt;0,"CLOSED",IF(COUNTIFS(RC_OUT[BLOCK],RC_IN[BLOCK],RC_OUT[WT],"&gt;0")&gt;0,"IN-USE",""))
</f>
        <v/>
      </c>
      <c r="B2084" s="223" t="str">
        <f>IFERROR(__xludf.DUMMYFUNCTION("IFERROR(IF(F2084&lt;&gt;"""",""WHSE ""&amp;LEFT(F2084,1),REGEXEXTRACT(E2084,""-(?:\d{2}-)?([A-Z]+)"")),"""")
"),"")</f>
        <v/>
      </c>
      <c r="C2084" s="224"/>
      <c r="D2084" s="219"/>
      <c r="E2084" s="225"/>
      <c r="F2084" s="225"/>
      <c r="G2084" s="226"/>
      <c r="H2084" s="225"/>
      <c r="I2084" s="227"/>
      <c r="J2084" s="228"/>
      <c r="K2084" s="229"/>
      <c r="L2084" s="229"/>
      <c r="M2084" s="229"/>
      <c r="N2084" s="230"/>
      <c r="O2084" s="228"/>
      <c r="P2084" s="230"/>
      <c r="Q2084" s="219"/>
      <c r="R2084" s="198"/>
      <c r="S2084" s="198"/>
      <c r="T2084" s="198"/>
      <c r="U2084" s="198"/>
      <c r="V2084" s="198"/>
      <c r="W2084" s="198"/>
      <c r="X2084" s="198"/>
    </row>
    <row r="2085" ht="12.0" customHeight="1">
      <c r="A2085" s="222" t="str">
        <f>IF(COUNTIFS(RC_OUT[BLOCK],RC_IN[BLOCK],RC_OUT[REMARKS],"*CLOSED*")&gt;0,"CLOSED",IF(COUNTIFS(RC_OUT[BLOCK],RC_IN[BLOCK],RC_OUT[WT],"&gt;0")&gt;0,"IN-USE",""))
</f>
        <v/>
      </c>
      <c r="B2085" s="223" t="str">
        <f>IFERROR(__xludf.DUMMYFUNCTION("IFERROR(IF(F2085&lt;&gt;"""",""WHSE ""&amp;LEFT(F2085,1),REGEXEXTRACT(E2085,""-(?:\d{2}-)?([A-Z]+)"")),"""")
"),"")</f>
        <v/>
      </c>
      <c r="C2085" s="224"/>
      <c r="D2085" s="219"/>
      <c r="E2085" s="225"/>
      <c r="F2085" s="225"/>
      <c r="G2085" s="226"/>
      <c r="H2085" s="225"/>
      <c r="I2085" s="227"/>
      <c r="J2085" s="228"/>
      <c r="K2085" s="229"/>
      <c r="L2085" s="229"/>
      <c r="M2085" s="229"/>
      <c r="N2085" s="230"/>
      <c r="O2085" s="228"/>
      <c r="P2085" s="230"/>
      <c r="Q2085" s="219"/>
      <c r="R2085" s="198"/>
      <c r="S2085" s="198"/>
      <c r="T2085" s="198"/>
      <c r="U2085" s="198"/>
      <c r="V2085" s="198"/>
      <c r="W2085" s="198"/>
      <c r="X2085" s="198"/>
    </row>
    <row r="2086" ht="12.0" customHeight="1">
      <c r="A2086" s="222" t="str">
        <f>IF(COUNTIFS(RC_OUT[BLOCK],RC_IN[BLOCK],RC_OUT[REMARKS],"*CLOSED*")&gt;0,"CLOSED",IF(COUNTIFS(RC_OUT[BLOCK],RC_IN[BLOCK],RC_OUT[WT],"&gt;0")&gt;0,"IN-USE",""))
</f>
        <v/>
      </c>
      <c r="B2086" s="223" t="str">
        <f>IFERROR(__xludf.DUMMYFUNCTION("IFERROR(IF(F2086&lt;&gt;"""",""WHSE ""&amp;LEFT(F2086,1),REGEXEXTRACT(E2086,""-(?:\d{2}-)?([A-Z]+)"")),"""")
"),"")</f>
        <v/>
      </c>
      <c r="C2086" s="224"/>
      <c r="D2086" s="219"/>
      <c r="E2086" s="225"/>
      <c r="F2086" s="225"/>
      <c r="G2086" s="226"/>
      <c r="H2086" s="225"/>
      <c r="I2086" s="227"/>
      <c r="J2086" s="228"/>
      <c r="K2086" s="229"/>
      <c r="L2086" s="229"/>
      <c r="M2086" s="229"/>
      <c r="N2086" s="230"/>
      <c r="O2086" s="228"/>
      <c r="P2086" s="230"/>
      <c r="Q2086" s="219"/>
      <c r="R2086" s="198"/>
      <c r="S2086" s="198"/>
      <c r="T2086" s="198"/>
      <c r="U2086" s="198"/>
      <c r="V2086" s="198"/>
      <c r="W2086" s="198"/>
      <c r="X2086" s="198"/>
    </row>
    <row r="2087" ht="12.0" customHeight="1">
      <c r="A2087" s="222" t="str">
        <f>IF(COUNTIFS(RC_OUT[BLOCK],RC_IN[BLOCK],RC_OUT[REMARKS],"*CLOSED*")&gt;0,"CLOSED",IF(COUNTIFS(RC_OUT[BLOCK],RC_IN[BLOCK],RC_OUT[WT],"&gt;0")&gt;0,"IN-USE",""))
</f>
        <v/>
      </c>
      <c r="B2087" s="223" t="str">
        <f>IFERROR(__xludf.DUMMYFUNCTION("IFERROR(IF(F2087&lt;&gt;"""",""WHSE ""&amp;LEFT(F2087,1),REGEXEXTRACT(E2087,""-(?:\d{2}-)?([A-Z]+)"")),"""")
"),"")</f>
        <v/>
      </c>
      <c r="C2087" s="224"/>
      <c r="D2087" s="219"/>
      <c r="E2087" s="225"/>
      <c r="F2087" s="225"/>
      <c r="G2087" s="226"/>
      <c r="H2087" s="225"/>
      <c r="I2087" s="227"/>
      <c r="J2087" s="228"/>
      <c r="K2087" s="229"/>
      <c r="L2087" s="229"/>
      <c r="M2087" s="229"/>
      <c r="N2087" s="230"/>
      <c r="O2087" s="228"/>
      <c r="P2087" s="230"/>
      <c r="Q2087" s="219"/>
      <c r="R2087" s="198"/>
      <c r="S2087" s="198"/>
      <c r="T2087" s="198"/>
      <c r="U2087" s="198"/>
      <c r="V2087" s="198"/>
      <c r="W2087" s="198"/>
      <c r="X2087" s="198"/>
    </row>
    <row r="2088" ht="12.0" customHeight="1">
      <c r="A2088" s="222" t="str">
        <f>IF(COUNTIFS(RC_OUT[BLOCK],RC_IN[BLOCK],RC_OUT[REMARKS],"*CLOSED*")&gt;0,"CLOSED",IF(COUNTIFS(RC_OUT[BLOCK],RC_IN[BLOCK],RC_OUT[WT],"&gt;0")&gt;0,"IN-USE",""))
</f>
        <v/>
      </c>
      <c r="B2088" s="223" t="str">
        <f>IFERROR(__xludf.DUMMYFUNCTION("IFERROR(IF(F2088&lt;&gt;"""",""WHSE ""&amp;LEFT(F2088,1),REGEXEXTRACT(E2088,""-(?:\d{2}-)?([A-Z]+)"")),"""")
"),"")</f>
        <v/>
      </c>
      <c r="C2088" s="224"/>
      <c r="D2088" s="219"/>
      <c r="E2088" s="225"/>
      <c r="F2088" s="225"/>
      <c r="G2088" s="226"/>
      <c r="H2088" s="225"/>
      <c r="I2088" s="227"/>
      <c r="J2088" s="228"/>
      <c r="K2088" s="229"/>
      <c r="L2088" s="229"/>
      <c r="M2088" s="229"/>
      <c r="N2088" s="230"/>
      <c r="O2088" s="228"/>
      <c r="P2088" s="230"/>
      <c r="Q2088" s="219"/>
      <c r="R2088" s="198"/>
      <c r="S2088" s="198"/>
      <c r="T2088" s="198"/>
      <c r="U2088" s="198"/>
      <c r="V2088" s="198"/>
      <c r="W2088" s="198"/>
      <c r="X2088" s="198"/>
    </row>
    <row r="2089" ht="12.0" customHeight="1">
      <c r="A2089" s="222" t="str">
        <f>IF(COUNTIFS(RC_OUT[BLOCK],RC_IN[BLOCK],RC_OUT[REMARKS],"*CLOSED*")&gt;0,"CLOSED",IF(COUNTIFS(RC_OUT[BLOCK],RC_IN[BLOCK],RC_OUT[WT],"&gt;0")&gt;0,"IN-USE",""))
</f>
        <v/>
      </c>
      <c r="B2089" s="223" t="str">
        <f>IFERROR(__xludf.DUMMYFUNCTION("IFERROR(IF(F2089&lt;&gt;"""",""WHSE ""&amp;LEFT(F2089,1),REGEXEXTRACT(E2089,""-(?:\d{2}-)?([A-Z]+)"")),"""")
"),"")</f>
        <v/>
      </c>
      <c r="C2089" s="224"/>
      <c r="D2089" s="219"/>
      <c r="E2089" s="225"/>
      <c r="F2089" s="225"/>
      <c r="G2089" s="226"/>
      <c r="H2089" s="225"/>
      <c r="I2089" s="227"/>
      <c r="J2089" s="228"/>
      <c r="K2089" s="229"/>
      <c r="L2089" s="229"/>
      <c r="M2089" s="229"/>
      <c r="N2089" s="230"/>
      <c r="O2089" s="228"/>
      <c r="P2089" s="230"/>
      <c r="Q2089" s="219"/>
      <c r="R2089" s="198"/>
      <c r="S2089" s="198"/>
      <c r="T2089" s="198"/>
      <c r="U2089" s="198"/>
      <c r="V2089" s="198"/>
      <c r="W2089" s="198"/>
      <c r="X2089" s="198"/>
    </row>
    <row r="2090" ht="12.0" customHeight="1">
      <c r="A2090" s="222" t="str">
        <f>IF(COUNTIFS(RC_OUT[BLOCK],RC_IN[BLOCK],RC_OUT[REMARKS],"*CLOSED*")&gt;0,"CLOSED",IF(COUNTIFS(RC_OUT[BLOCK],RC_IN[BLOCK],RC_OUT[WT],"&gt;0")&gt;0,"IN-USE",""))
</f>
        <v/>
      </c>
      <c r="B2090" s="223" t="str">
        <f>IFERROR(__xludf.DUMMYFUNCTION("IFERROR(IF(F2090&lt;&gt;"""",""WHSE ""&amp;LEFT(F2090,1),REGEXEXTRACT(E2090,""-(?:\d{2}-)?([A-Z]+)"")),"""")
"),"")</f>
        <v/>
      </c>
      <c r="C2090" s="224"/>
      <c r="D2090" s="219"/>
      <c r="E2090" s="225"/>
      <c r="F2090" s="225"/>
      <c r="G2090" s="226"/>
      <c r="H2090" s="225"/>
      <c r="I2090" s="227"/>
      <c r="J2090" s="228"/>
      <c r="K2090" s="229"/>
      <c r="L2090" s="229"/>
      <c r="M2090" s="229"/>
      <c r="N2090" s="230"/>
      <c r="O2090" s="228"/>
      <c r="P2090" s="230"/>
      <c r="Q2090" s="219"/>
      <c r="R2090" s="198"/>
      <c r="S2090" s="198"/>
      <c r="T2090" s="198"/>
      <c r="U2090" s="198"/>
      <c r="V2090" s="198"/>
      <c r="W2090" s="198"/>
      <c r="X2090" s="198"/>
    </row>
    <row r="2091" ht="12.0" customHeight="1">
      <c r="A2091" s="222" t="str">
        <f>IF(COUNTIFS(RC_OUT[BLOCK],RC_IN[BLOCK],RC_OUT[REMARKS],"*CLOSED*")&gt;0,"CLOSED",IF(COUNTIFS(RC_OUT[BLOCK],RC_IN[BLOCK],RC_OUT[WT],"&gt;0")&gt;0,"IN-USE",""))
</f>
        <v/>
      </c>
      <c r="B2091" s="223" t="str">
        <f>IFERROR(__xludf.DUMMYFUNCTION("IFERROR(IF(F2091&lt;&gt;"""",""WHSE ""&amp;LEFT(F2091,1),REGEXEXTRACT(E2091,""-(?:\d{2}-)?([A-Z]+)"")),"""")
"),"")</f>
        <v/>
      </c>
      <c r="C2091" s="224"/>
      <c r="D2091" s="219"/>
      <c r="E2091" s="225"/>
      <c r="F2091" s="225"/>
      <c r="G2091" s="226"/>
      <c r="H2091" s="225"/>
      <c r="I2091" s="227"/>
      <c r="J2091" s="228"/>
      <c r="K2091" s="229"/>
      <c r="L2091" s="229"/>
      <c r="M2091" s="229"/>
      <c r="N2091" s="230"/>
      <c r="O2091" s="228"/>
      <c r="P2091" s="230"/>
      <c r="Q2091" s="219"/>
      <c r="R2091" s="198"/>
      <c r="S2091" s="198"/>
      <c r="T2091" s="198"/>
      <c r="U2091" s="198"/>
      <c r="V2091" s="198"/>
      <c r="W2091" s="198"/>
      <c r="X2091" s="198"/>
    </row>
    <row r="2092" ht="12.0" customHeight="1">
      <c r="A2092" s="222" t="str">
        <f>IF(COUNTIFS(RC_OUT[BLOCK],RC_IN[BLOCK],RC_OUT[REMARKS],"*CLOSED*")&gt;0,"CLOSED",IF(COUNTIFS(RC_OUT[BLOCK],RC_IN[BLOCK],RC_OUT[WT],"&gt;0")&gt;0,"IN-USE",""))
</f>
        <v/>
      </c>
      <c r="B2092" s="223" t="str">
        <f>IFERROR(__xludf.DUMMYFUNCTION("IFERROR(IF(F2092&lt;&gt;"""",""WHSE ""&amp;LEFT(F2092,1),REGEXEXTRACT(E2092,""-(?:\d{2}-)?([A-Z]+)"")),"""")
"),"")</f>
        <v/>
      </c>
      <c r="C2092" s="224"/>
      <c r="D2092" s="219"/>
      <c r="E2092" s="225"/>
      <c r="F2092" s="225"/>
      <c r="G2092" s="226"/>
      <c r="H2092" s="225"/>
      <c r="I2092" s="227"/>
      <c r="J2092" s="228"/>
      <c r="K2092" s="229"/>
      <c r="L2092" s="229"/>
      <c r="M2092" s="229"/>
      <c r="N2092" s="230"/>
      <c r="O2092" s="228"/>
      <c r="P2092" s="230"/>
      <c r="Q2092" s="219"/>
      <c r="R2092" s="198"/>
      <c r="S2092" s="198"/>
      <c r="T2092" s="198"/>
      <c r="U2092" s="198"/>
      <c r="V2092" s="198"/>
      <c r="W2092" s="198"/>
      <c r="X2092" s="198"/>
    </row>
    <row r="2093" ht="12.0" customHeight="1">
      <c r="A2093" s="222" t="str">
        <f>IF(COUNTIFS(RC_OUT[BLOCK],RC_IN[BLOCK],RC_OUT[REMARKS],"*CLOSED*")&gt;0,"CLOSED",IF(COUNTIFS(RC_OUT[BLOCK],RC_IN[BLOCK],RC_OUT[WT],"&gt;0")&gt;0,"IN-USE",""))
</f>
        <v/>
      </c>
      <c r="B2093" s="223" t="str">
        <f>IFERROR(__xludf.DUMMYFUNCTION("IFERROR(IF(F2093&lt;&gt;"""",""WHSE ""&amp;LEFT(F2093,1),REGEXEXTRACT(E2093,""-(?:\d{2}-)?([A-Z]+)"")),"""")
"),"")</f>
        <v/>
      </c>
      <c r="C2093" s="224"/>
      <c r="D2093" s="219"/>
      <c r="E2093" s="225"/>
      <c r="F2093" s="225"/>
      <c r="G2093" s="226"/>
      <c r="H2093" s="225"/>
      <c r="I2093" s="227"/>
      <c r="J2093" s="228"/>
      <c r="K2093" s="229"/>
      <c r="L2093" s="229"/>
      <c r="M2093" s="229"/>
      <c r="N2093" s="230"/>
      <c r="O2093" s="228"/>
      <c r="P2093" s="230"/>
      <c r="Q2093" s="219"/>
      <c r="R2093" s="198"/>
      <c r="S2093" s="198"/>
      <c r="T2093" s="198"/>
      <c r="U2093" s="198"/>
      <c r="V2093" s="198"/>
      <c r="W2093" s="198"/>
      <c r="X2093" s="198"/>
    </row>
    <row r="2094" ht="12.0" customHeight="1">
      <c r="A2094" s="222" t="str">
        <f>IF(COUNTIFS(RC_OUT[BLOCK],RC_IN[BLOCK],RC_OUT[REMARKS],"*CLOSED*")&gt;0,"CLOSED",IF(COUNTIFS(RC_OUT[BLOCK],RC_IN[BLOCK],RC_OUT[WT],"&gt;0")&gt;0,"IN-USE",""))
</f>
        <v/>
      </c>
      <c r="B2094" s="223" t="str">
        <f>IFERROR(__xludf.DUMMYFUNCTION("IFERROR(IF(F2094&lt;&gt;"""",""WHSE ""&amp;LEFT(F2094,1),REGEXEXTRACT(E2094,""-(?:\d{2}-)?([A-Z]+)"")),"""")
"),"")</f>
        <v/>
      </c>
      <c r="C2094" s="224"/>
      <c r="D2094" s="219"/>
      <c r="E2094" s="225"/>
      <c r="F2094" s="225"/>
      <c r="G2094" s="226"/>
      <c r="H2094" s="225"/>
      <c r="I2094" s="227"/>
      <c r="J2094" s="228"/>
      <c r="K2094" s="229"/>
      <c r="L2094" s="229"/>
      <c r="M2094" s="229"/>
      <c r="N2094" s="230"/>
      <c r="O2094" s="228"/>
      <c r="P2094" s="230"/>
      <c r="Q2094" s="219"/>
      <c r="R2094" s="198"/>
      <c r="S2094" s="198"/>
      <c r="T2094" s="198"/>
      <c r="U2094" s="198"/>
      <c r="V2094" s="198"/>
      <c r="W2094" s="198"/>
      <c r="X2094" s="198"/>
    </row>
    <row r="2095" ht="12.0" customHeight="1">
      <c r="A2095" s="222" t="str">
        <f>IF(COUNTIFS(RC_OUT[BLOCK],RC_IN[BLOCK],RC_OUT[REMARKS],"*CLOSED*")&gt;0,"CLOSED",IF(COUNTIFS(RC_OUT[BLOCK],RC_IN[BLOCK],RC_OUT[WT],"&gt;0")&gt;0,"IN-USE",""))
</f>
        <v/>
      </c>
      <c r="B2095" s="223" t="str">
        <f>IFERROR(__xludf.DUMMYFUNCTION("IFERROR(IF(F2095&lt;&gt;"""",""WHSE ""&amp;LEFT(F2095,1),REGEXEXTRACT(E2095,""-(?:\d{2}-)?([A-Z]+)"")),"""")
"),"")</f>
        <v/>
      </c>
      <c r="C2095" s="224"/>
      <c r="D2095" s="219"/>
      <c r="E2095" s="225"/>
      <c r="F2095" s="225"/>
      <c r="G2095" s="226"/>
      <c r="H2095" s="225"/>
      <c r="I2095" s="227"/>
      <c r="J2095" s="228"/>
      <c r="K2095" s="229"/>
      <c r="L2095" s="229"/>
      <c r="M2095" s="229"/>
      <c r="N2095" s="230"/>
      <c r="O2095" s="228"/>
      <c r="P2095" s="230"/>
      <c r="Q2095" s="219"/>
      <c r="R2095" s="198"/>
      <c r="S2095" s="198"/>
      <c r="T2095" s="198"/>
      <c r="U2095" s="198"/>
      <c r="V2095" s="198"/>
      <c r="W2095" s="198"/>
      <c r="X2095" s="198"/>
    </row>
    <row r="2096" ht="12.0" customHeight="1">
      <c r="A2096" s="222" t="str">
        <f>IF(COUNTIFS(RC_OUT[BLOCK],RC_IN[BLOCK],RC_OUT[REMARKS],"*CLOSED*")&gt;0,"CLOSED",IF(COUNTIFS(RC_OUT[BLOCK],RC_IN[BLOCK],RC_OUT[WT],"&gt;0")&gt;0,"IN-USE",""))
</f>
        <v/>
      </c>
      <c r="B2096" s="223" t="str">
        <f>IFERROR(__xludf.DUMMYFUNCTION("IFERROR(IF(F2096&lt;&gt;"""",""WHSE ""&amp;LEFT(F2096,1),REGEXEXTRACT(E2096,""-(?:\d{2}-)?([A-Z]+)"")),"""")
"),"")</f>
        <v/>
      </c>
      <c r="C2096" s="224"/>
      <c r="D2096" s="219"/>
      <c r="E2096" s="225"/>
      <c r="F2096" s="225"/>
      <c r="G2096" s="226"/>
      <c r="H2096" s="225"/>
      <c r="I2096" s="227"/>
      <c r="J2096" s="228"/>
      <c r="K2096" s="229"/>
      <c r="L2096" s="229"/>
      <c r="M2096" s="229"/>
      <c r="N2096" s="230"/>
      <c r="O2096" s="228"/>
      <c r="P2096" s="230"/>
      <c r="Q2096" s="219"/>
      <c r="R2096" s="198"/>
      <c r="S2096" s="198"/>
      <c r="T2096" s="198"/>
      <c r="U2096" s="198"/>
      <c r="V2096" s="198"/>
      <c r="W2096" s="198"/>
      <c r="X2096" s="198"/>
    </row>
    <row r="2097" ht="12.0" customHeight="1">
      <c r="A2097" s="222" t="str">
        <f>IF(COUNTIFS(RC_OUT[BLOCK],RC_IN[BLOCK],RC_OUT[REMARKS],"*CLOSED*")&gt;0,"CLOSED",IF(COUNTIFS(RC_OUT[BLOCK],RC_IN[BLOCK],RC_OUT[WT],"&gt;0")&gt;0,"IN-USE",""))
</f>
        <v/>
      </c>
      <c r="B2097" s="223" t="str">
        <f>IFERROR(__xludf.DUMMYFUNCTION("IFERROR(IF(F2097&lt;&gt;"""",""WHSE ""&amp;LEFT(F2097,1),REGEXEXTRACT(E2097,""-(?:\d{2}-)?([A-Z]+)"")),"""")
"),"")</f>
        <v/>
      </c>
      <c r="C2097" s="224"/>
      <c r="D2097" s="219"/>
      <c r="E2097" s="225"/>
      <c r="F2097" s="225"/>
      <c r="G2097" s="226"/>
      <c r="H2097" s="225"/>
      <c r="I2097" s="227"/>
      <c r="J2097" s="228"/>
      <c r="K2097" s="229"/>
      <c r="L2097" s="229"/>
      <c r="M2097" s="229"/>
      <c r="N2097" s="230"/>
      <c r="O2097" s="228"/>
      <c r="P2097" s="230"/>
      <c r="Q2097" s="219"/>
      <c r="R2097" s="198"/>
      <c r="S2097" s="198"/>
      <c r="T2097" s="198"/>
      <c r="U2097" s="198"/>
      <c r="V2097" s="198"/>
      <c r="W2097" s="198"/>
      <c r="X2097" s="198"/>
    </row>
    <row r="2098" ht="12.0" customHeight="1">
      <c r="A2098" s="222" t="str">
        <f>IF(COUNTIFS(RC_OUT[BLOCK],RC_IN[BLOCK],RC_OUT[REMARKS],"*CLOSED*")&gt;0,"CLOSED",IF(COUNTIFS(RC_OUT[BLOCK],RC_IN[BLOCK],RC_OUT[WT],"&gt;0")&gt;0,"IN-USE",""))
</f>
        <v/>
      </c>
      <c r="B2098" s="223" t="str">
        <f>IFERROR(__xludf.DUMMYFUNCTION("IFERROR(IF(F2098&lt;&gt;"""",""WHSE ""&amp;LEFT(F2098,1),REGEXEXTRACT(E2098,""-(?:\d{2}-)?([A-Z]+)"")),"""")
"),"")</f>
        <v/>
      </c>
      <c r="C2098" s="224"/>
      <c r="D2098" s="219"/>
      <c r="E2098" s="225"/>
      <c r="F2098" s="225"/>
      <c r="G2098" s="226"/>
      <c r="H2098" s="225"/>
      <c r="I2098" s="227"/>
      <c r="J2098" s="228"/>
      <c r="K2098" s="229"/>
      <c r="L2098" s="229"/>
      <c r="M2098" s="229"/>
      <c r="N2098" s="230"/>
      <c r="O2098" s="228"/>
      <c r="P2098" s="230"/>
      <c r="Q2098" s="219"/>
      <c r="R2098" s="198"/>
      <c r="S2098" s="198"/>
      <c r="T2098" s="198"/>
      <c r="U2098" s="198"/>
      <c r="V2098" s="198"/>
      <c r="W2098" s="198"/>
      <c r="X2098" s="198"/>
    </row>
    <row r="2099" ht="12.0" customHeight="1">
      <c r="A2099" s="222" t="str">
        <f>IF(COUNTIFS(RC_OUT[BLOCK],RC_IN[BLOCK],RC_OUT[REMARKS],"*CLOSED*")&gt;0,"CLOSED",IF(COUNTIFS(RC_OUT[BLOCK],RC_IN[BLOCK],RC_OUT[WT],"&gt;0")&gt;0,"IN-USE",""))
</f>
        <v/>
      </c>
      <c r="B2099" s="223" t="str">
        <f>IFERROR(__xludf.DUMMYFUNCTION("IFERROR(IF(F2099&lt;&gt;"""",""WHSE ""&amp;LEFT(F2099,1),REGEXEXTRACT(E2099,""-(?:\d{2}-)?([A-Z]+)"")),"""")
"),"")</f>
        <v/>
      </c>
      <c r="C2099" s="224"/>
      <c r="D2099" s="219"/>
      <c r="E2099" s="225"/>
      <c r="F2099" s="225"/>
      <c r="G2099" s="226"/>
      <c r="H2099" s="225"/>
      <c r="I2099" s="227"/>
      <c r="J2099" s="228"/>
      <c r="K2099" s="229"/>
      <c r="L2099" s="229"/>
      <c r="M2099" s="229"/>
      <c r="N2099" s="230"/>
      <c r="O2099" s="228"/>
      <c r="P2099" s="230"/>
      <c r="Q2099" s="219"/>
      <c r="R2099" s="198"/>
      <c r="S2099" s="198"/>
      <c r="T2099" s="198"/>
      <c r="U2099" s="198"/>
      <c r="V2099" s="198"/>
      <c r="W2099" s="198"/>
      <c r="X2099" s="198"/>
    </row>
    <row r="2100" ht="12.0" customHeight="1">
      <c r="A2100" s="222" t="str">
        <f>IF(COUNTIFS(RC_OUT[BLOCK],RC_IN[BLOCK],RC_OUT[REMARKS],"*CLOSED*")&gt;0,"CLOSED",IF(COUNTIFS(RC_OUT[BLOCK],RC_IN[BLOCK],RC_OUT[WT],"&gt;0")&gt;0,"IN-USE",""))
</f>
        <v/>
      </c>
      <c r="B2100" s="223" t="str">
        <f>IFERROR(__xludf.DUMMYFUNCTION("IFERROR(IF(F2100&lt;&gt;"""",""WHSE ""&amp;LEFT(F2100,1),REGEXEXTRACT(E2100,""-(?:\d{2}-)?([A-Z]+)"")),"""")
"),"")</f>
        <v/>
      </c>
      <c r="C2100" s="224"/>
      <c r="D2100" s="219"/>
      <c r="E2100" s="225"/>
      <c r="F2100" s="225"/>
      <c r="G2100" s="226"/>
      <c r="H2100" s="225"/>
      <c r="I2100" s="227"/>
      <c r="J2100" s="228"/>
      <c r="K2100" s="229"/>
      <c r="L2100" s="229"/>
      <c r="M2100" s="229"/>
      <c r="N2100" s="230"/>
      <c r="O2100" s="228"/>
      <c r="P2100" s="230"/>
      <c r="Q2100" s="219"/>
      <c r="R2100" s="198"/>
      <c r="S2100" s="198"/>
      <c r="T2100" s="198"/>
      <c r="U2100" s="198"/>
      <c r="V2100" s="198"/>
      <c r="W2100" s="198"/>
      <c r="X2100" s="198"/>
    </row>
    <row r="2101" ht="12.0" customHeight="1">
      <c r="A2101" s="222" t="str">
        <f>IF(COUNTIFS(RC_OUT[BLOCK],RC_IN[BLOCK],RC_OUT[REMARKS],"*CLOSED*")&gt;0,"CLOSED",IF(COUNTIFS(RC_OUT[BLOCK],RC_IN[BLOCK],RC_OUT[WT],"&gt;0")&gt;0,"IN-USE",""))
</f>
        <v/>
      </c>
      <c r="B2101" s="223" t="str">
        <f>IFERROR(__xludf.DUMMYFUNCTION("IFERROR(IF(F2101&lt;&gt;"""",""WHSE ""&amp;LEFT(F2101,1),REGEXEXTRACT(E2101,""-(?:\d{2}-)?([A-Z]+)"")),"""")
"),"")</f>
        <v/>
      </c>
      <c r="C2101" s="224"/>
      <c r="D2101" s="219"/>
      <c r="E2101" s="225"/>
      <c r="F2101" s="225"/>
      <c r="G2101" s="226"/>
      <c r="H2101" s="225"/>
      <c r="I2101" s="227"/>
      <c r="J2101" s="228"/>
      <c r="K2101" s="229"/>
      <c r="L2101" s="229"/>
      <c r="M2101" s="229"/>
      <c r="N2101" s="230"/>
      <c r="O2101" s="228"/>
      <c r="P2101" s="230"/>
      <c r="Q2101" s="219"/>
      <c r="R2101" s="198"/>
      <c r="S2101" s="198"/>
      <c r="T2101" s="198"/>
      <c r="U2101" s="198"/>
      <c r="V2101" s="198"/>
      <c r="W2101" s="198"/>
      <c r="X2101" s="198"/>
    </row>
    <row r="2102" ht="12.0" customHeight="1">
      <c r="A2102" s="222" t="str">
        <f>IF(COUNTIFS(RC_OUT[BLOCK],RC_IN[BLOCK],RC_OUT[REMARKS],"*CLOSED*")&gt;0,"CLOSED",IF(COUNTIFS(RC_OUT[BLOCK],RC_IN[BLOCK],RC_OUT[WT],"&gt;0")&gt;0,"IN-USE",""))
</f>
        <v/>
      </c>
      <c r="B2102" s="223" t="str">
        <f>IFERROR(__xludf.DUMMYFUNCTION("IFERROR(IF(F2102&lt;&gt;"""",""WHSE ""&amp;LEFT(F2102,1),REGEXEXTRACT(E2102,""-(?:\d{2}-)?([A-Z]+)"")),"""")
"),"")</f>
        <v/>
      </c>
      <c r="C2102" s="224"/>
      <c r="D2102" s="219"/>
      <c r="E2102" s="225"/>
      <c r="F2102" s="225"/>
      <c r="G2102" s="226"/>
      <c r="H2102" s="225"/>
      <c r="I2102" s="227"/>
      <c r="J2102" s="228"/>
      <c r="K2102" s="229"/>
      <c r="L2102" s="229"/>
      <c r="M2102" s="229"/>
      <c r="N2102" s="230"/>
      <c r="O2102" s="228"/>
      <c r="P2102" s="230"/>
      <c r="Q2102" s="219"/>
      <c r="R2102" s="198"/>
      <c r="S2102" s="198"/>
      <c r="T2102" s="198"/>
      <c r="U2102" s="198"/>
      <c r="V2102" s="198"/>
      <c r="W2102" s="198"/>
      <c r="X2102" s="198"/>
    </row>
    <row r="2103" ht="12.0" customHeight="1">
      <c r="A2103" s="222" t="str">
        <f>IF(COUNTIFS(RC_OUT[BLOCK],RC_IN[BLOCK],RC_OUT[REMARKS],"*CLOSED*")&gt;0,"CLOSED",IF(COUNTIFS(RC_OUT[BLOCK],RC_IN[BLOCK],RC_OUT[WT],"&gt;0")&gt;0,"IN-USE",""))
</f>
        <v/>
      </c>
      <c r="B2103" s="223" t="str">
        <f>IFERROR(__xludf.DUMMYFUNCTION("IFERROR(IF(F2103&lt;&gt;"""",""WHSE ""&amp;LEFT(F2103,1),REGEXEXTRACT(E2103,""-(?:\d{2}-)?([A-Z]+)"")),"""")
"),"")</f>
        <v/>
      </c>
      <c r="C2103" s="224"/>
      <c r="D2103" s="219"/>
      <c r="E2103" s="225"/>
      <c r="F2103" s="225"/>
      <c r="G2103" s="226"/>
      <c r="H2103" s="225"/>
      <c r="I2103" s="227"/>
      <c r="J2103" s="228"/>
      <c r="K2103" s="229"/>
      <c r="L2103" s="229"/>
      <c r="M2103" s="229"/>
      <c r="N2103" s="230"/>
      <c r="O2103" s="228"/>
      <c r="P2103" s="230"/>
      <c r="Q2103" s="219"/>
      <c r="R2103" s="198"/>
      <c r="S2103" s="198"/>
      <c r="T2103" s="198"/>
      <c r="U2103" s="198"/>
      <c r="V2103" s="198"/>
      <c r="W2103" s="198"/>
      <c r="X2103" s="198"/>
    </row>
    <row r="2104" ht="12.0" customHeight="1">
      <c r="A2104" s="222" t="str">
        <f>IF(COUNTIFS(RC_OUT[BLOCK],RC_IN[BLOCK],RC_OUT[REMARKS],"*CLOSED*")&gt;0,"CLOSED",IF(COUNTIFS(RC_OUT[BLOCK],RC_IN[BLOCK],RC_OUT[WT],"&gt;0")&gt;0,"IN-USE",""))
</f>
        <v/>
      </c>
      <c r="B2104" s="223" t="str">
        <f>IFERROR(__xludf.DUMMYFUNCTION("IFERROR(IF(F2104&lt;&gt;"""",""WHSE ""&amp;LEFT(F2104,1),REGEXEXTRACT(E2104,""-(?:\d{2}-)?([A-Z]+)"")),"""")
"),"")</f>
        <v/>
      </c>
      <c r="C2104" s="224"/>
      <c r="D2104" s="219"/>
      <c r="E2104" s="225"/>
      <c r="F2104" s="225"/>
      <c r="G2104" s="226"/>
      <c r="H2104" s="225"/>
      <c r="I2104" s="227"/>
      <c r="J2104" s="228"/>
      <c r="K2104" s="229"/>
      <c r="L2104" s="229"/>
      <c r="M2104" s="229"/>
      <c r="N2104" s="230"/>
      <c r="O2104" s="228"/>
      <c r="P2104" s="230"/>
      <c r="Q2104" s="219"/>
      <c r="R2104" s="198"/>
      <c r="S2104" s="198"/>
      <c r="T2104" s="198"/>
      <c r="U2104" s="198"/>
      <c r="V2104" s="198"/>
      <c r="W2104" s="198"/>
      <c r="X2104" s="198"/>
    </row>
    <row r="2105" ht="12.0" customHeight="1">
      <c r="A2105" s="222" t="str">
        <f>IF(COUNTIFS(RC_OUT[BLOCK],RC_IN[BLOCK],RC_OUT[REMARKS],"*CLOSED*")&gt;0,"CLOSED",IF(COUNTIFS(RC_OUT[BLOCK],RC_IN[BLOCK],RC_OUT[WT],"&gt;0")&gt;0,"IN-USE",""))
</f>
        <v/>
      </c>
      <c r="B2105" s="223" t="str">
        <f>IFERROR(__xludf.DUMMYFUNCTION("IFERROR(IF(F2105&lt;&gt;"""",""WHSE ""&amp;LEFT(F2105,1),REGEXEXTRACT(E2105,""-(?:\d{2}-)?([A-Z]+)"")),"""")
"),"")</f>
        <v/>
      </c>
      <c r="C2105" s="224"/>
      <c r="D2105" s="219"/>
      <c r="E2105" s="225"/>
      <c r="F2105" s="225"/>
      <c r="G2105" s="226"/>
      <c r="H2105" s="225"/>
      <c r="I2105" s="227"/>
      <c r="J2105" s="228"/>
      <c r="K2105" s="229"/>
      <c r="L2105" s="229"/>
      <c r="M2105" s="229"/>
      <c r="N2105" s="230"/>
      <c r="O2105" s="228"/>
      <c r="P2105" s="230"/>
      <c r="Q2105" s="219"/>
      <c r="R2105" s="198"/>
      <c r="S2105" s="198"/>
      <c r="T2105" s="198"/>
      <c r="U2105" s="198"/>
      <c r="V2105" s="198"/>
      <c r="W2105" s="198"/>
      <c r="X2105" s="198"/>
    </row>
    <row r="2106" ht="12.0" customHeight="1">
      <c r="A2106" s="222" t="str">
        <f>IF(COUNTIFS(RC_OUT[BLOCK],RC_IN[BLOCK],RC_OUT[REMARKS],"*CLOSED*")&gt;0,"CLOSED",IF(COUNTIFS(RC_OUT[BLOCK],RC_IN[BLOCK],RC_OUT[WT],"&gt;0")&gt;0,"IN-USE",""))
</f>
        <v/>
      </c>
      <c r="B2106" s="223" t="str">
        <f>IFERROR(__xludf.DUMMYFUNCTION("IFERROR(IF(F2106&lt;&gt;"""",""WHSE ""&amp;LEFT(F2106,1),REGEXEXTRACT(E2106,""-(?:\d{2}-)?([A-Z]+)"")),"""")
"),"")</f>
        <v/>
      </c>
      <c r="C2106" s="224"/>
      <c r="D2106" s="219"/>
      <c r="E2106" s="225"/>
      <c r="F2106" s="225"/>
      <c r="G2106" s="226"/>
      <c r="H2106" s="225"/>
      <c r="I2106" s="227"/>
      <c r="J2106" s="228"/>
      <c r="K2106" s="229"/>
      <c r="L2106" s="229"/>
      <c r="M2106" s="229"/>
      <c r="N2106" s="230"/>
      <c r="O2106" s="228"/>
      <c r="P2106" s="230"/>
      <c r="Q2106" s="219"/>
      <c r="R2106" s="198"/>
      <c r="S2106" s="198"/>
      <c r="T2106" s="198"/>
      <c r="U2106" s="198"/>
      <c r="V2106" s="198"/>
      <c r="W2106" s="198"/>
      <c r="X2106" s="198"/>
    </row>
    <row r="2107" ht="12.0" customHeight="1">
      <c r="A2107" s="222" t="str">
        <f>IF(COUNTIFS(RC_OUT[BLOCK],RC_IN[BLOCK],RC_OUT[REMARKS],"*CLOSED*")&gt;0,"CLOSED",IF(COUNTIFS(RC_OUT[BLOCK],RC_IN[BLOCK],RC_OUT[WT],"&gt;0")&gt;0,"IN-USE",""))
</f>
        <v/>
      </c>
      <c r="B2107" s="223" t="str">
        <f>IFERROR(__xludf.DUMMYFUNCTION("IFERROR(IF(F2107&lt;&gt;"""",""WHSE ""&amp;LEFT(F2107,1),REGEXEXTRACT(E2107,""-(?:\d{2}-)?([A-Z]+)"")),"""")
"),"")</f>
        <v/>
      </c>
      <c r="C2107" s="224"/>
      <c r="D2107" s="219"/>
      <c r="E2107" s="225"/>
      <c r="F2107" s="225"/>
      <c r="G2107" s="226"/>
      <c r="H2107" s="225"/>
      <c r="I2107" s="227"/>
      <c r="J2107" s="228"/>
      <c r="K2107" s="229"/>
      <c r="L2107" s="229"/>
      <c r="M2107" s="229"/>
      <c r="N2107" s="230"/>
      <c r="O2107" s="228"/>
      <c r="P2107" s="230"/>
      <c r="Q2107" s="219"/>
      <c r="R2107" s="198"/>
      <c r="S2107" s="198"/>
      <c r="T2107" s="198"/>
      <c r="U2107" s="198"/>
      <c r="V2107" s="198"/>
      <c r="W2107" s="198"/>
      <c r="X2107" s="198"/>
    </row>
    <row r="2108" ht="12.0" customHeight="1">
      <c r="A2108" s="222" t="str">
        <f>IF(COUNTIFS(RC_OUT[BLOCK],RC_IN[BLOCK],RC_OUT[REMARKS],"*CLOSED*")&gt;0,"CLOSED",IF(COUNTIFS(RC_OUT[BLOCK],RC_IN[BLOCK],RC_OUT[WT],"&gt;0")&gt;0,"IN-USE",""))
</f>
        <v/>
      </c>
      <c r="B2108" s="223" t="str">
        <f>IFERROR(__xludf.DUMMYFUNCTION("IFERROR(IF(F2108&lt;&gt;"""",""WHSE ""&amp;LEFT(F2108,1),REGEXEXTRACT(E2108,""-(?:\d{2}-)?([A-Z]+)"")),"""")
"),"")</f>
        <v/>
      </c>
      <c r="C2108" s="224"/>
      <c r="D2108" s="219"/>
      <c r="E2108" s="225"/>
      <c r="F2108" s="225"/>
      <c r="G2108" s="226"/>
      <c r="H2108" s="225"/>
      <c r="I2108" s="227"/>
      <c r="J2108" s="228"/>
      <c r="K2108" s="229"/>
      <c r="L2108" s="229"/>
      <c r="M2108" s="229"/>
      <c r="N2108" s="230"/>
      <c r="O2108" s="228"/>
      <c r="P2108" s="230"/>
      <c r="Q2108" s="219"/>
      <c r="R2108" s="198"/>
      <c r="S2108" s="198"/>
      <c r="T2108" s="198"/>
      <c r="U2108" s="198"/>
      <c r="V2108" s="198"/>
      <c r="W2108" s="198"/>
      <c r="X2108" s="198"/>
    </row>
    <row r="2109" ht="12.0" customHeight="1">
      <c r="A2109" s="222" t="str">
        <f>IF(COUNTIFS(RC_OUT[BLOCK],RC_IN[BLOCK],RC_OUT[REMARKS],"*CLOSED*")&gt;0,"CLOSED",IF(COUNTIFS(RC_OUT[BLOCK],RC_IN[BLOCK],RC_OUT[WT],"&gt;0")&gt;0,"IN-USE",""))
</f>
        <v/>
      </c>
      <c r="B2109" s="223" t="str">
        <f>IFERROR(__xludf.DUMMYFUNCTION("IFERROR(IF(F2109&lt;&gt;"""",""WHSE ""&amp;LEFT(F2109,1),REGEXEXTRACT(E2109,""-(?:\d{2}-)?([A-Z]+)"")),"""")
"),"")</f>
        <v/>
      </c>
      <c r="C2109" s="224"/>
      <c r="D2109" s="219"/>
      <c r="E2109" s="225"/>
      <c r="F2109" s="225"/>
      <c r="G2109" s="226"/>
      <c r="H2109" s="225"/>
      <c r="I2109" s="227"/>
      <c r="J2109" s="228"/>
      <c r="K2109" s="229"/>
      <c r="L2109" s="229"/>
      <c r="M2109" s="229"/>
      <c r="N2109" s="230"/>
      <c r="O2109" s="228"/>
      <c r="P2109" s="230"/>
      <c r="Q2109" s="219"/>
      <c r="R2109" s="198"/>
      <c r="S2109" s="198"/>
      <c r="T2109" s="198"/>
      <c r="U2109" s="198"/>
      <c r="V2109" s="198"/>
      <c r="W2109" s="198"/>
      <c r="X2109" s="198"/>
    </row>
    <row r="2110" ht="12.0" customHeight="1">
      <c r="A2110" s="222" t="str">
        <f>IF(COUNTIFS(RC_OUT[BLOCK],RC_IN[BLOCK],RC_OUT[REMARKS],"*CLOSED*")&gt;0,"CLOSED",IF(COUNTIFS(RC_OUT[BLOCK],RC_IN[BLOCK],RC_OUT[WT],"&gt;0")&gt;0,"IN-USE",""))
</f>
        <v/>
      </c>
      <c r="B2110" s="223" t="str">
        <f>IFERROR(__xludf.DUMMYFUNCTION("IFERROR(IF(F2110&lt;&gt;"""",""WHSE ""&amp;LEFT(F2110,1),REGEXEXTRACT(E2110,""-(?:\d{2}-)?([A-Z]+)"")),"""")
"),"")</f>
        <v/>
      </c>
      <c r="C2110" s="224"/>
      <c r="D2110" s="219"/>
      <c r="E2110" s="225"/>
      <c r="F2110" s="225"/>
      <c r="G2110" s="226"/>
      <c r="H2110" s="225"/>
      <c r="I2110" s="227"/>
      <c r="J2110" s="228"/>
      <c r="K2110" s="229"/>
      <c r="L2110" s="229"/>
      <c r="M2110" s="229"/>
      <c r="N2110" s="230"/>
      <c r="O2110" s="228"/>
      <c r="P2110" s="230"/>
      <c r="Q2110" s="219"/>
      <c r="R2110" s="198"/>
      <c r="S2110" s="198"/>
      <c r="T2110" s="198"/>
      <c r="U2110" s="198"/>
      <c r="V2110" s="198"/>
      <c r="W2110" s="198"/>
      <c r="X2110" s="198"/>
    </row>
    <row r="2111" ht="12.0" customHeight="1">
      <c r="A2111" s="222" t="str">
        <f>IF(COUNTIFS(RC_OUT[BLOCK],RC_IN[BLOCK],RC_OUT[REMARKS],"*CLOSED*")&gt;0,"CLOSED",IF(COUNTIFS(RC_OUT[BLOCK],RC_IN[BLOCK],RC_OUT[WT],"&gt;0")&gt;0,"IN-USE",""))
</f>
        <v/>
      </c>
      <c r="B2111" s="223" t="str">
        <f>IFERROR(__xludf.DUMMYFUNCTION("IFERROR(IF(F2111&lt;&gt;"""",""WHSE ""&amp;LEFT(F2111,1),REGEXEXTRACT(E2111,""-(?:\d{2}-)?([A-Z]+)"")),"""")
"),"")</f>
        <v/>
      </c>
      <c r="C2111" s="224"/>
      <c r="D2111" s="219"/>
      <c r="E2111" s="225"/>
      <c r="F2111" s="225"/>
      <c r="G2111" s="226"/>
      <c r="H2111" s="225"/>
      <c r="I2111" s="227"/>
      <c r="J2111" s="228"/>
      <c r="K2111" s="229"/>
      <c r="L2111" s="229"/>
      <c r="M2111" s="229"/>
      <c r="N2111" s="230"/>
      <c r="O2111" s="228"/>
      <c r="P2111" s="230"/>
      <c r="Q2111" s="219"/>
      <c r="R2111" s="198"/>
      <c r="S2111" s="198"/>
      <c r="T2111" s="198"/>
      <c r="U2111" s="198"/>
      <c r="V2111" s="198"/>
      <c r="W2111" s="198"/>
      <c r="X2111" s="198"/>
    </row>
    <row r="2112" ht="12.0" customHeight="1">
      <c r="A2112" s="222" t="str">
        <f>IF(COUNTIFS(RC_OUT[BLOCK],RC_IN[BLOCK],RC_OUT[REMARKS],"*CLOSED*")&gt;0,"CLOSED",IF(COUNTIFS(RC_OUT[BLOCK],RC_IN[BLOCK],RC_OUT[WT],"&gt;0")&gt;0,"IN-USE",""))
</f>
        <v/>
      </c>
      <c r="B2112" s="223" t="str">
        <f>IFERROR(__xludf.DUMMYFUNCTION("IFERROR(IF(F2112&lt;&gt;"""",""WHSE ""&amp;LEFT(F2112,1),REGEXEXTRACT(E2112,""-(?:\d{2}-)?([A-Z]+)"")),"""")
"),"")</f>
        <v/>
      </c>
      <c r="C2112" s="224"/>
      <c r="D2112" s="219"/>
      <c r="E2112" s="225"/>
      <c r="F2112" s="225"/>
      <c r="G2112" s="226"/>
      <c r="H2112" s="225"/>
      <c r="I2112" s="227"/>
      <c r="J2112" s="228"/>
      <c r="K2112" s="229"/>
      <c r="L2112" s="229"/>
      <c r="M2112" s="229"/>
      <c r="N2112" s="230"/>
      <c r="O2112" s="228"/>
      <c r="P2112" s="230"/>
      <c r="Q2112" s="219"/>
      <c r="R2112" s="198"/>
      <c r="S2112" s="198"/>
      <c r="T2112" s="198"/>
      <c r="U2112" s="198"/>
      <c r="V2112" s="198"/>
      <c r="W2112" s="198"/>
      <c r="X2112" s="198"/>
    </row>
    <row r="2113" ht="12.0" customHeight="1">
      <c r="A2113" s="222" t="str">
        <f>IF(COUNTIFS(RC_OUT[BLOCK],RC_IN[BLOCK],RC_OUT[REMARKS],"*CLOSED*")&gt;0,"CLOSED",IF(COUNTIFS(RC_OUT[BLOCK],RC_IN[BLOCK],RC_OUT[WT],"&gt;0")&gt;0,"IN-USE",""))
</f>
        <v/>
      </c>
      <c r="B2113" s="223" t="str">
        <f>IFERROR(__xludf.DUMMYFUNCTION("IFERROR(IF(F2113&lt;&gt;"""",""WHSE ""&amp;LEFT(F2113,1),REGEXEXTRACT(E2113,""-(?:\d{2}-)?([A-Z]+)"")),"""")
"),"")</f>
        <v/>
      </c>
      <c r="C2113" s="224"/>
      <c r="D2113" s="219"/>
      <c r="E2113" s="225"/>
      <c r="F2113" s="225"/>
      <c r="G2113" s="226"/>
      <c r="H2113" s="225"/>
      <c r="I2113" s="227"/>
      <c r="J2113" s="228"/>
      <c r="K2113" s="229"/>
      <c r="L2113" s="229"/>
      <c r="M2113" s="229"/>
      <c r="N2113" s="230"/>
      <c r="O2113" s="228"/>
      <c r="P2113" s="230"/>
      <c r="Q2113" s="219"/>
      <c r="R2113" s="198"/>
      <c r="S2113" s="198"/>
      <c r="T2113" s="198"/>
      <c r="U2113" s="198"/>
      <c r="V2113" s="198"/>
      <c r="W2113" s="198"/>
      <c r="X2113" s="198"/>
    </row>
    <row r="2114" ht="12.0" customHeight="1">
      <c r="A2114" s="222" t="str">
        <f>IF(COUNTIFS(RC_OUT[BLOCK],RC_IN[BLOCK],RC_OUT[REMARKS],"*CLOSED*")&gt;0,"CLOSED",IF(COUNTIFS(RC_OUT[BLOCK],RC_IN[BLOCK],RC_OUT[WT],"&gt;0")&gt;0,"IN-USE",""))
</f>
        <v/>
      </c>
      <c r="B2114" s="223" t="str">
        <f>IFERROR(__xludf.DUMMYFUNCTION("IFERROR(IF(F2114&lt;&gt;"""",""WHSE ""&amp;LEFT(F2114,1),REGEXEXTRACT(E2114,""-(?:\d{2}-)?([A-Z]+)"")),"""")
"),"")</f>
        <v/>
      </c>
      <c r="C2114" s="224"/>
      <c r="D2114" s="219"/>
      <c r="E2114" s="225"/>
      <c r="F2114" s="225"/>
      <c r="G2114" s="226"/>
      <c r="H2114" s="225"/>
      <c r="I2114" s="227"/>
      <c r="J2114" s="228"/>
      <c r="K2114" s="229"/>
      <c r="L2114" s="229"/>
      <c r="M2114" s="229"/>
      <c r="N2114" s="230"/>
      <c r="O2114" s="228"/>
      <c r="P2114" s="230"/>
      <c r="Q2114" s="219"/>
      <c r="R2114" s="198"/>
      <c r="S2114" s="198"/>
      <c r="T2114" s="198"/>
      <c r="U2114" s="198"/>
      <c r="V2114" s="198"/>
      <c r="W2114" s="198"/>
      <c r="X2114" s="198"/>
    </row>
    <row r="2115" ht="12.0" customHeight="1">
      <c r="A2115" s="222" t="str">
        <f>IF(COUNTIFS(RC_OUT[BLOCK],RC_IN[BLOCK],RC_OUT[REMARKS],"*CLOSED*")&gt;0,"CLOSED",IF(COUNTIFS(RC_OUT[BLOCK],RC_IN[BLOCK],RC_OUT[WT],"&gt;0")&gt;0,"IN-USE",""))
</f>
        <v/>
      </c>
      <c r="B2115" s="223" t="str">
        <f>IFERROR(__xludf.DUMMYFUNCTION("IFERROR(IF(F2115&lt;&gt;"""",""WHSE ""&amp;LEFT(F2115,1),REGEXEXTRACT(E2115,""-(?:\d{2}-)?([A-Z]+)"")),"""")
"),"")</f>
        <v/>
      </c>
      <c r="C2115" s="224"/>
      <c r="D2115" s="219"/>
      <c r="E2115" s="225"/>
      <c r="F2115" s="225"/>
      <c r="G2115" s="226"/>
      <c r="H2115" s="225"/>
      <c r="I2115" s="227"/>
      <c r="J2115" s="228"/>
      <c r="K2115" s="229"/>
      <c r="L2115" s="229"/>
      <c r="M2115" s="229"/>
      <c r="N2115" s="230"/>
      <c r="O2115" s="228"/>
      <c r="P2115" s="230"/>
      <c r="Q2115" s="219"/>
      <c r="R2115" s="198"/>
      <c r="S2115" s="198"/>
      <c r="T2115" s="198"/>
      <c r="U2115" s="198"/>
      <c r="V2115" s="198"/>
      <c r="W2115" s="198"/>
      <c r="X2115" s="198"/>
    </row>
    <row r="2116" ht="12.0" customHeight="1">
      <c r="A2116" s="222" t="str">
        <f>IF(COUNTIFS(RC_OUT[BLOCK],RC_IN[BLOCK],RC_OUT[REMARKS],"*CLOSED*")&gt;0,"CLOSED",IF(COUNTIFS(RC_OUT[BLOCK],RC_IN[BLOCK],RC_OUT[WT],"&gt;0")&gt;0,"IN-USE",""))
</f>
        <v/>
      </c>
      <c r="B2116" s="223" t="str">
        <f>IFERROR(__xludf.DUMMYFUNCTION("IFERROR(IF(F2116&lt;&gt;"""",""WHSE ""&amp;LEFT(F2116,1),REGEXEXTRACT(E2116,""-(?:\d{2}-)?([A-Z]+)"")),"""")
"),"")</f>
        <v/>
      </c>
      <c r="C2116" s="224"/>
      <c r="D2116" s="219"/>
      <c r="E2116" s="225"/>
      <c r="F2116" s="225"/>
      <c r="G2116" s="226"/>
      <c r="H2116" s="225"/>
      <c r="I2116" s="227"/>
      <c r="J2116" s="228"/>
      <c r="K2116" s="229"/>
      <c r="L2116" s="229"/>
      <c r="M2116" s="229"/>
      <c r="N2116" s="230"/>
      <c r="O2116" s="228"/>
      <c r="P2116" s="230"/>
      <c r="Q2116" s="219"/>
      <c r="R2116" s="198"/>
      <c r="S2116" s="198"/>
      <c r="T2116" s="198"/>
      <c r="U2116" s="198"/>
      <c r="V2116" s="198"/>
      <c r="W2116" s="198"/>
      <c r="X2116" s="198"/>
    </row>
    <row r="2117" ht="12.0" customHeight="1">
      <c r="A2117" s="222" t="str">
        <f>IF(COUNTIFS(RC_OUT[BLOCK],RC_IN[BLOCK],RC_OUT[REMARKS],"*CLOSED*")&gt;0,"CLOSED",IF(COUNTIFS(RC_OUT[BLOCK],RC_IN[BLOCK],RC_OUT[WT],"&gt;0")&gt;0,"IN-USE",""))
</f>
        <v/>
      </c>
      <c r="B2117" s="223" t="str">
        <f>IFERROR(__xludf.DUMMYFUNCTION("IFERROR(IF(F2117&lt;&gt;"""",""WHSE ""&amp;LEFT(F2117,1),REGEXEXTRACT(E2117,""-(?:\d{2}-)?([A-Z]+)"")),"""")
"),"")</f>
        <v/>
      </c>
      <c r="C2117" s="224"/>
      <c r="D2117" s="219"/>
      <c r="E2117" s="225"/>
      <c r="F2117" s="225"/>
      <c r="G2117" s="226"/>
      <c r="H2117" s="225"/>
      <c r="I2117" s="227"/>
      <c r="J2117" s="228"/>
      <c r="K2117" s="229"/>
      <c r="L2117" s="229"/>
      <c r="M2117" s="229"/>
      <c r="N2117" s="230"/>
      <c r="O2117" s="228"/>
      <c r="P2117" s="230"/>
      <c r="Q2117" s="219"/>
      <c r="R2117" s="198"/>
      <c r="S2117" s="198"/>
      <c r="T2117" s="198"/>
      <c r="U2117" s="198"/>
      <c r="V2117" s="198"/>
      <c r="W2117" s="198"/>
      <c r="X2117" s="198"/>
    </row>
    <row r="2118" ht="12.0" customHeight="1">
      <c r="A2118" s="222" t="str">
        <f>IF(COUNTIFS(RC_OUT[BLOCK],RC_IN[BLOCK],RC_OUT[REMARKS],"*CLOSED*")&gt;0,"CLOSED",IF(COUNTIFS(RC_OUT[BLOCK],RC_IN[BLOCK],RC_OUT[WT],"&gt;0")&gt;0,"IN-USE",""))
</f>
        <v/>
      </c>
      <c r="B2118" s="223" t="str">
        <f>IFERROR(__xludf.DUMMYFUNCTION("IFERROR(IF(F2118&lt;&gt;"""",""WHSE ""&amp;LEFT(F2118,1),REGEXEXTRACT(E2118,""-(?:\d{2}-)?([A-Z]+)"")),"""")
"),"")</f>
        <v/>
      </c>
      <c r="C2118" s="224"/>
      <c r="D2118" s="219"/>
      <c r="E2118" s="225"/>
      <c r="F2118" s="225"/>
      <c r="G2118" s="226"/>
      <c r="H2118" s="225"/>
      <c r="I2118" s="227"/>
      <c r="J2118" s="228"/>
      <c r="K2118" s="229"/>
      <c r="L2118" s="229"/>
      <c r="M2118" s="229"/>
      <c r="N2118" s="230"/>
      <c r="O2118" s="228"/>
      <c r="P2118" s="230"/>
      <c r="Q2118" s="219"/>
      <c r="R2118" s="198"/>
      <c r="S2118" s="198"/>
      <c r="T2118" s="198"/>
      <c r="U2118" s="198"/>
      <c r="V2118" s="198"/>
      <c r="W2118" s="198"/>
      <c r="X2118" s="198"/>
    </row>
    <row r="2119" ht="12.0" customHeight="1">
      <c r="A2119" s="222" t="str">
        <f>IF(COUNTIFS(RC_OUT[BLOCK],RC_IN[BLOCK],RC_OUT[REMARKS],"*CLOSED*")&gt;0,"CLOSED",IF(COUNTIFS(RC_OUT[BLOCK],RC_IN[BLOCK],RC_OUT[WT],"&gt;0")&gt;0,"IN-USE",""))
</f>
        <v/>
      </c>
      <c r="B2119" s="223" t="str">
        <f>IFERROR(__xludf.DUMMYFUNCTION("IFERROR(IF(F2119&lt;&gt;"""",""WHSE ""&amp;LEFT(F2119,1),REGEXEXTRACT(E2119,""-(?:\d{2}-)?([A-Z]+)"")),"""")
"),"")</f>
        <v/>
      </c>
      <c r="C2119" s="224"/>
      <c r="D2119" s="219"/>
      <c r="E2119" s="225"/>
      <c r="F2119" s="225"/>
      <c r="G2119" s="226"/>
      <c r="H2119" s="225"/>
      <c r="I2119" s="227"/>
      <c r="J2119" s="228"/>
      <c r="K2119" s="229"/>
      <c r="L2119" s="229"/>
      <c r="M2119" s="229"/>
      <c r="N2119" s="230"/>
      <c r="O2119" s="228"/>
      <c r="P2119" s="230"/>
      <c r="Q2119" s="219"/>
      <c r="R2119" s="198"/>
      <c r="S2119" s="198"/>
      <c r="T2119" s="198"/>
      <c r="U2119" s="198"/>
      <c r="V2119" s="198"/>
      <c r="W2119" s="198"/>
      <c r="X2119" s="198"/>
    </row>
    <row r="2120" ht="12.0" customHeight="1">
      <c r="A2120" s="222" t="str">
        <f>IF(COUNTIFS(RC_OUT[BLOCK],RC_IN[BLOCK],RC_OUT[REMARKS],"*CLOSED*")&gt;0,"CLOSED",IF(COUNTIFS(RC_OUT[BLOCK],RC_IN[BLOCK],RC_OUT[WT],"&gt;0")&gt;0,"IN-USE",""))
</f>
        <v/>
      </c>
      <c r="B2120" s="223" t="str">
        <f>IFERROR(__xludf.DUMMYFUNCTION("IFERROR(IF(F2120&lt;&gt;"""",""WHSE ""&amp;LEFT(F2120,1),REGEXEXTRACT(E2120,""-(?:\d{2}-)?([A-Z]+)"")),"""")
"),"")</f>
        <v/>
      </c>
      <c r="C2120" s="224"/>
      <c r="D2120" s="219"/>
      <c r="E2120" s="225"/>
      <c r="F2120" s="225"/>
      <c r="G2120" s="226"/>
      <c r="H2120" s="225"/>
      <c r="I2120" s="227"/>
      <c r="J2120" s="228"/>
      <c r="K2120" s="229"/>
      <c r="L2120" s="229"/>
      <c r="M2120" s="229"/>
      <c r="N2120" s="230"/>
      <c r="O2120" s="228"/>
      <c r="P2120" s="230"/>
      <c r="Q2120" s="219"/>
      <c r="R2120" s="198"/>
      <c r="S2120" s="198"/>
      <c r="T2120" s="198"/>
      <c r="U2120" s="198"/>
      <c r="V2120" s="198"/>
      <c r="W2120" s="198"/>
      <c r="X2120" s="198"/>
    </row>
    <row r="2121" ht="12.0" customHeight="1">
      <c r="A2121" s="222" t="str">
        <f>IF(COUNTIFS(RC_OUT[BLOCK],RC_IN[BLOCK],RC_OUT[REMARKS],"*CLOSED*")&gt;0,"CLOSED",IF(COUNTIFS(RC_OUT[BLOCK],RC_IN[BLOCK],RC_OUT[WT],"&gt;0")&gt;0,"IN-USE",""))
</f>
        <v/>
      </c>
      <c r="B2121" s="223" t="str">
        <f>IFERROR(__xludf.DUMMYFUNCTION("IFERROR(IF(F2121&lt;&gt;"""",""WHSE ""&amp;LEFT(F2121,1),REGEXEXTRACT(E2121,""-(?:\d{2}-)?([A-Z]+)"")),"""")
"),"")</f>
        <v/>
      </c>
      <c r="C2121" s="224"/>
      <c r="D2121" s="219"/>
      <c r="E2121" s="225"/>
      <c r="F2121" s="225"/>
      <c r="G2121" s="226"/>
      <c r="H2121" s="225"/>
      <c r="I2121" s="227"/>
      <c r="J2121" s="228"/>
      <c r="K2121" s="229"/>
      <c r="L2121" s="229"/>
      <c r="M2121" s="229"/>
      <c r="N2121" s="230"/>
      <c r="O2121" s="228"/>
      <c r="P2121" s="230"/>
      <c r="Q2121" s="219"/>
      <c r="R2121" s="198"/>
      <c r="S2121" s="198"/>
      <c r="T2121" s="198"/>
      <c r="U2121" s="198"/>
      <c r="V2121" s="198"/>
      <c r="W2121" s="198"/>
      <c r="X2121" s="198"/>
    </row>
    <row r="2122" ht="12.0" customHeight="1">
      <c r="A2122" s="222" t="str">
        <f>IF(COUNTIFS(RC_OUT[BLOCK],RC_IN[BLOCK],RC_OUT[REMARKS],"*CLOSED*")&gt;0,"CLOSED",IF(COUNTIFS(RC_OUT[BLOCK],RC_IN[BLOCK],RC_OUT[WT],"&gt;0")&gt;0,"IN-USE",""))
</f>
        <v/>
      </c>
      <c r="B2122" s="223" t="str">
        <f>IFERROR(__xludf.DUMMYFUNCTION("IFERROR(IF(F2122&lt;&gt;"""",""WHSE ""&amp;LEFT(F2122,1),REGEXEXTRACT(E2122,""-(?:\d{2}-)?([A-Z]+)"")),"""")
"),"")</f>
        <v/>
      </c>
      <c r="C2122" s="224"/>
      <c r="D2122" s="219"/>
      <c r="E2122" s="225"/>
      <c r="F2122" s="225"/>
      <c r="G2122" s="226"/>
      <c r="H2122" s="225"/>
      <c r="I2122" s="227"/>
      <c r="J2122" s="228"/>
      <c r="K2122" s="229"/>
      <c r="L2122" s="229"/>
      <c r="M2122" s="229"/>
      <c r="N2122" s="230"/>
      <c r="O2122" s="228"/>
      <c r="P2122" s="230"/>
      <c r="Q2122" s="219"/>
      <c r="R2122" s="198"/>
      <c r="S2122" s="198"/>
      <c r="T2122" s="198"/>
      <c r="U2122" s="198"/>
      <c r="V2122" s="198"/>
      <c r="W2122" s="198"/>
      <c r="X2122" s="198"/>
    </row>
    <row r="2123" ht="12.0" customHeight="1">
      <c r="A2123" s="222" t="str">
        <f>IF(COUNTIFS(RC_OUT[BLOCK],RC_IN[BLOCK],RC_OUT[REMARKS],"*CLOSED*")&gt;0,"CLOSED",IF(COUNTIFS(RC_OUT[BLOCK],RC_IN[BLOCK],RC_OUT[WT],"&gt;0")&gt;0,"IN-USE",""))
</f>
        <v/>
      </c>
      <c r="B2123" s="223" t="str">
        <f>IFERROR(__xludf.DUMMYFUNCTION("IFERROR(IF(F2123&lt;&gt;"""",""WHSE ""&amp;LEFT(F2123,1),REGEXEXTRACT(E2123,""-(?:\d{2}-)?([A-Z]+)"")),"""")
"),"")</f>
        <v/>
      </c>
      <c r="C2123" s="224"/>
      <c r="D2123" s="219"/>
      <c r="E2123" s="225"/>
      <c r="F2123" s="225"/>
      <c r="G2123" s="226"/>
      <c r="H2123" s="225"/>
      <c r="I2123" s="227"/>
      <c r="J2123" s="228"/>
      <c r="K2123" s="229"/>
      <c r="L2123" s="229"/>
      <c r="M2123" s="229"/>
      <c r="N2123" s="230"/>
      <c r="O2123" s="228"/>
      <c r="P2123" s="230"/>
      <c r="Q2123" s="219"/>
      <c r="R2123" s="198"/>
      <c r="S2123" s="198"/>
      <c r="T2123" s="198"/>
      <c r="U2123" s="198"/>
      <c r="V2123" s="198"/>
      <c r="W2123" s="198"/>
      <c r="X2123" s="198"/>
    </row>
    <row r="2124" ht="12.0" customHeight="1">
      <c r="A2124" s="222" t="str">
        <f>IF(COUNTIFS(RC_OUT[BLOCK],RC_IN[BLOCK],RC_OUT[REMARKS],"*CLOSED*")&gt;0,"CLOSED",IF(COUNTIFS(RC_OUT[BLOCK],RC_IN[BLOCK],RC_OUT[WT],"&gt;0")&gt;0,"IN-USE",""))
</f>
        <v/>
      </c>
      <c r="B2124" s="223" t="str">
        <f>IFERROR(__xludf.DUMMYFUNCTION("IFERROR(IF(F2124&lt;&gt;"""",""WHSE ""&amp;LEFT(F2124,1),REGEXEXTRACT(E2124,""-(?:\d{2}-)?([A-Z]+)"")),"""")
"),"")</f>
        <v/>
      </c>
      <c r="C2124" s="224"/>
      <c r="D2124" s="219"/>
      <c r="E2124" s="225"/>
      <c r="F2124" s="225"/>
      <c r="G2124" s="226"/>
      <c r="H2124" s="225"/>
      <c r="I2124" s="227"/>
      <c r="J2124" s="228"/>
      <c r="K2124" s="229"/>
      <c r="L2124" s="229"/>
      <c r="M2124" s="229"/>
      <c r="N2124" s="230"/>
      <c r="O2124" s="228"/>
      <c r="P2124" s="230"/>
      <c r="Q2124" s="219"/>
      <c r="R2124" s="198"/>
      <c r="S2124" s="198"/>
      <c r="T2124" s="198"/>
      <c r="U2124" s="198"/>
      <c r="V2124" s="198"/>
      <c r="W2124" s="198"/>
      <c r="X2124" s="198"/>
    </row>
    <row r="2125" ht="12.0" customHeight="1">
      <c r="A2125" s="222" t="str">
        <f>IF(COUNTIFS(RC_OUT[BLOCK],RC_IN[BLOCK],RC_OUT[REMARKS],"*CLOSED*")&gt;0,"CLOSED",IF(COUNTIFS(RC_OUT[BLOCK],RC_IN[BLOCK],RC_OUT[WT],"&gt;0")&gt;0,"IN-USE",""))
</f>
        <v/>
      </c>
      <c r="B2125" s="223" t="str">
        <f>IFERROR(__xludf.DUMMYFUNCTION("IFERROR(IF(F2125&lt;&gt;"""",""WHSE ""&amp;LEFT(F2125,1),REGEXEXTRACT(E2125,""-(?:\d{2}-)?([A-Z]+)"")),"""")
"),"")</f>
        <v/>
      </c>
      <c r="C2125" s="224"/>
      <c r="D2125" s="219"/>
      <c r="E2125" s="225"/>
      <c r="F2125" s="225"/>
      <c r="G2125" s="226"/>
      <c r="H2125" s="225"/>
      <c r="I2125" s="227"/>
      <c r="J2125" s="228"/>
      <c r="K2125" s="229"/>
      <c r="L2125" s="229"/>
      <c r="M2125" s="229"/>
      <c r="N2125" s="230"/>
      <c r="O2125" s="228"/>
      <c r="P2125" s="230"/>
      <c r="Q2125" s="219"/>
      <c r="R2125" s="198"/>
      <c r="S2125" s="198"/>
      <c r="T2125" s="198"/>
      <c r="U2125" s="198"/>
      <c r="V2125" s="198"/>
      <c r="W2125" s="198"/>
      <c r="X2125" s="198"/>
    </row>
    <row r="2126" ht="12.0" customHeight="1">
      <c r="A2126" s="222" t="str">
        <f>IF(COUNTIFS(RC_OUT[BLOCK],RC_IN[BLOCK],RC_OUT[REMARKS],"*CLOSED*")&gt;0,"CLOSED",IF(COUNTIFS(RC_OUT[BLOCK],RC_IN[BLOCK],RC_OUT[WT],"&gt;0")&gt;0,"IN-USE",""))
</f>
        <v/>
      </c>
      <c r="B2126" s="223" t="str">
        <f>IFERROR(__xludf.DUMMYFUNCTION("IFERROR(IF(F2126&lt;&gt;"""",""WHSE ""&amp;LEFT(F2126,1),REGEXEXTRACT(E2126,""-(?:\d{2}-)?([A-Z]+)"")),"""")
"),"")</f>
        <v/>
      </c>
      <c r="C2126" s="224"/>
      <c r="D2126" s="219"/>
      <c r="E2126" s="225"/>
      <c r="F2126" s="225"/>
      <c r="G2126" s="226"/>
      <c r="H2126" s="225"/>
      <c r="I2126" s="227"/>
      <c r="J2126" s="228"/>
      <c r="K2126" s="229"/>
      <c r="L2126" s="229"/>
      <c r="M2126" s="229"/>
      <c r="N2126" s="230"/>
      <c r="O2126" s="228"/>
      <c r="P2126" s="230"/>
      <c r="Q2126" s="219"/>
      <c r="R2126" s="198"/>
      <c r="S2126" s="198"/>
      <c r="T2126" s="198"/>
      <c r="U2126" s="198"/>
      <c r="V2126" s="198"/>
      <c r="W2126" s="198"/>
      <c r="X2126" s="198"/>
    </row>
    <row r="2127" ht="12.0" customHeight="1">
      <c r="A2127" s="222" t="str">
        <f>IF(COUNTIFS(RC_OUT[BLOCK],RC_IN[BLOCK],RC_OUT[REMARKS],"*CLOSED*")&gt;0,"CLOSED",IF(COUNTIFS(RC_OUT[BLOCK],RC_IN[BLOCK],RC_OUT[WT],"&gt;0")&gt;0,"IN-USE",""))
</f>
        <v/>
      </c>
      <c r="B2127" s="223" t="str">
        <f>IFERROR(__xludf.DUMMYFUNCTION("IFERROR(IF(F2127&lt;&gt;"""",""WHSE ""&amp;LEFT(F2127,1),REGEXEXTRACT(E2127,""-(?:\d{2}-)?([A-Z]+)"")),"""")
"),"")</f>
        <v/>
      </c>
      <c r="C2127" s="224"/>
      <c r="D2127" s="219"/>
      <c r="E2127" s="225"/>
      <c r="F2127" s="225"/>
      <c r="G2127" s="226"/>
      <c r="H2127" s="225"/>
      <c r="I2127" s="227"/>
      <c r="J2127" s="228"/>
      <c r="K2127" s="229"/>
      <c r="L2127" s="229"/>
      <c r="M2127" s="229"/>
      <c r="N2127" s="230"/>
      <c r="O2127" s="228"/>
      <c r="P2127" s="230"/>
      <c r="Q2127" s="219"/>
      <c r="R2127" s="198"/>
      <c r="S2127" s="198"/>
      <c r="T2127" s="198"/>
      <c r="U2127" s="198"/>
      <c r="V2127" s="198"/>
      <c r="W2127" s="198"/>
      <c r="X2127" s="198"/>
    </row>
    <row r="2128" ht="12.0" customHeight="1">
      <c r="A2128" s="222" t="str">
        <f>IF(COUNTIFS(RC_OUT[BLOCK],RC_IN[BLOCK],RC_OUT[REMARKS],"*CLOSED*")&gt;0,"CLOSED",IF(COUNTIFS(RC_OUT[BLOCK],RC_IN[BLOCK],RC_OUT[WT],"&gt;0")&gt;0,"IN-USE",""))
</f>
        <v/>
      </c>
      <c r="B2128" s="223" t="str">
        <f>IFERROR(__xludf.DUMMYFUNCTION("IFERROR(IF(F2128&lt;&gt;"""",""WHSE ""&amp;LEFT(F2128,1),REGEXEXTRACT(E2128,""-(?:\d{2}-)?([A-Z]+)"")),"""")
"),"")</f>
        <v/>
      </c>
      <c r="C2128" s="224"/>
      <c r="D2128" s="219"/>
      <c r="E2128" s="225"/>
      <c r="F2128" s="225"/>
      <c r="G2128" s="226"/>
      <c r="H2128" s="225"/>
      <c r="I2128" s="227"/>
      <c r="J2128" s="228"/>
      <c r="K2128" s="229"/>
      <c r="L2128" s="229"/>
      <c r="M2128" s="229"/>
      <c r="N2128" s="230"/>
      <c r="O2128" s="228"/>
      <c r="P2128" s="230"/>
      <c r="Q2128" s="219"/>
      <c r="R2128" s="198"/>
      <c r="S2128" s="198"/>
      <c r="T2128" s="198"/>
      <c r="U2128" s="198"/>
      <c r="V2128" s="198"/>
      <c r="W2128" s="198"/>
      <c r="X2128" s="198"/>
    </row>
    <row r="2129" ht="12.0" customHeight="1">
      <c r="A2129" s="222" t="str">
        <f>IF(COUNTIFS(RC_OUT[BLOCK],RC_IN[BLOCK],RC_OUT[REMARKS],"*CLOSED*")&gt;0,"CLOSED",IF(COUNTIFS(RC_OUT[BLOCK],RC_IN[BLOCK],RC_OUT[WT],"&gt;0")&gt;0,"IN-USE",""))
</f>
        <v/>
      </c>
      <c r="B2129" s="223" t="str">
        <f>IFERROR(__xludf.DUMMYFUNCTION("IFERROR(IF(F2129&lt;&gt;"""",""WHSE ""&amp;LEFT(F2129,1),REGEXEXTRACT(E2129,""-(?:\d{2}-)?([A-Z]+)"")),"""")
"),"")</f>
        <v/>
      </c>
      <c r="C2129" s="224"/>
      <c r="D2129" s="219"/>
      <c r="E2129" s="225"/>
      <c r="F2129" s="225"/>
      <c r="G2129" s="226"/>
      <c r="H2129" s="225"/>
      <c r="I2129" s="227"/>
      <c r="J2129" s="228"/>
      <c r="K2129" s="229"/>
      <c r="L2129" s="229"/>
      <c r="M2129" s="229"/>
      <c r="N2129" s="230"/>
      <c r="O2129" s="228"/>
      <c r="P2129" s="230"/>
      <c r="Q2129" s="219"/>
      <c r="R2129" s="198"/>
      <c r="S2129" s="198"/>
      <c r="T2129" s="198"/>
      <c r="U2129" s="198"/>
      <c r="V2129" s="198"/>
      <c r="W2129" s="198"/>
      <c r="X2129" s="198"/>
    </row>
    <row r="2130" ht="12.0" customHeight="1">
      <c r="A2130" s="222" t="str">
        <f>IF(COUNTIFS(RC_OUT[BLOCK],RC_IN[BLOCK],RC_OUT[REMARKS],"*CLOSED*")&gt;0,"CLOSED",IF(COUNTIFS(RC_OUT[BLOCK],RC_IN[BLOCK],RC_OUT[WT],"&gt;0")&gt;0,"IN-USE",""))
</f>
        <v/>
      </c>
      <c r="B2130" s="223" t="str">
        <f>IFERROR(__xludf.DUMMYFUNCTION("IFERROR(IF(F2130&lt;&gt;"""",""WHSE ""&amp;LEFT(F2130,1),REGEXEXTRACT(E2130,""-(?:\d{2}-)?([A-Z]+)"")),"""")
"),"")</f>
        <v/>
      </c>
      <c r="C2130" s="224"/>
      <c r="D2130" s="219"/>
      <c r="E2130" s="225"/>
      <c r="F2130" s="225"/>
      <c r="G2130" s="226"/>
      <c r="H2130" s="225"/>
      <c r="I2130" s="227"/>
      <c r="J2130" s="228"/>
      <c r="K2130" s="229"/>
      <c r="L2130" s="229"/>
      <c r="M2130" s="229"/>
      <c r="N2130" s="230"/>
      <c r="O2130" s="228"/>
      <c r="P2130" s="230"/>
      <c r="Q2130" s="219"/>
      <c r="R2130" s="198"/>
      <c r="S2130" s="198"/>
      <c r="T2130" s="198"/>
      <c r="U2130" s="198"/>
      <c r="V2130" s="198"/>
      <c r="W2130" s="198"/>
      <c r="X2130" s="198"/>
    </row>
    <row r="2131" ht="12.0" customHeight="1">
      <c r="A2131" s="222" t="str">
        <f>IF(COUNTIFS(RC_OUT[BLOCK],RC_IN[BLOCK],RC_OUT[REMARKS],"*CLOSED*")&gt;0,"CLOSED",IF(COUNTIFS(RC_OUT[BLOCK],RC_IN[BLOCK],RC_OUT[WT],"&gt;0")&gt;0,"IN-USE",""))
</f>
        <v/>
      </c>
      <c r="B2131" s="223" t="str">
        <f>IFERROR(__xludf.DUMMYFUNCTION("IFERROR(IF(F2131&lt;&gt;"""",""WHSE ""&amp;LEFT(F2131,1),REGEXEXTRACT(E2131,""-(?:\d{2}-)?([A-Z]+)"")),"""")
"),"")</f>
        <v/>
      </c>
      <c r="C2131" s="224"/>
      <c r="D2131" s="219"/>
      <c r="E2131" s="225"/>
      <c r="F2131" s="225"/>
      <c r="G2131" s="226"/>
      <c r="H2131" s="225"/>
      <c r="I2131" s="227"/>
      <c r="J2131" s="228"/>
      <c r="K2131" s="229"/>
      <c r="L2131" s="229"/>
      <c r="M2131" s="229"/>
      <c r="N2131" s="230"/>
      <c r="O2131" s="228"/>
      <c r="P2131" s="230"/>
      <c r="Q2131" s="219"/>
      <c r="R2131" s="198"/>
      <c r="S2131" s="198"/>
      <c r="T2131" s="198"/>
      <c r="U2131" s="198"/>
      <c r="V2131" s="198"/>
      <c r="W2131" s="198"/>
      <c r="X2131" s="198"/>
    </row>
    <row r="2132" ht="12.0" customHeight="1">
      <c r="A2132" s="222" t="str">
        <f>IF(COUNTIFS(RC_OUT[BLOCK],RC_IN[BLOCK],RC_OUT[REMARKS],"*CLOSED*")&gt;0,"CLOSED",IF(COUNTIFS(RC_OUT[BLOCK],RC_IN[BLOCK],RC_OUT[WT],"&gt;0")&gt;0,"IN-USE",""))
</f>
        <v/>
      </c>
      <c r="B2132" s="223" t="str">
        <f>IFERROR(__xludf.DUMMYFUNCTION("IFERROR(IF(F2132&lt;&gt;"""",""WHSE ""&amp;LEFT(F2132,1),REGEXEXTRACT(E2132,""-(?:\d{2}-)?([A-Z]+)"")),"""")
"),"")</f>
        <v/>
      </c>
      <c r="C2132" s="224"/>
      <c r="D2132" s="219"/>
      <c r="E2132" s="225"/>
      <c r="F2132" s="225"/>
      <c r="G2132" s="226"/>
      <c r="H2132" s="225"/>
      <c r="I2132" s="227"/>
      <c r="J2132" s="228"/>
      <c r="K2132" s="229"/>
      <c r="L2132" s="229"/>
      <c r="M2132" s="229"/>
      <c r="N2132" s="230"/>
      <c r="O2132" s="228"/>
      <c r="P2132" s="230"/>
      <c r="Q2132" s="219"/>
      <c r="R2132" s="198"/>
      <c r="S2132" s="198"/>
      <c r="T2132" s="198"/>
      <c r="U2132" s="198"/>
      <c r="V2132" s="198"/>
      <c r="W2132" s="198"/>
      <c r="X2132" s="198"/>
    </row>
    <row r="2133" ht="12.0" customHeight="1">
      <c r="A2133" s="222" t="str">
        <f>IF(COUNTIFS(RC_OUT[BLOCK],RC_IN[BLOCK],RC_OUT[REMARKS],"*CLOSED*")&gt;0,"CLOSED",IF(COUNTIFS(RC_OUT[BLOCK],RC_IN[BLOCK],RC_OUT[WT],"&gt;0")&gt;0,"IN-USE",""))
</f>
        <v/>
      </c>
      <c r="B2133" s="223" t="str">
        <f>IFERROR(__xludf.DUMMYFUNCTION("IFERROR(IF(F2133&lt;&gt;"""",""WHSE ""&amp;LEFT(F2133,1),REGEXEXTRACT(E2133,""-(?:\d{2}-)?([A-Z]+)"")),"""")
"),"")</f>
        <v/>
      </c>
      <c r="C2133" s="224"/>
      <c r="D2133" s="219"/>
      <c r="E2133" s="225"/>
      <c r="F2133" s="225"/>
      <c r="G2133" s="226"/>
      <c r="H2133" s="225"/>
      <c r="I2133" s="227"/>
      <c r="J2133" s="228"/>
      <c r="K2133" s="229"/>
      <c r="L2133" s="229"/>
      <c r="M2133" s="229"/>
      <c r="N2133" s="230"/>
      <c r="O2133" s="228"/>
      <c r="P2133" s="230"/>
      <c r="Q2133" s="219"/>
      <c r="R2133" s="198"/>
      <c r="S2133" s="198"/>
      <c r="T2133" s="198"/>
      <c r="U2133" s="198"/>
      <c r="V2133" s="198"/>
      <c r="W2133" s="198"/>
      <c r="X2133" s="198"/>
    </row>
    <row r="2134" ht="12.0" customHeight="1">
      <c r="A2134" s="222" t="str">
        <f>IF(COUNTIFS(RC_OUT[BLOCK],RC_IN[BLOCK],RC_OUT[REMARKS],"*CLOSED*")&gt;0,"CLOSED",IF(COUNTIFS(RC_OUT[BLOCK],RC_IN[BLOCK],RC_OUT[WT],"&gt;0")&gt;0,"IN-USE",""))
</f>
        <v/>
      </c>
      <c r="B2134" s="223" t="str">
        <f>IFERROR(__xludf.DUMMYFUNCTION("IFERROR(IF(F2134&lt;&gt;"""",""WHSE ""&amp;LEFT(F2134,1),REGEXEXTRACT(E2134,""-(?:\d{2}-)?([A-Z]+)"")),"""")
"),"")</f>
        <v/>
      </c>
      <c r="C2134" s="224"/>
      <c r="D2134" s="219"/>
      <c r="E2134" s="225"/>
      <c r="F2134" s="225"/>
      <c r="G2134" s="226"/>
      <c r="H2134" s="225"/>
      <c r="I2134" s="227"/>
      <c r="J2134" s="228"/>
      <c r="K2134" s="229"/>
      <c r="L2134" s="229"/>
      <c r="M2134" s="229"/>
      <c r="N2134" s="230"/>
      <c r="O2134" s="228"/>
      <c r="P2134" s="230"/>
      <c r="Q2134" s="219"/>
      <c r="R2134" s="198"/>
      <c r="S2134" s="198"/>
      <c r="T2134" s="198"/>
      <c r="U2134" s="198"/>
      <c r="V2134" s="198"/>
      <c r="W2134" s="198"/>
      <c r="X2134" s="198"/>
    </row>
    <row r="2135" ht="12.0" customHeight="1">
      <c r="A2135" s="222" t="str">
        <f>IF(COUNTIFS(RC_OUT[BLOCK],RC_IN[BLOCK],RC_OUT[REMARKS],"*CLOSED*")&gt;0,"CLOSED",IF(COUNTIFS(RC_OUT[BLOCK],RC_IN[BLOCK],RC_OUT[WT],"&gt;0")&gt;0,"IN-USE",""))
</f>
        <v/>
      </c>
      <c r="B2135" s="223" t="str">
        <f>IFERROR(__xludf.DUMMYFUNCTION("IFERROR(IF(F2135&lt;&gt;"""",""WHSE ""&amp;LEFT(F2135,1),REGEXEXTRACT(E2135,""-(?:\d{2}-)?([A-Z]+)"")),"""")
"),"")</f>
        <v/>
      </c>
      <c r="C2135" s="224"/>
      <c r="D2135" s="219"/>
      <c r="E2135" s="225"/>
      <c r="F2135" s="225"/>
      <c r="G2135" s="226"/>
      <c r="H2135" s="225"/>
      <c r="I2135" s="227"/>
      <c r="J2135" s="228"/>
      <c r="K2135" s="229"/>
      <c r="L2135" s="229"/>
      <c r="M2135" s="229"/>
      <c r="N2135" s="230"/>
      <c r="O2135" s="228"/>
      <c r="P2135" s="230"/>
      <c r="Q2135" s="219"/>
      <c r="R2135" s="198"/>
      <c r="S2135" s="198"/>
      <c r="T2135" s="198"/>
      <c r="U2135" s="198"/>
      <c r="V2135" s="198"/>
      <c r="W2135" s="198"/>
      <c r="X2135" s="198"/>
    </row>
    <row r="2136" ht="12.0" customHeight="1">
      <c r="A2136" s="222" t="str">
        <f>IF(COUNTIFS(RC_OUT[BLOCK],RC_IN[BLOCK],RC_OUT[REMARKS],"*CLOSED*")&gt;0,"CLOSED",IF(COUNTIFS(RC_OUT[BLOCK],RC_IN[BLOCK],RC_OUT[WT],"&gt;0")&gt;0,"IN-USE",""))
</f>
        <v/>
      </c>
      <c r="B2136" s="223" t="str">
        <f>IFERROR(__xludf.DUMMYFUNCTION("IFERROR(IF(F2136&lt;&gt;"""",""WHSE ""&amp;LEFT(F2136,1),REGEXEXTRACT(E2136,""-(?:\d{2}-)?([A-Z]+)"")),"""")
"),"")</f>
        <v/>
      </c>
      <c r="C2136" s="224"/>
      <c r="D2136" s="219"/>
      <c r="E2136" s="225"/>
      <c r="F2136" s="225"/>
      <c r="G2136" s="226"/>
      <c r="H2136" s="225"/>
      <c r="I2136" s="227"/>
      <c r="J2136" s="228"/>
      <c r="K2136" s="229"/>
      <c r="L2136" s="229"/>
      <c r="M2136" s="229"/>
      <c r="N2136" s="230"/>
      <c r="O2136" s="228"/>
      <c r="P2136" s="230"/>
      <c r="Q2136" s="219"/>
      <c r="R2136" s="198"/>
      <c r="S2136" s="198"/>
      <c r="T2136" s="198"/>
      <c r="U2136" s="198"/>
      <c r="V2136" s="198"/>
      <c r="W2136" s="198"/>
      <c r="X2136" s="198"/>
    </row>
    <row r="2137" ht="12.0" customHeight="1">
      <c r="A2137" s="222" t="str">
        <f>IF(COUNTIFS(RC_OUT[BLOCK],RC_IN[BLOCK],RC_OUT[REMARKS],"*CLOSED*")&gt;0,"CLOSED",IF(COUNTIFS(RC_OUT[BLOCK],RC_IN[BLOCK],RC_OUT[WT],"&gt;0")&gt;0,"IN-USE",""))
</f>
        <v/>
      </c>
      <c r="B2137" s="223" t="str">
        <f>IFERROR(__xludf.DUMMYFUNCTION("IFERROR(IF(F2137&lt;&gt;"""",""WHSE ""&amp;LEFT(F2137,1),REGEXEXTRACT(E2137,""-(?:\d{2}-)?([A-Z]+)"")),"""")
"),"")</f>
        <v/>
      </c>
      <c r="C2137" s="224"/>
      <c r="D2137" s="219"/>
      <c r="E2137" s="225"/>
      <c r="F2137" s="225"/>
      <c r="G2137" s="226"/>
      <c r="H2137" s="225"/>
      <c r="I2137" s="227"/>
      <c r="J2137" s="228"/>
      <c r="K2137" s="229"/>
      <c r="L2137" s="229"/>
      <c r="M2137" s="229"/>
      <c r="N2137" s="230"/>
      <c r="O2137" s="228"/>
      <c r="P2137" s="230"/>
      <c r="Q2137" s="219"/>
      <c r="R2137" s="198"/>
      <c r="S2137" s="198"/>
      <c r="T2137" s="198"/>
      <c r="U2137" s="198"/>
      <c r="V2137" s="198"/>
      <c r="W2137" s="198"/>
      <c r="X2137" s="198"/>
    </row>
    <row r="2138" ht="12.0" customHeight="1">
      <c r="A2138" s="222" t="str">
        <f>IF(COUNTIFS(RC_OUT[BLOCK],RC_IN[BLOCK],RC_OUT[REMARKS],"*CLOSED*")&gt;0,"CLOSED",IF(COUNTIFS(RC_OUT[BLOCK],RC_IN[BLOCK],RC_OUT[WT],"&gt;0")&gt;0,"IN-USE",""))
</f>
        <v/>
      </c>
      <c r="B2138" s="223" t="str">
        <f>IFERROR(__xludf.DUMMYFUNCTION("IFERROR(IF(F2138&lt;&gt;"""",""WHSE ""&amp;LEFT(F2138,1),REGEXEXTRACT(E2138,""-(?:\d{2}-)?([A-Z]+)"")),"""")
"),"")</f>
        <v/>
      </c>
      <c r="C2138" s="224"/>
      <c r="D2138" s="219"/>
      <c r="E2138" s="225"/>
      <c r="F2138" s="225"/>
      <c r="G2138" s="226"/>
      <c r="H2138" s="225"/>
      <c r="I2138" s="227"/>
      <c r="J2138" s="228"/>
      <c r="K2138" s="229"/>
      <c r="L2138" s="229"/>
      <c r="M2138" s="229"/>
      <c r="N2138" s="230"/>
      <c r="O2138" s="228"/>
      <c r="P2138" s="230"/>
      <c r="Q2138" s="219"/>
      <c r="R2138" s="198"/>
      <c r="S2138" s="198"/>
      <c r="T2138" s="198"/>
      <c r="U2138" s="198"/>
      <c r="V2138" s="198"/>
      <c r="W2138" s="198"/>
      <c r="X2138" s="198"/>
    </row>
    <row r="2139" ht="12.0" customHeight="1">
      <c r="A2139" s="222" t="str">
        <f>IF(COUNTIFS(RC_OUT[BLOCK],RC_IN[BLOCK],RC_OUT[REMARKS],"*CLOSED*")&gt;0,"CLOSED",IF(COUNTIFS(RC_OUT[BLOCK],RC_IN[BLOCK],RC_OUT[WT],"&gt;0")&gt;0,"IN-USE",""))
</f>
        <v/>
      </c>
      <c r="B2139" s="223" t="str">
        <f>IFERROR(__xludf.DUMMYFUNCTION("IFERROR(IF(F2139&lt;&gt;"""",""WHSE ""&amp;LEFT(F2139,1),REGEXEXTRACT(E2139,""-(?:\d{2}-)?([A-Z]+)"")),"""")
"),"")</f>
        <v/>
      </c>
      <c r="C2139" s="224"/>
      <c r="D2139" s="219"/>
      <c r="E2139" s="225"/>
      <c r="F2139" s="225"/>
      <c r="G2139" s="226"/>
      <c r="H2139" s="225"/>
      <c r="I2139" s="227"/>
      <c r="J2139" s="228"/>
      <c r="K2139" s="229"/>
      <c r="L2139" s="229"/>
      <c r="M2139" s="229"/>
      <c r="N2139" s="230"/>
      <c r="O2139" s="228"/>
      <c r="P2139" s="230"/>
      <c r="Q2139" s="219"/>
      <c r="R2139" s="198"/>
      <c r="S2139" s="198"/>
      <c r="T2139" s="198"/>
      <c r="U2139" s="198"/>
      <c r="V2139" s="198"/>
      <c r="W2139" s="198"/>
      <c r="X2139" s="198"/>
    </row>
    <row r="2140" ht="12.0" customHeight="1">
      <c r="A2140" s="222" t="str">
        <f>IF(COUNTIFS(RC_OUT[BLOCK],RC_IN[BLOCK],RC_OUT[REMARKS],"*CLOSED*")&gt;0,"CLOSED",IF(COUNTIFS(RC_OUT[BLOCK],RC_IN[BLOCK],RC_OUT[WT],"&gt;0")&gt;0,"IN-USE",""))
</f>
        <v/>
      </c>
      <c r="B2140" s="223" t="str">
        <f>IFERROR(__xludf.DUMMYFUNCTION("IFERROR(IF(F2140&lt;&gt;"""",""WHSE ""&amp;LEFT(F2140,1),REGEXEXTRACT(E2140,""-(?:\d{2}-)?([A-Z]+)"")),"""")
"),"")</f>
        <v/>
      </c>
      <c r="C2140" s="224"/>
      <c r="D2140" s="219"/>
      <c r="E2140" s="225"/>
      <c r="F2140" s="225"/>
      <c r="G2140" s="226"/>
      <c r="H2140" s="225"/>
      <c r="I2140" s="227"/>
      <c r="J2140" s="228"/>
      <c r="K2140" s="229"/>
      <c r="L2140" s="229"/>
      <c r="M2140" s="229"/>
      <c r="N2140" s="230"/>
      <c r="O2140" s="228"/>
      <c r="P2140" s="230"/>
      <c r="Q2140" s="219"/>
      <c r="R2140" s="198"/>
      <c r="S2140" s="198"/>
      <c r="T2140" s="198"/>
      <c r="U2140" s="198"/>
      <c r="V2140" s="198"/>
      <c r="W2140" s="198"/>
      <c r="X2140" s="198"/>
    </row>
    <row r="2141" ht="12.0" customHeight="1">
      <c r="A2141" s="222" t="str">
        <f>IF(COUNTIFS(RC_OUT[BLOCK],RC_IN[BLOCK],RC_OUT[REMARKS],"*CLOSED*")&gt;0,"CLOSED",IF(COUNTIFS(RC_OUT[BLOCK],RC_IN[BLOCK],RC_OUT[WT],"&gt;0")&gt;0,"IN-USE",""))
</f>
        <v/>
      </c>
      <c r="B2141" s="223" t="str">
        <f>IFERROR(__xludf.DUMMYFUNCTION("IFERROR(IF(F2141&lt;&gt;"""",""WHSE ""&amp;LEFT(F2141,1),REGEXEXTRACT(E2141,""-(?:\d{2}-)?([A-Z]+)"")),"""")
"),"")</f>
        <v/>
      </c>
      <c r="C2141" s="224"/>
      <c r="D2141" s="219"/>
      <c r="E2141" s="225"/>
      <c r="F2141" s="225"/>
      <c r="G2141" s="226"/>
      <c r="H2141" s="225"/>
      <c r="I2141" s="227"/>
      <c r="J2141" s="228"/>
      <c r="K2141" s="229"/>
      <c r="L2141" s="229"/>
      <c r="M2141" s="229"/>
      <c r="N2141" s="230"/>
      <c r="O2141" s="228"/>
      <c r="P2141" s="230"/>
      <c r="Q2141" s="219"/>
      <c r="R2141" s="198"/>
      <c r="S2141" s="198"/>
      <c r="T2141" s="198"/>
      <c r="U2141" s="198"/>
      <c r="V2141" s="198"/>
      <c r="W2141" s="198"/>
      <c r="X2141" s="198"/>
    </row>
    <row r="2142" ht="12.0" customHeight="1">
      <c r="A2142" s="222" t="str">
        <f>IF(COUNTIFS(RC_OUT[BLOCK],RC_IN[BLOCK],RC_OUT[REMARKS],"*CLOSED*")&gt;0,"CLOSED",IF(COUNTIFS(RC_OUT[BLOCK],RC_IN[BLOCK],RC_OUT[WT],"&gt;0")&gt;0,"IN-USE",""))
</f>
        <v/>
      </c>
      <c r="B2142" s="223" t="str">
        <f>IFERROR(__xludf.DUMMYFUNCTION("IFERROR(IF(F2142&lt;&gt;"""",""WHSE ""&amp;LEFT(F2142,1),REGEXEXTRACT(E2142,""-(?:\d{2}-)?([A-Z]+)"")),"""")
"),"")</f>
        <v/>
      </c>
      <c r="C2142" s="224"/>
      <c r="D2142" s="219"/>
      <c r="E2142" s="225"/>
      <c r="F2142" s="225"/>
      <c r="G2142" s="226"/>
      <c r="H2142" s="225"/>
      <c r="I2142" s="227"/>
      <c r="J2142" s="228"/>
      <c r="K2142" s="229"/>
      <c r="L2142" s="229"/>
      <c r="M2142" s="229"/>
      <c r="N2142" s="230"/>
      <c r="O2142" s="228"/>
      <c r="P2142" s="230"/>
      <c r="Q2142" s="219"/>
      <c r="R2142" s="198"/>
      <c r="S2142" s="198"/>
      <c r="T2142" s="198"/>
      <c r="U2142" s="198"/>
      <c r="V2142" s="198"/>
      <c r="W2142" s="198"/>
      <c r="X2142" s="198"/>
    </row>
    <row r="2143" ht="12.0" customHeight="1">
      <c r="A2143" s="222" t="str">
        <f>IF(COUNTIFS(RC_OUT[BLOCK],RC_IN[BLOCK],RC_OUT[REMARKS],"*CLOSED*")&gt;0,"CLOSED",IF(COUNTIFS(RC_OUT[BLOCK],RC_IN[BLOCK],RC_OUT[WT],"&gt;0")&gt;0,"IN-USE",""))
</f>
        <v/>
      </c>
      <c r="B2143" s="223" t="str">
        <f>IFERROR(__xludf.DUMMYFUNCTION("IFERROR(IF(F2143&lt;&gt;"""",""WHSE ""&amp;LEFT(F2143,1),REGEXEXTRACT(E2143,""-(?:\d{2}-)?([A-Z]+)"")),"""")
"),"")</f>
        <v/>
      </c>
      <c r="C2143" s="224"/>
      <c r="D2143" s="219"/>
      <c r="E2143" s="225"/>
      <c r="F2143" s="225"/>
      <c r="G2143" s="226"/>
      <c r="H2143" s="225"/>
      <c r="I2143" s="227"/>
      <c r="J2143" s="228"/>
      <c r="K2143" s="229"/>
      <c r="L2143" s="229"/>
      <c r="M2143" s="229"/>
      <c r="N2143" s="230"/>
      <c r="O2143" s="228"/>
      <c r="P2143" s="230"/>
      <c r="Q2143" s="219"/>
      <c r="R2143" s="198"/>
      <c r="S2143" s="198"/>
      <c r="T2143" s="198"/>
      <c r="U2143" s="198"/>
      <c r="V2143" s="198"/>
      <c r="W2143" s="198"/>
      <c r="X2143" s="198"/>
    </row>
    <row r="2144" ht="12.0" customHeight="1">
      <c r="A2144" s="222" t="str">
        <f>IF(COUNTIFS(RC_OUT[BLOCK],RC_IN[BLOCK],RC_OUT[REMARKS],"*CLOSED*")&gt;0,"CLOSED",IF(COUNTIFS(RC_OUT[BLOCK],RC_IN[BLOCK],RC_OUT[WT],"&gt;0")&gt;0,"IN-USE",""))
</f>
        <v/>
      </c>
      <c r="B2144" s="223" t="str">
        <f>IFERROR(__xludf.DUMMYFUNCTION("IFERROR(IF(F2144&lt;&gt;"""",""WHSE ""&amp;LEFT(F2144,1),REGEXEXTRACT(E2144,""-(?:\d{2}-)?([A-Z]+)"")),"""")
"),"")</f>
        <v/>
      </c>
      <c r="C2144" s="224"/>
      <c r="D2144" s="219"/>
      <c r="E2144" s="225"/>
      <c r="F2144" s="225"/>
      <c r="G2144" s="226"/>
      <c r="H2144" s="225"/>
      <c r="I2144" s="227"/>
      <c r="J2144" s="228"/>
      <c r="K2144" s="229"/>
      <c r="L2144" s="229"/>
      <c r="M2144" s="229"/>
      <c r="N2144" s="230"/>
      <c r="O2144" s="228"/>
      <c r="P2144" s="230"/>
      <c r="Q2144" s="219"/>
      <c r="R2144" s="198"/>
      <c r="S2144" s="198"/>
      <c r="T2144" s="198"/>
      <c r="U2144" s="198"/>
      <c r="V2144" s="198"/>
      <c r="W2144" s="198"/>
      <c r="X2144" s="198"/>
    </row>
    <row r="2145" ht="12.0" customHeight="1">
      <c r="A2145" s="222" t="str">
        <f>IF(COUNTIFS(RC_OUT[BLOCK],RC_IN[BLOCK],RC_OUT[REMARKS],"*CLOSED*")&gt;0,"CLOSED",IF(COUNTIFS(RC_OUT[BLOCK],RC_IN[BLOCK],RC_OUT[WT],"&gt;0")&gt;0,"IN-USE",""))
</f>
        <v/>
      </c>
      <c r="B2145" s="223" t="str">
        <f>IFERROR(__xludf.DUMMYFUNCTION("IFERROR(IF(F2145&lt;&gt;"""",""WHSE ""&amp;LEFT(F2145,1),REGEXEXTRACT(E2145,""-(?:\d{2}-)?([A-Z]+)"")),"""")
"),"")</f>
        <v/>
      </c>
      <c r="C2145" s="224"/>
      <c r="D2145" s="219"/>
      <c r="E2145" s="225"/>
      <c r="F2145" s="225"/>
      <c r="G2145" s="226"/>
      <c r="H2145" s="225"/>
      <c r="I2145" s="227"/>
      <c r="J2145" s="228"/>
      <c r="K2145" s="229"/>
      <c r="L2145" s="229"/>
      <c r="M2145" s="229"/>
      <c r="N2145" s="230"/>
      <c r="O2145" s="228"/>
      <c r="P2145" s="230"/>
      <c r="Q2145" s="219"/>
      <c r="R2145" s="198"/>
      <c r="S2145" s="198"/>
      <c r="T2145" s="198"/>
      <c r="U2145" s="198"/>
      <c r="V2145" s="198"/>
      <c r="W2145" s="198"/>
      <c r="X2145" s="198"/>
    </row>
    <row r="2146" ht="12.0" customHeight="1">
      <c r="A2146" s="222" t="str">
        <f>IF(COUNTIFS(RC_OUT[BLOCK],RC_IN[BLOCK],RC_OUT[REMARKS],"*CLOSED*")&gt;0,"CLOSED",IF(COUNTIFS(RC_OUT[BLOCK],RC_IN[BLOCK],RC_OUT[WT],"&gt;0")&gt;0,"IN-USE",""))
</f>
        <v/>
      </c>
      <c r="B2146" s="223" t="str">
        <f>IFERROR(__xludf.DUMMYFUNCTION("IFERROR(IF(F2146&lt;&gt;"""",""WHSE ""&amp;LEFT(F2146,1),REGEXEXTRACT(E2146,""-(?:\d{2}-)?([A-Z]+)"")),"""")
"),"")</f>
        <v/>
      </c>
      <c r="C2146" s="224"/>
      <c r="D2146" s="219"/>
      <c r="E2146" s="225"/>
      <c r="F2146" s="225"/>
      <c r="G2146" s="226"/>
      <c r="H2146" s="225"/>
      <c r="I2146" s="227"/>
      <c r="J2146" s="228"/>
      <c r="K2146" s="229"/>
      <c r="L2146" s="229"/>
      <c r="M2146" s="229"/>
      <c r="N2146" s="230"/>
      <c r="O2146" s="228"/>
      <c r="P2146" s="230"/>
      <c r="Q2146" s="219"/>
      <c r="R2146" s="198"/>
      <c r="S2146" s="198"/>
      <c r="T2146" s="198"/>
      <c r="U2146" s="198"/>
      <c r="V2146" s="198"/>
      <c r="W2146" s="198"/>
      <c r="X2146" s="198"/>
    </row>
    <row r="2147" ht="12.0" customHeight="1">
      <c r="A2147" s="222" t="str">
        <f>IF(COUNTIFS(RC_OUT[BLOCK],RC_IN[BLOCK],RC_OUT[REMARKS],"*CLOSED*")&gt;0,"CLOSED",IF(COUNTIFS(RC_OUT[BLOCK],RC_IN[BLOCK],RC_OUT[WT],"&gt;0")&gt;0,"IN-USE",""))
</f>
        <v/>
      </c>
      <c r="B2147" s="223" t="str">
        <f>IFERROR(__xludf.DUMMYFUNCTION("IFERROR(IF(F2147&lt;&gt;"""",""WHSE ""&amp;LEFT(F2147,1),REGEXEXTRACT(E2147,""-(?:\d{2}-)?([A-Z]+)"")),"""")
"),"")</f>
        <v/>
      </c>
      <c r="C2147" s="224"/>
      <c r="D2147" s="219"/>
      <c r="E2147" s="225"/>
      <c r="F2147" s="225"/>
      <c r="G2147" s="226"/>
      <c r="H2147" s="225"/>
      <c r="I2147" s="227"/>
      <c r="J2147" s="228"/>
      <c r="K2147" s="229"/>
      <c r="L2147" s="229"/>
      <c r="M2147" s="229"/>
      <c r="N2147" s="230"/>
      <c r="O2147" s="228"/>
      <c r="P2147" s="230"/>
      <c r="Q2147" s="219"/>
      <c r="R2147" s="198"/>
      <c r="S2147" s="198"/>
      <c r="T2147" s="198"/>
      <c r="U2147" s="198"/>
      <c r="V2147" s="198"/>
      <c r="W2147" s="198"/>
      <c r="X2147" s="198"/>
    </row>
    <row r="2148" ht="12.0" customHeight="1">
      <c r="A2148" s="222" t="str">
        <f>IF(COUNTIFS(RC_OUT[BLOCK],RC_IN[BLOCK],RC_OUT[REMARKS],"*CLOSED*")&gt;0,"CLOSED",IF(COUNTIFS(RC_OUT[BLOCK],RC_IN[BLOCK],RC_OUT[WT],"&gt;0")&gt;0,"IN-USE",""))
</f>
        <v/>
      </c>
      <c r="B2148" s="223" t="str">
        <f>IFERROR(__xludf.DUMMYFUNCTION("IFERROR(IF(F2148&lt;&gt;"""",""WHSE ""&amp;LEFT(F2148,1),REGEXEXTRACT(E2148,""-(?:\d{2}-)?([A-Z]+)"")),"""")
"),"")</f>
        <v/>
      </c>
      <c r="C2148" s="224"/>
      <c r="D2148" s="219"/>
      <c r="E2148" s="225"/>
      <c r="F2148" s="225"/>
      <c r="G2148" s="226"/>
      <c r="H2148" s="225"/>
      <c r="I2148" s="227"/>
      <c r="J2148" s="228"/>
      <c r="K2148" s="229"/>
      <c r="L2148" s="229"/>
      <c r="M2148" s="229"/>
      <c r="N2148" s="230"/>
      <c r="O2148" s="228"/>
      <c r="P2148" s="230"/>
      <c r="Q2148" s="219"/>
      <c r="R2148" s="198"/>
      <c r="S2148" s="198"/>
      <c r="T2148" s="198"/>
      <c r="U2148" s="198"/>
      <c r="V2148" s="198"/>
      <c r="W2148" s="198"/>
      <c r="X2148" s="198"/>
    </row>
    <row r="2149" ht="12.0" customHeight="1">
      <c r="A2149" s="222" t="str">
        <f>IF(COUNTIFS(RC_OUT[BLOCK],RC_IN[BLOCK],RC_OUT[REMARKS],"*CLOSED*")&gt;0,"CLOSED",IF(COUNTIFS(RC_OUT[BLOCK],RC_IN[BLOCK],RC_OUT[WT],"&gt;0")&gt;0,"IN-USE",""))
</f>
        <v/>
      </c>
      <c r="B2149" s="223" t="str">
        <f>IFERROR(__xludf.DUMMYFUNCTION("IFERROR(IF(F2149&lt;&gt;"""",""WHSE ""&amp;LEFT(F2149,1),REGEXEXTRACT(E2149,""-(?:\d{2}-)?([A-Z]+)"")),"""")
"),"")</f>
        <v/>
      </c>
      <c r="C2149" s="224"/>
      <c r="D2149" s="219"/>
      <c r="E2149" s="225"/>
      <c r="F2149" s="225"/>
      <c r="G2149" s="226"/>
      <c r="H2149" s="225"/>
      <c r="I2149" s="227"/>
      <c r="J2149" s="228"/>
      <c r="K2149" s="229"/>
      <c r="L2149" s="229"/>
      <c r="M2149" s="229"/>
      <c r="N2149" s="230"/>
      <c r="O2149" s="228"/>
      <c r="P2149" s="230"/>
      <c r="Q2149" s="219"/>
      <c r="R2149" s="198"/>
      <c r="S2149" s="198"/>
      <c r="T2149" s="198"/>
      <c r="U2149" s="198"/>
      <c r="V2149" s="198"/>
      <c r="W2149" s="198"/>
      <c r="X2149" s="198"/>
    </row>
    <row r="2150" ht="12.0" customHeight="1">
      <c r="A2150" s="222" t="str">
        <f>IF(COUNTIFS(RC_OUT[BLOCK],RC_IN[BLOCK],RC_OUT[REMARKS],"*CLOSED*")&gt;0,"CLOSED",IF(COUNTIFS(RC_OUT[BLOCK],RC_IN[BLOCK],RC_OUT[WT],"&gt;0")&gt;0,"IN-USE",""))
</f>
        <v/>
      </c>
      <c r="B2150" s="223" t="str">
        <f>IFERROR(__xludf.DUMMYFUNCTION("IFERROR(IF(F2150&lt;&gt;"""",""WHSE ""&amp;LEFT(F2150,1),REGEXEXTRACT(E2150,""-(?:\d{2}-)?([A-Z]+)"")),"""")
"),"")</f>
        <v/>
      </c>
      <c r="C2150" s="224"/>
      <c r="D2150" s="219"/>
      <c r="E2150" s="225"/>
      <c r="F2150" s="225"/>
      <c r="G2150" s="226"/>
      <c r="H2150" s="225"/>
      <c r="I2150" s="227"/>
      <c r="J2150" s="228"/>
      <c r="K2150" s="229"/>
      <c r="L2150" s="229"/>
      <c r="M2150" s="229"/>
      <c r="N2150" s="230"/>
      <c r="O2150" s="228"/>
      <c r="P2150" s="230"/>
      <c r="Q2150" s="219"/>
      <c r="R2150" s="198"/>
      <c r="S2150" s="198"/>
      <c r="T2150" s="198"/>
      <c r="U2150" s="198"/>
      <c r="V2150" s="198"/>
      <c r="W2150" s="198"/>
      <c r="X2150" s="198"/>
    </row>
    <row r="2151" ht="12.0" customHeight="1">
      <c r="A2151" s="222" t="str">
        <f>IF(COUNTIFS(RC_OUT[BLOCK],RC_IN[BLOCK],RC_OUT[REMARKS],"*CLOSED*")&gt;0,"CLOSED",IF(COUNTIFS(RC_OUT[BLOCK],RC_IN[BLOCK],RC_OUT[WT],"&gt;0")&gt;0,"IN-USE",""))
</f>
        <v/>
      </c>
      <c r="B2151" s="223" t="str">
        <f>IFERROR(__xludf.DUMMYFUNCTION("IFERROR(IF(F2151&lt;&gt;"""",""WHSE ""&amp;LEFT(F2151,1),REGEXEXTRACT(E2151,""-(?:\d{2}-)?([A-Z]+)"")),"""")
"),"")</f>
        <v/>
      </c>
      <c r="C2151" s="224"/>
      <c r="D2151" s="219"/>
      <c r="E2151" s="225"/>
      <c r="F2151" s="225"/>
      <c r="G2151" s="226"/>
      <c r="H2151" s="225"/>
      <c r="I2151" s="227"/>
      <c r="J2151" s="228"/>
      <c r="K2151" s="229"/>
      <c r="L2151" s="229"/>
      <c r="M2151" s="229"/>
      <c r="N2151" s="230"/>
      <c r="O2151" s="228"/>
      <c r="P2151" s="230"/>
      <c r="Q2151" s="219"/>
      <c r="R2151" s="198"/>
      <c r="S2151" s="198"/>
      <c r="T2151" s="198"/>
      <c r="U2151" s="198"/>
      <c r="V2151" s="198"/>
      <c r="W2151" s="198"/>
      <c r="X2151" s="198"/>
    </row>
    <row r="2152" ht="12.0" customHeight="1">
      <c r="A2152" s="222" t="str">
        <f>IF(COUNTIFS(RC_OUT[BLOCK],RC_IN[BLOCK],RC_OUT[REMARKS],"*CLOSED*")&gt;0,"CLOSED",IF(COUNTIFS(RC_OUT[BLOCK],RC_IN[BLOCK],RC_OUT[WT],"&gt;0")&gt;0,"IN-USE",""))
</f>
        <v/>
      </c>
      <c r="B2152" s="223" t="str">
        <f>IFERROR(__xludf.DUMMYFUNCTION("IFERROR(IF(F2152&lt;&gt;"""",""WHSE ""&amp;LEFT(F2152,1),REGEXEXTRACT(E2152,""-(?:\d{2}-)?([A-Z]+)"")),"""")
"),"")</f>
        <v/>
      </c>
      <c r="C2152" s="224"/>
      <c r="D2152" s="219"/>
      <c r="E2152" s="225"/>
      <c r="F2152" s="225"/>
      <c r="G2152" s="226"/>
      <c r="H2152" s="225"/>
      <c r="I2152" s="227"/>
      <c r="J2152" s="228"/>
      <c r="K2152" s="229"/>
      <c r="L2152" s="229"/>
      <c r="M2152" s="229"/>
      <c r="N2152" s="230"/>
      <c r="O2152" s="228"/>
      <c r="P2152" s="230"/>
      <c r="Q2152" s="219"/>
      <c r="R2152" s="198"/>
      <c r="S2152" s="198"/>
      <c r="T2152" s="198"/>
      <c r="U2152" s="198"/>
      <c r="V2152" s="198"/>
      <c r="W2152" s="198"/>
      <c r="X2152" s="198"/>
    </row>
    <row r="2153" ht="12.0" customHeight="1">
      <c r="A2153" s="222" t="str">
        <f>IF(COUNTIFS(RC_OUT[BLOCK],RC_IN[BLOCK],RC_OUT[REMARKS],"*CLOSED*")&gt;0,"CLOSED",IF(COUNTIFS(RC_OUT[BLOCK],RC_IN[BLOCK],RC_OUT[WT],"&gt;0")&gt;0,"IN-USE",""))
</f>
        <v/>
      </c>
      <c r="B2153" s="223" t="str">
        <f>IFERROR(__xludf.DUMMYFUNCTION("IFERROR(IF(F2153&lt;&gt;"""",""WHSE ""&amp;LEFT(F2153,1),REGEXEXTRACT(E2153,""-(?:\d{2}-)?([A-Z]+)"")),"""")
"),"")</f>
        <v/>
      </c>
      <c r="C2153" s="224"/>
      <c r="D2153" s="219"/>
      <c r="E2153" s="225"/>
      <c r="F2153" s="225"/>
      <c r="G2153" s="226"/>
      <c r="H2153" s="225"/>
      <c r="I2153" s="227"/>
      <c r="J2153" s="228"/>
      <c r="K2153" s="229"/>
      <c r="L2153" s="229"/>
      <c r="M2153" s="229"/>
      <c r="N2153" s="230"/>
      <c r="O2153" s="228"/>
      <c r="P2153" s="230"/>
      <c r="Q2153" s="219"/>
      <c r="R2153" s="198"/>
      <c r="S2153" s="198"/>
      <c r="T2153" s="198"/>
      <c r="U2153" s="198"/>
      <c r="V2153" s="198"/>
      <c r="W2153" s="198"/>
      <c r="X2153" s="198"/>
    </row>
    <row r="2154" ht="12.0" customHeight="1">
      <c r="A2154" s="222" t="str">
        <f>IF(COUNTIFS(RC_OUT[BLOCK],RC_IN[BLOCK],RC_OUT[REMARKS],"*CLOSED*")&gt;0,"CLOSED",IF(COUNTIFS(RC_OUT[BLOCK],RC_IN[BLOCK],RC_OUT[WT],"&gt;0")&gt;0,"IN-USE",""))
</f>
        <v/>
      </c>
      <c r="B2154" s="223" t="str">
        <f>IFERROR(__xludf.DUMMYFUNCTION("IFERROR(IF(F2154&lt;&gt;"""",""WHSE ""&amp;LEFT(F2154,1),REGEXEXTRACT(E2154,""-(?:\d{2}-)?([A-Z]+)"")),"""")
"),"")</f>
        <v/>
      </c>
      <c r="C2154" s="224"/>
      <c r="D2154" s="219"/>
      <c r="E2154" s="225"/>
      <c r="F2154" s="225"/>
      <c r="G2154" s="226"/>
      <c r="H2154" s="225"/>
      <c r="I2154" s="227"/>
      <c r="J2154" s="228"/>
      <c r="K2154" s="229"/>
      <c r="L2154" s="229"/>
      <c r="M2154" s="229"/>
      <c r="N2154" s="230"/>
      <c r="O2154" s="228"/>
      <c r="P2154" s="230"/>
      <c r="Q2154" s="219"/>
      <c r="R2154" s="198"/>
      <c r="S2154" s="198"/>
      <c r="T2154" s="198"/>
      <c r="U2154" s="198"/>
      <c r="V2154" s="198"/>
      <c r="W2154" s="198"/>
      <c r="X2154" s="198"/>
    </row>
    <row r="2155" ht="12.0" customHeight="1">
      <c r="A2155" s="222" t="str">
        <f>IF(COUNTIFS(RC_OUT[BLOCK],RC_IN[BLOCK],RC_OUT[REMARKS],"*CLOSED*")&gt;0,"CLOSED",IF(COUNTIFS(RC_OUT[BLOCK],RC_IN[BLOCK],RC_OUT[WT],"&gt;0")&gt;0,"IN-USE",""))
</f>
        <v/>
      </c>
      <c r="B2155" s="223" t="str">
        <f>IFERROR(__xludf.DUMMYFUNCTION("IFERROR(IF(F2155&lt;&gt;"""",""WHSE ""&amp;LEFT(F2155,1),REGEXEXTRACT(E2155,""-(?:\d{2}-)?([A-Z]+)"")),"""")
"),"")</f>
        <v/>
      </c>
      <c r="C2155" s="224"/>
      <c r="D2155" s="219"/>
      <c r="E2155" s="225"/>
      <c r="F2155" s="225"/>
      <c r="G2155" s="226"/>
      <c r="H2155" s="225"/>
      <c r="I2155" s="227"/>
      <c r="J2155" s="228"/>
      <c r="K2155" s="229"/>
      <c r="L2155" s="229"/>
      <c r="M2155" s="229"/>
      <c r="N2155" s="230"/>
      <c r="O2155" s="228"/>
      <c r="P2155" s="230"/>
      <c r="Q2155" s="219"/>
      <c r="R2155" s="198"/>
      <c r="S2155" s="198"/>
      <c r="T2155" s="198"/>
      <c r="U2155" s="198"/>
      <c r="V2155" s="198"/>
      <c r="W2155" s="198"/>
      <c r="X2155" s="198"/>
    </row>
    <row r="2156" ht="12.0" customHeight="1">
      <c r="A2156" s="222" t="str">
        <f>IF(COUNTIFS(RC_OUT[BLOCK],RC_IN[BLOCK],RC_OUT[REMARKS],"*CLOSED*")&gt;0,"CLOSED",IF(COUNTIFS(RC_OUT[BLOCK],RC_IN[BLOCK],RC_OUT[WT],"&gt;0")&gt;0,"IN-USE",""))
</f>
        <v/>
      </c>
      <c r="B2156" s="223" t="str">
        <f>IFERROR(__xludf.DUMMYFUNCTION("IFERROR(IF(F2156&lt;&gt;"""",""WHSE ""&amp;LEFT(F2156,1),REGEXEXTRACT(E2156,""-(?:\d{2}-)?([A-Z]+)"")),"""")
"),"")</f>
        <v/>
      </c>
      <c r="C2156" s="224"/>
      <c r="D2156" s="219"/>
      <c r="E2156" s="225"/>
      <c r="F2156" s="225"/>
      <c r="G2156" s="226"/>
      <c r="H2156" s="225"/>
      <c r="I2156" s="227"/>
      <c r="J2156" s="228"/>
      <c r="K2156" s="229"/>
      <c r="L2156" s="229"/>
      <c r="M2156" s="229"/>
      <c r="N2156" s="230"/>
      <c r="O2156" s="228"/>
      <c r="P2156" s="230"/>
      <c r="Q2156" s="219"/>
      <c r="R2156" s="198"/>
      <c r="S2156" s="198"/>
      <c r="T2156" s="198"/>
      <c r="U2156" s="198"/>
      <c r="V2156" s="198"/>
      <c r="W2156" s="198"/>
      <c r="X2156" s="198"/>
    </row>
    <row r="2157" ht="12.0" customHeight="1">
      <c r="A2157" s="222" t="str">
        <f>IF(COUNTIFS(RC_OUT[BLOCK],RC_IN[BLOCK],RC_OUT[REMARKS],"*CLOSED*")&gt;0,"CLOSED",IF(COUNTIFS(RC_OUT[BLOCK],RC_IN[BLOCK],RC_OUT[WT],"&gt;0")&gt;0,"IN-USE",""))
</f>
        <v/>
      </c>
      <c r="B2157" s="223" t="str">
        <f>IFERROR(__xludf.DUMMYFUNCTION("IFERROR(IF(F2157&lt;&gt;"""",""WHSE ""&amp;LEFT(F2157,1),REGEXEXTRACT(E2157,""-(?:\d{2}-)?([A-Z]+)"")),"""")
"),"")</f>
        <v/>
      </c>
      <c r="C2157" s="224"/>
      <c r="D2157" s="219"/>
      <c r="E2157" s="225"/>
      <c r="F2157" s="225"/>
      <c r="G2157" s="226"/>
      <c r="H2157" s="225"/>
      <c r="I2157" s="227"/>
      <c r="J2157" s="228"/>
      <c r="K2157" s="229"/>
      <c r="L2157" s="229"/>
      <c r="M2157" s="229"/>
      <c r="N2157" s="230"/>
      <c r="O2157" s="228"/>
      <c r="P2157" s="230"/>
      <c r="Q2157" s="219"/>
      <c r="R2157" s="198"/>
      <c r="S2157" s="198"/>
      <c r="T2157" s="198"/>
      <c r="U2157" s="198"/>
      <c r="V2157" s="198"/>
      <c r="W2157" s="198"/>
      <c r="X2157" s="198"/>
    </row>
    <row r="2158" ht="12.0" customHeight="1">
      <c r="A2158" s="222" t="str">
        <f>IF(COUNTIFS(RC_OUT[BLOCK],RC_IN[BLOCK],RC_OUT[REMARKS],"*CLOSED*")&gt;0,"CLOSED",IF(COUNTIFS(RC_OUT[BLOCK],RC_IN[BLOCK],RC_OUT[WT],"&gt;0")&gt;0,"IN-USE",""))
</f>
        <v/>
      </c>
      <c r="B2158" s="223" t="str">
        <f>IFERROR(__xludf.DUMMYFUNCTION("IFERROR(IF(F2158&lt;&gt;"""",""WHSE ""&amp;LEFT(F2158,1),REGEXEXTRACT(E2158,""-(?:\d{2}-)?([A-Z]+)"")),"""")
"),"")</f>
        <v/>
      </c>
      <c r="C2158" s="224"/>
      <c r="D2158" s="219"/>
      <c r="E2158" s="225"/>
      <c r="F2158" s="225"/>
      <c r="G2158" s="226"/>
      <c r="H2158" s="225"/>
      <c r="I2158" s="227"/>
      <c r="J2158" s="228"/>
      <c r="K2158" s="229"/>
      <c r="L2158" s="229"/>
      <c r="M2158" s="229"/>
      <c r="N2158" s="230"/>
      <c r="O2158" s="228"/>
      <c r="P2158" s="230"/>
      <c r="Q2158" s="219"/>
      <c r="R2158" s="198"/>
      <c r="S2158" s="198"/>
      <c r="T2158" s="198"/>
      <c r="U2158" s="198"/>
      <c r="V2158" s="198"/>
      <c r="W2158" s="198"/>
      <c r="X2158" s="198"/>
    </row>
    <row r="2159" ht="12.0" customHeight="1">
      <c r="A2159" s="222" t="str">
        <f>IF(COUNTIFS(RC_OUT[BLOCK],RC_IN[BLOCK],RC_OUT[REMARKS],"*CLOSED*")&gt;0,"CLOSED",IF(COUNTIFS(RC_OUT[BLOCK],RC_IN[BLOCK],RC_OUT[WT],"&gt;0")&gt;0,"IN-USE",""))
</f>
        <v/>
      </c>
      <c r="B2159" s="223" t="str">
        <f>IFERROR(__xludf.DUMMYFUNCTION("IFERROR(IF(F2159&lt;&gt;"""",""WHSE ""&amp;LEFT(F2159,1),REGEXEXTRACT(E2159,""-(?:\d{2}-)?([A-Z]+)"")),"""")
"),"")</f>
        <v/>
      </c>
      <c r="C2159" s="224"/>
      <c r="D2159" s="219"/>
      <c r="E2159" s="225"/>
      <c r="F2159" s="225"/>
      <c r="G2159" s="226"/>
      <c r="H2159" s="225"/>
      <c r="I2159" s="227"/>
      <c r="J2159" s="228"/>
      <c r="K2159" s="229"/>
      <c r="L2159" s="229"/>
      <c r="M2159" s="229"/>
      <c r="N2159" s="230"/>
      <c r="O2159" s="228"/>
      <c r="P2159" s="230"/>
      <c r="Q2159" s="219"/>
      <c r="R2159" s="198"/>
      <c r="S2159" s="198"/>
      <c r="T2159" s="198"/>
      <c r="U2159" s="198"/>
      <c r="V2159" s="198"/>
      <c r="W2159" s="198"/>
      <c r="X2159" s="198"/>
    </row>
    <row r="2160" ht="12.0" customHeight="1">
      <c r="A2160" s="222" t="str">
        <f>IF(COUNTIFS(RC_OUT[BLOCK],RC_IN[BLOCK],RC_OUT[REMARKS],"*CLOSED*")&gt;0,"CLOSED",IF(COUNTIFS(RC_OUT[BLOCK],RC_IN[BLOCK],RC_OUT[WT],"&gt;0")&gt;0,"IN-USE",""))
</f>
        <v/>
      </c>
      <c r="B2160" s="223" t="str">
        <f>IFERROR(__xludf.DUMMYFUNCTION("IFERROR(IF(F2160&lt;&gt;"""",""WHSE ""&amp;LEFT(F2160,1),REGEXEXTRACT(E2160,""-(?:\d{2}-)?([A-Z]+)"")),"""")
"),"")</f>
        <v/>
      </c>
      <c r="C2160" s="224"/>
      <c r="D2160" s="219"/>
      <c r="E2160" s="225"/>
      <c r="F2160" s="225"/>
      <c r="G2160" s="226"/>
      <c r="H2160" s="225"/>
      <c r="I2160" s="227"/>
      <c r="J2160" s="228"/>
      <c r="K2160" s="229"/>
      <c r="L2160" s="229"/>
      <c r="M2160" s="229"/>
      <c r="N2160" s="230"/>
      <c r="O2160" s="228"/>
      <c r="P2160" s="230"/>
      <c r="Q2160" s="219"/>
      <c r="R2160" s="198"/>
      <c r="S2160" s="198"/>
      <c r="T2160" s="198"/>
      <c r="U2160" s="198"/>
      <c r="V2160" s="198"/>
      <c r="W2160" s="198"/>
      <c r="X2160" s="198"/>
    </row>
    <row r="2161" ht="12.0" customHeight="1">
      <c r="A2161" s="222" t="str">
        <f>IF(COUNTIFS(RC_OUT[BLOCK],RC_IN[BLOCK],RC_OUT[REMARKS],"*CLOSED*")&gt;0,"CLOSED",IF(COUNTIFS(RC_OUT[BLOCK],RC_IN[BLOCK],RC_OUT[WT],"&gt;0")&gt;0,"IN-USE",""))
</f>
        <v/>
      </c>
      <c r="B2161" s="223" t="str">
        <f>IFERROR(__xludf.DUMMYFUNCTION("IFERROR(IF(F2161&lt;&gt;"""",""WHSE ""&amp;LEFT(F2161,1),REGEXEXTRACT(E2161,""-(?:\d{2}-)?([A-Z]+)"")),"""")
"),"")</f>
        <v/>
      </c>
      <c r="C2161" s="224"/>
      <c r="D2161" s="219"/>
      <c r="E2161" s="225"/>
      <c r="F2161" s="225"/>
      <c r="G2161" s="226"/>
      <c r="H2161" s="225"/>
      <c r="I2161" s="227"/>
      <c r="J2161" s="228"/>
      <c r="K2161" s="229"/>
      <c r="L2161" s="229"/>
      <c r="M2161" s="229"/>
      <c r="N2161" s="230"/>
      <c r="O2161" s="228"/>
      <c r="P2161" s="230"/>
      <c r="Q2161" s="219"/>
      <c r="R2161" s="198"/>
      <c r="S2161" s="198"/>
      <c r="T2161" s="198"/>
      <c r="U2161" s="198"/>
      <c r="V2161" s="198"/>
      <c r="W2161" s="198"/>
      <c r="X2161" s="198"/>
    </row>
    <row r="2162" ht="12.0" customHeight="1">
      <c r="A2162" s="222" t="str">
        <f>IF(COUNTIFS(RC_OUT[BLOCK],RC_IN[BLOCK],RC_OUT[REMARKS],"*CLOSED*")&gt;0,"CLOSED",IF(COUNTIFS(RC_OUT[BLOCK],RC_IN[BLOCK],RC_OUT[WT],"&gt;0")&gt;0,"IN-USE",""))
</f>
        <v/>
      </c>
      <c r="B2162" s="223" t="str">
        <f>IFERROR(__xludf.DUMMYFUNCTION("IFERROR(IF(F2162&lt;&gt;"""",""WHSE ""&amp;LEFT(F2162,1),REGEXEXTRACT(E2162,""-(?:\d{2}-)?([A-Z]+)"")),"""")
"),"")</f>
        <v/>
      </c>
      <c r="C2162" s="224"/>
      <c r="D2162" s="219"/>
      <c r="E2162" s="225"/>
      <c r="F2162" s="225"/>
      <c r="G2162" s="226"/>
      <c r="H2162" s="225"/>
      <c r="I2162" s="227"/>
      <c r="J2162" s="228"/>
      <c r="K2162" s="229"/>
      <c r="L2162" s="229"/>
      <c r="M2162" s="229"/>
      <c r="N2162" s="230"/>
      <c r="O2162" s="228"/>
      <c r="P2162" s="230"/>
      <c r="Q2162" s="219"/>
      <c r="R2162" s="198"/>
      <c r="S2162" s="198"/>
      <c r="T2162" s="198"/>
      <c r="U2162" s="198"/>
      <c r="V2162" s="198"/>
      <c r="W2162" s="198"/>
      <c r="X2162" s="198"/>
    </row>
    <row r="2163" ht="12.0" customHeight="1">
      <c r="A2163" s="222" t="str">
        <f>IF(COUNTIFS(RC_OUT[BLOCK],RC_IN[BLOCK],RC_OUT[REMARKS],"*CLOSED*")&gt;0,"CLOSED",IF(COUNTIFS(RC_OUT[BLOCK],RC_IN[BLOCK],RC_OUT[WT],"&gt;0")&gt;0,"IN-USE",""))
</f>
        <v/>
      </c>
      <c r="B2163" s="223" t="str">
        <f>IFERROR(__xludf.DUMMYFUNCTION("IFERROR(IF(F2163&lt;&gt;"""",""WHSE ""&amp;LEFT(F2163,1),REGEXEXTRACT(E2163,""-(?:\d{2}-)?([A-Z]+)"")),"""")
"),"")</f>
        <v/>
      </c>
      <c r="C2163" s="224"/>
      <c r="D2163" s="219"/>
      <c r="E2163" s="225"/>
      <c r="F2163" s="225"/>
      <c r="G2163" s="226"/>
      <c r="H2163" s="225"/>
      <c r="I2163" s="227"/>
      <c r="J2163" s="228"/>
      <c r="K2163" s="229"/>
      <c r="L2163" s="229"/>
      <c r="M2163" s="229"/>
      <c r="N2163" s="230"/>
      <c r="O2163" s="228"/>
      <c r="P2163" s="230"/>
      <c r="Q2163" s="219"/>
      <c r="R2163" s="198"/>
      <c r="S2163" s="198"/>
      <c r="T2163" s="198"/>
      <c r="U2163" s="198"/>
      <c r="V2163" s="198"/>
      <c r="W2163" s="198"/>
      <c r="X2163" s="198"/>
    </row>
    <row r="2164" ht="12.0" customHeight="1">
      <c r="A2164" s="222" t="str">
        <f>IF(COUNTIFS(RC_OUT[BLOCK],RC_IN[BLOCK],RC_OUT[REMARKS],"*CLOSED*")&gt;0,"CLOSED",IF(COUNTIFS(RC_OUT[BLOCK],RC_IN[BLOCK],RC_OUT[WT],"&gt;0")&gt;0,"IN-USE",""))
</f>
        <v/>
      </c>
      <c r="B2164" s="223" t="str">
        <f>IFERROR(__xludf.DUMMYFUNCTION("IFERROR(IF(F2164&lt;&gt;"""",""WHSE ""&amp;LEFT(F2164,1),REGEXEXTRACT(E2164,""-(?:\d{2}-)?([A-Z]+)"")),"""")
"),"")</f>
        <v/>
      </c>
      <c r="C2164" s="224"/>
      <c r="D2164" s="219"/>
      <c r="E2164" s="225"/>
      <c r="F2164" s="225"/>
      <c r="G2164" s="226"/>
      <c r="H2164" s="225"/>
      <c r="I2164" s="227"/>
      <c r="J2164" s="228"/>
      <c r="K2164" s="229"/>
      <c r="L2164" s="229"/>
      <c r="M2164" s="229"/>
      <c r="N2164" s="230"/>
      <c r="O2164" s="228"/>
      <c r="P2164" s="230"/>
      <c r="Q2164" s="219"/>
      <c r="R2164" s="198"/>
      <c r="S2164" s="198"/>
      <c r="T2164" s="198"/>
      <c r="U2164" s="198"/>
      <c r="V2164" s="198"/>
      <c r="W2164" s="198"/>
      <c r="X2164" s="198"/>
    </row>
    <row r="2165" ht="12.0" customHeight="1">
      <c r="A2165" s="222" t="str">
        <f>IF(COUNTIFS(RC_OUT[BLOCK],RC_IN[BLOCK],RC_OUT[REMARKS],"*CLOSED*")&gt;0,"CLOSED",IF(COUNTIFS(RC_OUT[BLOCK],RC_IN[BLOCK],RC_OUT[WT],"&gt;0")&gt;0,"IN-USE",""))
</f>
        <v/>
      </c>
      <c r="B2165" s="223" t="str">
        <f>IFERROR(__xludf.DUMMYFUNCTION("IFERROR(IF(F2165&lt;&gt;"""",""WHSE ""&amp;LEFT(F2165,1),REGEXEXTRACT(E2165,""-(?:\d{2}-)?([A-Z]+)"")),"""")
"),"")</f>
        <v/>
      </c>
      <c r="C2165" s="224"/>
      <c r="D2165" s="219"/>
      <c r="E2165" s="225"/>
      <c r="F2165" s="225"/>
      <c r="G2165" s="226"/>
      <c r="H2165" s="225"/>
      <c r="I2165" s="227"/>
      <c r="J2165" s="228"/>
      <c r="K2165" s="229"/>
      <c r="L2165" s="229"/>
      <c r="M2165" s="229"/>
      <c r="N2165" s="230"/>
      <c r="O2165" s="228"/>
      <c r="P2165" s="230"/>
      <c r="Q2165" s="219"/>
      <c r="R2165" s="198"/>
      <c r="S2165" s="198"/>
      <c r="T2165" s="198"/>
      <c r="U2165" s="198"/>
      <c r="V2165" s="198"/>
      <c r="W2165" s="198"/>
      <c r="X2165" s="198"/>
    </row>
    <row r="2166" ht="12.0" customHeight="1">
      <c r="A2166" s="222" t="str">
        <f>IF(COUNTIFS(RC_OUT[BLOCK],RC_IN[BLOCK],RC_OUT[REMARKS],"*CLOSED*")&gt;0,"CLOSED",IF(COUNTIFS(RC_OUT[BLOCK],RC_IN[BLOCK],RC_OUT[WT],"&gt;0")&gt;0,"IN-USE",""))
</f>
        <v/>
      </c>
      <c r="B2166" s="223" t="str">
        <f>IFERROR(__xludf.DUMMYFUNCTION("IFERROR(IF(F2166&lt;&gt;"""",""WHSE ""&amp;LEFT(F2166,1),REGEXEXTRACT(E2166,""-(?:\d{2}-)?([A-Z]+)"")),"""")
"),"")</f>
        <v/>
      </c>
      <c r="C2166" s="224"/>
      <c r="D2166" s="219"/>
      <c r="E2166" s="225"/>
      <c r="F2166" s="225"/>
      <c r="G2166" s="226"/>
      <c r="H2166" s="225"/>
      <c r="I2166" s="227"/>
      <c r="J2166" s="228"/>
      <c r="K2166" s="229"/>
      <c r="L2166" s="229"/>
      <c r="M2166" s="229"/>
      <c r="N2166" s="230"/>
      <c r="O2166" s="228"/>
      <c r="P2166" s="230"/>
      <c r="Q2166" s="219"/>
      <c r="R2166" s="198"/>
      <c r="S2166" s="198"/>
      <c r="T2166" s="198"/>
      <c r="U2166" s="198"/>
      <c r="V2166" s="198"/>
      <c r="W2166" s="198"/>
      <c r="X2166" s="198"/>
    </row>
    <row r="2167" ht="12.0" customHeight="1">
      <c r="A2167" s="222" t="str">
        <f>IF(COUNTIFS(RC_OUT[BLOCK],RC_IN[BLOCK],RC_OUT[REMARKS],"*CLOSED*")&gt;0,"CLOSED",IF(COUNTIFS(RC_OUT[BLOCK],RC_IN[BLOCK],RC_OUT[WT],"&gt;0")&gt;0,"IN-USE",""))
</f>
        <v/>
      </c>
      <c r="B2167" s="223" t="str">
        <f>IFERROR(__xludf.DUMMYFUNCTION("IFERROR(IF(F2167&lt;&gt;"""",""WHSE ""&amp;LEFT(F2167,1),REGEXEXTRACT(E2167,""-(?:\d{2}-)?([A-Z]+)"")),"""")
"),"")</f>
        <v/>
      </c>
      <c r="C2167" s="224"/>
      <c r="D2167" s="219"/>
      <c r="E2167" s="225"/>
      <c r="F2167" s="225"/>
      <c r="G2167" s="226"/>
      <c r="H2167" s="225"/>
      <c r="I2167" s="227"/>
      <c r="J2167" s="228"/>
      <c r="K2167" s="229"/>
      <c r="L2167" s="229"/>
      <c r="M2167" s="229"/>
      <c r="N2167" s="230"/>
      <c r="O2167" s="228"/>
      <c r="P2167" s="230"/>
      <c r="Q2167" s="219"/>
      <c r="R2167" s="198"/>
      <c r="S2167" s="198"/>
      <c r="T2167" s="198"/>
      <c r="U2167" s="198"/>
      <c r="V2167" s="198"/>
      <c r="W2167" s="198"/>
      <c r="X2167" s="198"/>
    </row>
    <row r="2168" ht="12.0" customHeight="1">
      <c r="A2168" s="222" t="str">
        <f>IF(COUNTIFS(RC_OUT[BLOCK],RC_IN[BLOCK],RC_OUT[REMARKS],"*CLOSED*")&gt;0,"CLOSED",IF(COUNTIFS(RC_OUT[BLOCK],RC_IN[BLOCK],RC_OUT[WT],"&gt;0")&gt;0,"IN-USE",""))
</f>
        <v/>
      </c>
      <c r="B2168" s="223" t="str">
        <f>IFERROR(__xludf.DUMMYFUNCTION("IFERROR(IF(F2168&lt;&gt;"""",""WHSE ""&amp;LEFT(F2168,1),REGEXEXTRACT(E2168,""-(?:\d{2}-)?([A-Z]+)"")),"""")
"),"")</f>
        <v/>
      </c>
      <c r="C2168" s="224"/>
      <c r="D2168" s="219"/>
      <c r="E2168" s="225"/>
      <c r="F2168" s="225"/>
      <c r="G2168" s="226"/>
      <c r="H2168" s="225"/>
      <c r="I2168" s="227"/>
      <c r="J2168" s="228"/>
      <c r="K2168" s="229"/>
      <c r="L2168" s="229"/>
      <c r="M2168" s="229"/>
      <c r="N2168" s="230"/>
      <c r="O2168" s="228"/>
      <c r="P2168" s="230"/>
      <c r="Q2168" s="219"/>
      <c r="R2168" s="198"/>
      <c r="S2168" s="198"/>
      <c r="T2168" s="198"/>
      <c r="U2168" s="198"/>
      <c r="V2168" s="198"/>
      <c r="W2168" s="198"/>
      <c r="X2168" s="198"/>
    </row>
    <row r="2169" ht="12.0" customHeight="1">
      <c r="A2169" s="222" t="str">
        <f>IF(COUNTIFS(RC_OUT[BLOCK],RC_IN[BLOCK],RC_OUT[REMARKS],"*CLOSED*")&gt;0,"CLOSED",IF(COUNTIFS(RC_OUT[BLOCK],RC_IN[BLOCK],RC_OUT[WT],"&gt;0")&gt;0,"IN-USE",""))
</f>
        <v/>
      </c>
      <c r="B2169" s="223" t="str">
        <f>IFERROR(__xludf.DUMMYFUNCTION("IFERROR(IF(F2169&lt;&gt;"""",""WHSE ""&amp;LEFT(F2169,1),REGEXEXTRACT(E2169,""-(?:\d{2}-)?([A-Z]+)"")),"""")
"),"")</f>
        <v/>
      </c>
      <c r="C2169" s="224"/>
      <c r="D2169" s="219"/>
      <c r="E2169" s="225"/>
      <c r="F2169" s="225"/>
      <c r="G2169" s="226"/>
      <c r="H2169" s="225"/>
      <c r="I2169" s="227"/>
      <c r="J2169" s="228"/>
      <c r="K2169" s="229"/>
      <c r="L2169" s="229"/>
      <c r="M2169" s="229"/>
      <c r="N2169" s="230"/>
      <c r="O2169" s="228"/>
      <c r="P2169" s="230"/>
      <c r="Q2169" s="219"/>
      <c r="R2169" s="198"/>
      <c r="S2169" s="198"/>
      <c r="T2169" s="198"/>
      <c r="U2169" s="198"/>
      <c r="V2169" s="198"/>
      <c r="W2169" s="198"/>
      <c r="X2169" s="198"/>
    </row>
    <row r="2170" ht="12.0" customHeight="1">
      <c r="A2170" s="222" t="str">
        <f>IF(COUNTIFS(RC_OUT[BLOCK],RC_IN[BLOCK],RC_OUT[REMARKS],"*CLOSED*")&gt;0,"CLOSED",IF(COUNTIFS(RC_OUT[BLOCK],RC_IN[BLOCK],RC_OUT[WT],"&gt;0")&gt;0,"IN-USE",""))
</f>
        <v/>
      </c>
      <c r="B2170" s="223" t="str">
        <f>IFERROR(__xludf.DUMMYFUNCTION("IFERROR(IF(F2170&lt;&gt;"""",""WHSE ""&amp;LEFT(F2170,1),REGEXEXTRACT(E2170,""-(?:\d{2}-)?([A-Z]+)"")),"""")
"),"")</f>
        <v/>
      </c>
      <c r="C2170" s="224"/>
      <c r="D2170" s="219"/>
      <c r="E2170" s="225"/>
      <c r="F2170" s="225"/>
      <c r="G2170" s="226"/>
      <c r="H2170" s="225"/>
      <c r="I2170" s="227"/>
      <c r="J2170" s="228"/>
      <c r="K2170" s="229"/>
      <c r="L2170" s="229"/>
      <c r="M2170" s="229"/>
      <c r="N2170" s="230"/>
      <c r="O2170" s="228"/>
      <c r="P2170" s="230"/>
      <c r="Q2170" s="219"/>
      <c r="R2170" s="198"/>
      <c r="S2170" s="198"/>
      <c r="T2170" s="198"/>
      <c r="U2170" s="198"/>
      <c r="V2170" s="198"/>
      <c r="W2170" s="198"/>
      <c r="X2170" s="198"/>
    </row>
    <row r="2171" ht="12.0" customHeight="1">
      <c r="A2171" s="222" t="str">
        <f>IF(COUNTIFS(RC_OUT[BLOCK],RC_IN[BLOCK],RC_OUT[REMARKS],"*CLOSED*")&gt;0,"CLOSED",IF(COUNTIFS(RC_OUT[BLOCK],RC_IN[BLOCK],RC_OUT[WT],"&gt;0")&gt;0,"IN-USE",""))
</f>
        <v/>
      </c>
      <c r="B2171" s="223" t="str">
        <f>IFERROR(__xludf.DUMMYFUNCTION("IFERROR(IF(F2171&lt;&gt;"""",""WHSE ""&amp;LEFT(F2171,1),REGEXEXTRACT(E2171,""-(?:\d{2}-)?([A-Z]+)"")),"""")
"),"")</f>
        <v/>
      </c>
      <c r="C2171" s="224"/>
      <c r="D2171" s="219"/>
      <c r="E2171" s="225"/>
      <c r="F2171" s="225"/>
      <c r="G2171" s="226"/>
      <c r="H2171" s="225"/>
      <c r="I2171" s="227"/>
      <c r="J2171" s="228"/>
      <c r="K2171" s="229"/>
      <c r="L2171" s="229"/>
      <c r="M2171" s="229"/>
      <c r="N2171" s="230"/>
      <c r="O2171" s="228"/>
      <c r="P2171" s="230"/>
      <c r="Q2171" s="219"/>
      <c r="R2171" s="198"/>
      <c r="S2171" s="198"/>
      <c r="T2171" s="198"/>
      <c r="U2171" s="198"/>
      <c r="V2171" s="198"/>
      <c r="W2171" s="198"/>
      <c r="X2171" s="198"/>
    </row>
    <row r="2172" ht="12.0" customHeight="1">
      <c r="A2172" s="222" t="str">
        <f>IF(COUNTIFS(RC_OUT[BLOCK],RC_IN[BLOCK],RC_OUT[REMARKS],"*CLOSED*")&gt;0,"CLOSED",IF(COUNTIFS(RC_OUT[BLOCK],RC_IN[BLOCK],RC_OUT[WT],"&gt;0")&gt;0,"IN-USE",""))
</f>
        <v/>
      </c>
      <c r="B2172" s="223" t="str">
        <f>IFERROR(__xludf.DUMMYFUNCTION("IFERROR(IF(F2172&lt;&gt;"""",""WHSE ""&amp;LEFT(F2172,1),REGEXEXTRACT(E2172,""-(?:\d{2}-)?([A-Z]+)"")),"""")
"),"")</f>
        <v/>
      </c>
      <c r="C2172" s="224"/>
      <c r="D2172" s="219"/>
      <c r="E2172" s="225"/>
      <c r="F2172" s="225"/>
      <c r="G2172" s="226"/>
      <c r="H2172" s="225"/>
      <c r="I2172" s="227"/>
      <c r="J2172" s="228"/>
      <c r="K2172" s="229"/>
      <c r="L2172" s="229"/>
      <c r="M2172" s="229"/>
      <c r="N2172" s="230"/>
      <c r="O2172" s="228"/>
      <c r="P2172" s="230"/>
      <c r="Q2172" s="219"/>
      <c r="R2172" s="198"/>
      <c r="S2172" s="198"/>
      <c r="T2172" s="198"/>
      <c r="U2172" s="198"/>
      <c r="V2172" s="198"/>
      <c r="W2172" s="198"/>
      <c r="X2172" s="198"/>
    </row>
    <row r="2173" ht="12.0" customHeight="1">
      <c r="A2173" s="222" t="str">
        <f>IF(COUNTIFS(RC_OUT[BLOCK],RC_IN[BLOCK],RC_OUT[REMARKS],"*CLOSED*")&gt;0,"CLOSED",IF(COUNTIFS(RC_OUT[BLOCK],RC_IN[BLOCK],RC_OUT[WT],"&gt;0")&gt;0,"IN-USE",""))
</f>
        <v/>
      </c>
      <c r="B2173" s="223" t="str">
        <f>IFERROR(__xludf.DUMMYFUNCTION("IFERROR(IF(F2173&lt;&gt;"""",""WHSE ""&amp;LEFT(F2173,1),REGEXEXTRACT(E2173,""-(?:\d{2}-)?([A-Z]+)"")),"""")
"),"")</f>
        <v/>
      </c>
      <c r="C2173" s="224"/>
      <c r="D2173" s="219"/>
      <c r="E2173" s="225"/>
      <c r="F2173" s="225"/>
      <c r="G2173" s="226"/>
      <c r="H2173" s="225"/>
      <c r="I2173" s="227"/>
      <c r="J2173" s="228"/>
      <c r="K2173" s="229"/>
      <c r="L2173" s="229"/>
      <c r="M2173" s="229"/>
      <c r="N2173" s="230"/>
      <c r="O2173" s="228"/>
      <c r="P2173" s="230"/>
      <c r="Q2173" s="219"/>
      <c r="R2173" s="198"/>
      <c r="S2173" s="198"/>
      <c r="T2173" s="198"/>
      <c r="U2173" s="198"/>
      <c r="V2173" s="198"/>
      <c r="W2173" s="198"/>
      <c r="X2173" s="198"/>
    </row>
    <row r="2174" ht="12.0" customHeight="1">
      <c r="A2174" s="222" t="str">
        <f>IF(COUNTIFS(RC_OUT[BLOCK],RC_IN[BLOCK],RC_OUT[REMARKS],"*CLOSED*")&gt;0,"CLOSED",IF(COUNTIFS(RC_OUT[BLOCK],RC_IN[BLOCK],RC_OUT[WT],"&gt;0")&gt;0,"IN-USE",""))
</f>
        <v/>
      </c>
      <c r="B2174" s="223" t="str">
        <f>IFERROR(__xludf.DUMMYFUNCTION("IFERROR(IF(F2174&lt;&gt;"""",""WHSE ""&amp;LEFT(F2174,1),REGEXEXTRACT(E2174,""-(?:\d{2}-)?([A-Z]+)"")),"""")
"),"")</f>
        <v/>
      </c>
      <c r="C2174" s="224"/>
      <c r="D2174" s="219"/>
      <c r="E2174" s="225"/>
      <c r="F2174" s="225"/>
      <c r="G2174" s="226"/>
      <c r="H2174" s="225"/>
      <c r="I2174" s="227"/>
      <c r="J2174" s="228"/>
      <c r="K2174" s="229"/>
      <c r="L2174" s="229"/>
      <c r="M2174" s="229"/>
      <c r="N2174" s="230"/>
      <c r="O2174" s="228"/>
      <c r="P2174" s="230"/>
      <c r="Q2174" s="219"/>
      <c r="R2174" s="198"/>
      <c r="S2174" s="198"/>
      <c r="T2174" s="198"/>
      <c r="U2174" s="198"/>
      <c r="V2174" s="198"/>
      <c r="W2174" s="198"/>
      <c r="X2174" s="198"/>
    </row>
    <row r="2175" ht="12.0" customHeight="1">
      <c r="A2175" s="222" t="str">
        <f>IF(COUNTIFS(RC_OUT[BLOCK],RC_IN[BLOCK],RC_OUT[REMARKS],"*CLOSED*")&gt;0,"CLOSED",IF(COUNTIFS(RC_OUT[BLOCK],RC_IN[BLOCK],RC_OUT[WT],"&gt;0")&gt;0,"IN-USE",""))
</f>
        <v/>
      </c>
      <c r="B2175" s="223" t="str">
        <f>IFERROR(__xludf.DUMMYFUNCTION("IFERROR(IF(F2175&lt;&gt;"""",""WHSE ""&amp;LEFT(F2175,1),REGEXEXTRACT(E2175,""-(?:\d{2}-)?([A-Z]+)"")),"""")
"),"")</f>
        <v/>
      </c>
      <c r="C2175" s="224"/>
      <c r="D2175" s="219"/>
      <c r="E2175" s="225"/>
      <c r="F2175" s="225"/>
      <c r="G2175" s="226"/>
      <c r="H2175" s="225"/>
      <c r="I2175" s="227"/>
      <c r="J2175" s="228"/>
      <c r="K2175" s="229"/>
      <c r="L2175" s="229"/>
      <c r="M2175" s="229"/>
      <c r="N2175" s="230"/>
      <c r="O2175" s="228"/>
      <c r="P2175" s="230"/>
      <c r="Q2175" s="219"/>
      <c r="R2175" s="198"/>
      <c r="S2175" s="198"/>
      <c r="T2175" s="198"/>
      <c r="U2175" s="198"/>
      <c r="V2175" s="198"/>
      <c r="W2175" s="198"/>
      <c r="X2175" s="198"/>
    </row>
    <row r="2176" ht="12.0" customHeight="1">
      <c r="A2176" s="222" t="str">
        <f>IF(COUNTIFS(RC_OUT[BLOCK],RC_IN[BLOCK],RC_OUT[REMARKS],"*CLOSED*")&gt;0,"CLOSED",IF(COUNTIFS(RC_OUT[BLOCK],RC_IN[BLOCK],RC_OUT[WT],"&gt;0")&gt;0,"IN-USE",""))
</f>
        <v/>
      </c>
      <c r="B2176" s="223" t="str">
        <f>IFERROR(__xludf.DUMMYFUNCTION("IFERROR(IF(F2176&lt;&gt;"""",""WHSE ""&amp;LEFT(F2176,1),REGEXEXTRACT(E2176,""-(?:\d{2}-)?([A-Z]+)"")),"""")
"),"")</f>
        <v/>
      </c>
      <c r="C2176" s="224"/>
      <c r="D2176" s="219"/>
      <c r="E2176" s="225"/>
      <c r="F2176" s="225"/>
      <c r="G2176" s="226"/>
      <c r="H2176" s="225"/>
      <c r="I2176" s="227"/>
      <c r="J2176" s="228"/>
      <c r="K2176" s="229"/>
      <c r="L2176" s="229"/>
      <c r="M2176" s="229"/>
      <c r="N2176" s="230"/>
      <c r="O2176" s="228"/>
      <c r="P2176" s="230"/>
      <c r="Q2176" s="219"/>
      <c r="R2176" s="198"/>
      <c r="S2176" s="198"/>
      <c r="T2176" s="198"/>
      <c r="U2176" s="198"/>
      <c r="V2176" s="198"/>
      <c r="W2176" s="198"/>
      <c r="X2176" s="198"/>
    </row>
    <row r="2177" ht="12.0" customHeight="1">
      <c r="A2177" s="222" t="str">
        <f>IF(COUNTIFS(RC_OUT[BLOCK],RC_IN[BLOCK],RC_OUT[REMARKS],"*CLOSED*")&gt;0,"CLOSED",IF(COUNTIFS(RC_OUT[BLOCK],RC_IN[BLOCK],RC_OUT[WT],"&gt;0")&gt;0,"IN-USE",""))
</f>
        <v/>
      </c>
      <c r="B2177" s="223" t="str">
        <f>IFERROR(__xludf.DUMMYFUNCTION("IFERROR(IF(F2177&lt;&gt;"""",""WHSE ""&amp;LEFT(F2177,1),REGEXEXTRACT(E2177,""-(?:\d{2}-)?([A-Z]+)"")),"""")
"),"")</f>
        <v/>
      </c>
      <c r="C2177" s="224"/>
      <c r="D2177" s="219"/>
      <c r="E2177" s="225"/>
      <c r="F2177" s="225"/>
      <c r="G2177" s="226"/>
      <c r="H2177" s="225"/>
      <c r="I2177" s="227"/>
      <c r="J2177" s="228"/>
      <c r="K2177" s="229"/>
      <c r="L2177" s="229"/>
      <c r="M2177" s="229"/>
      <c r="N2177" s="230"/>
      <c r="O2177" s="228"/>
      <c r="P2177" s="230"/>
      <c r="Q2177" s="219"/>
      <c r="R2177" s="198"/>
      <c r="S2177" s="198"/>
      <c r="T2177" s="198"/>
      <c r="U2177" s="198"/>
      <c r="V2177" s="198"/>
      <c r="W2177" s="198"/>
      <c r="X2177" s="198"/>
    </row>
    <row r="2178" ht="12.0" customHeight="1">
      <c r="A2178" s="222" t="str">
        <f>IF(COUNTIFS(RC_OUT[BLOCK],RC_IN[BLOCK],RC_OUT[REMARKS],"*CLOSED*")&gt;0,"CLOSED",IF(COUNTIFS(RC_OUT[BLOCK],RC_IN[BLOCK],RC_OUT[WT],"&gt;0")&gt;0,"IN-USE",""))
</f>
        <v/>
      </c>
      <c r="B2178" s="223" t="str">
        <f>IFERROR(__xludf.DUMMYFUNCTION("IFERROR(IF(F2178&lt;&gt;"""",""WHSE ""&amp;LEFT(F2178,1),REGEXEXTRACT(E2178,""-(?:\d{2}-)?([A-Z]+)"")),"""")
"),"")</f>
        <v/>
      </c>
      <c r="C2178" s="224"/>
      <c r="D2178" s="219"/>
      <c r="E2178" s="225"/>
      <c r="F2178" s="225"/>
      <c r="G2178" s="226"/>
      <c r="H2178" s="225"/>
      <c r="I2178" s="227"/>
      <c r="J2178" s="228"/>
      <c r="K2178" s="229"/>
      <c r="L2178" s="229"/>
      <c r="M2178" s="229"/>
      <c r="N2178" s="230"/>
      <c r="O2178" s="228"/>
      <c r="P2178" s="230"/>
      <c r="Q2178" s="219"/>
      <c r="R2178" s="198"/>
      <c r="S2178" s="198"/>
      <c r="T2178" s="198"/>
      <c r="U2178" s="198"/>
      <c r="V2178" s="198"/>
      <c r="W2178" s="198"/>
      <c r="X2178" s="198"/>
    </row>
    <row r="2179" ht="12.0" customHeight="1">
      <c r="A2179" s="222" t="str">
        <f>IF(COUNTIFS(RC_OUT[BLOCK],RC_IN[BLOCK],RC_OUT[REMARKS],"*CLOSED*")&gt;0,"CLOSED",IF(COUNTIFS(RC_OUT[BLOCK],RC_IN[BLOCK],RC_OUT[WT],"&gt;0")&gt;0,"IN-USE",""))
</f>
        <v/>
      </c>
      <c r="B2179" s="223" t="str">
        <f>IFERROR(__xludf.DUMMYFUNCTION("IFERROR(IF(F2179&lt;&gt;"""",""WHSE ""&amp;LEFT(F2179,1),REGEXEXTRACT(E2179,""-(?:\d{2}-)?([A-Z]+)"")),"""")
"),"")</f>
        <v/>
      </c>
      <c r="C2179" s="224"/>
      <c r="D2179" s="219"/>
      <c r="E2179" s="225"/>
      <c r="F2179" s="225"/>
      <c r="G2179" s="226"/>
      <c r="H2179" s="225"/>
      <c r="I2179" s="227"/>
      <c r="J2179" s="228"/>
      <c r="K2179" s="229"/>
      <c r="L2179" s="229"/>
      <c r="M2179" s="229"/>
      <c r="N2179" s="230"/>
      <c r="O2179" s="228"/>
      <c r="P2179" s="230"/>
      <c r="Q2179" s="219"/>
      <c r="R2179" s="198"/>
      <c r="S2179" s="198"/>
      <c r="T2179" s="198"/>
      <c r="U2179" s="198"/>
      <c r="V2179" s="198"/>
      <c r="W2179" s="198"/>
      <c r="X2179" s="198"/>
    </row>
    <row r="2180" ht="12.0" customHeight="1">
      <c r="A2180" s="222" t="str">
        <f>IF(COUNTIFS(RC_OUT[BLOCK],RC_IN[BLOCK],RC_OUT[REMARKS],"*CLOSED*")&gt;0,"CLOSED",IF(COUNTIFS(RC_OUT[BLOCK],RC_IN[BLOCK],RC_OUT[WT],"&gt;0")&gt;0,"IN-USE",""))
</f>
        <v/>
      </c>
      <c r="B2180" s="223" t="str">
        <f>IFERROR(__xludf.DUMMYFUNCTION("IFERROR(IF(F2180&lt;&gt;"""",""WHSE ""&amp;LEFT(F2180,1),REGEXEXTRACT(E2180,""-(?:\d{2}-)?([A-Z]+)"")),"""")
"),"")</f>
        <v/>
      </c>
      <c r="C2180" s="224"/>
      <c r="D2180" s="219"/>
      <c r="E2180" s="225"/>
      <c r="F2180" s="225"/>
      <c r="G2180" s="226"/>
      <c r="H2180" s="225"/>
      <c r="I2180" s="227"/>
      <c r="J2180" s="228"/>
      <c r="K2180" s="229"/>
      <c r="L2180" s="229"/>
      <c r="M2180" s="229"/>
      <c r="N2180" s="230"/>
      <c r="O2180" s="228"/>
      <c r="P2180" s="230"/>
      <c r="Q2180" s="219"/>
      <c r="R2180" s="198"/>
      <c r="S2180" s="198"/>
      <c r="T2180" s="198"/>
      <c r="U2180" s="198"/>
      <c r="V2180" s="198"/>
      <c r="W2180" s="198"/>
      <c r="X2180" s="198"/>
    </row>
    <row r="2181" ht="12.0" customHeight="1">
      <c r="A2181" s="222" t="str">
        <f>IF(COUNTIFS(RC_OUT[BLOCK],RC_IN[BLOCK],RC_OUT[REMARKS],"*CLOSED*")&gt;0,"CLOSED",IF(COUNTIFS(RC_OUT[BLOCK],RC_IN[BLOCK],RC_OUT[WT],"&gt;0")&gt;0,"IN-USE",""))
</f>
        <v/>
      </c>
      <c r="B2181" s="223" t="str">
        <f>IFERROR(__xludf.DUMMYFUNCTION("IFERROR(IF(F2181&lt;&gt;"""",""WHSE ""&amp;LEFT(F2181,1),REGEXEXTRACT(E2181,""-(?:\d{2}-)?([A-Z]+)"")),"""")
"),"")</f>
        <v/>
      </c>
      <c r="C2181" s="224"/>
      <c r="D2181" s="219"/>
      <c r="E2181" s="225"/>
      <c r="F2181" s="225"/>
      <c r="G2181" s="226"/>
      <c r="H2181" s="225"/>
      <c r="I2181" s="227"/>
      <c r="J2181" s="228"/>
      <c r="K2181" s="229"/>
      <c r="L2181" s="229"/>
      <c r="M2181" s="229"/>
      <c r="N2181" s="230"/>
      <c r="O2181" s="228"/>
      <c r="P2181" s="230"/>
      <c r="Q2181" s="219"/>
      <c r="R2181" s="198"/>
      <c r="S2181" s="198"/>
      <c r="T2181" s="198"/>
      <c r="U2181" s="198"/>
      <c r="V2181" s="198"/>
      <c r="W2181" s="198"/>
      <c r="X2181" s="198"/>
    </row>
    <row r="2182" ht="12.0" customHeight="1">
      <c r="A2182" s="222" t="str">
        <f>IF(COUNTIFS(RC_OUT[BLOCK],RC_IN[BLOCK],RC_OUT[REMARKS],"*CLOSED*")&gt;0,"CLOSED",IF(COUNTIFS(RC_OUT[BLOCK],RC_IN[BLOCK],RC_OUT[WT],"&gt;0")&gt;0,"IN-USE",""))
</f>
        <v/>
      </c>
      <c r="B2182" s="223" t="str">
        <f>IFERROR(__xludf.DUMMYFUNCTION("IFERROR(IF(F2182&lt;&gt;"""",""WHSE ""&amp;LEFT(F2182,1),REGEXEXTRACT(E2182,""-(?:\d{2}-)?([A-Z]+)"")),"""")
"),"")</f>
        <v/>
      </c>
      <c r="C2182" s="224"/>
      <c r="D2182" s="219"/>
      <c r="E2182" s="225"/>
      <c r="F2182" s="225"/>
      <c r="G2182" s="226"/>
      <c r="H2182" s="225"/>
      <c r="I2182" s="227"/>
      <c r="J2182" s="228"/>
      <c r="K2182" s="229"/>
      <c r="L2182" s="229"/>
      <c r="M2182" s="229"/>
      <c r="N2182" s="230"/>
      <c r="O2182" s="228"/>
      <c r="P2182" s="230"/>
      <c r="Q2182" s="219"/>
      <c r="R2182" s="198"/>
      <c r="S2182" s="198"/>
      <c r="T2182" s="198"/>
      <c r="U2182" s="198"/>
      <c r="V2182" s="198"/>
      <c r="W2182" s="198"/>
      <c r="X2182" s="198"/>
    </row>
    <row r="2183" ht="12.0" customHeight="1">
      <c r="A2183" s="222" t="str">
        <f>IF(COUNTIFS(RC_OUT[BLOCK],RC_IN[BLOCK],RC_OUT[REMARKS],"*CLOSED*")&gt;0,"CLOSED",IF(COUNTIFS(RC_OUT[BLOCK],RC_IN[BLOCK],RC_OUT[WT],"&gt;0")&gt;0,"IN-USE",""))
</f>
        <v/>
      </c>
      <c r="B2183" s="223" t="str">
        <f>IFERROR(__xludf.DUMMYFUNCTION("IFERROR(IF(F2183&lt;&gt;"""",""WHSE ""&amp;LEFT(F2183,1),REGEXEXTRACT(E2183,""-(?:\d{2}-)?([A-Z]+)"")),"""")
"),"")</f>
        <v/>
      </c>
      <c r="C2183" s="224"/>
      <c r="D2183" s="219"/>
      <c r="E2183" s="225"/>
      <c r="F2183" s="225"/>
      <c r="G2183" s="226"/>
      <c r="H2183" s="225"/>
      <c r="I2183" s="227"/>
      <c r="J2183" s="228"/>
      <c r="K2183" s="229"/>
      <c r="L2183" s="229"/>
      <c r="M2183" s="229"/>
      <c r="N2183" s="230"/>
      <c r="O2183" s="228"/>
      <c r="P2183" s="230"/>
      <c r="Q2183" s="219"/>
      <c r="R2183" s="198"/>
      <c r="S2183" s="198"/>
      <c r="T2183" s="198"/>
      <c r="U2183" s="198"/>
      <c r="V2183" s="198"/>
      <c r="W2183" s="198"/>
      <c r="X2183" s="198"/>
    </row>
    <row r="2184" ht="12.0" customHeight="1">
      <c r="A2184" s="222" t="str">
        <f>IF(COUNTIFS(RC_OUT[BLOCK],RC_IN[BLOCK],RC_OUT[REMARKS],"*CLOSED*")&gt;0,"CLOSED",IF(COUNTIFS(RC_OUT[BLOCK],RC_IN[BLOCK],RC_OUT[WT],"&gt;0")&gt;0,"IN-USE",""))
</f>
        <v/>
      </c>
      <c r="B2184" s="223" t="str">
        <f>IFERROR(__xludf.DUMMYFUNCTION("IFERROR(IF(F2184&lt;&gt;"""",""WHSE ""&amp;LEFT(F2184,1),REGEXEXTRACT(E2184,""-(?:\d{2}-)?([A-Z]+)"")),"""")
"),"")</f>
        <v/>
      </c>
      <c r="C2184" s="224"/>
      <c r="D2184" s="219"/>
      <c r="E2184" s="225"/>
      <c r="F2184" s="225"/>
      <c r="G2184" s="226"/>
      <c r="H2184" s="225"/>
      <c r="I2184" s="227"/>
      <c r="J2184" s="228"/>
      <c r="K2184" s="229"/>
      <c r="L2184" s="229"/>
      <c r="M2184" s="229"/>
      <c r="N2184" s="230"/>
      <c r="O2184" s="228"/>
      <c r="P2184" s="230"/>
      <c r="Q2184" s="219"/>
      <c r="R2184" s="198"/>
      <c r="S2184" s="198"/>
      <c r="T2184" s="198"/>
      <c r="U2184" s="198"/>
      <c r="V2184" s="198"/>
      <c r="W2184" s="198"/>
      <c r="X2184" s="198"/>
    </row>
    <row r="2185" ht="12.0" customHeight="1">
      <c r="A2185" s="222" t="str">
        <f>IF(COUNTIFS(RC_OUT[BLOCK],RC_IN[BLOCK],RC_OUT[REMARKS],"*CLOSED*")&gt;0,"CLOSED",IF(COUNTIFS(RC_OUT[BLOCK],RC_IN[BLOCK],RC_OUT[WT],"&gt;0")&gt;0,"IN-USE",""))
</f>
        <v/>
      </c>
      <c r="B2185" s="223" t="str">
        <f>IFERROR(__xludf.DUMMYFUNCTION("IFERROR(IF(F2185&lt;&gt;"""",""WHSE ""&amp;LEFT(F2185,1),REGEXEXTRACT(E2185,""-(?:\d{2}-)?([A-Z]+)"")),"""")
"),"")</f>
        <v/>
      </c>
      <c r="C2185" s="224"/>
      <c r="D2185" s="219"/>
      <c r="E2185" s="225"/>
      <c r="F2185" s="225"/>
      <c r="G2185" s="226"/>
      <c r="H2185" s="225"/>
      <c r="I2185" s="227"/>
      <c r="J2185" s="228"/>
      <c r="K2185" s="229"/>
      <c r="L2185" s="229"/>
      <c r="M2185" s="229"/>
      <c r="N2185" s="230"/>
      <c r="O2185" s="228"/>
      <c r="P2185" s="230"/>
      <c r="Q2185" s="219"/>
      <c r="R2185" s="198"/>
      <c r="S2185" s="198"/>
      <c r="T2185" s="198"/>
      <c r="U2185" s="198"/>
      <c r="V2185" s="198"/>
      <c r="W2185" s="198"/>
      <c r="X2185" s="198"/>
    </row>
    <row r="2186" ht="12.0" customHeight="1">
      <c r="A2186" s="222" t="str">
        <f>IF(COUNTIFS(RC_OUT[BLOCK],RC_IN[BLOCK],RC_OUT[REMARKS],"*CLOSED*")&gt;0,"CLOSED",IF(COUNTIFS(RC_OUT[BLOCK],RC_IN[BLOCK],RC_OUT[WT],"&gt;0")&gt;0,"IN-USE",""))
</f>
        <v/>
      </c>
      <c r="B2186" s="223" t="str">
        <f>IFERROR(__xludf.DUMMYFUNCTION("IFERROR(IF(F2186&lt;&gt;"""",""WHSE ""&amp;LEFT(F2186,1),REGEXEXTRACT(E2186,""-(?:\d{2}-)?([A-Z]+)"")),"""")
"),"")</f>
        <v/>
      </c>
      <c r="C2186" s="224"/>
      <c r="D2186" s="219"/>
      <c r="E2186" s="225"/>
      <c r="F2186" s="225"/>
      <c r="G2186" s="226"/>
      <c r="H2186" s="225"/>
      <c r="I2186" s="227"/>
      <c r="J2186" s="228"/>
      <c r="K2186" s="229"/>
      <c r="L2186" s="229"/>
      <c r="M2186" s="229"/>
      <c r="N2186" s="230"/>
      <c r="O2186" s="228"/>
      <c r="P2186" s="230"/>
      <c r="Q2186" s="219"/>
      <c r="R2186" s="198"/>
      <c r="S2186" s="198"/>
      <c r="T2186" s="198"/>
      <c r="U2186" s="198"/>
      <c r="V2186" s="198"/>
      <c r="W2186" s="198"/>
      <c r="X2186" s="198"/>
    </row>
    <row r="2187" ht="12.0" customHeight="1">
      <c r="A2187" s="222" t="str">
        <f>IF(COUNTIFS(RC_OUT[BLOCK],RC_IN[BLOCK],RC_OUT[REMARKS],"*CLOSED*")&gt;0,"CLOSED",IF(COUNTIFS(RC_OUT[BLOCK],RC_IN[BLOCK],RC_OUT[WT],"&gt;0")&gt;0,"IN-USE",""))
</f>
        <v/>
      </c>
      <c r="B2187" s="223" t="str">
        <f>IFERROR(__xludf.DUMMYFUNCTION("IFERROR(IF(F2187&lt;&gt;"""",""WHSE ""&amp;LEFT(F2187,1),REGEXEXTRACT(E2187,""-(?:\d{2}-)?([A-Z]+)"")),"""")
"),"")</f>
        <v/>
      </c>
      <c r="C2187" s="224"/>
      <c r="D2187" s="219"/>
      <c r="E2187" s="225"/>
      <c r="F2187" s="225"/>
      <c r="G2187" s="226"/>
      <c r="H2187" s="225"/>
      <c r="I2187" s="227"/>
      <c r="J2187" s="228"/>
      <c r="K2187" s="229"/>
      <c r="L2187" s="229"/>
      <c r="M2187" s="229"/>
      <c r="N2187" s="230"/>
      <c r="O2187" s="228"/>
      <c r="P2187" s="230"/>
      <c r="Q2187" s="219"/>
      <c r="R2187" s="198"/>
      <c r="S2187" s="198"/>
      <c r="T2187" s="198"/>
      <c r="U2187" s="198"/>
      <c r="V2187" s="198"/>
      <c r="W2187" s="198"/>
      <c r="X2187" s="198"/>
    </row>
    <row r="2188" ht="12.0" customHeight="1">
      <c r="A2188" s="222" t="str">
        <f>IF(COUNTIFS(RC_OUT[BLOCK],RC_IN[BLOCK],RC_OUT[REMARKS],"*CLOSED*")&gt;0,"CLOSED",IF(COUNTIFS(RC_OUT[BLOCK],RC_IN[BLOCK],RC_OUT[WT],"&gt;0")&gt;0,"IN-USE",""))
</f>
        <v/>
      </c>
      <c r="B2188" s="223" t="str">
        <f>IFERROR(__xludf.DUMMYFUNCTION("IFERROR(IF(F2188&lt;&gt;"""",""WHSE ""&amp;LEFT(F2188,1),REGEXEXTRACT(E2188,""-(?:\d{2}-)?([A-Z]+)"")),"""")
"),"")</f>
        <v/>
      </c>
      <c r="C2188" s="224"/>
      <c r="D2188" s="219"/>
      <c r="E2188" s="225"/>
      <c r="F2188" s="225"/>
      <c r="G2188" s="226"/>
      <c r="H2188" s="225"/>
      <c r="I2188" s="227"/>
      <c r="J2188" s="228"/>
      <c r="K2188" s="229"/>
      <c r="L2188" s="229"/>
      <c r="M2188" s="229"/>
      <c r="N2188" s="230"/>
      <c r="O2188" s="228"/>
      <c r="P2188" s="230"/>
      <c r="Q2188" s="219"/>
      <c r="R2188" s="198"/>
      <c r="S2188" s="198"/>
      <c r="T2188" s="198"/>
      <c r="U2188" s="198"/>
      <c r="V2188" s="198"/>
      <c r="W2188" s="198"/>
      <c r="X2188" s="198"/>
    </row>
    <row r="2189" ht="12.0" customHeight="1">
      <c r="A2189" s="222" t="str">
        <f>IF(COUNTIFS(RC_OUT[BLOCK],RC_IN[BLOCK],RC_OUT[REMARKS],"*CLOSED*")&gt;0,"CLOSED",IF(COUNTIFS(RC_OUT[BLOCK],RC_IN[BLOCK],RC_OUT[WT],"&gt;0")&gt;0,"IN-USE",""))
</f>
        <v/>
      </c>
      <c r="B2189" s="223" t="str">
        <f>IFERROR(__xludf.DUMMYFUNCTION("IFERROR(IF(F2189&lt;&gt;"""",""WHSE ""&amp;LEFT(F2189,1),REGEXEXTRACT(E2189,""-(?:\d{2}-)?([A-Z]+)"")),"""")
"),"")</f>
        <v/>
      </c>
      <c r="C2189" s="224"/>
      <c r="D2189" s="219"/>
      <c r="E2189" s="225"/>
      <c r="F2189" s="225"/>
      <c r="G2189" s="226"/>
      <c r="H2189" s="225"/>
      <c r="I2189" s="227"/>
      <c r="J2189" s="228"/>
      <c r="K2189" s="229"/>
      <c r="L2189" s="229"/>
      <c r="M2189" s="229"/>
      <c r="N2189" s="230"/>
      <c r="O2189" s="228"/>
      <c r="P2189" s="230"/>
      <c r="Q2189" s="219"/>
      <c r="R2189" s="198"/>
      <c r="S2189" s="198"/>
      <c r="T2189" s="198"/>
      <c r="U2189" s="198"/>
      <c r="V2189" s="198"/>
      <c r="W2189" s="198"/>
      <c r="X2189" s="198"/>
    </row>
    <row r="2190" ht="12.0" customHeight="1">
      <c r="A2190" s="222" t="str">
        <f>IF(COUNTIFS(RC_OUT[BLOCK],RC_IN[BLOCK],RC_OUT[REMARKS],"*CLOSED*")&gt;0,"CLOSED",IF(COUNTIFS(RC_OUT[BLOCK],RC_IN[BLOCK],RC_OUT[WT],"&gt;0")&gt;0,"IN-USE",""))
</f>
        <v/>
      </c>
      <c r="B2190" s="223" t="str">
        <f>IFERROR(__xludf.DUMMYFUNCTION("IFERROR(IF(F2190&lt;&gt;"""",""WHSE ""&amp;LEFT(F2190,1),REGEXEXTRACT(E2190,""-(?:\d{2}-)?([A-Z]+)"")),"""")
"),"")</f>
        <v/>
      </c>
      <c r="C2190" s="224"/>
      <c r="D2190" s="219"/>
      <c r="E2190" s="225"/>
      <c r="F2190" s="225"/>
      <c r="G2190" s="226"/>
      <c r="H2190" s="225"/>
      <c r="I2190" s="227"/>
      <c r="J2190" s="228"/>
      <c r="K2190" s="229"/>
      <c r="L2190" s="229"/>
      <c r="M2190" s="229"/>
      <c r="N2190" s="230"/>
      <c r="O2190" s="228"/>
      <c r="P2190" s="230"/>
      <c r="Q2190" s="219"/>
      <c r="R2190" s="198"/>
      <c r="S2190" s="198"/>
      <c r="T2190" s="198"/>
      <c r="U2190" s="198"/>
      <c r="V2190" s="198"/>
      <c r="W2190" s="198"/>
      <c r="X2190" s="198"/>
    </row>
    <row r="2191" ht="12.0" customHeight="1">
      <c r="A2191" s="222" t="str">
        <f>IF(COUNTIFS(RC_OUT[BLOCK],RC_IN[BLOCK],RC_OUT[REMARKS],"*CLOSED*")&gt;0,"CLOSED",IF(COUNTIFS(RC_OUT[BLOCK],RC_IN[BLOCK],RC_OUT[WT],"&gt;0")&gt;0,"IN-USE",""))
</f>
        <v/>
      </c>
      <c r="B2191" s="223" t="str">
        <f>IFERROR(__xludf.DUMMYFUNCTION("IFERROR(IF(F2191&lt;&gt;"""",""WHSE ""&amp;LEFT(F2191,1),REGEXEXTRACT(E2191,""-(?:\d{2}-)?([A-Z]+)"")),"""")
"),"")</f>
        <v/>
      </c>
      <c r="C2191" s="224"/>
      <c r="D2191" s="219"/>
      <c r="E2191" s="225"/>
      <c r="F2191" s="225"/>
      <c r="G2191" s="226"/>
      <c r="H2191" s="225"/>
      <c r="I2191" s="227"/>
      <c r="J2191" s="228"/>
      <c r="K2191" s="229"/>
      <c r="L2191" s="229"/>
      <c r="M2191" s="229"/>
      <c r="N2191" s="230"/>
      <c r="O2191" s="228"/>
      <c r="P2191" s="230"/>
      <c r="Q2191" s="219"/>
      <c r="R2191" s="198"/>
      <c r="S2191" s="198"/>
      <c r="T2191" s="198"/>
      <c r="U2191" s="198"/>
      <c r="V2191" s="198"/>
      <c r="W2191" s="198"/>
      <c r="X2191" s="198"/>
    </row>
    <row r="2192" ht="12.0" customHeight="1">
      <c r="A2192" s="222" t="str">
        <f>IF(COUNTIFS(RC_OUT[BLOCK],RC_IN[BLOCK],RC_OUT[REMARKS],"*CLOSED*")&gt;0,"CLOSED",IF(COUNTIFS(RC_OUT[BLOCK],RC_IN[BLOCK],RC_OUT[WT],"&gt;0")&gt;0,"IN-USE",""))
</f>
        <v/>
      </c>
      <c r="B2192" s="223" t="str">
        <f>IFERROR(__xludf.DUMMYFUNCTION("IFERROR(IF(F2192&lt;&gt;"""",""WHSE ""&amp;LEFT(F2192,1),REGEXEXTRACT(E2192,""-(?:\d{2}-)?([A-Z]+)"")),"""")
"),"")</f>
        <v/>
      </c>
      <c r="C2192" s="224"/>
      <c r="D2192" s="219"/>
      <c r="E2192" s="225"/>
      <c r="F2192" s="225"/>
      <c r="G2192" s="226"/>
      <c r="H2192" s="225"/>
      <c r="I2192" s="227"/>
      <c r="J2192" s="228"/>
      <c r="K2192" s="229"/>
      <c r="L2192" s="229"/>
      <c r="M2192" s="229"/>
      <c r="N2192" s="230"/>
      <c r="O2192" s="228"/>
      <c r="P2192" s="230"/>
      <c r="Q2192" s="219"/>
      <c r="R2192" s="198"/>
      <c r="S2192" s="198"/>
      <c r="T2192" s="198"/>
      <c r="U2192" s="198"/>
      <c r="V2192" s="198"/>
      <c r="W2192" s="198"/>
      <c r="X2192" s="198"/>
    </row>
    <row r="2193" ht="12.0" customHeight="1">
      <c r="A2193" s="222" t="str">
        <f>IF(COUNTIFS(RC_OUT[BLOCK],RC_IN[BLOCK],RC_OUT[REMARKS],"*CLOSED*")&gt;0,"CLOSED",IF(COUNTIFS(RC_OUT[BLOCK],RC_IN[BLOCK],RC_OUT[WT],"&gt;0")&gt;0,"IN-USE",""))
</f>
        <v/>
      </c>
      <c r="B2193" s="223" t="str">
        <f>IFERROR(__xludf.DUMMYFUNCTION("IFERROR(IF(F2193&lt;&gt;"""",""WHSE ""&amp;LEFT(F2193,1),REGEXEXTRACT(E2193,""-(?:\d{2}-)?([A-Z]+)"")),"""")
"),"")</f>
        <v/>
      </c>
      <c r="C2193" s="224"/>
      <c r="D2193" s="219"/>
      <c r="E2193" s="225"/>
      <c r="F2193" s="225"/>
      <c r="G2193" s="226"/>
      <c r="H2193" s="225"/>
      <c r="I2193" s="227"/>
      <c r="J2193" s="228"/>
      <c r="K2193" s="229"/>
      <c r="L2193" s="229"/>
      <c r="M2193" s="229"/>
      <c r="N2193" s="230"/>
      <c r="O2193" s="228"/>
      <c r="P2193" s="230"/>
      <c r="Q2193" s="219"/>
      <c r="R2193" s="198"/>
      <c r="S2193" s="198"/>
      <c r="T2193" s="198"/>
      <c r="U2193" s="198"/>
      <c r="V2193" s="198"/>
      <c r="W2193" s="198"/>
      <c r="X2193" s="198"/>
    </row>
    <row r="2194" ht="12.0" customHeight="1">
      <c r="A2194" s="222" t="str">
        <f>IF(COUNTIFS(RC_OUT[BLOCK],RC_IN[BLOCK],RC_OUT[REMARKS],"*CLOSED*")&gt;0,"CLOSED",IF(COUNTIFS(RC_OUT[BLOCK],RC_IN[BLOCK],RC_OUT[WT],"&gt;0")&gt;0,"IN-USE",""))
</f>
        <v/>
      </c>
      <c r="B2194" s="223" t="str">
        <f>IFERROR(__xludf.DUMMYFUNCTION("IFERROR(IF(F2194&lt;&gt;"""",""WHSE ""&amp;LEFT(F2194,1),REGEXEXTRACT(E2194,""-(?:\d{2}-)?([A-Z]+)"")),"""")
"),"")</f>
        <v/>
      </c>
      <c r="C2194" s="224"/>
      <c r="D2194" s="219"/>
      <c r="E2194" s="225"/>
      <c r="F2194" s="225"/>
      <c r="G2194" s="226"/>
      <c r="H2194" s="225"/>
      <c r="I2194" s="227"/>
      <c r="J2194" s="228"/>
      <c r="K2194" s="229"/>
      <c r="L2194" s="229"/>
      <c r="M2194" s="229"/>
      <c r="N2194" s="230"/>
      <c r="O2194" s="228"/>
      <c r="P2194" s="230"/>
      <c r="Q2194" s="219"/>
      <c r="R2194" s="198"/>
      <c r="S2194" s="198"/>
      <c r="T2194" s="198"/>
      <c r="U2194" s="198"/>
      <c r="V2194" s="198"/>
      <c r="W2194" s="198"/>
      <c r="X2194" s="198"/>
    </row>
    <row r="2195" ht="12.0" customHeight="1">
      <c r="A2195" s="222" t="str">
        <f>IF(COUNTIFS(RC_OUT[BLOCK],RC_IN[BLOCK],RC_OUT[REMARKS],"*CLOSED*")&gt;0,"CLOSED",IF(COUNTIFS(RC_OUT[BLOCK],RC_IN[BLOCK],RC_OUT[WT],"&gt;0")&gt;0,"IN-USE",""))
</f>
        <v/>
      </c>
      <c r="B2195" s="223" t="str">
        <f>IFERROR(__xludf.DUMMYFUNCTION("IFERROR(IF(F2195&lt;&gt;"""",""WHSE ""&amp;LEFT(F2195,1),REGEXEXTRACT(E2195,""-(?:\d{2}-)?([A-Z]+)"")),"""")
"),"")</f>
        <v/>
      </c>
      <c r="C2195" s="224"/>
      <c r="D2195" s="219"/>
      <c r="E2195" s="225"/>
      <c r="F2195" s="225"/>
      <c r="G2195" s="226"/>
      <c r="H2195" s="225"/>
      <c r="I2195" s="227"/>
      <c r="J2195" s="228"/>
      <c r="K2195" s="229"/>
      <c r="L2195" s="229"/>
      <c r="M2195" s="229"/>
      <c r="N2195" s="230"/>
      <c r="O2195" s="228"/>
      <c r="P2195" s="230"/>
      <c r="Q2195" s="219"/>
      <c r="R2195" s="198"/>
      <c r="S2195" s="198"/>
      <c r="T2195" s="198"/>
      <c r="U2195" s="198"/>
      <c r="V2195" s="198"/>
      <c r="W2195" s="198"/>
      <c r="X2195" s="198"/>
    </row>
    <row r="2196" ht="12.0" customHeight="1">
      <c r="A2196" s="222" t="str">
        <f>IF(COUNTIFS(RC_OUT[BLOCK],RC_IN[BLOCK],RC_OUT[REMARKS],"*CLOSED*")&gt;0,"CLOSED",IF(COUNTIFS(RC_OUT[BLOCK],RC_IN[BLOCK],RC_OUT[WT],"&gt;0")&gt;0,"IN-USE",""))
</f>
        <v/>
      </c>
      <c r="B2196" s="223" t="str">
        <f>IFERROR(__xludf.DUMMYFUNCTION("IFERROR(IF(F2196&lt;&gt;"""",""WHSE ""&amp;LEFT(F2196,1),REGEXEXTRACT(E2196,""-(?:\d{2}-)?([A-Z]+)"")),"""")
"),"")</f>
        <v/>
      </c>
      <c r="C2196" s="224"/>
      <c r="D2196" s="219"/>
      <c r="E2196" s="225"/>
      <c r="F2196" s="225"/>
      <c r="G2196" s="226"/>
      <c r="H2196" s="225"/>
      <c r="I2196" s="227"/>
      <c r="J2196" s="228"/>
      <c r="K2196" s="229"/>
      <c r="L2196" s="229"/>
      <c r="M2196" s="229"/>
      <c r="N2196" s="230"/>
      <c r="O2196" s="228"/>
      <c r="P2196" s="230"/>
      <c r="Q2196" s="219"/>
      <c r="R2196" s="198"/>
      <c r="S2196" s="198"/>
      <c r="T2196" s="198"/>
      <c r="U2196" s="198"/>
      <c r="V2196" s="198"/>
      <c r="W2196" s="198"/>
      <c r="X2196" s="198"/>
    </row>
    <row r="2197" ht="12.0" customHeight="1">
      <c r="A2197" s="222" t="str">
        <f>IF(COUNTIFS(RC_OUT[BLOCK],RC_IN[BLOCK],RC_OUT[REMARKS],"*CLOSED*")&gt;0,"CLOSED",IF(COUNTIFS(RC_OUT[BLOCK],RC_IN[BLOCK],RC_OUT[WT],"&gt;0")&gt;0,"IN-USE",""))
</f>
        <v/>
      </c>
      <c r="B2197" s="223" t="str">
        <f>IFERROR(__xludf.DUMMYFUNCTION("IFERROR(IF(F2197&lt;&gt;"""",""WHSE ""&amp;LEFT(F2197,1),REGEXEXTRACT(E2197,""-(?:\d{2}-)?([A-Z]+)"")),"""")
"),"")</f>
        <v/>
      </c>
      <c r="C2197" s="224"/>
      <c r="D2197" s="219"/>
      <c r="E2197" s="225"/>
      <c r="F2197" s="225"/>
      <c r="G2197" s="226"/>
      <c r="H2197" s="225"/>
      <c r="I2197" s="227"/>
      <c r="J2197" s="228"/>
      <c r="K2197" s="229"/>
      <c r="L2197" s="229"/>
      <c r="M2197" s="229"/>
      <c r="N2197" s="230"/>
      <c r="O2197" s="228"/>
      <c r="P2197" s="230"/>
      <c r="Q2197" s="219"/>
      <c r="R2197" s="198"/>
      <c r="S2197" s="198"/>
      <c r="T2197" s="198"/>
      <c r="U2197" s="198"/>
      <c r="V2197" s="198"/>
      <c r="W2197" s="198"/>
      <c r="X2197" s="198"/>
    </row>
    <row r="2198" ht="12.0" customHeight="1">
      <c r="A2198" s="222" t="str">
        <f>IF(COUNTIFS(RC_OUT[BLOCK],RC_IN[BLOCK],RC_OUT[REMARKS],"*CLOSED*")&gt;0,"CLOSED",IF(COUNTIFS(RC_OUT[BLOCK],RC_IN[BLOCK],RC_OUT[WT],"&gt;0")&gt;0,"IN-USE",""))
</f>
        <v/>
      </c>
      <c r="B2198" s="223" t="str">
        <f>IFERROR(__xludf.DUMMYFUNCTION("IFERROR(IF(F2198&lt;&gt;"""",""WHSE ""&amp;LEFT(F2198,1),REGEXEXTRACT(E2198,""-(?:\d{2}-)?([A-Z]+)"")),"""")
"),"")</f>
        <v/>
      </c>
      <c r="C2198" s="224"/>
      <c r="D2198" s="219"/>
      <c r="E2198" s="225"/>
      <c r="F2198" s="225"/>
      <c r="G2198" s="226"/>
      <c r="H2198" s="225"/>
      <c r="I2198" s="227"/>
      <c r="J2198" s="228"/>
      <c r="K2198" s="229"/>
      <c r="L2198" s="229"/>
      <c r="M2198" s="229"/>
      <c r="N2198" s="230"/>
      <c r="O2198" s="228"/>
      <c r="P2198" s="230"/>
      <c r="Q2198" s="219"/>
      <c r="R2198" s="198"/>
      <c r="S2198" s="198"/>
      <c r="T2198" s="198"/>
      <c r="U2198" s="198"/>
      <c r="V2198" s="198"/>
      <c r="W2198" s="198"/>
      <c r="X2198" s="198"/>
    </row>
    <row r="2199" ht="12.0" customHeight="1">
      <c r="A2199" s="222" t="str">
        <f>IF(COUNTIFS(RC_OUT[BLOCK],RC_IN[BLOCK],RC_OUT[REMARKS],"*CLOSED*")&gt;0,"CLOSED",IF(COUNTIFS(RC_OUT[BLOCK],RC_IN[BLOCK],RC_OUT[WT],"&gt;0")&gt;0,"IN-USE",""))
</f>
        <v/>
      </c>
      <c r="B2199" s="223" t="str">
        <f>IFERROR(__xludf.DUMMYFUNCTION("IFERROR(IF(F2199&lt;&gt;"""",""WHSE ""&amp;LEFT(F2199,1),REGEXEXTRACT(E2199,""-(?:\d{2}-)?([A-Z]+)"")),"""")
"),"")</f>
        <v/>
      </c>
      <c r="C2199" s="224"/>
      <c r="D2199" s="219"/>
      <c r="E2199" s="225"/>
      <c r="F2199" s="225"/>
      <c r="G2199" s="226"/>
      <c r="H2199" s="225"/>
      <c r="I2199" s="227"/>
      <c r="J2199" s="228"/>
      <c r="K2199" s="229"/>
      <c r="L2199" s="229"/>
      <c r="M2199" s="229"/>
      <c r="N2199" s="230"/>
      <c r="O2199" s="228"/>
      <c r="P2199" s="230"/>
      <c r="Q2199" s="219"/>
      <c r="R2199" s="198"/>
      <c r="S2199" s="198"/>
      <c r="T2199" s="198"/>
      <c r="U2199" s="198"/>
      <c r="V2199" s="198"/>
      <c r="W2199" s="198"/>
      <c r="X2199" s="198"/>
    </row>
    <row r="2200" ht="12.0" customHeight="1">
      <c r="A2200" s="222" t="str">
        <f>IF(COUNTIFS(RC_OUT[BLOCK],RC_IN[BLOCK],RC_OUT[REMARKS],"*CLOSED*")&gt;0,"CLOSED",IF(COUNTIFS(RC_OUT[BLOCK],RC_IN[BLOCK],RC_OUT[WT],"&gt;0")&gt;0,"IN-USE",""))
</f>
        <v/>
      </c>
      <c r="B2200" s="223" t="str">
        <f>IFERROR(__xludf.DUMMYFUNCTION("IFERROR(IF(F2200&lt;&gt;"""",""WHSE ""&amp;LEFT(F2200,1),REGEXEXTRACT(E2200,""-(?:\d{2}-)?([A-Z]+)"")),"""")
"),"")</f>
        <v/>
      </c>
      <c r="C2200" s="224"/>
      <c r="D2200" s="219"/>
      <c r="E2200" s="225"/>
      <c r="F2200" s="225"/>
      <c r="G2200" s="226"/>
      <c r="H2200" s="225"/>
      <c r="I2200" s="227"/>
      <c r="J2200" s="228"/>
      <c r="K2200" s="229"/>
      <c r="L2200" s="229"/>
      <c r="M2200" s="229"/>
      <c r="N2200" s="230"/>
      <c r="O2200" s="228"/>
      <c r="P2200" s="230"/>
      <c r="Q2200" s="219"/>
      <c r="R2200" s="198"/>
      <c r="S2200" s="198"/>
      <c r="T2200" s="198"/>
      <c r="U2200" s="198"/>
      <c r="V2200" s="198"/>
      <c r="W2200" s="198"/>
      <c r="X2200" s="198"/>
    </row>
    <row r="2201" ht="12.0" customHeight="1">
      <c r="A2201" s="222" t="str">
        <f>IF(COUNTIFS(RC_OUT[BLOCK],RC_IN[BLOCK],RC_OUT[REMARKS],"*CLOSED*")&gt;0,"CLOSED",IF(COUNTIFS(RC_OUT[BLOCK],RC_IN[BLOCK],RC_OUT[WT],"&gt;0")&gt;0,"IN-USE",""))
</f>
        <v/>
      </c>
      <c r="B2201" s="223" t="str">
        <f>IFERROR(__xludf.DUMMYFUNCTION("IFERROR(IF(F2201&lt;&gt;"""",""WHSE ""&amp;LEFT(F2201,1),REGEXEXTRACT(E2201,""-(?:\d{2}-)?([A-Z]+)"")),"""")
"),"")</f>
        <v/>
      </c>
      <c r="C2201" s="224"/>
      <c r="D2201" s="219"/>
      <c r="E2201" s="225"/>
      <c r="F2201" s="225"/>
      <c r="G2201" s="226"/>
      <c r="H2201" s="225"/>
      <c r="I2201" s="227"/>
      <c r="J2201" s="228"/>
      <c r="K2201" s="229"/>
      <c r="L2201" s="229"/>
      <c r="M2201" s="229"/>
      <c r="N2201" s="230"/>
      <c r="O2201" s="228"/>
      <c r="P2201" s="230"/>
      <c r="Q2201" s="219"/>
      <c r="R2201" s="198"/>
      <c r="S2201" s="198"/>
      <c r="T2201" s="198"/>
      <c r="U2201" s="198"/>
      <c r="V2201" s="198"/>
      <c r="W2201" s="198"/>
      <c r="X2201" s="198"/>
    </row>
    <row r="2202" ht="12.0" customHeight="1">
      <c r="A2202" s="222" t="str">
        <f>IF(COUNTIFS(RC_OUT[BLOCK],RC_IN[BLOCK],RC_OUT[REMARKS],"*CLOSED*")&gt;0,"CLOSED",IF(COUNTIFS(RC_OUT[BLOCK],RC_IN[BLOCK],RC_OUT[WT],"&gt;0")&gt;0,"IN-USE",""))
</f>
        <v/>
      </c>
      <c r="B2202" s="223" t="str">
        <f>IFERROR(__xludf.DUMMYFUNCTION("IFERROR(IF(F2202&lt;&gt;"""",""WHSE ""&amp;LEFT(F2202,1),REGEXEXTRACT(E2202,""-(?:\d{2}-)?([A-Z]+)"")),"""")
"),"")</f>
        <v/>
      </c>
      <c r="C2202" s="224"/>
      <c r="D2202" s="219"/>
      <c r="E2202" s="225"/>
      <c r="F2202" s="225"/>
      <c r="G2202" s="226"/>
      <c r="H2202" s="225"/>
      <c r="I2202" s="227"/>
      <c r="J2202" s="228"/>
      <c r="K2202" s="229"/>
      <c r="L2202" s="229"/>
      <c r="M2202" s="229"/>
      <c r="N2202" s="230"/>
      <c r="O2202" s="228"/>
      <c r="P2202" s="230"/>
      <c r="Q2202" s="219"/>
      <c r="R2202" s="198"/>
      <c r="S2202" s="198"/>
      <c r="T2202" s="198"/>
      <c r="U2202" s="198"/>
      <c r="V2202" s="198"/>
      <c r="W2202" s="198"/>
      <c r="X2202" s="198"/>
    </row>
    <row r="2203" ht="12.0" customHeight="1">
      <c r="A2203" s="222" t="str">
        <f>IF(COUNTIFS(RC_OUT[BLOCK],RC_IN[BLOCK],RC_OUT[REMARKS],"*CLOSED*")&gt;0,"CLOSED",IF(COUNTIFS(RC_OUT[BLOCK],RC_IN[BLOCK],RC_OUT[WT],"&gt;0")&gt;0,"IN-USE",""))
</f>
        <v/>
      </c>
      <c r="B2203" s="223" t="str">
        <f>IFERROR(__xludf.DUMMYFUNCTION("IFERROR(IF(F2203&lt;&gt;"""",""WHSE ""&amp;LEFT(F2203,1),REGEXEXTRACT(E2203,""-(?:\d{2}-)?([A-Z]+)"")),"""")
"),"")</f>
        <v/>
      </c>
      <c r="C2203" s="224"/>
      <c r="D2203" s="219"/>
      <c r="E2203" s="225"/>
      <c r="F2203" s="225"/>
      <c r="G2203" s="226"/>
      <c r="H2203" s="225"/>
      <c r="I2203" s="227"/>
      <c r="J2203" s="228"/>
      <c r="K2203" s="229"/>
      <c r="L2203" s="229"/>
      <c r="M2203" s="229"/>
      <c r="N2203" s="230"/>
      <c r="O2203" s="228"/>
      <c r="P2203" s="230"/>
      <c r="Q2203" s="219"/>
      <c r="R2203" s="198"/>
      <c r="S2203" s="198"/>
      <c r="T2203" s="198"/>
      <c r="U2203" s="198"/>
      <c r="V2203" s="198"/>
      <c r="W2203" s="198"/>
      <c r="X2203" s="198"/>
    </row>
    <row r="2204" ht="12.0" customHeight="1">
      <c r="A2204" s="222" t="str">
        <f>IF(COUNTIFS(RC_OUT[BLOCK],RC_IN[BLOCK],RC_OUT[REMARKS],"*CLOSED*")&gt;0,"CLOSED",IF(COUNTIFS(RC_OUT[BLOCK],RC_IN[BLOCK],RC_OUT[WT],"&gt;0")&gt;0,"IN-USE",""))
</f>
        <v/>
      </c>
      <c r="B2204" s="223" t="str">
        <f>IFERROR(__xludf.DUMMYFUNCTION("IFERROR(IF(F2204&lt;&gt;"""",""WHSE ""&amp;LEFT(F2204,1),REGEXEXTRACT(E2204,""-(?:\d{2}-)?([A-Z]+)"")),"""")
"),"")</f>
        <v/>
      </c>
      <c r="C2204" s="224"/>
      <c r="D2204" s="219"/>
      <c r="E2204" s="225"/>
      <c r="F2204" s="225"/>
      <c r="G2204" s="226"/>
      <c r="H2204" s="225"/>
      <c r="I2204" s="227"/>
      <c r="J2204" s="228"/>
      <c r="K2204" s="229"/>
      <c r="L2204" s="229"/>
      <c r="M2204" s="229"/>
      <c r="N2204" s="230"/>
      <c r="O2204" s="228"/>
      <c r="P2204" s="230"/>
      <c r="Q2204" s="219"/>
      <c r="R2204" s="198"/>
      <c r="S2204" s="198"/>
      <c r="T2204" s="198"/>
      <c r="U2204" s="198"/>
      <c r="V2204" s="198"/>
      <c r="W2204" s="198"/>
      <c r="X2204" s="198"/>
    </row>
    <row r="2205" ht="12.0" customHeight="1">
      <c r="A2205" s="222" t="str">
        <f>IF(COUNTIFS(RC_OUT[BLOCK],RC_IN[BLOCK],RC_OUT[REMARKS],"*CLOSED*")&gt;0,"CLOSED",IF(COUNTIFS(RC_OUT[BLOCK],RC_IN[BLOCK],RC_OUT[WT],"&gt;0")&gt;0,"IN-USE",""))
</f>
        <v/>
      </c>
      <c r="B2205" s="223" t="str">
        <f>IFERROR(__xludf.DUMMYFUNCTION("IFERROR(IF(F2205&lt;&gt;"""",""WHSE ""&amp;LEFT(F2205,1),REGEXEXTRACT(E2205,""-(?:\d{2}-)?([A-Z]+)"")),"""")
"),"")</f>
        <v/>
      </c>
      <c r="C2205" s="224"/>
      <c r="D2205" s="219"/>
      <c r="E2205" s="225"/>
      <c r="F2205" s="225"/>
      <c r="G2205" s="226"/>
      <c r="H2205" s="225"/>
      <c r="I2205" s="227"/>
      <c r="J2205" s="228"/>
      <c r="K2205" s="229"/>
      <c r="L2205" s="229"/>
      <c r="M2205" s="229"/>
      <c r="N2205" s="230"/>
      <c r="O2205" s="228"/>
      <c r="P2205" s="230"/>
      <c r="Q2205" s="219"/>
      <c r="R2205" s="198"/>
      <c r="S2205" s="198"/>
      <c r="T2205" s="198"/>
      <c r="U2205" s="198"/>
      <c r="V2205" s="198"/>
      <c r="W2205" s="198"/>
      <c r="X2205" s="198"/>
    </row>
    <row r="2206" ht="12.0" customHeight="1">
      <c r="A2206" s="222" t="str">
        <f>IF(COUNTIFS(RC_OUT[BLOCK],RC_IN[BLOCK],RC_OUT[REMARKS],"*CLOSED*")&gt;0,"CLOSED",IF(COUNTIFS(RC_OUT[BLOCK],RC_IN[BLOCK],RC_OUT[WT],"&gt;0")&gt;0,"IN-USE",""))
</f>
        <v/>
      </c>
      <c r="B2206" s="223" t="str">
        <f>IFERROR(__xludf.DUMMYFUNCTION("IFERROR(IF(F2206&lt;&gt;"""",""WHSE ""&amp;LEFT(F2206,1),REGEXEXTRACT(E2206,""-(?:\d{2}-)?([A-Z]+)"")),"""")
"),"")</f>
        <v/>
      </c>
      <c r="C2206" s="224"/>
      <c r="D2206" s="219"/>
      <c r="E2206" s="225"/>
      <c r="F2206" s="225"/>
      <c r="G2206" s="226"/>
      <c r="H2206" s="225"/>
      <c r="I2206" s="227"/>
      <c r="J2206" s="228"/>
      <c r="K2206" s="229"/>
      <c r="L2206" s="229"/>
      <c r="M2206" s="229"/>
      <c r="N2206" s="230"/>
      <c r="O2206" s="228"/>
      <c r="P2206" s="230"/>
      <c r="Q2206" s="219"/>
      <c r="R2206" s="198"/>
      <c r="S2206" s="198"/>
      <c r="T2206" s="198"/>
      <c r="U2206" s="198"/>
      <c r="V2206" s="198"/>
      <c r="W2206" s="198"/>
      <c r="X2206" s="198"/>
    </row>
    <row r="2207" ht="12.0" customHeight="1">
      <c r="A2207" s="222" t="str">
        <f>IF(COUNTIFS(RC_OUT[BLOCK],RC_IN[BLOCK],RC_OUT[REMARKS],"*CLOSED*")&gt;0,"CLOSED",IF(COUNTIFS(RC_OUT[BLOCK],RC_IN[BLOCK],RC_OUT[WT],"&gt;0")&gt;0,"IN-USE",""))
</f>
        <v/>
      </c>
      <c r="B2207" s="223" t="str">
        <f>IFERROR(__xludf.DUMMYFUNCTION("IFERROR(IF(F2207&lt;&gt;"""",""WHSE ""&amp;LEFT(F2207,1),REGEXEXTRACT(E2207,""-(?:\d{2}-)?([A-Z]+)"")),"""")
"),"")</f>
        <v/>
      </c>
      <c r="C2207" s="224"/>
      <c r="D2207" s="219"/>
      <c r="E2207" s="225"/>
      <c r="F2207" s="225"/>
      <c r="G2207" s="226"/>
      <c r="H2207" s="225"/>
      <c r="I2207" s="227"/>
      <c r="J2207" s="228"/>
      <c r="K2207" s="229"/>
      <c r="L2207" s="229"/>
      <c r="M2207" s="229"/>
      <c r="N2207" s="230"/>
      <c r="O2207" s="228"/>
      <c r="P2207" s="230"/>
      <c r="Q2207" s="219"/>
      <c r="R2207" s="198"/>
      <c r="S2207" s="198"/>
      <c r="T2207" s="198"/>
      <c r="U2207" s="198"/>
      <c r="V2207" s="198"/>
      <c r="W2207" s="198"/>
      <c r="X2207" s="198"/>
    </row>
    <row r="2208" ht="12.0" customHeight="1">
      <c r="A2208" s="222" t="str">
        <f>IF(COUNTIFS(RC_OUT[BLOCK],RC_IN[BLOCK],RC_OUT[REMARKS],"*CLOSED*")&gt;0,"CLOSED",IF(COUNTIFS(RC_OUT[BLOCK],RC_IN[BLOCK],RC_OUT[WT],"&gt;0")&gt;0,"IN-USE",""))
</f>
        <v/>
      </c>
      <c r="B2208" s="223" t="str">
        <f>IFERROR(__xludf.DUMMYFUNCTION("IFERROR(IF(F2208&lt;&gt;"""",""WHSE ""&amp;LEFT(F2208,1),REGEXEXTRACT(E2208,""-(?:\d{2}-)?([A-Z]+)"")),"""")
"),"")</f>
        <v/>
      </c>
      <c r="C2208" s="224"/>
      <c r="D2208" s="219"/>
      <c r="E2208" s="225"/>
      <c r="F2208" s="225"/>
      <c r="G2208" s="226"/>
      <c r="H2208" s="225"/>
      <c r="I2208" s="227"/>
      <c r="J2208" s="228"/>
      <c r="K2208" s="229"/>
      <c r="L2208" s="229"/>
      <c r="M2208" s="229"/>
      <c r="N2208" s="230"/>
      <c r="O2208" s="228"/>
      <c r="P2208" s="230"/>
      <c r="Q2208" s="219"/>
      <c r="R2208" s="198"/>
      <c r="S2208" s="198"/>
      <c r="T2208" s="198"/>
      <c r="U2208" s="198"/>
      <c r="V2208" s="198"/>
      <c r="W2208" s="198"/>
      <c r="X2208" s="198"/>
    </row>
    <row r="2209" ht="12.0" customHeight="1">
      <c r="A2209" s="222" t="str">
        <f>IF(COUNTIFS(RC_OUT[BLOCK],RC_IN[BLOCK],RC_OUT[REMARKS],"*CLOSED*")&gt;0,"CLOSED",IF(COUNTIFS(RC_OUT[BLOCK],RC_IN[BLOCK],RC_OUT[WT],"&gt;0")&gt;0,"IN-USE",""))
</f>
        <v/>
      </c>
      <c r="B2209" s="223" t="str">
        <f>IFERROR(__xludf.DUMMYFUNCTION("IFERROR(IF(F2209&lt;&gt;"""",""WHSE ""&amp;LEFT(F2209,1),REGEXEXTRACT(E2209,""-(?:\d{2}-)?([A-Z]+)"")),"""")
"),"")</f>
        <v/>
      </c>
      <c r="C2209" s="224"/>
      <c r="D2209" s="219"/>
      <c r="E2209" s="225"/>
      <c r="F2209" s="225"/>
      <c r="G2209" s="226"/>
      <c r="H2209" s="225"/>
      <c r="I2209" s="227"/>
      <c r="J2209" s="228"/>
      <c r="K2209" s="229"/>
      <c r="L2209" s="229"/>
      <c r="M2209" s="229"/>
      <c r="N2209" s="230"/>
      <c r="O2209" s="228"/>
      <c r="P2209" s="230"/>
      <c r="Q2209" s="219"/>
      <c r="R2209" s="198"/>
      <c r="S2209" s="198"/>
      <c r="T2209" s="198"/>
      <c r="U2209" s="198"/>
      <c r="V2209" s="198"/>
      <c r="W2209" s="198"/>
      <c r="X2209" s="198"/>
    </row>
    <row r="2210" ht="12.0" customHeight="1">
      <c r="A2210" s="222" t="str">
        <f>IF(COUNTIFS(RC_OUT[BLOCK],RC_IN[BLOCK],RC_OUT[REMARKS],"*CLOSED*")&gt;0,"CLOSED",IF(COUNTIFS(RC_OUT[BLOCK],RC_IN[BLOCK],RC_OUT[WT],"&gt;0")&gt;0,"IN-USE",""))
</f>
        <v/>
      </c>
      <c r="B2210" s="223" t="str">
        <f>IFERROR(__xludf.DUMMYFUNCTION("IFERROR(IF(F2210&lt;&gt;"""",""WHSE ""&amp;LEFT(F2210,1),REGEXEXTRACT(E2210,""-(?:\d{2}-)?([A-Z]+)"")),"""")
"),"")</f>
        <v/>
      </c>
      <c r="C2210" s="224"/>
      <c r="D2210" s="219"/>
      <c r="E2210" s="225"/>
      <c r="F2210" s="225"/>
      <c r="G2210" s="226"/>
      <c r="H2210" s="225"/>
      <c r="I2210" s="227"/>
      <c r="J2210" s="228"/>
      <c r="K2210" s="229"/>
      <c r="L2210" s="229"/>
      <c r="M2210" s="229"/>
      <c r="N2210" s="230"/>
      <c r="O2210" s="228"/>
      <c r="P2210" s="230"/>
      <c r="Q2210" s="219"/>
      <c r="R2210" s="198"/>
      <c r="S2210" s="198"/>
      <c r="T2210" s="198"/>
      <c r="U2210" s="198"/>
      <c r="V2210" s="198"/>
      <c r="W2210" s="198"/>
      <c r="X2210" s="198"/>
    </row>
    <row r="2211" ht="12.0" customHeight="1">
      <c r="A2211" s="222" t="str">
        <f>IF(COUNTIFS(RC_OUT[BLOCK],RC_IN[BLOCK],RC_OUT[REMARKS],"*CLOSED*")&gt;0,"CLOSED",IF(COUNTIFS(RC_OUT[BLOCK],RC_IN[BLOCK],RC_OUT[WT],"&gt;0")&gt;0,"IN-USE",""))
</f>
        <v/>
      </c>
      <c r="B2211" s="223" t="str">
        <f>IFERROR(__xludf.DUMMYFUNCTION("IFERROR(IF(F2211&lt;&gt;"""",""WHSE ""&amp;LEFT(F2211,1),REGEXEXTRACT(E2211,""-(?:\d{2}-)?([A-Z]+)"")),"""")
"),"")</f>
        <v/>
      </c>
      <c r="C2211" s="224"/>
      <c r="D2211" s="219"/>
      <c r="E2211" s="225"/>
      <c r="F2211" s="225"/>
      <c r="G2211" s="226"/>
      <c r="H2211" s="225"/>
      <c r="I2211" s="227"/>
      <c r="J2211" s="228"/>
      <c r="K2211" s="229"/>
      <c r="L2211" s="229"/>
      <c r="M2211" s="229"/>
      <c r="N2211" s="230"/>
      <c r="O2211" s="228"/>
      <c r="P2211" s="230"/>
      <c r="Q2211" s="219"/>
      <c r="R2211" s="198"/>
      <c r="S2211" s="198"/>
      <c r="T2211" s="198"/>
      <c r="U2211" s="198"/>
      <c r="V2211" s="198"/>
      <c r="W2211" s="198"/>
      <c r="X2211" s="198"/>
    </row>
    <row r="2212" ht="12.0" customHeight="1">
      <c r="A2212" s="222" t="str">
        <f>IF(COUNTIFS(RC_OUT[BLOCK],RC_IN[BLOCK],RC_OUT[REMARKS],"*CLOSED*")&gt;0,"CLOSED",IF(COUNTIFS(RC_OUT[BLOCK],RC_IN[BLOCK],RC_OUT[WT],"&gt;0")&gt;0,"IN-USE",""))
</f>
        <v/>
      </c>
      <c r="B2212" s="223" t="str">
        <f>IFERROR(__xludf.DUMMYFUNCTION("IFERROR(IF(F2212&lt;&gt;"""",""WHSE ""&amp;LEFT(F2212,1),REGEXEXTRACT(E2212,""-(?:\d{2}-)?([A-Z]+)"")),"""")
"),"")</f>
        <v/>
      </c>
      <c r="C2212" s="224"/>
      <c r="D2212" s="219"/>
      <c r="E2212" s="225"/>
      <c r="F2212" s="225"/>
      <c r="G2212" s="226"/>
      <c r="H2212" s="225"/>
      <c r="I2212" s="227"/>
      <c r="J2212" s="228"/>
      <c r="K2212" s="229"/>
      <c r="L2212" s="229"/>
      <c r="M2212" s="229"/>
      <c r="N2212" s="230"/>
      <c r="O2212" s="228"/>
      <c r="P2212" s="230"/>
      <c r="Q2212" s="219"/>
      <c r="R2212" s="198"/>
      <c r="S2212" s="198"/>
      <c r="T2212" s="198"/>
      <c r="U2212" s="198"/>
      <c r="V2212" s="198"/>
      <c r="W2212" s="198"/>
      <c r="X2212" s="198"/>
    </row>
    <row r="2213" ht="12.0" customHeight="1">
      <c r="A2213" s="222" t="str">
        <f>IF(COUNTIFS(RC_OUT[BLOCK],RC_IN[BLOCK],RC_OUT[REMARKS],"*CLOSED*")&gt;0,"CLOSED",IF(COUNTIFS(RC_OUT[BLOCK],RC_IN[BLOCK],RC_OUT[WT],"&gt;0")&gt;0,"IN-USE",""))
</f>
        <v/>
      </c>
      <c r="B2213" s="223" t="str">
        <f>IFERROR(__xludf.DUMMYFUNCTION("IFERROR(IF(F2213&lt;&gt;"""",""WHSE ""&amp;LEFT(F2213,1),REGEXEXTRACT(E2213,""-(?:\d{2}-)?([A-Z]+)"")),"""")
"),"")</f>
        <v/>
      </c>
      <c r="C2213" s="224"/>
      <c r="D2213" s="219"/>
      <c r="E2213" s="225"/>
      <c r="F2213" s="225"/>
      <c r="G2213" s="226"/>
      <c r="H2213" s="225"/>
      <c r="I2213" s="227"/>
      <c r="J2213" s="228"/>
      <c r="K2213" s="229"/>
      <c r="L2213" s="229"/>
      <c r="M2213" s="229"/>
      <c r="N2213" s="230"/>
      <c r="O2213" s="228"/>
      <c r="P2213" s="230"/>
      <c r="Q2213" s="219"/>
      <c r="R2213" s="198"/>
      <c r="S2213" s="198"/>
      <c r="T2213" s="198"/>
      <c r="U2213" s="198"/>
      <c r="V2213" s="198"/>
      <c r="W2213" s="198"/>
      <c r="X2213" s="198"/>
    </row>
    <row r="2214" ht="12.0" customHeight="1">
      <c r="A2214" s="222" t="str">
        <f>IF(COUNTIFS(RC_OUT[BLOCK],RC_IN[BLOCK],RC_OUT[REMARKS],"*CLOSED*")&gt;0,"CLOSED",IF(COUNTIFS(RC_OUT[BLOCK],RC_IN[BLOCK],RC_OUT[WT],"&gt;0")&gt;0,"IN-USE",""))
</f>
        <v/>
      </c>
      <c r="B2214" s="223" t="str">
        <f>IFERROR(__xludf.DUMMYFUNCTION("IFERROR(IF(F2214&lt;&gt;"""",""WHSE ""&amp;LEFT(F2214,1),REGEXEXTRACT(E2214,""-(?:\d{2}-)?([A-Z]+)"")),"""")
"),"")</f>
        <v/>
      </c>
      <c r="C2214" s="224"/>
      <c r="D2214" s="219"/>
      <c r="E2214" s="225"/>
      <c r="F2214" s="225"/>
      <c r="G2214" s="226"/>
      <c r="H2214" s="225"/>
      <c r="I2214" s="227"/>
      <c r="J2214" s="228"/>
      <c r="K2214" s="229"/>
      <c r="L2214" s="229"/>
      <c r="M2214" s="229"/>
      <c r="N2214" s="230"/>
      <c r="O2214" s="228"/>
      <c r="P2214" s="230"/>
      <c r="Q2214" s="219"/>
      <c r="R2214" s="198"/>
      <c r="S2214" s="198"/>
      <c r="T2214" s="198"/>
      <c r="U2214" s="198"/>
      <c r="V2214" s="198"/>
      <c r="W2214" s="198"/>
      <c r="X2214" s="198"/>
    </row>
    <row r="2215" ht="12.0" customHeight="1">
      <c r="A2215" s="222" t="str">
        <f>IF(COUNTIFS(RC_OUT[BLOCK],RC_IN[BLOCK],RC_OUT[REMARKS],"*CLOSED*")&gt;0,"CLOSED",IF(COUNTIFS(RC_OUT[BLOCK],RC_IN[BLOCK],RC_OUT[WT],"&gt;0")&gt;0,"IN-USE",""))
</f>
        <v/>
      </c>
      <c r="B2215" s="223" t="str">
        <f>IFERROR(__xludf.DUMMYFUNCTION("IFERROR(IF(F2215&lt;&gt;"""",""WHSE ""&amp;LEFT(F2215,1),REGEXEXTRACT(E2215,""-(?:\d{2}-)?([A-Z]+)"")),"""")
"),"")</f>
        <v/>
      </c>
      <c r="C2215" s="224"/>
      <c r="D2215" s="219"/>
      <c r="E2215" s="225"/>
      <c r="F2215" s="225"/>
      <c r="G2215" s="226"/>
      <c r="H2215" s="225"/>
      <c r="I2215" s="227"/>
      <c r="J2215" s="228"/>
      <c r="K2215" s="229"/>
      <c r="L2215" s="229"/>
      <c r="M2215" s="229"/>
      <c r="N2215" s="230"/>
      <c r="O2215" s="228"/>
      <c r="P2215" s="230"/>
      <c r="Q2215" s="219"/>
      <c r="R2215" s="198"/>
      <c r="S2215" s="198"/>
      <c r="T2215" s="198"/>
      <c r="U2215" s="198"/>
      <c r="V2215" s="198"/>
      <c r="W2215" s="198"/>
      <c r="X2215" s="198"/>
    </row>
    <row r="2216" ht="12.0" customHeight="1">
      <c r="A2216" s="222" t="str">
        <f>IF(COUNTIFS(RC_OUT[BLOCK],RC_IN[BLOCK],RC_OUT[REMARKS],"*CLOSED*")&gt;0,"CLOSED",IF(COUNTIFS(RC_OUT[BLOCK],RC_IN[BLOCK],RC_OUT[WT],"&gt;0")&gt;0,"IN-USE",""))
</f>
        <v/>
      </c>
      <c r="B2216" s="223" t="str">
        <f>IFERROR(__xludf.DUMMYFUNCTION("IFERROR(IF(F2216&lt;&gt;"""",""WHSE ""&amp;LEFT(F2216,1),REGEXEXTRACT(E2216,""-(?:\d{2}-)?([A-Z]+)"")),"""")
"),"")</f>
        <v/>
      </c>
      <c r="C2216" s="224"/>
      <c r="D2216" s="219"/>
      <c r="E2216" s="225"/>
      <c r="F2216" s="225"/>
      <c r="G2216" s="226"/>
      <c r="H2216" s="225"/>
      <c r="I2216" s="227"/>
      <c r="J2216" s="228"/>
      <c r="K2216" s="229"/>
      <c r="L2216" s="229"/>
      <c r="M2216" s="229"/>
      <c r="N2216" s="230"/>
      <c r="O2216" s="228"/>
      <c r="P2216" s="230"/>
      <c r="Q2216" s="219"/>
      <c r="R2216" s="198"/>
      <c r="S2216" s="198"/>
      <c r="T2216" s="198"/>
      <c r="U2216" s="198"/>
      <c r="V2216" s="198"/>
      <c r="W2216" s="198"/>
      <c r="X2216" s="198"/>
    </row>
    <row r="2217" ht="12.0" customHeight="1">
      <c r="A2217" s="222" t="str">
        <f>IF(COUNTIFS(RC_OUT[BLOCK],RC_IN[BLOCK],RC_OUT[REMARKS],"*CLOSED*")&gt;0,"CLOSED",IF(COUNTIFS(RC_OUT[BLOCK],RC_IN[BLOCK],RC_OUT[WT],"&gt;0")&gt;0,"IN-USE",""))
</f>
        <v/>
      </c>
      <c r="B2217" s="223" t="str">
        <f>IFERROR(__xludf.DUMMYFUNCTION("IFERROR(IF(F2217&lt;&gt;"""",""WHSE ""&amp;LEFT(F2217,1),REGEXEXTRACT(E2217,""-(?:\d{2}-)?([A-Z]+)"")),"""")
"),"")</f>
        <v/>
      </c>
      <c r="C2217" s="224"/>
      <c r="D2217" s="219"/>
      <c r="E2217" s="225"/>
      <c r="F2217" s="225"/>
      <c r="G2217" s="226"/>
      <c r="H2217" s="225"/>
      <c r="I2217" s="227"/>
      <c r="J2217" s="228"/>
      <c r="K2217" s="229"/>
      <c r="L2217" s="229"/>
      <c r="M2217" s="229"/>
      <c r="N2217" s="230"/>
      <c r="O2217" s="228"/>
      <c r="P2217" s="230"/>
      <c r="Q2217" s="219"/>
      <c r="R2217" s="198"/>
      <c r="S2217" s="198"/>
      <c r="T2217" s="198"/>
      <c r="U2217" s="198"/>
      <c r="V2217" s="198"/>
      <c r="W2217" s="198"/>
      <c r="X2217" s="198"/>
    </row>
    <row r="2218" ht="12.0" customHeight="1">
      <c r="A2218" s="222" t="str">
        <f>IF(COUNTIFS(RC_OUT[BLOCK],RC_IN[BLOCK],RC_OUT[REMARKS],"*CLOSED*")&gt;0,"CLOSED",IF(COUNTIFS(RC_OUT[BLOCK],RC_IN[BLOCK],RC_OUT[WT],"&gt;0")&gt;0,"IN-USE",""))
</f>
        <v/>
      </c>
      <c r="B2218" s="223" t="str">
        <f>IFERROR(__xludf.DUMMYFUNCTION("IFERROR(IF(F2218&lt;&gt;"""",""WHSE ""&amp;LEFT(F2218,1),REGEXEXTRACT(E2218,""-(?:\d{2}-)?([A-Z]+)"")),"""")
"),"")</f>
        <v/>
      </c>
      <c r="C2218" s="224"/>
      <c r="D2218" s="219"/>
      <c r="E2218" s="225"/>
      <c r="F2218" s="225"/>
      <c r="G2218" s="226"/>
      <c r="H2218" s="225"/>
      <c r="I2218" s="227"/>
      <c r="J2218" s="228"/>
      <c r="K2218" s="229"/>
      <c r="L2218" s="229"/>
      <c r="M2218" s="229"/>
      <c r="N2218" s="230"/>
      <c r="O2218" s="228"/>
      <c r="P2218" s="230"/>
      <c r="Q2218" s="219"/>
      <c r="R2218" s="198"/>
      <c r="S2218" s="198"/>
      <c r="T2218" s="198"/>
      <c r="U2218" s="198"/>
      <c r="V2218" s="198"/>
      <c r="W2218" s="198"/>
      <c r="X2218" s="198"/>
    </row>
    <row r="2219" ht="12.0" customHeight="1">
      <c r="A2219" s="222" t="str">
        <f>IF(COUNTIFS(RC_OUT[BLOCK],RC_IN[BLOCK],RC_OUT[REMARKS],"*CLOSED*")&gt;0,"CLOSED",IF(COUNTIFS(RC_OUT[BLOCK],RC_IN[BLOCK],RC_OUT[WT],"&gt;0")&gt;0,"IN-USE",""))
</f>
        <v/>
      </c>
      <c r="B2219" s="223" t="str">
        <f>IFERROR(__xludf.DUMMYFUNCTION("IFERROR(IF(F2219&lt;&gt;"""",""WHSE ""&amp;LEFT(F2219,1),REGEXEXTRACT(E2219,""-(?:\d{2}-)?([A-Z]+)"")),"""")
"),"")</f>
        <v/>
      </c>
      <c r="C2219" s="224"/>
      <c r="D2219" s="219"/>
      <c r="E2219" s="225"/>
      <c r="F2219" s="225"/>
      <c r="G2219" s="226"/>
      <c r="H2219" s="225"/>
      <c r="I2219" s="227"/>
      <c r="J2219" s="228"/>
      <c r="K2219" s="229"/>
      <c r="L2219" s="229"/>
      <c r="M2219" s="229"/>
      <c r="N2219" s="230"/>
      <c r="O2219" s="228"/>
      <c r="P2219" s="230"/>
      <c r="Q2219" s="219"/>
      <c r="R2219" s="198"/>
      <c r="S2219" s="198"/>
      <c r="T2219" s="198"/>
      <c r="U2219" s="198"/>
      <c r="V2219" s="198"/>
      <c r="W2219" s="198"/>
      <c r="X2219" s="198"/>
    </row>
    <row r="2220" ht="12.0" customHeight="1">
      <c r="A2220" s="222" t="str">
        <f>IF(COUNTIFS(RC_OUT[BLOCK],RC_IN[BLOCK],RC_OUT[REMARKS],"*CLOSED*")&gt;0,"CLOSED",IF(COUNTIFS(RC_OUT[BLOCK],RC_IN[BLOCK],RC_OUT[WT],"&gt;0")&gt;0,"IN-USE",""))
</f>
        <v/>
      </c>
      <c r="B2220" s="223" t="str">
        <f>IFERROR(__xludf.DUMMYFUNCTION("IFERROR(IF(F2220&lt;&gt;"""",""WHSE ""&amp;LEFT(F2220,1),REGEXEXTRACT(E2220,""-(?:\d{2}-)?([A-Z]+)"")),"""")
"),"")</f>
        <v/>
      </c>
      <c r="C2220" s="224"/>
      <c r="D2220" s="219"/>
      <c r="E2220" s="225"/>
      <c r="F2220" s="225"/>
      <c r="G2220" s="226"/>
      <c r="H2220" s="225"/>
      <c r="I2220" s="227"/>
      <c r="J2220" s="228"/>
      <c r="K2220" s="229"/>
      <c r="L2220" s="229"/>
      <c r="M2220" s="229"/>
      <c r="N2220" s="230"/>
      <c r="O2220" s="228"/>
      <c r="P2220" s="230"/>
      <c r="Q2220" s="219"/>
      <c r="R2220" s="198"/>
      <c r="S2220" s="198"/>
      <c r="T2220" s="198"/>
      <c r="U2220" s="198"/>
      <c r="V2220" s="198"/>
      <c r="W2220" s="198"/>
      <c r="X2220" s="198"/>
    </row>
    <row r="2221" ht="12.0" customHeight="1">
      <c r="A2221" s="222" t="str">
        <f>IF(COUNTIFS(RC_OUT[BLOCK],RC_IN[BLOCK],RC_OUT[REMARKS],"*CLOSED*")&gt;0,"CLOSED",IF(COUNTIFS(RC_OUT[BLOCK],RC_IN[BLOCK],RC_OUT[WT],"&gt;0")&gt;0,"IN-USE",""))
</f>
        <v/>
      </c>
      <c r="B2221" s="223" t="str">
        <f>IFERROR(__xludf.DUMMYFUNCTION("IFERROR(IF(F2221&lt;&gt;"""",""WHSE ""&amp;LEFT(F2221,1),REGEXEXTRACT(E2221,""-(?:\d{2}-)?([A-Z]+)"")),"""")
"),"")</f>
        <v/>
      </c>
      <c r="C2221" s="224"/>
      <c r="D2221" s="219"/>
      <c r="E2221" s="225"/>
      <c r="F2221" s="225"/>
      <c r="G2221" s="226"/>
      <c r="H2221" s="225"/>
      <c r="I2221" s="227"/>
      <c r="J2221" s="228"/>
      <c r="K2221" s="229"/>
      <c r="L2221" s="229"/>
      <c r="M2221" s="229"/>
      <c r="N2221" s="230"/>
      <c r="O2221" s="228"/>
      <c r="P2221" s="230"/>
      <c r="Q2221" s="219"/>
      <c r="R2221" s="198"/>
      <c r="S2221" s="198"/>
      <c r="T2221" s="198"/>
      <c r="U2221" s="198"/>
      <c r="V2221" s="198"/>
      <c r="W2221" s="198"/>
      <c r="X2221" s="198"/>
    </row>
    <row r="2222" ht="12.0" customHeight="1">
      <c r="A2222" s="222" t="str">
        <f>IF(COUNTIFS(RC_OUT[BLOCK],RC_IN[BLOCK],RC_OUT[REMARKS],"*CLOSED*")&gt;0,"CLOSED",IF(COUNTIFS(RC_OUT[BLOCK],RC_IN[BLOCK],RC_OUT[WT],"&gt;0")&gt;0,"IN-USE",""))
</f>
        <v/>
      </c>
      <c r="B2222" s="223" t="str">
        <f>IFERROR(__xludf.DUMMYFUNCTION("IFERROR(IF(F2222&lt;&gt;"""",""WHSE ""&amp;LEFT(F2222,1),REGEXEXTRACT(E2222,""-(?:\d{2}-)?([A-Z]+)"")),"""")
"),"")</f>
        <v/>
      </c>
      <c r="C2222" s="224"/>
      <c r="D2222" s="219"/>
      <c r="E2222" s="225"/>
      <c r="F2222" s="225"/>
      <c r="G2222" s="226"/>
      <c r="H2222" s="225"/>
      <c r="I2222" s="227"/>
      <c r="J2222" s="228"/>
      <c r="K2222" s="229"/>
      <c r="L2222" s="229"/>
      <c r="M2222" s="229"/>
      <c r="N2222" s="230"/>
      <c r="O2222" s="228"/>
      <c r="P2222" s="230"/>
      <c r="Q2222" s="219"/>
      <c r="R2222" s="198"/>
      <c r="S2222" s="198"/>
      <c r="T2222" s="198"/>
      <c r="U2222" s="198"/>
      <c r="V2222" s="198"/>
      <c r="W2222" s="198"/>
      <c r="X2222" s="198"/>
    </row>
    <row r="2223" ht="12.0" customHeight="1">
      <c r="A2223" s="222" t="str">
        <f>IF(COUNTIFS(RC_OUT[BLOCK],RC_IN[BLOCK],RC_OUT[REMARKS],"*CLOSED*")&gt;0,"CLOSED",IF(COUNTIFS(RC_OUT[BLOCK],RC_IN[BLOCK],RC_OUT[WT],"&gt;0")&gt;0,"IN-USE",""))
</f>
        <v/>
      </c>
      <c r="B2223" s="223" t="str">
        <f>IFERROR(__xludf.DUMMYFUNCTION("IFERROR(IF(F2223&lt;&gt;"""",""WHSE ""&amp;LEFT(F2223,1),REGEXEXTRACT(E2223,""-(?:\d{2}-)?([A-Z]+)"")),"""")
"),"")</f>
        <v/>
      </c>
      <c r="C2223" s="224"/>
      <c r="D2223" s="219"/>
      <c r="E2223" s="225"/>
      <c r="F2223" s="225"/>
      <c r="G2223" s="226"/>
      <c r="H2223" s="225"/>
      <c r="I2223" s="227"/>
      <c r="J2223" s="228"/>
      <c r="K2223" s="229"/>
      <c r="L2223" s="229"/>
      <c r="M2223" s="229"/>
      <c r="N2223" s="230"/>
      <c r="O2223" s="228"/>
      <c r="P2223" s="230"/>
      <c r="Q2223" s="219"/>
      <c r="R2223" s="198"/>
      <c r="S2223" s="198"/>
      <c r="T2223" s="198"/>
      <c r="U2223" s="198"/>
      <c r="V2223" s="198"/>
      <c r="W2223" s="198"/>
      <c r="X2223" s="198"/>
    </row>
    <row r="2224" ht="12.0" customHeight="1">
      <c r="A2224" s="222" t="str">
        <f>IF(COUNTIFS(RC_OUT[BLOCK],RC_IN[BLOCK],RC_OUT[REMARKS],"*CLOSED*")&gt;0,"CLOSED",IF(COUNTIFS(RC_OUT[BLOCK],RC_IN[BLOCK],RC_OUT[WT],"&gt;0")&gt;0,"IN-USE",""))
</f>
        <v/>
      </c>
      <c r="B2224" s="223" t="str">
        <f>IFERROR(__xludf.DUMMYFUNCTION("IFERROR(IF(F2224&lt;&gt;"""",""WHSE ""&amp;LEFT(F2224,1),REGEXEXTRACT(E2224,""-(?:\d{2}-)?([A-Z]+)"")),"""")
"),"")</f>
        <v/>
      </c>
      <c r="C2224" s="224"/>
      <c r="D2224" s="219"/>
      <c r="E2224" s="225"/>
      <c r="F2224" s="225"/>
      <c r="G2224" s="226"/>
      <c r="H2224" s="225"/>
      <c r="I2224" s="227"/>
      <c r="J2224" s="228"/>
      <c r="K2224" s="229"/>
      <c r="L2224" s="229"/>
      <c r="M2224" s="229"/>
      <c r="N2224" s="230"/>
      <c r="O2224" s="228"/>
      <c r="P2224" s="230"/>
      <c r="Q2224" s="219"/>
      <c r="R2224" s="198"/>
      <c r="S2224" s="198"/>
      <c r="T2224" s="198"/>
      <c r="U2224" s="198"/>
      <c r="V2224" s="198"/>
      <c r="W2224" s="198"/>
      <c r="X2224" s="198"/>
    </row>
    <row r="2225" ht="12.0" customHeight="1">
      <c r="A2225" s="222" t="str">
        <f>IF(COUNTIFS(RC_OUT[BLOCK],RC_IN[BLOCK],RC_OUT[REMARKS],"*CLOSED*")&gt;0,"CLOSED",IF(COUNTIFS(RC_OUT[BLOCK],RC_IN[BLOCK],RC_OUT[WT],"&gt;0")&gt;0,"IN-USE",""))
</f>
        <v/>
      </c>
      <c r="B2225" s="223" t="str">
        <f>IFERROR(__xludf.DUMMYFUNCTION("IFERROR(IF(F2225&lt;&gt;"""",""WHSE ""&amp;LEFT(F2225,1),REGEXEXTRACT(E2225,""-(?:\d{2}-)?([A-Z]+)"")),"""")
"),"")</f>
        <v/>
      </c>
      <c r="C2225" s="224"/>
      <c r="D2225" s="219"/>
      <c r="E2225" s="225"/>
      <c r="F2225" s="225"/>
      <c r="G2225" s="226"/>
      <c r="H2225" s="225"/>
      <c r="I2225" s="227"/>
      <c r="J2225" s="228"/>
      <c r="K2225" s="229"/>
      <c r="L2225" s="229"/>
      <c r="M2225" s="229"/>
      <c r="N2225" s="230"/>
      <c r="O2225" s="228"/>
      <c r="P2225" s="230"/>
      <c r="Q2225" s="219"/>
      <c r="R2225" s="198"/>
      <c r="S2225" s="198"/>
      <c r="T2225" s="198"/>
      <c r="U2225" s="198"/>
      <c r="V2225" s="198"/>
      <c r="W2225" s="198"/>
      <c r="X2225" s="198"/>
    </row>
    <row r="2226" ht="12.0" customHeight="1">
      <c r="A2226" s="222" t="str">
        <f>IF(COUNTIFS(RC_OUT[BLOCK],RC_IN[BLOCK],RC_OUT[REMARKS],"*CLOSED*")&gt;0,"CLOSED",IF(COUNTIFS(RC_OUT[BLOCK],RC_IN[BLOCK],RC_OUT[WT],"&gt;0")&gt;0,"IN-USE",""))
</f>
        <v/>
      </c>
      <c r="B2226" s="223" t="str">
        <f>IFERROR(__xludf.DUMMYFUNCTION("IFERROR(IF(F2226&lt;&gt;"""",""WHSE ""&amp;LEFT(F2226,1),REGEXEXTRACT(E2226,""-(?:\d{2}-)?([A-Z]+)"")),"""")
"),"")</f>
        <v/>
      </c>
      <c r="C2226" s="224"/>
      <c r="D2226" s="219"/>
      <c r="E2226" s="225"/>
      <c r="F2226" s="225"/>
      <c r="G2226" s="226"/>
      <c r="H2226" s="225"/>
      <c r="I2226" s="227"/>
      <c r="J2226" s="228"/>
      <c r="K2226" s="229"/>
      <c r="L2226" s="229"/>
      <c r="M2226" s="229"/>
      <c r="N2226" s="230"/>
      <c r="O2226" s="228"/>
      <c r="P2226" s="230"/>
      <c r="Q2226" s="219"/>
      <c r="R2226" s="198"/>
      <c r="S2226" s="198"/>
      <c r="T2226" s="198"/>
      <c r="U2226" s="198"/>
      <c r="V2226" s="198"/>
      <c r="W2226" s="198"/>
      <c r="X2226" s="198"/>
    </row>
    <row r="2227" ht="12.0" customHeight="1">
      <c r="A2227" s="222" t="str">
        <f>IF(COUNTIFS(RC_OUT[BLOCK],RC_IN[BLOCK],RC_OUT[REMARKS],"*CLOSED*")&gt;0,"CLOSED",IF(COUNTIFS(RC_OUT[BLOCK],RC_IN[BLOCK],RC_OUT[WT],"&gt;0")&gt;0,"IN-USE",""))
</f>
        <v/>
      </c>
      <c r="B2227" s="223" t="str">
        <f>IFERROR(__xludf.DUMMYFUNCTION("IFERROR(IF(F2227&lt;&gt;"""",""WHSE ""&amp;LEFT(F2227,1),REGEXEXTRACT(E2227,""-(?:\d{2}-)?([A-Z]+)"")),"""")
"),"")</f>
        <v/>
      </c>
      <c r="C2227" s="224"/>
      <c r="D2227" s="219"/>
      <c r="E2227" s="225"/>
      <c r="F2227" s="225"/>
      <c r="G2227" s="226"/>
      <c r="H2227" s="225"/>
      <c r="I2227" s="227"/>
      <c r="J2227" s="228"/>
      <c r="K2227" s="229"/>
      <c r="L2227" s="229"/>
      <c r="M2227" s="229"/>
      <c r="N2227" s="230"/>
      <c r="O2227" s="228"/>
      <c r="P2227" s="230"/>
      <c r="Q2227" s="219"/>
      <c r="R2227" s="198"/>
      <c r="S2227" s="198"/>
      <c r="T2227" s="198"/>
      <c r="U2227" s="198"/>
      <c r="V2227" s="198"/>
      <c r="W2227" s="198"/>
      <c r="X2227" s="198"/>
    </row>
    <row r="2228" ht="12.0" customHeight="1">
      <c r="A2228" s="222" t="str">
        <f>IF(COUNTIFS(RC_OUT[BLOCK],RC_IN[BLOCK],RC_OUT[REMARKS],"*CLOSED*")&gt;0,"CLOSED",IF(COUNTIFS(RC_OUT[BLOCK],RC_IN[BLOCK],RC_OUT[WT],"&gt;0")&gt;0,"IN-USE",""))
</f>
        <v/>
      </c>
      <c r="B2228" s="223" t="str">
        <f>IFERROR(__xludf.DUMMYFUNCTION("IFERROR(IF(F2228&lt;&gt;"""",""WHSE ""&amp;LEFT(F2228,1),REGEXEXTRACT(E2228,""-(?:\d{2}-)?([A-Z]+)"")),"""")
"),"")</f>
        <v/>
      </c>
      <c r="C2228" s="224"/>
      <c r="D2228" s="219"/>
      <c r="E2228" s="225"/>
      <c r="F2228" s="225"/>
      <c r="G2228" s="226"/>
      <c r="H2228" s="225"/>
      <c r="I2228" s="227"/>
      <c r="J2228" s="228"/>
      <c r="K2228" s="229"/>
      <c r="L2228" s="229"/>
      <c r="M2228" s="229"/>
      <c r="N2228" s="230"/>
      <c r="O2228" s="228"/>
      <c r="P2228" s="230"/>
      <c r="Q2228" s="219"/>
      <c r="R2228" s="198"/>
      <c r="S2228" s="198"/>
      <c r="T2228" s="198"/>
      <c r="U2228" s="198"/>
      <c r="V2228" s="198"/>
      <c r="W2228" s="198"/>
      <c r="X2228" s="198"/>
    </row>
    <row r="2229" ht="12.0" customHeight="1">
      <c r="A2229" s="222" t="str">
        <f>IF(COUNTIFS(RC_OUT[BLOCK],RC_IN[BLOCK],RC_OUT[REMARKS],"*CLOSED*")&gt;0,"CLOSED",IF(COUNTIFS(RC_OUT[BLOCK],RC_IN[BLOCK],RC_OUT[WT],"&gt;0")&gt;0,"IN-USE",""))
</f>
        <v/>
      </c>
      <c r="B2229" s="223" t="str">
        <f>IFERROR(__xludf.DUMMYFUNCTION("IFERROR(IF(F2229&lt;&gt;"""",""WHSE ""&amp;LEFT(F2229,1),REGEXEXTRACT(E2229,""-(?:\d{2}-)?([A-Z]+)"")),"""")
"),"")</f>
        <v/>
      </c>
      <c r="C2229" s="224"/>
      <c r="D2229" s="219"/>
      <c r="E2229" s="225"/>
      <c r="F2229" s="225"/>
      <c r="G2229" s="226"/>
      <c r="H2229" s="225"/>
      <c r="I2229" s="227"/>
      <c r="J2229" s="228"/>
      <c r="K2229" s="229"/>
      <c r="L2229" s="229"/>
      <c r="M2229" s="229"/>
      <c r="N2229" s="230"/>
      <c r="O2229" s="228"/>
      <c r="P2229" s="230"/>
      <c r="Q2229" s="219"/>
      <c r="R2229" s="198"/>
      <c r="S2229" s="198"/>
      <c r="T2229" s="198"/>
      <c r="U2229" s="198"/>
      <c r="V2229" s="198"/>
      <c r="W2229" s="198"/>
      <c r="X2229" s="198"/>
    </row>
    <row r="2230" ht="12.0" customHeight="1">
      <c r="A2230" s="222" t="str">
        <f>IF(COUNTIFS(RC_OUT[BLOCK],RC_IN[BLOCK],RC_OUT[REMARKS],"*CLOSED*")&gt;0,"CLOSED",IF(COUNTIFS(RC_OUT[BLOCK],RC_IN[BLOCK],RC_OUT[WT],"&gt;0")&gt;0,"IN-USE",""))
</f>
        <v/>
      </c>
      <c r="B2230" s="223" t="str">
        <f>IFERROR(__xludf.DUMMYFUNCTION("IFERROR(IF(F2230&lt;&gt;"""",""WHSE ""&amp;LEFT(F2230,1),REGEXEXTRACT(E2230,""-(?:\d{2}-)?([A-Z]+)"")),"""")
"),"")</f>
        <v/>
      </c>
      <c r="C2230" s="224"/>
      <c r="D2230" s="219"/>
      <c r="E2230" s="225"/>
      <c r="F2230" s="225"/>
      <c r="G2230" s="226"/>
      <c r="H2230" s="225"/>
      <c r="I2230" s="227"/>
      <c r="J2230" s="228"/>
      <c r="K2230" s="229"/>
      <c r="L2230" s="229"/>
      <c r="M2230" s="229"/>
      <c r="N2230" s="230"/>
      <c r="O2230" s="228"/>
      <c r="P2230" s="230"/>
      <c r="Q2230" s="219"/>
      <c r="R2230" s="198"/>
      <c r="S2230" s="198"/>
      <c r="T2230" s="198"/>
      <c r="U2230" s="198"/>
      <c r="V2230" s="198"/>
      <c r="W2230" s="198"/>
      <c r="X2230" s="198"/>
    </row>
    <row r="2231" ht="12.0" customHeight="1">
      <c r="A2231" s="222" t="str">
        <f>IF(COUNTIFS(RC_OUT[BLOCK],RC_IN[BLOCK],RC_OUT[REMARKS],"*CLOSED*")&gt;0,"CLOSED",IF(COUNTIFS(RC_OUT[BLOCK],RC_IN[BLOCK],RC_OUT[WT],"&gt;0")&gt;0,"IN-USE",""))
</f>
        <v/>
      </c>
      <c r="B2231" s="223" t="str">
        <f>IFERROR(__xludf.DUMMYFUNCTION("IFERROR(IF(F2231&lt;&gt;"""",""WHSE ""&amp;LEFT(F2231,1),REGEXEXTRACT(E2231,""-(?:\d{2}-)?([A-Z]+)"")),"""")
"),"")</f>
        <v/>
      </c>
      <c r="C2231" s="224"/>
      <c r="D2231" s="219"/>
      <c r="E2231" s="225"/>
      <c r="F2231" s="225"/>
      <c r="G2231" s="226"/>
      <c r="H2231" s="225"/>
      <c r="I2231" s="227"/>
      <c r="J2231" s="228"/>
      <c r="K2231" s="229"/>
      <c r="L2231" s="229"/>
      <c r="M2231" s="229"/>
      <c r="N2231" s="230"/>
      <c r="O2231" s="228"/>
      <c r="P2231" s="230"/>
      <c r="Q2231" s="219"/>
      <c r="R2231" s="198"/>
      <c r="S2231" s="198"/>
      <c r="T2231" s="198"/>
      <c r="U2231" s="198"/>
      <c r="V2231" s="198"/>
      <c r="W2231" s="198"/>
      <c r="X2231" s="198"/>
    </row>
    <row r="2232" ht="12.0" customHeight="1">
      <c r="A2232" s="222" t="str">
        <f>IF(COUNTIFS(RC_OUT[BLOCK],RC_IN[BLOCK],RC_OUT[REMARKS],"*CLOSED*")&gt;0,"CLOSED",IF(COUNTIFS(RC_OUT[BLOCK],RC_IN[BLOCK],RC_OUT[WT],"&gt;0")&gt;0,"IN-USE",""))
</f>
        <v/>
      </c>
      <c r="B2232" s="223" t="str">
        <f>IFERROR(__xludf.DUMMYFUNCTION("IFERROR(IF(F2232&lt;&gt;"""",""WHSE ""&amp;LEFT(F2232,1),REGEXEXTRACT(E2232,""-(?:\d{2}-)?([A-Z]+)"")),"""")
"),"")</f>
        <v/>
      </c>
      <c r="C2232" s="224"/>
      <c r="D2232" s="219"/>
      <c r="E2232" s="225"/>
      <c r="F2232" s="225"/>
      <c r="G2232" s="226"/>
      <c r="H2232" s="225"/>
      <c r="I2232" s="227"/>
      <c r="J2232" s="228"/>
      <c r="K2232" s="229"/>
      <c r="L2232" s="229"/>
      <c r="M2232" s="229"/>
      <c r="N2232" s="230"/>
      <c r="O2232" s="228"/>
      <c r="P2232" s="230"/>
      <c r="Q2232" s="219"/>
      <c r="R2232" s="198"/>
      <c r="S2232" s="198"/>
      <c r="T2232" s="198"/>
      <c r="U2232" s="198"/>
      <c r="V2232" s="198"/>
      <c r="W2232" s="198"/>
      <c r="X2232" s="198"/>
    </row>
    <row r="2233" ht="12.0" customHeight="1">
      <c r="A2233" s="222" t="str">
        <f>IF(COUNTIFS(RC_OUT[BLOCK],RC_IN[BLOCK],RC_OUT[REMARKS],"*CLOSED*")&gt;0,"CLOSED",IF(COUNTIFS(RC_OUT[BLOCK],RC_IN[BLOCK],RC_OUT[WT],"&gt;0")&gt;0,"IN-USE",""))
</f>
        <v/>
      </c>
      <c r="B2233" s="223" t="str">
        <f>IFERROR(__xludf.DUMMYFUNCTION("IFERROR(IF(F2233&lt;&gt;"""",""WHSE ""&amp;LEFT(F2233,1),REGEXEXTRACT(E2233,""-(?:\d{2}-)?([A-Z]+)"")),"""")
"),"")</f>
        <v/>
      </c>
      <c r="C2233" s="224"/>
      <c r="D2233" s="219"/>
      <c r="E2233" s="225"/>
      <c r="F2233" s="225"/>
      <c r="G2233" s="226"/>
      <c r="H2233" s="225"/>
      <c r="I2233" s="227"/>
      <c r="J2233" s="228"/>
      <c r="K2233" s="229"/>
      <c r="L2233" s="229"/>
      <c r="M2233" s="229"/>
      <c r="N2233" s="230"/>
      <c r="O2233" s="228"/>
      <c r="P2233" s="230"/>
      <c r="Q2233" s="219"/>
      <c r="R2233" s="198"/>
      <c r="S2233" s="198"/>
      <c r="T2233" s="198"/>
      <c r="U2233" s="198"/>
      <c r="V2233" s="198"/>
      <c r="W2233" s="198"/>
      <c r="X2233" s="198"/>
    </row>
    <row r="2234" ht="12.0" customHeight="1">
      <c r="A2234" s="222" t="str">
        <f>IF(COUNTIFS(RC_OUT[BLOCK],RC_IN[BLOCK],RC_OUT[REMARKS],"*CLOSED*")&gt;0,"CLOSED",IF(COUNTIFS(RC_OUT[BLOCK],RC_IN[BLOCK],RC_OUT[WT],"&gt;0")&gt;0,"IN-USE",""))
</f>
        <v/>
      </c>
      <c r="B2234" s="223" t="str">
        <f>IFERROR(__xludf.DUMMYFUNCTION("IFERROR(IF(F2234&lt;&gt;"""",""WHSE ""&amp;LEFT(F2234,1),REGEXEXTRACT(E2234,""-(?:\d{2}-)?([A-Z]+)"")),"""")
"),"")</f>
        <v/>
      </c>
      <c r="C2234" s="224"/>
      <c r="D2234" s="219"/>
      <c r="E2234" s="225"/>
      <c r="F2234" s="225"/>
      <c r="G2234" s="226"/>
      <c r="H2234" s="225"/>
      <c r="I2234" s="227"/>
      <c r="J2234" s="228"/>
      <c r="K2234" s="229"/>
      <c r="L2234" s="229"/>
      <c r="M2234" s="229"/>
      <c r="N2234" s="230"/>
      <c r="O2234" s="228"/>
      <c r="P2234" s="230"/>
      <c r="Q2234" s="219"/>
      <c r="R2234" s="198"/>
      <c r="S2234" s="198"/>
      <c r="T2234" s="198"/>
      <c r="U2234" s="198"/>
      <c r="V2234" s="198"/>
      <c r="W2234" s="198"/>
      <c r="X2234" s="198"/>
    </row>
    <row r="2235" ht="12.0" customHeight="1">
      <c r="A2235" s="222" t="str">
        <f>IF(COUNTIFS(RC_OUT[BLOCK],RC_IN[BLOCK],RC_OUT[REMARKS],"*CLOSED*")&gt;0,"CLOSED",IF(COUNTIFS(RC_OUT[BLOCK],RC_IN[BLOCK],RC_OUT[WT],"&gt;0")&gt;0,"IN-USE",""))
</f>
        <v/>
      </c>
      <c r="B2235" s="223" t="str">
        <f>IFERROR(__xludf.DUMMYFUNCTION("IFERROR(IF(F2235&lt;&gt;"""",""WHSE ""&amp;LEFT(F2235,1),REGEXEXTRACT(E2235,""-(?:\d{2}-)?([A-Z]+)"")),"""")
"),"")</f>
        <v/>
      </c>
      <c r="C2235" s="224"/>
      <c r="D2235" s="219"/>
      <c r="E2235" s="225"/>
      <c r="F2235" s="225"/>
      <c r="G2235" s="226"/>
      <c r="H2235" s="225"/>
      <c r="I2235" s="227"/>
      <c r="J2235" s="228"/>
      <c r="K2235" s="229"/>
      <c r="L2235" s="229"/>
      <c r="M2235" s="229"/>
      <c r="N2235" s="230"/>
      <c r="O2235" s="228"/>
      <c r="P2235" s="230"/>
      <c r="Q2235" s="219"/>
      <c r="R2235" s="198"/>
      <c r="S2235" s="198"/>
      <c r="T2235" s="198"/>
      <c r="U2235" s="198"/>
      <c r="V2235" s="198"/>
      <c r="W2235" s="198"/>
      <c r="X2235" s="198"/>
    </row>
    <row r="2236" ht="12.0" customHeight="1">
      <c r="A2236" s="222" t="str">
        <f>IF(COUNTIFS(RC_OUT[BLOCK],RC_IN[BLOCK],RC_OUT[REMARKS],"*CLOSED*")&gt;0,"CLOSED",IF(COUNTIFS(RC_OUT[BLOCK],RC_IN[BLOCK],RC_OUT[WT],"&gt;0")&gt;0,"IN-USE",""))
</f>
        <v/>
      </c>
      <c r="B2236" s="223" t="str">
        <f>IFERROR(__xludf.DUMMYFUNCTION("IFERROR(IF(F2236&lt;&gt;"""",""WHSE ""&amp;LEFT(F2236,1),REGEXEXTRACT(E2236,""-(?:\d{2}-)?([A-Z]+)"")),"""")
"),"")</f>
        <v/>
      </c>
      <c r="C2236" s="224"/>
      <c r="D2236" s="219"/>
      <c r="E2236" s="225"/>
      <c r="F2236" s="225"/>
      <c r="G2236" s="226"/>
      <c r="H2236" s="225"/>
      <c r="I2236" s="227"/>
      <c r="J2236" s="228"/>
      <c r="K2236" s="229"/>
      <c r="L2236" s="229"/>
      <c r="M2236" s="229"/>
      <c r="N2236" s="230"/>
      <c r="O2236" s="228"/>
      <c r="P2236" s="230"/>
      <c r="Q2236" s="219"/>
      <c r="R2236" s="198"/>
      <c r="S2236" s="198"/>
      <c r="T2236" s="198"/>
      <c r="U2236" s="198"/>
      <c r="V2236" s="198"/>
      <c r="W2236" s="198"/>
      <c r="X2236" s="198"/>
    </row>
    <row r="2237" ht="12.0" customHeight="1">
      <c r="A2237" s="222" t="str">
        <f>IF(COUNTIFS(RC_OUT[BLOCK],RC_IN[BLOCK],RC_OUT[REMARKS],"*CLOSED*")&gt;0,"CLOSED",IF(COUNTIFS(RC_OUT[BLOCK],RC_IN[BLOCK],RC_OUT[WT],"&gt;0")&gt;0,"IN-USE",""))
</f>
        <v/>
      </c>
      <c r="B2237" s="223" t="str">
        <f>IFERROR(__xludf.DUMMYFUNCTION("IFERROR(IF(F2237&lt;&gt;"""",""WHSE ""&amp;LEFT(F2237,1),REGEXEXTRACT(E2237,""-(?:\d{2}-)?([A-Z]+)"")),"""")
"),"")</f>
        <v/>
      </c>
      <c r="C2237" s="224"/>
      <c r="D2237" s="219"/>
      <c r="E2237" s="225"/>
      <c r="F2237" s="225"/>
      <c r="G2237" s="226"/>
      <c r="H2237" s="225"/>
      <c r="I2237" s="227"/>
      <c r="J2237" s="228"/>
      <c r="K2237" s="229"/>
      <c r="L2237" s="229"/>
      <c r="M2237" s="229"/>
      <c r="N2237" s="230"/>
      <c r="O2237" s="228"/>
      <c r="P2237" s="230"/>
      <c r="Q2237" s="219"/>
      <c r="R2237" s="198"/>
      <c r="S2237" s="198"/>
      <c r="T2237" s="198"/>
      <c r="U2237" s="198"/>
      <c r="V2237" s="198"/>
      <c r="W2237" s="198"/>
      <c r="X2237" s="198"/>
    </row>
    <row r="2238" ht="12.0" customHeight="1">
      <c r="A2238" s="222" t="str">
        <f>IF(COUNTIFS(RC_OUT[BLOCK],RC_IN[BLOCK],RC_OUT[REMARKS],"*CLOSED*")&gt;0,"CLOSED",IF(COUNTIFS(RC_OUT[BLOCK],RC_IN[BLOCK],RC_OUT[WT],"&gt;0")&gt;0,"IN-USE",""))
</f>
        <v/>
      </c>
      <c r="B2238" s="223" t="str">
        <f>IFERROR(__xludf.DUMMYFUNCTION("IFERROR(IF(F2238&lt;&gt;"""",""WHSE ""&amp;LEFT(F2238,1),REGEXEXTRACT(E2238,""-(?:\d{2}-)?([A-Z]+)"")),"""")
"),"")</f>
        <v/>
      </c>
      <c r="C2238" s="224"/>
      <c r="D2238" s="219"/>
      <c r="E2238" s="225"/>
      <c r="F2238" s="225"/>
      <c r="G2238" s="226"/>
      <c r="H2238" s="225"/>
      <c r="I2238" s="227"/>
      <c r="J2238" s="228"/>
      <c r="K2238" s="229"/>
      <c r="L2238" s="229"/>
      <c r="M2238" s="229"/>
      <c r="N2238" s="230"/>
      <c r="O2238" s="228"/>
      <c r="P2238" s="230"/>
      <c r="Q2238" s="219"/>
      <c r="R2238" s="198"/>
      <c r="S2238" s="198"/>
      <c r="T2238" s="198"/>
      <c r="U2238" s="198"/>
      <c r="V2238" s="198"/>
      <c r="W2238" s="198"/>
      <c r="X2238" s="198"/>
    </row>
    <row r="2239" ht="12.0" customHeight="1">
      <c r="A2239" s="222" t="str">
        <f>IF(COUNTIFS(RC_OUT[BLOCK],RC_IN[BLOCK],RC_OUT[REMARKS],"*CLOSED*")&gt;0,"CLOSED",IF(COUNTIFS(RC_OUT[BLOCK],RC_IN[BLOCK],RC_OUT[WT],"&gt;0")&gt;0,"IN-USE",""))
</f>
        <v/>
      </c>
      <c r="B2239" s="223" t="str">
        <f>IFERROR(__xludf.DUMMYFUNCTION("IFERROR(IF(F2239&lt;&gt;"""",""WHSE ""&amp;LEFT(F2239,1),REGEXEXTRACT(E2239,""-(?:\d{2}-)?([A-Z]+)"")),"""")
"),"")</f>
        <v/>
      </c>
      <c r="C2239" s="224"/>
      <c r="D2239" s="219"/>
      <c r="E2239" s="225"/>
      <c r="F2239" s="225"/>
      <c r="G2239" s="226"/>
      <c r="H2239" s="225"/>
      <c r="I2239" s="227"/>
      <c r="J2239" s="228"/>
      <c r="K2239" s="229"/>
      <c r="L2239" s="229"/>
      <c r="M2239" s="229"/>
      <c r="N2239" s="230"/>
      <c r="O2239" s="228"/>
      <c r="P2239" s="230"/>
      <c r="Q2239" s="219"/>
      <c r="R2239" s="198"/>
      <c r="S2239" s="198"/>
      <c r="T2239" s="198"/>
      <c r="U2239" s="198"/>
      <c r="V2239" s="198"/>
      <c r="W2239" s="198"/>
      <c r="X2239" s="198"/>
    </row>
    <row r="2240" ht="12.0" customHeight="1">
      <c r="A2240" s="222" t="str">
        <f>IF(COUNTIFS(RC_OUT[BLOCK],RC_IN[BLOCK],RC_OUT[REMARKS],"*CLOSED*")&gt;0,"CLOSED",IF(COUNTIFS(RC_OUT[BLOCK],RC_IN[BLOCK],RC_OUT[WT],"&gt;0")&gt;0,"IN-USE",""))
</f>
        <v/>
      </c>
      <c r="B2240" s="223" t="str">
        <f>IFERROR(__xludf.DUMMYFUNCTION("IFERROR(IF(F2240&lt;&gt;"""",""WHSE ""&amp;LEFT(F2240,1),REGEXEXTRACT(E2240,""-(?:\d{2}-)?([A-Z]+)"")),"""")
"),"")</f>
        <v/>
      </c>
      <c r="C2240" s="224"/>
      <c r="D2240" s="219"/>
      <c r="E2240" s="225"/>
      <c r="F2240" s="225"/>
      <c r="G2240" s="226"/>
      <c r="H2240" s="225"/>
      <c r="I2240" s="227"/>
      <c r="J2240" s="228"/>
      <c r="K2240" s="229"/>
      <c r="L2240" s="229"/>
      <c r="M2240" s="229"/>
      <c r="N2240" s="230"/>
      <c r="O2240" s="228"/>
      <c r="P2240" s="230"/>
      <c r="Q2240" s="219"/>
      <c r="R2240" s="198"/>
      <c r="S2240" s="198"/>
      <c r="T2240" s="198"/>
      <c r="U2240" s="198"/>
      <c r="V2240" s="198"/>
      <c r="W2240" s="198"/>
      <c r="X2240" s="198"/>
    </row>
    <row r="2241" ht="12.0" customHeight="1">
      <c r="A2241" s="222" t="str">
        <f>IF(COUNTIFS(RC_OUT[BLOCK],RC_IN[BLOCK],RC_OUT[REMARKS],"*CLOSED*")&gt;0,"CLOSED",IF(COUNTIFS(RC_OUT[BLOCK],RC_IN[BLOCK],RC_OUT[WT],"&gt;0")&gt;0,"IN-USE",""))
</f>
        <v/>
      </c>
      <c r="B2241" s="223" t="str">
        <f>IFERROR(__xludf.DUMMYFUNCTION("IFERROR(IF(F2241&lt;&gt;"""",""WHSE ""&amp;LEFT(F2241,1),REGEXEXTRACT(E2241,""-(?:\d{2}-)?([A-Z]+)"")),"""")
"),"")</f>
        <v/>
      </c>
      <c r="C2241" s="224"/>
      <c r="D2241" s="219"/>
      <c r="E2241" s="225"/>
      <c r="F2241" s="225"/>
      <c r="G2241" s="226"/>
      <c r="H2241" s="225"/>
      <c r="I2241" s="227"/>
      <c r="J2241" s="228"/>
      <c r="K2241" s="229"/>
      <c r="L2241" s="229"/>
      <c r="M2241" s="229"/>
      <c r="N2241" s="230"/>
      <c r="O2241" s="228"/>
      <c r="P2241" s="230"/>
      <c r="Q2241" s="219"/>
      <c r="R2241" s="198"/>
      <c r="S2241" s="198"/>
      <c r="T2241" s="198"/>
      <c r="U2241" s="198"/>
      <c r="V2241" s="198"/>
      <c r="W2241" s="198"/>
      <c r="X2241" s="198"/>
    </row>
    <row r="2242" ht="12.0" customHeight="1">
      <c r="A2242" s="222" t="str">
        <f>IF(COUNTIFS(RC_OUT[BLOCK],RC_IN[BLOCK],RC_OUT[REMARKS],"*CLOSED*")&gt;0,"CLOSED",IF(COUNTIFS(RC_OUT[BLOCK],RC_IN[BLOCK],RC_OUT[WT],"&gt;0")&gt;0,"IN-USE",""))
</f>
        <v/>
      </c>
      <c r="B2242" s="223" t="str">
        <f>IFERROR(__xludf.DUMMYFUNCTION("IFERROR(IF(F2242&lt;&gt;"""",""WHSE ""&amp;LEFT(F2242,1),REGEXEXTRACT(E2242,""-(?:\d{2}-)?([A-Z]+)"")),"""")
"),"")</f>
        <v/>
      </c>
      <c r="C2242" s="224"/>
      <c r="D2242" s="219"/>
      <c r="E2242" s="225"/>
      <c r="F2242" s="225"/>
      <c r="G2242" s="226"/>
      <c r="H2242" s="225"/>
      <c r="I2242" s="227"/>
      <c r="J2242" s="228"/>
      <c r="K2242" s="229"/>
      <c r="L2242" s="229"/>
      <c r="M2242" s="229"/>
      <c r="N2242" s="230"/>
      <c r="O2242" s="228"/>
      <c r="P2242" s="230"/>
      <c r="Q2242" s="219"/>
      <c r="R2242" s="198"/>
      <c r="S2242" s="198"/>
      <c r="T2242" s="198"/>
      <c r="U2242" s="198"/>
      <c r="V2242" s="198"/>
      <c r="W2242" s="198"/>
      <c r="X2242" s="198"/>
    </row>
    <row r="2243" ht="12.0" customHeight="1">
      <c r="A2243" s="222" t="str">
        <f>IF(COUNTIFS(RC_OUT[BLOCK],RC_IN[BLOCK],RC_OUT[REMARKS],"*CLOSED*")&gt;0,"CLOSED",IF(COUNTIFS(RC_OUT[BLOCK],RC_IN[BLOCK],RC_OUT[WT],"&gt;0")&gt;0,"IN-USE",""))
</f>
        <v/>
      </c>
      <c r="B2243" s="223" t="str">
        <f>IFERROR(__xludf.DUMMYFUNCTION("IFERROR(IF(F2243&lt;&gt;"""",""WHSE ""&amp;LEFT(F2243,1),REGEXEXTRACT(E2243,""-(?:\d{2}-)?([A-Z]+)"")),"""")
"),"")</f>
        <v/>
      </c>
      <c r="C2243" s="224"/>
      <c r="D2243" s="219"/>
      <c r="E2243" s="225"/>
      <c r="F2243" s="225"/>
      <c r="G2243" s="226"/>
      <c r="H2243" s="225"/>
      <c r="I2243" s="227"/>
      <c r="J2243" s="228"/>
      <c r="K2243" s="229"/>
      <c r="L2243" s="229"/>
      <c r="M2243" s="229"/>
      <c r="N2243" s="230"/>
      <c r="O2243" s="228"/>
      <c r="P2243" s="230"/>
      <c r="Q2243" s="219"/>
      <c r="R2243" s="198"/>
      <c r="S2243" s="198"/>
      <c r="T2243" s="198"/>
      <c r="U2243" s="198"/>
      <c r="V2243" s="198"/>
      <c r="W2243" s="198"/>
      <c r="X2243" s="198"/>
    </row>
    <row r="2244" ht="12.0" customHeight="1">
      <c r="A2244" s="222" t="str">
        <f>IF(COUNTIFS(RC_OUT[BLOCK],RC_IN[BLOCK],RC_OUT[REMARKS],"*CLOSED*")&gt;0,"CLOSED",IF(COUNTIFS(RC_OUT[BLOCK],RC_IN[BLOCK],RC_OUT[WT],"&gt;0")&gt;0,"IN-USE",""))
</f>
        <v/>
      </c>
      <c r="B2244" s="223" t="str">
        <f>IFERROR(__xludf.DUMMYFUNCTION("IFERROR(IF(F2244&lt;&gt;"""",""WHSE ""&amp;LEFT(F2244,1),REGEXEXTRACT(E2244,""-(?:\d{2}-)?([A-Z]+)"")),"""")
"),"")</f>
        <v/>
      </c>
      <c r="C2244" s="224"/>
      <c r="D2244" s="219"/>
      <c r="E2244" s="225"/>
      <c r="F2244" s="225"/>
      <c r="G2244" s="226"/>
      <c r="H2244" s="225"/>
      <c r="I2244" s="227"/>
      <c r="J2244" s="228"/>
      <c r="K2244" s="229"/>
      <c r="L2244" s="229"/>
      <c r="M2244" s="229"/>
      <c r="N2244" s="230"/>
      <c r="O2244" s="228"/>
      <c r="P2244" s="230"/>
      <c r="Q2244" s="219"/>
      <c r="R2244" s="198"/>
      <c r="S2244" s="198"/>
      <c r="T2244" s="198"/>
      <c r="U2244" s="198"/>
      <c r="V2244" s="198"/>
      <c r="W2244" s="198"/>
      <c r="X2244" s="198"/>
    </row>
    <row r="2245" ht="12.0" customHeight="1">
      <c r="A2245" s="222" t="str">
        <f>IF(COUNTIFS(RC_OUT[BLOCK],RC_IN[BLOCK],RC_OUT[REMARKS],"*CLOSED*")&gt;0,"CLOSED",IF(COUNTIFS(RC_OUT[BLOCK],RC_IN[BLOCK],RC_OUT[WT],"&gt;0")&gt;0,"IN-USE",""))
</f>
        <v/>
      </c>
      <c r="B2245" s="223" t="str">
        <f>IFERROR(__xludf.DUMMYFUNCTION("IFERROR(IF(F2245&lt;&gt;"""",""WHSE ""&amp;LEFT(F2245,1),REGEXEXTRACT(E2245,""-(?:\d{2}-)?([A-Z]+)"")),"""")
"),"")</f>
        <v/>
      </c>
      <c r="C2245" s="224"/>
      <c r="D2245" s="219"/>
      <c r="E2245" s="225"/>
      <c r="F2245" s="225"/>
      <c r="G2245" s="226"/>
      <c r="H2245" s="225"/>
      <c r="I2245" s="227"/>
      <c r="J2245" s="228"/>
      <c r="K2245" s="229"/>
      <c r="L2245" s="229"/>
      <c r="M2245" s="229"/>
      <c r="N2245" s="230"/>
      <c r="O2245" s="228"/>
      <c r="P2245" s="230"/>
      <c r="Q2245" s="219"/>
      <c r="R2245" s="198"/>
      <c r="S2245" s="198"/>
      <c r="T2245" s="198"/>
      <c r="U2245" s="198"/>
      <c r="V2245" s="198"/>
      <c r="W2245" s="198"/>
      <c r="X2245" s="198"/>
    </row>
    <row r="2246" ht="12.0" customHeight="1">
      <c r="A2246" s="222" t="str">
        <f>IF(COUNTIFS(RC_OUT[BLOCK],RC_IN[BLOCK],RC_OUT[REMARKS],"*CLOSED*")&gt;0,"CLOSED",IF(COUNTIFS(RC_OUT[BLOCK],RC_IN[BLOCK],RC_OUT[WT],"&gt;0")&gt;0,"IN-USE",""))
</f>
        <v/>
      </c>
      <c r="B2246" s="223" t="str">
        <f>IFERROR(__xludf.DUMMYFUNCTION("IFERROR(IF(F2246&lt;&gt;"""",""WHSE ""&amp;LEFT(F2246,1),REGEXEXTRACT(E2246,""-(?:\d{2}-)?([A-Z]+)"")),"""")
"),"")</f>
        <v/>
      </c>
      <c r="C2246" s="224"/>
      <c r="D2246" s="219"/>
      <c r="E2246" s="225"/>
      <c r="F2246" s="225"/>
      <c r="G2246" s="226"/>
      <c r="H2246" s="225"/>
      <c r="I2246" s="227"/>
      <c r="J2246" s="228"/>
      <c r="K2246" s="229"/>
      <c r="L2246" s="229"/>
      <c r="M2246" s="229"/>
      <c r="N2246" s="230"/>
      <c r="O2246" s="228"/>
      <c r="P2246" s="230"/>
      <c r="Q2246" s="219"/>
      <c r="R2246" s="198"/>
      <c r="S2246" s="198"/>
      <c r="T2246" s="198"/>
      <c r="U2246" s="198"/>
      <c r="V2246" s="198"/>
      <c r="W2246" s="198"/>
      <c r="X2246" s="198"/>
    </row>
    <row r="2247" ht="12.0" customHeight="1">
      <c r="A2247" s="222" t="str">
        <f>IF(COUNTIFS(RC_OUT[BLOCK],RC_IN[BLOCK],RC_OUT[REMARKS],"*CLOSED*")&gt;0,"CLOSED",IF(COUNTIFS(RC_OUT[BLOCK],RC_IN[BLOCK],RC_OUT[WT],"&gt;0")&gt;0,"IN-USE",""))
</f>
        <v/>
      </c>
      <c r="B2247" s="223" t="str">
        <f>IFERROR(__xludf.DUMMYFUNCTION("IFERROR(IF(F2247&lt;&gt;"""",""WHSE ""&amp;LEFT(F2247,1),REGEXEXTRACT(E2247,""-(?:\d{2}-)?([A-Z]+)"")),"""")
"),"")</f>
        <v/>
      </c>
      <c r="C2247" s="224"/>
      <c r="D2247" s="219"/>
      <c r="E2247" s="225"/>
      <c r="F2247" s="225"/>
      <c r="G2247" s="226"/>
      <c r="H2247" s="225"/>
      <c r="I2247" s="227"/>
      <c r="J2247" s="228"/>
      <c r="K2247" s="229"/>
      <c r="L2247" s="229"/>
      <c r="M2247" s="229"/>
      <c r="N2247" s="230"/>
      <c r="O2247" s="228"/>
      <c r="P2247" s="230"/>
      <c r="Q2247" s="219"/>
      <c r="R2247" s="198"/>
      <c r="S2247" s="198"/>
      <c r="T2247" s="198"/>
      <c r="U2247" s="198"/>
      <c r="V2247" s="198"/>
      <c r="W2247" s="198"/>
      <c r="X2247" s="198"/>
    </row>
    <row r="2248" ht="12.0" customHeight="1">
      <c r="A2248" s="222" t="str">
        <f>IF(COUNTIFS(RC_OUT[BLOCK],RC_IN[BLOCK],RC_OUT[REMARKS],"*CLOSED*")&gt;0,"CLOSED",IF(COUNTIFS(RC_OUT[BLOCK],RC_IN[BLOCK],RC_OUT[WT],"&gt;0")&gt;0,"IN-USE",""))
</f>
        <v/>
      </c>
      <c r="B2248" s="223" t="str">
        <f>IFERROR(__xludf.DUMMYFUNCTION("IFERROR(IF(F2248&lt;&gt;"""",""WHSE ""&amp;LEFT(F2248,1),REGEXEXTRACT(E2248,""-(?:\d{2}-)?([A-Z]+)"")),"""")
"),"")</f>
        <v/>
      </c>
      <c r="C2248" s="224"/>
      <c r="D2248" s="219"/>
      <c r="E2248" s="225"/>
      <c r="F2248" s="225"/>
      <c r="G2248" s="226"/>
      <c r="H2248" s="225"/>
      <c r="I2248" s="227"/>
      <c r="J2248" s="228"/>
      <c r="K2248" s="229"/>
      <c r="L2248" s="229"/>
      <c r="M2248" s="229"/>
      <c r="N2248" s="230"/>
      <c r="O2248" s="228"/>
      <c r="P2248" s="230"/>
      <c r="Q2248" s="219"/>
      <c r="R2248" s="198"/>
      <c r="S2248" s="198"/>
      <c r="T2248" s="198"/>
      <c r="U2248" s="198"/>
      <c r="V2248" s="198"/>
      <c r="W2248" s="198"/>
      <c r="X2248" s="198"/>
    </row>
    <row r="2249" ht="12.0" customHeight="1">
      <c r="A2249" s="222" t="str">
        <f>IF(COUNTIFS(RC_OUT[BLOCK],RC_IN[BLOCK],RC_OUT[REMARKS],"*CLOSED*")&gt;0,"CLOSED",IF(COUNTIFS(RC_OUT[BLOCK],RC_IN[BLOCK],RC_OUT[WT],"&gt;0")&gt;0,"IN-USE",""))
</f>
        <v/>
      </c>
      <c r="B2249" s="223" t="str">
        <f>IFERROR(__xludf.DUMMYFUNCTION("IFERROR(IF(F2249&lt;&gt;"""",""WHSE ""&amp;LEFT(F2249,1),REGEXEXTRACT(E2249,""-(?:\d{2}-)?([A-Z]+)"")),"""")
"),"")</f>
        <v/>
      </c>
      <c r="C2249" s="224"/>
      <c r="D2249" s="219"/>
      <c r="E2249" s="225"/>
      <c r="F2249" s="225"/>
      <c r="G2249" s="226"/>
      <c r="H2249" s="225"/>
      <c r="I2249" s="227"/>
      <c r="J2249" s="228"/>
      <c r="K2249" s="229"/>
      <c r="L2249" s="229"/>
      <c r="M2249" s="229"/>
      <c r="N2249" s="230"/>
      <c r="O2249" s="228"/>
      <c r="P2249" s="230"/>
      <c r="Q2249" s="219"/>
      <c r="R2249" s="198"/>
      <c r="S2249" s="198"/>
      <c r="T2249" s="198"/>
      <c r="U2249" s="198"/>
      <c r="V2249" s="198"/>
      <c r="W2249" s="198"/>
      <c r="X2249" s="198"/>
    </row>
    <row r="2250" ht="12.0" customHeight="1">
      <c r="A2250" s="222" t="str">
        <f>IF(COUNTIFS(RC_OUT[BLOCK],RC_IN[BLOCK],RC_OUT[REMARKS],"*CLOSED*")&gt;0,"CLOSED",IF(COUNTIFS(RC_OUT[BLOCK],RC_IN[BLOCK],RC_OUT[WT],"&gt;0")&gt;0,"IN-USE",""))
</f>
        <v/>
      </c>
      <c r="B2250" s="223" t="str">
        <f>IFERROR(__xludf.DUMMYFUNCTION("IFERROR(IF(F2250&lt;&gt;"""",""WHSE ""&amp;LEFT(F2250,1),REGEXEXTRACT(E2250,""-(?:\d{2}-)?([A-Z]+)"")),"""")
"),"")</f>
        <v/>
      </c>
      <c r="C2250" s="224"/>
      <c r="D2250" s="219"/>
      <c r="E2250" s="225"/>
      <c r="F2250" s="225"/>
      <c r="G2250" s="226"/>
      <c r="H2250" s="225"/>
      <c r="I2250" s="227"/>
      <c r="J2250" s="228"/>
      <c r="K2250" s="229"/>
      <c r="L2250" s="229"/>
      <c r="M2250" s="229"/>
      <c r="N2250" s="230"/>
      <c r="O2250" s="228"/>
      <c r="P2250" s="230"/>
      <c r="Q2250" s="219"/>
      <c r="R2250" s="198"/>
      <c r="S2250" s="198"/>
      <c r="T2250" s="198"/>
      <c r="U2250" s="198"/>
      <c r="V2250" s="198"/>
      <c r="W2250" s="198"/>
      <c r="X2250" s="198"/>
    </row>
    <row r="2251" ht="12.0" customHeight="1">
      <c r="A2251" s="222" t="str">
        <f>IF(COUNTIFS(RC_OUT[BLOCK],RC_IN[BLOCK],RC_OUT[REMARKS],"*CLOSED*")&gt;0,"CLOSED",IF(COUNTIFS(RC_OUT[BLOCK],RC_IN[BLOCK],RC_OUT[WT],"&gt;0")&gt;0,"IN-USE",""))
</f>
        <v/>
      </c>
      <c r="B2251" s="223" t="str">
        <f>IFERROR(__xludf.DUMMYFUNCTION("IFERROR(IF(F2251&lt;&gt;"""",""WHSE ""&amp;LEFT(F2251,1),REGEXEXTRACT(E2251,""-(?:\d{2}-)?([A-Z]+)"")),"""")
"),"")</f>
        <v/>
      </c>
      <c r="C2251" s="224"/>
      <c r="D2251" s="219"/>
      <c r="E2251" s="225"/>
      <c r="F2251" s="225"/>
      <c r="G2251" s="226"/>
      <c r="H2251" s="225"/>
      <c r="I2251" s="227"/>
      <c r="J2251" s="228"/>
      <c r="K2251" s="229"/>
      <c r="L2251" s="229"/>
      <c r="M2251" s="229"/>
      <c r="N2251" s="230"/>
      <c r="O2251" s="228"/>
      <c r="P2251" s="230"/>
      <c r="Q2251" s="219"/>
      <c r="R2251" s="198"/>
      <c r="S2251" s="198"/>
      <c r="T2251" s="198"/>
      <c r="U2251" s="198"/>
      <c r="V2251" s="198"/>
      <c r="W2251" s="198"/>
      <c r="X2251" s="198"/>
    </row>
    <row r="2252" ht="12.0" customHeight="1">
      <c r="A2252" s="222" t="str">
        <f>IF(COUNTIFS(RC_OUT[BLOCK],RC_IN[BLOCK],RC_OUT[REMARKS],"*CLOSED*")&gt;0,"CLOSED",IF(COUNTIFS(RC_OUT[BLOCK],RC_IN[BLOCK],RC_OUT[WT],"&gt;0")&gt;0,"IN-USE",""))
</f>
        <v/>
      </c>
      <c r="B2252" s="223" t="str">
        <f>IFERROR(__xludf.DUMMYFUNCTION("IFERROR(IF(F2252&lt;&gt;"""",""WHSE ""&amp;LEFT(F2252,1),REGEXEXTRACT(E2252,""-(?:\d{2}-)?([A-Z]+)"")),"""")
"),"")</f>
        <v/>
      </c>
      <c r="C2252" s="224"/>
      <c r="D2252" s="219"/>
      <c r="E2252" s="225"/>
      <c r="F2252" s="225"/>
      <c r="G2252" s="226"/>
      <c r="H2252" s="225"/>
      <c r="I2252" s="227"/>
      <c r="J2252" s="228"/>
      <c r="K2252" s="229"/>
      <c r="L2252" s="229"/>
      <c r="M2252" s="229"/>
      <c r="N2252" s="230"/>
      <c r="O2252" s="228"/>
      <c r="P2252" s="230"/>
      <c r="Q2252" s="219"/>
      <c r="R2252" s="198"/>
      <c r="S2252" s="198"/>
      <c r="T2252" s="198"/>
      <c r="U2252" s="198"/>
      <c r="V2252" s="198"/>
      <c r="W2252" s="198"/>
      <c r="X2252" s="198"/>
    </row>
    <row r="2253" ht="12.0" customHeight="1">
      <c r="A2253" s="222" t="str">
        <f>IF(COUNTIFS(RC_OUT[BLOCK],RC_IN[BLOCK],RC_OUT[REMARKS],"*CLOSED*")&gt;0,"CLOSED",IF(COUNTIFS(RC_OUT[BLOCK],RC_IN[BLOCK],RC_OUT[WT],"&gt;0")&gt;0,"IN-USE",""))
</f>
        <v/>
      </c>
      <c r="B2253" s="223" t="str">
        <f>IFERROR(__xludf.DUMMYFUNCTION("IFERROR(IF(F2253&lt;&gt;"""",""WHSE ""&amp;LEFT(F2253,1),REGEXEXTRACT(E2253,""-(?:\d{2}-)?([A-Z]+)"")),"""")
"),"")</f>
        <v/>
      </c>
      <c r="C2253" s="224"/>
      <c r="D2253" s="219"/>
      <c r="E2253" s="225"/>
      <c r="F2253" s="225"/>
      <c r="G2253" s="226"/>
      <c r="H2253" s="225"/>
      <c r="I2253" s="227"/>
      <c r="J2253" s="228"/>
      <c r="K2253" s="229"/>
      <c r="L2253" s="229"/>
      <c r="M2253" s="229"/>
      <c r="N2253" s="230"/>
      <c r="O2253" s="228"/>
      <c r="P2253" s="230"/>
      <c r="Q2253" s="219"/>
      <c r="R2253" s="198"/>
      <c r="S2253" s="198"/>
      <c r="T2253" s="198"/>
      <c r="U2253" s="198"/>
      <c r="V2253" s="198"/>
      <c r="W2253" s="198"/>
      <c r="X2253" s="198"/>
    </row>
    <row r="2254" ht="12.0" customHeight="1">
      <c r="A2254" s="222" t="str">
        <f>IF(COUNTIFS(RC_OUT[BLOCK],RC_IN[BLOCK],RC_OUT[REMARKS],"*CLOSED*")&gt;0,"CLOSED",IF(COUNTIFS(RC_OUT[BLOCK],RC_IN[BLOCK],RC_OUT[WT],"&gt;0")&gt;0,"IN-USE",""))
</f>
        <v/>
      </c>
      <c r="B2254" s="223" t="str">
        <f>IFERROR(__xludf.DUMMYFUNCTION("IFERROR(IF(F2254&lt;&gt;"""",""WHSE ""&amp;LEFT(F2254,1),REGEXEXTRACT(E2254,""-(?:\d{2}-)?([A-Z]+)"")),"""")
"),"")</f>
        <v/>
      </c>
      <c r="C2254" s="224"/>
      <c r="D2254" s="219"/>
      <c r="E2254" s="225"/>
      <c r="F2254" s="225"/>
      <c r="G2254" s="226"/>
      <c r="H2254" s="225"/>
      <c r="I2254" s="227"/>
      <c r="J2254" s="228"/>
      <c r="K2254" s="229"/>
      <c r="L2254" s="229"/>
      <c r="M2254" s="229"/>
      <c r="N2254" s="230"/>
      <c r="O2254" s="228"/>
      <c r="P2254" s="230"/>
      <c r="Q2254" s="219"/>
      <c r="R2254" s="198"/>
      <c r="S2254" s="198"/>
      <c r="T2254" s="198"/>
      <c r="U2254" s="198"/>
      <c r="V2254" s="198"/>
      <c r="W2254" s="198"/>
      <c r="X2254" s="198"/>
    </row>
    <row r="2255" ht="12.0" customHeight="1">
      <c r="A2255" s="222" t="str">
        <f>IF(COUNTIFS(RC_OUT[BLOCK],RC_IN[BLOCK],RC_OUT[REMARKS],"*CLOSED*")&gt;0,"CLOSED",IF(COUNTIFS(RC_OUT[BLOCK],RC_IN[BLOCK],RC_OUT[WT],"&gt;0")&gt;0,"IN-USE",""))
</f>
        <v/>
      </c>
      <c r="B2255" s="223" t="str">
        <f>IFERROR(__xludf.DUMMYFUNCTION("IFERROR(IF(F2255&lt;&gt;"""",""WHSE ""&amp;LEFT(F2255,1),REGEXEXTRACT(E2255,""-(?:\d{2}-)?([A-Z]+)"")),"""")
"),"")</f>
        <v/>
      </c>
      <c r="C2255" s="224"/>
      <c r="D2255" s="219"/>
      <c r="E2255" s="225"/>
      <c r="F2255" s="225"/>
      <c r="G2255" s="226"/>
      <c r="H2255" s="225"/>
      <c r="I2255" s="227"/>
      <c r="J2255" s="228"/>
      <c r="K2255" s="229"/>
      <c r="L2255" s="229"/>
      <c r="M2255" s="229"/>
      <c r="N2255" s="230"/>
      <c r="O2255" s="228"/>
      <c r="P2255" s="230"/>
      <c r="Q2255" s="219"/>
      <c r="R2255" s="198"/>
      <c r="S2255" s="198"/>
      <c r="T2255" s="198"/>
      <c r="U2255" s="198"/>
      <c r="V2255" s="198"/>
      <c r="W2255" s="198"/>
      <c r="X2255" s="198"/>
    </row>
    <row r="2256" ht="12.0" customHeight="1">
      <c r="A2256" s="222" t="str">
        <f>IF(COUNTIFS(RC_OUT[BLOCK],RC_IN[BLOCK],RC_OUT[REMARKS],"*CLOSED*")&gt;0,"CLOSED",IF(COUNTIFS(RC_OUT[BLOCK],RC_IN[BLOCK],RC_OUT[WT],"&gt;0")&gt;0,"IN-USE",""))
</f>
        <v/>
      </c>
      <c r="B2256" s="223" t="str">
        <f>IFERROR(__xludf.DUMMYFUNCTION("IFERROR(IF(F2256&lt;&gt;"""",""WHSE ""&amp;LEFT(F2256,1),REGEXEXTRACT(E2256,""-(?:\d{2}-)?([A-Z]+)"")),"""")
"),"")</f>
        <v/>
      </c>
      <c r="C2256" s="224"/>
      <c r="D2256" s="219"/>
      <c r="E2256" s="225"/>
      <c r="F2256" s="225"/>
      <c r="G2256" s="226"/>
      <c r="H2256" s="225"/>
      <c r="I2256" s="227"/>
      <c r="J2256" s="228"/>
      <c r="K2256" s="229"/>
      <c r="L2256" s="229"/>
      <c r="M2256" s="229"/>
      <c r="N2256" s="230"/>
      <c r="O2256" s="228"/>
      <c r="P2256" s="230"/>
      <c r="Q2256" s="219"/>
      <c r="R2256" s="198"/>
      <c r="S2256" s="198"/>
      <c r="T2256" s="198"/>
      <c r="U2256" s="198"/>
      <c r="V2256" s="198"/>
      <c r="W2256" s="198"/>
      <c r="X2256" s="198"/>
    </row>
    <row r="2257" ht="12.0" customHeight="1">
      <c r="A2257" s="222" t="str">
        <f>IF(COUNTIFS(RC_OUT[BLOCK],RC_IN[BLOCK],RC_OUT[REMARKS],"*CLOSED*")&gt;0,"CLOSED",IF(COUNTIFS(RC_OUT[BLOCK],RC_IN[BLOCK],RC_OUT[WT],"&gt;0")&gt;0,"IN-USE",""))
</f>
        <v/>
      </c>
      <c r="B2257" s="223" t="str">
        <f>IFERROR(__xludf.DUMMYFUNCTION("IFERROR(IF(F2257&lt;&gt;"""",""WHSE ""&amp;LEFT(F2257,1),REGEXEXTRACT(E2257,""-(?:\d{2}-)?([A-Z]+)"")),"""")
"),"")</f>
        <v/>
      </c>
      <c r="C2257" s="224"/>
      <c r="D2257" s="219"/>
      <c r="E2257" s="225"/>
      <c r="F2257" s="225"/>
      <c r="G2257" s="226"/>
      <c r="H2257" s="225"/>
      <c r="I2257" s="227"/>
      <c r="J2257" s="228"/>
      <c r="K2257" s="229"/>
      <c r="L2257" s="229"/>
      <c r="M2257" s="229"/>
      <c r="N2257" s="230"/>
      <c r="O2257" s="228"/>
      <c r="P2257" s="230"/>
      <c r="Q2257" s="219"/>
      <c r="R2257" s="198"/>
      <c r="S2257" s="198"/>
      <c r="T2257" s="198"/>
      <c r="U2257" s="198"/>
      <c r="V2257" s="198"/>
      <c r="W2257" s="198"/>
      <c r="X2257" s="198"/>
    </row>
    <row r="2258" ht="12.0" customHeight="1">
      <c r="A2258" s="222" t="str">
        <f>IF(COUNTIFS(RC_OUT[BLOCK],RC_IN[BLOCK],RC_OUT[REMARKS],"*CLOSED*")&gt;0,"CLOSED",IF(COUNTIFS(RC_OUT[BLOCK],RC_IN[BLOCK],RC_OUT[WT],"&gt;0")&gt;0,"IN-USE",""))
</f>
        <v/>
      </c>
      <c r="B2258" s="223" t="str">
        <f>IFERROR(__xludf.DUMMYFUNCTION("IFERROR(IF(F2258&lt;&gt;"""",""WHSE ""&amp;LEFT(F2258,1),REGEXEXTRACT(E2258,""-(?:\d{2}-)?([A-Z]+)"")),"""")
"),"")</f>
        <v/>
      </c>
      <c r="C2258" s="224"/>
      <c r="D2258" s="219"/>
      <c r="E2258" s="225"/>
      <c r="F2258" s="225"/>
      <c r="G2258" s="226"/>
      <c r="H2258" s="225"/>
      <c r="I2258" s="227"/>
      <c r="J2258" s="228"/>
      <c r="K2258" s="229"/>
      <c r="L2258" s="229"/>
      <c r="M2258" s="229"/>
      <c r="N2258" s="230"/>
      <c r="O2258" s="228"/>
      <c r="P2258" s="230"/>
      <c r="Q2258" s="219"/>
      <c r="R2258" s="198"/>
      <c r="S2258" s="198"/>
      <c r="T2258" s="198"/>
      <c r="U2258" s="198"/>
      <c r="V2258" s="198"/>
      <c r="W2258" s="198"/>
      <c r="X2258" s="198"/>
    </row>
    <row r="2259" ht="12.0" customHeight="1">
      <c r="A2259" s="222" t="str">
        <f>IF(COUNTIFS(RC_OUT[BLOCK],RC_IN[BLOCK],RC_OUT[REMARKS],"*CLOSED*")&gt;0,"CLOSED",IF(COUNTIFS(RC_OUT[BLOCK],RC_IN[BLOCK],RC_OUT[WT],"&gt;0")&gt;0,"IN-USE",""))
</f>
        <v/>
      </c>
      <c r="B2259" s="223" t="str">
        <f>IFERROR(__xludf.DUMMYFUNCTION("IFERROR(IF(F2259&lt;&gt;"""",""WHSE ""&amp;LEFT(F2259,1),REGEXEXTRACT(E2259,""-(?:\d{2}-)?([A-Z]+)"")),"""")
"),"")</f>
        <v/>
      </c>
      <c r="C2259" s="224"/>
      <c r="D2259" s="219"/>
      <c r="E2259" s="225"/>
      <c r="F2259" s="225"/>
      <c r="G2259" s="226"/>
      <c r="H2259" s="225"/>
      <c r="I2259" s="227"/>
      <c r="J2259" s="228"/>
      <c r="K2259" s="229"/>
      <c r="L2259" s="229"/>
      <c r="M2259" s="229"/>
      <c r="N2259" s="230"/>
      <c r="O2259" s="228"/>
      <c r="P2259" s="230"/>
      <c r="Q2259" s="219"/>
      <c r="R2259" s="198"/>
      <c r="S2259" s="198"/>
      <c r="T2259" s="198"/>
      <c r="U2259" s="198"/>
      <c r="V2259" s="198"/>
      <c r="W2259" s="198"/>
      <c r="X2259" s="198"/>
    </row>
    <row r="2260" ht="12.0" customHeight="1">
      <c r="A2260" s="222" t="str">
        <f>IF(COUNTIFS(RC_OUT[BLOCK],RC_IN[BLOCK],RC_OUT[REMARKS],"*CLOSED*")&gt;0,"CLOSED",IF(COUNTIFS(RC_OUT[BLOCK],RC_IN[BLOCK],RC_OUT[WT],"&gt;0")&gt;0,"IN-USE",""))
</f>
        <v/>
      </c>
      <c r="B2260" s="223" t="str">
        <f>IFERROR(__xludf.DUMMYFUNCTION("IFERROR(IF(F2260&lt;&gt;"""",""WHSE ""&amp;LEFT(F2260,1),REGEXEXTRACT(E2260,""-(?:\d{2}-)?([A-Z]+)"")),"""")
"),"")</f>
        <v/>
      </c>
      <c r="C2260" s="224"/>
      <c r="D2260" s="219"/>
      <c r="E2260" s="225"/>
      <c r="F2260" s="225"/>
      <c r="G2260" s="226"/>
      <c r="H2260" s="225"/>
      <c r="I2260" s="227"/>
      <c r="J2260" s="228"/>
      <c r="K2260" s="229"/>
      <c r="L2260" s="229"/>
      <c r="M2260" s="229"/>
      <c r="N2260" s="230"/>
      <c r="O2260" s="228"/>
      <c r="P2260" s="230"/>
      <c r="Q2260" s="219"/>
      <c r="R2260" s="198"/>
      <c r="S2260" s="198"/>
      <c r="T2260" s="198"/>
      <c r="U2260" s="198"/>
      <c r="V2260" s="198"/>
      <c r="W2260" s="198"/>
      <c r="X2260" s="198"/>
    </row>
    <row r="2261" ht="12.0" customHeight="1">
      <c r="A2261" s="222" t="str">
        <f>IF(COUNTIFS(RC_OUT[BLOCK],RC_IN[BLOCK],RC_OUT[REMARKS],"*CLOSED*")&gt;0,"CLOSED",IF(COUNTIFS(RC_OUT[BLOCK],RC_IN[BLOCK],RC_OUT[WT],"&gt;0")&gt;0,"IN-USE",""))
</f>
        <v/>
      </c>
      <c r="B2261" s="223" t="str">
        <f>IFERROR(__xludf.DUMMYFUNCTION("IFERROR(IF(F2261&lt;&gt;"""",""WHSE ""&amp;LEFT(F2261,1),REGEXEXTRACT(E2261,""-(?:\d{2}-)?([A-Z]+)"")),"""")
"),"")</f>
        <v/>
      </c>
      <c r="C2261" s="224"/>
      <c r="D2261" s="219"/>
      <c r="E2261" s="225"/>
      <c r="F2261" s="225"/>
      <c r="G2261" s="226"/>
      <c r="H2261" s="225"/>
      <c r="I2261" s="227"/>
      <c r="J2261" s="228"/>
      <c r="K2261" s="229"/>
      <c r="L2261" s="229"/>
      <c r="M2261" s="229"/>
      <c r="N2261" s="230"/>
      <c r="O2261" s="228"/>
      <c r="P2261" s="230"/>
      <c r="Q2261" s="219"/>
      <c r="R2261" s="198"/>
      <c r="S2261" s="198"/>
      <c r="T2261" s="198"/>
      <c r="U2261" s="198"/>
      <c r="V2261" s="198"/>
      <c r="W2261" s="198"/>
      <c r="X2261" s="198"/>
    </row>
    <row r="2262" ht="12.0" customHeight="1">
      <c r="A2262" s="222" t="str">
        <f>IF(COUNTIFS(RC_OUT[BLOCK],RC_IN[BLOCK],RC_OUT[REMARKS],"*CLOSED*")&gt;0,"CLOSED",IF(COUNTIFS(RC_OUT[BLOCK],RC_IN[BLOCK],RC_OUT[WT],"&gt;0")&gt;0,"IN-USE",""))
</f>
        <v/>
      </c>
      <c r="B2262" s="223" t="str">
        <f>IFERROR(__xludf.DUMMYFUNCTION("IFERROR(IF(F2262&lt;&gt;"""",""WHSE ""&amp;LEFT(F2262,1),REGEXEXTRACT(E2262,""-(?:\d{2}-)?([A-Z]+)"")),"""")
"),"")</f>
        <v/>
      </c>
      <c r="C2262" s="224"/>
      <c r="D2262" s="219"/>
      <c r="E2262" s="225"/>
      <c r="F2262" s="225"/>
      <c r="G2262" s="226"/>
      <c r="H2262" s="225"/>
      <c r="I2262" s="227"/>
      <c r="J2262" s="228"/>
      <c r="K2262" s="229"/>
      <c r="L2262" s="229"/>
      <c r="M2262" s="229"/>
      <c r="N2262" s="230"/>
      <c r="O2262" s="228"/>
      <c r="P2262" s="230"/>
      <c r="Q2262" s="219"/>
      <c r="R2262" s="198"/>
      <c r="S2262" s="198"/>
      <c r="T2262" s="198"/>
      <c r="U2262" s="198"/>
      <c r="V2262" s="198"/>
      <c r="W2262" s="198"/>
      <c r="X2262" s="198"/>
    </row>
    <row r="2263" ht="12.0" customHeight="1">
      <c r="A2263" s="222" t="str">
        <f>IF(COUNTIFS(RC_OUT[BLOCK],RC_IN[BLOCK],RC_OUT[REMARKS],"*CLOSED*")&gt;0,"CLOSED",IF(COUNTIFS(RC_OUT[BLOCK],RC_IN[BLOCK],RC_OUT[WT],"&gt;0")&gt;0,"IN-USE",""))
</f>
        <v/>
      </c>
      <c r="B2263" s="223" t="str">
        <f>IFERROR(__xludf.DUMMYFUNCTION("IFERROR(IF(F2263&lt;&gt;"""",""WHSE ""&amp;LEFT(F2263,1),REGEXEXTRACT(E2263,""-(?:\d{2}-)?([A-Z]+)"")),"""")
"),"")</f>
        <v/>
      </c>
      <c r="C2263" s="224"/>
      <c r="D2263" s="219"/>
      <c r="E2263" s="225"/>
      <c r="F2263" s="225"/>
      <c r="G2263" s="226"/>
      <c r="H2263" s="225"/>
      <c r="I2263" s="227"/>
      <c r="J2263" s="228"/>
      <c r="K2263" s="229"/>
      <c r="L2263" s="229"/>
      <c r="M2263" s="229"/>
      <c r="N2263" s="230"/>
      <c r="O2263" s="228"/>
      <c r="P2263" s="230"/>
      <c r="Q2263" s="219"/>
      <c r="R2263" s="198"/>
      <c r="S2263" s="198"/>
      <c r="T2263" s="198"/>
      <c r="U2263" s="198"/>
      <c r="V2263" s="198"/>
      <c r="W2263" s="198"/>
      <c r="X2263" s="198"/>
    </row>
    <row r="2264" ht="12.0" customHeight="1">
      <c r="A2264" s="222" t="str">
        <f>IF(COUNTIFS(RC_OUT[BLOCK],RC_IN[BLOCK],RC_OUT[REMARKS],"*CLOSED*")&gt;0,"CLOSED",IF(COUNTIFS(RC_OUT[BLOCK],RC_IN[BLOCK],RC_OUT[WT],"&gt;0")&gt;0,"IN-USE",""))
</f>
        <v/>
      </c>
      <c r="B2264" s="223" t="str">
        <f>IFERROR(__xludf.DUMMYFUNCTION("IFERROR(IF(F2264&lt;&gt;"""",""WHSE ""&amp;LEFT(F2264,1),REGEXEXTRACT(E2264,""-(?:\d{2}-)?([A-Z]+)"")),"""")
"),"")</f>
        <v/>
      </c>
      <c r="C2264" s="224"/>
      <c r="D2264" s="219"/>
      <c r="E2264" s="225"/>
      <c r="F2264" s="225"/>
      <c r="G2264" s="226"/>
      <c r="H2264" s="225"/>
      <c r="I2264" s="227"/>
      <c r="J2264" s="228"/>
      <c r="K2264" s="229"/>
      <c r="L2264" s="229"/>
      <c r="M2264" s="229"/>
      <c r="N2264" s="230"/>
      <c r="O2264" s="228"/>
      <c r="P2264" s="230"/>
      <c r="Q2264" s="219"/>
      <c r="R2264" s="198"/>
      <c r="S2264" s="198"/>
      <c r="T2264" s="198"/>
      <c r="U2264" s="198"/>
      <c r="V2264" s="198"/>
      <c r="W2264" s="198"/>
      <c r="X2264" s="198"/>
    </row>
    <row r="2265" ht="12.0" customHeight="1">
      <c r="A2265" s="222" t="str">
        <f>IF(COUNTIFS(RC_OUT[BLOCK],RC_IN[BLOCK],RC_OUT[REMARKS],"*CLOSED*")&gt;0,"CLOSED",IF(COUNTIFS(RC_OUT[BLOCK],RC_IN[BLOCK],RC_OUT[WT],"&gt;0")&gt;0,"IN-USE",""))
</f>
        <v/>
      </c>
      <c r="B2265" s="223" t="str">
        <f>IFERROR(__xludf.DUMMYFUNCTION("IFERROR(IF(F2265&lt;&gt;"""",""WHSE ""&amp;LEFT(F2265,1),REGEXEXTRACT(E2265,""-(?:\d{2}-)?([A-Z]+)"")),"""")
"),"")</f>
        <v/>
      </c>
      <c r="C2265" s="224"/>
      <c r="D2265" s="219"/>
      <c r="E2265" s="225"/>
      <c r="F2265" s="225"/>
      <c r="G2265" s="226"/>
      <c r="H2265" s="225"/>
      <c r="I2265" s="227"/>
      <c r="J2265" s="228"/>
      <c r="K2265" s="229"/>
      <c r="L2265" s="229"/>
      <c r="M2265" s="229"/>
      <c r="N2265" s="230"/>
      <c r="O2265" s="228"/>
      <c r="P2265" s="230"/>
      <c r="Q2265" s="219"/>
      <c r="R2265" s="198"/>
      <c r="S2265" s="198"/>
      <c r="T2265" s="198"/>
      <c r="U2265" s="198"/>
      <c r="V2265" s="198"/>
      <c r="W2265" s="198"/>
      <c r="X2265" s="198"/>
    </row>
    <row r="2266" ht="12.0" customHeight="1">
      <c r="A2266" s="222" t="str">
        <f>IF(COUNTIFS(RC_OUT[BLOCK],RC_IN[BLOCK],RC_OUT[REMARKS],"*CLOSED*")&gt;0,"CLOSED",IF(COUNTIFS(RC_OUT[BLOCK],RC_IN[BLOCK],RC_OUT[WT],"&gt;0")&gt;0,"IN-USE",""))
</f>
        <v/>
      </c>
      <c r="B2266" s="223" t="str">
        <f>IFERROR(__xludf.DUMMYFUNCTION("IFERROR(IF(F2266&lt;&gt;"""",""WHSE ""&amp;LEFT(F2266,1),REGEXEXTRACT(E2266,""-(?:\d{2}-)?([A-Z]+)"")),"""")
"),"")</f>
        <v/>
      </c>
      <c r="C2266" s="224"/>
      <c r="D2266" s="219"/>
      <c r="E2266" s="225"/>
      <c r="F2266" s="225"/>
      <c r="G2266" s="226"/>
      <c r="H2266" s="225"/>
      <c r="I2266" s="227"/>
      <c r="J2266" s="228"/>
      <c r="K2266" s="229"/>
      <c r="L2266" s="229"/>
      <c r="M2266" s="229"/>
      <c r="N2266" s="230"/>
      <c r="O2266" s="228"/>
      <c r="P2266" s="230"/>
      <c r="Q2266" s="219"/>
      <c r="R2266" s="198"/>
      <c r="S2266" s="198"/>
      <c r="T2266" s="198"/>
      <c r="U2266" s="198"/>
      <c r="V2266" s="198"/>
      <c r="W2266" s="198"/>
      <c r="X2266" s="198"/>
    </row>
    <row r="2267" ht="12.0" customHeight="1">
      <c r="A2267" s="222" t="str">
        <f>IF(COUNTIFS(RC_OUT[BLOCK],RC_IN[BLOCK],RC_OUT[REMARKS],"*CLOSED*")&gt;0,"CLOSED",IF(COUNTIFS(RC_OUT[BLOCK],RC_IN[BLOCK],RC_OUT[WT],"&gt;0")&gt;0,"IN-USE",""))
</f>
        <v/>
      </c>
      <c r="B2267" s="223" t="str">
        <f>IFERROR(__xludf.DUMMYFUNCTION("IFERROR(IF(F2267&lt;&gt;"""",""WHSE ""&amp;LEFT(F2267,1),REGEXEXTRACT(E2267,""-(?:\d{2}-)?([A-Z]+)"")),"""")
"),"")</f>
        <v/>
      </c>
      <c r="C2267" s="224"/>
      <c r="D2267" s="219"/>
      <c r="E2267" s="225"/>
      <c r="F2267" s="225"/>
      <c r="G2267" s="226"/>
      <c r="H2267" s="225"/>
      <c r="I2267" s="227"/>
      <c r="J2267" s="228"/>
      <c r="K2267" s="229"/>
      <c r="L2267" s="229"/>
      <c r="M2267" s="229"/>
      <c r="N2267" s="230"/>
      <c r="O2267" s="228"/>
      <c r="P2267" s="230"/>
      <c r="Q2267" s="219"/>
      <c r="R2267" s="198"/>
      <c r="S2267" s="198"/>
      <c r="T2267" s="198"/>
      <c r="U2267" s="198"/>
      <c r="V2267" s="198"/>
      <c r="W2267" s="198"/>
      <c r="X2267" s="198"/>
    </row>
    <row r="2268" ht="12.0" customHeight="1">
      <c r="A2268" s="222" t="str">
        <f>IF(COUNTIFS(RC_OUT[BLOCK],RC_IN[BLOCK],RC_OUT[REMARKS],"*CLOSED*")&gt;0,"CLOSED",IF(COUNTIFS(RC_OUT[BLOCK],RC_IN[BLOCK],RC_OUT[WT],"&gt;0")&gt;0,"IN-USE",""))
</f>
        <v/>
      </c>
      <c r="B2268" s="223" t="str">
        <f>IFERROR(__xludf.DUMMYFUNCTION("IFERROR(IF(F2268&lt;&gt;"""",""WHSE ""&amp;LEFT(F2268,1),REGEXEXTRACT(E2268,""-(?:\d{2}-)?([A-Z]+)"")),"""")
"),"")</f>
        <v/>
      </c>
      <c r="C2268" s="224"/>
      <c r="D2268" s="219"/>
      <c r="E2268" s="225"/>
      <c r="F2268" s="225"/>
      <c r="G2268" s="226"/>
      <c r="H2268" s="225"/>
      <c r="I2268" s="227"/>
      <c r="J2268" s="228"/>
      <c r="K2268" s="229"/>
      <c r="L2268" s="229"/>
      <c r="M2268" s="229"/>
      <c r="N2268" s="230"/>
      <c r="O2268" s="228"/>
      <c r="P2268" s="230"/>
      <c r="Q2268" s="219"/>
      <c r="R2268" s="198"/>
      <c r="S2268" s="198"/>
      <c r="T2268" s="198"/>
      <c r="U2268" s="198"/>
      <c r="V2268" s="198"/>
      <c r="W2268" s="198"/>
      <c r="X2268" s="198"/>
    </row>
    <row r="2269" ht="12.0" customHeight="1">
      <c r="A2269" s="222" t="str">
        <f>IF(COUNTIFS(RC_OUT[BLOCK],RC_IN[BLOCK],RC_OUT[REMARKS],"*CLOSED*")&gt;0,"CLOSED",IF(COUNTIFS(RC_OUT[BLOCK],RC_IN[BLOCK],RC_OUT[WT],"&gt;0")&gt;0,"IN-USE",""))
</f>
        <v/>
      </c>
      <c r="B2269" s="223" t="str">
        <f>IFERROR(__xludf.DUMMYFUNCTION("IFERROR(IF(F2269&lt;&gt;"""",""WHSE ""&amp;LEFT(F2269,1),REGEXEXTRACT(E2269,""-(?:\d{2}-)?([A-Z]+)"")),"""")
"),"")</f>
        <v/>
      </c>
      <c r="C2269" s="224"/>
      <c r="D2269" s="219"/>
      <c r="E2269" s="225"/>
      <c r="F2269" s="225"/>
      <c r="G2269" s="226"/>
      <c r="H2269" s="225"/>
      <c r="I2269" s="227"/>
      <c r="J2269" s="228"/>
      <c r="K2269" s="229"/>
      <c r="L2269" s="229"/>
      <c r="M2269" s="229"/>
      <c r="N2269" s="230"/>
      <c r="O2269" s="228"/>
      <c r="P2269" s="230"/>
      <c r="Q2269" s="219"/>
      <c r="R2269" s="198"/>
      <c r="S2269" s="198"/>
      <c r="T2269" s="198"/>
      <c r="U2269" s="198"/>
      <c r="V2269" s="198"/>
      <c r="W2269" s="198"/>
      <c r="X2269" s="198"/>
    </row>
    <row r="2270" ht="12.0" customHeight="1">
      <c r="A2270" s="222" t="str">
        <f>IF(COUNTIFS(RC_OUT[BLOCK],RC_IN[BLOCK],RC_OUT[REMARKS],"*CLOSED*")&gt;0,"CLOSED",IF(COUNTIFS(RC_OUT[BLOCK],RC_IN[BLOCK],RC_OUT[WT],"&gt;0")&gt;0,"IN-USE",""))
</f>
        <v/>
      </c>
      <c r="B2270" s="223" t="str">
        <f>IFERROR(__xludf.DUMMYFUNCTION("IFERROR(IF(F2270&lt;&gt;"""",""WHSE ""&amp;LEFT(F2270,1),REGEXEXTRACT(E2270,""-(?:\d{2}-)?([A-Z]+)"")),"""")
"),"")</f>
        <v/>
      </c>
      <c r="C2270" s="224"/>
      <c r="D2270" s="219"/>
      <c r="E2270" s="225"/>
      <c r="F2270" s="225"/>
      <c r="G2270" s="226"/>
      <c r="H2270" s="225"/>
      <c r="I2270" s="227"/>
      <c r="J2270" s="228"/>
      <c r="K2270" s="229"/>
      <c r="L2270" s="229"/>
      <c r="M2270" s="229"/>
      <c r="N2270" s="230"/>
      <c r="O2270" s="228"/>
      <c r="P2270" s="230"/>
      <c r="Q2270" s="219"/>
      <c r="R2270" s="198"/>
      <c r="S2270" s="198"/>
      <c r="T2270" s="198"/>
      <c r="U2270" s="198"/>
      <c r="V2270" s="198"/>
      <c r="W2270" s="198"/>
      <c r="X2270" s="198"/>
    </row>
    <row r="2271" ht="12.0" customHeight="1">
      <c r="A2271" s="222" t="str">
        <f>IF(COUNTIFS(RC_OUT[BLOCK],RC_IN[BLOCK],RC_OUT[REMARKS],"*CLOSED*")&gt;0,"CLOSED",IF(COUNTIFS(RC_OUT[BLOCK],RC_IN[BLOCK],RC_OUT[WT],"&gt;0")&gt;0,"IN-USE",""))
</f>
        <v/>
      </c>
      <c r="B2271" s="223" t="str">
        <f>IFERROR(__xludf.DUMMYFUNCTION("IFERROR(IF(F2271&lt;&gt;"""",""WHSE ""&amp;LEFT(F2271,1),REGEXEXTRACT(E2271,""-(?:\d{2}-)?([A-Z]+)"")),"""")
"),"")</f>
        <v/>
      </c>
      <c r="C2271" s="224"/>
      <c r="D2271" s="219"/>
      <c r="E2271" s="225"/>
      <c r="F2271" s="225"/>
      <c r="G2271" s="226"/>
      <c r="H2271" s="225"/>
      <c r="I2271" s="227"/>
      <c r="J2271" s="228"/>
      <c r="K2271" s="229"/>
      <c r="L2271" s="229"/>
      <c r="M2271" s="229"/>
      <c r="N2271" s="230"/>
      <c r="O2271" s="228"/>
      <c r="P2271" s="230"/>
      <c r="Q2271" s="219"/>
      <c r="R2271" s="198"/>
      <c r="S2271" s="198"/>
      <c r="T2271" s="198"/>
      <c r="U2271" s="198"/>
      <c r="V2271" s="198"/>
      <c r="W2271" s="198"/>
      <c r="X2271" s="198"/>
    </row>
    <row r="2272" ht="12.0" customHeight="1">
      <c r="A2272" s="222" t="str">
        <f>IF(COUNTIFS(RC_OUT[BLOCK],RC_IN[BLOCK],RC_OUT[REMARKS],"*CLOSED*")&gt;0,"CLOSED",IF(COUNTIFS(RC_OUT[BLOCK],RC_IN[BLOCK],RC_OUT[WT],"&gt;0")&gt;0,"IN-USE",""))
</f>
        <v/>
      </c>
      <c r="B2272" s="223" t="str">
        <f>IFERROR(__xludf.DUMMYFUNCTION("IFERROR(IF(F2272&lt;&gt;"""",""WHSE ""&amp;LEFT(F2272,1),REGEXEXTRACT(E2272,""-(?:\d{2}-)?([A-Z]+)"")),"""")
"),"")</f>
        <v/>
      </c>
      <c r="C2272" s="224"/>
      <c r="D2272" s="219"/>
      <c r="E2272" s="225"/>
      <c r="F2272" s="225"/>
      <c r="G2272" s="226"/>
      <c r="H2272" s="225"/>
      <c r="I2272" s="227"/>
      <c r="J2272" s="228"/>
      <c r="K2272" s="229"/>
      <c r="L2272" s="229"/>
      <c r="M2272" s="229"/>
      <c r="N2272" s="230"/>
      <c r="O2272" s="228"/>
      <c r="P2272" s="230"/>
      <c r="Q2272" s="219"/>
      <c r="R2272" s="198"/>
      <c r="S2272" s="198"/>
      <c r="T2272" s="198"/>
      <c r="U2272" s="198"/>
      <c r="V2272" s="198"/>
      <c r="W2272" s="198"/>
      <c r="X2272" s="198"/>
    </row>
    <row r="2273" ht="12.0" customHeight="1">
      <c r="A2273" s="222" t="str">
        <f>IF(COUNTIFS(RC_OUT[BLOCK],RC_IN[BLOCK],RC_OUT[REMARKS],"*CLOSED*")&gt;0,"CLOSED",IF(COUNTIFS(RC_OUT[BLOCK],RC_IN[BLOCK],RC_OUT[WT],"&gt;0")&gt;0,"IN-USE",""))
</f>
        <v/>
      </c>
      <c r="B2273" s="223" t="str">
        <f>IFERROR(__xludf.DUMMYFUNCTION("IFERROR(IF(F2273&lt;&gt;"""",""WHSE ""&amp;LEFT(F2273,1),REGEXEXTRACT(E2273,""-(?:\d{2}-)?([A-Z]+)"")),"""")
"),"")</f>
        <v/>
      </c>
      <c r="C2273" s="224"/>
      <c r="D2273" s="219"/>
      <c r="E2273" s="225"/>
      <c r="F2273" s="225"/>
      <c r="G2273" s="226"/>
      <c r="H2273" s="225"/>
      <c r="I2273" s="227"/>
      <c r="J2273" s="228"/>
      <c r="K2273" s="229"/>
      <c r="L2273" s="229"/>
      <c r="M2273" s="229"/>
      <c r="N2273" s="230"/>
      <c r="O2273" s="228"/>
      <c r="P2273" s="230"/>
      <c r="Q2273" s="219"/>
      <c r="R2273" s="198"/>
      <c r="S2273" s="198"/>
      <c r="T2273" s="198"/>
      <c r="U2273" s="198"/>
      <c r="V2273" s="198"/>
      <c r="W2273" s="198"/>
      <c r="X2273" s="198"/>
    </row>
    <row r="2274" ht="12.0" customHeight="1">
      <c r="A2274" s="222" t="str">
        <f>IF(COUNTIFS(RC_OUT[BLOCK],RC_IN[BLOCK],RC_OUT[REMARKS],"*CLOSED*")&gt;0,"CLOSED",IF(COUNTIFS(RC_OUT[BLOCK],RC_IN[BLOCK],RC_OUT[WT],"&gt;0")&gt;0,"IN-USE",""))
</f>
        <v/>
      </c>
      <c r="B2274" s="223" t="str">
        <f>IFERROR(__xludf.DUMMYFUNCTION("IFERROR(IF(F2274&lt;&gt;"""",""WHSE ""&amp;LEFT(F2274,1),REGEXEXTRACT(E2274,""-(?:\d{2}-)?([A-Z]+)"")),"""")
"),"")</f>
        <v/>
      </c>
      <c r="C2274" s="224"/>
      <c r="D2274" s="219"/>
      <c r="E2274" s="225"/>
      <c r="F2274" s="225"/>
      <c r="G2274" s="226"/>
      <c r="H2274" s="225"/>
      <c r="I2274" s="227"/>
      <c r="J2274" s="228"/>
      <c r="K2274" s="229"/>
      <c r="L2274" s="229"/>
      <c r="M2274" s="229"/>
      <c r="N2274" s="230"/>
      <c r="O2274" s="228"/>
      <c r="P2274" s="230"/>
      <c r="Q2274" s="219"/>
      <c r="R2274" s="198"/>
      <c r="S2274" s="198"/>
      <c r="T2274" s="198"/>
      <c r="U2274" s="198"/>
      <c r="V2274" s="198"/>
      <c r="W2274" s="198"/>
      <c r="X2274" s="198"/>
    </row>
    <row r="2275" ht="12.0" customHeight="1">
      <c r="A2275" s="222" t="str">
        <f>IF(COUNTIFS(RC_OUT[BLOCK],RC_IN[BLOCK],RC_OUT[REMARKS],"*CLOSED*")&gt;0,"CLOSED",IF(COUNTIFS(RC_OUT[BLOCK],RC_IN[BLOCK],RC_OUT[WT],"&gt;0")&gt;0,"IN-USE",""))
</f>
        <v/>
      </c>
      <c r="B2275" s="223" t="str">
        <f>IFERROR(__xludf.DUMMYFUNCTION("IFERROR(IF(F2275&lt;&gt;"""",""WHSE ""&amp;LEFT(F2275,1),REGEXEXTRACT(E2275,""-(?:\d{2}-)?([A-Z]+)"")),"""")
"),"")</f>
        <v/>
      </c>
      <c r="C2275" s="224"/>
      <c r="D2275" s="219"/>
      <c r="E2275" s="225"/>
      <c r="F2275" s="225"/>
      <c r="G2275" s="226"/>
      <c r="H2275" s="225"/>
      <c r="I2275" s="227"/>
      <c r="J2275" s="228"/>
      <c r="K2275" s="229"/>
      <c r="L2275" s="229"/>
      <c r="M2275" s="229"/>
      <c r="N2275" s="230"/>
      <c r="O2275" s="228"/>
      <c r="P2275" s="230"/>
      <c r="Q2275" s="219"/>
      <c r="R2275" s="198"/>
      <c r="S2275" s="198"/>
      <c r="T2275" s="198"/>
      <c r="U2275" s="198"/>
      <c r="V2275" s="198"/>
      <c r="W2275" s="198"/>
      <c r="X2275" s="198"/>
    </row>
    <row r="2276" ht="12.0" customHeight="1">
      <c r="A2276" s="222" t="str">
        <f>IF(COUNTIFS(RC_OUT[BLOCK],RC_IN[BLOCK],RC_OUT[REMARKS],"*CLOSED*")&gt;0,"CLOSED",IF(COUNTIFS(RC_OUT[BLOCK],RC_IN[BLOCK],RC_OUT[WT],"&gt;0")&gt;0,"IN-USE",""))
</f>
        <v/>
      </c>
      <c r="B2276" s="223" t="str">
        <f>IFERROR(__xludf.DUMMYFUNCTION("IFERROR(IF(F2276&lt;&gt;"""",""WHSE ""&amp;LEFT(F2276,1),REGEXEXTRACT(E2276,""-(?:\d{2}-)?([A-Z]+)"")),"""")
"),"")</f>
        <v/>
      </c>
      <c r="C2276" s="224"/>
      <c r="D2276" s="219"/>
      <c r="E2276" s="225"/>
      <c r="F2276" s="225"/>
      <c r="G2276" s="226"/>
      <c r="H2276" s="225"/>
      <c r="I2276" s="227"/>
      <c r="J2276" s="228"/>
      <c r="K2276" s="229"/>
      <c r="L2276" s="229"/>
      <c r="M2276" s="229"/>
      <c r="N2276" s="230"/>
      <c r="O2276" s="228"/>
      <c r="P2276" s="230"/>
      <c r="Q2276" s="219"/>
      <c r="R2276" s="198"/>
      <c r="S2276" s="198"/>
      <c r="T2276" s="198"/>
      <c r="U2276" s="198"/>
      <c r="V2276" s="198"/>
      <c r="W2276" s="198"/>
      <c r="X2276" s="198"/>
    </row>
    <row r="2277" ht="12.0" customHeight="1">
      <c r="A2277" s="222" t="str">
        <f>IF(COUNTIFS(RC_OUT[BLOCK],RC_IN[BLOCK],RC_OUT[REMARKS],"*CLOSED*")&gt;0,"CLOSED",IF(COUNTIFS(RC_OUT[BLOCK],RC_IN[BLOCK],RC_OUT[WT],"&gt;0")&gt;0,"IN-USE",""))
</f>
        <v/>
      </c>
      <c r="B2277" s="223" t="str">
        <f>IFERROR(__xludf.DUMMYFUNCTION("IFERROR(IF(F2277&lt;&gt;"""",""WHSE ""&amp;LEFT(F2277,1),REGEXEXTRACT(E2277,""-(?:\d{2}-)?([A-Z]+)"")),"""")
"),"")</f>
        <v/>
      </c>
      <c r="C2277" s="224"/>
      <c r="D2277" s="219"/>
      <c r="E2277" s="225"/>
      <c r="F2277" s="225"/>
      <c r="G2277" s="226"/>
      <c r="H2277" s="225"/>
      <c r="I2277" s="227"/>
      <c r="J2277" s="228"/>
      <c r="K2277" s="229"/>
      <c r="L2277" s="229"/>
      <c r="M2277" s="229"/>
      <c r="N2277" s="230"/>
      <c r="O2277" s="228"/>
      <c r="P2277" s="230"/>
      <c r="Q2277" s="219"/>
      <c r="R2277" s="198"/>
      <c r="S2277" s="198"/>
      <c r="T2277" s="198"/>
      <c r="U2277" s="198"/>
      <c r="V2277" s="198"/>
      <c r="W2277" s="198"/>
      <c r="X2277" s="198"/>
    </row>
    <row r="2278" ht="12.0" customHeight="1">
      <c r="A2278" s="222" t="str">
        <f>IF(COUNTIFS(RC_OUT[BLOCK],RC_IN[BLOCK],RC_OUT[REMARKS],"*CLOSED*")&gt;0,"CLOSED",IF(COUNTIFS(RC_OUT[BLOCK],RC_IN[BLOCK],RC_OUT[WT],"&gt;0")&gt;0,"IN-USE",""))
</f>
        <v/>
      </c>
      <c r="B2278" s="223" t="str">
        <f>IFERROR(__xludf.DUMMYFUNCTION("IFERROR(IF(F2278&lt;&gt;"""",""WHSE ""&amp;LEFT(F2278,1),REGEXEXTRACT(E2278,""-(?:\d{2}-)?([A-Z]+)"")),"""")
"),"")</f>
        <v/>
      </c>
      <c r="C2278" s="224"/>
      <c r="D2278" s="219"/>
      <c r="E2278" s="225"/>
      <c r="F2278" s="225"/>
      <c r="G2278" s="226"/>
      <c r="H2278" s="225"/>
      <c r="I2278" s="227"/>
      <c r="J2278" s="228"/>
      <c r="K2278" s="229"/>
      <c r="L2278" s="229"/>
      <c r="M2278" s="229"/>
      <c r="N2278" s="230"/>
      <c r="O2278" s="228"/>
      <c r="P2278" s="230"/>
      <c r="Q2278" s="219"/>
      <c r="R2278" s="198"/>
      <c r="S2278" s="198"/>
      <c r="T2278" s="198"/>
      <c r="U2278" s="198"/>
      <c r="V2278" s="198"/>
      <c r="W2278" s="198"/>
      <c r="X2278" s="198"/>
    </row>
    <row r="2279" ht="12.0" customHeight="1">
      <c r="A2279" s="222" t="str">
        <f>IF(COUNTIFS(RC_OUT[BLOCK],RC_IN[BLOCK],RC_OUT[REMARKS],"*CLOSED*")&gt;0,"CLOSED",IF(COUNTIFS(RC_OUT[BLOCK],RC_IN[BLOCK],RC_OUT[WT],"&gt;0")&gt;0,"IN-USE",""))
</f>
        <v/>
      </c>
      <c r="B2279" s="223" t="str">
        <f>IFERROR(__xludf.DUMMYFUNCTION("IFERROR(IF(F2279&lt;&gt;"""",""WHSE ""&amp;LEFT(F2279,1),REGEXEXTRACT(E2279,""-(?:\d{2}-)?([A-Z]+)"")),"""")
"),"")</f>
        <v/>
      </c>
      <c r="C2279" s="224"/>
      <c r="D2279" s="219"/>
      <c r="E2279" s="225"/>
      <c r="F2279" s="225"/>
      <c r="G2279" s="226"/>
      <c r="H2279" s="225"/>
      <c r="I2279" s="227"/>
      <c r="J2279" s="228"/>
      <c r="K2279" s="229"/>
      <c r="L2279" s="229"/>
      <c r="M2279" s="229"/>
      <c r="N2279" s="230"/>
      <c r="O2279" s="228"/>
      <c r="P2279" s="230"/>
      <c r="Q2279" s="219"/>
      <c r="R2279" s="198"/>
      <c r="S2279" s="198"/>
      <c r="T2279" s="198"/>
      <c r="U2279" s="198"/>
      <c r="V2279" s="198"/>
      <c r="W2279" s="198"/>
      <c r="X2279" s="198"/>
    </row>
    <row r="2280" ht="12.0" customHeight="1">
      <c r="A2280" s="222" t="str">
        <f>IF(COUNTIFS(RC_OUT[BLOCK],RC_IN[BLOCK],RC_OUT[REMARKS],"*CLOSED*")&gt;0,"CLOSED",IF(COUNTIFS(RC_OUT[BLOCK],RC_IN[BLOCK],RC_OUT[WT],"&gt;0")&gt;0,"IN-USE",""))
</f>
        <v/>
      </c>
      <c r="B2280" s="223" t="str">
        <f>IFERROR(__xludf.DUMMYFUNCTION("IFERROR(IF(F2280&lt;&gt;"""",""WHSE ""&amp;LEFT(F2280,1),REGEXEXTRACT(E2280,""-(?:\d{2}-)?([A-Z]+)"")),"""")
"),"")</f>
        <v/>
      </c>
      <c r="C2280" s="224"/>
      <c r="D2280" s="219"/>
      <c r="E2280" s="225"/>
      <c r="F2280" s="225"/>
      <c r="G2280" s="226"/>
      <c r="H2280" s="225"/>
      <c r="I2280" s="227"/>
      <c r="J2280" s="228"/>
      <c r="K2280" s="229"/>
      <c r="L2280" s="229"/>
      <c r="M2280" s="229"/>
      <c r="N2280" s="230"/>
      <c r="O2280" s="228"/>
      <c r="P2280" s="230"/>
      <c r="Q2280" s="219"/>
      <c r="R2280" s="198"/>
      <c r="S2280" s="198"/>
      <c r="T2280" s="198"/>
      <c r="U2280" s="198"/>
      <c r="V2280" s="198"/>
      <c r="W2280" s="198"/>
      <c r="X2280" s="198"/>
    </row>
    <row r="2281" ht="12.0" customHeight="1">
      <c r="A2281" s="222" t="str">
        <f>IF(COUNTIFS(RC_OUT[BLOCK],RC_IN[BLOCK],RC_OUT[REMARKS],"*CLOSED*")&gt;0,"CLOSED",IF(COUNTIFS(RC_OUT[BLOCK],RC_IN[BLOCK],RC_OUT[WT],"&gt;0")&gt;0,"IN-USE",""))
</f>
        <v/>
      </c>
      <c r="B2281" s="223" t="str">
        <f>IFERROR(__xludf.DUMMYFUNCTION("IFERROR(IF(F2281&lt;&gt;"""",""WHSE ""&amp;LEFT(F2281,1),REGEXEXTRACT(E2281,""-(?:\d{2}-)?([A-Z]+)"")),"""")
"),"")</f>
        <v/>
      </c>
      <c r="C2281" s="224"/>
      <c r="D2281" s="219"/>
      <c r="E2281" s="225"/>
      <c r="F2281" s="225"/>
      <c r="G2281" s="226"/>
      <c r="H2281" s="225"/>
      <c r="I2281" s="227"/>
      <c r="J2281" s="228"/>
      <c r="K2281" s="229"/>
      <c r="L2281" s="229"/>
      <c r="M2281" s="229"/>
      <c r="N2281" s="230"/>
      <c r="O2281" s="228"/>
      <c r="P2281" s="230"/>
      <c r="Q2281" s="219"/>
      <c r="R2281" s="198"/>
      <c r="S2281" s="198"/>
      <c r="T2281" s="198"/>
      <c r="U2281" s="198"/>
      <c r="V2281" s="198"/>
      <c r="W2281" s="198"/>
      <c r="X2281" s="198"/>
    </row>
    <row r="2282" ht="12.0" customHeight="1">
      <c r="A2282" s="222" t="str">
        <f>IF(COUNTIFS(RC_OUT[BLOCK],RC_IN[BLOCK],RC_OUT[REMARKS],"*CLOSED*")&gt;0,"CLOSED",IF(COUNTIFS(RC_OUT[BLOCK],RC_IN[BLOCK],RC_OUT[WT],"&gt;0")&gt;0,"IN-USE",""))
</f>
        <v/>
      </c>
      <c r="B2282" s="223" t="str">
        <f>IFERROR(__xludf.DUMMYFUNCTION("IFERROR(IF(F2282&lt;&gt;"""",""WHSE ""&amp;LEFT(F2282,1),REGEXEXTRACT(E2282,""-(?:\d{2}-)?([A-Z]+)"")),"""")
"),"")</f>
        <v/>
      </c>
      <c r="C2282" s="224"/>
      <c r="D2282" s="219"/>
      <c r="E2282" s="225"/>
      <c r="F2282" s="225"/>
      <c r="G2282" s="226"/>
      <c r="H2282" s="225"/>
      <c r="I2282" s="227"/>
      <c r="J2282" s="228"/>
      <c r="K2282" s="229"/>
      <c r="L2282" s="229"/>
      <c r="M2282" s="229"/>
      <c r="N2282" s="230"/>
      <c r="O2282" s="228"/>
      <c r="P2282" s="230"/>
      <c r="Q2282" s="219"/>
      <c r="R2282" s="198"/>
      <c r="S2282" s="198"/>
      <c r="T2282" s="198"/>
      <c r="U2282" s="198"/>
      <c r="V2282" s="198"/>
      <c r="W2282" s="198"/>
      <c r="X2282" s="198"/>
    </row>
    <row r="2283" ht="12.0" customHeight="1">
      <c r="A2283" s="222" t="str">
        <f>IF(COUNTIFS(RC_OUT[BLOCK],RC_IN[BLOCK],RC_OUT[REMARKS],"*CLOSED*")&gt;0,"CLOSED",IF(COUNTIFS(RC_OUT[BLOCK],RC_IN[BLOCK],RC_OUT[WT],"&gt;0")&gt;0,"IN-USE",""))
</f>
        <v/>
      </c>
      <c r="B2283" s="223" t="str">
        <f>IFERROR(__xludf.DUMMYFUNCTION("IFERROR(IF(F2283&lt;&gt;"""",""WHSE ""&amp;LEFT(F2283,1),REGEXEXTRACT(E2283,""-(?:\d{2}-)?([A-Z]+)"")),"""")
"),"")</f>
        <v/>
      </c>
      <c r="C2283" s="224"/>
      <c r="D2283" s="219"/>
      <c r="E2283" s="225"/>
      <c r="F2283" s="225"/>
      <c r="G2283" s="226"/>
      <c r="H2283" s="225"/>
      <c r="I2283" s="227"/>
      <c r="J2283" s="228"/>
      <c r="K2283" s="229"/>
      <c r="L2283" s="229"/>
      <c r="M2283" s="229"/>
      <c r="N2283" s="230"/>
      <c r="O2283" s="228"/>
      <c r="P2283" s="230"/>
      <c r="Q2283" s="219"/>
      <c r="R2283" s="198"/>
      <c r="S2283" s="198"/>
      <c r="T2283" s="198"/>
      <c r="U2283" s="198"/>
      <c r="V2283" s="198"/>
      <c r="W2283" s="198"/>
      <c r="X2283" s="198"/>
    </row>
    <row r="2284" ht="12.0" customHeight="1">
      <c r="A2284" s="222" t="str">
        <f>IF(COUNTIFS(RC_OUT[BLOCK],RC_IN[BLOCK],RC_OUT[REMARKS],"*CLOSED*")&gt;0,"CLOSED",IF(COUNTIFS(RC_OUT[BLOCK],RC_IN[BLOCK],RC_OUT[WT],"&gt;0")&gt;0,"IN-USE",""))
</f>
        <v/>
      </c>
      <c r="B2284" s="223" t="str">
        <f>IFERROR(__xludf.DUMMYFUNCTION("IFERROR(IF(F2284&lt;&gt;"""",""WHSE ""&amp;LEFT(F2284,1),REGEXEXTRACT(E2284,""-(?:\d{2}-)?([A-Z]+)"")),"""")
"),"")</f>
        <v/>
      </c>
      <c r="C2284" s="224"/>
      <c r="D2284" s="219"/>
      <c r="E2284" s="225"/>
      <c r="F2284" s="225"/>
      <c r="G2284" s="226"/>
      <c r="H2284" s="225"/>
      <c r="I2284" s="227"/>
      <c r="J2284" s="228"/>
      <c r="K2284" s="229"/>
      <c r="L2284" s="229"/>
      <c r="M2284" s="229"/>
      <c r="N2284" s="230"/>
      <c r="O2284" s="228"/>
      <c r="P2284" s="230"/>
      <c r="Q2284" s="219"/>
      <c r="R2284" s="198"/>
      <c r="S2284" s="198"/>
      <c r="T2284" s="198"/>
      <c r="U2284" s="198"/>
      <c r="V2284" s="198"/>
      <c r="W2284" s="198"/>
      <c r="X2284" s="198"/>
    </row>
    <row r="2285" ht="12.0" customHeight="1">
      <c r="A2285" s="222" t="str">
        <f>IF(COUNTIFS(RC_OUT[BLOCK],RC_IN[BLOCK],RC_OUT[REMARKS],"*CLOSED*")&gt;0,"CLOSED",IF(COUNTIFS(RC_OUT[BLOCK],RC_IN[BLOCK],RC_OUT[WT],"&gt;0")&gt;0,"IN-USE",""))
</f>
        <v/>
      </c>
      <c r="B2285" s="223" t="str">
        <f>IFERROR(__xludf.DUMMYFUNCTION("IFERROR(IF(F2285&lt;&gt;"""",""WHSE ""&amp;LEFT(F2285,1),REGEXEXTRACT(E2285,""-(?:\d{2}-)?([A-Z]+)"")),"""")
"),"")</f>
        <v/>
      </c>
      <c r="C2285" s="224"/>
      <c r="D2285" s="219"/>
      <c r="E2285" s="225"/>
      <c r="F2285" s="225"/>
      <c r="G2285" s="226"/>
      <c r="H2285" s="225"/>
      <c r="I2285" s="227"/>
      <c r="J2285" s="228"/>
      <c r="K2285" s="229"/>
      <c r="L2285" s="229"/>
      <c r="M2285" s="229"/>
      <c r="N2285" s="230"/>
      <c r="O2285" s="228"/>
      <c r="P2285" s="230"/>
      <c r="Q2285" s="219"/>
      <c r="R2285" s="198"/>
      <c r="S2285" s="198"/>
      <c r="T2285" s="198"/>
      <c r="U2285" s="198"/>
      <c r="V2285" s="198"/>
      <c r="W2285" s="198"/>
      <c r="X2285" s="198"/>
    </row>
    <row r="2286" ht="12.0" customHeight="1">
      <c r="A2286" s="222" t="str">
        <f>IF(COUNTIFS(RC_OUT[BLOCK],RC_IN[BLOCK],RC_OUT[REMARKS],"*CLOSED*")&gt;0,"CLOSED",IF(COUNTIFS(RC_OUT[BLOCK],RC_IN[BLOCK],RC_OUT[WT],"&gt;0")&gt;0,"IN-USE",""))
</f>
        <v/>
      </c>
      <c r="B2286" s="223" t="str">
        <f>IFERROR(__xludf.DUMMYFUNCTION("IFERROR(IF(F2286&lt;&gt;"""",""WHSE ""&amp;LEFT(F2286,1),REGEXEXTRACT(E2286,""-(?:\d{2}-)?([A-Z]+)"")),"""")
"),"")</f>
        <v/>
      </c>
      <c r="C2286" s="224"/>
      <c r="D2286" s="219"/>
      <c r="E2286" s="225"/>
      <c r="F2286" s="225"/>
      <c r="G2286" s="226"/>
      <c r="H2286" s="225"/>
      <c r="I2286" s="227"/>
      <c r="J2286" s="228"/>
      <c r="K2286" s="229"/>
      <c r="L2286" s="229"/>
      <c r="M2286" s="229"/>
      <c r="N2286" s="230"/>
      <c r="O2286" s="228"/>
      <c r="P2286" s="230"/>
      <c r="Q2286" s="219"/>
      <c r="R2286" s="198"/>
      <c r="S2286" s="198"/>
      <c r="T2286" s="198"/>
      <c r="U2286" s="198"/>
      <c r="V2286" s="198"/>
      <c r="W2286" s="198"/>
      <c r="X2286" s="198"/>
    </row>
    <row r="2287" ht="12.0" customHeight="1">
      <c r="A2287" s="222" t="str">
        <f>IF(COUNTIFS(RC_OUT[BLOCK],RC_IN[BLOCK],RC_OUT[REMARKS],"*CLOSED*")&gt;0,"CLOSED",IF(COUNTIFS(RC_OUT[BLOCK],RC_IN[BLOCK],RC_OUT[WT],"&gt;0")&gt;0,"IN-USE",""))
</f>
        <v/>
      </c>
      <c r="B2287" s="223" t="str">
        <f>IFERROR(__xludf.DUMMYFUNCTION("IFERROR(IF(F2287&lt;&gt;"""",""WHSE ""&amp;LEFT(F2287,1),REGEXEXTRACT(E2287,""-(?:\d{2}-)?([A-Z]+)"")),"""")
"),"")</f>
        <v/>
      </c>
      <c r="C2287" s="224"/>
      <c r="D2287" s="219"/>
      <c r="E2287" s="225"/>
      <c r="F2287" s="225"/>
      <c r="G2287" s="226"/>
      <c r="H2287" s="225"/>
      <c r="I2287" s="227"/>
      <c r="J2287" s="228"/>
      <c r="K2287" s="229"/>
      <c r="L2287" s="229"/>
      <c r="M2287" s="229"/>
      <c r="N2287" s="230"/>
      <c r="O2287" s="228"/>
      <c r="P2287" s="230"/>
      <c r="Q2287" s="219"/>
      <c r="R2287" s="198"/>
      <c r="S2287" s="198"/>
      <c r="T2287" s="198"/>
      <c r="U2287" s="198"/>
      <c r="V2287" s="198"/>
      <c r="W2287" s="198"/>
      <c r="X2287" s="198"/>
    </row>
    <row r="2288" ht="12.0" customHeight="1">
      <c r="A2288" s="222" t="str">
        <f>IF(COUNTIFS(RC_OUT[BLOCK],RC_IN[BLOCK],RC_OUT[REMARKS],"*CLOSED*")&gt;0,"CLOSED",IF(COUNTIFS(RC_OUT[BLOCK],RC_IN[BLOCK],RC_OUT[WT],"&gt;0")&gt;0,"IN-USE",""))
</f>
        <v/>
      </c>
      <c r="B2288" s="223" t="str">
        <f>IFERROR(__xludf.DUMMYFUNCTION("IFERROR(IF(F2288&lt;&gt;"""",""WHSE ""&amp;LEFT(F2288,1),REGEXEXTRACT(E2288,""-(?:\d{2}-)?([A-Z]+)"")),"""")
"),"")</f>
        <v/>
      </c>
      <c r="C2288" s="224"/>
      <c r="D2288" s="219"/>
      <c r="E2288" s="225"/>
      <c r="F2288" s="225"/>
      <c r="G2288" s="226"/>
      <c r="H2288" s="225"/>
      <c r="I2288" s="227"/>
      <c r="J2288" s="228"/>
      <c r="K2288" s="229"/>
      <c r="L2288" s="229"/>
      <c r="M2288" s="229"/>
      <c r="N2288" s="230"/>
      <c r="O2288" s="228"/>
      <c r="P2288" s="230"/>
      <c r="Q2288" s="219"/>
      <c r="R2288" s="198"/>
      <c r="S2288" s="198"/>
      <c r="T2288" s="198"/>
      <c r="U2288" s="198"/>
      <c r="V2288" s="198"/>
      <c r="W2288" s="198"/>
      <c r="X2288" s="198"/>
    </row>
    <row r="2289" ht="12.0" customHeight="1">
      <c r="A2289" s="222" t="str">
        <f>IF(COUNTIFS(RC_OUT[BLOCK],RC_IN[BLOCK],RC_OUT[REMARKS],"*CLOSED*")&gt;0,"CLOSED",IF(COUNTIFS(RC_OUT[BLOCK],RC_IN[BLOCK],RC_OUT[WT],"&gt;0")&gt;0,"IN-USE",""))
</f>
        <v/>
      </c>
      <c r="B2289" s="223" t="str">
        <f>IFERROR(__xludf.DUMMYFUNCTION("IFERROR(IF(F2289&lt;&gt;"""",""WHSE ""&amp;LEFT(F2289,1),REGEXEXTRACT(E2289,""-(?:\d{2}-)?([A-Z]+)"")),"""")
"),"")</f>
        <v/>
      </c>
      <c r="C2289" s="224"/>
      <c r="D2289" s="219"/>
      <c r="E2289" s="225"/>
      <c r="F2289" s="225"/>
      <c r="G2289" s="226"/>
      <c r="H2289" s="225"/>
      <c r="I2289" s="227"/>
      <c r="J2289" s="228"/>
      <c r="K2289" s="229"/>
      <c r="L2289" s="229"/>
      <c r="M2289" s="229"/>
      <c r="N2289" s="230"/>
      <c r="O2289" s="228"/>
      <c r="P2289" s="230"/>
      <c r="Q2289" s="219"/>
      <c r="R2289" s="198"/>
      <c r="S2289" s="198"/>
      <c r="T2289" s="198"/>
      <c r="U2289" s="198"/>
      <c r="V2289" s="198"/>
      <c r="W2289" s="198"/>
      <c r="X2289" s="198"/>
    </row>
    <row r="2290" ht="12.0" customHeight="1">
      <c r="A2290" s="222" t="str">
        <f>IF(COUNTIFS(RC_OUT[BLOCK],RC_IN[BLOCK],RC_OUT[REMARKS],"*CLOSED*")&gt;0,"CLOSED",IF(COUNTIFS(RC_OUT[BLOCK],RC_IN[BLOCK],RC_OUT[WT],"&gt;0")&gt;0,"IN-USE",""))
</f>
        <v/>
      </c>
      <c r="B2290" s="223" t="str">
        <f>IFERROR(__xludf.DUMMYFUNCTION("IFERROR(IF(F2290&lt;&gt;"""",""WHSE ""&amp;LEFT(F2290,1),REGEXEXTRACT(E2290,""-(?:\d{2}-)?([A-Z]+)"")),"""")
"),"")</f>
        <v/>
      </c>
      <c r="C2290" s="224"/>
      <c r="D2290" s="219"/>
      <c r="E2290" s="225"/>
      <c r="F2290" s="225"/>
      <c r="G2290" s="226"/>
      <c r="H2290" s="225"/>
      <c r="I2290" s="227"/>
      <c r="J2290" s="228"/>
      <c r="K2290" s="229"/>
      <c r="L2290" s="229"/>
      <c r="M2290" s="229"/>
      <c r="N2290" s="230"/>
      <c r="O2290" s="228"/>
      <c r="P2290" s="230"/>
      <c r="Q2290" s="219"/>
      <c r="R2290" s="198"/>
      <c r="S2290" s="198"/>
      <c r="T2290" s="198"/>
      <c r="U2290" s="198"/>
      <c r="V2290" s="198"/>
      <c r="W2290" s="198"/>
      <c r="X2290" s="198"/>
    </row>
    <row r="2291" ht="12.0" customHeight="1">
      <c r="A2291" s="222" t="str">
        <f>IF(COUNTIFS(RC_OUT[BLOCK],RC_IN[BLOCK],RC_OUT[REMARKS],"*CLOSED*")&gt;0,"CLOSED",IF(COUNTIFS(RC_OUT[BLOCK],RC_IN[BLOCK],RC_OUT[WT],"&gt;0")&gt;0,"IN-USE",""))
</f>
        <v/>
      </c>
      <c r="B2291" s="223" t="str">
        <f>IFERROR(__xludf.DUMMYFUNCTION("IFERROR(IF(F2291&lt;&gt;"""",""WHSE ""&amp;LEFT(F2291,1),REGEXEXTRACT(E2291,""-(?:\d{2}-)?([A-Z]+)"")),"""")
"),"")</f>
        <v/>
      </c>
      <c r="C2291" s="224"/>
      <c r="D2291" s="219"/>
      <c r="E2291" s="225"/>
      <c r="F2291" s="225"/>
      <c r="G2291" s="226"/>
      <c r="H2291" s="225"/>
      <c r="I2291" s="227"/>
      <c r="J2291" s="228"/>
      <c r="K2291" s="229"/>
      <c r="L2291" s="229"/>
      <c r="M2291" s="229"/>
      <c r="N2291" s="230"/>
      <c r="O2291" s="228"/>
      <c r="P2291" s="230"/>
      <c r="Q2291" s="219"/>
      <c r="R2291" s="198"/>
      <c r="S2291" s="198"/>
      <c r="T2291" s="198"/>
      <c r="U2291" s="198"/>
      <c r="V2291" s="198"/>
      <c r="W2291" s="198"/>
      <c r="X2291" s="198"/>
    </row>
    <row r="2292" ht="12.0" customHeight="1">
      <c r="A2292" s="222" t="str">
        <f>IF(COUNTIFS(RC_OUT[BLOCK],RC_IN[BLOCK],RC_OUT[REMARKS],"*CLOSED*")&gt;0,"CLOSED",IF(COUNTIFS(RC_OUT[BLOCK],RC_IN[BLOCK],RC_OUT[WT],"&gt;0")&gt;0,"IN-USE",""))
</f>
        <v/>
      </c>
      <c r="B2292" s="223" t="str">
        <f>IFERROR(__xludf.DUMMYFUNCTION("IFERROR(IF(F2292&lt;&gt;"""",""WHSE ""&amp;LEFT(F2292,1),REGEXEXTRACT(E2292,""-(?:\d{2}-)?([A-Z]+)"")),"""")
"),"")</f>
        <v/>
      </c>
      <c r="C2292" s="224"/>
      <c r="D2292" s="219"/>
      <c r="E2292" s="225"/>
      <c r="F2292" s="225"/>
      <c r="G2292" s="226"/>
      <c r="H2292" s="225"/>
      <c r="I2292" s="227"/>
      <c r="J2292" s="228"/>
      <c r="K2292" s="229"/>
      <c r="L2292" s="229"/>
      <c r="M2292" s="229"/>
      <c r="N2292" s="230"/>
      <c r="O2292" s="228"/>
      <c r="P2292" s="230"/>
      <c r="Q2292" s="219"/>
      <c r="R2292" s="198"/>
      <c r="S2292" s="198"/>
      <c r="T2292" s="198"/>
      <c r="U2292" s="198"/>
      <c r="V2292" s="198"/>
      <c r="W2292" s="198"/>
      <c r="X2292" s="198"/>
    </row>
    <row r="2293" ht="12.0" customHeight="1">
      <c r="A2293" s="222" t="str">
        <f>IF(COUNTIFS(RC_OUT[BLOCK],RC_IN[BLOCK],RC_OUT[REMARKS],"*CLOSED*")&gt;0,"CLOSED",IF(COUNTIFS(RC_OUT[BLOCK],RC_IN[BLOCK],RC_OUT[WT],"&gt;0")&gt;0,"IN-USE",""))
</f>
        <v/>
      </c>
      <c r="B2293" s="223" t="str">
        <f>IFERROR(__xludf.DUMMYFUNCTION("IFERROR(IF(F2293&lt;&gt;"""",""WHSE ""&amp;LEFT(F2293,1),REGEXEXTRACT(E2293,""-(?:\d{2}-)?([A-Z]+)"")),"""")
"),"")</f>
        <v/>
      </c>
      <c r="C2293" s="224"/>
      <c r="D2293" s="219"/>
      <c r="E2293" s="225"/>
      <c r="F2293" s="225"/>
      <c r="G2293" s="226"/>
      <c r="H2293" s="225"/>
      <c r="I2293" s="227"/>
      <c r="J2293" s="228"/>
      <c r="K2293" s="229"/>
      <c r="L2293" s="229"/>
      <c r="M2293" s="229"/>
      <c r="N2293" s="230"/>
      <c r="O2293" s="228"/>
      <c r="P2293" s="230"/>
      <c r="Q2293" s="219"/>
      <c r="R2293" s="198"/>
      <c r="S2293" s="198"/>
      <c r="T2293" s="198"/>
      <c r="U2293" s="198"/>
      <c r="V2293" s="198"/>
      <c r="W2293" s="198"/>
      <c r="X2293" s="198"/>
    </row>
    <row r="2294" ht="12.0" customHeight="1">
      <c r="A2294" s="222" t="str">
        <f>IF(COUNTIFS(RC_OUT[BLOCK],RC_IN[BLOCK],RC_OUT[REMARKS],"*CLOSED*")&gt;0,"CLOSED",IF(COUNTIFS(RC_OUT[BLOCK],RC_IN[BLOCK],RC_OUT[WT],"&gt;0")&gt;0,"IN-USE",""))
</f>
        <v/>
      </c>
      <c r="B2294" s="223" t="str">
        <f>IFERROR(__xludf.DUMMYFUNCTION("IFERROR(IF(F2294&lt;&gt;"""",""WHSE ""&amp;LEFT(F2294,1),REGEXEXTRACT(E2294,""-(?:\d{2}-)?([A-Z]+)"")),"""")
"),"")</f>
        <v/>
      </c>
      <c r="C2294" s="224"/>
      <c r="D2294" s="219"/>
      <c r="E2294" s="225"/>
      <c r="F2294" s="225"/>
      <c r="G2294" s="226"/>
      <c r="H2294" s="225"/>
      <c r="I2294" s="227"/>
      <c r="J2294" s="228"/>
      <c r="K2294" s="229"/>
      <c r="L2294" s="229"/>
      <c r="M2294" s="229"/>
      <c r="N2294" s="230"/>
      <c r="O2294" s="228"/>
      <c r="P2294" s="230"/>
      <c r="Q2294" s="219"/>
      <c r="R2294" s="198"/>
      <c r="S2294" s="198"/>
      <c r="T2294" s="198"/>
      <c r="U2294" s="198"/>
      <c r="V2294" s="198"/>
      <c r="W2294" s="198"/>
      <c r="X2294" s="198"/>
    </row>
    <row r="2295" ht="12.0" customHeight="1">
      <c r="A2295" s="222" t="str">
        <f>IF(COUNTIFS(RC_OUT[BLOCK],RC_IN[BLOCK],RC_OUT[REMARKS],"*CLOSED*")&gt;0,"CLOSED",IF(COUNTIFS(RC_OUT[BLOCK],RC_IN[BLOCK],RC_OUT[WT],"&gt;0")&gt;0,"IN-USE",""))
</f>
        <v/>
      </c>
      <c r="B2295" s="223" t="str">
        <f>IFERROR(__xludf.DUMMYFUNCTION("IFERROR(IF(F2295&lt;&gt;"""",""WHSE ""&amp;LEFT(F2295,1),REGEXEXTRACT(E2295,""-(?:\d{2}-)?([A-Z]+)"")),"""")
"),"")</f>
        <v/>
      </c>
      <c r="C2295" s="224"/>
      <c r="D2295" s="219"/>
      <c r="E2295" s="225"/>
      <c r="F2295" s="225"/>
      <c r="G2295" s="226"/>
      <c r="H2295" s="225"/>
      <c r="I2295" s="227"/>
      <c r="J2295" s="228"/>
      <c r="K2295" s="229"/>
      <c r="L2295" s="229"/>
      <c r="M2295" s="229"/>
      <c r="N2295" s="230"/>
      <c r="O2295" s="228"/>
      <c r="P2295" s="230"/>
      <c r="Q2295" s="219"/>
      <c r="R2295" s="198"/>
      <c r="S2295" s="198"/>
      <c r="T2295" s="198"/>
      <c r="U2295" s="198"/>
      <c r="V2295" s="198"/>
      <c r="W2295" s="198"/>
      <c r="X2295" s="198"/>
    </row>
    <row r="2296" ht="12.0" customHeight="1">
      <c r="A2296" s="222" t="str">
        <f>IF(COUNTIFS(RC_OUT[BLOCK],RC_IN[BLOCK],RC_OUT[REMARKS],"*CLOSED*")&gt;0,"CLOSED",IF(COUNTIFS(RC_OUT[BLOCK],RC_IN[BLOCK],RC_OUT[WT],"&gt;0")&gt;0,"IN-USE",""))
</f>
        <v/>
      </c>
      <c r="B2296" s="223" t="str">
        <f>IFERROR(__xludf.DUMMYFUNCTION("IFERROR(IF(F2296&lt;&gt;"""",""WHSE ""&amp;LEFT(F2296,1),REGEXEXTRACT(E2296,""-(?:\d{2}-)?([A-Z]+)"")),"""")
"),"")</f>
        <v/>
      </c>
      <c r="C2296" s="224"/>
      <c r="D2296" s="219"/>
      <c r="E2296" s="225"/>
      <c r="F2296" s="225"/>
      <c r="G2296" s="226"/>
      <c r="H2296" s="225"/>
      <c r="I2296" s="227"/>
      <c r="J2296" s="228"/>
      <c r="K2296" s="229"/>
      <c r="L2296" s="229"/>
      <c r="M2296" s="229"/>
      <c r="N2296" s="230"/>
      <c r="O2296" s="228"/>
      <c r="P2296" s="230"/>
      <c r="Q2296" s="219"/>
      <c r="R2296" s="198"/>
      <c r="S2296" s="198"/>
      <c r="T2296" s="198"/>
      <c r="U2296" s="198"/>
      <c r="V2296" s="198"/>
      <c r="W2296" s="198"/>
      <c r="X2296" s="198"/>
    </row>
    <row r="2297" ht="12.0" customHeight="1">
      <c r="A2297" s="222" t="str">
        <f>IF(COUNTIFS(RC_OUT[BLOCK],RC_IN[BLOCK],RC_OUT[REMARKS],"*CLOSED*")&gt;0,"CLOSED",IF(COUNTIFS(RC_OUT[BLOCK],RC_IN[BLOCK],RC_OUT[WT],"&gt;0")&gt;0,"IN-USE",""))
</f>
        <v/>
      </c>
      <c r="B2297" s="223" t="str">
        <f>IFERROR(__xludf.DUMMYFUNCTION("IFERROR(IF(F2297&lt;&gt;"""",""WHSE ""&amp;LEFT(F2297,1),REGEXEXTRACT(E2297,""-(?:\d{2}-)?([A-Z]+)"")),"""")
"),"")</f>
        <v/>
      </c>
      <c r="C2297" s="224"/>
      <c r="D2297" s="219"/>
      <c r="E2297" s="225"/>
      <c r="F2297" s="225"/>
      <c r="G2297" s="226"/>
      <c r="H2297" s="225"/>
      <c r="I2297" s="227"/>
      <c r="J2297" s="228"/>
      <c r="K2297" s="229"/>
      <c r="L2297" s="229"/>
      <c r="M2297" s="229"/>
      <c r="N2297" s="230"/>
      <c r="O2297" s="228"/>
      <c r="P2297" s="230"/>
      <c r="Q2297" s="219"/>
      <c r="R2297" s="198"/>
      <c r="S2297" s="198"/>
      <c r="T2297" s="198"/>
      <c r="U2297" s="198"/>
      <c r="V2297" s="198"/>
      <c r="W2297" s="198"/>
      <c r="X2297" s="198"/>
    </row>
    <row r="2298" ht="12.0" customHeight="1">
      <c r="A2298" s="222" t="str">
        <f>IF(COUNTIFS(RC_OUT[BLOCK],RC_IN[BLOCK],RC_OUT[REMARKS],"*CLOSED*")&gt;0,"CLOSED",IF(COUNTIFS(RC_OUT[BLOCK],RC_IN[BLOCK],RC_OUT[WT],"&gt;0")&gt;0,"IN-USE",""))
</f>
        <v/>
      </c>
      <c r="B2298" s="223" t="str">
        <f>IFERROR(__xludf.DUMMYFUNCTION("IFERROR(IF(F2298&lt;&gt;"""",""WHSE ""&amp;LEFT(F2298,1),REGEXEXTRACT(E2298,""-(?:\d{2}-)?([A-Z]+)"")),"""")
"),"")</f>
        <v/>
      </c>
      <c r="C2298" s="224"/>
      <c r="D2298" s="219"/>
      <c r="E2298" s="225"/>
      <c r="F2298" s="225"/>
      <c r="G2298" s="226"/>
      <c r="H2298" s="225"/>
      <c r="I2298" s="227"/>
      <c r="J2298" s="228"/>
      <c r="K2298" s="229"/>
      <c r="L2298" s="229"/>
      <c r="M2298" s="229"/>
      <c r="N2298" s="230"/>
      <c r="O2298" s="228"/>
      <c r="P2298" s="230"/>
      <c r="Q2298" s="219"/>
      <c r="R2298" s="198"/>
      <c r="S2298" s="198"/>
      <c r="T2298" s="198"/>
      <c r="U2298" s="198"/>
      <c r="V2298" s="198"/>
      <c r="W2298" s="198"/>
      <c r="X2298" s="198"/>
    </row>
    <row r="2299" ht="12.0" customHeight="1">
      <c r="A2299" s="222" t="str">
        <f>IF(COUNTIFS(RC_OUT[BLOCK],RC_IN[BLOCK],RC_OUT[REMARKS],"*CLOSED*")&gt;0,"CLOSED",IF(COUNTIFS(RC_OUT[BLOCK],RC_IN[BLOCK],RC_OUT[WT],"&gt;0")&gt;0,"IN-USE",""))
</f>
        <v/>
      </c>
      <c r="B2299" s="223" t="str">
        <f>IFERROR(__xludf.DUMMYFUNCTION("IFERROR(IF(F2299&lt;&gt;"""",""WHSE ""&amp;LEFT(F2299,1),REGEXEXTRACT(E2299,""-(?:\d{2}-)?([A-Z]+)"")),"""")
"),"")</f>
        <v/>
      </c>
      <c r="C2299" s="224"/>
      <c r="D2299" s="219"/>
      <c r="E2299" s="225"/>
      <c r="F2299" s="225"/>
      <c r="G2299" s="226"/>
      <c r="H2299" s="225"/>
      <c r="I2299" s="227"/>
      <c r="J2299" s="228"/>
      <c r="K2299" s="229"/>
      <c r="L2299" s="229"/>
      <c r="M2299" s="229"/>
      <c r="N2299" s="230"/>
      <c r="O2299" s="228"/>
      <c r="P2299" s="230"/>
      <c r="Q2299" s="219"/>
      <c r="R2299" s="198"/>
      <c r="S2299" s="198"/>
      <c r="T2299" s="198"/>
      <c r="U2299" s="198"/>
      <c r="V2299" s="198"/>
      <c r="W2299" s="198"/>
      <c r="X2299" s="198"/>
    </row>
    <row r="2300" ht="12.0" customHeight="1">
      <c r="A2300" s="222" t="str">
        <f>IF(COUNTIFS(RC_OUT[BLOCK],RC_IN[BLOCK],RC_OUT[REMARKS],"*CLOSED*")&gt;0,"CLOSED",IF(COUNTIFS(RC_OUT[BLOCK],RC_IN[BLOCK],RC_OUT[WT],"&gt;0")&gt;0,"IN-USE",""))
</f>
        <v/>
      </c>
      <c r="B2300" s="223" t="str">
        <f>IFERROR(__xludf.DUMMYFUNCTION("IFERROR(IF(F2300&lt;&gt;"""",""WHSE ""&amp;LEFT(F2300,1),REGEXEXTRACT(E2300,""-(?:\d{2}-)?([A-Z]+)"")),"""")
"),"")</f>
        <v/>
      </c>
      <c r="C2300" s="224"/>
      <c r="D2300" s="219"/>
      <c r="E2300" s="225"/>
      <c r="F2300" s="225"/>
      <c r="G2300" s="226"/>
      <c r="H2300" s="225"/>
      <c r="I2300" s="227"/>
      <c r="J2300" s="228"/>
      <c r="K2300" s="229"/>
      <c r="L2300" s="229"/>
      <c r="M2300" s="229"/>
      <c r="N2300" s="230"/>
      <c r="O2300" s="228"/>
      <c r="P2300" s="230"/>
      <c r="Q2300" s="219"/>
      <c r="R2300" s="198"/>
      <c r="S2300" s="198"/>
      <c r="T2300" s="198"/>
      <c r="U2300" s="198"/>
      <c r="V2300" s="198"/>
      <c r="W2300" s="198"/>
      <c r="X2300" s="198"/>
    </row>
    <row r="2301" ht="12.0" customHeight="1">
      <c r="A2301" s="222" t="str">
        <f>IF(COUNTIFS(RC_OUT[BLOCK],RC_IN[BLOCK],RC_OUT[REMARKS],"*CLOSED*")&gt;0,"CLOSED",IF(COUNTIFS(RC_OUT[BLOCK],RC_IN[BLOCK],RC_OUT[WT],"&gt;0")&gt;0,"IN-USE",""))
</f>
        <v/>
      </c>
      <c r="B2301" s="223" t="str">
        <f>IFERROR(__xludf.DUMMYFUNCTION("IFERROR(IF(F2301&lt;&gt;"""",""WHSE ""&amp;LEFT(F2301,1),REGEXEXTRACT(E2301,""-(?:\d{2}-)?([A-Z]+)"")),"""")
"),"")</f>
        <v/>
      </c>
      <c r="C2301" s="224"/>
      <c r="D2301" s="219"/>
      <c r="E2301" s="225"/>
      <c r="F2301" s="225"/>
      <c r="G2301" s="226"/>
      <c r="H2301" s="225"/>
      <c r="I2301" s="227"/>
      <c r="J2301" s="228"/>
      <c r="K2301" s="229"/>
      <c r="L2301" s="229"/>
      <c r="M2301" s="229"/>
      <c r="N2301" s="230"/>
      <c r="O2301" s="228"/>
      <c r="P2301" s="230"/>
      <c r="Q2301" s="219"/>
      <c r="R2301" s="198"/>
      <c r="S2301" s="198"/>
      <c r="T2301" s="198"/>
      <c r="U2301" s="198"/>
      <c r="V2301" s="198"/>
      <c r="W2301" s="198"/>
      <c r="X2301" s="198"/>
    </row>
    <row r="2302" ht="12.0" customHeight="1">
      <c r="A2302" s="222" t="str">
        <f>IF(COUNTIFS(RC_OUT[BLOCK],RC_IN[BLOCK],RC_OUT[REMARKS],"*CLOSED*")&gt;0,"CLOSED",IF(COUNTIFS(RC_OUT[BLOCK],RC_IN[BLOCK],RC_OUT[WT],"&gt;0")&gt;0,"IN-USE",""))
</f>
        <v/>
      </c>
      <c r="B2302" s="223" t="str">
        <f>IFERROR(__xludf.DUMMYFUNCTION("IFERROR(IF(F2302&lt;&gt;"""",""WHSE ""&amp;LEFT(F2302,1),REGEXEXTRACT(E2302,""-(?:\d{2}-)?([A-Z]+)"")),"""")
"),"")</f>
        <v/>
      </c>
      <c r="C2302" s="224"/>
      <c r="D2302" s="219"/>
      <c r="E2302" s="225"/>
      <c r="F2302" s="225"/>
      <c r="G2302" s="226"/>
      <c r="H2302" s="225"/>
      <c r="I2302" s="227"/>
      <c r="J2302" s="228"/>
      <c r="K2302" s="229"/>
      <c r="L2302" s="229"/>
      <c r="M2302" s="229"/>
      <c r="N2302" s="230"/>
      <c r="O2302" s="228"/>
      <c r="P2302" s="230"/>
      <c r="Q2302" s="219"/>
      <c r="R2302" s="198"/>
      <c r="S2302" s="198"/>
      <c r="T2302" s="198"/>
      <c r="U2302" s="198"/>
      <c r="V2302" s="198"/>
      <c r="W2302" s="198"/>
      <c r="X2302" s="198"/>
    </row>
    <row r="2303" ht="12.0" customHeight="1">
      <c r="A2303" s="222" t="str">
        <f>IF(COUNTIFS(RC_OUT[BLOCK],RC_IN[BLOCK],RC_OUT[REMARKS],"*CLOSED*")&gt;0,"CLOSED",IF(COUNTIFS(RC_OUT[BLOCK],RC_IN[BLOCK],RC_OUT[WT],"&gt;0")&gt;0,"IN-USE",""))
</f>
        <v/>
      </c>
      <c r="B2303" s="223" t="str">
        <f>IFERROR(__xludf.DUMMYFUNCTION("IFERROR(IF(F2303&lt;&gt;"""",""WHSE ""&amp;LEFT(F2303,1),REGEXEXTRACT(E2303,""-(?:\d{2}-)?([A-Z]+)"")),"""")
"),"")</f>
        <v/>
      </c>
      <c r="C2303" s="224"/>
      <c r="D2303" s="219"/>
      <c r="E2303" s="225"/>
      <c r="F2303" s="225"/>
      <c r="G2303" s="226"/>
      <c r="H2303" s="225"/>
      <c r="I2303" s="227"/>
      <c r="J2303" s="228"/>
      <c r="K2303" s="229"/>
      <c r="L2303" s="229"/>
      <c r="M2303" s="229"/>
      <c r="N2303" s="230"/>
      <c r="O2303" s="228"/>
      <c r="P2303" s="230"/>
      <c r="Q2303" s="219"/>
      <c r="R2303" s="198"/>
      <c r="S2303" s="198"/>
      <c r="T2303" s="198"/>
      <c r="U2303" s="198"/>
      <c r="V2303" s="198"/>
      <c r="W2303" s="198"/>
      <c r="X2303" s="198"/>
    </row>
    <row r="2304" ht="12.0" customHeight="1">
      <c r="A2304" s="222" t="str">
        <f>IF(COUNTIFS(RC_OUT[BLOCK],RC_IN[BLOCK],RC_OUT[REMARKS],"*CLOSED*")&gt;0,"CLOSED",IF(COUNTIFS(RC_OUT[BLOCK],RC_IN[BLOCK],RC_OUT[WT],"&gt;0")&gt;0,"IN-USE",""))
</f>
        <v/>
      </c>
      <c r="B2304" s="223" t="str">
        <f>IFERROR(__xludf.DUMMYFUNCTION("IFERROR(IF(F2304&lt;&gt;"""",""WHSE ""&amp;LEFT(F2304,1),REGEXEXTRACT(E2304,""-(?:\d{2}-)?([A-Z]+)"")),"""")
"),"")</f>
        <v/>
      </c>
      <c r="C2304" s="224"/>
      <c r="D2304" s="219"/>
      <c r="E2304" s="225"/>
      <c r="F2304" s="225"/>
      <c r="G2304" s="226"/>
      <c r="H2304" s="225"/>
      <c r="I2304" s="227"/>
      <c r="J2304" s="228"/>
      <c r="K2304" s="229"/>
      <c r="L2304" s="229"/>
      <c r="M2304" s="229"/>
      <c r="N2304" s="230"/>
      <c r="O2304" s="228"/>
      <c r="P2304" s="230"/>
      <c r="Q2304" s="219"/>
      <c r="R2304" s="198"/>
      <c r="S2304" s="198"/>
      <c r="T2304" s="198"/>
      <c r="U2304" s="198"/>
      <c r="V2304" s="198"/>
      <c r="W2304" s="198"/>
      <c r="X2304" s="198"/>
    </row>
    <row r="2305" ht="12.0" customHeight="1">
      <c r="A2305" s="222" t="str">
        <f>IF(COUNTIFS(RC_OUT[BLOCK],RC_IN[BLOCK],RC_OUT[REMARKS],"*CLOSED*")&gt;0,"CLOSED",IF(COUNTIFS(RC_OUT[BLOCK],RC_IN[BLOCK],RC_OUT[WT],"&gt;0")&gt;0,"IN-USE",""))
</f>
        <v/>
      </c>
      <c r="B2305" s="223" t="str">
        <f>IFERROR(__xludf.DUMMYFUNCTION("IFERROR(IF(F2305&lt;&gt;"""",""WHSE ""&amp;LEFT(F2305,1),REGEXEXTRACT(E2305,""-(?:\d{2}-)?([A-Z]+)"")),"""")
"),"")</f>
        <v/>
      </c>
      <c r="C2305" s="224"/>
      <c r="D2305" s="219"/>
      <c r="E2305" s="225"/>
      <c r="F2305" s="225"/>
      <c r="G2305" s="226"/>
      <c r="H2305" s="225"/>
      <c r="I2305" s="227"/>
      <c r="J2305" s="228"/>
      <c r="K2305" s="229"/>
      <c r="L2305" s="229"/>
      <c r="M2305" s="229"/>
      <c r="N2305" s="230"/>
      <c r="O2305" s="228"/>
      <c r="P2305" s="230"/>
      <c r="Q2305" s="219"/>
      <c r="R2305" s="198"/>
      <c r="S2305" s="198"/>
      <c r="T2305" s="198"/>
      <c r="U2305" s="198"/>
      <c r="V2305" s="198"/>
      <c r="W2305" s="198"/>
      <c r="X2305" s="198"/>
    </row>
    <row r="2306" ht="12.0" customHeight="1">
      <c r="A2306" s="222" t="str">
        <f>IF(COUNTIFS(RC_OUT[BLOCK],RC_IN[BLOCK],RC_OUT[REMARKS],"*CLOSED*")&gt;0,"CLOSED",IF(COUNTIFS(RC_OUT[BLOCK],RC_IN[BLOCK],RC_OUT[WT],"&gt;0")&gt;0,"IN-USE",""))
</f>
        <v/>
      </c>
      <c r="B2306" s="223" t="str">
        <f>IFERROR(__xludf.DUMMYFUNCTION("IFERROR(IF(F2306&lt;&gt;"""",""WHSE ""&amp;LEFT(F2306,1),REGEXEXTRACT(E2306,""-(?:\d{2}-)?([A-Z]+)"")),"""")
"),"")</f>
        <v/>
      </c>
      <c r="C2306" s="224"/>
      <c r="D2306" s="219"/>
      <c r="E2306" s="225"/>
      <c r="F2306" s="225"/>
      <c r="G2306" s="226"/>
      <c r="H2306" s="225"/>
      <c r="I2306" s="227"/>
      <c r="J2306" s="228"/>
      <c r="K2306" s="229"/>
      <c r="L2306" s="229"/>
      <c r="M2306" s="229"/>
      <c r="N2306" s="230"/>
      <c r="O2306" s="228"/>
      <c r="P2306" s="230"/>
      <c r="Q2306" s="219"/>
      <c r="R2306" s="198"/>
      <c r="S2306" s="198"/>
      <c r="T2306" s="198"/>
      <c r="U2306" s="198"/>
      <c r="V2306" s="198"/>
      <c r="W2306" s="198"/>
      <c r="X2306" s="198"/>
    </row>
    <row r="2307" ht="12.0" customHeight="1">
      <c r="A2307" s="222" t="str">
        <f>IF(COUNTIFS(RC_OUT[BLOCK],RC_IN[BLOCK],RC_OUT[REMARKS],"*CLOSED*")&gt;0,"CLOSED",IF(COUNTIFS(RC_OUT[BLOCK],RC_IN[BLOCK],RC_OUT[WT],"&gt;0")&gt;0,"IN-USE",""))
</f>
        <v/>
      </c>
      <c r="B2307" s="223" t="str">
        <f>IFERROR(__xludf.DUMMYFUNCTION("IFERROR(IF(F2307&lt;&gt;"""",""WHSE ""&amp;LEFT(F2307,1),REGEXEXTRACT(E2307,""-(?:\d{2}-)?([A-Z]+)"")),"""")
"),"")</f>
        <v/>
      </c>
      <c r="C2307" s="224"/>
      <c r="D2307" s="219"/>
      <c r="E2307" s="225"/>
      <c r="F2307" s="225"/>
      <c r="G2307" s="226"/>
      <c r="H2307" s="225"/>
      <c r="I2307" s="227"/>
      <c r="J2307" s="228"/>
      <c r="K2307" s="229"/>
      <c r="L2307" s="229"/>
      <c r="M2307" s="229"/>
      <c r="N2307" s="230"/>
      <c r="O2307" s="228"/>
      <c r="P2307" s="230"/>
      <c r="Q2307" s="219"/>
      <c r="R2307" s="198"/>
      <c r="S2307" s="198"/>
      <c r="T2307" s="198"/>
      <c r="U2307" s="198"/>
      <c r="V2307" s="198"/>
      <c r="W2307" s="198"/>
      <c r="X2307" s="198"/>
    </row>
    <row r="2308" ht="12.0" customHeight="1">
      <c r="A2308" s="222" t="str">
        <f>IF(COUNTIFS(RC_OUT[BLOCK],RC_IN[BLOCK],RC_OUT[REMARKS],"*CLOSED*")&gt;0,"CLOSED",IF(COUNTIFS(RC_OUT[BLOCK],RC_IN[BLOCK],RC_OUT[WT],"&gt;0")&gt;0,"IN-USE",""))
</f>
        <v/>
      </c>
      <c r="B2308" s="223" t="str">
        <f>IFERROR(__xludf.DUMMYFUNCTION("IFERROR(IF(F2308&lt;&gt;"""",""WHSE ""&amp;LEFT(F2308,1),REGEXEXTRACT(E2308,""-(?:\d{2}-)?([A-Z]+)"")),"""")
"),"")</f>
        <v/>
      </c>
      <c r="C2308" s="224"/>
      <c r="D2308" s="219"/>
      <c r="E2308" s="225"/>
      <c r="F2308" s="225"/>
      <c r="G2308" s="226"/>
      <c r="H2308" s="225"/>
      <c r="I2308" s="227"/>
      <c r="J2308" s="228"/>
      <c r="K2308" s="229"/>
      <c r="L2308" s="229"/>
      <c r="M2308" s="229"/>
      <c r="N2308" s="230"/>
      <c r="O2308" s="228"/>
      <c r="P2308" s="230"/>
      <c r="Q2308" s="219"/>
      <c r="R2308" s="198"/>
      <c r="S2308" s="198"/>
      <c r="T2308" s="198"/>
      <c r="U2308" s="198"/>
      <c r="V2308" s="198"/>
      <c r="W2308" s="198"/>
      <c r="X2308" s="198"/>
    </row>
    <row r="2309" ht="12.0" customHeight="1">
      <c r="A2309" s="222" t="str">
        <f>IF(COUNTIFS(RC_OUT[BLOCK],RC_IN[BLOCK],RC_OUT[REMARKS],"*CLOSED*")&gt;0,"CLOSED",IF(COUNTIFS(RC_OUT[BLOCK],RC_IN[BLOCK],RC_OUT[WT],"&gt;0")&gt;0,"IN-USE",""))
</f>
        <v/>
      </c>
      <c r="B2309" s="223" t="str">
        <f>IFERROR(__xludf.DUMMYFUNCTION("IFERROR(IF(F2309&lt;&gt;"""",""WHSE ""&amp;LEFT(F2309,1),REGEXEXTRACT(E2309,""-(?:\d{2}-)?([A-Z]+)"")),"""")
"),"")</f>
        <v/>
      </c>
      <c r="C2309" s="224"/>
      <c r="D2309" s="219"/>
      <c r="E2309" s="225"/>
      <c r="F2309" s="225"/>
      <c r="G2309" s="226"/>
      <c r="H2309" s="225"/>
      <c r="I2309" s="227"/>
      <c r="J2309" s="228"/>
      <c r="K2309" s="229"/>
      <c r="L2309" s="229"/>
      <c r="M2309" s="229"/>
      <c r="N2309" s="230"/>
      <c r="O2309" s="228"/>
      <c r="P2309" s="230"/>
      <c r="Q2309" s="219"/>
      <c r="R2309" s="198"/>
      <c r="S2309" s="198"/>
      <c r="T2309" s="198"/>
      <c r="U2309" s="198"/>
      <c r="V2309" s="198"/>
      <c r="W2309" s="198"/>
      <c r="X2309" s="198"/>
    </row>
    <row r="2310" ht="12.0" customHeight="1">
      <c r="A2310" s="222" t="str">
        <f>IF(COUNTIFS(RC_OUT[BLOCK],RC_IN[BLOCK],RC_OUT[REMARKS],"*CLOSED*")&gt;0,"CLOSED",IF(COUNTIFS(RC_OUT[BLOCK],RC_IN[BLOCK],RC_OUT[WT],"&gt;0")&gt;0,"IN-USE",""))
</f>
        <v/>
      </c>
      <c r="B2310" s="223" t="str">
        <f>IFERROR(__xludf.DUMMYFUNCTION("IFERROR(IF(F2310&lt;&gt;"""",""WHSE ""&amp;LEFT(F2310,1),REGEXEXTRACT(E2310,""-(?:\d{2}-)?([A-Z]+)"")),"""")
"),"")</f>
        <v/>
      </c>
      <c r="C2310" s="224"/>
      <c r="D2310" s="219"/>
      <c r="E2310" s="225"/>
      <c r="F2310" s="225"/>
      <c r="G2310" s="226"/>
      <c r="H2310" s="225"/>
      <c r="I2310" s="227"/>
      <c r="J2310" s="228"/>
      <c r="K2310" s="229"/>
      <c r="L2310" s="229"/>
      <c r="M2310" s="229"/>
      <c r="N2310" s="230"/>
      <c r="O2310" s="228"/>
      <c r="P2310" s="230"/>
      <c r="Q2310" s="219"/>
      <c r="R2310" s="198"/>
      <c r="S2310" s="198"/>
      <c r="T2310" s="198"/>
      <c r="U2310" s="198"/>
      <c r="V2310" s="198"/>
      <c r="W2310" s="198"/>
      <c r="X2310" s="198"/>
    </row>
    <row r="2311" ht="12.0" customHeight="1">
      <c r="A2311" s="222" t="str">
        <f>IF(COUNTIFS(RC_OUT[BLOCK],RC_IN[BLOCK],RC_OUT[REMARKS],"*CLOSED*")&gt;0,"CLOSED",IF(COUNTIFS(RC_OUT[BLOCK],RC_IN[BLOCK],RC_OUT[WT],"&gt;0")&gt;0,"IN-USE",""))
</f>
        <v/>
      </c>
      <c r="B2311" s="223" t="str">
        <f>IFERROR(__xludf.DUMMYFUNCTION("IFERROR(IF(F2311&lt;&gt;"""",""WHSE ""&amp;LEFT(F2311,1),REGEXEXTRACT(E2311,""-(?:\d{2}-)?([A-Z]+)"")),"""")
"),"")</f>
        <v/>
      </c>
      <c r="C2311" s="224"/>
      <c r="D2311" s="219"/>
      <c r="E2311" s="225"/>
      <c r="F2311" s="225"/>
      <c r="G2311" s="226"/>
      <c r="H2311" s="225"/>
      <c r="I2311" s="227"/>
      <c r="J2311" s="228"/>
      <c r="K2311" s="229"/>
      <c r="L2311" s="229"/>
      <c r="M2311" s="229"/>
      <c r="N2311" s="230"/>
      <c r="O2311" s="228"/>
      <c r="P2311" s="230"/>
      <c r="Q2311" s="219"/>
      <c r="R2311" s="198"/>
      <c r="S2311" s="198"/>
      <c r="T2311" s="198"/>
      <c r="U2311" s="198"/>
      <c r="V2311" s="198"/>
      <c r="W2311" s="198"/>
      <c r="X2311" s="198"/>
    </row>
    <row r="2312" ht="12.0" customHeight="1">
      <c r="A2312" s="222" t="str">
        <f>IF(COUNTIFS(RC_OUT[BLOCK],RC_IN[BLOCK],RC_OUT[REMARKS],"*CLOSED*")&gt;0,"CLOSED",IF(COUNTIFS(RC_OUT[BLOCK],RC_IN[BLOCK],RC_OUT[WT],"&gt;0")&gt;0,"IN-USE",""))
</f>
        <v/>
      </c>
      <c r="B2312" s="223" t="str">
        <f>IFERROR(__xludf.DUMMYFUNCTION("IFERROR(IF(F2312&lt;&gt;"""",""WHSE ""&amp;LEFT(F2312,1),REGEXEXTRACT(E2312,""-(?:\d{2}-)?([A-Z]+)"")),"""")
"),"")</f>
        <v/>
      </c>
      <c r="C2312" s="224"/>
      <c r="D2312" s="219"/>
      <c r="E2312" s="225"/>
      <c r="F2312" s="225"/>
      <c r="G2312" s="226"/>
      <c r="H2312" s="225"/>
      <c r="I2312" s="227"/>
      <c r="J2312" s="228"/>
      <c r="K2312" s="229"/>
      <c r="L2312" s="229"/>
      <c r="M2312" s="229"/>
      <c r="N2312" s="230"/>
      <c r="O2312" s="228"/>
      <c r="P2312" s="230"/>
      <c r="Q2312" s="219"/>
      <c r="R2312" s="198"/>
      <c r="S2312" s="198"/>
      <c r="T2312" s="198"/>
      <c r="U2312" s="198"/>
      <c r="V2312" s="198"/>
      <c r="W2312" s="198"/>
      <c r="X2312" s="198"/>
    </row>
    <row r="2313" ht="12.0" customHeight="1">
      <c r="A2313" s="222" t="str">
        <f>IF(COUNTIFS(RC_OUT[BLOCK],RC_IN[BLOCK],RC_OUT[REMARKS],"*CLOSED*")&gt;0,"CLOSED",IF(COUNTIFS(RC_OUT[BLOCK],RC_IN[BLOCK],RC_OUT[WT],"&gt;0")&gt;0,"IN-USE",""))
</f>
        <v/>
      </c>
      <c r="B2313" s="223" t="str">
        <f>IFERROR(__xludf.DUMMYFUNCTION("IFERROR(IF(F2313&lt;&gt;"""",""WHSE ""&amp;LEFT(F2313,1),REGEXEXTRACT(E2313,""-(?:\d{2}-)?([A-Z]+)"")),"""")
"),"")</f>
        <v/>
      </c>
      <c r="C2313" s="224"/>
      <c r="D2313" s="219"/>
      <c r="E2313" s="225"/>
      <c r="F2313" s="225"/>
      <c r="G2313" s="226"/>
      <c r="H2313" s="225"/>
      <c r="I2313" s="227"/>
      <c r="J2313" s="228"/>
      <c r="K2313" s="229"/>
      <c r="L2313" s="229"/>
      <c r="M2313" s="229"/>
      <c r="N2313" s="230"/>
      <c r="O2313" s="228"/>
      <c r="P2313" s="230"/>
      <c r="Q2313" s="219"/>
      <c r="R2313" s="198"/>
      <c r="S2313" s="198"/>
      <c r="T2313" s="198"/>
      <c r="U2313" s="198"/>
      <c r="V2313" s="198"/>
      <c r="W2313" s="198"/>
      <c r="X2313" s="198"/>
    </row>
    <row r="2314" ht="12.0" customHeight="1">
      <c r="A2314" s="222" t="str">
        <f>IF(COUNTIFS(RC_OUT[BLOCK],RC_IN[BLOCK],RC_OUT[REMARKS],"*CLOSED*")&gt;0,"CLOSED",IF(COUNTIFS(RC_OUT[BLOCK],RC_IN[BLOCK],RC_OUT[WT],"&gt;0")&gt;0,"IN-USE",""))
</f>
        <v/>
      </c>
      <c r="B2314" s="223" t="str">
        <f>IFERROR(__xludf.DUMMYFUNCTION("IFERROR(IF(F2314&lt;&gt;"""",""WHSE ""&amp;LEFT(F2314,1),REGEXEXTRACT(E2314,""-(?:\d{2}-)?([A-Z]+)"")),"""")
"),"")</f>
        <v/>
      </c>
      <c r="C2314" s="224"/>
      <c r="D2314" s="219"/>
      <c r="E2314" s="225"/>
      <c r="F2314" s="225"/>
      <c r="G2314" s="226"/>
      <c r="H2314" s="225"/>
      <c r="I2314" s="227"/>
      <c r="J2314" s="228"/>
      <c r="K2314" s="229"/>
      <c r="L2314" s="229"/>
      <c r="M2314" s="229"/>
      <c r="N2314" s="230"/>
      <c r="O2314" s="228"/>
      <c r="P2314" s="230"/>
      <c r="Q2314" s="219"/>
      <c r="R2314" s="198"/>
      <c r="S2314" s="198"/>
      <c r="T2314" s="198"/>
      <c r="U2314" s="198"/>
      <c r="V2314" s="198"/>
      <c r="W2314" s="198"/>
      <c r="X2314" s="198"/>
    </row>
    <row r="2315" ht="12.0" customHeight="1">
      <c r="A2315" s="222" t="str">
        <f>IF(COUNTIFS(RC_OUT[BLOCK],RC_IN[BLOCK],RC_OUT[REMARKS],"*CLOSED*")&gt;0,"CLOSED",IF(COUNTIFS(RC_OUT[BLOCK],RC_IN[BLOCK],RC_OUT[WT],"&gt;0")&gt;0,"IN-USE",""))
</f>
        <v/>
      </c>
      <c r="B2315" s="223" t="str">
        <f>IFERROR(__xludf.DUMMYFUNCTION("IFERROR(IF(F2315&lt;&gt;"""",""WHSE ""&amp;LEFT(F2315,1),REGEXEXTRACT(E2315,""-(?:\d{2}-)?([A-Z]+)"")),"""")
"),"")</f>
        <v/>
      </c>
      <c r="C2315" s="224"/>
      <c r="D2315" s="219"/>
      <c r="E2315" s="225"/>
      <c r="F2315" s="225"/>
      <c r="G2315" s="226"/>
      <c r="H2315" s="225"/>
      <c r="I2315" s="227"/>
      <c r="J2315" s="228"/>
      <c r="K2315" s="229"/>
      <c r="L2315" s="229"/>
      <c r="M2315" s="229"/>
      <c r="N2315" s="230"/>
      <c r="O2315" s="228"/>
      <c r="P2315" s="230"/>
      <c r="Q2315" s="219"/>
      <c r="R2315" s="198"/>
      <c r="S2315" s="198"/>
      <c r="T2315" s="198"/>
      <c r="U2315" s="198"/>
      <c r="V2315" s="198"/>
      <c r="W2315" s="198"/>
      <c r="X2315" s="198"/>
    </row>
    <row r="2316" ht="12.0" customHeight="1">
      <c r="A2316" s="222" t="str">
        <f>IF(COUNTIFS(RC_OUT[BLOCK],RC_IN[BLOCK],RC_OUT[REMARKS],"*CLOSED*")&gt;0,"CLOSED",IF(COUNTIFS(RC_OUT[BLOCK],RC_IN[BLOCK],RC_OUT[WT],"&gt;0")&gt;0,"IN-USE",""))
</f>
        <v/>
      </c>
      <c r="B2316" s="223" t="str">
        <f>IFERROR(__xludf.DUMMYFUNCTION("IFERROR(IF(F2316&lt;&gt;"""",""WHSE ""&amp;LEFT(F2316,1),REGEXEXTRACT(E2316,""-(?:\d{2}-)?([A-Z]+)"")),"""")
"),"")</f>
        <v/>
      </c>
      <c r="C2316" s="224"/>
      <c r="D2316" s="219"/>
      <c r="E2316" s="225"/>
      <c r="F2316" s="225"/>
      <c r="G2316" s="226"/>
      <c r="H2316" s="225"/>
      <c r="I2316" s="227"/>
      <c r="J2316" s="228"/>
      <c r="K2316" s="229"/>
      <c r="L2316" s="229"/>
      <c r="M2316" s="229"/>
      <c r="N2316" s="230"/>
      <c r="O2316" s="228"/>
      <c r="P2316" s="230"/>
      <c r="Q2316" s="219"/>
      <c r="R2316" s="198"/>
      <c r="S2316" s="198"/>
      <c r="T2316" s="198"/>
      <c r="U2316" s="198"/>
      <c r="V2316" s="198"/>
      <c r="W2316" s="198"/>
      <c r="X2316" s="198"/>
    </row>
    <row r="2317" ht="12.0" customHeight="1">
      <c r="A2317" s="222" t="str">
        <f>IF(COUNTIFS(RC_OUT[BLOCK],RC_IN[BLOCK],RC_OUT[REMARKS],"*CLOSED*")&gt;0,"CLOSED",IF(COUNTIFS(RC_OUT[BLOCK],RC_IN[BLOCK],RC_OUT[WT],"&gt;0")&gt;0,"IN-USE",""))
</f>
        <v/>
      </c>
      <c r="B2317" s="223" t="str">
        <f>IFERROR(__xludf.DUMMYFUNCTION("IFERROR(IF(F2317&lt;&gt;"""",""WHSE ""&amp;LEFT(F2317,1),REGEXEXTRACT(E2317,""-(?:\d{2}-)?([A-Z]+)"")),"""")
"),"")</f>
        <v/>
      </c>
      <c r="C2317" s="224"/>
      <c r="D2317" s="219"/>
      <c r="E2317" s="225"/>
      <c r="F2317" s="225"/>
      <c r="G2317" s="226"/>
      <c r="H2317" s="225"/>
      <c r="I2317" s="227"/>
      <c r="J2317" s="228"/>
      <c r="K2317" s="229"/>
      <c r="L2317" s="229"/>
      <c r="M2317" s="229"/>
      <c r="N2317" s="230"/>
      <c r="O2317" s="228"/>
      <c r="P2317" s="230"/>
      <c r="Q2317" s="219"/>
      <c r="R2317" s="198"/>
      <c r="S2317" s="198"/>
      <c r="T2317" s="198"/>
      <c r="U2317" s="198"/>
      <c r="V2317" s="198"/>
      <c r="W2317" s="198"/>
      <c r="X2317" s="198"/>
    </row>
    <row r="2318" ht="12.0" customHeight="1">
      <c r="A2318" s="222" t="str">
        <f>IF(COUNTIFS(RC_OUT[BLOCK],RC_IN[BLOCK],RC_OUT[REMARKS],"*CLOSED*")&gt;0,"CLOSED",IF(COUNTIFS(RC_OUT[BLOCK],RC_IN[BLOCK],RC_OUT[WT],"&gt;0")&gt;0,"IN-USE",""))
</f>
        <v/>
      </c>
      <c r="B2318" s="223" t="str">
        <f>IFERROR(__xludf.DUMMYFUNCTION("IFERROR(IF(F2318&lt;&gt;"""",""WHSE ""&amp;LEFT(F2318,1),REGEXEXTRACT(E2318,""-(?:\d{2}-)?([A-Z]+)"")),"""")
"),"")</f>
        <v/>
      </c>
      <c r="C2318" s="224"/>
      <c r="D2318" s="219"/>
      <c r="E2318" s="225"/>
      <c r="F2318" s="225"/>
      <c r="G2318" s="226"/>
      <c r="H2318" s="225"/>
      <c r="I2318" s="227"/>
      <c r="J2318" s="228"/>
      <c r="K2318" s="229"/>
      <c r="L2318" s="229"/>
      <c r="M2318" s="229"/>
      <c r="N2318" s="230"/>
      <c r="O2318" s="228"/>
      <c r="P2318" s="230"/>
      <c r="Q2318" s="219"/>
      <c r="R2318" s="198"/>
      <c r="S2318" s="198"/>
      <c r="T2318" s="198"/>
      <c r="U2318" s="198"/>
      <c r="V2318" s="198"/>
      <c r="W2318" s="198"/>
      <c r="X2318" s="198"/>
    </row>
    <row r="2319" ht="12.0" customHeight="1">
      <c r="A2319" s="222" t="str">
        <f>IF(COUNTIFS(RC_OUT[BLOCK],RC_IN[BLOCK],RC_OUT[REMARKS],"*CLOSED*")&gt;0,"CLOSED",IF(COUNTIFS(RC_OUT[BLOCK],RC_IN[BLOCK],RC_OUT[WT],"&gt;0")&gt;0,"IN-USE",""))
</f>
        <v/>
      </c>
      <c r="B2319" s="223" t="str">
        <f>IFERROR(__xludf.DUMMYFUNCTION("IFERROR(IF(F2319&lt;&gt;"""",""WHSE ""&amp;LEFT(F2319,1),REGEXEXTRACT(E2319,""-(?:\d{2}-)?([A-Z]+)"")),"""")
"),"")</f>
        <v/>
      </c>
      <c r="C2319" s="224"/>
      <c r="D2319" s="219"/>
      <c r="E2319" s="225"/>
      <c r="F2319" s="225"/>
      <c r="G2319" s="226"/>
      <c r="H2319" s="225"/>
      <c r="I2319" s="227"/>
      <c r="J2319" s="228"/>
      <c r="K2319" s="229"/>
      <c r="L2319" s="229"/>
      <c r="M2319" s="229"/>
      <c r="N2319" s="230"/>
      <c r="O2319" s="228"/>
      <c r="P2319" s="230"/>
      <c r="Q2319" s="219"/>
      <c r="R2319" s="198"/>
      <c r="S2319" s="198"/>
      <c r="T2319" s="198"/>
      <c r="U2319" s="198"/>
      <c r="V2319" s="198"/>
      <c r="W2319" s="198"/>
      <c r="X2319" s="198"/>
    </row>
    <row r="2320" ht="12.0" customHeight="1">
      <c r="A2320" s="222" t="str">
        <f>IF(COUNTIFS(RC_OUT[BLOCK],RC_IN[BLOCK],RC_OUT[REMARKS],"*CLOSED*")&gt;0,"CLOSED",IF(COUNTIFS(RC_OUT[BLOCK],RC_IN[BLOCK],RC_OUT[WT],"&gt;0")&gt;0,"IN-USE",""))
</f>
        <v/>
      </c>
      <c r="B2320" s="223" t="str">
        <f>IFERROR(__xludf.DUMMYFUNCTION("IFERROR(IF(F2320&lt;&gt;"""",""WHSE ""&amp;LEFT(F2320,1),REGEXEXTRACT(E2320,""-(?:\d{2}-)?([A-Z]+)"")),"""")
"),"")</f>
        <v/>
      </c>
      <c r="C2320" s="224"/>
      <c r="D2320" s="219"/>
      <c r="E2320" s="225"/>
      <c r="F2320" s="225"/>
      <c r="G2320" s="226"/>
      <c r="H2320" s="225"/>
      <c r="I2320" s="227"/>
      <c r="J2320" s="228"/>
      <c r="K2320" s="229"/>
      <c r="L2320" s="229"/>
      <c r="M2320" s="229"/>
      <c r="N2320" s="230"/>
      <c r="O2320" s="228"/>
      <c r="P2320" s="230"/>
      <c r="Q2320" s="219"/>
      <c r="R2320" s="198"/>
      <c r="S2320" s="198"/>
      <c r="T2320" s="198"/>
      <c r="U2320" s="198"/>
      <c r="V2320" s="198"/>
      <c r="W2320" s="198"/>
      <c r="X2320" s="198"/>
    </row>
    <row r="2321" ht="12.0" customHeight="1">
      <c r="A2321" s="222" t="str">
        <f>IF(COUNTIFS(RC_OUT[BLOCK],RC_IN[BLOCK],RC_OUT[REMARKS],"*CLOSED*")&gt;0,"CLOSED",IF(COUNTIFS(RC_OUT[BLOCK],RC_IN[BLOCK],RC_OUT[WT],"&gt;0")&gt;0,"IN-USE",""))
</f>
        <v/>
      </c>
      <c r="B2321" s="223" t="str">
        <f>IFERROR(__xludf.DUMMYFUNCTION("IFERROR(IF(F2321&lt;&gt;"""",""WHSE ""&amp;LEFT(F2321,1),REGEXEXTRACT(E2321,""-(?:\d{2}-)?([A-Z]+)"")),"""")
"),"")</f>
        <v/>
      </c>
      <c r="C2321" s="224"/>
      <c r="D2321" s="219"/>
      <c r="E2321" s="225"/>
      <c r="F2321" s="225"/>
      <c r="G2321" s="226"/>
      <c r="H2321" s="225"/>
      <c r="I2321" s="227"/>
      <c r="J2321" s="228"/>
      <c r="K2321" s="229"/>
      <c r="L2321" s="229"/>
      <c r="M2321" s="229"/>
      <c r="N2321" s="230"/>
      <c r="O2321" s="228"/>
      <c r="P2321" s="230"/>
      <c r="Q2321" s="219"/>
      <c r="R2321" s="198"/>
      <c r="S2321" s="198"/>
      <c r="T2321" s="198"/>
      <c r="U2321" s="198"/>
      <c r="V2321" s="198"/>
      <c r="W2321" s="198"/>
      <c r="X2321" s="198"/>
    </row>
    <row r="2322" ht="12.0" customHeight="1">
      <c r="A2322" s="222" t="str">
        <f>IF(COUNTIFS(RC_OUT[BLOCK],RC_IN[BLOCK],RC_OUT[REMARKS],"*CLOSED*")&gt;0,"CLOSED",IF(COUNTIFS(RC_OUT[BLOCK],RC_IN[BLOCK],RC_OUT[WT],"&gt;0")&gt;0,"IN-USE",""))
</f>
        <v/>
      </c>
      <c r="B2322" s="223" t="str">
        <f>IFERROR(__xludf.DUMMYFUNCTION("IFERROR(IF(F2322&lt;&gt;"""",""WHSE ""&amp;LEFT(F2322,1),REGEXEXTRACT(E2322,""-(?:\d{2}-)?([A-Z]+)"")),"""")
"),"")</f>
        <v/>
      </c>
      <c r="C2322" s="224"/>
      <c r="D2322" s="219"/>
      <c r="E2322" s="225"/>
      <c r="F2322" s="225"/>
      <c r="G2322" s="226"/>
      <c r="H2322" s="225"/>
      <c r="I2322" s="227"/>
      <c r="J2322" s="228"/>
      <c r="K2322" s="229"/>
      <c r="L2322" s="229"/>
      <c r="M2322" s="229"/>
      <c r="N2322" s="230"/>
      <c r="O2322" s="228"/>
      <c r="P2322" s="230"/>
      <c r="Q2322" s="219"/>
      <c r="R2322" s="198"/>
      <c r="S2322" s="198"/>
      <c r="T2322" s="198"/>
      <c r="U2322" s="198"/>
      <c r="V2322" s="198"/>
      <c r="W2322" s="198"/>
      <c r="X2322" s="198"/>
    </row>
    <row r="2323" ht="12.0" customHeight="1">
      <c r="A2323" s="222" t="str">
        <f>IF(COUNTIFS(RC_OUT[BLOCK],RC_IN[BLOCK],RC_OUT[REMARKS],"*CLOSED*")&gt;0,"CLOSED",IF(COUNTIFS(RC_OUT[BLOCK],RC_IN[BLOCK],RC_OUT[WT],"&gt;0")&gt;0,"IN-USE",""))
</f>
        <v/>
      </c>
      <c r="B2323" s="223" t="str">
        <f>IFERROR(__xludf.DUMMYFUNCTION("IFERROR(IF(F2323&lt;&gt;"""",""WHSE ""&amp;LEFT(F2323,1),REGEXEXTRACT(E2323,""-(?:\d{2}-)?([A-Z]+)"")),"""")
"),"")</f>
        <v/>
      </c>
      <c r="C2323" s="224"/>
      <c r="D2323" s="219"/>
      <c r="E2323" s="225"/>
      <c r="F2323" s="225"/>
      <c r="G2323" s="226"/>
      <c r="H2323" s="225"/>
      <c r="I2323" s="227"/>
      <c r="J2323" s="228"/>
      <c r="K2323" s="229"/>
      <c r="L2323" s="229"/>
      <c r="M2323" s="229"/>
      <c r="N2323" s="230"/>
      <c r="O2323" s="228"/>
      <c r="P2323" s="230"/>
      <c r="Q2323" s="219"/>
      <c r="R2323" s="198"/>
      <c r="S2323" s="198"/>
      <c r="T2323" s="198"/>
      <c r="U2323" s="198"/>
      <c r="V2323" s="198"/>
      <c r="W2323" s="198"/>
      <c r="X2323" s="198"/>
    </row>
    <row r="2324" ht="12.0" customHeight="1">
      <c r="A2324" s="222" t="str">
        <f>IF(COUNTIFS(RC_OUT[BLOCK],RC_IN[BLOCK],RC_OUT[REMARKS],"*CLOSED*")&gt;0,"CLOSED",IF(COUNTIFS(RC_OUT[BLOCK],RC_IN[BLOCK],RC_OUT[WT],"&gt;0")&gt;0,"IN-USE",""))
</f>
        <v/>
      </c>
      <c r="B2324" s="223" t="str">
        <f>IFERROR(__xludf.DUMMYFUNCTION("IFERROR(IF(F2324&lt;&gt;"""",""WHSE ""&amp;LEFT(F2324,1),REGEXEXTRACT(E2324,""-(?:\d{2}-)?([A-Z]+)"")),"""")
"),"")</f>
        <v/>
      </c>
      <c r="C2324" s="224"/>
      <c r="D2324" s="219"/>
      <c r="E2324" s="225"/>
      <c r="F2324" s="225"/>
      <c r="G2324" s="226"/>
      <c r="H2324" s="225"/>
      <c r="I2324" s="227"/>
      <c r="J2324" s="228"/>
      <c r="K2324" s="229"/>
      <c r="L2324" s="229"/>
      <c r="M2324" s="229"/>
      <c r="N2324" s="230"/>
      <c r="O2324" s="228"/>
      <c r="P2324" s="230"/>
      <c r="Q2324" s="219"/>
      <c r="R2324" s="198"/>
      <c r="S2324" s="198"/>
      <c r="T2324" s="198"/>
      <c r="U2324" s="198"/>
      <c r="V2324" s="198"/>
      <c r="W2324" s="198"/>
      <c r="X2324" s="198"/>
    </row>
    <row r="2325" ht="12.0" customHeight="1">
      <c r="A2325" s="222" t="str">
        <f>IF(COUNTIFS(RC_OUT[BLOCK],RC_IN[BLOCK],RC_OUT[REMARKS],"*CLOSED*")&gt;0,"CLOSED",IF(COUNTIFS(RC_OUT[BLOCK],RC_IN[BLOCK],RC_OUT[WT],"&gt;0")&gt;0,"IN-USE",""))
</f>
        <v/>
      </c>
      <c r="B2325" s="223" t="str">
        <f>IFERROR(__xludf.DUMMYFUNCTION("IFERROR(IF(F2325&lt;&gt;"""",""WHSE ""&amp;LEFT(F2325,1),REGEXEXTRACT(E2325,""-(?:\d{2}-)?([A-Z]+)"")),"""")
"),"")</f>
        <v/>
      </c>
      <c r="C2325" s="224"/>
      <c r="D2325" s="219"/>
      <c r="E2325" s="225"/>
      <c r="F2325" s="225"/>
      <c r="G2325" s="226"/>
      <c r="H2325" s="225"/>
      <c r="I2325" s="227"/>
      <c r="J2325" s="228"/>
      <c r="K2325" s="229"/>
      <c r="L2325" s="229"/>
      <c r="M2325" s="229"/>
      <c r="N2325" s="230"/>
      <c r="O2325" s="228"/>
      <c r="P2325" s="230"/>
      <c r="Q2325" s="219"/>
      <c r="R2325" s="198"/>
      <c r="S2325" s="198"/>
      <c r="T2325" s="198"/>
      <c r="U2325" s="198"/>
      <c r="V2325" s="198"/>
      <c r="W2325" s="198"/>
      <c r="X2325" s="198"/>
    </row>
    <row r="2326" ht="12.0" customHeight="1">
      <c r="A2326" s="222" t="str">
        <f>IF(COUNTIFS(RC_OUT[BLOCK],RC_IN[BLOCK],RC_OUT[REMARKS],"*CLOSED*")&gt;0,"CLOSED",IF(COUNTIFS(RC_OUT[BLOCK],RC_IN[BLOCK],RC_OUT[WT],"&gt;0")&gt;0,"IN-USE",""))
</f>
        <v/>
      </c>
      <c r="B2326" s="223" t="str">
        <f>IFERROR(__xludf.DUMMYFUNCTION("IFERROR(IF(F2326&lt;&gt;"""",""WHSE ""&amp;LEFT(F2326,1),REGEXEXTRACT(E2326,""-(?:\d{2}-)?([A-Z]+)"")),"""")
"),"")</f>
        <v/>
      </c>
      <c r="C2326" s="224"/>
      <c r="D2326" s="219"/>
      <c r="E2326" s="225"/>
      <c r="F2326" s="225"/>
      <c r="G2326" s="226"/>
      <c r="H2326" s="225"/>
      <c r="I2326" s="227"/>
      <c r="J2326" s="228"/>
      <c r="K2326" s="229"/>
      <c r="L2326" s="229"/>
      <c r="M2326" s="229"/>
      <c r="N2326" s="230"/>
      <c r="O2326" s="228"/>
      <c r="P2326" s="230"/>
      <c r="Q2326" s="219"/>
      <c r="R2326" s="198"/>
      <c r="S2326" s="198"/>
      <c r="T2326" s="198"/>
      <c r="U2326" s="198"/>
      <c r="V2326" s="198"/>
      <c r="W2326" s="198"/>
      <c r="X2326" s="198"/>
    </row>
    <row r="2327" ht="12.0" customHeight="1">
      <c r="A2327" s="222" t="str">
        <f>IF(COUNTIFS(RC_OUT[BLOCK],RC_IN[BLOCK],RC_OUT[REMARKS],"*CLOSED*")&gt;0,"CLOSED",IF(COUNTIFS(RC_OUT[BLOCK],RC_IN[BLOCK],RC_OUT[WT],"&gt;0")&gt;0,"IN-USE",""))
</f>
        <v/>
      </c>
      <c r="B2327" s="223" t="str">
        <f>IFERROR(__xludf.DUMMYFUNCTION("IFERROR(IF(F2327&lt;&gt;"""",""WHSE ""&amp;LEFT(F2327,1),REGEXEXTRACT(E2327,""-(?:\d{2}-)?([A-Z]+)"")),"""")
"),"")</f>
        <v/>
      </c>
      <c r="C2327" s="224"/>
      <c r="D2327" s="219"/>
      <c r="E2327" s="225"/>
      <c r="F2327" s="225"/>
      <c r="G2327" s="226"/>
      <c r="H2327" s="225"/>
      <c r="I2327" s="227"/>
      <c r="J2327" s="228"/>
      <c r="K2327" s="229"/>
      <c r="L2327" s="229"/>
      <c r="M2327" s="229"/>
      <c r="N2327" s="230"/>
      <c r="O2327" s="228"/>
      <c r="P2327" s="230"/>
      <c r="Q2327" s="219"/>
      <c r="R2327" s="198"/>
      <c r="S2327" s="198"/>
      <c r="T2327" s="198"/>
      <c r="U2327" s="198"/>
      <c r="V2327" s="198"/>
      <c r="W2327" s="198"/>
      <c r="X2327" s="198"/>
    </row>
    <row r="2328" ht="12.0" customHeight="1">
      <c r="A2328" s="222" t="str">
        <f>IF(COUNTIFS(RC_OUT[BLOCK],RC_IN[BLOCK],RC_OUT[REMARKS],"*CLOSED*")&gt;0,"CLOSED",IF(COUNTIFS(RC_OUT[BLOCK],RC_IN[BLOCK],RC_OUT[WT],"&gt;0")&gt;0,"IN-USE",""))
</f>
        <v/>
      </c>
      <c r="B2328" s="223" t="str">
        <f>IFERROR(__xludf.DUMMYFUNCTION("IFERROR(IF(F2328&lt;&gt;"""",""WHSE ""&amp;LEFT(F2328,1),REGEXEXTRACT(E2328,""-(?:\d{2}-)?([A-Z]+)"")),"""")
"),"")</f>
        <v/>
      </c>
      <c r="C2328" s="224"/>
      <c r="D2328" s="219"/>
      <c r="E2328" s="225"/>
      <c r="F2328" s="225"/>
      <c r="G2328" s="226"/>
      <c r="H2328" s="225"/>
      <c r="I2328" s="227"/>
      <c r="J2328" s="228"/>
      <c r="K2328" s="229"/>
      <c r="L2328" s="229"/>
      <c r="M2328" s="229"/>
      <c r="N2328" s="230"/>
      <c r="O2328" s="228"/>
      <c r="P2328" s="230"/>
      <c r="Q2328" s="219"/>
      <c r="R2328" s="198"/>
      <c r="S2328" s="198"/>
      <c r="T2328" s="198"/>
      <c r="U2328" s="198"/>
      <c r="V2328" s="198"/>
      <c r="W2328" s="198"/>
      <c r="X2328" s="198"/>
    </row>
    <row r="2329" ht="12.0" customHeight="1">
      <c r="A2329" s="222" t="str">
        <f>IF(COUNTIFS(RC_OUT[BLOCK],RC_IN[BLOCK],RC_OUT[REMARKS],"*CLOSED*")&gt;0,"CLOSED",IF(COUNTIFS(RC_OUT[BLOCK],RC_IN[BLOCK],RC_OUT[WT],"&gt;0")&gt;0,"IN-USE",""))
</f>
        <v/>
      </c>
      <c r="B2329" s="223" t="str">
        <f>IFERROR(__xludf.DUMMYFUNCTION("IFERROR(IF(F2329&lt;&gt;"""",""WHSE ""&amp;LEFT(F2329,1),REGEXEXTRACT(E2329,""-(?:\d{2}-)?([A-Z]+)"")),"""")
"),"")</f>
        <v/>
      </c>
      <c r="C2329" s="224"/>
      <c r="D2329" s="219"/>
      <c r="E2329" s="225"/>
      <c r="F2329" s="225"/>
      <c r="G2329" s="226"/>
      <c r="H2329" s="225"/>
      <c r="I2329" s="227"/>
      <c r="J2329" s="228"/>
      <c r="K2329" s="229"/>
      <c r="L2329" s="229"/>
      <c r="M2329" s="229"/>
      <c r="N2329" s="230"/>
      <c r="O2329" s="228"/>
      <c r="P2329" s="230"/>
      <c r="Q2329" s="219"/>
      <c r="R2329" s="198"/>
      <c r="S2329" s="198"/>
      <c r="T2329" s="198"/>
      <c r="U2329" s="198"/>
      <c r="V2329" s="198"/>
      <c r="W2329" s="198"/>
      <c r="X2329" s="198"/>
    </row>
    <row r="2330" ht="12.0" customHeight="1">
      <c r="A2330" s="222" t="str">
        <f>IF(COUNTIFS(RC_OUT[BLOCK],RC_IN[BLOCK],RC_OUT[REMARKS],"*CLOSED*")&gt;0,"CLOSED",IF(COUNTIFS(RC_OUT[BLOCK],RC_IN[BLOCK],RC_OUT[WT],"&gt;0")&gt;0,"IN-USE",""))
</f>
        <v/>
      </c>
      <c r="B2330" s="223" t="str">
        <f>IFERROR(__xludf.DUMMYFUNCTION("IFERROR(IF(F2330&lt;&gt;"""",""WHSE ""&amp;LEFT(F2330,1),REGEXEXTRACT(E2330,""-(?:\d{2}-)?([A-Z]+)"")),"""")
"),"")</f>
        <v/>
      </c>
      <c r="C2330" s="224"/>
      <c r="D2330" s="219"/>
      <c r="E2330" s="225"/>
      <c r="F2330" s="225"/>
      <c r="G2330" s="226"/>
      <c r="H2330" s="225"/>
      <c r="I2330" s="227"/>
      <c r="J2330" s="228"/>
      <c r="K2330" s="229"/>
      <c r="L2330" s="229"/>
      <c r="M2330" s="229"/>
      <c r="N2330" s="230"/>
      <c r="O2330" s="228"/>
      <c r="P2330" s="230"/>
      <c r="Q2330" s="219"/>
      <c r="R2330" s="198"/>
      <c r="S2330" s="198"/>
      <c r="T2330" s="198"/>
      <c r="U2330" s="198"/>
      <c r="V2330" s="198"/>
      <c r="W2330" s="198"/>
      <c r="X2330" s="198"/>
    </row>
    <row r="2331" ht="12.0" customHeight="1">
      <c r="A2331" s="222" t="str">
        <f>IF(COUNTIFS(RC_OUT[BLOCK],RC_IN[BLOCK],RC_OUT[REMARKS],"*CLOSED*")&gt;0,"CLOSED",IF(COUNTIFS(RC_OUT[BLOCK],RC_IN[BLOCK],RC_OUT[WT],"&gt;0")&gt;0,"IN-USE",""))
</f>
        <v/>
      </c>
      <c r="B2331" s="223" t="str">
        <f>IFERROR(__xludf.DUMMYFUNCTION("IFERROR(IF(F2331&lt;&gt;"""",""WHSE ""&amp;LEFT(F2331,1),REGEXEXTRACT(E2331,""-(?:\d{2}-)?([A-Z]+)"")),"""")
"),"")</f>
        <v/>
      </c>
      <c r="C2331" s="224"/>
      <c r="D2331" s="219"/>
      <c r="E2331" s="225"/>
      <c r="F2331" s="225"/>
      <c r="G2331" s="226"/>
      <c r="H2331" s="225"/>
      <c r="I2331" s="227"/>
      <c r="J2331" s="228"/>
      <c r="K2331" s="229"/>
      <c r="L2331" s="229"/>
      <c r="M2331" s="229"/>
      <c r="N2331" s="230"/>
      <c r="O2331" s="228"/>
      <c r="P2331" s="230"/>
      <c r="Q2331" s="219"/>
      <c r="R2331" s="198"/>
      <c r="S2331" s="198"/>
      <c r="T2331" s="198"/>
      <c r="U2331" s="198"/>
      <c r="V2331" s="198"/>
      <c r="W2331" s="198"/>
      <c r="X2331" s="198"/>
    </row>
    <row r="2332" ht="12.0" customHeight="1">
      <c r="A2332" s="222" t="str">
        <f>IF(COUNTIFS(RC_OUT[BLOCK],RC_IN[BLOCK],RC_OUT[REMARKS],"*CLOSED*")&gt;0,"CLOSED",IF(COUNTIFS(RC_OUT[BLOCK],RC_IN[BLOCK],RC_OUT[WT],"&gt;0")&gt;0,"IN-USE",""))
</f>
        <v/>
      </c>
      <c r="B2332" s="223" t="str">
        <f>IFERROR(__xludf.DUMMYFUNCTION("IFERROR(IF(F2332&lt;&gt;"""",""WHSE ""&amp;LEFT(F2332,1),REGEXEXTRACT(E2332,""-(?:\d{2}-)?([A-Z]+)"")),"""")
"),"")</f>
        <v/>
      </c>
      <c r="C2332" s="224"/>
      <c r="D2332" s="219"/>
      <c r="E2332" s="225"/>
      <c r="F2332" s="225"/>
      <c r="G2332" s="226"/>
      <c r="H2332" s="225"/>
      <c r="I2332" s="227"/>
      <c r="J2332" s="228"/>
      <c r="K2332" s="229"/>
      <c r="L2332" s="229"/>
      <c r="M2332" s="229"/>
      <c r="N2332" s="230"/>
      <c r="O2332" s="228"/>
      <c r="P2332" s="230"/>
      <c r="Q2332" s="219"/>
      <c r="R2332" s="198"/>
      <c r="S2332" s="198"/>
      <c r="T2332" s="198"/>
      <c r="U2332" s="198"/>
      <c r="V2332" s="198"/>
      <c r="W2332" s="198"/>
      <c r="X2332" s="198"/>
    </row>
    <row r="2333" ht="12.0" customHeight="1">
      <c r="A2333" s="222" t="str">
        <f>IF(COUNTIFS(RC_OUT[BLOCK],RC_IN[BLOCK],RC_OUT[REMARKS],"*CLOSED*")&gt;0,"CLOSED",IF(COUNTIFS(RC_OUT[BLOCK],RC_IN[BLOCK],RC_OUT[WT],"&gt;0")&gt;0,"IN-USE",""))
</f>
        <v/>
      </c>
      <c r="B2333" s="223" t="str">
        <f>IFERROR(__xludf.DUMMYFUNCTION("IFERROR(IF(F2333&lt;&gt;"""",""WHSE ""&amp;LEFT(F2333,1),REGEXEXTRACT(E2333,""-(?:\d{2}-)?([A-Z]+)"")),"""")
"),"")</f>
        <v/>
      </c>
      <c r="C2333" s="224"/>
      <c r="D2333" s="219"/>
      <c r="E2333" s="225"/>
      <c r="F2333" s="225"/>
      <c r="G2333" s="226"/>
      <c r="H2333" s="225"/>
      <c r="I2333" s="227"/>
      <c r="J2333" s="228"/>
      <c r="K2333" s="229"/>
      <c r="L2333" s="229"/>
      <c r="M2333" s="229"/>
      <c r="N2333" s="230"/>
      <c r="O2333" s="228"/>
      <c r="P2333" s="230"/>
      <c r="Q2333" s="219"/>
      <c r="R2333" s="198"/>
      <c r="S2333" s="198"/>
      <c r="T2333" s="198"/>
      <c r="U2333" s="198"/>
      <c r="V2333" s="198"/>
      <c r="W2333" s="198"/>
      <c r="X2333" s="198"/>
    </row>
    <row r="2334" ht="12.0" customHeight="1">
      <c r="A2334" s="222" t="str">
        <f>IF(COUNTIFS(RC_OUT[BLOCK],RC_IN[BLOCK],RC_OUT[REMARKS],"*CLOSED*")&gt;0,"CLOSED",IF(COUNTIFS(RC_OUT[BLOCK],RC_IN[BLOCK],RC_OUT[WT],"&gt;0")&gt;0,"IN-USE",""))
</f>
        <v/>
      </c>
      <c r="B2334" s="223" t="str">
        <f>IFERROR(__xludf.DUMMYFUNCTION("IFERROR(IF(F2334&lt;&gt;"""",""WHSE ""&amp;LEFT(F2334,1),REGEXEXTRACT(E2334,""-(?:\d{2}-)?([A-Z]+)"")),"""")
"),"")</f>
        <v/>
      </c>
      <c r="C2334" s="224"/>
      <c r="D2334" s="219"/>
      <c r="E2334" s="225"/>
      <c r="F2334" s="225"/>
      <c r="G2334" s="226"/>
      <c r="H2334" s="225"/>
      <c r="I2334" s="227"/>
      <c r="J2334" s="228"/>
      <c r="K2334" s="229"/>
      <c r="L2334" s="229"/>
      <c r="M2334" s="229"/>
      <c r="N2334" s="230"/>
      <c r="O2334" s="228"/>
      <c r="P2334" s="230"/>
      <c r="Q2334" s="219"/>
      <c r="R2334" s="198"/>
      <c r="S2334" s="198"/>
      <c r="T2334" s="198"/>
      <c r="U2334" s="198"/>
      <c r="V2334" s="198"/>
      <c r="W2334" s="198"/>
      <c r="X2334" s="198"/>
    </row>
    <row r="2335" ht="12.0" customHeight="1">
      <c r="A2335" s="222" t="str">
        <f>IF(COUNTIFS(RC_OUT[BLOCK],RC_IN[BLOCK],RC_OUT[REMARKS],"*CLOSED*")&gt;0,"CLOSED",IF(COUNTIFS(RC_OUT[BLOCK],RC_IN[BLOCK],RC_OUT[WT],"&gt;0")&gt;0,"IN-USE",""))
</f>
        <v/>
      </c>
      <c r="B2335" s="223" t="str">
        <f>IFERROR(__xludf.DUMMYFUNCTION("IFERROR(IF(F2335&lt;&gt;"""",""WHSE ""&amp;LEFT(F2335,1),REGEXEXTRACT(E2335,""-(?:\d{2}-)?([A-Z]+)"")),"""")
"),"")</f>
        <v/>
      </c>
      <c r="C2335" s="224"/>
      <c r="D2335" s="219"/>
      <c r="E2335" s="225"/>
      <c r="F2335" s="225"/>
      <c r="G2335" s="226"/>
      <c r="H2335" s="225"/>
      <c r="I2335" s="227"/>
      <c r="J2335" s="228"/>
      <c r="K2335" s="229"/>
      <c r="L2335" s="229"/>
      <c r="M2335" s="229"/>
      <c r="N2335" s="230"/>
      <c r="O2335" s="228"/>
      <c r="P2335" s="230"/>
      <c r="Q2335" s="219"/>
      <c r="R2335" s="198"/>
      <c r="S2335" s="198"/>
      <c r="T2335" s="198"/>
      <c r="U2335" s="198"/>
      <c r="V2335" s="198"/>
      <c r="W2335" s="198"/>
      <c r="X2335" s="198"/>
    </row>
    <row r="2336" ht="12.0" customHeight="1">
      <c r="A2336" s="222" t="str">
        <f>IF(COUNTIFS(RC_OUT[BLOCK],RC_IN[BLOCK],RC_OUT[REMARKS],"*CLOSED*")&gt;0,"CLOSED",IF(COUNTIFS(RC_OUT[BLOCK],RC_IN[BLOCK],RC_OUT[WT],"&gt;0")&gt;0,"IN-USE",""))
</f>
        <v/>
      </c>
      <c r="B2336" s="223" t="str">
        <f>IFERROR(__xludf.DUMMYFUNCTION("IFERROR(IF(F2336&lt;&gt;"""",""WHSE ""&amp;LEFT(F2336,1),REGEXEXTRACT(E2336,""-(?:\d{2}-)?([A-Z]+)"")),"""")
"),"")</f>
        <v/>
      </c>
      <c r="C2336" s="224"/>
      <c r="D2336" s="219"/>
      <c r="E2336" s="225"/>
      <c r="F2336" s="225"/>
      <c r="G2336" s="226"/>
      <c r="H2336" s="225"/>
      <c r="I2336" s="227"/>
      <c r="J2336" s="228"/>
      <c r="K2336" s="229"/>
      <c r="L2336" s="229"/>
      <c r="M2336" s="229"/>
      <c r="N2336" s="230"/>
      <c r="O2336" s="228"/>
      <c r="P2336" s="230"/>
      <c r="Q2336" s="219"/>
      <c r="R2336" s="198"/>
      <c r="S2336" s="198"/>
      <c r="T2336" s="198"/>
      <c r="U2336" s="198"/>
      <c r="V2336" s="198"/>
      <c r="W2336" s="198"/>
      <c r="X2336" s="198"/>
    </row>
    <row r="2337" ht="12.0" customHeight="1">
      <c r="A2337" s="222" t="str">
        <f>IF(COUNTIFS(RC_OUT[BLOCK],RC_IN[BLOCK],RC_OUT[REMARKS],"*CLOSED*")&gt;0,"CLOSED",IF(COUNTIFS(RC_OUT[BLOCK],RC_IN[BLOCK],RC_OUT[WT],"&gt;0")&gt;0,"IN-USE",""))
</f>
        <v/>
      </c>
      <c r="B2337" s="223" t="str">
        <f>IFERROR(__xludf.DUMMYFUNCTION("IFERROR(IF(F2337&lt;&gt;"""",""WHSE ""&amp;LEFT(F2337,1),REGEXEXTRACT(E2337,""-(?:\d{2}-)?([A-Z]+)"")),"""")
"),"")</f>
        <v/>
      </c>
      <c r="C2337" s="224"/>
      <c r="D2337" s="219"/>
      <c r="E2337" s="225"/>
      <c r="F2337" s="225"/>
      <c r="G2337" s="226"/>
      <c r="H2337" s="225"/>
      <c r="I2337" s="227"/>
      <c r="J2337" s="228"/>
      <c r="K2337" s="229"/>
      <c r="L2337" s="229"/>
      <c r="M2337" s="229"/>
      <c r="N2337" s="230"/>
      <c r="O2337" s="228"/>
      <c r="P2337" s="230"/>
      <c r="Q2337" s="219"/>
      <c r="R2337" s="198"/>
      <c r="S2337" s="198"/>
      <c r="T2337" s="198"/>
      <c r="U2337" s="198"/>
      <c r="V2337" s="198"/>
      <c r="W2337" s="198"/>
      <c r="X2337" s="198"/>
    </row>
    <row r="2338" ht="12.0" customHeight="1">
      <c r="A2338" s="222" t="str">
        <f>IF(COUNTIFS(RC_OUT[BLOCK],RC_IN[BLOCK],RC_OUT[REMARKS],"*CLOSED*")&gt;0,"CLOSED",IF(COUNTIFS(RC_OUT[BLOCK],RC_IN[BLOCK],RC_OUT[WT],"&gt;0")&gt;0,"IN-USE",""))
</f>
        <v/>
      </c>
      <c r="B2338" s="223" t="str">
        <f>IFERROR(__xludf.DUMMYFUNCTION("IFERROR(IF(F2338&lt;&gt;"""",""WHSE ""&amp;LEFT(F2338,1),REGEXEXTRACT(E2338,""-(?:\d{2}-)?([A-Z]+)"")),"""")
"),"")</f>
        <v/>
      </c>
      <c r="C2338" s="224"/>
      <c r="D2338" s="219"/>
      <c r="E2338" s="225"/>
      <c r="F2338" s="225"/>
      <c r="G2338" s="226"/>
      <c r="H2338" s="225"/>
      <c r="I2338" s="227"/>
      <c r="J2338" s="228"/>
      <c r="K2338" s="229"/>
      <c r="L2338" s="229"/>
      <c r="M2338" s="229"/>
      <c r="N2338" s="230"/>
      <c r="O2338" s="228"/>
      <c r="P2338" s="230"/>
      <c r="Q2338" s="219"/>
      <c r="R2338" s="198"/>
      <c r="S2338" s="198"/>
      <c r="T2338" s="198"/>
      <c r="U2338" s="198"/>
      <c r="V2338" s="198"/>
      <c r="W2338" s="198"/>
      <c r="X2338" s="198"/>
    </row>
    <row r="2339" ht="12.0" customHeight="1">
      <c r="A2339" s="222" t="str">
        <f>IF(COUNTIFS(RC_OUT[BLOCK],RC_IN[BLOCK],RC_OUT[REMARKS],"*CLOSED*")&gt;0,"CLOSED",IF(COUNTIFS(RC_OUT[BLOCK],RC_IN[BLOCK],RC_OUT[WT],"&gt;0")&gt;0,"IN-USE",""))
</f>
        <v/>
      </c>
      <c r="B2339" s="223" t="str">
        <f>IFERROR(__xludf.DUMMYFUNCTION("IFERROR(IF(F2339&lt;&gt;"""",""WHSE ""&amp;LEFT(F2339,1),REGEXEXTRACT(E2339,""-(?:\d{2}-)?([A-Z]+)"")),"""")
"),"")</f>
        <v/>
      </c>
      <c r="C2339" s="224"/>
      <c r="D2339" s="219"/>
      <c r="E2339" s="225"/>
      <c r="F2339" s="225"/>
      <c r="G2339" s="226"/>
      <c r="H2339" s="225"/>
      <c r="I2339" s="227"/>
      <c r="J2339" s="228"/>
      <c r="K2339" s="229"/>
      <c r="L2339" s="229"/>
      <c r="M2339" s="229"/>
      <c r="N2339" s="230"/>
      <c r="O2339" s="228"/>
      <c r="P2339" s="230"/>
      <c r="Q2339" s="219"/>
      <c r="R2339" s="198"/>
      <c r="S2339" s="198"/>
      <c r="T2339" s="198"/>
      <c r="U2339" s="198"/>
      <c r="V2339" s="198"/>
      <c r="W2339" s="198"/>
      <c r="X2339" s="198"/>
    </row>
    <row r="2340" ht="12.0" customHeight="1">
      <c r="A2340" s="222" t="str">
        <f>IF(COUNTIFS(RC_OUT[BLOCK],RC_IN[BLOCK],RC_OUT[REMARKS],"*CLOSED*")&gt;0,"CLOSED",IF(COUNTIFS(RC_OUT[BLOCK],RC_IN[BLOCK],RC_OUT[WT],"&gt;0")&gt;0,"IN-USE",""))
</f>
        <v/>
      </c>
      <c r="B2340" s="223" t="str">
        <f>IFERROR(__xludf.DUMMYFUNCTION("IFERROR(IF(F2340&lt;&gt;"""",""WHSE ""&amp;LEFT(F2340,1),REGEXEXTRACT(E2340,""-(?:\d{2}-)?([A-Z]+)"")),"""")
"),"")</f>
        <v/>
      </c>
      <c r="C2340" s="224"/>
      <c r="D2340" s="219"/>
      <c r="E2340" s="225"/>
      <c r="F2340" s="225"/>
      <c r="G2340" s="226"/>
      <c r="H2340" s="225"/>
      <c r="I2340" s="227"/>
      <c r="J2340" s="228"/>
      <c r="K2340" s="229"/>
      <c r="L2340" s="229"/>
      <c r="M2340" s="229"/>
      <c r="N2340" s="230"/>
      <c r="O2340" s="228"/>
      <c r="P2340" s="230"/>
      <c r="Q2340" s="219"/>
      <c r="R2340" s="198"/>
      <c r="S2340" s="198"/>
      <c r="T2340" s="198"/>
      <c r="U2340" s="198"/>
      <c r="V2340" s="198"/>
      <c r="W2340" s="198"/>
      <c r="X2340" s="198"/>
    </row>
    <row r="2341" ht="12.0" customHeight="1">
      <c r="A2341" s="222" t="str">
        <f>IF(COUNTIFS(RC_OUT[BLOCK],RC_IN[BLOCK],RC_OUT[REMARKS],"*CLOSED*")&gt;0,"CLOSED",IF(COUNTIFS(RC_OUT[BLOCK],RC_IN[BLOCK],RC_OUT[WT],"&gt;0")&gt;0,"IN-USE",""))
</f>
        <v/>
      </c>
      <c r="B2341" s="223" t="str">
        <f>IFERROR(__xludf.DUMMYFUNCTION("IFERROR(IF(F2341&lt;&gt;"""",""WHSE ""&amp;LEFT(F2341,1),REGEXEXTRACT(E2341,""-(?:\d{2}-)?([A-Z]+)"")),"""")
"),"")</f>
        <v/>
      </c>
      <c r="C2341" s="224"/>
      <c r="D2341" s="219"/>
      <c r="E2341" s="225"/>
      <c r="F2341" s="225"/>
      <c r="G2341" s="226"/>
      <c r="H2341" s="225"/>
      <c r="I2341" s="227"/>
      <c r="J2341" s="228"/>
      <c r="K2341" s="229"/>
      <c r="L2341" s="229"/>
      <c r="M2341" s="229"/>
      <c r="N2341" s="230"/>
      <c r="O2341" s="228"/>
      <c r="P2341" s="230"/>
      <c r="Q2341" s="219"/>
      <c r="R2341" s="198"/>
      <c r="S2341" s="198"/>
      <c r="T2341" s="198"/>
      <c r="U2341" s="198"/>
      <c r="V2341" s="198"/>
      <c r="W2341" s="198"/>
      <c r="X2341" s="198"/>
    </row>
    <row r="2342" ht="12.0" customHeight="1">
      <c r="A2342" s="222" t="str">
        <f>IF(COUNTIFS(RC_OUT[BLOCK],RC_IN[BLOCK],RC_OUT[REMARKS],"*CLOSED*")&gt;0,"CLOSED",IF(COUNTIFS(RC_OUT[BLOCK],RC_IN[BLOCK],RC_OUT[WT],"&gt;0")&gt;0,"IN-USE",""))
</f>
        <v/>
      </c>
      <c r="B2342" s="223" t="str">
        <f>IFERROR(__xludf.DUMMYFUNCTION("IFERROR(IF(F2342&lt;&gt;"""",""WHSE ""&amp;LEFT(F2342,1),REGEXEXTRACT(E2342,""-(?:\d{2}-)?([A-Z]+)"")),"""")
"),"")</f>
        <v/>
      </c>
      <c r="C2342" s="224"/>
      <c r="D2342" s="219"/>
      <c r="E2342" s="225"/>
      <c r="F2342" s="225"/>
      <c r="G2342" s="226"/>
      <c r="H2342" s="225"/>
      <c r="I2342" s="227"/>
      <c r="J2342" s="228"/>
      <c r="K2342" s="229"/>
      <c r="L2342" s="229"/>
      <c r="M2342" s="229"/>
      <c r="N2342" s="230"/>
      <c r="O2342" s="228"/>
      <c r="P2342" s="230"/>
      <c r="Q2342" s="219"/>
      <c r="R2342" s="198"/>
      <c r="S2342" s="198"/>
      <c r="T2342" s="198"/>
      <c r="U2342" s="198"/>
      <c r="V2342" s="198"/>
      <c r="W2342" s="198"/>
      <c r="X2342" s="198"/>
    </row>
    <row r="2343" ht="12.0" customHeight="1">
      <c r="A2343" s="222" t="str">
        <f>IF(COUNTIFS(RC_OUT[BLOCK],RC_IN[BLOCK],RC_OUT[REMARKS],"*CLOSED*")&gt;0,"CLOSED",IF(COUNTIFS(RC_OUT[BLOCK],RC_IN[BLOCK],RC_OUT[WT],"&gt;0")&gt;0,"IN-USE",""))
</f>
        <v/>
      </c>
      <c r="B2343" s="223" t="str">
        <f>IFERROR(__xludf.DUMMYFUNCTION("IFERROR(IF(F2343&lt;&gt;"""",""WHSE ""&amp;LEFT(F2343,1),REGEXEXTRACT(E2343,""-(?:\d{2}-)?([A-Z]+)"")),"""")
"),"")</f>
        <v/>
      </c>
      <c r="C2343" s="224"/>
      <c r="D2343" s="219"/>
      <c r="E2343" s="225"/>
      <c r="F2343" s="225"/>
      <c r="G2343" s="226"/>
      <c r="H2343" s="225"/>
      <c r="I2343" s="227"/>
      <c r="J2343" s="228"/>
      <c r="K2343" s="229"/>
      <c r="L2343" s="229"/>
      <c r="M2343" s="229"/>
      <c r="N2343" s="230"/>
      <c r="O2343" s="228"/>
      <c r="P2343" s="230"/>
      <c r="Q2343" s="219"/>
      <c r="R2343" s="198"/>
      <c r="S2343" s="198"/>
      <c r="T2343" s="198"/>
      <c r="U2343" s="198"/>
      <c r="V2343" s="198"/>
      <c r="W2343" s="198"/>
      <c r="X2343" s="198"/>
    </row>
    <row r="2344" ht="12.0" customHeight="1">
      <c r="A2344" s="222" t="str">
        <f>IF(COUNTIFS(RC_OUT[BLOCK],RC_IN[BLOCK],RC_OUT[REMARKS],"*CLOSED*")&gt;0,"CLOSED",IF(COUNTIFS(RC_OUT[BLOCK],RC_IN[BLOCK],RC_OUT[WT],"&gt;0")&gt;0,"IN-USE",""))
</f>
        <v/>
      </c>
      <c r="B2344" s="223" t="str">
        <f>IFERROR(__xludf.DUMMYFUNCTION("IFERROR(IF(F2344&lt;&gt;"""",""WHSE ""&amp;LEFT(F2344,1),REGEXEXTRACT(E2344,""-(?:\d{2}-)?([A-Z]+)"")),"""")
"),"")</f>
        <v/>
      </c>
      <c r="C2344" s="224"/>
      <c r="D2344" s="219"/>
      <c r="E2344" s="225"/>
      <c r="F2344" s="225"/>
      <c r="G2344" s="226"/>
      <c r="H2344" s="225"/>
      <c r="I2344" s="227"/>
      <c r="J2344" s="228"/>
      <c r="K2344" s="229"/>
      <c r="L2344" s="229"/>
      <c r="M2344" s="229"/>
      <c r="N2344" s="230"/>
      <c r="O2344" s="228"/>
      <c r="P2344" s="230"/>
      <c r="Q2344" s="219"/>
      <c r="R2344" s="198"/>
      <c r="S2344" s="198"/>
      <c r="T2344" s="198"/>
      <c r="U2344" s="198"/>
      <c r="V2344" s="198"/>
      <c r="W2344" s="198"/>
      <c r="X2344" s="198"/>
    </row>
    <row r="2345" ht="12.0" customHeight="1">
      <c r="A2345" s="222" t="str">
        <f>IF(COUNTIFS(RC_OUT[BLOCK],RC_IN[BLOCK],RC_OUT[REMARKS],"*CLOSED*")&gt;0,"CLOSED",IF(COUNTIFS(RC_OUT[BLOCK],RC_IN[BLOCK],RC_OUT[WT],"&gt;0")&gt;0,"IN-USE",""))
</f>
        <v/>
      </c>
      <c r="B2345" s="223" t="str">
        <f>IFERROR(__xludf.DUMMYFUNCTION("IFERROR(IF(F2345&lt;&gt;"""",""WHSE ""&amp;LEFT(F2345,1),REGEXEXTRACT(E2345,""-(?:\d{2}-)?([A-Z]+)"")),"""")
"),"")</f>
        <v/>
      </c>
      <c r="C2345" s="224"/>
      <c r="D2345" s="219"/>
      <c r="E2345" s="225"/>
      <c r="F2345" s="225"/>
      <c r="G2345" s="226"/>
      <c r="H2345" s="225"/>
      <c r="I2345" s="227"/>
      <c r="J2345" s="228"/>
      <c r="K2345" s="229"/>
      <c r="L2345" s="229"/>
      <c r="M2345" s="229"/>
      <c r="N2345" s="230"/>
      <c r="O2345" s="228"/>
      <c r="P2345" s="230"/>
      <c r="Q2345" s="219"/>
      <c r="R2345" s="198"/>
      <c r="S2345" s="198"/>
      <c r="T2345" s="198"/>
      <c r="U2345" s="198"/>
      <c r="V2345" s="198"/>
      <c r="W2345" s="198"/>
      <c r="X2345" s="198"/>
    </row>
    <row r="2346" ht="12.0" customHeight="1">
      <c r="A2346" s="222" t="str">
        <f>IF(COUNTIFS(RC_OUT[BLOCK],RC_IN[BLOCK],RC_OUT[REMARKS],"*CLOSED*")&gt;0,"CLOSED",IF(COUNTIFS(RC_OUT[BLOCK],RC_IN[BLOCK],RC_OUT[WT],"&gt;0")&gt;0,"IN-USE",""))
</f>
        <v/>
      </c>
      <c r="B2346" s="223" t="str">
        <f>IFERROR(__xludf.DUMMYFUNCTION("IFERROR(IF(F2346&lt;&gt;"""",""WHSE ""&amp;LEFT(F2346,1),REGEXEXTRACT(E2346,""-(?:\d{2}-)?([A-Z]+)"")),"""")
"),"")</f>
        <v/>
      </c>
      <c r="C2346" s="224"/>
      <c r="D2346" s="219"/>
      <c r="E2346" s="225"/>
      <c r="F2346" s="225"/>
      <c r="G2346" s="226"/>
      <c r="H2346" s="225"/>
      <c r="I2346" s="227"/>
      <c r="J2346" s="228"/>
      <c r="K2346" s="229"/>
      <c r="L2346" s="229"/>
      <c r="M2346" s="229"/>
      <c r="N2346" s="230"/>
      <c r="O2346" s="228"/>
      <c r="P2346" s="230"/>
      <c r="Q2346" s="219"/>
      <c r="R2346" s="198"/>
      <c r="S2346" s="198"/>
      <c r="T2346" s="198"/>
      <c r="U2346" s="198"/>
      <c r="V2346" s="198"/>
      <c r="W2346" s="198"/>
      <c r="X2346" s="198"/>
    </row>
    <row r="2347" ht="12.0" customHeight="1">
      <c r="A2347" s="222" t="str">
        <f>IF(COUNTIFS(RC_OUT[BLOCK],RC_IN[BLOCK],RC_OUT[REMARKS],"*CLOSED*")&gt;0,"CLOSED",IF(COUNTIFS(RC_OUT[BLOCK],RC_IN[BLOCK],RC_OUT[WT],"&gt;0")&gt;0,"IN-USE",""))
</f>
        <v/>
      </c>
      <c r="B2347" s="223" t="str">
        <f>IFERROR(__xludf.DUMMYFUNCTION("IFERROR(IF(F2347&lt;&gt;"""",""WHSE ""&amp;LEFT(F2347,1),REGEXEXTRACT(E2347,""-(?:\d{2}-)?([A-Z]+)"")),"""")
"),"")</f>
        <v/>
      </c>
      <c r="C2347" s="224"/>
      <c r="D2347" s="219"/>
      <c r="E2347" s="225"/>
      <c r="F2347" s="225"/>
      <c r="G2347" s="226"/>
      <c r="H2347" s="225"/>
      <c r="I2347" s="227"/>
      <c r="J2347" s="228"/>
      <c r="K2347" s="229"/>
      <c r="L2347" s="229"/>
      <c r="M2347" s="229"/>
      <c r="N2347" s="230"/>
      <c r="O2347" s="228"/>
      <c r="P2347" s="230"/>
      <c r="Q2347" s="219"/>
      <c r="R2347" s="198"/>
      <c r="S2347" s="198"/>
      <c r="T2347" s="198"/>
      <c r="U2347" s="198"/>
      <c r="V2347" s="198"/>
      <c r="W2347" s="198"/>
      <c r="X2347" s="198"/>
    </row>
    <row r="2348" ht="12.0" customHeight="1">
      <c r="A2348" s="222" t="str">
        <f>IF(COUNTIFS(RC_OUT[BLOCK],RC_IN[BLOCK],RC_OUT[REMARKS],"*CLOSED*")&gt;0,"CLOSED",IF(COUNTIFS(RC_OUT[BLOCK],RC_IN[BLOCK],RC_OUT[WT],"&gt;0")&gt;0,"IN-USE",""))
</f>
        <v/>
      </c>
      <c r="B2348" s="223" t="str">
        <f>IFERROR(__xludf.DUMMYFUNCTION("IFERROR(IF(F2348&lt;&gt;"""",""WHSE ""&amp;LEFT(F2348,1),REGEXEXTRACT(E2348,""-(?:\d{2}-)?([A-Z]+)"")),"""")
"),"")</f>
        <v/>
      </c>
      <c r="C2348" s="224"/>
      <c r="D2348" s="219"/>
      <c r="E2348" s="225"/>
      <c r="F2348" s="225"/>
      <c r="G2348" s="226"/>
      <c r="H2348" s="225"/>
      <c r="I2348" s="227"/>
      <c r="J2348" s="228"/>
      <c r="K2348" s="229"/>
      <c r="L2348" s="229"/>
      <c r="M2348" s="229"/>
      <c r="N2348" s="230"/>
      <c r="O2348" s="228"/>
      <c r="P2348" s="230"/>
      <c r="Q2348" s="219"/>
      <c r="R2348" s="198"/>
      <c r="S2348" s="198"/>
      <c r="T2348" s="198"/>
      <c r="U2348" s="198"/>
      <c r="V2348" s="198"/>
      <c r="W2348" s="198"/>
      <c r="X2348" s="198"/>
    </row>
    <row r="2349" ht="12.0" customHeight="1">
      <c r="A2349" s="222" t="str">
        <f>IF(COUNTIFS(RC_OUT[BLOCK],RC_IN[BLOCK],RC_OUT[REMARKS],"*CLOSED*")&gt;0,"CLOSED",IF(COUNTIFS(RC_OUT[BLOCK],RC_IN[BLOCK],RC_OUT[WT],"&gt;0")&gt;0,"IN-USE",""))
</f>
        <v/>
      </c>
      <c r="B2349" s="223" t="str">
        <f>IFERROR(__xludf.DUMMYFUNCTION("IFERROR(IF(F2349&lt;&gt;"""",""WHSE ""&amp;LEFT(F2349,1),REGEXEXTRACT(E2349,""-(?:\d{2}-)?([A-Z]+)"")),"""")
"),"")</f>
        <v/>
      </c>
      <c r="C2349" s="224"/>
      <c r="D2349" s="219"/>
      <c r="E2349" s="225"/>
      <c r="F2349" s="225"/>
      <c r="G2349" s="226"/>
      <c r="H2349" s="225"/>
      <c r="I2349" s="227"/>
      <c r="J2349" s="228"/>
      <c r="K2349" s="229"/>
      <c r="L2349" s="229"/>
      <c r="M2349" s="229"/>
      <c r="N2349" s="230"/>
      <c r="O2349" s="228"/>
      <c r="P2349" s="230"/>
      <c r="Q2349" s="219"/>
      <c r="R2349" s="198"/>
      <c r="S2349" s="198"/>
      <c r="T2349" s="198"/>
      <c r="U2349" s="198"/>
      <c r="V2349" s="198"/>
      <c r="W2349" s="198"/>
      <c r="X2349" s="198"/>
    </row>
    <row r="2350" ht="12.0" customHeight="1">
      <c r="A2350" s="222" t="str">
        <f>IF(COUNTIFS(RC_OUT[BLOCK],RC_IN[BLOCK],RC_OUT[REMARKS],"*CLOSED*")&gt;0,"CLOSED",IF(COUNTIFS(RC_OUT[BLOCK],RC_IN[BLOCK],RC_OUT[WT],"&gt;0")&gt;0,"IN-USE",""))
</f>
        <v/>
      </c>
      <c r="B2350" s="223" t="str">
        <f>IFERROR(__xludf.DUMMYFUNCTION("IFERROR(IF(F2350&lt;&gt;"""",""WHSE ""&amp;LEFT(F2350,1),REGEXEXTRACT(E2350,""-(?:\d{2}-)?([A-Z]+)"")),"""")
"),"")</f>
        <v/>
      </c>
      <c r="C2350" s="224"/>
      <c r="D2350" s="219"/>
      <c r="E2350" s="225"/>
      <c r="F2350" s="225"/>
      <c r="G2350" s="226"/>
      <c r="H2350" s="225"/>
      <c r="I2350" s="227"/>
      <c r="J2350" s="228"/>
      <c r="K2350" s="229"/>
      <c r="L2350" s="229"/>
      <c r="M2350" s="229"/>
      <c r="N2350" s="230"/>
      <c r="O2350" s="228"/>
      <c r="P2350" s="230"/>
      <c r="Q2350" s="219"/>
      <c r="R2350" s="198"/>
      <c r="S2350" s="198"/>
      <c r="T2350" s="198"/>
      <c r="U2350" s="198"/>
      <c r="V2350" s="198"/>
      <c r="W2350" s="198"/>
      <c r="X2350" s="198"/>
    </row>
    <row r="2351" ht="12.0" customHeight="1">
      <c r="A2351" s="222" t="str">
        <f>IF(COUNTIFS(RC_OUT[BLOCK],RC_IN[BLOCK],RC_OUT[REMARKS],"*CLOSED*")&gt;0,"CLOSED",IF(COUNTIFS(RC_OUT[BLOCK],RC_IN[BLOCK],RC_OUT[WT],"&gt;0")&gt;0,"IN-USE",""))
</f>
        <v/>
      </c>
      <c r="B2351" s="223" t="str">
        <f>IFERROR(__xludf.DUMMYFUNCTION("IFERROR(IF(F2351&lt;&gt;"""",""WHSE ""&amp;LEFT(F2351,1),REGEXEXTRACT(E2351,""-(?:\d{2}-)?([A-Z]+)"")),"""")
"),"")</f>
        <v/>
      </c>
      <c r="C2351" s="224"/>
      <c r="D2351" s="219"/>
      <c r="E2351" s="225"/>
      <c r="F2351" s="225"/>
      <c r="G2351" s="226"/>
      <c r="H2351" s="225"/>
      <c r="I2351" s="227"/>
      <c r="J2351" s="228"/>
      <c r="K2351" s="229"/>
      <c r="L2351" s="229"/>
      <c r="M2351" s="229"/>
      <c r="N2351" s="230"/>
      <c r="O2351" s="228"/>
      <c r="P2351" s="230"/>
      <c r="Q2351" s="219"/>
      <c r="R2351" s="198"/>
      <c r="S2351" s="198"/>
      <c r="T2351" s="198"/>
      <c r="U2351" s="198"/>
      <c r="V2351" s="198"/>
      <c r="W2351" s="198"/>
      <c r="X2351" s="198"/>
    </row>
    <row r="2352" ht="12.0" customHeight="1">
      <c r="A2352" s="222" t="str">
        <f>IF(COUNTIFS(RC_OUT[BLOCK],RC_IN[BLOCK],RC_OUT[REMARKS],"*CLOSED*")&gt;0,"CLOSED",IF(COUNTIFS(RC_OUT[BLOCK],RC_IN[BLOCK],RC_OUT[WT],"&gt;0")&gt;0,"IN-USE",""))
</f>
        <v/>
      </c>
      <c r="B2352" s="223" t="str">
        <f>IFERROR(__xludf.DUMMYFUNCTION("IFERROR(IF(F2352&lt;&gt;"""",""WHSE ""&amp;LEFT(F2352,1),REGEXEXTRACT(E2352,""-(?:\d{2}-)?([A-Z]+)"")),"""")
"),"")</f>
        <v/>
      </c>
      <c r="C2352" s="224"/>
      <c r="D2352" s="219"/>
      <c r="E2352" s="225"/>
      <c r="F2352" s="225"/>
      <c r="G2352" s="226"/>
      <c r="H2352" s="225"/>
      <c r="I2352" s="227"/>
      <c r="J2352" s="228"/>
      <c r="K2352" s="229"/>
      <c r="L2352" s="229"/>
      <c r="M2352" s="229"/>
      <c r="N2352" s="230"/>
      <c r="O2352" s="228"/>
      <c r="P2352" s="230"/>
      <c r="Q2352" s="219"/>
      <c r="R2352" s="198"/>
      <c r="S2352" s="198"/>
      <c r="T2352" s="198"/>
      <c r="U2352" s="198"/>
      <c r="V2352" s="198"/>
      <c r="W2352" s="198"/>
      <c r="X2352" s="198"/>
    </row>
    <row r="2353" ht="12.0" customHeight="1">
      <c r="A2353" s="222" t="str">
        <f>IF(COUNTIFS(RC_OUT[BLOCK],RC_IN[BLOCK],RC_OUT[REMARKS],"*CLOSED*")&gt;0,"CLOSED",IF(COUNTIFS(RC_OUT[BLOCK],RC_IN[BLOCK],RC_OUT[WT],"&gt;0")&gt;0,"IN-USE",""))
</f>
        <v/>
      </c>
      <c r="B2353" s="223" t="str">
        <f>IFERROR(__xludf.DUMMYFUNCTION("IFERROR(IF(F2353&lt;&gt;"""",""WHSE ""&amp;LEFT(F2353,1),REGEXEXTRACT(E2353,""-(?:\d{2}-)?([A-Z]+)"")),"""")
"),"")</f>
        <v/>
      </c>
      <c r="C2353" s="224"/>
      <c r="D2353" s="219"/>
      <c r="E2353" s="225"/>
      <c r="F2353" s="225"/>
      <c r="G2353" s="226"/>
      <c r="H2353" s="225"/>
      <c r="I2353" s="227"/>
      <c r="J2353" s="228"/>
      <c r="K2353" s="229"/>
      <c r="L2353" s="229"/>
      <c r="M2353" s="229"/>
      <c r="N2353" s="230"/>
      <c r="O2353" s="228"/>
      <c r="P2353" s="230"/>
      <c r="Q2353" s="219"/>
      <c r="R2353" s="198"/>
      <c r="S2353" s="198"/>
      <c r="T2353" s="198"/>
      <c r="U2353" s="198"/>
      <c r="V2353" s="198"/>
      <c r="W2353" s="198"/>
      <c r="X2353" s="198"/>
    </row>
    <row r="2354" ht="12.0" customHeight="1">
      <c r="A2354" s="222" t="str">
        <f>IF(COUNTIFS(RC_OUT[BLOCK],RC_IN[BLOCK],RC_OUT[REMARKS],"*CLOSED*")&gt;0,"CLOSED",IF(COUNTIFS(RC_OUT[BLOCK],RC_IN[BLOCK],RC_OUT[WT],"&gt;0")&gt;0,"IN-USE",""))
</f>
        <v/>
      </c>
      <c r="B2354" s="223" t="str">
        <f>IFERROR(__xludf.DUMMYFUNCTION("IFERROR(IF(F2354&lt;&gt;"""",""WHSE ""&amp;LEFT(F2354,1),REGEXEXTRACT(E2354,""-(?:\d{2}-)?([A-Z]+)"")),"""")
"),"")</f>
        <v/>
      </c>
      <c r="C2354" s="224"/>
      <c r="D2354" s="219"/>
      <c r="E2354" s="225"/>
      <c r="F2354" s="225"/>
      <c r="G2354" s="226"/>
      <c r="H2354" s="225"/>
      <c r="I2354" s="227"/>
      <c r="J2354" s="228"/>
      <c r="K2354" s="229"/>
      <c r="L2354" s="229"/>
      <c r="M2354" s="229"/>
      <c r="N2354" s="230"/>
      <c r="O2354" s="228"/>
      <c r="P2354" s="230"/>
      <c r="Q2354" s="219"/>
      <c r="R2354" s="198"/>
      <c r="S2354" s="198"/>
      <c r="T2354" s="198"/>
      <c r="U2354" s="198"/>
      <c r="V2354" s="198"/>
      <c r="W2354" s="198"/>
      <c r="X2354" s="198"/>
    </row>
    <row r="2355" ht="12.0" customHeight="1">
      <c r="A2355" s="222" t="str">
        <f>IF(COUNTIFS(RC_OUT[BLOCK],RC_IN[BLOCK],RC_OUT[REMARKS],"*CLOSED*")&gt;0,"CLOSED",IF(COUNTIFS(RC_OUT[BLOCK],RC_IN[BLOCK],RC_OUT[WT],"&gt;0")&gt;0,"IN-USE",""))
</f>
        <v/>
      </c>
      <c r="B2355" s="223" t="str">
        <f>IFERROR(__xludf.DUMMYFUNCTION("IFERROR(IF(F2355&lt;&gt;"""",""WHSE ""&amp;LEFT(F2355,1),REGEXEXTRACT(E2355,""-(?:\d{2}-)?([A-Z]+)"")),"""")
"),"")</f>
        <v/>
      </c>
      <c r="C2355" s="224"/>
      <c r="D2355" s="219"/>
      <c r="E2355" s="225"/>
      <c r="F2355" s="225"/>
      <c r="G2355" s="226"/>
      <c r="H2355" s="225"/>
      <c r="I2355" s="227"/>
      <c r="J2355" s="228"/>
      <c r="K2355" s="229"/>
      <c r="L2355" s="229"/>
      <c r="M2355" s="229"/>
      <c r="N2355" s="230"/>
      <c r="O2355" s="228"/>
      <c r="P2355" s="230"/>
      <c r="Q2355" s="219"/>
      <c r="R2355" s="198"/>
      <c r="S2355" s="198"/>
      <c r="T2355" s="198"/>
      <c r="U2355" s="198"/>
      <c r="V2355" s="198"/>
      <c r="W2355" s="198"/>
      <c r="X2355" s="198"/>
    </row>
    <row r="2356" ht="12.0" customHeight="1">
      <c r="A2356" s="222" t="str">
        <f>IF(COUNTIFS(RC_OUT[BLOCK],RC_IN[BLOCK],RC_OUT[REMARKS],"*CLOSED*")&gt;0,"CLOSED",IF(COUNTIFS(RC_OUT[BLOCK],RC_IN[BLOCK],RC_OUT[WT],"&gt;0")&gt;0,"IN-USE",""))
</f>
        <v/>
      </c>
      <c r="B2356" s="223" t="str">
        <f>IFERROR(__xludf.DUMMYFUNCTION("IFERROR(IF(F2356&lt;&gt;"""",""WHSE ""&amp;LEFT(F2356,1),REGEXEXTRACT(E2356,""-(?:\d{2}-)?([A-Z]+)"")),"""")
"),"")</f>
        <v/>
      </c>
      <c r="C2356" s="224"/>
      <c r="D2356" s="219"/>
      <c r="E2356" s="225"/>
      <c r="F2356" s="225"/>
      <c r="G2356" s="226"/>
      <c r="H2356" s="225"/>
      <c r="I2356" s="227"/>
      <c r="J2356" s="228"/>
      <c r="K2356" s="229"/>
      <c r="L2356" s="229"/>
      <c r="M2356" s="229"/>
      <c r="N2356" s="230"/>
      <c r="O2356" s="228"/>
      <c r="P2356" s="230"/>
      <c r="Q2356" s="219"/>
      <c r="R2356" s="198"/>
      <c r="S2356" s="198"/>
      <c r="T2356" s="198"/>
      <c r="U2356" s="198"/>
      <c r="V2356" s="198"/>
      <c r="W2356" s="198"/>
      <c r="X2356" s="198"/>
    </row>
    <row r="2357" ht="12.0" customHeight="1">
      <c r="A2357" s="222" t="str">
        <f>IF(COUNTIFS(RC_OUT[BLOCK],RC_IN[BLOCK],RC_OUT[REMARKS],"*CLOSED*")&gt;0,"CLOSED",IF(COUNTIFS(RC_OUT[BLOCK],RC_IN[BLOCK],RC_OUT[WT],"&gt;0")&gt;0,"IN-USE",""))
</f>
        <v/>
      </c>
      <c r="B2357" s="223" t="str">
        <f>IFERROR(__xludf.DUMMYFUNCTION("IFERROR(IF(F2357&lt;&gt;"""",""WHSE ""&amp;LEFT(F2357,1),REGEXEXTRACT(E2357,""-(?:\d{2}-)?([A-Z]+)"")),"""")
"),"")</f>
        <v/>
      </c>
      <c r="C2357" s="224"/>
      <c r="D2357" s="219"/>
      <c r="E2357" s="225"/>
      <c r="F2357" s="225"/>
      <c r="G2357" s="226"/>
      <c r="H2357" s="225"/>
      <c r="I2357" s="227"/>
      <c r="J2357" s="228"/>
      <c r="K2357" s="229"/>
      <c r="L2357" s="229"/>
      <c r="M2357" s="229"/>
      <c r="N2357" s="230"/>
      <c r="O2357" s="228"/>
      <c r="P2357" s="230"/>
      <c r="Q2357" s="219"/>
      <c r="R2357" s="198"/>
      <c r="S2357" s="198"/>
      <c r="T2357" s="198"/>
      <c r="U2357" s="198"/>
      <c r="V2357" s="198"/>
      <c r="W2357" s="198"/>
      <c r="X2357" s="198"/>
    </row>
    <row r="2358" ht="12.0" customHeight="1">
      <c r="A2358" s="222" t="str">
        <f>IF(COUNTIFS(RC_OUT[BLOCK],RC_IN[BLOCK],RC_OUT[REMARKS],"*CLOSED*")&gt;0,"CLOSED",IF(COUNTIFS(RC_OUT[BLOCK],RC_IN[BLOCK],RC_OUT[WT],"&gt;0")&gt;0,"IN-USE",""))
</f>
        <v/>
      </c>
      <c r="B2358" s="223" t="str">
        <f>IFERROR(__xludf.DUMMYFUNCTION("IFERROR(IF(F2358&lt;&gt;"""",""WHSE ""&amp;LEFT(F2358,1),REGEXEXTRACT(E2358,""-(?:\d{2}-)?([A-Z]+)"")),"""")
"),"")</f>
        <v/>
      </c>
      <c r="C2358" s="224"/>
      <c r="D2358" s="219"/>
      <c r="E2358" s="225"/>
      <c r="F2358" s="225"/>
      <c r="G2358" s="226"/>
      <c r="H2358" s="225"/>
      <c r="I2358" s="227"/>
      <c r="J2358" s="228"/>
      <c r="K2358" s="229"/>
      <c r="L2358" s="229"/>
      <c r="M2358" s="229"/>
      <c r="N2358" s="230"/>
      <c r="O2358" s="228"/>
      <c r="P2358" s="230"/>
      <c r="Q2358" s="219"/>
      <c r="R2358" s="198"/>
      <c r="S2358" s="198"/>
      <c r="T2358" s="198"/>
      <c r="U2358" s="198"/>
      <c r="V2358" s="198"/>
      <c r="W2358" s="198"/>
      <c r="X2358" s="198"/>
    </row>
    <row r="2359" ht="12.0" customHeight="1">
      <c r="A2359" s="222" t="str">
        <f>IF(COUNTIFS(RC_OUT[BLOCK],RC_IN[BLOCK],RC_OUT[REMARKS],"*CLOSED*")&gt;0,"CLOSED",IF(COUNTIFS(RC_OUT[BLOCK],RC_IN[BLOCK],RC_OUT[WT],"&gt;0")&gt;0,"IN-USE",""))
</f>
        <v/>
      </c>
      <c r="B2359" s="223" t="str">
        <f>IFERROR(__xludf.DUMMYFUNCTION("IFERROR(IF(F2359&lt;&gt;"""",""WHSE ""&amp;LEFT(F2359,1),REGEXEXTRACT(E2359,""-(?:\d{2}-)?([A-Z]+)"")),"""")
"),"")</f>
        <v/>
      </c>
      <c r="C2359" s="224"/>
      <c r="D2359" s="219"/>
      <c r="E2359" s="225"/>
      <c r="F2359" s="225"/>
      <c r="G2359" s="226"/>
      <c r="H2359" s="225"/>
      <c r="I2359" s="227"/>
      <c r="J2359" s="228"/>
      <c r="K2359" s="229"/>
      <c r="L2359" s="229"/>
      <c r="M2359" s="229"/>
      <c r="N2359" s="230"/>
      <c r="O2359" s="228"/>
      <c r="P2359" s="230"/>
      <c r="Q2359" s="219"/>
      <c r="R2359" s="198"/>
      <c r="S2359" s="198"/>
      <c r="T2359" s="198"/>
      <c r="U2359" s="198"/>
      <c r="V2359" s="198"/>
      <c r="W2359" s="198"/>
      <c r="X2359" s="198"/>
    </row>
    <row r="2360" ht="12.0" customHeight="1">
      <c r="A2360" s="222" t="str">
        <f>IF(COUNTIFS(RC_OUT[BLOCK],RC_IN[BLOCK],RC_OUT[REMARKS],"*CLOSED*")&gt;0,"CLOSED",IF(COUNTIFS(RC_OUT[BLOCK],RC_IN[BLOCK],RC_OUT[WT],"&gt;0")&gt;0,"IN-USE",""))
</f>
        <v/>
      </c>
      <c r="B2360" s="223" t="str">
        <f>IFERROR(__xludf.DUMMYFUNCTION("IFERROR(IF(F2360&lt;&gt;"""",""WHSE ""&amp;LEFT(F2360,1),REGEXEXTRACT(E2360,""-(?:\d{2}-)?([A-Z]+)"")),"""")
"),"")</f>
        <v/>
      </c>
      <c r="C2360" s="224"/>
      <c r="D2360" s="219"/>
      <c r="E2360" s="225"/>
      <c r="F2360" s="225"/>
      <c r="G2360" s="226"/>
      <c r="H2360" s="225"/>
      <c r="I2360" s="227"/>
      <c r="J2360" s="228"/>
      <c r="K2360" s="229"/>
      <c r="L2360" s="229"/>
      <c r="M2360" s="229"/>
      <c r="N2360" s="230"/>
      <c r="O2360" s="228"/>
      <c r="P2360" s="230"/>
      <c r="Q2360" s="219"/>
      <c r="R2360" s="198"/>
      <c r="S2360" s="198"/>
      <c r="T2360" s="198"/>
      <c r="U2360" s="198"/>
      <c r="V2360" s="198"/>
      <c r="W2360" s="198"/>
      <c r="X2360" s="198"/>
    </row>
    <row r="2361" ht="12.0" customHeight="1">
      <c r="A2361" s="222" t="str">
        <f>IF(COUNTIFS(RC_OUT[BLOCK],RC_IN[BLOCK],RC_OUT[REMARKS],"*CLOSED*")&gt;0,"CLOSED",IF(COUNTIFS(RC_OUT[BLOCK],RC_IN[BLOCK],RC_OUT[WT],"&gt;0")&gt;0,"IN-USE",""))
</f>
        <v/>
      </c>
      <c r="B2361" s="223" t="str">
        <f>IFERROR(__xludf.DUMMYFUNCTION("IFERROR(IF(F2361&lt;&gt;"""",""WHSE ""&amp;LEFT(F2361,1),REGEXEXTRACT(E2361,""-(?:\d{2}-)?([A-Z]+)"")),"""")
"),"")</f>
        <v/>
      </c>
      <c r="C2361" s="224"/>
      <c r="D2361" s="219"/>
      <c r="E2361" s="225"/>
      <c r="F2361" s="225"/>
      <c r="G2361" s="226"/>
      <c r="H2361" s="225"/>
      <c r="I2361" s="227"/>
      <c r="J2361" s="228"/>
      <c r="K2361" s="229"/>
      <c r="L2361" s="229"/>
      <c r="M2361" s="229"/>
      <c r="N2361" s="230"/>
      <c r="O2361" s="228"/>
      <c r="P2361" s="230"/>
      <c r="Q2361" s="219"/>
      <c r="R2361" s="198"/>
      <c r="S2361" s="198"/>
      <c r="T2361" s="198"/>
      <c r="U2361" s="198"/>
      <c r="V2361" s="198"/>
      <c r="W2361" s="198"/>
      <c r="X2361" s="198"/>
    </row>
    <row r="2362" ht="12.0" customHeight="1">
      <c r="A2362" s="222" t="str">
        <f>IF(COUNTIFS(RC_OUT[BLOCK],RC_IN[BLOCK],RC_OUT[REMARKS],"*CLOSED*")&gt;0,"CLOSED",IF(COUNTIFS(RC_OUT[BLOCK],RC_IN[BLOCK],RC_OUT[WT],"&gt;0")&gt;0,"IN-USE",""))
</f>
        <v/>
      </c>
      <c r="B2362" s="223" t="str">
        <f>IFERROR(__xludf.DUMMYFUNCTION("IFERROR(IF(F2362&lt;&gt;"""",""WHSE ""&amp;LEFT(F2362,1),REGEXEXTRACT(E2362,""-(?:\d{2}-)?([A-Z]+)"")),"""")
"),"")</f>
        <v/>
      </c>
      <c r="C2362" s="224"/>
      <c r="D2362" s="219"/>
      <c r="E2362" s="225"/>
      <c r="F2362" s="225"/>
      <c r="G2362" s="226"/>
      <c r="H2362" s="225"/>
      <c r="I2362" s="227"/>
      <c r="J2362" s="228"/>
      <c r="K2362" s="229"/>
      <c r="L2362" s="229"/>
      <c r="M2362" s="229"/>
      <c r="N2362" s="230"/>
      <c r="O2362" s="228"/>
      <c r="P2362" s="230"/>
      <c r="Q2362" s="219"/>
      <c r="R2362" s="198"/>
      <c r="S2362" s="198"/>
      <c r="T2362" s="198"/>
      <c r="U2362" s="198"/>
      <c r="V2362" s="198"/>
      <c r="W2362" s="198"/>
      <c r="X2362" s="198"/>
    </row>
    <row r="2363" ht="12.0" customHeight="1">
      <c r="A2363" s="222" t="str">
        <f>IF(COUNTIFS(RC_OUT[BLOCK],RC_IN[BLOCK],RC_OUT[REMARKS],"*CLOSED*")&gt;0,"CLOSED",IF(COUNTIFS(RC_OUT[BLOCK],RC_IN[BLOCK],RC_OUT[WT],"&gt;0")&gt;0,"IN-USE",""))
</f>
        <v/>
      </c>
      <c r="B2363" s="223" t="str">
        <f>IFERROR(__xludf.DUMMYFUNCTION("IFERROR(IF(F2363&lt;&gt;"""",""WHSE ""&amp;LEFT(F2363,1),REGEXEXTRACT(E2363,""-(?:\d{2}-)?([A-Z]+)"")),"""")
"),"")</f>
        <v/>
      </c>
      <c r="C2363" s="224"/>
      <c r="D2363" s="219"/>
      <c r="E2363" s="225"/>
      <c r="F2363" s="225"/>
      <c r="G2363" s="226"/>
      <c r="H2363" s="225"/>
      <c r="I2363" s="227"/>
      <c r="J2363" s="228"/>
      <c r="K2363" s="229"/>
      <c r="L2363" s="229"/>
      <c r="M2363" s="229"/>
      <c r="N2363" s="230"/>
      <c r="O2363" s="228"/>
      <c r="P2363" s="230"/>
      <c r="Q2363" s="219"/>
      <c r="R2363" s="198"/>
      <c r="S2363" s="198"/>
      <c r="T2363" s="198"/>
      <c r="U2363" s="198"/>
      <c r="V2363" s="198"/>
      <c r="W2363" s="198"/>
      <c r="X2363" s="198"/>
    </row>
    <row r="2364" ht="12.0" customHeight="1">
      <c r="A2364" s="222" t="str">
        <f>IF(COUNTIFS(RC_OUT[BLOCK],RC_IN[BLOCK],RC_OUT[REMARKS],"*CLOSED*")&gt;0,"CLOSED",IF(COUNTIFS(RC_OUT[BLOCK],RC_IN[BLOCK],RC_OUT[WT],"&gt;0")&gt;0,"IN-USE",""))
</f>
        <v/>
      </c>
      <c r="B2364" s="223" t="str">
        <f>IFERROR(__xludf.DUMMYFUNCTION("IFERROR(IF(F2364&lt;&gt;"""",""WHSE ""&amp;LEFT(F2364,1),REGEXEXTRACT(E2364,""-(?:\d{2}-)?([A-Z]+)"")),"""")
"),"")</f>
        <v/>
      </c>
      <c r="C2364" s="224"/>
      <c r="D2364" s="219"/>
      <c r="E2364" s="225"/>
      <c r="F2364" s="225"/>
      <c r="G2364" s="226"/>
      <c r="H2364" s="225"/>
      <c r="I2364" s="227"/>
      <c r="J2364" s="228"/>
      <c r="K2364" s="229"/>
      <c r="L2364" s="229"/>
      <c r="M2364" s="229"/>
      <c r="N2364" s="230"/>
      <c r="O2364" s="228"/>
      <c r="P2364" s="230"/>
      <c r="Q2364" s="219"/>
      <c r="R2364" s="198"/>
      <c r="S2364" s="198"/>
      <c r="T2364" s="198"/>
      <c r="U2364" s="198"/>
      <c r="V2364" s="198"/>
      <c r="W2364" s="198"/>
      <c r="X2364" s="198"/>
    </row>
    <row r="2365" ht="12.0" customHeight="1">
      <c r="A2365" s="222" t="str">
        <f>IF(COUNTIFS(RC_OUT[BLOCK],RC_IN[BLOCK],RC_OUT[REMARKS],"*CLOSED*")&gt;0,"CLOSED",IF(COUNTIFS(RC_OUT[BLOCK],RC_IN[BLOCK],RC_OUT[WT],"&gt;0")&gt;0,"IN-USE",""))
</f>
        <v/>
      </c>
      <c r="B2365" s="223" t="str">
        <f>IFERROR(__xludf.DUMMYFUNCTION("IFERROR(IF(F2365&lt;&gt;"""",""WHSE ""&amp;LEFT(F2365,1),REGEXEXTRACT(E2365,""-(?:\d{2}-)?([A-Z]+)"")),"""")
"),"")</f>
        <v/>
      </c>
      <c r="C2365" s="224"/>
      <c r="D2365" s="219"/>
      <c r="E2365" s="225"/>
      <c r="F2365" s="225"/>
      <c r="G2365" s="226"/>
      <c r="H2365" s="225"/>
      <c r="I2365" s="227"/>
      <c r="J2365" s="228"/>
      <c r="K2365" s="229"/>
      <c r="L2365" s="229"/>
      <c r="M2365" s="229"/>
      <c r="N2365" s="230"/>
      <c r="O2365" s="228"/>
      <c r="P2365" s="230"/>
      <c r="Q2365" s="219"/>
      <c r="R2365" s="198"/>
      <c r="S2365" s="198"/>
      <c r="T2365" s="198"/>
      <c r="U2365" s="198"/>
      <c r="V2365" s="198"/>
      <c r="W2365" s="198"/>
      <c r="X2365" s="198"/>
    </row>
    <row r="2366" ht="12.0" customHeight="1">
      <c r="A2366" s="222" t="str">
        <f>IF(COUNTIFS(RC_OUT[BLOCK],RC_IN[BLOCK],RC_OUT[REMARKS],"*CLOSED*")&gt;0,"CLOSED",IF(COUNTIFS(RC_OUT[BLOCK],RC_IN[BLOCK],RC_OUT[WT],"&gt;0")&gt;0,"IN-USE",""))
</f>
        <v/>
      </c>
      <c r="B2366" s="223" t="str">
        <f>IFERROR(__xludf.DUMMYFUNCTION("IFERROR(IF(F2366&lt;&gt;"""",""WHSE ""&amp;LEFT(F2366,1),REGEXEXTRACT(E2366,""-(?:\d{2}-)?([A-Z]+)"")),"""")
"),"")</f>
        <v/>
      </c>
      <c r="C2366" s="224"/>
      <c r="D2366" s="219"/>
      <c r="E2366" s="225"/>
      <c r="F2366" s="225"/>
      <c r="G2366" s="226"/>
      <c r="H2366" s="225"/>
      <c r="I2366" s="227"/>
      <c r="J2366" s="228"/>
      <c r="K2366" s="229"/>
      <c r="L2366" s="229"/>
      <c r="M2366" s="229"/>
      <c r="N2366" s="230"/>
      <c r="O2366" s="228"/>
      <c r="P2366" s="230"/>
      <c r="Q2366" s="219"/>
      <c r="R2366" s="198"/>
      <c r="S2366" s="198"/>
      <c r="T2366" s="198"/>
      <c r="U2366" s="198"/>
      <c r="V2366" s="198"/>
      <c r="W2366" s="198"/>
      <c r="X2366" s="198"/>
    </row>
    <row r="2367" ht="12.0" customHeight="1">
      <c r="A2367" s="222" t="str">
        <f>IF(COUNTIFS(RC_OUT[BLOCK],RC_IN[BLOCK],RC_OUT[REMARKS],"*CLOSED*")&gt;0,"CLOSED",IF(COUNTIFS(RC_OUT[BLOCK],RC_IN[BLOCK],RC_OUT[WT],"&gt;0")&gt;0,"IN-USE",""))
</f>
        <v/>
      </c>
      <c r="B2367" s="223" t="str">
        <f>IFERROR(__xludf.DUMMYFUNCTION("IFERROR(IF(F2367&lt;&gt;"""",""WHSE ""&amp;LEFT(F2367,1),REGEXEXTRACT(E2367,""-(?:\d{2}-)?([A-Z]+)"")),"""")
"),"")</f>
        <v/>
      </c>
      <c r="C2367" s="224"/>
      <c r="D2367" s="219"/>
      <c r="E2367" s="225"/>
      <c r="F2367" s="225"/>
      <c r="G2367" s="226"/>
      <c r="H2367" s="225"/>
      <c r="I2367" s="227"/>
      <c r="J2367" s="228"/>
      <c r="K2367" s="229"/>
      <c r="L2367" s="229"/>
      <c r="M2367" s="229"/>
      <c r="N2367" s="230"/>
      <c r="O2367" s="228"/>
      <c r="P2367" s="230"/>
      <c r="Q2367" s="219"/>
      <c r="R2367" s="198"/>
      <c r="S2367" s="198"/>
      <c r="T2367" s="198"/>
      <c r="U2367" s="198"/>
      <c r="V2367" s="198"/>
      <c r="W2367" s="198"/>
      <c r="X2367" s="198"/>
    </row>
    <row r="2368" ht="12.0" customHeight="1">
      <c r="A2368" s="222" t="str">
        <f>IF(COUNTIFS(RC_OUT[BLOCK],RC_IN[BLOCK],RC_OUT[REMARKS],"*CLOSED*")&gt;0,"CLOSED",IF(COUNTIFS(RC_OUT[BLOCK],RC_IN[BLOCK],RC_OUT[WT],"&gt;0")&gt;0,"IN-USE",""))
</f>
        <v/>
      </c>
      <c r="B2368" s="223" t="str">
        <f>IFERROR(__xludf.DUMMYFUNCTION("IFERROR(IF(F2368&lt;&gt;"""",""WHSE ""&amp;LEFT(F2368,1),REGEXEXTRACT(E2368,""-(?:\d{2}-)?([A-Z]+)"")),"""")
"),"")</f>
        <v/>
      </c>
      <c r="C2368" s="224"/>
      <c r="D2368" s="219"/>
      <c r="E2368" s="225"/>
      <c r="F2368" s="225"/>
      <c r="G2368" s="226"/>
      <c r="H2368" s="225"/>
      <c r="I2368" s="227"/>
      <c r="J2368" s="228"/>
      <c r="K2368" s="229"/>
      <c r="L2368" s="229"/>
      <c r="M2368" s="229"/>
      <c r="N2368" s="230"/>
      <c r="O2368" s="228"/>
      <c r="P2368" s="230"/>
      <c r="Q2368" s="219"/>
      <c r="R2368" s="198"/>
      <c r="S2368" s="198"/>
      <c r="T2368" s="198"/>
      <c r="U2368" s="198"/>
      <c r="V2368" s="198"/>
      <c r="W2368" s="198"/>
      <c r="X2368" s="198"/>
    </row>
    <row r="2369" ht="12.0" customHeight="1">
      <c r="A2369" s="222" t="str">
        <f>IF(COUNTIFS(RC_OUT[BLOCK],RC_IN[BLOCK],RC_OUT[REMARKS],"*CLOSED*")&gt;0,"CLOSED",IF(COUNTIFS(RC_OUT[BLOCK],RC_IN[BLOCK],RC_OUT[WT],"&gt;0")&gt;0,"IN-USE",""))
</f>
        <v/>
      </c>
      <c r="B2369" s="223" t="str">
        <f>IFERROR(__xludf.DUMMYFUNCTION("IFERROR(IF(F2369&lt;&gt;"""",""WHSE ""&amp;LEFT(F2369,1),REGEXEXTRACT(E2369,""-(?:\d{2}-)?([A-Z]+)"")),"""")
"),"")</f>
        <v/>
      </c>
      <c r="C2369" s="224"/>
      <c r="D2369" s="219"/>
      <c r="E2369" s="225"/>
      <c r="F2369" s="225"/>
      <c r="G2369" s="226"/>
      <c r="H2369" s="225"/>
      <c r="I2369" s="227"/>
      <c r="J2369" s="228"/>
      <c r="K2369" s="229"/>
      <c r="L2369" s="229"/>
      <c r="M2369" s="229"/>
      <c r="N2369" s="230"/>
      <c r="O2369" s="228"/>
      <c r="P2369" s="230"/>
      <c r="Q2369" s="219"/>
      <c r="R2369" s="198"/>
      <c r="S2369" s="198"/>
      <c r="T2369" s="198"/>
      <c r="U2369" s="198"/>
      <c r="V2369" s="198"/>
      <c r="W2369" s="198"/>
      <c r="X2369" s="198"/>
    </row>
    <row r="2370" ht="12.0" customHeight="1">
      <c r="A2370" s="222" t="str">
        <f>IF(COUNTIFS(RC_OUT[BLOCK],RC_IN[BLOCK],RC_OUT[REMARKS],"*CLOSED*")&gt;0,"CLOSED",IF(COUNTIFS(RC_OUT[BLOCK],RC_IN[BLOCK],RC_OUT[WT],"&gt;0")&gt;0,"IN-USE",""))
</f>
        <v/>
      </c>
      <c r="B2370" s="223" t="str">
        <f>IFERROR(__xludf.DUMMYFUNCTION("IFERROR(IF(F2370&lt;&gt;"""",""WHSE ""&amp;LEFT(F2370,1),REGEXEXTRACT(E2370,""-(?:\d{2}-)?([A-Z]+)"")),"""")
"),"")</f>
        <v/>
      </c>
      <c r="C2370" s="224"/>
      <c r="D2370" s="219"/>
      <c r="E2370" s="225"/>
      <c r="F2370" s="225"/>
      <c r="G2370" s="226"/>
      <c r="H2370" s="225"/>
      <c r="I2370" s="227"/>
      <c r="J2370" s="228"/>
      <c r="K2370" s="229"/>
      <c r="L2370" s="229"/>
      <c r="M2370" s="229"/>
      <c r="N2370" s="230"/>
      <c r="O2370" s="228"/>
      <c r="P2370" s="230"/>
      <c r="Q2370" s="219"/>
      <c r="R2370" s="198"/>
      <c r="S2370" s="198"/>
      <c r="T2370" s="198"/>
      <c r="U2370" s="198"/>
      <c r="V2370" s="198"/>
      <c r="W2370" s="198"/>
      <c r="X2370" s="198"/>
    </row>
    <row r="2371" ht="12.0" customHeight="1">
      <c r="A2371" s="222" t="str">
        <f>IF(COUNTIFS(RC_OUT[BLOCK],RC_IN[BLOCK],RC_OUT[REMARKS],"*CLOSED*")&gt;0,"CLOSED",IF(COUNTIFS(RC_OUT[BLOCK],RC_IN[BLOCK],RC_OUT[WT],"&gt;0")&gt;0,"IN-USE",""))
</f>
        <v/>
      </c>
      <c r="B2371" s="223" t="str">
        <f>IFERROR(__xludf.DUMMYFUNCTION("IFERROR(IF(F2371&lt;&gt;"""",""WHSE ""&amp;LEFT(F2371,1),REGEXEXTRACT(E2371,""-(?:\d{2}-)?([A-Z]+)"")),"""")
"),"")</f>
        <v/>
      </c>
      <c r="C2371" s="224"/>
      <c r="D2371" s="219"/>
      <c r="E2371" s="225"/>
      <c r="F2371" s="225"/>
      <c r="G2371" s="226"/>
      <c r="H2371" s="225"/>
      <c r="I2371" s="227"/>
      <c r="J2371" s="228"/>
      <c r="K2371" s="229"/>
      <c r="L2371" s="229"/>
      <c r="M2371" s="229"/>
      <c r="N2371" s="230"/>
      <c r="O2371" s="228"/>
      <c r="P2371" s="230"/>
      <c r="Q2371" s="219"/>
      <c r="R2371" s="198"/>
      <c r="S2371" s="198"/>
      <c r="T2371" s="198"/>
      <c r="U2371" s="198"/>
      <c r="V2371" s="198"/>
      <c r="W2371" s="198"/>
      <c r="X2371" s="198"/>
    </row>
    <row r="2372" ht="12.0" customHeight="1">
      <c r="A2372" s="222" t="str">
        <f>IF(COUNTIFS(RC_OUT[BLOCK],RC_IN[BLOCK],RC_OUT[REMARKS],"*CLOSED*")&gt;0,"CLOSED",IF(COUNTIFS(RC_OUT[BLOCK],RC_IN[BLOCK],RC_OUT[WT],"&gt;0")&gt;0,"IN-USE",""))
</f>
        <v/>
      </c>
      <c r="B2372" s="223" t="str">
        <f>IFERROR(__xludf.DUMMYFUNCTION("IFERROR(IF(F2372&lt;&gt;"""",""WHSE ""&amp;LEFT(F2372,1),REGEXEXTRACT(E2372,""-(?:\d{2}-)?([A-Z]+)"")),"""")
"),"")</f>
        <v/>
      </c>
      <c r="C2372" s="224"/>
      <c r="D2372" s="219"/>
      <c r="E2372" s="225"/>
      <c r="F2372" s="225"/>
      <c r="G2372" s="226"/>
      <c r="H2372" s="225"/>
      <c r="I2372" s="227"/>
      <c r="J2372" s="228"/>
      <c r="K2372" s="229"/>
      <c r="L2372" s="229"/>
      <c r="M2372" s="229"/>
      <c r="N2372" s="230"/>
      <c r="O2372" s="228"/>
      <c r="P2372" s="230"/>
      <c r="Q2372" s="219"/>
      <c r="R2372" s="198"/>
      <c r="S2372" s="198"/>
      <c r="T2372" s="198"/>
      <c r="U2372" s="198"/>
      <c r="V2372" s="198"/>
      <c r="W2372" s="198"/>
      <c r="X2372" s="198"/>
    </row>
    <row r="2373" ht="12.0" customHeight="1">
      <c r="A2373" s="222" t="str">
        <f>IF(COUNTIFS(RC_OUT[BLOCK],RC_IN[BLOCK],RC_OUT[REMARKS],"*CLOSED*")&gt;0,"CLOSED",IF(COUNTIFS(RC_OUT[BLOCK],RC_IN[BLOCK],RC_OUT[WT],"&gt;0")&gt;0,"IN-USE",""))
</f>
        <v/>
      </c>
      <c r="B2373" s="223" t="str">
        <f>IFERROR(__xludf.DUMMYFUNCTION("IFERROR(IF(F2373&lt;&gt;"""",""WHSE ""&amp;LEFT(F2373,1),REGEXEXTRACT(E2373,""-(?:\d{2}-)?([A-Z]+)"")),"""")
"),"")</f>
        <v/>
      </c>
      <c r="C2373" s="224"/>
      <c r="D2373" s="219"/>
      <c r="E2373" s="225"/>
      <c r="F2373" s="225"/>
      <c r="G2373" s="226"/>
      <c r="H2373" s="225"/>
      <c r="I2373" s="227"/>
      <c r="J2373" s="228"/>
      <c r="K2373" s="229"/>
      <c r="L2373" s="229"/>
      <c r="M2373" s="229"/>
      <c r="N2373" s="230"/>
      <c r="O2373" s="228"/>
      <c r="P2373" s="230"/>
      <c r="Q2373" s="219"/>
      <c r="R2373" s="198"/>
      <c r="S2373" s="198"/>
      <c r="T2373" s="198"/>
      <c r="U2373" s="198"/>
      <c r="V2373" s="198"/>
      <c r="W2373" s="198"/>
      <c r="X2373" s="198"/>
    </row>
    <row r="2374" ht="12.0" customHeight="1">
      <c r="A2374" s="222" t="str">
        <f>IF(COUNTIFS(RC_OUT[BLOCK],RC_IN[BLOCK],RC_OUT[REMARKS],"*CLOSED*")&gt;0,"CLOSED",IF(COUNTIFS(RC_OUT[BLOCK],RC_IN[BLOCK],RC_OUT[WT],"&gt;0")&gt;0,"IN-USE",""))
</f>
        <v/>
      </c>
      <c r="B2374" s="223" t="str">
        <f>IFERROR(__xludf.DUMMYFUNCTION("IFERROR(IF(F2374&lt;&gt;"""",""WHSE ""&amp;LEFT(F2374,1),REGEXEXTRACT(E2374,""-(?:\d{2}-)?([A-Z]+)"")),"""")
"),"")</f>
        <v/>
      </c>
      <c r="C2374" s="224"/>
      <c r="D2374" s="219"/>
      <c r="E2374" s="225"/>
      <c r="F2374" s="225"/>
      <c r="G2374" s="226"/>
      <c r="H2374" s="225"/>
      <c r="I2374" s="227"/>
      <c r="J2374" s="228"/>
      <c r="K2374" s="229"/>
      <c r="L2374" s="229"/>
      <c r="M2374" s="229"/>
      <c r="N2374" s="230"/>
      <c r="O2374" s="228"/>
      <c r="P2374" s="230"/>
      <c r="Q2374" s="219"/>
      <c r="R2374" s="198"/>
      <c r="S2374" s="198"/>
      <c r="T2374" s="198"/>
      <c r="U2374" s="198"/>
      <c r="V2374" s="198"/>
      <c r="W2374" s="198"/>
      <c r="X2374" s="198"/>
    </row>
    <row r="2375" ht="12.0" customHeight="1">
      <c r="A2375" s="222" t="str">
        <f>IF(COUNTIFS(RC_OUT[BLOCK],RC_IN[BLOCK],RC_OUT[REMARKS],"*CLOSED*")&gt;0,"CLOSED",IF(COUNTIFS(RC_OUT[BLOCK],RC_IN[BLOCK],RC_OUT[WT],"&gt;0")&gt;0,"IN-USE",""))
</f>
        <v/>
      </c>
      <c r="B2375" s="223" t="str">
        <f>IFERROR(__xludf.DUMMYFUNCTION("IFERROR(IF(F2375&lt;&gt;"""",""WHSE ""&amp;LEFT(F2375,1),REGEXEXTRACT(E2375,""-(?:\d{2}-)?([A-Z]+)"")),"""")
"),"")</f>
        <v/>
      </c>
      <c r="C2375" s="224"/>
      <c r="D2375" s="219"/>
      <c r="E2375" s="225"/>
      <c r="F2375" s="225"/>
      <c r="G2375" s="226"/>
      <c r="H2375" s="225"/>
      <c r="I2375" s="227"/>
      <c r="J2375" s="228"/>
      <c r="K2375" s="229"/>
      <c r="L2375" s="229"/>
      <c r="M2375" s="229"/>
      <c r="N2375" s="230"/>
      <c r="O2375" s="228"/>
      <c r="P2375" s="230"/>
      <c r="Q2375" s="219"/>
      <c r="R2375" s="198"/>
      <c r="S2375" s="198"/>
      <c r="T2375" s="198"/>
      <c r="U2375" s="198"/>
      <c r="V2375" s="198"/>
      <c r="W2375" s="198"/>
      <c r="X2375" s="198"/>
    </row>
    <row r="2376" ht="12.0" customHeight="1">
      <c r="A2376" s="222" t="str">
        <f>IF(COUNTIFS(RC_OUT[BLOCK],RC_IN[BLOCK],RC_OUT[REMARKS],"*CLOSED*")&gt;0,"CLOSED",IF(COUNTIFS(RC_OUT[BLOCK],RC_IN[BLOCK],RC_OUT[WT],"&gt;0")&gt;0,"IN-USE",""))
</f>
        <v/>
      </c>
      <c r="B2376" s="223" t="str">
        <f>IFERROR(__xludf.DUMMYFUNCTION("IFERROR(IF(F2376&lt;&gt;"""",""WHSE ""&amp;LEFT(F2376,1),REGEXEXTRACT(E2376,""-(?:\d{2}-)?([A-Z]+)"")),"""")
"),"")</f>
        <v/>
      </c>
      <c r="C2376" s="224"/>
      <c r="D2376" s="219"/>
      <c r="E2376" s="225"/>
      <c r="F2376" s="225"/>
      <c r="G2376" s="226"/>
      <c r="H2376" s="225"/>
      <c r="I2376" s="227"/>
      <c r="J2376" s="228"/>
      <c r="K2376" s="229"/>
      <c r="L2376" s="229"/>
      <c r="M2376" s="229"/>
      <c r="N2376" s="230"/>
      <c r="O2376" s="228"/>
      <c r="P2376" s="230"/>
      <c r="Q2376" s="219"/>
      <c r="R2376" s="198"/>
      <c r="S2376" s="198"/>
      <c r="T2376" s="198"/>
      <c r="U2376" s="198"/>
      <c r="V2376" s="198"/>
      <c r="W2376" s="198"/>
      <c r="X2376" s="198"/>
    </row>
    <row r="2377" ht="12.0" customHeight="1">
      <c r="A2377" s="222" t="str">
        <f>IF(COUNTIFS(RC_OUT[BLOCK],RC_IN[BLOCK],RC_OUT[REMARKS],"*CLOSED*")&gt;0,"CLOSED",IF(COUNTIFS(RC_OUT[BLOCK],RC_IN[BLOCK],RC_OUT[WT],"&gt;0")&gt;0,"IN-USE",""))
</f>
        <v/>
      </c>
      <c r="B2377" s="223" t="str">
        <f>IFERROR(__xludf.DUMMYFUNCTION("IFERROR(IF(F2377&lt;&gt;"""",""WHSE ""&amp;LEFT(F2377,1),REGEXEXTRACT(E2377,""-(?:\d{2}-)?([A-Z]+)"")),"""")
"),"")</f>
        <v/>
      </c>
      <c r="C2377" s="224"/>
      <c r="D2377" s="219"/>
      <c r="E2377" s="225"/>
      <c r="F2377" s="225"/>
      <c r="G2377" s="226"/>
      <c r="H2377" s="225"/>
      <c r="I2377" s="227"/>
      <c r="J2377" s="228"/>
      <c r="K2377" s="229"/>
      <c r="L2377" s="229"/>
      <c r="M2377" s="229"/>
      <c r="N2377" s="230"/>
      <c r="O2377" s="228"/>
      <c r="P2377" s="230"/>
      <c r="Q2377" s="219"/>
      <c r="R2377" s="198"/>
      <c r="S2377" s="198"/>
      <c r="T2377" s="198"/>
      <c r="U2377" s="198"/>
      <c r="V2377" s="198"/>
      <c r="W2377" s="198"/>
      <c r="X2377" s="198"/>
    </row>
    <row r="2378" ht="12.0" customHeight="1">
      <c r="A2378" s="222" t="str">
        <f>IF(COUNTIFS(RC_OUT[BLOCK],RC_IN[BLOCK],RC_OUT[REMARKS],"*CLOSED*")&gt;0,"CLOSED",IF(COUNTIFS(RC_OUT[BLOCK],RC_IN[BLOCK],RC_OUT[WT],"&gt;0")&gt;0,"IN-USE",""))
</f>
        <v/>
      </c>
      <c r="B2378" s="223" t="str">
        <f>IFERROR(__xludf.DUMMYFUNCTION("IFERROR(IF(F2378&lt;&gt;"""",""WHSE ""&amp;LEFT(F2378,1),REGEXEXTRACT(E2378,""-(?:\d{2}-)?([A-Z]+)"")),"""")
"),"")</f>
        <v/>
      </c>
      <c r="C2378" s="224"/>
      <c r="D2378" s="219"/>
      <c r="E2378" s="225"/>
      <c r="F2378" s="225"/>
      <c r="G2378" s="226"/>
      <c r="H2378" s="225"/>
      <c r="I2378" s="227"/>
      <c r="J2378" s="228"/>
      <c r="K2378" s="229"/>
      <c r="L2378" s="229"/>
      <c r="M2378" s="229"/>
      <c r="N2378" s="230"/>
      <c r="O2378" s="228"/>
      <c r="P2378" s="230"/>
      <c r="Q2378" s="219"/>
      <c r="R2378" s="198"/>
      <c r="S2378" s="198"/>
      <c r="T2378" s="198"/>
      <c r="U2378" s="198"/>
      <c r="V2378" s="198"/>
      <c r="W2378" s="198"/>
      <c r="X2378" s="198"/>
    </row>
    <row r="2379" ht="12.0" customHeight="1">
      <c r="A2379" s="222" t="str">
        <f>IF(COUNTIFS(RC_OUT[BLOCK],RC_IN[BLOCK],RC_OUT[REMARKS],"*CLOSED*")&gt;0,"CLOSED",IF(COUNTIFS(RC_OUT[BLOCK],RC_IN[BLOCK],RC_OUT[WT],"&gt;0")&gt;0,"IN-USE",""))
</f>
        <v/>
      </c>
      <c r="B2379" s="223" t="str">
        <f>IFERROR(__xludf.DUMMYFUNCTION("IFERROR(IF(F2379&lt;&gt;"""",""WHSE ""&amp;LEFT(F2379,1),REGEXEXTRACT(E2379,""-(?:\d{2}-)?([A-Z]+)"")),"""")
"),"")</f>
        <v/>
      </c>
      <c r="C2379" s="224"/>
      <c r="D2379" s="219"/>
      <c r="E2379" s="225"/>
      <c r="F2379" s="225"/>
      <c r="G2379" s="226"/>
      <c r="H2379" s="225"/>
      <c r="I2379" s="227"/>
      <c r="J2379" s="228"/>
      <c r="K2379" s="229"/>
      <c r="L2379" s="229"/>
      <c r="M2379" s="229"/>
      <c r="N2379" s="230"/>
      <c r="O2379" s="228"/>
      <c r="P2379" s="230"/>
      <c r="Q2379" s="219"/>
      <c r="R2379" s="198"/>
      <c r="S2379" s="198"/>
      <c r="T2379" s="198"/>
      <c r="U2379" s="198"/>
      <c r="V2379" s="198"/>
      <c r="W2379" s="198"/>
      <c r="X2379" s="198"/>
    </row>
    <row r="2380" ht="12.0" customHeight="1">
      <c r="A2380" s="222" t="str">
        <f>IF(COUNTIFS(RC_OUT[BLOCK],RC_IN[BLOCK],RC_OUT[REMARKS],"*CLOSED*")&gt;0,"CLOSED",IF(COUNTIFS(RC_OUT[BLOCK],RC_IN[BLOCK],RC_OUT[WT],"&gt;0")&gt;0,"IN-USE",""))
</f>
        <v/>
      </c>
      <c r="B2380" s="223" t="str">
        <f>IFERROR(__xludf.DUMMYFUNCTION("IFERROR(IF(F2380&lt;&gt;"""",""WHSE ""&amp;LEFT(F2380,1),REGEXEXTRACT(E2380,""-(?:\d{2}-)?([A-Z]+)"")),"""")
"),"")</f>
        <v/>
      </c>
      <c r="C2380" s="224"/>
      <c r="D2380" s="219"/>
      <c r="E2380" s="225"/>
      <c r="F2380" s="225"/>
      <c r="G2380" s="226"/>
      <c r="H2380" s="225"/>
      <c r="I2380" s="227"/>
      <c r="J2380" s="228"/>
      <c r="K2380" s="229"/>
      <c r="L2380" s="229"/>
      <c r="M2380" s="229"/>
      <c r="N2380" s="230"/>
      <c r="O2380" s="228"/>
      <c r="P2380" s="230"/>
      <c r="Q2380" s="219"/>
      <c r="R2380" s="198"/>
      <c r="S2380" s="198"/>
      <c r="T2380" s="198"/>
      <c r="U2380" s="198"/>
      <c r="V2380" s="198"/>
      <c r="W2380" s="198"/>
      <c r="X2380" s="198"/>
    </row>
    <row r="2381" ht="12.0" customHeight="1">
      <c r="A2381" s="222" t="str">
        <f>IF(COUNTIFS(RC_OUT[BLOCK],RC_IN[BLOCK],RC_OUT[REMARKS],"*CLOSED*")&gt;0,"CLOSED",IF(COUNTIFS(RC_OUT[BLOCK],RC_IN[BLOCK],RC_OUT[WT],"&gt;0")&gt;0,"IN-USE",""))
</f>
        <v/>
      </c>
      <c r="B2381" s="223" t="str">
        <f>IFERROR(__xludf.DUMMYFUNCTION("IFERROR(IF(F2381&lt;&gt;"""",""WHSE ""&amp;LEFT(F2381,1),REGEXEXTRACT(E2381,""-(?:\d{2}-)?([A-Z]+)"")),"""")
"),"")</f>
        <v/>
      </c>
      <c r="C2381" s="224"/>
      <c r="D2381" s="219"/>
      <c r="E2381" s="225"/>
      <c r="F2381" s="225"/>
      <c r="G2381" s="226"/>
      <c r="H2381" s="225"/>
      <c r="I2381" s="227"/>
      <c r="J2381" s="228"/>
      <c r="K2381" s="229"/>
      <c r="L2381" s="229"/>
      <c r="M2381" s="229"/>
      <c r="N2381" s="230"/>
      <c r="O2381" s="228"/>
      <c r="P2381" s="230"/>
      <c r="Q2381" s="219"/>
      <c r="R2381" s="198"/>
      <c r="S2381" s="198"/>
      <c r="T2381" s="198"/>
      <c r="U2381" s="198"/>
      <c r="V2381" s="198"/>
      <c r="W2381" s="198"/>
      <c r="X2381" s="198"/>
    </row>
    <row r="2382" ht="12.0" customHeight="1">
      <c r="A2382" s="222" t="str">
        <f>IF(COUNTIFS(RC_OUT[BLOCK],RC_IN[BLOCK],RC_OUT[REMARKS],"*CLOSED*")&gt;0,"CLOSED",IF(COUNTIFS(RC_OUT[BLOCK],RC_IN[BLOCK],RC_OUT[WT],"&gt;0")&gt;0,"IN-USE",""))
</f>
        <v/>
      </c>
      <c r="B2382" s="223" t="str">
        <f>IFERROR(__xludf.DUMMYFUNCTION("IFERROR(IF(F2382&lt;&gt;"""",""WHSE ""&amp;LEFT(F2382,1),REGEXEXTRACT(E2382,""-(?:\d{2}-)?([A-Z]+)"")),"""")
"),"")</f>
        <v/>
      </c>
      <c r="C2382" s="224"/>
      <c r="D2382" s="219"/>
      <c r="E2382" s="225"/>
      <c r="F2382" s="225"/>
      <c r="G2382" s="226"/>
      <c r="H2382" s="225"/>
      <c r="I2382" s="227"/>
      <c r="J2382" s="228"/>
      <c r="K2382" s="229"/>
      <c r="L2382" s="229"/>
      <c r="M2382" s="229"/>
      <c r="N2382" s="230"/>
      <c r="O2382" s="228"/>
      <c r="P2382" s="230"/>
      <c r="Q2382" s="219"/>
      <c r="R2382" s="198"/>
      <c r="S2382" s="198"/>
      <c r="T2382" s="198"/>
      <c r="U2382" s="198"/>
      <c r="V2382" s="198"/>
      <c r="W2382" s="198"/>
      <c r="X2382" s="198"/>
    </row>
    <row r="2383" ht="12.0" customHeight="1">
      <c r="A2383" s="222" t="str">
        <f>IF(COUNTIFS(RC_OUT[BLOCK],RC_IN[BLOCK],RC_OUT[REMARKS],"*CLOSED*")&gt;0,"CLOSED",IF(COUNTIFS(RC_OUT[BLOCK],RC_IN[BLOCK],RC_OUT[WT],"&gt;0")&gt;0,"IN-USE",""))
</f>
        <v/>
      </c>
      <c r="B2383" s="223" t="str">
        <f>IFERROR(__xludf.DUMMYFUNCTION("IFERROR(IF(F2383&lt;&gt;"""",""WHSE ""&amp;LEFT(F2383,1),REGEXEXTRACT(E2383,""-(?:\d{2}-)?([A-Z]+)"")),"""")
"),"")</f>
        <v/>
      </c>
      <c r="C2383" s="224"/>
      <c r="D2383" s="219"/>
      <c r="E2383" s="225"/>
      <c r="F2383" s="225"/>
      <c r="G2383" s="226"/>
      <c r="H2383" s="225"/>
      <c r="I2383" s="227"/>
      <c r="J2383" s="228"/>
      <c r="K2383" s="229"/>
      <c r="L2383" s="229"/>
      <c r="M2383" s="229"/>
      <c r="N2383" s="230"/>
      <c r="O2383" s="228"/>
      <c r="P2383" s="230"/>
      <c r="Q2383" s="219"/>
      <c r="R2383" s="198"/>
      <c r="S2383" s="198"/>
      <c r="T2383" s="198"/>
      <c r="U2383" s="198"/>
      <c r="V2383" s="198"/>
      <c r="W2383" s="198"/>
      <c r="X2383" s="198"/>
    </row>
    <row r="2384" ht="12.0" customHeight="1">
      <c r="A2384" s="222" t="str">
        <f>IF(COUNTIFS(RC_OUT[BLOCK],RC_IN[BLOCK],RC_OUT[REMARKS],"*CLOSED*")&gt;0,"CLOSED",IF(COUNTIFS(RC_OUT[BLOCK],RC_IN[BLOCK],RC_OUT[WT],"&gt;0")&gt;0,"IN-USE",""))
</f>
        <v/>
      </c>
      <c r="B2384" s="223" t="str">
        <f>IFERROR(__xludf.DUMMYFUNCTION("IFERROR(IF(F2384&lt;&gt;"""",""WHSE ""&amp;LEFT(F2384,1),REGEXEXTRACT(E2384,""-(?:\d{2}-)?([A-Z]+)"")),"""")
"),"")</f>
        <v/>
      </c>
      <c r="C2384" s="224"/>
      <c r="D2384" s="219"/>
      <c r="E2384" s="225"/>
      <c r="F2384" s="225"/>
      <c r="G2384" s="226"/>
      <c r="H2384" s="225"/>
      <c r="I2384" s="227"/>
      <c r="J2384" s="228"/>
      <c r="K2384" s="229"/>
      <c r="L2384" s="229"/>
      <c r="M2384" s="229"/>
      <c r="N2384" s="230"/>
      <c r="O2384" s="228"/>
      <c r="P2384" s="230"/>
      <c r="Q2384" s="219"/>
      <c r="R2384" s="198"/>
      <c r="S2384" s="198"/>
      <c r="T2384" s="198"/>
      <c r="U2384" s="198"/>
      <c r="V2384" s="198"/>
      <c r="W2384" s="198"/>
      <c r="X2384" s="198"/>
    </row>
    <row r="2385" ht="12.0" customHeight="1">
      <c r="A2385" s="222" t="str">
        <f>IF(COUNTIFS(RC_OUT[BLOCK],RC_IN[BLOCK],RC_OUT[REMARKS],"*CLOSED*")&gt;0,"CLOSED",IF(COUNTIFS(RC_OUT[BLOCK],RC_IN[BLOCK],RC_OUT[WT],"&gt;0")&gt;0,"IN-USE",""))
</f>
        <v/>
      </c>
      <c r="B2385" s="223" t="str">
        <f>IFERROR(__xludf.DUMMYFUNCTION("IFERROR(IF(F2385&lt;&gt;"""",""WHSE ""&amp;LEFT(F2385,1),REGEXEXTRACT(E2385,""-(?:\d{2}-)?([A-Z]+)"")),"""")
"),"")</f>
        <v/>
      </c>
      <c r="C2385" s="224"/>
      <c r="D2385" s="219"/>
      <c r="E2385" s="225"/>
      <c r="F2385" s="225"/>
      <c r="G2385" s="226"/>
      <c r="H2385" s="225"/>
      <c r="I2385" s="227"/>
      <c r="J2385" s="228"/>
      <c r="K2385" s="229"/>
      <c r="L2385" s="229"/>
      <c r="M2385" s="229"/>
      <c r="N2385" s="230"/>
      <c r="O2385" s="228"/>
      <c r="P2385" s="230"/>
      <c r="Q2385" s="219"/>
      <c r="R2385" s="198"/>
      <c r="S2385" s="198"/>
      <c r="T2385" s="198"/>
      <c r="U2385" s="198"/>
      <c r="V2385" s="198"/>
      <c r="W2385" s="198"/>
      <c r="X2385" s="198"/>
    </row>
    <row r="2386" ht="12.0" customHeight="1">
      <c r="A2386" s="222" t="str">
        <f>IF(COUNTIFS(RC_OUT[BLOCK],RC_IN[BLOCK],RC_OUT[REMARKS],"*CLOSED*")&gt;0,"CLOSED",IF(COUNTIFS(RC_OUT[BLOCK],RC_IN[BLOCK],RC_OUT[WT],"&gt;0")&gt;0,"IN-USE",""))
</f>
        <v/>
      </c>
      <c r="B2386" s="223" t="str">
        <f>IFERROR(__xludf.DUMMYFUNCTION("IFERROR(IF(F2386&lt;&gt;"""",""WHSE ""&amp;LEFT(F2386,1),REGEXEXTRACT(E2386,""-(?:\d{2}-)?([A-Z]+)"")),"""")
"),"")</f>
        <v/>
      </c>
      <c r="C2386" s="224"/>
      <c r="D2386" s="219"/>
      <c r="E2386" s="225"/>
      <c r="F2386" s="225"/>
      <c r="G2386" s="226"/>
      <c r="H2386" s="225"/>
      <c r="I2386" s="227"/>
      <c r="J2386" s="228"/>
      <c r="K2386" s="229"/>
      <c r="L2386" s="229"/>
      <c r="M2386" s="229"/>
      <c r="N2386" s="230"/>
      <c r="O2386" s="228"/>
      <c r="P2386" s="230"/>
      <c r="Q2386" s="219"/>
      <c r="R2386" s="198"/>
      <c r="S2386" s="198"/>
      <c r="T2386" s="198"/>
      <c r="U2386" s="198"/>
      <c r="V2386" s="198"/>
      <c r="W2386" s="198"/>
      <c r="X2386" s="198"/>
    </row>
    <row r="2387" ht="12.0" customHeight="1">
      <c r="A2387" s="222" t="str">
        <f>IF(COUNTIFS(RC_OUT[BLOCK],RC_IN[BLOCK],RC_OUT[REMARKS],"*CLOSED*")&gt;0,"CLOSED",IF(COUNTIFS(RC_OUT[BLOCK],RC_IN[BLOCK],RC_OUT[WT],"&gt;0")&gt;0,"IN-USE",""))
</f>
        <v/>
      </c>
      <c r="B2387" s="223" t="str">
        <f>IFERROR(__xludf.DUMMYFUNCTION("IFERROR(IF(F2387&lt;&gt;"""",""WHSE ""&amp;LEFT(F2387,1),REGEXEXTRACT(E2387,""-(?:\d{2}-)?([A-Z]+)"")),"""")
"),"")</f>
        <v/>
      </c>
      <c r="C2387" s="224"/>
      <c r="D2387" s="219"/>
      <c r="E2387" s="225"/>
      <c r="F2387" s="225"/>
      <c r="G2387" s="226"/>
      <c r="H2387" s="225"/>
      <c r="I2387" s="227"/>
      <c r="J2387" s="228"/>
      <c r="K2387" s="229"/>
      <c r="L2387" s="229"/>
      <c r="M2387" s="229"/>
      <c r="N2387" s="230"/>
      <c r="O2387" s="228"/>
      <c r="P2387" s="230"/>
      <c r="Q2387" s="219"/>
      <c r="R2387" s="198"/>
      <c r="S2387" s="198"/>
      <c r="T2387" s="198"/>
      <c r="U2387" s="198"/>
      <c r="V2387" s="198"/>
      <c r="W2387" s="198"/>
      <c r="X2387" s="198"/>
    </row>
    <row r="2388" ht="12.0" customHeight="1">
      <c r="A2388" s="222" t="str">
        <f>IF(COUNTIFS(RC_OUT[BLOCK],RC_IN[BLOCK],RC_OUT[REMARKS],"*CLOSED*")&gt;0,"CLOSED",IF(COUNTIFS(RC_OUT[BLOCK],RC_IN[BLOCK],RC_OUT[WT],"&gt;0")&gt;0,"IN-USE",""))
</f>
        <v/>
      </c>
      <c r="B2388" s="223" t="str">
        <f>IFERROR(__xludf.DUMMYFUNCTION("IFERROR(IF(F2388&lt;&gt;"""",""WHSE ""&amp;LEFT(F2388,1),REGEXEXTRACT(E2388,""-(?:\d{2}-)?([A-Z]+)"")),"""")
"),"")</f>
        <v/>
      </c>
      <c r="C2388" s="224"/>
      <c r="D2388" s="219"/>
      <c r="E2388" s="225"/>
      <c r="F2388" s="225"/>
      <c r="G2388" s="226"/>
      <c r="H2388" s="225"/>
      <c r="I2388" s="227"/>
      <c r="J2388" s="228"/>
      <c r="K2388" s="229"/>
      <c r="L2388" s="229"/>
      <c r="M2388" s="229"/>
      <c r="N2388" s="230"/>
      <c r="O2388" s="228"/>
      <c r="P2388" s="230"/>
      <c r="Q2388" s="219"/>
      <c r="R2388" s="198"/>
      <c r="S2388" s="198"/>
      <c r="T2388" s="198"/>
      <c r="U2388" s="198"/>
      <c r="V2388" s="198"/>
      <c r="W2388" s="198"/>
      <c r="X2388" s="198"/>
    </row>
    <row r="2389" ht="12.0" customHeight="1">
      <c r="A2389" s="222" t="str">
        <f>IF(COUNTIFS(RC_OUT[BLOCK],RC_IN[BLOCK],RC_OUT[REMARKS],"*CLOSED*")&gt;0,"CLOSED",IF(COUNTIFS(RC_OUT[BLOCK],RC_IN[BLOCK],RC_OUT[WT],"&gt;0")&gt;0,"IN-USE",""))
</f>
        <v/>
      </c>
      <c r="B2389" s="223" t="str">
        <f>IFERROR(__xludf.DUMMYFUNCTION("IFERROR(IF(F2389&lt;&gt;"""",""WHSE ""&amp;LEFT(F2389,1),REGEXEXTRACT(E2389,""-(?:\d{2}-)?([A-Z]+)"")),"""")
"),"")</f>
        <v/>
      </c>
      <c r="C2389" s="224"/>
      <c r="D2389" s="219"/>
      <c r="E2389" s="225"/>
      <c r="F2389" s="225"/>
      <c r="G2389" s="226"/>
      <c r="H2389" s="225"/>
      <c r="I2389" s="227"/>
      <c r="J2389" s="228"/>
      <c r="K2389" s="229"/>
      <c r="L2389" s="229"/>
      <c r="M2389" s="229"/>
      <c r="N2389" s="230"/>
      <c r="O2389" s="228"/>
      <c r="P2389" s="230"/>
      <c r="Q2389" s="219"/>
      <c r="R2389" s="198"/>
      <c r="S2389" s="198"/>
      <c r="T2389" s="198"/>
      <c r="U2389" s="198"/>
      <c r="V2389" s="198"/>
      <c r="W2389" s="198"/>
      <c r="X2389" s="198"/>
    </row>
    <row r="2390" ht="12.0" customHeight="1">
      <c r="A2390" s="222" t="str">
        <f>IF(COUNTIFS(RC_OUT[BLOCK],RC_IN[BLOCK],RC_OUT[REMARKS],"*CLOSED*")&gt;0,"CLOSED",IF(COUNTIFS(RC_OUT[BLOCK],RC_IN[BLOCK],RC_OUT[WT],"&gt;0")&gt;0,"IN-USE",""))
</f>
        <v/>
      </c>
      <c r="B2390" s="223" t="str">
        <f>IFERROR(__xludf.DUMMYFUNCTION("IFERROR(IF(F2390&lt;&gt;"""",""WHSE ""&amp;LEFT(F2390,1),REGEXEXTRACT(E2390,""-(?:\d{2}-)?([A-Z]+)"")),"""")
"),"")</f>
        <v/>
      </c>
      <c r="C2390" s="224"/>
      <c r="D2390" s="219"/>
      <c r="E2390" s="225"/>
      <c r="F2390" s="225"/>
      <c r="G2390" s="226"/>
      <c r="H2390" s="225"/>
      <c r="I2390" s="227"/>
      <c r="J2390" s="228"/>
      <c r="K2390" s="229"/>
      <c r="L2390" s="229"/>
      <c r="M2390" s="229"/>
      <c r="N2390" s="230"/>
      <c r="O2390" s="228"/>
      <c r="P2390" s="230"/>
      <c r="Q2390" s="219"/>
      <c r="R2390" s="198"/>
      <c r="S2390" s="198"/>
      <c r="T2390" s="198"/>
      <c r="U2390" s="198"/>
      <c r="V2390" s="198"/>
      <c r="W2390" s="198"/>
      <c r="X2390" s="198"/>
    </row>
    <row r="2391" ht="12.0" customHeight="1">
      <c r="A2391" s="222" t="str">
        <f>IF(COUNTIFS(RC_OUT[BLOCK],RC_IN[BLOCK],RC_OUT[REMARKS],"*CLOSED*")&gt;0,"CLOSED",IF(COUNTIFS(RC_OUT[BLOCK],RC_IN[BLOCK],RC_OUT[WT],"&gt;0")&gt;0,"IN-USE",""))
</f>
        <v/>
      </c>
      <c r="B2391" s="223" t="str">
        <f>IFERROR(__xludf.DUMMYFUNCTION("IFERROR(IF(F2391&lt;&gt;"""",""WHSE ""&amp;LEFT(F2391,1),REGEXEXTRACT(E2391,""-(?:\d{2}-)?([A-Z]+)"")),"""")
"),"")</f>
        <v/>
      </c>
      <c r="C2391" s="224"/>
      <c r="D2391" s="219"/>
      <c r="E2391" s="225"/>
      <c r="F2391" s="225"/>
      <c r="G2391" s="226"/>
      <c r="H2391" s="225"/>
      <c r="I2391" s="227"/>
      <c r="J2391" s="228"/>
      <c r="K2391" s="229"/>
      <c r="L2391" s="229"/>
      <c r="M2391" s="229"/>
      <c r="N2391" s="230"/>
      <c r="O2391" s="228"/>
      <c r="P2391" s="230"/>
      <c r="Q2391" s="219"/>
      <c r="R2391" s="198"/>
      <c r="S2391" s="198"/>
      <c r="T2391" s="198"/>
      <c r="U2391" s="198"/>
      <c r="V2391" s="198"/>
      <c r="W2391" s="198"/>
      <c r="X2391" s="198"/>
    </row>
    <row r="2392" ht="12.0" customHeight="1">
      <c r="A2392" s="222" t="str">
        <f>IF(COUNTIFS(RC_OUT[BLOCK],RC_IN[BLOCK],RC_OUT[REMARKS],"*CLOSED*")&gt;0,"CLOSED",IF(COUNTIFS(RC_OUT[BLOCK],RC_IN[BLOCK],RC_OUT[WT],"&gt;0")&gt;0,"IN-USE",""))
</f>
        <v/>
      </c>
      <c r="B2392" s="223" t="str">
        <f>IFERROR(__xludf.DUMMYFUNCTION("IFERROR(IF(F2392&lt;&gt;"""",""WHSE ""&amp;LEFT(F2392,1),REGEXEXTRACT(E2392,""-(?:\d{2}-)?([A-Z]+)"")),"""")
"),"")</f>
        <v/>
      </c>
      <c r="C2392" s="224"/>
      <c r="D2392" s="219"/>
      <c r="E2392" s="225"/>
      <c r="F2392" s="225"/>
      <c r="G2392" s="226"/>
      <c r="H2392" s="225"/>
      <c r="I2392" s="227"/>
      <c r="J2392" s="228"/>
      <c r="K2392" s="229"/>
      <c r="L2392" s="229"/>
      <c r="M2392" s="229"/>
      <c r="N2392" s="230"/>
      <c r="O2392" s="228"/>
      <c r="P2392" s="230"/>
      <c r="Q2392" s="219"/>
      <c r="R2392" s="198"/>
      <c r="S2392" s="198"/>
      <c r="T2392" s="198"/>
      <c r="U2392" s="198"/>
      <c r="V2392" s="198"/>
      <c r="W2392" s="198"/>
      <c r="X2392" s="198"/>
    </row>
    <row r="2393" ht="12.0" customHeight="1">
      <c r="A2393" s="222" t="str">
        <f>IF(COUNTIFS(RC_OUT[BLOCK],RC_IN[BLOCK],RC_OUT[REMARKS],"*CLOSED*")&gt;0,"CLOSED",IF(COUNTIFS(RC_OUT[BLOCK],RC_IN[BLOCK],RC_OUT[WT],"&gt;0")&gt;0,"IN-USE",""))
</f>
        <v/>
      </c>
      <c r="B2393" s="223" t="str">
        <f>IFERROR(__xludf.DUMMYFUNCTION("IFERROR(IF(F2393&lt;&gt;"""",""WHSE ""&amp;LEFT(F2393,1),REGEXEXTRACT(E2393,""-(?:\d{2}-)?([A-Z]+)"")),"""")
"),"")</f>
        <v/>
      </c>
      <c r="C2393" s="224"/>
      <c r="D2393" s="219"/>
      <c r="E2393" s="225"/>
      <c r="F2393" s="225"/>
      <c r="G2393" s="226"/>
      <c r="H2393" s="225"/>
      <c r="I2393" s="227"/>
      <c r="J2393" s="228"/>
      <c r="K2393" s="229"/>
      <c r="L2393" s="229"/>
      <c r="M2393" s="229"/>
      <c r="N2393" s="230"/>
      <c r="O2393" s="228"/>
      <c r="P2393" s="230"/>
      <c r="Q2393" s="219"/>
      <c r="R2393" s="198"/>
      <c r="S2393" s="198"/>
      <c r="T2393" s="198"/>
      <c r="U2393" s="198"/>
      <c r="V2393" s="198"/>
      <c r="W2393" s="198"/>
      <c r="X2393" s="198"/>
    </row>
    <row r="2394" ht="12.0" customHeight="1">
      <c r="A2394" s="222" t="str">
        <f>IF(COUNTIFS(RC_OUT[BLOCK],RC_IN[BLOCK],RC_OUT[REMARKS],"*CLOSED*")&gt;0,"CLOSED",IF(COUNTIFS(RC_OUT[BLOCK],RC_IN[BLOCK],RC_OUT[WT],"&gt;0")&gt;0,"IN-USE",""))
</f>
        <v/>
      </c>
      <c r="B2394" s="223" t="str">
        <f>IFERROR(__xludf.DUMMYFUNCTION("IFERROR(IF(F2394&lt;&gt;"""",""WHSE ""&amp;LEFT(F2394,1),REGEXEXTRACT(E2394,""-(?:\d{2}-)?([A-Z]+)"")),"""")
"),"")</f>
        <v/>
      </c>
      <c r="C2394" s="224"/>
      <c r="D2394" s="219"/>
      <c r="E2394" s="225"/>
      <c r="F2394" s="225"/>
      <c r="G2394" s="226"/>
      <c r="H2394" s="225"/>
      <c r="I2394" s="227"/>
      <c r="J2394" s="228"/>
      <c r="K2394" s="229"/>
      <c r="L2394" s="229"/>
      <c r="M2394" s="229"/>
      <c r="N2394" s="230"/>
      <c r="O2394" s="228"/>
      <c r="P2394" s="230"/>
      <c r="Q2394" s="219"/>
      <c r="R2394" s="198"/>
      <c r="S2394" s="198"/>
      <c r="T2394" s="198"/>
      <c r="U2394" s="198"/>
      <c r="V2394" s="198"/>
      <c r="W2394" s="198"/>
      <c r="X2394" s="198"/>
    </row>
    <row r="2395" ht="12.0" customHeight="1">
      <c r="A2395" s="222" t="str">
        <f>IF(COUNTIFS(RC_OUT[BLOCK],RC_IN[BLOCK],RC_OUT[REMARKS],"*CLOSED*")&gt;0,"CLOSED",IF(COUNTIFS(RC_OUT[BLOCK],RC_IN[BLOCK],RC_OUT[WT],"&gt;0")&gt;0,"IN-USE",""))
</f>
        <v/>
      </c>
      <c r="B2395" s="223" t="str">
        <f>IFERROR(__xludf.DUMMYFUNCTION("IFERROR(IF(F2395&lt;&gt;"""",""WHSE ""&amp;LEFT(F2395,1),REGEXEXTRACT(E2395,""-(?:\d{2}-)?([A-Z]+)"")),"""")
"),"")</f>
        <v/>
      </c>
      <c r="C2395" s="224"/>
      <c r="D2395" s="219"/>
      <c r="E2395" s="225"/>
      <c r="F2395" s="225"/>
      <c r="G2395" s="226"/>
      <c r="H2395" s="225"/>
      <c r="I2395" s="227"/>
      <c r="J2395" s="228"/>
      <c r="K2395" s="229"/>
      <c r="L2395" s="229"/>
      <c r="M2395" s="229"/>
      <c r="N2395" s="230"/>
      <c r="O2395" s="228"/>
      <c r="P2395" s="230"/>
      <c r="Q2395" s="219"/>
      <c r="R2395" s="198"/>
      <c r="S2395" s="198"/>
      <c r="T2395" s="198"/>
      <c r="U2395" s="198"/>
      <c r="V2395" s="198"/>
      <c r="W2395" s="198"/>
      <c r="X2395" s="198"/>
    </row>
    <row r="2396" ht="12.0" customHeight="1">
      <c r="A2396" s="222" t="str">
        <f>IF(COUNTIFS(RC_OUT[BLOCK],RC_IN[BLOCK],RC_OUT[REMARKS],"*CLOSED*")&gt;0,"CLOSED",IF(COUNTIFS(RC_OUT[BLOCK],RC_IN[BLOCK],RC_OUT[WT],"&gt;0")&gt;0,"IN-USE",""))
</f>
        <v/>
      </c>
      <c r="B2396" s="223" t="str">
        <f>IFERROR(__xludf.DUMMYFUNCTION("IFERROR(IF(F2396&lt;&gt;"""",""WHSE ""&amp;LEFT(F2396,1),REGEXEXTRACT(E2396,""-(?:\d{2}-)?([A-Z]+)"")),"""")
"),"")</f>
        <v/>
      </c>
      <c r="C2396" s="224"/>
      <c r="D2396" s="219"/>
      <c r="E2396" s="225"/>
      <c r="F2396" s="225"/>
      <c r="G2396" s="226"/>
      <c r="H2396" s="225"/>
      <c r="I2396" s="227"/>
      <c r="J2396" s="228"/>
      <c r="K2396" s="229"/>
      <c r="L2396" s="229"/>
      <c r="M2396" s="229"/>
      <c r="N2396" s="230"/>
      <c r="O2396" s="228"/>
      <c r="P2396" s="230"/>
      <c r="Q2396" s="219"/>
      <c r="R2396" s="198"/>
      <c r="S2396" s="198"/>
      <c r="T2396" s="198"/>
      <c r="U2396" s="198"/>
      <c r="V2396" s="198"/>
      <c r="W2396" s="198"/>
      <c r="X2396" s="198"/>
    </row>
    <row r="2397" ht="12.0" customHeight="1">
      <c r="A2397" s="222" t="str">
        <f>IF(COUNTIFS(RC_OUT[BLOCK],RC_IN[BLOCK],RC_OUT[REMARKS],"*CLOSED*")&gt;0,"CLOSED",IF(COUNTIFS(RC_OUT[BLOCK],RC_IN[BLOCK],RC_OUT[WT],"&gt;0")&gt;0,"IN-USE",""))
</f>
        <v/>
      </c>
      <c r="B2397" s="223" t="str">
        <f>IFERROR(__xludf.DUMMYFUNCTION("IFERROR(IF(F2397&lt;&gt;"""",""WHSE ""&amp;LEFT(F2397,1),REGEXEXTRACT(E2397,""-(?:\d{2}-)?([A-Z]+)"")),"""")
"),"")</f>
        <v/>
      </c>
      <c r="C2397" s="224"/>
      <c r="D2397" s="219"/>
      <c r="E2397" s="225"/>
      <c r="F2397" s="225"/>
      <c r="G2397" s="226"/>
      <c r="H2397" s="225"/>
      <c r="I2397" s="227"/>
      <c r="J2397" s="228"/>
      <c r="K2397" s="229"/>
      <c r="L2397" s="229"/>
      <c r="M2397" s="229"/>
      <c r="N2397" s="230"/>
      <c r="O2397" s="228"/>
      <c r="P2397" s="230"/>
      <c r="Q2397" s="219"/>
      <c r="R2397" s="198"/>
      <c r="S2397" s="198"/>
      <c r="T2397" s="198"/>
      <c r="U2397" s="198"/>
      <c r="V2397" s="198"/>
      <c r="W2397" s="198"/>
      <c r="X2397" s="198"/>
    </row>
    <row r="2398" ht="12.0" customHeight="1">
      <c r="A2398" s="222" t="str">
        <f>IF(COUNTIFS(RC_OUT[BLOCK],RC_IN[BLOCK],RC_OUT[REMARKS],"*CLOSED*")&gt;0,"CLOSED",IF(COUNTIFS(RC_OUT[BLOCK],RC_IN[BLOCK],RC_OUT[WT],"&gt;0")&gt;0,"IN-USE",""))
</f>
        <v/>
      </c>
      <c r="B2398" s="223" t="str">
        <f>IFERROR(__xludf.DUMMYFUNCTION("IFERROR(IF(F2398&lt;&gt;"""",""WHSE ""&amp;LEFT(F2398,1),REGEXEXTRACT(E2398,""-(?:\d{2}-)?([A-Z]+)"")),"""")
"),"")</f>
        <v/>
      </c>
      <c r="C2398" s="224"/>
      <c r="D2398" s="219"/>
      <c r="E2398" s="225"/>
      <c r="F2398" s="225"/>
      <c r="G2398" s="226"/>
      <c r="H2398" s="225"/>
      <c r="I2398" s="227"/>
      <c r="J2398" s="228"/>
      <c r="K2398" s="229"/>
      <c r="L2398" s="229"/>
      <c r="M2398" s="229"/>
      <c r="N2398" s="230"/>
      <c r="O2398" s="228"/>
      <c r="P2398" s="230"/>
      <c r="Q2398" s="219"/>
      <c r="R2398" s="198"/>
      <c r="S2398" s="198"/>
      <c r="T2398" s="198"/>
      <c r="U2398" s="198"/>
      <c r="V2398" s="198"/>
      <c r="W2398" s="198"/>
      <c r="X2398" s="198"/>
    </row>
    <row r="2399" ht="12.0" customHeight="1">
      <c r="A2399" s="222" t="str">
        <f>IF(COUNTIFS(RC_OUT[BLOCK],RC_IN[BLOCK],RC_OUT[REMARKS],"*CLOSED*")&gt;0,"CLOSED",IF(COUNTIFS(RC_OUT[BLOCK],RC_IN[BLOCK],RC_OUT[WT],"&gt;0")&gt;0,"IN-USE",""))
</f>
        <v/>
      </c>
      <c r="B2399" s="223" t="str">
        <f>IFERROR(__xludf.DUMMYFUNCTION("IFERROR(IF(F2399&lt;&gt;"""",""WHSE ""&amp;LEFT(F2399,1),REGEXEXTRACT(E2399,""-(?:\d{2}-)?([A-Z]+)"")),"""")
"),"")</f>
        <v/>
      </c>
      <c r="C2399" s="224"/>
      <c r="D2399" s="219"/>
      <c r="E2399" s="225"/>
      <c r="F2399" s="225"/>
      <c r="G2399" s="226"/>
      <c r="H2399" s="225"/>
      <c r="I2399" s="227"/>
      <c r="J2399" s="228"/>
      <c r="K2399" s="229"/>
      <c r="L2399" s="229"/>
      <c r="M2399" s="229"/>
      <c r="N2399" s="230"/>
      <c r="O2399" s="228"/>
      <c r="P2399" s="230"/>
      <c r="Q2399" s="219"/>
      <c r="R2399" s="198"/>
      <c r="S2399" s="198"/>
      <c r="T2399" s="198"/>
      <c r="U2399" s="198"/>
      <c r="V2399" s="198"/>
      <c r="W2399" s="198"/>
      <c r="X2399" s="198"/>
    </row>
    <row r="2400" ht="12.0" customHeight="1">
      <c r="A2400" s="222" t="str">
        <f>IF(COUNTIFS(RC_OUT[BLOCK],RC_IN[BLOCK],RC_OUT[REMARKS],"*CLOSED*")&gt;0,"CLOSED",IF(COUNTIFS(RC_OUT[BLOCK],RC_IN[BLOCK],RC_OUT[WT],"&gt;0")&gt;0,"IN-USE",""))
</f>
        <v/>
      </c>
      <c r="B2400" s="223" t="str">
        <f>IFERROR(__xludf.DUMMYFUNCTION("IFERROR(IF(F2400&lt;&gt;"""",""WHSE ""&amp;LEFT(F2400,1),REGEXEXTRACT(E2400,""-(?:\d{2}-)?([A-Z]+)"")),"""")
"),"")</f>
        <v/>
      </c>
      <c r="C2400" s="224"/>
      <c r="D2400" s="219"/>
      <c r="E2400" s="225"/>
      <c r="F2400" s="225"/>
      <c r="G2400" s="226"/>
      <c r="H2400" s="225"/>
      <c r="I2400" s="227"/>
      <c r="J2400" s="228"/>
      <c r="K2400" s="229"/>
      <c r="L2400" s="229"/>
      <c r="M2400" s="229"/>
      <c r="N2400" s="230"/>
      <c r="O2400" s="228"/>
      <c r="P2400" s="230"/>
      <c r="Q2400" s="219"/>
      <c r="R2400" s="198"/>
      <c r="S2400" s="198"/>
      <c r="T2400" s="198"/>
      <c r="U2400" s="198"/>
      <c r="V2400" s="198"/>
      <c r="W2400" s="198"/>
      <c r="X2400" s="198"/>
    </row>
    <row r="2401" ht="12.0" customHeight="1">
      <c r="A2401" s="222" t="str">
        <f>IF(COUNTIFS(RC_OUT[BLOCK],RC_IN[BLOCK],RC_OUT[REMARKS],"*CLOSED*")&gt;0,"CLOSED",IF(COUNTIFS(RC_OUT[BLOCK],RC_IN[BLOCK],RC_OUT[WT],"&gt;0")&gt;0,"IN-USE",""))
</f>
        <v/>
      </c>
      <c r="B2401" s="223" t="str">
        <f>IFERROR(__xludf.DUMMYFUNCTION("IFERROR(IF(F2401&lt;&gt;"""",""WHSE ""&amp;LEFT(F2401,1),REGEXEXTRACT(E2401,""-(?:\d{2}-)?([A-Z]+)"")),"""")
"),"")</f>
        <v/>
      </c>
      <c r="C2401" s="224"/>
      <c r="D2401" s="219"/>
      <c r="E2401" s="225"/>
      <c r="F2401" s="225"/>
      <c r="G2401" s="226"/>
      <c r="H2401" s="225"/>
      <c r="I2401" s="227"/>
      <c r="J2401" s="228"/>
      <c r="K2401" s="229"/>
      <c r="L2401" s="229"/>
      <c r="M2401" s="229"/>
      <c r="N2401" s="230"/>
      <c r="O2401" s="228"/>
      <c r="P2401" s="230"/>
      <c r="Q2401" s="219"/>
      <c r="R2401" s="198"/>
      <c r="S2401" s="198"/>
      <c r="T2401" s="198"/>
      <c r="U2401" s="198"/>
      <c r="V2401" s="198"/>
      <c r="W2401" s="198"/>
      <c r="X2401" s="198"/>
    </row>
    <row r="2402" ht="12.0" customHeight="1">
      <c r="A2402" s="222" t="str">
        <f>IF(COUNTIFS(RC_OUT[BLOCK],RC_IN[BLOCK],RC_OUT[REMARKS],"*CLOSED*")&gt;0,"CLOSED",IF(COUNTIFS(RC_OUT[BLOCK],RC_IN[BLOCK],RC_OUT[WT],"&gt;0")&gt;0,"IN-USE",""))
</f>
        <v/>
      </c>
      <c r="B2402" s="223" t="str">
        <f>IFERROR(__xludf.DUMMYFUNCTION("IFERROR(IF(F2402&lt;&gt;"""",""WHSE ""&amp;LEFT(F2402,1),REGEXEXTRACT(E2402,""-(?:\d{2}-)?([A-Z]+)"")),"""")
"),"")</f>
        <v/>
      </c>
      <c r="C2402" s="224"/>
      <c r="D2402" s="219"/>
      <c r="E2402" s="225"/>
      <c r="F2402" s="225"/>
      <c r="G2402" s="226"/>
      <c r="H2402" s="225"/>
      <c r="I2402" s="227"/>
      <c r="J2402" s="228"/>
      <c r="K2402" s="229"/>
      <c r="L2402" s="229"/>
      <c r="M2402" s="229"/>
      <c r="N2402" s="230"/>
      <c r="O2402" s="228"/>
      <c r="P2402" s="230"/>
      <c r="Q2402" s="219"/>
      <c r="R2402" s="198"/>
      <c r="S2402" s="198"/>
      <c r="T2402" s="198"/>
      <c r="U2402" s="198"/>
      <c r="V2402" s="198"/>
      <c r="W2402" s="198"/>
      <c r="X2402" s="198"/>
    </row>
    <row r="2403" ht="12.0" customHeight="1">
      <c r="A2403" s="222" t="str">
        <f>IF(COUNTIFS(RC_OUT[BLOCK],RC_IN[BLOCK],RC_OUT[REMARKS],"*CLOSED*")&gt;0,"CLOSED",IF(COUNTIFS(RC_OUT[BLOCK],RC_IN[BLOCK],RC_OUT[WT],"&gt;0")&gt;0,"IN-USE",""))
</f>
        <v/>
      </c>
      <c r="B2403" s="223" t="str">
        <f>IFERROR(__xludf.DUMMYFUNCTION("IFERROR(IF(F2403&lt;&gt;"""",""WHSE ""&amp;LEFT(F2403,1),REGEXEXTRACT(E2403,""-(?:\d{2}-)?([A-Z]+)"")),"""")
"),"")</f>
        <v/>
      </c>
      <c r="C2403" s="224"/>
      <c r="D2403" s="219"/>
      <c r="E2403" s="225"/>
      <c r="F2403" s="225"/>
      <c r="G2403" s="226"/>
      <c r="H2403" s="225"/>
      <c r="I2403" s="227"/>
      <c r="J2403" s="228"/>
      <c r="K2403" s="229"/>
      <c r="L2403" s="229"/>
      <c r="M2403" s="229"/>
      <c r="N2403" s="230"/>
      <c r="O2403" s="228"/>
      <c r="P2403" s="230"/>
      <c r="Q2403" s="219"/>
      <c r="R2403" s="198"/>
      <c r="S2403" s="198"/>
      <c r="T2403" s="198"/>
      <c r="U2403" s="198"/>
      <c r="V2403" s="198"/>
      <c r="W2403" s="198"/>
      <c r="X2403" s="198"/>
    </row>
    <row r="2404" ht="12.0" customHeight="1">
      <c r="A2404" s="222" t="str">
        <f>IF(COUNTIFS(RC_OUT[BLOCK],RC_IN[BLOCK],RC_OUT[REMARKS],"*CLOSED*")&gt;0,"CLOSED",IF(COUNTIFS(RC_OUT[BLOCK],RC_IN[BLOCK],RC_OUT[WT],"&gt;0")&gt;0,"IN-USE",""))
</f>
        <v/>
      </c>
      <c r="B2404" s="223" t="str">
        <f>IFERROR(__xludf.DUMMYFUNCTION("IFERROR(IF(F2404&lt;&gt;"""",""WHSE ""&amp;LEFT(F2404,1),REGEXEXTRACT(E2404,""-(?:\d{2}-)?([A-Z]+)"")),"""")
"),"")</f>
        <v/>
      </c>
      <c r="C2404" s="224"/>
      <c r="D2404" s="219"/>
      <c r="E2404" s="225"/>
      <c r="F2404" s="225"/>
      <c r="G2404" s="226"/>
      <c r="H2404" s="225"/>
      <c r="I2404" s="227"/>
      <c r="J2404" s="228"/>
      <c r="K2404" s="229"/>
      <c r="L2404" s="229"/>
      <c r="M2404" s="229"/>
      <c r="N2404" s="230"/>
      <c r="O2404" s="228"/>
      <c r="P2404" s="230"/>
      <c r="Q2404" s="219"/>
      <c r="R2404" s="198"/>
      <c r="S2404" s="198"/>
      <c r="T2404" s="198"/>
      <c r="U2404" s="198"/>
      <c r="V2404" s="198"/>
      <c r="W2404" s="198"/>
      <c r="X2404" s="198"/>
    </row>
    <row r="2405" ht="12.0" customHeight="1">
      <c r="A2405" s="222" t="str">
        <f>IF(COUNTIFS(RC_OUT[BLOCK],RC_IN[BLOCK],RC_OUT[REMARKS],"*CLOSED*")&gt;0,"CLOSED",IF(COUNTIFS(RC_OUT[BLOCK],RC_IN[BLOCK],RC_OUT[WT],"&gt;0")&gt;0,"IN-USE",""))
</f>
        <v/>
      </c>
      <c r="B2405" s="223" t="str">
        <f>IFERROR(__xludf.DUMMYFUNCTION("IFERROR(IF(F2405&lt;&gt;"""",""WHSE ""&amp;LEFT(F2405,1),REGEXEXTRACT(E2405,""-(?:\d{2}-)?([A-Z]+)"")),"""")
"),"")</f>
        <v/>
      </c>
      <c r="C2405" s="224"/>
      <c r="D2405" s="219"/>
      <c r="E2405" s="225"/>
      <c r="F2405" s="225"/>
      <c r="G2405" s="226"/>
      <c r="H2405" s="225"/>
      <c r="I2405" s="227"/>
      <c r="J2405" s="228"/>
      <c r="K2405" s="229"/>
      <c r="L2405" s="229"/>
      <c r="M2405" s="229"/>
      <c r="N2405" s="230"/>
      <c r="O2405" s="228"/>
      <c r="P2405" s="230"/>
      <c r="Q2405" s="219"/>
      <c r="R2405" s="198"/>
      <c r="S2405" s="198"/>
      <c r="T2405" s="198"/>
      <c r="U2405" s="198"/>
      <c r="V2405" s="198"/>
      <c r="W2405" s="198"/>
      <c r="X2405" s="198"/>
    </row>
    <row r="2406" ht="12.0" customHeight="1">
      <c r="A2406" s="222" t="str">
        <f>IF(COUNTIFS(RC_OUT[BLOCK],RC_IN[BLOCK],RC_OUT[REMARKS],"*CLOSED*")&gt;0,"CLOSED",IF(COUNTIFS(RC_OUT[BLOCK],RC_IN[BLOCK],RC_OUT[WT],"&gt;0")&gt;0,"IN-USE",""))
</f>
        <v/>
      </c>
      <c r="B2406" s="223" t="str">
        <f>IFERROR(__xludf.DUMMYFUNCTION("IFERROR(IF(F2406&lt;&gt;"""",""WHSE ""&amp;LEFT(F2406,1),REGEXEXTRACT(E2406,""-(?:\d{2}-)?([A-Z]+)"")),"""")
"),"")</f>
        <v/>
      </c>
      <c r="C2406" s="224"/>
      <c r="D2406" s="219"/>
      <c r="E2406" s="225"/>
      <c r="F2406" s="225"/>
      <c r="G2406" s="226"/>
      <c r="H2406" s="225"/>
      <c r="I2406" s="227"/>
      <c r="J2406" s="228"/>
      <c r="K2406" s="229"/>
      <c r="L2406" s="229"/>
      <c r="M2406" s="229"/>
      <c r="N2406" s="230"/>
      <c r="O2406" s="228"/>
      <c r="P2406" s="230"/>
      <c r="Q2406" s="219"/>
      <c r="R2406" s="198"/>
      <c r="S2406" s="198"/>
      <c r="T2406" s="198"/>
      <c r="U2406" s="198"/>
      <c r="V2406" s="198"/>
      <c r="W2406" s="198"/>
      <c r="X2406" s="198"/>
    </row>
    <row r="2407" ht="12.0" customHeight="1">
      <c r="A2407" s="222" t="str">
        <f>IF(COUNTIFS(RC_OUT[BLOCK],RC_IN[BLOCK],RC_OUT[REMARKS],"*CLOSED*")&gt;0,"CLOSED",IF(COUNTIFS(RC_OUT[BLOCK],RC_IN[BLOCK],RC_OUT[WT],"&gt;0")&gt;0,"IN-USE",""))
</f>
        <v/>
      </c>
      <c r="B2407" s="223" t="str">
        <f>IFERROR(__xludf.DUMMYFUNCTION("IFERROR(IF(F2407&lt;&gt;"""",""WHSE ""&amp;LEFT(F2407,1),REGEXEXTRACT(E2407,""-(?:\d{2}-)?([A-Z]+)"")),"""")
"),"")</f>
        <v/>
      </c>
      <c r="C2407" s="224"/>
      <c r="D2407" s="219"/>
      <c r="E2407" s="225"/>
      <c r="F2407" s="225"/>
      <c r="G2407" s="226"/>
      <c r="H2407" s="225"/>
      <c r="I2407" s="227"/>
      <c r="J2407" s="228"/>
      <c r="K2407" s="229"/>
      <c r="L2407" s="229"/>
      <c r="M2407" s="229"/>
      <c r="N2407" s="230"/>
      <c r="O2407" s="228"/>
      <c r="P2407" s="230"/>
      <c r="Q2407" s="219"/>
      <c r="R2407" s="198"/>
      <c r="S2407" s="198"/>
      <c r="T2407" s="198"/>
      <c r="U2407" s="198"/>
      <c r="V2407" s="198"/>
      <c r="W2407" s="198"/>
      <c r="X2407" s="198"/>
    </row>
    <row r="2408" ht="12.0" customHeight="1">
      <c r="A2408" s="222" t="str">
        <f>IF(COUNTIFS(RC_OUT[BLOCK],RC_IN[BLOCK],RC_OUT[REMARKS],"*CLOSED*")&gt;0,"CLOSED",IF(COUNTIFS(RC_OUT[BLOCK],RC_IN[BLOCK],RC_OUT[WT],"&gt;0")&gt;0,"IN-USE",""))
</f>
        <v/>
      </c>
      <c r="B2408" s="223" t="str">
        <f>IFERROR(__xludf.DUMMYFUNCTION("IFERROR(IF(F2408&lt;&gt;"""",""WHSE ""&amp;LEFT(F2408,1),REGEXEXTRACT(E2408,""-(?:\d{2}-)?([A-Z]+)"")),"""")
"),"")</f>
        <v/>
      </c>
      <c r="C2408" s="224"/>
      <c r="D2408" s="219"/>
      <c r="E2408" s="225"/>
      <c r="F2408" s="225"/>
      <c r="G2408" s="226"/>
      <c r="H2408" s="225"/>
      <c r="I2408" s="227"/>
      <c r="J2408" s="228"/>
      <c r="K2408" s="229"/>
      <c r="L2408" s="229"/>
      <c r="M2408" s="229"/>
      <c r="N2408" s="230"/>
      <c r="O2408" s="228"/>
      <c r="P2408" s="230"/>
      <c r="Q2408" s="219"/>
      <c r="R2408" s="198"/>
      <c r="S2408" s="198"/>
      <c r="T2408" s="198"/>
      <c r="U2408" s="198"/>
      <c r="V2408" s="198"/>
      <c r="W2408" s="198"/>
      <c r="X2408" s="198"/>
    </row>
    <row r="2409" ht="12.0" customHeight="1">
      <c r="A2409" s="222" t="str">
        <f>IF(COUNTIFS(RC_OUT[BLOCK],RC_IN[BLOCK],RC_OUT[REMARKS],"*CLOSED*")&gt;0,"CLOSED",IF(COUNTIFS(RC_OUT[BLOCK],RC_IN[BLOCK],RC_OUT[WT],"&gt;0")&gt;0,"IN-USE",""))
</f>
        <v/>
      </c>
      <c r="B2409" s="223" t="str">
        <f>IFERROR(__xludf.DUMMYFUNCTION("IFERROR(IF(F2409&lt;&gt;"""",""WHSE ""&amp;LEFT(F2409,1),REGEXEXTRACT(E2409,""-(?:\d{2}-)?([A-Z]+)"")),"""")
"),"")</f>
        <v/>
      </c>
      <c r="C2409" s="224"/>
      <c r="D2409" s="219"/>
      <c r="E2409" s="225"/>
      <c r="F2409" s="225"/>
      <c r="G2409" s="226"/>
      <c r="H2409" s="225"/>
      <c r="I2409" s="227"/>
      <c r="J2409" s="228"/>
      <c r="K2409" s="229"/>
      <c r="L2409" s="229"/>
      <c r="M2409" s="229"/>
      <c r="N2409" s="230"/>
      <c r="O2409" s="228"/>
      <c r="P2409" s="230"/>
      <c r="Q2409" s="219"/>
      <c r="R2409" s="198"/>
      <c r="S2409" s="198"/>
      <c r="T2409" s="198"/>
      <c r="U2409" s="198"/>
      <c r="V2409" s="198"/>
      <c r="W2409" s="198"/>
      <c r="X2409" s="198"/>
    </row>
    <row r="2410" ht="12.0" customHeight="1">
      <c r="A2410" s="222" t="str">
        <f>IF(COUNTIFS(RC_OUT[BLOCK],RC_IN[BLOCK],RC_OUT[REMARKS],"*CLOSED*")&gt;0,"CLOSED",IF(COUNTIFS(RC_OUT[BLOCK],RC_IN[BLOCK],RC_OUT[WT],"&gt;0")&gt;0,"IN-USE",""))
</f>
        <v/>
      </c>
      <c r="B2410" s="223" t="str">
        <f>IFERROR(__xludf.DUMMYFUNCTION("IFERROR(IF(F2410&lt;&gt;"""",""WHSE ""&amp;LEFT(F2410,1),REGEXEXTRACT(E2410,""-(?:\d{2}-)?([A-Z]+)"")),"""")
"),"")</f>
        <v/>
      </c>
      <c r="C2410" s="224"/>
      <c r="D2410" s="219"/>
      <c r="E2410" s="225"/>
      <c r="F2410" s="225"/>
      <c r="G2410" s="226"/>
      <c r="H2410" s="225"/>
      <c r="I2410" s="227"/>
      <c r="J2410" s="228"/>
      <c r="K2410" s="229"/>
      <c r="L2410" s="229"/>
      <c r="M2410" s="229"/>
      <c r="N2410" s="230"/>
      <c r="O2410" s="228"/>
      <c r="P2410" s="230"/>
      <c r="Q2410" s="219"/>
      <c r="R2410" s="198"/>
      <c r="S2410" s="198"/>
      <c r="T2410" s="198"/>
      <c r="U2410" s="198"/>
      <c r="V2410" s="198"/>
      <c r="W2410" s="198"/>
      <c r="X2410" s="198"/>
    </row>
    <row r="2411" ht="12.0" customHeight="1">
      <c r="A2411" s="222" t="str">
        <f>IF(COUNTIFS(RC_OUT[BLOCK],RC_IN[BLOCK],RC_OUT[REMARKS],"*CLOSED*")&gt;0,"CLOSED",IF(COUNTIFS(RC_OUT[BLOCK],RC_IN[BLOCK],RC_OUT[WT],"&gt;0")&gt;0,"IN-USE",""))
</f>
        <v/>
      </c>
      <c r="B2411" s="223" t="str">
        <f>IFERROR(__xludf.DUMMYFUNCTION("IFERROR(IF(F2411&lt;&gt;"""",""WHSE ""&amp;LEFT(F2411,1),REGEXEXTRACT(E2411,""-(?:\d{2}-)?([A-Z]+)"")),"""")
"),"")</f>
        <v/>
      </c>
      <c r="C2411" s="224"/>
      <c r="D2411" s="219"/>
      <c r="E2411" s="225"/>
      <c r="F2411" s="225"/>
      <c r="G2411" s="226"/>
      <c r="H2411" s="225"/>
      <c r="I2411" s="227"/>
      <c r="J2411" s="228"/>
      <c r="K2411" s="229"/>
      <c r="L2411" s="229"/>
      <c r="M2411" s="229"/>
      <c r="N2411" s="230"/>
      <c r="O2411" s="228"/>
      <c r="P2411" s="230"/>
      <c r="Q2411" s="219"/>
      <c r="R2411" s="198"/>
      <c r="S2411" s="198"/>
      <c r="T2411" s="198"/>
      <c r="U2411" s="198"/>
      <c r="V2411" s="198"/>
      <c r="W2411" s="198"/>
      <c r="X2411" s="198"/>
    </row>
    <row r="2412" ht="12.0" customHeight="1">
      <c r="A2412" s="222" t="str">
        <f>IF(COUNTIFS(RC_OUT[BLOCK],RC_IN[BLOCK],RC_OUT[REMARKS],"*CLOSED*")&gt;0,"CLOSED",IF(COUNTIFS(RC_OUT[BLOCK],RC_IN[BLOCK],RC_OUT[WT],"&gt;0")&gt;0,"IN-USE",""))
</f>
        <v/>
      </c>
      <c r="B2412" s="223" t="str">
        <f>IFERROR(__xludf.DUMMYFUNCTION("IFERROR(IF(F2412&lt;&gt;"""",""WHSE ""&amp;LEFT(F2412,1),REGEXEXTRACT(E2412,""-(?:\d{2}-)?([A-Z]+)"")),"""")
"),"")</f>
        <v/>
      </c>
      <c r="C2412" s="224"/>
      <c r="D2412" s="219"/>
      <c r="E2412" s="225"/>
      <c r="F2412" s="225"/>
      <c r="G2412" s="226"/>
      <c r="H2412" s="225"/>
      <c r="I2412" s="227"/>
      <c r="J2412" s="228"/>
      <c r="K2412" s="229"/>
      <c r="L2412" s="229"/>
      <c r="M2412" s="229"/>
      <c r="N2412" s="230"/>
      <c r="O2412" s="228"/>
      <c r="P2412" s="230"/>
      <c r="Q2412" s="219"/>
      <c r="R2412" s="198"/>
      <c r="S2412" s="198"/>
      <c r="T2412" s="198"/>
      <c r="U2412" s="198"/>
      <c r="V2412" s="198"/>
      <c r="W2412" s="198"/>
      <c r="X2412" s="198"/>
    </row>
    <row r="2413" ht="12.0" customHeight="1">
      <c r="A2413" s="222" t="str">
        <f>IF(COUNTIFS(RC_OUT[BLOCK],RC_IN[BLOCK],RC_OUT[REMARKS],"*CLOSED*")&gt;0,"CLOSED",IF(COUNTIFS(RC_OUT[BLOCK],RC_IN[BLOCK],RC_OUT[WT],"&gt;0")&gt;0,"IN-USE",""))
</f>
        <v/>
      </c>
      <c r="B2413" s="223" t="str">
        <f>IFERROR(__xludf.DUMMYFUNCTION("IFERROR(IF(F2413&lt;&gt;"""",""WHSE ""&amp;LEFT(F2413,1),REGEXEXTRACT(E2413,""-(?:\d{2}-)?([A-Z]+)"")),"""")
"),"")</f>
        <v/>
      </c>
      <c r="C2413" s="224"/>
      <c r="D2413" s="219"/>
      <c r="E2413" s="225"/>
      <c r="F2413" s="225"/>
      <c r="G2413" s="226"/>
      <c r="H2413" s="225"/>
      <c r="I2413" s="227"/>
      <c r="J2413" s="228"/>
      <c r="K2413" s="229"/>
      <c r="L2413" s="229"/>
      <c r="M2413" s="229"/>
      <c r="N2413" s="230"/>
      <c r="O2413" s="228"/>
      <c r="P2413" s="230"/>
      <c r="Q2413" s="219"/>
      <c r="R2413" s="198"/>
      <c r="S2413" s="198"/>
      <c r="T2413" s="198"/>
      <c r="U2413" s="198"/>
      <c r="V2413" s="198"/>
      <c r="W2413" s="198"/>
      <c r="X2413" s="198"/>
    </row>
    <row r="2414" ht="12.0" customHeight="1">
      <c r="A2414" s="222" t="str">
        <f>IF(COUNTIFS(RC_OUT[BLOCK],RC_IN[BLOCK],RC_OUT[REMARKS],"*CLOSED*")&gt;0,"CLOSED",IF(COUNTIFS(RC_OUT[BLOCK],RC_IN[BLOCK],RC_OUT[WT],"&gt;0")&gt;0,"IN-USE",""))
</f>
        <v/>
      </c>
      <c r="B2414" s="223" t="str">
        <f>IFERROR(__xludf.DUMMYFUNCTION("IFERROR(IF(F2414&lt;&gt;"""",""WHSE ""&amp;LEFT(F2414,1),REGEXEXTRACT(E2414,""-(?:\d{2}-)?([A-Z]+)"")),"""")
"),"")</f>
        <v/>
      </c>
      <c r="C2414" s="224"/>
      <c r="D2414" s="219"/>
      <c r="E2414" s="225"/>
      <c r="F2414" s="225"/>
      <c r="G2414" s="226"/>
      <c r="H2414" s="225"/>
      <c r="I2414" s="227"/>
      <c r="J2414" s="228"/>
      <c r="K2414" s="229"/>
      <c r="L2414" s="229"/>
      <c r="M2414" s="229"/>
      <c r="N2414" s="230"/>
      <c r="O2414" s="228"/>
      <c r="P2414" s="230"/>
      <c r="Q2414" s="219"/>
      <c r="R2414" s="198"/>
      <c r="S2414" s="198"/>
      <c r="T2414" s="198"/>
      <c r="U2414" s="198"/>
      <c r="V2414" s="198"/>
      <c r="W2414" s="198"/>
      <c r="X2414" s="198"/>
    </row>
    <row r="2415" ht="12.0" customHeight="1">
      <c r="A2415" s="222" t="str">
        <f>IF(COUNTIFS(RC_OUT[BLOCK],RC_IN[BLOCK],RC_OUT[REMARKS],"*CLOSED*")&gt;0,"CLOSED",IF(COUNTIFS(RC_OUT[BLOCK],RC_IN[BLOCK],RC_OUT[WT],"&gt;0")&gt;0,"IN-USE",""))
</f>
        <v/>
      </c>
      <c r="B2415" s="223" t="str">
        <f>IFERROR(__xludf.DUMMYFUNCTION("IFERROR(IF(F2415&lt;&gt;"""",""WHSE ""&amp;LEFT(F2415,1),REGEXEXTRACT(E2415,""-(?:\d{2}-)?([A-Z]+)"")),"""")
"),"")</f>
        <v/>
      </c>
      <c r="C2415" s="224"/>
      <c r="D2415" s="219"/>
      <c r="E2415" s="225"/>
      <c r="F2415" s="225"/>
      <c r="G2415" s="226"/>
      <c r="H2415" s="225"/>
      <c r="I2415" s="227"/>
      <c r="J2415" s="228"/>
      <c r="K2415" s="229"/>
      <c r="L2415" s="229"/>
      <c r="M2415" s="229"/>
      <c r="N2415" s="230"/>
      <c r="O2415" s="228"/>
      <c r="P2415" s="230"/>
      <c r="Q2415" s="219"/>
      <c r="R2415" s="198"/>
      <c r="S2415" s="198"/>
      <c r="T2415" s="198"/>
      <c r="U2415" s="198"/>
      <c r="V2415" s="198"/>
      <c r="W2415" s="198"/>
      <c r="X2415" s="198"/>
    </row>
    <row r="2416" ht="12.0" customHeight="1">
      <c r="A2416" s="222" t="str">
        <f>IF(COUNTIFS(RC_OUT[BLOCK],RC_IN[BLOCK],RC_OUT[REMARKS],"*CLOSED*")&gt;0,"CLOSED",IF(COUNTIFS(RC_OUT[BLOCK],RC_IN[BLOCK],RC_OUT[WT],"&gt;0")&gt;0,"IN-USE",""))
</f>
        <v/>
      </c>
      <c r="B2416" s="223" t="str">
        <f>IFERROR(__xludf.DUMMYFUNCTION("IFERROR(IF(F2416&lt;&gt;"""",""WHSE ""&amp;LEFT(F2416,1),REGEXEXTRACT(E2416,""-(?:\d{2}-)?([A-Z]+)"")),"""")
"),"")</f>
        <v/>
      </c>
      <c r="C2416" s="224"/>
      <c r="D2416" s="219"/>
      <c r="E2416" s="225"/>
      <c r="F2416" s="225"/>
      <c r="G2416" s="226"/>
      <c r="H2416" s="225"/>
      <c r="I2416" s="227"/>
      <c r="J2416" s="228"/>
      <c r="K2416" s="229"/>
      <c r="L2416" s="229"/>
      <c r="M2416" s="229"/>
      <c r="N2416" s="230"/>
      <c r="O2416" s="228"/>
      <c r="P2416" s="230"/>
      <c r="Q2416" s="219"/>
      <c r="R2416" s="198"/>
      <c r="S2416" s="198"/>
      <c r="T2416" s="198"/>
      <c r="U2416" s="198"/>
      <c r="V2416" s="198"/>
      <c r="W2416" s="198"/>
      <c r="X2416" s="198"/>
    </row>
    <row r="2417" ht="12.0" customHeight="1">
      <c r="A2417" s="222" t="str">
        <f>IF(COUNTIFS(RC_OUT[BLOCK],RC_IN[BLOCK],RC_OUT[REMARKS],"*CLOSED*")&gt;0,"CLOSED",IF(COUNTIFS(RC_OUT[BLOCK],RC_IN[BLOCK],RC_OUT[WT],"&gt;0")&gt;0,"IN-USE",""))
</f>
        <v/>
      </c>
      <c r="B2417" s="223" t="str">
        <f>IFERROR(__xludf.DUMMYFUNCTION("IFERROR(IF(F2417&lt;&gt;"""",""WHSE ""&amp;LEFT(F2417,1),REGEXEXTRACT(E2417,""-(?:\d{2}-)?([A-Z]+)"")),"""")
"),"")</f>
        <v/>
      </c>
      <c r="C2417" s="224"/>
      <c r="D2417" s="219"/>
      <c r="E2417" s="225"/>
      <c r="F2417" s="225"/>
      <c r="G2417" s="226"/>
      <c r="H2417" s="225"/>
      <c r="I2417" s="227"/>
      <c r="J2417" s="228"/>
      <c r="K2417" s="229"/>
      <c r="L2417" s="229"/>
      <c r="M2417" s="229"/>
      <c r="N2417" s="230"/>
      <c r="O2417" s="228"/>
      <c r="P2417" s="230"/>
      <c r="Q2417" s="219"/>
      <c r="R2417" s="198"/>
      <c r="S2417" s="198"/>
      <c r="T2417" s="198"/>
      <c r="U2417" s="198"/>
      <c r="V2417" s="198"/>
      <c r="W2417" s="198"/>
      <c r="X2417" s="198"/>
    </row>
    <row r="2418" ht="12.0" customHeight="1">
      <c r="A2418" s="222" t="str">
        <f>IF(COUNTIFS(RC_OUT[BLOCK],RC_IN[BLOCK],RC_OUT[REMARKS],"*CLOSED*")&gt;0,"CLOSED",IF(COUNTIFS(RC_OUT[BLOCK],RC_IN[BLOCK],RC_OUT[WT],"&gt;0")&gt;0,"IN-USE",""))
</f>
        <v/>
      </c>
      <c r="B2418" s="223" t="str">
        <f>IFERROR(__xludf.DUMMYFUNCTION("IFERROR(IF(F2418&lt;&gt;"""",""WHSE ""&amp;LEFT(F2418,1),REGEXEXTRACT(E2418,""-(?:\d{2}-)?([A-Z]+)"")),"""")
"),"")</f>
        <v/>
      </c>
      <c r="C2418" s="224"/>
      <c r="D2418" s="219"/>
      <c r="E2418" s="225"/>
      <c r="F2418" s="225"/>
      <c r="G2418" s="226"/>
      <c r="H2418" s="225"/>
      <c r="I2418" s="227"/>
      <c r="J2418" s="228"/>
      <c r="K2418" s="229"/>
      <c r="L2418" s="229"/>
      <c r="M2418" s="229"/>
      <c r="N2418" s="230"/>
      <c r="O2418" s="228"/>
      <c r="P2418" s="230"/>
      <c r="Q2418" s="219"/>
      <c r="R2418" s="198"/>
      <c r="S2418" s="198"/>
      <c r="T2418" s="198"/>
      <c r="U2418" s="198"/>
      <c r="V2418" s="198"/>
      <c r="W2418" s="198"/>
      <c r="X2418" s="198"/>
    </row>
    <row r="2419" ht="12.0" customHeight="1">
      <c r="A2419" s="222" t="str">
        <f>IF(COUNTIFS(RC_OUT[BLOCK],RC_IN[BLOCK],RC_OUT[REMARKS],"*CLOSED*")&gt;0,"CLOSED",IF(COUNTIFS(RC_OUT[BLOCK],RC_IN[BLOCK],RC_OUT[WT],"&gt;0")&gt;0,"IN-USE",""))
</f>
        <v/>
      </c>
      <c r="B2419" s="223" t="str">
        <f>IFERROR(__xludf.DUMMYFUNCTION("IFERROR(IF(F2419&lt;&gt;"""",""WHSE ""&amp;LEFT(F2419,1),REGEXEXTRACT(E2419,""-(?:\d{2}-)?([A-Z]+)"")),"""")
"),"")</f>
        <v/>
      </c>
      <c r="C2419" s="224"/>
      <c r="D2419" s="219"/>
      <c r="E2419" s="225"/>
      <c r="F2419" s="225"/>
      <c r="G2419" s="226"/>
      <c r="H2419" s="225"/>
      <c r="I2419" s="227"/>
      <c r="J2419" s="228"/>
      <c r="K2419" s="229"/>
      <c r="L2419" s="229"/>
      <c r="M2419" s="229"/>
      <c r="N2419" s="230"/>
      <c r="O2419" s="228"/>
      <c r="P2419" s="230"/>
      <c r="Q2419" s="219"/>
      <c r="R2419" s="198"/>
      <c r="S2419" s="198"/>
      <c r="T2419" s="198"/>
      <c r="U2419" s="198"/>
      <c r="V2419" s="198"/>
      <c r="W2419" s="198"/>
      <c r="X2419" s="198"/>
    </row>
    <row r="2420" ht="12.0" customHeight="1">
      <c r="A2420" s="222" t="str">
        <f>IF(COUNTIFS(RC_OUT[BLOCK],RC_IN[BLOCK],RC_OUT[REMARKS],"*CLOSED*")&gt;0,"CLOSED",IF(COUNTIFS(RC_OUT[BLOCK],RC_IN[BLOCK],RC_OUT[WT],"&gt;0")&gt;0,"IN-USE",""))
</f>
        <v/>
      </c>
      <c r="B2420" s="223" t="str">
        <f>IFERROR(__xludf.DUMMYFUNCTION("IFERROR(IF(F2420&lt;&gt;"""",""WHSE ""&amp;LEFT(F2420,1),REGEXEXTRACT(E2420,""-(?:\d{2}-)?([A-Z]+)"")),"""")
"),"")</f>
        <v/>
      </c>
      <c r="C2420" s="224"/>
      <c r="D2420" s="219"/>
      <c r="E2420" s="225"/>
      <c r="F2420" s="225"/>
      <c r="G2420" s="226"/>
      <c r="H2420" s="225"/>
      <c r="I2420" s="227"/>
      <c r="J2420" s="228"/>
      <c r="K2420" s="229"/>
      <c r="L2420" s="229"/>
      <c r="M2420" s="229"/>
      <c r="N2420" s="230"/>
      <c r="O2420" s="228"/>
      <c r="P2420" s="230"/>
      <c r="Q2420" s="219"/>
      <c r="R2420" s="198"/>
      <c r="S2420" s="198"/>
      <c r="T2420" s="198"/>
      <c r="U2420" s="198"/>
      <c r="V2420" s="198"/>
      <c r="W2420" s="198"/>
      <c r="X2420" s="198"/>
    </row>
    <row r="2421" ht="12.0" customHeight="1">
      <c r="A2421" s="222" t="str">
        <f>IF(COUNTIFS(RC_OUT[BLOCK],RC_IN[BLOCK],RC_OUT[REMARKS],"*CLOSED*")&gt;0,"CLOSED",IF(COUNTIFS(RC_OUT[BLOCK],RC_IN[BLOCK],RC_OUT[WT],"&gt;0")&gt;0,"IN-USE",""))
</f>
        <v/>
      </c>
      <c r="B2421" s="223" t="str">
        <f>IFERROR(__xludf.DUMMYFUNCTION("IFERROR(IF(F2421&lt;&gt;"""",""WHSE ""&amp;LEFT(F2421,1),REGEXEXTRACT(E2421,""-(?:\d{2}-)?([A-Z]+)"")),"""")
"),"")</f>
        <v/>
      </c>
      <c r="C2421" s="224"/>
      <c r="D2421" s="219"/>
      <c r="E2421" s="225"/>
      <c r="F2421" s="225"/>
      <c r="G2421" s="226"/>
      <c r="H2421" s="225"/>
      <c r="I2421" s="227"/>
      <c r="J2421" s="228"/>
      <c r="K2421" s="229"/>
      <c r="L2421" s="229"/>
      <c r="M2421" s="229"/>
      <c r="N2421" s="230"/>
      <c r="O2421" s="228"/>
      <c r="P2421" s="230"/>
      <c r="Q2421" s="219"/>
      <c r="R2421" s="198"/>
      <c r="S2421" s="198"/>
      <c r="T2421" s="198"/>
      <c r="U2421" s="198"/>
      <c r="V2421" s="198"/>
      <c r="W2421" s="198"/>
      <c r="X2421" s="198"/>
    </row>
    <row r="2422" ht="12.0" customHeight="1">
      <c r="A2422" s="222" t="str">
        <f>IF(COUNTIFS(RC_OUT[BLOCK],RC_IN[BLOCK],RC_OUT[REMARKS],"*CLOSED*")&gt;0,"CLOSED",IF(COUNTIFS(RC_OUT[BLOCK],RC_IN[BLOCK],RC_OUT[WT],"&gt;0")&gt;0,"IN-USE",""))
</f>
        <v/>
      </c>
      <c r="B2422" s="223" t="str">
        <f>IFERROR(__xludf.DUMMYFUNCTION("IFERROR(IF(F2422&lt;&gt;"""",""WHSE ""&amp;LEFT(F2422,1),REGEXEXTRACT(E2422,""-(?:\d{2}-)?([A-Z]+)"")),"""")
"),"")</f>
        <v/>
      </c>
      <c r="C2422" s="224"/>
      <c r="D2422" s="219"/>
      <c r="E2422" s="225"/>
      <c r="F2422" s="225"/>
      <c r="G2422" s="226"/>
      <c r="H2422" s="225"/>
      <c r="I2422" s="227"/>
      <c r="J2422" s="228"/>
      <c r="K2422" s="229"/>
      <c r="L2422" s="229"/>
      <c r="M2422" s="229"/>
      <c r="N2422" s="230"/>
      <c r="O2422" s="228"/>
      <c r="P2422" s="230"/>
      <c r="Q2422" s="219"/>
      <c r="R2422" s="198"/>
      <c r="S2422" s="198"/>
      <c r="T2422" s="198"/>
      <c r="U2422" s="198"/>
      <c r="V2422" s="198"/>
      <c r="W2422" s="198"/>
      <c r="X2422" s="198"/>
    </row>
    <row r="2423" ht="12.0" customHeight="1">
      <c r="A2423" s="222" t="str">
        <f>IF(COUNTIFS(RC_OUT[BLOCK],RC_IN[BLOCK],RC_OUT[REMARKS],"*CLOSED*")&gt;0,"CLOSED",IF(COUNTIFS(RC_OUT[BLOCK],RC_IN[BLOCK],RC_OUT[WT],"&gt;0")&gt;0,"IN-USE",""))
</f>
        <v/>
      </c>
      <c r="B2423" s="223" t="str">
        <f>IFERROR(__xludf.DUMMYFUNCTION("IFERROR(IF(F2423&lt;&gt;"""",""WHSE ""&amp;LEFT(F2423,1),REGEXEXTRACT(E2423,""-(?:\d{2}-)?([A-Z]+)"")),"""")
"),"")</f>
        <v/>
      </c>
      <c r="C2423" s="224"/>
      <c r="D2423" s="219"/>
      <c r="E2423" s="225"/>
      <c r="F2423" s="225"/>
      <c r="G2423" s="226"/>
      <c r="H2423" s="225"/>
      <c r="I2423" s="227"/>
      <c r="J2423" s="228"/>
      <c r="K2423" s="229"/>
      <c r="L2423" s="229"/>
      <c r="M2423" s="229"/>
      <c r="N2423" s="230"/>
      <c r="O2423" s="228"/>
      <c r="P2423" s="230"/>
      <c r="Q2423" s="219"/>
      <c r="R2423" s="198"/>
      <c r="S2423" s="198"/>
      <c r="T2423" s="198"/>
      <c r="U2423" s="198"/>
      <c r="V2423" s="198"/>
      <c r="W2423" s="198"/>
      <c r="X2423" s="198"/>
    </row>
    <row r="2424" ht="12.0" customHeight="1">
      <c r="A2424" s="222" t="str">
        <f>IF(COUNTIFS(RC_OUT[BLOCK],RC_IN[BLOCK],RC_OUT[REMARKS],"*CLOSED*")&gt;0,"CLOSED",IF(COUNTIFS(RC_OUT[BLOCK],RC_IN[BLOCK],RC_OUT[WT],"&gt;0")&gt;0,"IN-USE",""))
</f>
        <v/>
      </c>
      <c r="B2424" s="223" t="str">
        <f>IFERROR(__xludf.DUMMYFUNCTION("IFERROR(IF(F2424&lt;&gt;"""",""WHSE ""&amp;LEFT(F2424,1),REGEXEXTRACT(E2424,""-(?:\d{2}-)?([A-Z]+)"")),"""")
"),"")</f>
        <v/>
      </c>
      <c r="C2424" s="224"/>
      <c r="D2424" s="219"/>
      <c r="E2424" s="225"/>
      <c r="F2424" s="225"/>
      <c r="G2424" s="226"/>
      <c r="H2424" s="225"/>
      <c r="I2424" s="227"/>
      <c r="J2424" s="228"/>
      <c r="K2424" s="229"/>
      <c r="L2424" s="229"/>
      <c r="M2424" s="229"/>
      <c r="N2424" s="230"/>
      <c r="O2424" s="228"/>
      <c r="P2424" s="230"/>
      <c r="Q2424" s="219"/>
      <c r="R2424" s="198"/>
      <c r="S2424" s="198"/>
      <c r="T2424" s="198"/>
      <c r="U2424" s="198"/>
      <c r="V2424" s="198"/>
      <c r="W2424" s="198"/>
      <c r="X2424" s="198"/>
    </row>
    <row r="2425" ht="12.0" customHeight="1">
      <c r="A2425" s="222" t="str">
        <f>IF(COUNTIFS(RC_OUT[BLOCK],RC_IN[BLOCK],RC_OUT[REMARKS],"*CLOSED*")&gt;0,"CLOSED",IF(COUNTIFS(RC_OUT[BLOCK],RC_IN[BLOCK],RC_OUT[WT],"&gt;0")&gt;0,"IN-USE",""))
</f>
        <v/>
      </c>
      <c r="B2425" s="223" t="str">
        <f>IFERROR(__xludf.DUMMYFUNCTION("IFERROR(IF(F2425&lt;&gt;"""",""WHSE ""&amp;LEFT(F2425,1),REGEXEXTRACT(E2425,""-(?:\d{2}-)?([A-Z]+)"")),"""")
"),"")</f>
        <v/>
      </c>
      <c r="C2425" s="224"/>
      <c r="D2425" s="219"/>
      <c r="E2425" s="225"/>
      <c r="F2425" s="225"/>
      <c r="G2425" s="226"/>
      <c r="H2425" s="225"/>
      <c r="I2425" s="227"/>
      <c r="J2425" s="228"/>
      <c r="K2425" s="229"/>
      <c r="L2425" s="229"/>
      <c r="M2425" s="229"/>
      <c r="N2425" s="230"/>
      <c r="O2425" s="228"/>
      <c r="P2425" s="230"/>
      <c r="Q2425" s="219"/>
      <c r="R2425" s="198"/>
      <c r="S2425" s="198"/>
      <c r="T2425" s="198"/>
      <c r="U2425" s="198"/>
      <c r="V2425" s="198"/>
      <c r="W2425" s="198"/>
      <c r="X2425" s="198"/>
    </row>
    <row r="2426" ht="12.0" customHeight="1">
      <c r="A2426" s="222" t="str">
        <f>IF(COUNTIFS(RC_OUT[BLOCK],RC_IN[BLOCK],RC_OUT[REMARKS],"*CLOSED*")&gt;0,"CLOSED",IF(COUNTIFS(RC_OUT[BLOCK],RC_IN[BLOCK],RC_OUT[WT],"&gt;0")&gt;0,"IN-USE",""))
</f>
        <v/>
      </c>
      <c r="B2426" s="223" t="str">
        <f>IFERROR(__xludf.DUMMYFUNCTION("IFERROR(IF(F2426&lt;&gt;"""",""WHSE ""&amp;LEFT(F2426,1),REGEXEXTRACT(E2426,""-(?:\d{2}-)?([A-Z]+)"")),"""")
"),"")</f>
        <v/>
      </c>
      <c r="C2426" s="224"/>
      <c r="D2426" s="219"/>
      <c r="E2426" s="225"/>
      <c r="F2426" s="225"/>
      <c r="G2426" s="226"/>
      <c r="H2426" s="225"/>
      <c r="I2426" s="227"/>
      <c r="J2426" s="228"/>
      <c r="K2426" s="229"/>
      <c r="L2426" s="229"/>
      <c r="M2426" s="229"/>
      <c r="N2426" s="230"/>
      <c r="O2426" s="228"/>
      <c r="P2426" s="230"/>
      <c r="Q2426" s="219"/>
      <c r="R2426" s="198"/>
      <c r="S2426" s="198"/>
      <c r="T2426" s="198"/>
      <c r="U2426" s="198"/>
      <c r="V2426" s="198"/>
      <c r="W2426" s="198"/>
      <c r="X2426" s="198"/>
    </row>
    <row r="2427" ht="12.0" customHeight="1">
      <c r="A2427" s="222" t="str">
        <f>IF(COUNTIFS(RC_OUT[BLOCK],RC_IN[BLOCK],RC_OUT[REMARKS],"*CLOSED*")&gt;0,"CLOSED",IF(COUNTIFS(RC_OUT[BLOCK],RC_IN[BLOCK],RC_OUT[WT],"&gt;0")&gt;0,"IN-USE",""))
</f>
        <v/>
      </c>
      <c r="B2427" s="223" t="str">
        <f>IFERROR(__xludf.DUMMYFUNCTION("IFERROR(IF(F2427&lt;&gt;"""",""WHSE ""&amp;LEFT(F2427,1),REGEXEXTRACT(E2427,""-(?:\d{2}-)?([A-Z]+)"")),"""")
"),"")</f>
        <v/>
      </c>
      <c r="C2427" s="224"/>
      <c r="D2427" s="219"/>
      <c r="E2427" s="225"/>
      <c r="F2427" s="225"/>
      <c r="G2427" s="226"/>
      <c r="H2427" s="225"/>
      <c r="I2427" s="227"/>
      <c r="J2427" s="228"/>
      <c r="K2427" s="229"/>
      <c r="L2427" s="229"/>
      <c r="M2427" s="229"/>
      <c r="N2427" s="230"/>
      <c r="O2427" s="228"/>
      <c r="P2427" s="230"/>
      <c r="Q2427" s="219"/>
      <c r="R2427" s="198"/>
      <c r="S2427" s="198"/>
      <c r="T2427" s="198"/>
      <c r="U2427" s="198"/>
      <c r="V2427" s="198"/>
      <c r="W2427" s="198"/>
      <c r="X2427" s="198"/>
    </row>
    <row r="2428" ht="12.0" customHeight="1">
      <c r="A2428" s="222" t="str">
        <f>IF(COUNTIFS(RC_OUT[BLOCK],RC_IN[BLOCK],RC_OUT[REMARKS],"*CLOSED*")&gt;0,"CLOSED",IF(COUNTIFS(RC_OUT[BLOCK],RC_IN[BLOCK],RC_OUT[WT],"&gt;0")&gt;0,"IN-USE",""))
</f>
        <v/>
      </c>
      <c r="B2428" s="223" t="str">
        <f>IFERROR(__xludf.DUMMYFUNCTION("IFERROR(IF(F2428&lt;&gt;"""",""WHSE ""&amp;LEFT(F2428,1),REGEXEXTRACT(E2428,""-(?:\d{2}-)?([A-Z]+)"")),"""")
"),"")</f>
        <v/>
      </c>
      <c r="C2428" s="224"/>
      <c r="D2428" s="219"/>
      <c r="E2428" s="225"/>
      <c r="F2428" s="225"/>
      <c r="G2428" s="226"/>
      <c r="H2428" s="225"/>
      <c r="I2428" s="227"/>
      <c r="J2428" s="228"/>
      <c r="K2428" s="229"/>
      <c r="L2428" s="229"/>
      <c r="M2428" s="229"/>
      <c r="N2428" s="230"/>
      <c r="O2428" s="228"/>
      <c r="P2428" s="230"/>
      <c r="Q2428" s="219"/>
      <c r="R2428" s="198"/>
      <c r="S2428" s="198"/>
      <c r="T2428" s="198"/>
      <c r="U2428" s="198"/>
      <c r="V2428" s="198"/>
      <c r="W2428" s="198"/>
      <c r="X2428" s="198"/>
    </row>
    <row r="2429" ht="12.0" customHeight="1">
      <c r="A2429" s="222" t="str">
        <f>IF(COUNTIFS(RC_OUT[BLOCK],RC_IN[BLOCK],RC_OUT[REMARKS],"*CLOSED*")&gt;0,"CLOSED",IF(COUNTIFS(RC_OUT[BLOCK],RC_IN[BLOCK],RC_OUT[WT],"&gt;0")&gt;0,"IN-USE",""))
</f>
        <v/>
      </c>
      <c r="B2429" s="223" t="str">
        <f>IFERROR(__xludf.DUMMYFUNCTION("IFERROR(IF(F2429&lt;&gt;"""",""WHSE ""&amp;LEFT(F2429,1),REGEXEXTRACT(E2429,""-(?:\d{2}-)?([A-Z]+)"")),"""")
"),"")</f>
        <v/>
      </c>
      <c r="C2429" s="224"/>
      <c r="D2429" s="219"/>
      <c r="E2429" s="225"/>
      <c r="F2429" s="225"/>
      <c r="G2429" s="226"/>
      <c r="H2429" s="225"/>
      <c r="I2429" s="227"/>
      <c r="J2429" s="228"/>
      <c r="K2429" s="229"/>
      <c r="L2429" s="229"/>
      <c r="M2429" s="229"/>
      <c r="N2429" s="230"/>
      <c r="O2429" s="228"/>
      <c r="P2429" s="230"/>
      <c r="Q2429" s="219"/>
      <c r="R2429" s="198"/>
      <c r="S2429" s="198"/>
      <c r="T2429" s="198"/>
      <c r="U2429" s="198"/>
      <c r="V2429" s="198"/>
      <c r="W2429" s="198"/>
      <c r="X2429" s="198"/>
    </row>
    <row r="2430" ht="12.0" customHeight="1">
      <c r="A2430" s="222" t="str">
        <f>IF(COUNTIFS(RC_OUT[BLOCK],RC_IN[BLOCK],RC_OUT[REMARKS],"*CLOSED*")&gt;0,"CLOSED",IF(COUNTIFS(RC_OUT[BLOCK],RC_IN[BLOCK],RC_OUT[WT],"&gt;0")&gt;0,"IN-USE",""))
</f>
        <v/>
      </c>
      <c r="B2430" s="223" t="str">
        <f>IFERROR(__xludf.DUMMYFUNCTION("IFERROR(IF(F2430&lt;&gt;"""",""WHSE ""&amp;LEFT(F2430,1),REGEXEXTRACT(E2430,""-(?:\d{2}-)?([A-Z]+)"")),"""")
"),"")</f>
        <v/>
      </c>
      <c r="C2430" s="224"/>
      <c r="D2430" s="219"/>
      <c r="E2430" s="225"/>
      <c r="F2430" s="225"/>
      <c r="G2430" s="226"/>
      <c r="H2430" s="225"/>
      <c r="I2430" s="227"/>
      <c r="J2430" s="228"/>
      <c r="K2430" s="229"/>
      <c r="L2430" s="229"/>
      <c r="M2430" s="229"/>
      <c r="N2430" s="230"/>
      <c r="O2430" s="228"/>
      <c r="P2430" s="230"/>
      <c r="Q2430" s="219"/>
      <c r="R2430" s="198"/>
      <c r="S2430" s="198"/>
      <c r="T2430" s="198"/>
      <c r="U2430" s="198"/>
      <c r="V2430" s="198"/>
      <c r="W2430" s="198"/>
      <c r="X2430" s="198"/>
    </row>
    <row r="2431" ht="12.0" customHeight="1">
      <c r="A2431" s="222" t="str">
        <f>IF(COUNTIFS(RC_OUT[BLOCK],RC_IN[BLOCK],RC_OUT[REMARKS],"*CLOSED*")&gt;0,"CLOSED",IF(COUNTIFS(RC_OUT[BLOCK],RC_IN[BLOCK],RC_OUT[WT],"&gt;0")&gt;0,"IN-USE",""))
</f>
        <v/>
      </c>
      <c r="B2431" s="223" t="str">
        <f>IFERROR(__xludf.DUMMYFUNCTION("IFERROR(IF(F2431&lt;&gt;"""",""WHSE ""&amp;LEFT(F2431,1),REGEXEXTRACT(E2431,""-(?:\d{2}-)?([A-Z]+)"")),"""")
"),"")</f>
        <v/>
      </c>
      <c r="C2431" s="224"/>
      <c r="D2431" s="219"/>
      <c r="E2431" s="225"/>
      <c r="F2431" s="225"/>
      <c r="G2431" s="226"/>
      <c r="H2431" s="225"/>
      <c r="I2431" s="227"/>
      <c r="J2431" s="228"/>
      <c r="K2431" s="229"/>
      <c r="L2431" s="229"/>
      <c r="M2431" s="229"/>
      <c r="N2431" s="230"/>
      <c r="O2431" s="228"/>
      <c r="P2431" s="230"/>
      <c r="Q2431" s="219"/>
      <c r="R2431" s="198"/>
      <c r="S2431" s="198"/>
      <c r="T2431" s="198"/>
      <c r="U2431" s="198"/>
      <c r="V2431" s="198"/>
      <c r="W2431" s="198"/>
      <c r="X2431" s="198"/>
    </row>
    <row r="2432" ht="12.0" customHeight="1">
      <c r="A2432" s="222" t="str">
        <f>IF(COUNTIFS(RC_OUT[BLOCK],RC_IN[BLOCK],RC_OUT[REMARKS],"*CLOSED*")&gt;0,"CLOSED",IF(COUNTIFS(RC_OUT[BLOCK],RC_IN[BLOCK],RC_OUT[WT],"&gt;0")&gt;0,"IN-USE",""))
</f>
        <v/>
      </c>
      <c r="B2432" s="223" t="str">
        <f>IFERROR(__xludf.DUMMYFUNCTION("IFERROR(IF(F2432&lt;&gt;"""",""WHSE ""&amp;LEFT(F2432,1),REGEXEXTRACT(E2432,""-(?:\d{2}-)?([A-Z]+)"")),"""")
"),"")</f>
        <v/>
      </c>
      <c r="C2432" s="224"/>
      <c r="D2432" s="219"/>
      <c r="E2432" s="225"/>
      <c r="F2432" s="225"/>
      <c r="G2432" s="226"/>
      <c r="H2432" s="225"/>
      <c r="I2432" s="227"/>
      <c r="J2432" s="228"/>
      <c r="K2432" s="229"/>
      <c r="L2432" s="229"/>
      <c r="M2432" s="229"/>
      <c r="N2432" s="230"/>
      <c r="O2432" s="228"/>
      <c r="P2432" s="230"/>
      <c r="Q2432" s="219"/>
      <c r="R2432" s="198"/>
      <c r="S2432" s="198"/>
      <c r="T2432" s="198"/>
      <c r="U2432" s="198"/>
      <c r="V2432" s="198"/>
      <c r="W2432" s="198"/>
      <c r="X2432" s="198"/>
    </row>
    <row r="2433" ht="12.0" customHeight="1">
      <c r="A2433" s="222" t="str">
        <f>IF(COUNTIFS(RC_OUT[BLOCK],RC_IN[BLOCK],RC_OUT[REMARKS],"*CLOSED*")&gt;0,"CLOSED",IF(COUNTIFS(RC_OUT[BLOCK],RC_IN[BLOCK],RC_OUT[WT],"&gt;0")&gt;0,"IN-USE",""))
</f>
        <v/>
      </c>
      <c r="B2433" s="223" t="str">
        <f>IFERROR(__xludf.DUMMYFUNCTION("IFERROR(IF(F2433&lt;&gt;"""",""WHSE ""&amp;LEFT(F2433,1),REGEXEXTRACT(E2433,""-(?:\d{2}-)?([A-Z]+)"")),"""")
"),"")</f>
        <v/>
      </c>
      <c r="C2433" s="224"/>
      <c r="D2433" s="219"/>
      <c r="E2433" s="225"/>
      <c r="F2433" s="225"/>
      <c r="G2433" s="226"/>
      <c r="H2433" s="225"/>
      <c r="I2433" s="227"/>
      <c r="J2433" s="228"/>
      <c r="K2433" s="229"/>
      <c r="L2433" s="229"/>
      <c r="M2433" s="229"/>
      <c r="N2433" s="230"/>
      <c r="O2433" s="228"/>
      <c r="P2433" s="230"/>
      <c r="Q2433" s="219"/>
      <c r="R2433" s="198"/>
      <c r="S2433" s="198"/>
      <c r="T2433" s="198"/>
      <c r="U2433" s="198"/>
      <c r="V2433" s="198"/>
      <c r="W2433" s="198"/>
      <c r="X2433" s="198"/>
    </row>
    <row r="2434" ht="12.0" customHeight="1">
      <c r="A2434" s="222" t="str">
        <f>IF(COUNTIFS(RC_OUT[BLOCK],RC_IN[BLOCK],RC_OUT[REMARKS],"*CLOSED*")&gt;0,"CLOSED",IF(COUNTIFS(RC_OUT[BLOCK],RC_IN[BLOCK],RC_OUT[WT],"&gt;0")&gt;0,"IN-USE",""))
</f>
        <v/>
      </c>
      <c r="B2434" s="223" t="str">
        <f>IFERROR(__xludf.DUMMYFUNCTION("IFERROR(IF(F2434&lt;&gt;"""",""WHSE ""&amp;LEFT(F2434,1),REGEXEXTRACT(E2434,""-(?:\d{2}-)?([A-Z]+)"")),"""")
"),"")</f>
        <v/>
      </c>
      <c r="C2434" s="224"/>
      <c r="D2434" s="219"/>
      <c r="E2434" s="225"/>
      <c r="F2434" s="225"/>
      <c r="G2434" s="226"/>
      <c r="H2434" s="225"/>
      <c r="I2434" s="227"/>
      <c r="J2434" s="228"/>
      <c r="K2434" s="229"/>
      <c r="L2434" s="229"/>
      <c r="M2434" s="229"/>
      <c r="N2434" s="230"/>
      <c r="O2434" s="228"/>
      <c r="P2434" s="230"/>
      <c r="Q2434" s="219"/>
      <c r="R2434" s="198"/>
      <c r="S2434" s="198"/>
      <c r="T2434" s="198"/>
      <c r="U2434" s="198"/>
      <c r="V2434" s="198"/>
      <c r="W2434" s="198"/>
      <c r="X2434" s="198"/>
    </row>
    <row r="2435" ht="12.0" customHeight="1">
      <c r="A2435" s="222" t="str">
        <f>IF(COUNTIFS(RC_OUT[BLOCK],RC_IN[BLOCK],RC_OUT[REMARKS],"*CLOSED*")&gt;0,"CLOSED",IF(COUNTIFS(RC_OUT[BLOCK],RC_IN[BLOCK],RC_OUT[WT],"&gt;0")&gt;0,"IN-USE",""))
</f>
        <v/>
      </c>
      <c r="B2435" s="223" t="str">
        <f>IFERROR(__xludf.DUMMYFUNCTION("IFERROR(IF(F2435&lt;&gt;"""",""WHSE ""&amp;LEFT(F2435,1),REGEXEXTRACT(E2435,""-(?:\d{2}-)?([A-Z]+)"")),"""")
"),"")</f>
        <v/>
      </c>
      <c r="C2435" s="224"/>
      <c r="D2435" s="219"/>
      <c r="E2435" s="225"/>
      <c r="F2435" s="225"/>
      <c r="G2435" s="226"/>
      <c r="H2435" s="225"/>
      <c r="I2435" s="227"/>
      <c r="J2435" s="228"/>
      <c r="K2435" s="229"/>
      <c r="L2435" s="229"/>
      <c r="M2435" s="229"/>
      <c r="N2435" s="230"/>
      <c r="O2435" s="228"/>
      <c r="P2435" s="230"/>
      <c r="Q2435" s="219"/>
      <c r="R2435" s="198"/>
      <c r="S2435" s="198"/>
      <c r="T2435" s="198"/>
      <c r="U2435" s="198"/>
      <c r="V2435" s="198"/>
      <c r="W2435" s="198"/>
      <c r="X2435" s="198"/>
    </row>
    <row r="2436" ht="12.0" customHeight="1">
      <c r="A2436" s="222" t="str">
        <f>IF(COUNTIFS(RC_OUT[BLOCK],RC_IN[BLOCK],RC_OUT[REMARKS],"*CLOSED*")&gt;0,"CLOSED",IF(COUNTIFS(RC_OUT[BLOCK],RC_IN[BLOCK],RC_OUT[WT],"&gt;0")&gt;0,"IN-USE",""))
</f>
        <v/>
      </c>
      <c r="B2436" s="223" t="str">
        <f>IFERROR(__xludf.DUMMYFUNCTION("IFERROR(IF(F2436&lt;&gt;"""",""WHSE ""&amp;LEFT(F2436,1),REGEXEXTRACT(E2436,""-(?:\d{2}-)?([A-Z]+)"")),"""")
"),"")</f>
        <v/>
      </c>
      <c r="C2436" s="224"/>
      <c r="D2436" s="219"/>
      <c r="E2436" s="225"/>
      <c r="F2436" s="225"/>
      <c r="G2436" s="226"/>
      <c r="H2436" s="225"/>
      <c r="I2436" s="227"/>
      <c r="J2436" s="228"/>
      <c r="K2436" s="229"/>
      <c r="L2436" s="229"/>
      <c r="M2436" s="229"/>
      <c r="N2436" s="230"/>
      <c r="O2436" s="228"/>
      <c r="P2436" s="230"/>
      <c r="Q2436" s="219"/>
      <c r="R2436" s="198"/>
      <c r="S2436" s="198"/>
      <c r="T2436" s="198"/>
      <c r="U2436" s="198"/>
      <c r="V2436" s="198"/>
      <c r="W2436" s="198"/>
      <c r="X2436" s="198"/>
    </row>
    <row r="2437" ht="12.0" customHeight="1">
      <c r="A2437" s="222" t="str">
        <f>IF(COUNTIFS(RC_OUT[BLOCK],RC_IN[BLOCK],RC_OUT[REMARKS],"*CLOSED*")&gt;0,"CLOSED",IF(COUNTIFS(RC_OUT[BLOCK],RC_IN[BLOCK],RC_OUT[WT],"&gt;0")&gt;0,"IN-USE",""))
</f>
        <v/>
      </c>
      <c r="B2437" s="223" t="str">
        <f>IFERROR(__xludf.DUMMYFUNCTION("IFERROR(IF(F2437&lt;&gt;"""",""WHSE ""&amp;LEFT(F2437,1),REGEXEXTRACT(E2437,""-(?:\d{2}-)?([A-Z]+)"")),"""")
"),"")</f>
        <v/>
      </c>
      <c r="C2437" s="224"/>
      <c r="D2437" s="219"/>
      <c r="E2437" s="225"/>
      <c r="F2437" s="225"/>
      <c r="G2437" s="226"/>
      <c r="H2437" s="225"/>
      <c r="I2437" s="227"/>
      <c r="J2437" s="228"/>
      <c r="K2437" s="229"/>
      <c r="L2437" s="229"/>
      <c r="M2437" s="229"/>
      <c r="N2437" s="230"/>
      <c r="O2437" s="228"/>
      <c r="P2437" s="230"/>
      <c r="Q2437" s="219"/>
      <c r="R2437" s="198"/>
      <c r="S2437" s="198"/>
      <c r="T2437" s="198"/>
      <c r="U2437" s="198"/>
      <c r="V2437" s="198"/>
      <c r="W2437" s="198"/>
      <c r="X2437" s="198"/>
    </row>
    <row r="2438" ht="12.0" customHeight="1">
      <c r="A2438" s="222" t="str">
        <f>IF(COUNTIFS(RC_OUT[BLOCK],RC_IN[BLOCK],RC_OUT[REMARKS],"*CLOSED*")&gt;0,"CLOSED",IF(COUNTIFS(RC_OUT[BLOCK],RC_IN[BLOCK],RC_OUT[WT],"&gt;0")&gt;0,"IN-USE",""))
</f>
        <v/>
      </c>
      <c r="B2438" s="223" t="str">
        <f>IFERROR(__xludf.DUMMYFUNCTION("IFERROR(IF(F2438&lt;&gt;"""",""WHSE ""&amp;LEFT(F2438,1),REGEXEXTRACT(E2438,""-(?:\d{2}-)?([A-Z]+)"")),"""")
"),"")</f>
        <v/>
      </c>
      <c r="C2438" s="224"/>
      <c r="D2438" s="219"/>
      <c r="E2438" s="225"/>
      <c r="F2438" s="225"/>
      <c r="G2438" s="226"/>
      <c r="H2438" s="225"/>
      <c r="I2438" s="227"/>
      <c r="J2438" s="228"/>
      <c r="K2438" s="229"/>
      <c r="L2438" s="229"/>
      <c r="M2438" s="229"/>
      <c r="N2438" s="230"/>
      <c r="O2438" s="228"/>
      <c r="P2438" s="230"/>
      <c r="Q2438" s="219"/>
      <c r="R2438" s="198"/>
      <c r="S2438" s="198"/>
      <c r="T2438" s="198"/>
      <c r="U2438" s="198"/>
      <c r="V2438" s="198"/>
      <c r="W2438" s="198"/>
      <c r="X2438" s="198"/>
    </row>
    <row r="2439" ht="12.0" customHeight="1">
      <c r="A2439" s="222" t="str">
        <f>IF(COUNTIFS(RC_OUT[BLOCK],RC_IN[BLOCK],RC_OUT[REMARKS],"*CLOSED*")&gt;0,"CLOSED",IF(COUNTIFS(RC_OUT[BLOCK],RC_IN[BLOCK],RC_OUT[WT],"&gt;0")&gt;0,"IN-USE",""))
</f>
        <v/>
      </c>
      <c r="B2439" s="223" t="str">
        <f>IFERROR(__xludf.DUMMYFUNCTION("IFERROR(IF(F2439&lt;&gt;"""",""WHSE ""&amp;LEFT(F2439,1),REGEXEXTRACT(E2439,""-(?:\d{2}-)?([A-Z]+)"")),"""")
"),"")</f>
        <v/>
      </c>
      <c r="C2439" s="224"/>
      <c r="D2439" s="219"/>
      <c r="E2439" s="225"/>
      <c r="F2439" s="225"/>
      <c r="G2439" s="226"/>
      <c r="H2439" s="225"/>
      <c r="I2439" s="227"/>
      <c r="J2439" s="228"/>
      <c r="K2439" s="229"/>
      <c r="L2439" s="229"/>
      <c r="M2439" s="229"/>
      <c r="N2439" s="230"/>
      <c r="O2439" s="228"/>
      <c r="P2439" s="230"/>
      <c r="Q2439" s="219"/>
      <c r="R2439" s="198"/>
      <c r="S2439" s="198"/>
      <c r="T2439" s="198"/>
      <c r="U2439" s="198"/>
      <c r="V2439" s="198"/>
      <c r="W2439" s="198"/>
      <c r="X2439" s="198"/>
    </row>
    <row r="2440" ht="12.0" customHeight="1">
      <c r="A2440" s="222" t="str">
        <f>IF(COUNTIFS(RC_OUT[BLOCK],RC_IN[BLOCK],RC_OUT[REMARKS],"*CLOSED*")&gt;0,"CLOSED",IF(COUNTIFS(RC_OUT[BLOCK],RC_IN[BLOCK],RC_OUT[WT],"&gt;0")&gt;0,"IN-USE",""))
</f>
        <v/>
      </c>
      <c r="B2440" s="223" t="str">
        <f>IFERROR(__xludf.DUMMYFUNCTION("IFERROR(IF(F2440&lt;&gt;"""",""WHSE ""&amp;LEFT(F2440,1),REGEXEXTRACT(E2440,""-(?:\d{2}-)?([A-Z]+)"")),"""")
"),"")</f>
        <v/>
      </c>
      <c r="C2440" s="224"/>
      <c r="D2440" s="219"/>
      <c r="E2440" s="225"/>
      <c r="F2440" s="225"/>
      <c r="G2440" s="226"/>
      <c r="H2440" s="225"/>
      <c r="I2440" s="227"/>
      <c r="J2440" s="228"/>
      <c r="K2440" s="229"/>
      <c r="L2440" s="229"/>
      <c r="M2440" s="229"/>
      <c r="N2440" s="230"/>
      <c r="O2440" s="228"/>
      <c r="P2440" s="230"/>
      <c r="Q2440" s="219"/>
      <c r="R2440" s="198"/>
      <c r="S2440" s="198"/>
      <c r="T2440" s="198"/>
      <c r="U2440" s="198"/>
      <c r="V2440" s="198"/>
      <c r="W2440" s="198"/>
      <c r="X2440" s="198"/>
    </row>
    <row r="2441" ht="12.0" customHeight="1">
      <c r="A2441" s="222" t="str">
        <f>IF(COUNTIFS(RC_OUT[BLOCK],RC_IN[BLOCK],RC_OUT[REMARKS],"*CLOSED*")&gt;0,"CLOSED",IF(COUNTIFS(RC_OUT[BLOCK],RC_IN[BLOCK],RC_OUT[WT],"&gt;0")&gt;0,"IN-USE",""))
</f>
        <v/>
      </c>
      <c r="B2441" s="223" t="str">
        <f>IFERROR(__xludf.DUMMYFUNCTION("IFERROR(IF(F2441&lt;&gt;"""",""WHSE ""&amp;LEFT(F2441,1),REGEXEXTRACT(E2441,""-(?:\d{2}-)?([A-Z]+)"")),"""")
"),"")</f>
        <v/>
      </c>
      <c r="C2441" s="224"/>
      <c r="D2441" s="219"/>
      <c r="E2441" s="225"/>
      <c r="F2441" s="225"/>
      <c r="G2441" s="226"/>
      <c r="H2441" s="225"/>
      <c r="I2441" s="227"/>
      <c r="J2441" s="228"/>
      <c r="K2441" s="229"/>
      <c r="L2441" s="229"/>
      <c r="M2441" s="229"/>
      <c r="N2441" s="230"/>
      <c r="O2441" s="228"/>
      <c r="P2441" s="230"/>
      <c r="Q2441" s="219"/>
      <c r="R2441" s="198"/>
      <c r="S2441" s="198"/>
      <c r="T2441" s="198"/>
      <c r="U2441" s="198"/>
      <c r="V2441" s="198"/>
      <c r="W2441" s="198"/>
      <c r="X2441" s="198"/>
    </row>
    <row r="2442" ht="12.0" customHeight="1">
      <c r="A2442" s="222" t="str">
        <f>IF(COUNTIFS(RC_OUT[BLOCK],RC_IN[BLOCK],RC_OUT[REMARKS],"*CLOSED*")&gt;0,"CLOSED",IF(COUNTIFS(RC_OUT[BLOCK],RC_IN[BLOCK],RC_OUT[WT],"&gt;0")&gt;0,"IN-USE",""))
</f>
        <v/>
      </c>
      <c r="B2442" s="223" t="str">
        <f>IFERROR(__xludf.DUMMYFUNCTION("IFERROR(IF(F2442&lt;&gt;"""",""WHSE ""&amp;LEFT(F2442,1),REGEXEXTRACT(E2442,""-(?:\d{2}-)?([A-Z]+)"")),"""")
"),"")</f>
        <v/>
      </c>
      <c r="C2442" s="224"/>
      <c r="D2442" s="219"/>
      <c r="E2442" s="225"/>
      <c r="F2442" s="225"/>
      <c r="G2442" s="226"/>
      <c r="H2442" s="225"/>
      <c r="I2442" s="227"/>
      <c r="J2442" s="228"/>
      <c r="K2442" s="229"/>
      <c r="L2442" s="229"/>
      <c r="M2442" s="229"/>
      <c r="N2442" s="230"/>
      <c r="O2442" s="228"/>
      <c r="P2442" s="230"/>
      <c r="Q2442" s="219"/>
      <c r="R2442" s="198"/>
      <c r="S2442" s="198"/>
      <c r="T2442" s="198"/>
      <c r="U2442" s="198"/>
      <c r="V2442" s="198"/>
      <c r="W2442" s="198"/>
      <c r="X2442" s="198"/>
    </row>
    <row r="2443" ht="12.0" customHeight="1">
      <c r="A2443" s="222" t="str">
        <f>IF(COUNTIFS(RC_OUT[BLOCK],RC_IN[BLOCK],RC_OUT[REMARKS],"*CLOSED*")&gt;0,"CLOSED",IF(COUNTIFS(RC_OUT[BLOCK],RC_IN[BLOCK],RC_OUT[WT],"&gt;0")&gt;0,"IN-USE",""))
</f>
        <v/>
      </c>
      <c r="B2443" s="223" t="str">
        <f>IFERROR(__xludf.DUMMYFUNCTION("IFERROR(IF(F2443&lt;&gt;"""",""WHSE ""&amp;LEFT(F2443,1),REGEXEXTRACT(E2443,""-(?:\d{2}-)?([A-Z]+)"")),"""")
"),"")</f>
        <v/>
      </c>
      <c r="C2443" s="224"/>
      <c r="D2443" s="219"/>
      <c r="E2443" s="225"/>
      <c r="F2443" s="225"/>
      <c r="G2443" s="226"/>
      <c r="H2443" s="225"/>
      <c r="I2443" s="227"/>
      <c r="J2443" s="228"/>
      <c r="K2443" s="229"/>
      <c r="L2443" s="229"/>
      <c r="M2443" s="229"/>
      <c r="N2443" s="230"/>
      <c r="O2443" s="228"/>
      <c r="P2443" s="230"/>
      <c r="Q2443" s="219"/>
      <c r="R2443" s="198"/>
      <c r="S2443" s="198"/>
      <c r="T2443" s="198"/>
      <c r="U2443" s="198"/>
      <c r="V2443" s="198"/>
      <c r="W2443" s="198"/>
      <c r="X2443" s="198"/>
    </row>
    <row r="2444" ht="12.0" customHeight="1">
      <c r="A2444" s="222" t="str">
        <f>IF(COUNTIFS(RC_OUT[BLOCK],RC_IN[BLOCK],RC_OUT[REMARKS],"*CLOSED*")&gt;0,"CLOSED",IF(COUNTIFS(RC_OUT[BLOCK],RC_IN[BLOCK],RC_OUT[WT],"&gt;0")&gt;0,"IN-USE",""))
</f>
        <v/>
      </c>
      <c r="B2444" s="223" t="str">
        <f>IFERROR(__xludf.DUMMYFUNCTION("IFERROR(IF(F2444&lt;&gt;"""",""WHSE ""&amp;LEFT(F2444,1),REGEXEXTRACT(E2444,""-(?:\d{2}-)?([A-Z]+)"")),"""")
"),"")</f>
        <v/>
      </c>
      <c r="C2444" s="224"/>
      <c r="D2444" s="219"/>
      <c r="E2444" s="225"/>
      <c r="F2444" s="225"/>
      <c r="G2444" s="226"/>
      <c r="H2444" s="225"/>
      <c r="I2444" s="227"/>
      <c r="J2444" s="228"/>
      <c r="K2444" s="229"/>
      <c r="L2444" s="229"/>
      <c r="M2444" s="229"/>
      <c r="N2444" s="230"/>
      <c r="O2444" s="228"/>
      <c r="P2444" s="230"/>
      <c r="Q2444" s="219"/>
      <c r="R2444" s="198"/>
      <c r="S2444" s="198"/>
      <c r="T2444" s="198"/>
      <c r="U2444" s="198"/>
      <c r="V2444" s="198"/>
      <c r="W2444" s="198"/>
      <c r="X2444" s="198"/>
    </row>
    <row r="2445" ht="12.0" customHeight="1">
      <c r="A2445" s="222" t="str">
        <f>IF(COUNTIFS(RC_OUT[BLOCK],RC_IN[BLOCK],RC_OUT[REMARKS],"*CLOSED*")&gt;0,"CLOSED",IF(COUNTIFS(RC_OUT[BLOCK],RC_IN[BLOCK],RC_OUT[WT],"&gt;0")&gt;0,"IN-USE",""))
</f>
        <v/>
      </c>
      <c r="B2445" s="223" t="str">
        <f>IFERROR(__xludf.DUMMYFUNCTION("IFERROR(IF(F2445&lt;&gt;"""",""WHSE ""&amp;LEFT(F2445,1),REGEXEXTRACT(E2445,""-(?:\d{2}-)?([A-Z]+)"")),"""")
"),"")</f>
        <v/>
      </c>
      <c r="C2445" s="224"/>
      <c r="D2445" s="219"/>
      <c r="E2445" s="225"/>
      <c r="F2445" s="225"/>
      <c r="G2445" s="226"/>
      <c r="H2445" s="225"/>
      <c r="I2445" s="227"/>
      <c r="J2445" s="228"/>
      <c r="K2445" s="229"/>
      <c r="L2445" s="229"/>
      <c r="M2445" s="229"/>
      <c r="N2445" s="230"/>
      <c r="O2445" s="228"/>
      <c r="P2445" s="230"/>
      <c r="Q2445" s="219"/>
      <c r="R2445" s="198"/>
      <c r="S2445" s="198"/>
      <c r="T2445" s="198"/>
      <c r="U2445" s="198"/>
      <c r="V2445" s="198"/>
      <c r="W2445" s="198"/>
      <c r="X2445" s="198"/>
    </row>
    <row r="2446" ht="12.0" customHeight="1">
      <c r="A2446" s="222" t="str">
        <f>IF(COUNTIFS(RC_OUT[BLOCK],RC_IN[BLOCK],RC_OUT[REMARKS],"*CLOSED*")&gt;0,"CLOSED",IF(COUNTIFS(RC_OUT[BLOCK],RC_IN[BLOCK],RC_OUT[WT],"&gt;0")&gt;0,"IN-USE",""))
</f>
        <v/>
      </c>
      <c r="B2446" s="223" t="str">
        <f>IFERROR(__xludf.DUMMYFUNCTION("IFERROR(IF(F2446&lt;&gt;"""",""WHSE ""&amp;LEFT(F2446,1),REGEXEXTRACT(E2446,""-(?:\d{2}-)?([A-Z]+)"")),"""")
"),"")</f>
        <v/>
      </c>
      <c r="C2446" s="224"/>
      <c r="D2446" s="219"/>
      <c r="E2446" s="225"/>
      <c r="F2446" s="225"/>
      <c r="G2446" s="226"/>
      <c r="H2446" s="225"/>
      <c r="I2446" s="227"/>
      <c r="J2446" s="228"/>
      <c r="K2446" s="229"/>
      <c r="L2446" s="229"/>
      <c r="M2446" s="229"/>
      <c r="N2446" s="230"/>
      <c r="O2446" s="228"/>
      <c r="P2446" s="230"/>
      <c r="Q2446" s="219"/>
      <c r="R2446" s="198"/>
      <c r="S2446" s="198"/>
      <c r="T2446" s="198"/>
      <c r="U2446" s="198"/>
      <c r="V2446" s="198"/>
      <c r="W2446" s="198"/>
      <c r="X2446" s="198"/>
    </row>
    <row r="2447" ht="12.0" customHeight="1">
      <c r="A2447" s="222" t="str">
        <f>IF(COUNTIFS(RC_OUT[BLOCK],RC_IN[BLOCK],RC_OUT[REMARKS],"*CLOSED*")&gt;0,"CLOSED",IF(COUNTIFS(RC_OUT[BLOCK],RC_IN[BLOCK],RC_OUT[WT],"&gt;0")&gt;0,"IN-USE",""))
</f>
        <v/>
      </c>
      <c r="B2447" s="223" t="str">
        <f>IFERROR(__xludf.DUMMYFUNCTION("IFERROR(IF(F2447&lt;&gt;"""",""WHSE ""&amp;LEFT(F2447,1),REGEXEXTRACT(E2447,""-(?:\d{2}-)?([A-Z]+)"")),"""")
"),"")</f>
        <v/>
      </c>
      <c r="C2447" s="224"/>
      <c r="D2447" s="219"/>
      <c r="E2447" s="225"/>
      <c r="F2447" s="225"/>
      <c r="G2447" s="226"/>
      <c r="H2447" s="225"/>
      <c r="I2447" s="227"/>
      <c r="J2447" s="228"/>
      <c r="K2447" s="229"/>
      <c r="L2447" s="229"/>
      <c r="M2447" s="229"/>
      <c r="N2447" s="230"/>
      <c r="O2447" s="228"/>
      <c r="P2447" s="230"/>
      <c r="Q2447" s="219"/>
      <c r="R2447" s="198"/>
      <c r="S2447" s="198"/>
      <c r="T2447" s="198"/>
      <c r="U2447" s="198"/>
      <c r="V2447" s="198"/>
      <c r="W2447" s="198"/>
      <c r="X2447" s="198"/>
    </row>
    <row r="2448" ht="12.0" customHeight="1">
      <c r="A2448" s="222" t="str">
        <f>IF(COUNTIFS(RC_OUT[BLOCK],RC_IN[BLOCK],RC_OUT[REMARKS],"*CLOSED*")&gt;0,"CLOSED",IF(COUNTIFS(RC_OUT[BLOCK],RC_IN[BLOCK],RC_OUT[WT],"&gt;0")&gt;0,"IN-USE",""))
</f>
        <v/>
      </c>
      <c r="B2448" s="223" t="str">
        <f>IFERROR(__xludf.DUMMYFUNCTION("IFERROR(IF(F2448&lt;&gt;"""",""WHSE ""&amp;LEFT(F2448,1),REGEXEXTRACT(E2448,""-(?:\d{2}-)?([A-Z]+)"")),"""")
"),"")</f>
        <v/>
      </c>
      <c r="C2448" s="224"/>
      <c r="D2448" s="219"/>
      <c r="E2448" s="225"/>
      <c r="F2448" s="225"/>
      <c r="G2448" s="226"/>
      <c r="H2448" s="225"/>
      <c r="I2448" s="227"/>
      <c r="J2448" s="228"/>
      <c r="K2448" s="229"/>
      <c r="L2448" s="229"/>
      <c r="M2448" s="229"/>
      <c r="N2448" s="230"/>
      <c r="O2448" s="228"/>
      <c r="P2448" s="230"/>
      <c r="Q2448" s="219"/>
      <c r="R2448" s="198"/>
      <c r="S2448" s="198"/>
      <c r="T2448" s="198"/>
      <c r="U2448" s="198"/>
      <c r="V2448" s="198"/>
      <c r="W2448" s="198"/>
      <c r="X2448" s="198"/>
    </row>
    <row r="2449" ht="12.0" customHeight="1">
      <c r="A2449" s="222" t="str">
        <f>IF(COUNTIFS(RC_OUT[BLOCK],RC_IN[BLOCK],RC_OUT[REMARKS],"*CLOSED*")&gt;0,"CLOSED",IF(COUNTIFS(RC_OUT[BLOCK],RC_IN[BLOCK],RC_OUT[WT],"&gt;0")&gt;0,"IN-USE",""))
</f>
        <v/>
      </c>
      <c r="B2449" s="223" t="str">
        <f>IFERROR(__xludf.DUMMYFUNCTION("IFERROR(IF(F2449&lt;&gt;"""",""WHSE ""&amp;LEFT(F2449,1),REGEXEXTRACT(E2449,""-(?:\d{2}-)?([A-Z]+)"")),"""")
"),"")</f>
        <v/>
      </c>
      <c r="C2449" s="224"/>
      <c r="D2449" s="219"/>
      <c r="E2449" s="225"/>
      <c r="F2449" s="225"/>
      <c r="G2449" s="226"/>
      <c r="H2449" s="225"/>
      <c r="I2449" s="227"/>
      <c r="J2449" s="228"/>
      <c r="K2449" s="229"/>
      <c r="L2449" s="229"/>
      <c r="M2449" s="229"/>
      <c r="N2449" s="230"/>
      <c r="O2449" s="228"/>
      <c r="P2449" s="230"/>
      <c r="Q2449" s="219"/>
      <c r="R2449" s="198"/>
      <c r="S2449" s="198"/>
      <c r="T2449" s="198"/>
      <c r="U2449" s="198"/>
      <c r="V2449" s="198"/>
      <c r="W2449" s="198"/>
      <c r="X2449" s="198"/>
    </row>
    <row r="2450" ht="12.0" customHeight="1">
      <c r="A2450" s="222" t="str">
        <f>IF(COUNTIFS(RC_OUT[BLOCK],RC_IN[BLOCK],RC_OUT[REMARKS],"*CLOSED*")&gt;0,"CLOSED",IF(COUNTIFS(RC_OUT[BLOCK],RC_IN[BLOCK],RC_OUT[WT],"&gt;0")&gt;0,"IN-USE",""))
</f>
        <v/>
      </c>
      <c r="B2450" s="223" t="str">
        <f>IFERROR(__xludf.DUMMYFUNCTION("IFERROR(IF(F2450&lt;&gt;"""",""WHSE ""&amp;LEFT(F2450,1),REGEXEXTRACT(E2450,""-(?:\d{2}-)?([A-Z]+)"")),"""")
"),"")</f>
        <v/>
      </c>
      <c r="C2450" s="224"/>
      <c r="D2450" s="219"/>
      <c r="E2450" s="225"/>
      <c r="F2450" s="225"/>
      <c r="G2450" s="226"/>
      <c r="H2450" s="225"/>
      <c r="I2450" s="227"/>
      <c r="J2450" s="228"/>
      <c r="K2450" s="229"/>
      <c r="L2450" s="229"/>
      <c r="M2450" s="229"/>
      <c r="N2450" s="230"/>
      <c r="O2450" s="228"/>
      <c r="P2450" s="230"/>
      <c r="Q2450" s="219"/>
      <c r="R2450" s="198"/>
      <c r="S2450" s="198"/>
      <c r="T2450" s="198"/>
      <c r="U2450" s="198"/>
      <c r="V2450" s="198"/>
      <c r="W2450" s="198"/>
      <c r="X2450" s="198"/>
    </row>
    <row r="2451" ht="12.0" customHeight="1">
      <c r="A2451" s="222" t="str">
        <f>IF(COUNTIFS(RC_OUT[BLOCK],RC_IN[BLOCK],RC_OUT[REMARKS],"*CLOSED*")&gt;0,"CLOSED",IF(COUNTIFS(RC_OUT[BLOCK],RC_IN[BLOCK],RC_OUT[WT],"&gt;0")&gt;0,"IN-USE",""))
</f>
        <v/>
      </c>
      <c r="B2451" s="223" t="str">
        <f>IFERROR(__xludf.DUMMYFUNCTION("IFERROR(IF(F2451&lt;&gt;"""",""WHSE ""&amp;LEFT(F2451,1),REGEXEXTRACT(E2451,""-(?:\d{2}-)?([A-Z]+)"")),"""")
"),"")</f>
        <v/>
      </c>
      <c r="C2451" s="224"/>
      <c r="D2451" s="219"/>
      <c r="E2451" s="225"/>
      <c r="F2451" s="225"/>
      <c r="G2451" s="226"/>
      <c r="H2451" s="225"/>
      <c r="I2451" s="227"/>
      <c r="J2451" s="228"/>
      <c r="K2451" s="229"/>
      <c r="L2451" s="229"/>
      <c r="M2451" s="229"/>
      <c r="N2451" s="230"/>
      <c r="O2451" s="228"/>
      <c r="P2451" s="230"/>
      <c r="Q2451" s="219"/>
      <c r="R2451" s="198"/>
      <c r="S2451" s="198"/>
      <c r="T2451" s="198"/>
      <c r="U2451" s="198"/>
      <c r="V2451" s="198"/>
      <c r="W2451" s="198"/>
      <c r="X2451" s="198"/>
    </row>
    <row r="2452" ht="12.0" customHeight="1">
      <c r="A2452" s="222" t="str">
        <f>IF(COUNTIFS(RC_OUT[BLOCK],RC_IN[BLOCK],RC_OUT[REMARKS],"*CLOSED*")&gt;0,"CLOSED",IF(COUNTIFS(RC_OUT[BLOCK],RC_IN[BLOCK],RC_OUT[WT],"&gt;0")&gt;0,"IN-USE",""))
</f>
        <v/>
      </c>
      <c r="B2452" s="223" t="str">
        <f>IFERROR(__xludf.DUMMYFUNCTION("IFERROR(IF(F2452&lt;&gt;"""",""WHSE ""&amp;LEFT(F2452,1),REGEXEXTRACT(E2452,""-(?:\d{2}-)?([A-Z]+)"")),"""")
"),"")</f>
        <v/>
      </c>
      <c r="C2452" s="224"/>
      <c r="D2452" s="219"/>
      <c r="E2452" s="225"/>
      <c r="F2452" s="225"/>
      <c r="G2452" s="226"/>
      <c r="H2452" s="225"/>
      <c r="I2452" s="227"/>
      <c r="J2452" s="228"/>
      <c r="K2452" s="229"/>
      <c r="L2452" s="229"/>
      <c r="M2452" s="229"/>
      <c r="N2452" s="230"/>
      <c r="O2452" s="228"/>
      <c r="P2452" s="230"/>
      <c r="Q2452" s="219"/>
      <c r="R2452" s="198"/>
      <c r="S2452" s="198"/>
      <c r="T2452" s="198"/>
      <c r="U2452" s="198"/>
      <c r="V2452" s="198"/>
      <c r="W2452" s="198"/>
      <c r="X2452" s="198"/>
    </row>
    <row r="2453" ht="12.0" customHeight="1">
      <c r="A2453" s="222" t="str">
        <f>IF(COUNTIFS(RC_OUT[BLOCK],RC_IN[BLOCK],RC_OUT[REMARKS],"*CLOSED*")&gt;0,"CLOSED",IF(COUNTIFS(RC_OUT[BLOCK],RC_IN[BLOCK],RC_OUT[WT],"&gt;0")&gt;0,"IN-USE",""))
</f>
        <v/>
      </c>
      <c r="B2453" s="223" t="str">
        <f>IFERROR(__xludf.DUMMYFUNCTION("IFERROR(IF(F2453&lt;&gt;"""",""WHSE ""&amp;LEFT(F2453,1),REGEXEXTRACT(E2453,""-(?:\d{2}-)?([A-Z]+)"")),"""")
"),"")</f>
        <v/>
      </c>
      <c r="C2453" s="224"/>
      <c r="D2453" s="219"/>
      <c r="E2453" s="225"/>
      <c r="F2453" s="225"/>
      <c r="G2453" s="226"/>
      <c r="H2453" s="225"/>
      <c r="I2453" s="227"/>
      <c r="J2453" s="228"/>
      <c r="K2453" s="229"/>
      <c r="L2453" s="229"/>
      <c r="M2453" s="229"/>
      <c r="N2453" s="230"/>
      <c r="O2453" s="228"/>
      <c r="P2453" s="230"/>
      <c r="Q2453" s="219"/>
      <c r="R2453" s="198"/>
      <c r="S2453" s="198"/>
      <c r="T2453" s="198"/>
      <c r="U2453" s="198"/>
      <c r="V2453" s="198"/>
      <c r="W2453" s="198"/>
      <c r="X2453" s="198"/>
    </row>
    <row r="2454" ht="12.0" customHeight="1">
      <c r="A2454" s="222" t="str">
        <f>IF(COUNTIFS(RC_OUT[BLOCK],RC_IN[BLOCK],RC_OUT[REMARKS],"*CLOSED*")&gt;0,"CLOSED",IF(COUNTIFS(RC_OUT[BLOCK],RC_IN[BLOCK],RC_OUT[WT],"&gt;0")&gt;0,"IN-USE",""))
</f>
        <v/>
      </c>
      <c r="B2454" s="223" t="str">
        <f>IFERROR(__xludf.DUMMYFUNCTION("IFERROR(IF(F2454&lt;&gt;"""",""WHSE ""&amp;LEFT(F2454,1),REGEXEXTRACT(E2454,""-(?:\d{2}-)?([A-Z]+)"")),"""")
"),"")</f>
        <v/>
      </c>
      <c r="C2454" s="224"/>
      <c r="D2454" s="219"/>
      <c r="E2454" s="225"/>
      <c r="F2454" s="225"/>
      <c r="G2454" s="226"/>
      <c r="H2454" s="225"/>
      <c r="I2454" s="227"/>
      <c r="J2454" s="228"/>
      <c r="K2454" s="229"/>
      <c r="L2454" s="229"/>
      <c r="M2454" s="229"/>
      <c r="N2454" s="230"/>
      <c r="O2454" s="228"/>
      <c r="P2454" s="230"/>
      <c r="Q2454" s="219"/>
      <c r="R2454" s="198"/>
      <c r="S2454" s="198"/>
      <c r="T2454" s="198"/>
      <c r="U2454" s="198"/>
      <c r="V2454" s="198"/>
      <c r="W2454" s="198"/>
      <c r="X2454" s="198"/>
    </row>
    <row r="2455" ht="12.0" customHeight="1">
      <c r="A2455" s="222" t="str">
        <f>IF(COUNTIFS(RC_OUT[BLOCK],RC_IN[BLOCK],RC_OUT[REMARKS],"*CLOSED*")&gt;0,"CLOSED",IF(COUNTIFS(RC_OUT[BLOCK],RC_IN[BLOCK],RC_OUT[WT],"&gt;0")&gt;0,"IN-USE",""))
</f>
        <v/>
      </c>
      <c r="B2455" s="223" t="str">
        <f>IFERROR(__xludf.DUMMYFUNCTION("IFERROR(IF(F2455&lt;&gt;"""",""WHSE ""&amp;LEFT(F2455,1),REGEXEXTRACT(E2455,""-(?:\d{2}-)?([A-Z]+)"")),"""")
"),"")</f>
        <v/>
      </c>
      <c r="C2455" s="224"/>
      <c r="D2455" s="219"/>
      <c r="E2455" s="225"/>
      <c r="F2455" s="225"/>
      <c r="G2455" s="226"/>
      <c r="H2455" s="225"/>
      <c r="I2455" s="227"/>
      <c r="J2455" s="228"/>
      <c r="K2455" s="229"/>
      <c r="L2455" s="229"/>
      <c r="M2455" s="229"/>
      <c r="N2455" s="230"/>
      <c r="O2455" s="228"/>
      <c r="P2455" s="230"/>
      <c r="Q2455" s="219"/>
      <c r="R2455" s="198"/>
      <c r="S2455" s="198"/>
      <c r="T2455" s="198"/>
      <c r="U2455" s="198"/>
      <c r="V2455" s="198"/>
      <c r="W2455" s="198"/>
      <c r="X2455" s="198"/>
    </row>
    <row r="2456" ht="12.0" customHeight="1">
      <c r="A2456" s="222" t="str">
        <f>IF(COUNTIFS(RC_OUT[BLOCK],RC_IN[BLOCK],RC_OUT[REMARKS],"*CLOSED*")&gt;0,"CLOSED",IF(COUNTIFS(RC_OUT[BLOCK],RC_IN[BLOCK],RC_OUT[WT],"&gt;0")&gt;0,"IN-USE",""))
</f>
        <v/>
      </c>
      <c r="B2456" s="223" t="str">
        <f>IFERROR(__xludf.DUMMYFUNCTION("IFERROR(IF(F2456&lt;&gt;"""",""WHSE ""&amp;LEFT(F2456,1),REGEXEXTRACT(E2456,""-(?:\d{2}-)?([A-Z]+)"")),"""")
"),"")</f>
        <v/>
      </c>
      <c r="C2456" s="224"/>
      <c r="D2456" s="219"/>
      <c r="E2456" s="225"/>
      <c r="F2456" s="225"/>
      <c r="G2456" s="226"/>
      <c r="H2456" s="225"/>
      <c r="I2456" s="227"/>
      <c r="J2456" s="228"/>
      <c r="K2456" s="229"/>
      <c r="L2456" s="229"/>
      <c r="M2456" s="229"/>
      <c r="N2456" s="230"/>
      <c r="O2456" s="228"/>
      <c r="P2456" s="230"/>
      <c r="Q2456" s="219"/>
      <c r="R2456" s="198"/>
      <c r="S2456" s="198"/>
      <c r="T2456" s="198"/>
      <c r="U2456" s="198"/>
      <c r="V2456" s="198"/>
      <c r="W2456" s="198"/>
      <c r="X2456" s="198"/>
    </row>
    <row r="2457" ht="12.0" customHeight="1">
      <c r="A2457" s="222" t="str">
        <f>IF(COUNTIFS(RC_OUT[BLOCK],RC_IN[BLOCK],RC_OUT[REMARKS],"*CLOSED*")&gt;0,"CLOSED",IF(COUNTIFS(RC_OUT[BLOCK],RC_IN[BLOCK],RC_OUT[WT],"&gt;0")&gt;0,"IN-USE",""))
</f>
        <v/>
      </c>
      <c r="B2457" s="223" t="str">
        <f>IFERROR(__xludf.DUMMYFUNCTION("IFERROR(IF(F2457&lt;&gt;"""",""WHSE ""&amp;LEFT(F2457,1),REGEXEXTRACT(E2457,""-(?:\d{2}-)?([A-Z]+)"")),"""")
"),"")</f>
        <v/>
      </c>
      <c r="C2457" s="224"/>
      <c r="D2457" s="219"/>
      <c r="E2457" s="225"/>
      <c r="F2457" s="225"/>
      <c r="G2457" s="226"/>
      <c r="H2457" s="225"/>
      <c r="I2457" s="227"/>
      <c r="J2457" s="228"/>
      <c r="K2457" s="229"/>
      <c r="L2457" s="229"/>
      <c r="M2457" s="229"/>
      <c r="N2457" s="230"/>
      <c r="O2457" s="228"/>
      <c r="P2457" s="230"/>
      <c r="Q2457" s="219"/>
      <c r="R2457" s="198"/>
      <c r="S2457" s="198"/>
      <c r="T2457" s="198"/>
      <c r="U2457" s="198"/>
      <c r="V2457" s="198"/>
      <c r="W2457" s="198"/>
      <c r="X2457" s="198"/>
    </row>
    <row r="2458" ht="12.0" customHeight="1">
      <c r="A2458" s="222" t="str">
        <f>IF(COUNTIFS(RC_OUT[BLOCK],RC_IN[BLOCK],RC_OUT[REMARKS],"*CLOSED*")&gt;0,"CLOSED",IF(COUNTIFS(RC_OUT[BLOCK],RC_IN[BLOCK],RC_OUT[WT],"&gt;0")&gt;0,"IN-USE",""))
</f>
        <v/>
      </c>
      <c r="B2458" s="223" t="str">
        <f>IFERROR(__xludf.DUMMYFUNCTION("IFERROR(IF(F2458&lt;&gt;"""",""WHSE ""&amp;LEFT(F2458,1),REGEXEXTRACT(E2458,""-(?:\d{2}-)?([A-Z]+)"")),"""")
"),"")</f>
        <v/>
      </c>
      <c r="C2458" s="224"/>
      <c r="D2458" s="219"/>
      <c r="E2458" s="225"/>
      <c r="F2458" s="225"/>
      <c r="G2458" s="226"/>
      <c r="H2458" s="225"/>
      <c r="I2458" s="227"/>
      <c r="J2458" s="228"/>
      <c r="K2458" s="229"/>
      <c r="L2458" s="229"/>
      <c r="M2458" s="229"/>
      <c r="N2458" s="230"/>
      <c r="O2458" s="228"/>
      <c r="P2458" s="230"/>
      <c r="Q2458" s="219"/>
      <c r="R2458" s="198"/>
      <c r="S2458" s="198"/>
      <c r="T2458" s="198"/>
      <c r="U2458" s="198"/>
      <c r="V2458" s="198"/>
      <c r="W2458" s="198"/>
      <c r="X2458" s="198"/>
    </row>
    <row r="2459" ht="12.0" customHeight="1">
      <c r="A2459" s="222" t="str">
        <f>IF(COUNTIFS(RC_OUT[BLOCK],RC_IN[BLOCK],RC_OUT[REMARKS],"*CLOSED*")&gt;0,"CLOSED",IF(COUNTIFS(RC_OUT[BLOCK],RC_IN[BLOCK],RC_OUT[WT],"&gt;0")&gt;0,"IN-USE",""))
</f>
        <v/>
      </c>
      <c r="B2459" s="223" t="str">
        <f>IFERROR(__xludf.DUMMYFUNCTION("IFERROR(IF(F2459&lt;&gt;"""",""WHSE ""&amp;LEFT(F2459,1),REGEXEXTRACT(E2459,""-(?:\d{2}-)?([A-Z]+)"")),"""")
"),"")</f>
        <v/>
      </c>
      <c r="C2459" s="224"/>
      <c r="D2459" s="219"/>
      <c r="E2459" s="225"/>
      <c r="F2459" s="225"/>
      <c r="G2459" s="226"/>
      <c r="H2459" s="225"/>
      <c r="I2459" s="227"/>
      <c r="J2459" s="228"/>
      <c r="K2459" s="229"/>
      <c r="L2459" s="229"/>
      <c r="M2459" s="229"/>
      <c r="N2459" s="230"/>
      <c r="O2459" s="228"/>
      <c r="P2459" s="230"/>
      <c r="Q2459" s="219"/>
      <c r="R2459" s="198"/>
      <c r="S2459" s="198"/>
      <c r="T2459" s="198"/>
      <c r="U2459" s="198"/>
      <c r="V2459" s="198"/>
      <c r="W2459" s="198"/>
      <c r="X2459" s="198"/>
    </row>
    <row r="2460" ht="12.0" customHeight="1">
      <c r="A2460" s="222" t="str">
        <f>IF(COUNTIFS(RC_OUT[BLOCK],RC_IN[BLOCK],RC_OUT[REMARKS],"*CLOSED*")&gt;0,"CLOSED",IF(COUNTIFS(RC_OUT[BLOCK],RC_IN[BLOCK],RC_OUT[WT],"&gt;0")&gt;0,"IN-USE",""))
</f>
        <v/>
      </c>
      <c r="B2460" s="223" t="str">
        <f>IFERROR(__xludf.DUMMYFUNCTION("IFERROR(IF(F2460&lt;&gt;"""",""WHSE ""&amp;LEFT(F2460,1),REGEXEXTRACT(E2460,""-(?:\d{2}-)?([A-Z]+)"")),"""")
"),"")</f>
        <v/>
      </c>
      <c r="C2460" s="224"/>
      <c r="D2460" s="219"/>
      <c r="E2460" s="225"/>
      <c r="F2460" s="225"/>
      <c r="G2460" s="226"/>
      <c r="H2460" s="225"/>
      <c r="I2460" s="227"/>
      <c r="J2460" s="228"/>
      <c r="K2460" s="229"/>
      <c r="L2460" s="229"/>
      <c r="M2460" s="229"/>
      <c r="N2460" s="230"/>
      <c r="O2460" s="228"/>
      <c r="P2460" s="230"/>
      <c r="Q2460" s="219"/>
      <c r="R2460" s="198"/>
      <c r="S2460" s="198"/>
      <c r="T2460" s="198"/>
      <c r="U2460" s="198"/>
      <c r="V2460" s="198"/>
      <c r="W2460" s="198"/>
      <c r="X2460" s="198"/>
    </row>
    <row r="2461" ht="12.0" customHeight="1">
      <c r="A2461" s="222" t="str">
        <f>IF(COUNTIFS(RC_OUT[BLOCK],RC_IN[BLOCK],RC_OUT[REMARKS],"*CLOSED*")&gt;0,"CLOSED",IF(COUNTIFS(RC_OUT[BLOCK],RC_IN[BLOCK],RC_OUT[WT],"&gt;0")&gt;0,"IN-USE",""))
</f>
        <v/>
      </c>
      <c r="B2461" s="223" t="str">
        <f>IFERROR(__xludf.DUMMYFUNCTION("IFERROR(IF(F2461&lt;&gt;"""",""WHSE ""&amp;LEFT(F2461,1),REGEXEXTRACT(E2461,""-(?:\d{2}-)?([A-Z]+)"")),"""")
"),"")</f>
        <v/>
      </c>
      <c r="C2461" s="224"/>
      <c r="D2461" s="219"/>
      <c r="E2461" s="225"/>
      <c r="F2461" s="225"/>
      <c r="G2461" s="226"/>
      <c r="H2461" s="225"/>
      <c r="I2461" s="227"/>
      <c r="J2461" s="228"/>
      <c r="K2461" s="229"/>
      <c r="L2461" s="229"/>
      <c r="M2461" s="229"/>
      <c r="N2461" s="230"/>
      <c r="O2461" s="228"/>
      <c r="P2461" s="230"/>
      <c r="Q2461" s="219"/>
      <c r="R2461" s="198"/>
      <c r="S2461" s="198"/>
      <c r="T2461" s="198"/>
      <c r="U2461" s="198"/>
      <c r="V2461" s="198"/>
      <c r="W2461" s="198"/>
      <c r="X2461" s="198"/>
    </row>
    <row r="2462" ht="12.0" customHeight="1">
      <c r="A2462" s="222" t="str">
        <f>IF(COUNTIFS(RC_OUT[BLOCK],RC_IN[BLOCK],RC_OUT[REMARKS],"*CLOSED*")&gt;0,"CLOSED",IF(COUNTIFS(RC_OUT[BLOCK],RC_IN[BLOCK],RC_OUT[WT],"&gt;0")&gt;0,"IN-USE",""))
</f>
        <v/>
      </c>
      <c r="B2462" s="223" t="str">
        <f>IFERROR(__xludf.DUMMYFUNCTION("IFERROR(IF(F2462&lt;&gt;"""",""WHSE ""&amp;LEFT(F2462,1),REGEXEXTRACT(E2462,""-(?:\d{2}-)?([A-Z]+)"")),"""")
"),"")</f>
        <v/>
      </c>
      <c r="C2462" s="224"/>
      <c r="D2462" s="219"/>
      <c r="E2462" s="225"/>
      <c r="F2462" s="225"/>
      <c r="G2462" s="226"/>
      <c r="H2462" s="225"/>
      <c r="I2462" s="227"/>
      <c r="J2462" s="228"/>
      <c r="K2462" s="229"/>
      <c r="L2462" s="229"/>
      <c r="M2462" s="229"/>
      <c r="N2462" s="230"/>
      <c r="O2462" s="228"/>
      <c r="P2462" s="230"/>
      <c r="Q2462" s="219"/>
      <c r="R2462" s="198"/>
      <c r="S2462" s="198"/>
      <c r="T2462" s="198"/>
      <c r="U2462" s="198"/>
      <c r="V2462" s="198"/>
      <c r="W2462" s="198"/>
      <c r="X2462" s="198"/>
    </row>
    <row r="2463" ht="12.0" customHeight="1">
      <c r="A2463" s="222" t="str">
        <f>IF(COUNTIFS(RC_OUT[BLOCK],RC_IN[BLOCK],RC_OUT[REMARKS],"*CLOSED*")&gt;0,"CLOSED",IF(COUNTIFS(RC_OUT[BLOCK],RC_IN[BLOCK],RC_OUT[WT],"&gt;0")&gt;0,"IN-USE",""))
</f>
        <v/>
      </c>
      <c r="B2463" s="223" t="str">
        <f>IFERROR(__xludf.DUMMYFUNCTION("IFERROR(IF(F2463&lt;&gt;"""",""WHSE ""&amp;LEFT(F2463,1),REGEXEXTRACT(E2463,""-(?:\d{2}-)?([A-Z]+)"")),"""")
"),"")</f>
        <v/>
      </c>
      <c r="C2463" s="224"/>
      <c r="D2463" s="219"/>
      <c r="E2463" s="225"/>
      <c r="F2463" s="225"/>
      <c r="G2463" s="226"/>
      <c r="H2463" s="225"/>
      <c r="I2463" s="227"/>
      <c r="J2463" s="228"/>
      <c r="K2463" s="229"/>
      <c r="L2463" s="229"/>
      <c r="M2463" s="229"/>
      <c r="N2463" s="230"/>
      <c r="O2463" s="228"/>
      <c r="P2463" s="230"/>
      <c r="Q2463" s="219"/>
      <c r="R2463" s="198"/>
      <c r="S2463" s="198"/>
      <c r="T2463" s="198"/>
      <c r="U2463" s="198"/>
      <c r="V2463" s="198"/>
      <c r="W2463" s="198"/>
      <c r="X2463" s="198"/>
    </row>
    <row r="2464" ht="12.0" customHeight="1">
      <c r="A2464" s="222" t="str">
        <f>IF(COUNTIFS(RC_OUT[BLOCK],RC_IN[BLOCK],RC_OUT[REMARKS],"*CLOSED*")&gt;0,"CLOSED",IF(COUNTIFS(RC_OUT[BLOCK],RC_IN[BLOCK],RC_OUT[WT],"&gt;0")&gt;0,"IN-USE",""))
</f>
        <v/>
      </c>
      <c r="B2464" s="223" t="str">
        <f>IFERROR(__xludf.DUMMYFUNCTION("IFERROR(IF(F2464&lt;&gt;"""",""WHSE ""&amp;LEFT(F2464,1),REGEXEXTRACT(E2464,""-(?:\d{2}-)?([A-Z]+)"")),"""")
"),"")</f>
        <v/>
      </c>
      <c r="C2464" s="224"/>
      <c r="D2464" s="219"/>
      <c r="E2464" s="225"/>
      <c r="F2464" s="225"/>
      <c r="G2464" s="226"/>
      <c r="H2464" s="225"/>
      <c r="I2464" s="227"/>
      <c r="J2464" s="228"/>
      <c r="K2464" s="229"/>
      <c r="L2464" s="229"/>
      <c r="M2464" s="229"/>
      <c r="N2464" s="230"/>
      <c r="O2464" s="228"/>
      <c r="P2464" s="230"/>
      <c r="Q2464" s="219"/>
      <c r="R2464" s="198"/>
      <c r="S2464" s="198"/>
      <c r="T2464" s="198"/>
      <c r="U2464" s="198"/>
      <c r="V2464" s="198"/>
      <c r="W2464" s="198"/>
      <c r="X2464" s="198"/>
    </row>
    <row r="2465" ht="12.0" customHeight="1">
      <c r="A2465" s="222" t="str">
        <f>IF(COUNTIFS(RC_OUT[BLOCK],RC_IN[BLOCK],RC_OUT[REMARKS],"*CLOSED*")&gt;0,"CLOSED",IF(COUNTIFS(RC_OUT[BLOCK],RC_IN[BLOCK],RC_OUT[WT],"&gt;0")&gt;0,"IN-USE",""))
</f>
        <v/>
      </c>
      <c r="B2465" s="223" t="str">
        <f>IFERROR(__xludf.DUMMYFUNCTION("IFERROR(IF(F2465&lt;&gt;"""",""WHSE ""&amp;LEFT(F2465,1),REGEXEXTRACT(E2465,""-(?:\d{2}-)?([A-Z]+)"")),"""")
"),"")</f>
        <v/>
      </c>
      <c r="C2465" s="224"/>
      <c r="D2465" s="219"/>
      <c r="E2465" s="225"/>
      <c r="F2465" s="225"/>
      <c r="G2465" s="226"/>
      <c r="H2465" s="225"/>
      <c r="I2465" s="227"/>
      <c r="J2465" s="228"/>
      <c r="K2465" s="229"/>
      <c r="L2465" s="229"/>
      <c r="M2465" s="229"/>
      <c r="N2465" s="230"/>
      <c r="O2465" s="228"/>
      <c r="P2465" s="230"/>
      <c r="Q2465" s="219"/>
      <c r="R2465" s="198"/>
      <c r="S2465" s="198"/>
      <c r="T2465" s="198"/>
      <c r="U2465" s="198"/>
      <c r="V2465" s="198"/>
      <c r="W2465" s="198"/>
      <c r="X2465" s="198"/>
    </row>
    <row r="2466" ht="12.0" customHeight="1">
      <c r="A2466" s="222" t="str">
        <f>IF(COUNTIFS(RC_OUT[BLOCK],RC_IN[BLOCK],RC_OUT[REMARKS],"*CLOSED*")&gt;0,"CLOSED",IF(COUNTIFS(RC_OUT[BLOCK],RC_IN[BLOCK],RC_OUT[WT],"&gt;0")&gt;0,"IN-USE",""))
</f>
        <v/>
      </c>
      <c r="B2466" s="223" t="str">
        <f>IFERROR(__xludf.DUMMYFUNCTION("IFERROR(IF(F2466&lt;&gt;"""",""WHSE ""&amp;LEFT(F2466,1),REGEXEXTRACT(E2466,""-(?:\d{2}-)?([A-Z]+)"")),"""")
"),"")</f>
        <v/>
      </c>
      <c r="C2466" s="224"/>
      <c r="D2466" s="219"/>
      <c r="E2466" s="225"/>
      <c r="F2466" s="225"/>
      <c r="G2466" s="226"/>
      <c r="H2466" s="225"/>
      <c r="I2466" s="227"/>
      <c r="J2466" s="228"/>
      <c r="K2466" s="229"/>
      <c r="L2466" s="229"/>
      <c r="M2466" s="229"/>
      <c r="N2466" s="230"/>
      <c r="O2466" s="228"/>
      <c r="P2466" s="230"/>
      <c r="Q2466" s="219"/>
      <c r="R2466" s="198"/>
      <c r="S2466" s="198"/>
      <c r="T2466" s="198"/>
      <c r="U2466" s="198"/>
      <c r="V2466" s="198"/>
      <c r="W2466" s="198"/>
      <c r="X2466" s="198"/>
    </row>
    <row r="2467" ht="12.0" customHeight="1">
      <c r="A2467" s="222" t="str">
        <f>IF(COUNTIFS(RC_OUT[BLOCK],RC_IN[BLOCK],RC_OUT[REMARKS],"*CLOSED*")&gt;0,"CLOSED",IF(COUNTIFS(RC_OUT[BLOCK],RC_IN[BLOCK],RC_OUT[WT],"&gt;0")&gt;0,"IN-USE",""))
</f>
        <v/>
      </c>
      <c r="B2467" s="223" t="str">
        <f>IFERROR(__xludf.DUMMYFUNCTION("IFERROR(IF(F2467&lt;&gt;"""",""WHSE ""&amp;LEFT(F2467,1),REGEXEXTRACT(E2467,""-(?:\d{2}-)?([A-Z]+)"")),"""")
"),"")</f>
        <v/>
      </c>
      <c r="C2467" s="224"/>
      <c r="D2467" s="219"/>
      <c r="E2467" s="225"/>
      <c r="F2467" s="225"/>
      <c r="G2467" s="226"/>
      <c r="H2467" s="225"/>
      <c r="I2467" s="227"/>
      <c r="J2467" s="228"/>
      <c r="K2467" s="229"/>
      <c r="L2467" s="229"/>
      <c r="M2467" s="229"/>
      <c r="N2467" s="230"/>
      <c r="O2467" s="228"/>
      <c r="P2467" s="230"/>
      <c r="Q2467" s="219"/>
      <c r="R2467" s="198"/>
      <c r="S2467" s="198"/>
      <c r="T2467" s="198"/>
      <c r="U2467" s="198"/>
      <c r="V2467" s="198"/>
      <c r="W2467" s="198"/>
      <c r="X2467" s="198"/>
    </row>
    <row r="2468" ht="12.0" customHeight="1">
      <c r="A2468" s="222" t="str">
        <f>IF(COUNTIFS(RC_OUT[BLOCK],RC_IN[BLOCK],RC_OUT[REMARKS],"*CLOSED*")&gt;0,"CLOSED",IF(COUNTIFS(RC_OUT[BLOCK],RC_IN[BLOCK],RC_OUT[WT],"&gt;0")&gt;0,"IN-USE",""))
</f>
        <v/>
      </c>
      <c r="B2468" s="223" t="str">
        <f>IFERROR(__xludf.DUMMYFUNCTION("IFERROR(IF(F2468&lt;&gt;"""",""WHSE ""&amp;LEFT(F2468,1),REGEXEXTRACT(E2468,""-(?:\d{2}-)?([A-Z]+)"")),"""")
"),"")</f>
        <v/>
      </c>
      <c r="C2468" s="224"/>
      <c r="D2468" s="219"/>
      <c r="E2468" s="225"/>
      <c r="F2468" s="225"/>
      <c r="G2468" s="226"/>
      <c r="H2468" s="225"/>
      <c r="I2468" s="227"/>
      <c r="J2468" s="228"/>
      <c r="K2468" s="229"/>
      <c r="L2468" s="229"/>
      <c r="M2468" s="229"/>
      <c r="N2468" s="230"/>
      <c r="O2468" s="228"/>
      <c r="P2468" s="230"/>
      <c r="Q2468" s="219"/>
      <c r="R2468" s="198"/>
      <c r="S2468" s="198"/>
      <c r="T2468" s="198"/>
      <c r="U2468" s="198"/>
      <c r="V2468" s="198"/>
      <c r="W2468" s="198"/>
      <c r="X2468" s="198"/>
    </row>
    <row r="2469" ht="12.0" customHeight="1">
      <c r="A2469" s="222" t="str">
        <f>IF(COUNTIFS(RC_OUT[BLOCK],RC_IN[BLOCK],RC_OUT[REMARKS],"*CLOSED*")&gt;0,"CLOSED",IF(COUNTIFS(RC_OUT[BLOCK],RC_IN[BLOCK],RC_OUT[WT],"&gt;0")&gt;0,"IN-USE",""))
</f>
        <v/>
      </c>
      <c r="B2469" s="223" t="str">
        <f>IFERROR(__xludf.DUMMYFUNCTION("IFERROR(IF(F2469&lt;&gt;"""",""WHSE ""&amp;LEFT(F2469,1),REGEXEXTRACT(E2469,""-(?:\d{2}-)?([A-Z]+)"")),"""")
"),"")</f>
        <v/>
      </c>
      <c r="C2469" s="224"/>
      <c r="D2469" s="219"/>
      <c r="E2469" s="225"/>
      <c r="F2469" s="225"/>
      <c r="G2469" s="226"/>
      <c r="H2469" s="225"/>
      <c r="I2469" s="227"/>
      <c r="J2469" s="228"/>
      <c r="K2469" s="229"/>
      <c r="L2469" s="229"/>
      <c r="M2469" s="229"/>
      <c r="N2469" s="230"/>
      <c r="O2469" s="228"/>
      <c r="P2469" s="230"/>
      <c r="Q2469" s="219"/>
      <c r="R2469" s="198"/>
      <c r="S2469" s="198"/>
      <c r="T2469" s="198"/>
      <c r="U2469" s="198"/>
      <c r="V2469" s="198"/>
      <c r="W2469" s="198"/>
      <c r="X2469" s="198"/>
    </row>
    <row r="2470" ht="12.0" customHeight="1">
      <c r="A2470" s="231"/>
      <c r="B2470" s="225"/>
      <c r="C2470" s="224"/>
      <c r="D2470" s="219"/>
      <c r="E2470" s="225"/>
      <c r="F2470" s="225"/>
      <c r="G2470" s="226"/>
      <c r="H2470" s="225"/>
      <c r="I2470" s="227"/>
      <c r="J2470" s="228"/>
      <c r="K2470" s="229"/>
      <c r="L2470" s="229"/>
      <c r="M2470" s="229"/>
      <c r="N2470" s="230"/>
      <c r="O2470" s="228"/>
      <c r="P2470" s="230"/>
      <c r="Q2470" s="219"/>
      <c r="R2470" s="198"/>
      <c r="S2470" s="198"/>
      <c r="T2470" s="198"/>
      <c r="U2470" s="198"/>
      <c r="V2470" s="198"/>
      <c r="W2470" s="198"/>
      <c r="X2470" s="198"/>
    </row>
    <row r="2471" ht="12.0" customHeight="1">
      <c r="A2471" s="231"/>
      <c r="B2471" s="225"/>
      <c r="C2471" s="224"/>
      <c r="D2471" s="219"/>
      <c r="E2471" s="225"/>
      <c r="F2471" s="225"/>
      <c r="G2471" s="226"/>
      <c r="H2471" s="225"/>
      <c r="I2471" s="227"/>
      <c r="J2471" s="228"/>
      <c r="K2471" s="229"/>
      <c r="L2471" s="229"/>
      <c r="M2471" s="229"/>
      <c r="N2471" s="230"/>
      <c r="O2471" s="228"/>
      <c r="P2471" s="230"/>
      <c r="Q2471" s="219"/>
      <c r="R2471" s="198"/>
      <c r="S2471" s="198"/>
      <c r="T2471" s="198"/>
      <c r="U2471" s="198"/>
      <c r="V2471" s="198"/>
      <c r="W2471" s="198"/>
      <c r="X2471" s="198"/>
    </row>
    <row r="2472" ht="12.0" customHeight="1">
      <c r="A2472" s="231"/>
      <c r="B2472" s="225"/>
      <c r="C2472" s="224"/>
      <c r="D2472" s="219"/>
      <c r="E2472" s="225"/>
      <c r="F2472" s="225"/>
      <c r="G2472" s="226"/>
      <c r="H2472" s="225"/>
      <c r="I2472" s="227"/>
      <c r="J2472" s="228"/>
      <c r="K2472" s="229"/>
      <c r="L2472" s="229"/>
      <c r="M2472" s="229"/>
      <c r="N2472" s="230"/>
      <c r="O2472" s="228"/>
      <c r="P2472" s="230"/>
      <c r="Q2472" s="219"/>
      <c r="R2472" s="198"/>
      <c r="S2472" s="198"/>
      <c r="T2472" s="198"/>
      <c r="U2472" s="198"/>
      <c r="V2472" s="198"/>
      <c r="W2472" s="198"/>
      <c r="X2472" s="198"/>
    </row>
    <row r="2473" ht="12.0" customHeight="1">
      <c r="A2473" s="231"/>
      <c r="B2473" s="225"/>
      <c r="C2473" s="224"/>
      <c r="D2473" s="219"/>
      <c r="E2473" s="225"/>
      <c r="F2473" s="225"/>
      <c r="G2473" s="226"/>
      <c r="H2473" s="225"/>
      <c r="I2473" s="227"/>
      <c r="J2473" s="228"/>
      <c r="K2473" s="229"/>
      <c r="L2473" s="229"/>
      <c r="M2473" s="229"/>
      <c r="N2473" s="230"/>
      <c r="O2473" s="228"/>
      <c r="P2473" s="230"/>
      <c r="Q2473" s="219"/>
      <c r="R2473" s="198"/>
      <c r="S2473" s="198"/>
      <c r="T2473" s="198"/>
      <c r="U2473" s="198"/>
      <c r="V2473" s="198"/>
      <c r="W2473" s="198"/>
      <c r="X2473" s="198"/>
    </row>
    <row r="2474" ht="12.0" customHeight="1">
      <c r="A2474" s="231"/>
      <c r="B2474" s="225"/>
      <c r="C2474" s="224"/>
      <c r="D2474" s="219"/>
      <c r="E2474" s="225"/>
      <c r="F2474" s="225"/>
      <c r="G2474" s="226"/>
      <c r="H2474" s="225"/>
      <c r="I2474" s="227"/>
      <c r="J2474" s="228"/>
      <c r="K2474" s="229"/>
      <c r="L2474" s="229"/>
      <c r="M2474" s="229"/>
      <c r="N2474" s="230"/>
      <c r="O2474" s="228"/>
      <c r="P2474" s="230"/>
      <c r="Q2474" s="219"/>
      <c r="R2474" s="198"/>
      <c r="S2474" s="198"/>
      <c r="T2474" s="198"/>
      <c r="U2474" s="198"/>
      <c r="V2474" s="198"/>
      <c r="W2474" s="198"/>
      <c r="X2474" s="198"/>
    </row>
    <row r="2475" ht="12.0" customHeight="1">
      <c r="A2475" s="231"/>
      <c r="B2475" s="225"/>
      <c r="C2475" s="224"/>
      <c r="D2475" s="219"/>
      <c r="E2475" s="225"/>
      <c r="F2475" s="225"/>
      <c r="G2475" s="226"/>
      <c r="H2475" s="225"/>
      <c r="I2475" s="227"/>
      <c r="J2475" s="228"/>
      <c r="K2475" s="229"/>
      <c r="L2475" s="229"/>
      <c r="M2475" s="229"/>
      <c r="N2475" s="230"/>
      <c r="O2475" s="228"/>
      <c r="P2475" s="230"/>
      <c r="Q2475" s="219"/>
      <c r="R2475" s="198"/>
      <c r="S2475" s="198"/>
      <c r="T2475" s="198"/>
      <c r="U2475" s="198"/>
      <c r="V2475" s="198"/>
      <c r="W2475" s="198"/>
      <c r="X2475" s="198"/>
    </row>
    <row r="2476" ht="12.0" customHeight="1">
      <c r="A2476" s="231"/>
      <c r="B2476" s="225"/>
      <c r="C2476" s="224"/>
      <c r="D2476" s="219"/>
      <c r="E2476" s="225"/>
      <c r="F2476" s="225"/>
      <c r="G2476" s="226"/>
      <c r="H2476" s="225"/>
      <c r="I2476" s="227"/>
      <c r="J2476" s="228"/>
      <c r="K2476" s="229"/>
      <c r="L2476" s="229"/>
      <c r="M2476" s="229"/>
      <c r="N2476" s="230"/>
      <c r="O2476" s="228"/>
      <c r="P2476" s="230"/>
      <c r="Q2476" s="219"/>
      <c r="R2476" s="198"/>
      <c r="S2476" s="198"/>
      <c r="T2476" s="198"/>
      <c r="U2476" s="198"/>
      <c r="V2476" s="198"/>
      <c r="W2476" s="198"/>
      <c r="X2476" s="198"/>
    </row>
    <row r="2477" ht="12.0" customHeight="1">
      <c r="A2477" s="231"/>
      <c r="B2477" s="225"/>
      <c r="C2477" s="224"/>
      <c r="D2477" s="219"/>
      <c r="E2477" s="225"/>
      <c r="F2477" s="225"/>
      <c r="G2477" s="226"/>
      <c r="H2477" s="225"/>
      <c r="I2477" s="227"/>
      <c r="J2477" s="228"/>
      <c r="K2477" s="229"/>
      <c r="L2477" s="229"/>
      <c r="M2477" s="229"/>
      <c r="N2477" s="230"/>
      <c r="O2477" s="228"/>
      <c r="P2477" s="230"/>
      <c r="Q2477" s="219"/>
      <c r="R2477" s="198"/>
      <c r="S2477" s="198"/>
      <c r="T2477" s="198"/>
      <c r="U2477" s="198"/>
      <c r="V2477" s="198"/>
      <c r="W2477" s="198"/>
      <c r="X2477" s="198"/>
    </row>
    <row r="2478" ht="12.0" customHeight="1">
      <c r="A2478" s="231"/>
      <c r="B2478" s="225"/>
      <c r="C2478" s="224"/>
      <c r="D2478" s="219"/>
      <c r="E2478" s="225"/>
      <c r="F2478" s="225"/>
      <c r="G2478" s="226"/>
      <c r="H2478" s="225"/>
      <c r="I2478" s="227"/>
      <c r="J2478" s="228"/>
      <c r="K2478" s="229"/>
      <c r="L2478" s="229"/>
      <c r="M2478" s="229"/>
      <c r="N2478" s="230"/>
      <c r="O2478" s="228"/>
      <c r="P2478" s="230"/>
      <c r="Q2478" s="219"/>
      <c r="R2478" s="198"/>
      <c r="S2478" s="198"/>
      <c r="T2478" s="198"/>
      <c r="U2478" s="198"/>
      <c r="V2478" s="198"/>
      <c r="W2478" s="198"/>
      <c r="X2478" s="198"/>
    </row>
    <row r="2479" ht="12.0" customHeight="1">
      <c r="A2479" s="231"/>
      <c r="B2479" s="225"/>
      <c r="C2479" s="224"/>
      <c r="D2479" s="219"/>
      <c r="E2479" s="225"/>
      <c r="F2479" s="225"/>
      <c r="G2479" s="226"/>
      <c r="H2479" s="225"/>
      <c r="I2479" s="227"/>
      <c r="J2479" s="228"/>
      <c r="K2479" s="229"/>
      <c r="L2479" s="229"/>
      <c r="M2479" s="229"/>
      <c r="N2479" s="230"/>
      <c r="O2479" s="228"/>
      <c r="P2479" s="230"/>
      <c r="Q2479" s="219"/>
      <c r="R2479" s="198"/>
      <c r="S2479" s="198"/>
      <c r="T2479" s="198"/>
      <c r="U2479" s="198"/>
      <c r="V2479" s="198"/>
      <c r="W2479" s="198"/>
      <c r="X2479" s="198"/>
    </row>
    <row r="2480" ht="12.0" customHeight="1">
      <c r="A2480" s="231"/>
      <c r="B2480" s="225"/>
      <c r="C2480" s="224"/>
      <c r="D2480" s="219"/>
      <c r="E2480" s="225"/>
      <c r="F2480" s="225"/>
      <c r="G2480" s="226"/>
      <c r="H2480" s="225"/>
      <c r="I2480" s="227"/>
      <c r="J2480" s="228"/>
      <c r="K2480" s="229"/>
      <c r="L2480" s="229"/>
      <c r="M2480" s="229"/>
      <c r="N2480" s="230"/>
      <c r="O2480" s="228"/>
      <c r="P2480" s="230"/>
      <c r="Q2480" s="219"/>
      <c r="R2480" s="198"/>
      <c r="S2480" s="198"/>
      <c r="T2480" s="198"/>
      <c r="U2480" s="198"/>
      <c r="V2480" s="198"/>
      <c r="W2480" s="198"/>
      <c r="X2480" s="198"/>
    </row>
    <row r="2481" ht="12.0" customHeight="1">
      <c r="A2481" s="231"/>
      <c r="B2481" s="225"/>
      <c r="C2481" s="224"/>
      <c r="D2481" s="219"/>
      <c r="E2481" s="225"/>
      <c r="F2481" s="225"/>
      <c r="G2481" s="226"/>
      <c r="H2481" s="225"/>
      <c r="I2481" s="227"/>
      <c r="J2481" s="228"/>
      <c r="K2481" s="229"/>
      <c r="L2481" s="229"/>
      <c r="M2481" s="229"/>
      <c r="N2481" s="230"/>
      <c r="O2481" s="228"/>
      <c r="P2481" s="230"/>
      <c r="Q2481" s="219"/>
      <c r="R2481" s="198"/>
      <c r="S2481" s="198"/>
      <c r="T2481" s="198"/>
      <c r="U2481" s="198"/>
      <c r="V2481" s="198"/>
      <c r="W2481" s="198"/>
      <c r="X2481" s="198"/>
    </row>
    <row r="2482" ht="12.0" customHeight="1">
      <c r="A2482" s="231"/>
      <c r="B2482" s="225"/>
      <c r="C2482" s="224"/>
      <c r="D2482" s="219"/>
      <c r="E2482" s="225"/>
      <c r="F2482" s="225"/>
      <c r="G2482" s="226"/>
      <c r="H2482" s="225"/>
      <c r="I2482" s="227"/>
      <c r="J2482" s="228"/>
      <c r="K2482" s="229"/>
      <c r="L2482" s="229"/>
      <c r="M2482" s="229"/>
      <c r="N2482" s="230"/>
      <c r="O2482" s="228"/>
      <c r="P2482" s="230"/>
      <c r="Q2482" s="219"/>
      <c r="R2482" s="198"/>
      <c r="S2482" s="198"/>
      <c r="T2482" s="198"/>
      <c r="U2482" s="198"/>
      <c r="V2482" s="198"/>
      <c r="W2482" s="198"/>
      <c r="X2482" s="198"/>
    </row>
    <row r="2483" ht="12.0" customHeight="1">
      <c r="A2483" s="231"/>
      <c r="B2483" s="225"/>
      <c r="C2483" s="224"/>
      <c r="D2483" s="219"/>
      <c r="E2483" s="225"/>
      <c r="F2483" s="225"/>
      <c r="G2483" s="226"/>
      <c r="H2483" s="225"/>
      <c r="I2483" s="227"/>
      <c r="J2483" s="228"/>
      <c r="K2483" s="229"/>
      <c r="L2483" s="229"/>
      <c r="M2483" s="229"/>
      <c r="N2483" s="230"/>
      <c r="O2483" s="228"/>
      <c r="P2483" s="230"/>
      <c r="Q2483" s="219"/>
      <c r="R2483" s="198"/>
      <c r="S2483" s="198"/>
      <c r="T2483" s="198"/>
      <c r="U2483" s="198"/>
      <c r="V2483" s="198"/>
      <c r="W2483" s="198"/>
      <c r="X2483" s="198"/>
    </row>
    <row r="2484" ht="12.0" customHeight="1">
      <c r="A2484" s="231"/>
      <c r="B2484" s="225"/>
      <c r="C2484" s="224"/>
      <c r="D2484" s="219"/>
      <c r="E2484" s="225"/>
      <c r="F2484" s="225"/>
      <c r="G2484" s="226"/>
      <c r="H2484" s="225"/>
      <c r="I2484" s="227"/>
      <c r="J2484" s="228"/>
      <c r="K2484" s="229"/>
      <c r="L2484" s="229"/>
      <c r="M2484" s="229"/>
      <c r="N2484" s="230"/>
      <c r="O2484" s="228"/>
      <c r="P2484" s="230"/>
      <c r="Q2484" s="219"/>
      <c r="R2484" s="198"/>
      <c r="S2484" s="198"/>
      <c r="T2484" s="198"/>
      <c r="U2484" s="198"/>
      <c r="V2484" s="198"/>
      <c r="W2484" s="198"/>
      <c r="X2484" s="198"/>
    </row>
    <row r="2485" ht="12.0" customHeight="1">
      <c r="A2485" s="231"/>
      <c r="B2485" s="225"/>
      <c r="C2485" s="224"/>
      <c r="D2485" s="219"/>
      <c r="E2485" s="225"/>
      <c r="F2485" s="225"/>
      <c r="G2485" s="226"/>
      <c r="H2485" s="225"/>
      <c r="I2485" s="227"/>
      <c r="J2485" s="228"/>
      <c r="K2485" s="229"/>
      <c r="L2485" s="229"/>
      <c r="M2485" s="229"/>
      <c r="N2485" s="230"/>
      <c r="O2485" s="228"/>
      <c r="P2485" s="230"/>
      <c r="Q2485" s="219"/>
      <c r="R2485" s="198"/>
      <c r="S2485" s="198"/>
      <c r="T2485" s="198"/>
      <c r="U2485" s="198"/>
      <c r="V2485" s="198"/>
      <c r="W2485" s="198"/>
      <c r="X2485" s="198"/>
    </row>
    <row r="2486" ht="12.0" customHeight="1">
      <c r="A2486" s="231"/>
      <c r="B2486" s="225"/>
      <c r="C2486" s="224"/>
      <c r="D2486" s="219"/>
      <c r="E2486" s="225"/>
      <c r="F2486" s="225"/>
      <c r="G2486" s="226"/>
      <c r="H2486" s="225"/>
      <c r="I2486" s="227"/>
      <c r="J2486" s="228"/>
      <c r="K2486" s="229"/>
      <c r="L2486" s="229"/>
      <c r="M2486" s="229"/>
      <c r="N2486" s="230"/>
      <c r="O2486" s="228"/>
      <c r="P2486" s="230"/>
      <c r="Q2486" s="219"/>
      <c r="R2486" s="198"/>
      <c r="S2486" s="198"/>
      <c r="T2486" s="198"/>
      <c r="U2486" s="198"/>
      <c r="V2486" s="198"/>
      <c r="W2486" s="198"/>
      <c r="X2486" s="198"/>
    </row>
    <row r="2487" ht="12.0" customHeight="1">
      <c r="A2487" s="231"/>
      <c r="B2487" s="225"/>
      <c r="C2487" s="224"/>
      <c r="D2487" s="219"/>
      <c r="E2487" s="225"/>
      <c r="F2487" s="225"/>
      <c r="G2487" s="226"/>
      <c r="H2487" s="225"/>
      <c r="I2487" s="227"/>
      <c r="J2487" s="228"/>
      <c r="K2487" s="229"/>
      <c r="L2487" s="229"/>
      <c r="M2487" s="229"/>
      <c r="N2487" s="230"/>
      <c r="O2487" s="228"/>
      <c r="P2487" s="230"/>
      <c r="Q2487" s="219"/>
      <c r="R2487" s="198"/>
      <c r="S2487" s="198"/>
      <c r="T2487" s="198"/>
      <c r="U2487" s="198"/>
      <c r="V2487" s="198"/>
      <c r="W2487" s="198"/>
      <c r="X2487" s="198"/>
    </row>
    <row r="2488" ht="12.0" customHeight="1">
      <c r="A2488" s="231"/>
      <c r="B2488" s="225"/>
      <c r="C2488" s="224"/>
      <c r="D2488" s="219"/>
      <c r="E2488" s="225"/>
      <c r="F2488" s="225"/>
      <c r="G2488" s="226"/>
      <c r="H2488" s="225"/>
      <c r="I2488" s="227"/>
      <c r="J2488" s="228"/>
      <c r="K2488" s="229"/>
      <c r="L2488" s="229"/>
      <c r="M2488" s="229"/>
      <c r="N2488" s="230"/>
      <c r="O2488" s="228"/>
      <c r="P2488" s="230"/>
      <c r="Q2488" s="219"/>
      <c r="R2488" s="198"/>
      <c r="S2488" s="198"/>
      <c r="T2488" s="198"/>
      <c r="U2488" s="198"/>
      <c r="V2488" s="198"/>
      <c r="W2488" s="198"/>
      <c r="X2488" s="198"/>
    </row>
    <row r="2489" ht="12.0" customHeight="1">
      <c r="A2489" s="231"/>
      <c r="B2489" s="225"/>
      <c r="C2489" s="224"/>
      <c r="D2489" s="219"/>
      <c r="E2489" s="225"/>
      <c r="F2489" s="225"/>
      <c r="G2489" s="226"/>
      <c r="H2489" s="225"/>
      <c r="I2489" s="227"/>
      <c r="J2489" s="228"/>
      <c r="K2489" s="229"/>
      <c r="L2489" s="229"/>
      <c r="M2489" s="229"/>
      <c r="N2489" s="230"/>
      <c r="O2489" s="228"/>
      <c r="P2489" s="230"/>
      <c r="Q2489" s="219"/>
      <c r="R2489" s="198"/>
      <c r="S2489" s="198"/>
      <c r="T2489" s="198"/>
      <c r="U2489" s="198"/>
      <c r="V2489" s="198"/>
      <c r="W2489" s="198"/>
      <c r="X2489" s="198"/>
    </row>
    <row r="2490" ht="12.0" customHeight="1">
      <c r="A2490" s="231"/>
      <c r="B2490" s="225"/>
      <c r="C2490" s="224"/>
      <c r="D2490" s="219"/>
      <c r="E2490" s="225"/>
      <c r="F2490" s="225"/>
      <c r="G2490" s="226"/>
      <c r="H2490" s="225"/>
      <c r="I2490" s="227"/>
      <c r="J2490" s="228"/>
      <c r="K2490" s="229"/>
      <c r="L2490" s="229"/>
      <c r="M2490" s="229"/>
      <c r="N2490" s="230"/>
      <c r="O2490" s="228"/>
      <c r="P2490" s="230"/>
      <c r="Q2490" s="219"/>
      <c r="R2490" s="198"/>
      <c r="S2490" s="198"/>
      <c r="T2490" s="198"/>
      <c r="U2490" s="198"/>
      <c r="V2490" s="198"/>
      <c r="W2490" s="198"/>
      <c r="X2490" s="198"/>
    </row>
    <row r="2491" ht="12.0" customHeight="1">
      <c r="A2491" s="231"/>
      <c r="B2491" s="225"/>
      <c r="C2491" s="224"/>
      <c r="D2491" s="219"/>
      <c r="E2491" s="225"/>
      <c r="F2491" s="225"/>
      <c r="G2491" s="226"/>
      <c r="H2491" s="225"/>
      <c r="I2491" s="227"/>
      <c r="J2491" s="228"/>
      <c r="K2491" s="229"/>
      <c r="L2491" s="229"/>
      <c r="M2491" s="229"/>
      <c r="N2491" s="230"/>
      <c r="O2491" s="228"/>
      <c r="P2491" s="230"/>
      <c r="Q2491" s="219"/>
      <c r="R2491" s="198"/>
      <c r="S2491" s="198"/>
      <c r="T2491" s="198"/>
      <c r="U2491" s="198"/>
      <c r="V2491" s="198"/>
      <c r="W2491" s="198"/>
      <c r="X2491" s="198"/>
    </row>
    <row r="2492" ht="12.0" customHeight="1">
      <c r="A2492" s="231"/>
      <c r="B2492" s="225"/>
      <c r="C2492" s="224"/>
      <c r="D2492" s="219"/>
      <c r="E2492" s="225"/>
      <c r="F2492" s="225"/>
      <c r="G2492" s="226"/>
      <c r="H2492" s="225"/>
      <c r="I2492" s="227"/>
      <c r="J2492" s="228"/>
      <c r="K2492" s="229"/>
      <c r="L2492" s="229"/>
      <c r="M2492" s="229"/>
      <c r="N2492" s="230"/>
      <c r="O2492" s="228"/>
      <c r="P2492" s="230"/>
      <c r="Q2492" s="219"/>
      <c r="R2492" s="198"/>
      <c r="S2492" s="198"/>
      <c r="T2492" s="198"/>
      <c r="U2492" s="198"/>
      <c r="V2492" s="198"/>
      <c r="W2492" s="198"/>
      <c r="X2492" s="198"/>
    </row>
    <row r="2493" ht="12.0" customHeight="1">
      <c r="A2493" s="231"/>
      <c r="B2493" s="225"/>
      <c r="C2493" s="224"/>
      <c r="D2493" s="219"/>
      <c r="E2493" s="225"/>
      <c r="F2493" s="225"/>
      <c r="G2493" s="226"/>
      <c r="H2493" s="225"/>
      <c r="I2493" s="227"/>
      <c r="J2493" s="228"/>
      <c r="K2493" s="229"/>
      <c r="L2493" s="229"/>
      <c r="M2493" s="229"/>
      <c r="N2493" s="230"/>
      <c r="O2493" s="228"/>
      <c r="P2493" s="230"/>
      <c r="Q2493" s="219"/>
      <c r="R2493" s="198"/>
      <c r="S2493" s="198"/>
      <c r="T2493" s="198"/>
      <c r="U2493" s="198"/>
      <c r="V2493" s="198"/>
      <c r="W2493" s="198"/>
      <c r="X2493" s="198"/>
    </row>
    <row r="2494" ht="12.0" customHeight="1">
      <c r="A2494" s="231"/>
      <c r="B2494" s="225"/>
      <c r="C2494" s="224"/>
      <c r="D2494" s="219"/>
      <c r="E2494" s="225"/>
      <c r="F2494" s="225"/>
      <c r="G2494" s="226"/>
      <c r="H2494" s="225"/>
      <c r="I2494" s="227"/>
      <c r="J2494" s="228"/>
      <c r="K2494" s="229"/>
      <c r="L2494" s="229"/>
      <c r="M2494" s="229"/>
      <c r="N2494" s="230"/>
      <c r="O2494" s="228"/>
      <c r="P2494" s="230"/>
      <c r="Q2494" s="219"/>
      <c r="R2494" s="198"/>
      <c r="S2494" s="198"/>
      <c r="T2494" s="198"/>
      <c r="U2494" s="198"/>
      <c r="V2494" s="198"/>
      <c r="W2494" s="198"/>
      <c r="X2494" s="198"/>
    </row>
    <row r="2495" ht="12.0" customHeight="1">
      <c r="A2495" s="231"/>
      <c r="B2495" s="225"/>
      <c r="C2495" s="224"/>
      <c r="D2495" s="219"/>
      <c r="E2495" s="225"/>
      <c r="F2495" s="225"/>
      <c r="G2495" s="226"/>
      <c r="H2495" s="225"/>
      <c r="I2495" s="227"/>
      <c r="J2495" s="228"/>
      <c r="K2495" s="229"/>
      <c r="L2495" s="229"/>
      <c r="M2495" s="229"/>
      <c r="N2495" s="230"/>
      <c r="O2495" s="228"/>
      <c r="P2495" s="230"/>
      <c r="Q2495" s="219"/>
      <c r="R2495" s="198"/>
      <c r="S2495" s="198"/>
      <c r="T2495" s="198"/>
      <c r="U2495" s="198"/>
      <c r="V2495" s="198"/>
      <c r="W2495" s="198"/>
      <c r="X2495" s="198"/>
    </row>
    <row r="2496" ht="12.0" customHeight="1">
      <c r="A2496" s="231"/>
      <c r="B2496" s="225"/>
      <c r="C2496" s="224"/>
      <c r="D2496" s="219"/>
      <c r="E2496" s="225"/>
      <c r="F2496" s="225"/>
      <c r="G2496" s="226"/>
      <c r="H2496" s="225"/>
      <c r="I2496" s="227"/>
      <c r="J2496" s="228"/>
      <c r="K2496" s="229"/>
      <c r="L2496" s="229"/>
      <c r="M2496" s="229"/>
      <c r="N2496" s="230"/>
      <c r="O2496" s="228"/>
      <c r="P2496" s="230"/>
      <c r="Q2496" s="219"/>
      <c r="R2496" s="198"/>
      <c r="S2496" s="198"/>
      <c r="T2496" s="198"/>
      <c r="U2496" s="198"/>
      <c r="V2496" s="198"/>
      <c r="W2496" s="198"/>
      <c r="X2496" s="198"/>
    </row>
    <row r="2497" ht="12.0" customHeight="1">
      <c r="A2497" s="231"/>
      <c r="B2497" s="225"/>
      <c r="C2497" s="224"/>
      <c r="D2497" s="219"/>
      <c r="E2497" s="225"/>
      <c r="F2497" s="225"/>
      <c r="G2497" s="226"/>
      <c r="H2497" s="225"/>
      <c r="I2497" s="227"/>
      <c r="J2497" s="228"/>
      <c r="K2497" s="229"/>
      <c r="L2497" s="229"/>
      <c r="M2497" s="229"/>
      <c r="N2497" s="230"/>
      <c r="O2497" s="228"/>
      <c r="P2497" s="230"/>
      <c r="Q2497" s="219"/>
      <c r="R2497" s="198"/>
      <c r="S2497" s="198"/>
      <c r="T2497" s="198"/>
      <c r="U2497" s="198"/>
      <c r="V2497" s="198"/>
      <c r="W2497" s="198"/>
      <c r="X2497" s="198"/>
    </row>
    <row r="2498" ht="12.0" customHeight="1">
      <c r="A2498" s="231"/>
      <c r="B2498" s="225"/>
      <c r="C2498" s="224"/>
      <c r="D2498" s="219"/>
      <c r="E2498" s="225"/>
      <c r="F2498" s="225"/>
      <c r="G2498" s="226"/>
      <c r="H2498" s="225"/>
      <c r="I2498" s="227"/>
      <c r="J2498" s="228"/>
      <c r="K2498" s="229"/>
      <c r="L2498" s="229"/>
      <c r="M2498" s="229"/>
      <c r="N2498" s="230"/>
      <c r="O2498" s="228"/>
      <c r="P2498" s="230"/>
      <c r="Q2498" s="219"/>
      <c r="R2498" s="198"/>
      <c r="S2498" s="198"/>
      <c r="T2498" s="198"/>
      <c r="U2498" s="198"/>
      <c r="V2498" s="198"/>
      <c r="W2498" s="198"/>
      <c r="X2498" s="198"/>
    </row>
    <row r="2499" ht="12.0" customHeight="1">
      <c r="A2499" s="231"/>
      <c r="B2499" s="225"/>
      <c r="C2499" s="224"/>
      <c r="D2499" s="219"/>
      <c r="E2499" s="225"/>
      <c r="F2499" s="225"/>
      <c r="G2499" s="226"/>
      <c r="H2499" s="225"/>
      <c r="I2499" s="227"/>
      <c r="J2499" s="228"/>
      <c r="K2499" s="229"/>
      <c r="L2499" s="229"/>
      <c r="M2499" s="229"/>
      <c r="N2499" s="230"/>
      <c r="O2499" s="228"/>
      <c r="P2499" s="230"/>
      <c r="Q2499" s="219"/>
      <c r="R2499" s="198"/>
      <c r="S2499" s="198"/>
      <c r="T2499" s="198"/>
      <c r="U2499" s="198"/>
      <c r="V2499" s="198"/>
      <c r="W2499" s="198"/>
      <c r="X2499" s="198"/>
    </row>
    <row r="2500" ht="12.0" customHeight="1">
      <c r="A2500" s="231"/>
      <c r="B2500" s="225"/>
      <c r="C2500" s="224"/>
      <c r="D2500" s="219"/>
      <c r="E2500" s="225"/>
      <c r="F2500" s="225"/>
      <c r="G2500" s="226"/>
      <c r="H2500" s="225"/>
      <c r="I2500" s="227"/>
      <c r="J2500" s="228"/>
      <c r="K2500" s="229"/>
      <c r="L2500" s="229"/>
      <c r="M2500" s="229"/>
      <c r="N2500" s="230"/>
      <c r="O2500" s="228"/>
      <c r="P2500" s="230"/>
      <c r="Q2500" s="219"/>
      <c r="R2500" s="198"/>
      <c r="S2500" s="198"/>
      <c r="T2500" s="198"/>
      <c r="U2500" s="198"/>
      <c r="V2500" s="198"/>
      <c r="W2500" s="198"/>
      <c r="X2500" s="198"/>
    </row>
    <row r="2501" ht="12.0" customHeight="1">
      <c r="A2501" s="231"/>
      <c r="B2501" s="225"/>
      <c r="C2501" s="224"/>
      <c r="D2501" s="219"/>
      <c r="E2501" s="225"/>
      <c r="F2501" s="225"/>
      <c r="G2501" s="226"/>
      <c r="H2501" s="225"/>
      <c r="I2501" s="227"/>
      <c r="J2501" s="228"/>
      <c r="K2501" s="229"/>
      <c r="L2501" s="229"/>
      <c r="M2501" s="229"/>
      <c r="N2501" s="230"/>
      <c r="O2501" s="228"/>
      <c r="P2501" s="230"/>
      <c r="Q2501" s="219"/>
      <c r="R2501" s="198"/>
      <c r="S2501" s="198"/>
      <c r="T2501" s="198"/>
      <c r="U2501" s="198"/>
      <c r="V2501" s="198"/>
      <c r="W2501" s="198"/>
      <c r="X2501" s="198"/>
    </row>
    <row r="2502" ht="12.0" customHeight="1">
      <c r="A2502" s="232"/>
      <c r="B2502" s="233"/>
      <c r="C2502" s="234"/>
      <c r="D2502" s="103"/>
      <c r="E2502" s="233"/>
      <c r="F2502" s="233"/>
      <c r="G2502" s="235"/>
      <c r="H2502" s="233"/>
      <c r="I2502" s="236"/>
      <c r="J2502" s="237"/>
      <c r="K2502" s="238"/>
      <c r="L2502" s="238"/>
      <c r="M2502" s="238"/>
      <c r="N2502" s="239"/>
      <c r="O2502" s="237"/>
      <c r="P2502" s="239"/>
      <c r="Q2502" s="103"/>
      <c r="R2502" s="240"/>
      <c r="S2502" s="240"/>
      <c r="T2502" s="240"/>
      <c r="U2502" s="240"/>
      <c r="V2502" s="240"/>
      <c r="W2502" s="240"/>
      <c r="X2502" s="240"/>
    </row>
    <row r="2503" ht="12.0" customHeight="1">
      <c r="A2503" s="241"/>
      <c r="B2503" s="57"/>
      <c r="C2503" s="58"/>
      <c r="D2503" s="59"/>
      <c r="E2503" s="57"/>
      <c r="F2503" s="57"/>
      <c r="G2503" s="60"/>
      <c r="H2503" s="57"/>
      <c r="I2503" s="61"/>
      <c r="J2503" s="62"/>
      <c r="K2503" s="63"/>
      <c r="L2503" s="63"/>
      <c r="M2503" s="63"/>
      <c r="N2503" s="64"/>
      <c r="O2503" s="62"/>
      <c r="P2503" s="64"/>
      <c r="Q2503" s="59"/>
      <c r="R2503" s="65"/>
      <c r="S2503" s="65"/>
      <c r="T2503" s="65"/>
      <c r="U2503" s="65"/>
      <c r="V2503" s="65"/>
      <c r="W2503" s="65"/>
      <c r="X2503" s="65"/>
    </row>
    <row r="2504" ht="12.0" customHeight="1">
      <c r="A2504" s="241"/>
      <c r="B2504" s="57"/>
      <c r="C2504" s="58"/>
      <c r="D2504" s="59"/>
      <c r="E2504" s="57"/>
      <c r="F2504" s="57"/>
      <c r="G2504" s="60"/>
      <c r="H2504" s="57"/>
      <c r="I2504" s="61"/>
      <c r="J2504" s="62"/>
      <c r="K2504" s="63"/>
      <c r="L2504" s="63"/>
      <c r="M2504" s="63"/>
      <c r="N2504" s="64"/>
      <c r="O2504" s="62"/>
      <c r="P2504" s="64"/>
      <c r="Q2504" s="59"/>
      <c r="R2504" s="65"/>
      <c r="S2504" s="65"/>
      <c r="T2504" s="65"/>
      <c r="U2504" s="65"/>
      <c r="V2504" s="65"/>
      <c r="W2504" s="65"/>
      <c r="X2504" s="65"/>
    </row>
    <row r="2505" ht="12.0" customHeight="1">
      <c r="A2505" s="241"/>
      <c r="B2505" s="57"/>
      <c r="C2505" s="58"/>
      <c r="D2505" s="59"/>
      <c r="E2505" s="57"/>
      <c r="F2505" s="57"/>
      <c r="G2505" s="60"/>
      <c r="H2505" s="57"/>
      <c r="I2505" s="61"/>
      <c r="J2505" s="62"/>
      <c r="K2505" s="63"/>
      <c r="L2505" s="63"/>
      <c r="M2505" s="63"/>
      <c r="N2505" s="64"/>
      <c r="O2505" s="62"/>
      <c r="P2505" s="64"/>
      <c r="Q2505" s="59"/>
      <c r="R2505" s="65"/>
      <c r="S2505" s="65"/>
      <c r="T2505" s="65"/>
      <c r="U2505" s="65"/>
      <c r="V2505" s="65"/>
      <c r="W2505" s="65"/>
      <c r="X2505" s="65"/>
    </row>
    <row r="2506" ht="12.0" customHeight="1">
      <c r="A2506" s="241"/>
      <c r="B2506" s="57"/>
      <c r="C2506" s="58"/>
      <c r="D2506" s="59"/>
      <c r="E2506" s="57"/>
      <c r="F2506" s="57"/>
      <c r="G2506" s="60"/>
      <c r="H2506" s="57"/>
      <c r="I2506" s="61"/>
      <c r="J2506" s="62"/>
      <c r="K2506" s="63"/>
      <c r="L2506" s="63"/>
      <c r="M2506" s="63"/>
      <c r="N2506" s="64"/>
      <c r="O2506" s="62"/>
      <c r="P2506" s="64"/>
      <c r="Q2506" s="59"/>
      <c r="R2506" s="65"/>
      <c r="S2506" s="65"/>
      <c r="T2506" s="65"/>
      <c r="U2506" s="65"/>
      <c r="V2506" s="65"/>
      <c r="W2506" s="65"/>
      <c r="X2506" s="65"/>
    </row>
    <row r="2507" ht="12.0" customHeight="1">
      <c r="A2507" s="241"/>
      <c r="B2507" s="57"/>
      <c r="C2507" s="58"/>
      <c r="D2507" s="59"/>
      <c r="E2507" s="57"/>
      <c r="F2507" s="57"/>
      <c r="G2507" s="60"/>
      <c r="H2507" s="57"/>
      <c r="I2507" s="61"/>
      <c r="J2507" s="62"/>
      <c r="K2507" s="63"/>
      <c r="L2507" s="63"/>
      <c r="M2507" s="63"/>
      <c r="N2507" s="64"/>
      <c r="O2507" s="62"/>
      <c r="P2507" s="64"/>
      <c r="Q2507" s="59"/>
      <c r="R2507" s="65"/>
      <c r="S2507" s="65"/>
      <c r="T2507" s="65"/>
      <c r="U2507" s="65"/>
      <c r="V2507" s="65"/>
      <c r="W2507" s="65"/>
      <c r="X2507" s="65"/>
    </row>
    <row r="2508" ht="12.0" customHeight="1">
      <c r="A2508" s="241"/>
      <c r="B2508" s="57"/>
      <c r="C2508" s="58"/>
      <c r="D2508" s="59"/>
      <c r="E2508" s="57"/>
      <c r="F2508" s="57"/>
      <c r="G2508" s="60"/>
      <c r="H2508" s="57"/>
      <c r="I2508" s="61"/>
      <c r="J2508" s="62"/>
      <c r="K2508" s="63"/>
      <c r="L2508" s="63"/>
      <c r="M2508" s="63"/>
      <c r="N2508" s="64"/>
      <c r="O2508" s="62"/>
      <c r="P2508" s="64"/>
      <c r="Q2508" s="59"/>
      <c r="R2508" s="65"/>
      <c r="S2508" s="65"/>
      <c r="T2508" s="65"/>
      <c r="U2508" s="65"/>
      <c r="V2508" s="65"/>
      <c r="W2508" s="65"/>
      <c r="X2508" s="65"/>
    </row>
    <row r="2509" ht="12.0" customHeight="1">
      <c r="A2509" s="241"/>
      <c r="B2509" s="57"/>
      <c r="C2509" s="58"/>
      <c r="D2509" s="59"/>
      <c r="E2509" s="57"/>
      <c r="F2509" s="57"/>
      <c r="G2509" s="60"/>
      <c r="H2509" s="57"/>
      <c r="I2509" s="61"/>
      <c r="J2509" s="62"/>
      <c r="K2509" s="63"/>
      <c r="L2509" s="63"/>
      <c r="M2509" s="63"/>
      <c r="N2509" s="64"/>
      <c r="O2509" s="62"/>
      <c r="P2509" s="64"/>
      <c r="Q2509" s="59"/>
      <c r="R2509" s="65"/>
      <c r="S2509" s="65"/>
      <c r="T2509" s="65"/>
      <c r="U2509" s="65"/>
      <c r="V2509" s="65"/>
      <c r="W2509" s="65"/>
      <c r="X2509" s="65"/>
    </row>
    <row r="2510" ht="12.0" customHeight="1">
      <c r="A2510" s="241"/>
      <c r="B2510" s="57"/>
      <c r="C2510" s="58"/>
      <c r="D2510" s="59"/>
      <c r="E2510" s="57"/>
      <c r="F2510" s="57"/>
      <c r="G2510" s="60"/>
      <c r="H2510" s="57"/>
      <c r="I2510" s="61"/>
      <c r="J2510" s="62"/>
      <c r="K2510" s="63"/>
      <c r="L2510" s="63"/>
      <c r="M2510" s="63"/>
      <c r="N2510" s="64"/>
      <c r="O2510" s="62"/>
      <c r="P2510" s="64"/>
      <c r="Q2510" s="59"/>
      <c r="R2510" s="65"/>
      <c r="S2510" s="65"/>
      <c r="T2510" s="65"/>
      <c r="U2510" s="65"/>
      <c r="V2510" s="65"/>
      <c r="W2510" s="65"/>
      <c r="X2510" s="65"/>
    </row>
    <row r="2511" ht="12.0" customHeight="1">
      <c r="A2511" s="241"/>
      <c r="B2511" s="57"/>
      <c r="C2511" s="58"/>
      <c r="D2511" s="59"/>
      <c r="E2511" s="57"/>
      <c r="F2511" s="57"/>
      <c r="G2511" s="60"/>
      <c r="H2511" s="57"/>
      <c r="I2511" s="61"/>
      <c r="J2511" s="62"/>
      <c r="K2511" s="63"/>
      <c r="L2511" s="63"/>
      <c r="M2511" s="63"/>
      <c r="N2511" s="64"/>
      <c r="O2511" s="62"/>
      <c r="P2511" s="64"/>
      <c r="Q2511" s="59"/>
      <c r="R2511" s="65"/>
      <c r="S2511" s="65"/>
      <c r="T2511" s="65"/>
      <c r="U2511" s="65"/>
      <c r="V2511" s="65"/>
      <c r="W2511" s="65"/>
      <c r="X2511" s="65"/>
    </row>
    <row r="2512" ht="12.0" customHeight="1">
      <c r="A2512" s="241"/>
      <c r="B2512" s="57"/>
      <c r="C2512" s="58"/>
      <c r="D2512" s="59"/>
      <c r="E2512" s="57"/>
      <c r="F2512" s="57"/>
      <c r="G2512" s="60"/>
      <c r="H2512" s="57"/>
      <c r="I2512" s="61"/>
      <c r="J2512" s="62"/>
      <c r="K2512" s="63"/>
      <c r="L2512" s="63"/>
      <c r="M2512" s="63"/>
      <c r="N2512" s="64"/>
      <c r="O2512" s="62"/>
      <c r="P2512" s="64"/>
      <c r="Q2512" s="59"/>
      <c r="R2512" s="65"/>
      <c r="S2512" s="65"/>
      <c r="T2512" s="65"/>
      <c r="U2512" s="65"/>
      <c r="V2512" s="65"/>
      <c r="W2512" s="65"/>
      <c r="X2512" s="65"/>
    </row>
    <row r="2513" ht="12.0" customHeight="1">
      <c r="A2513" s="241"/>
      <c r="B2513" s="57"/>
      <c r="C2513" s="58"/>
      <c r="D2513" s="59"/>
      <c r="E2513" s="57"/>
      <c r="F2513" s="57"/>
      <c r="G2513" s="60"/>
      <c r="H2513" s="57"/>
      <c r="I2513" s="61"/>
      <c r="J2513" s="62"/>
      <c r="K2513" s="63"/>
      <c r="L2513" s="63"/>
      <c r="M2513" s="63"/>
      <c r="N2513" s="64"/>
      <c r="O2513" s="62"/>
      <c r="P2513" s="64"/>
      <c r="Q2513" s="59"/>
      <c r="R2513" s="65"/>
      <c r="S2513" s="65"/>
      <c r="T2513" s="65"/>
      <c r="U2513" s="65"/>
      <c r="V2513" s="65"/>
      <c r="W2513" s="65"/>
      <c r="X2513" s="65"/>
    </row>
    <row r="2514" ht="12.0" customHeight="1">
      <c r="A2514" s="241"/>
      <c r="B2514" s="57"/>
      <c r="C2514" s="58"/>
      <c r="D2514" s="59"/>
      <c r="E2514" s="57"/>
      <c r="F2514" s="57"/>
      <c r="G2514" s="60"/>
      <c r="H2514" s="57"/>
      <c r="I2514" s="61"/>
      <c r="J2514" s="62"/>
      <c r="K2514" s="63"/>
      <c r="L2514" s="63"/>
      <c r="M2514" s="63"/>
      <c r="N2514" s="64"/>
      <c r="O2514" s="62"/>
      <c r="P2514" s="64"/>
      <c r="Q2514" s="59"/>
      <c r="R2514" s="65"/>
      <c r="S2514" s="65"/>
      <c r="T2514" s="65"/>
      <c r="U2514" s="65"/>
      <c r="V2514" s="65"/>
      <c r="W2514" s="65"/>
      <c r="X2514" s="65"/>
    </row>
    <row r="2515" ht="12.0" customHeight="1">
      <c r="A2515" s="241"/>
      <c r="B2515" s="57"/>
      <c r="C2515" s="58"/>
      <c r="D2515" s="59"/>
      <c r="E2515" s="57"/>
      <c r="F2515" s="57"/>
      <c r="G2515" s="60"/>
      <c r="H2515" s="57"/>
      <c r="I2515" s="61"/>
      <c r="J2515" s="62"/>
      <c r="K2515" s="63"/>
      <c r="L2515" s="63"/>
      <c r="M2515" s="63"/>
      <c r="N2515" s="64"/>
      <c r="O2515" s="62"/>
      <c r="P2515" s="64"/>
      <c r="Q2515" s="59"/>
      <c r="R2515" s="65"/>
      <c r="S2515" s="65"/>
      <c r="T2515" s="65"/>
      <c r="U2515" s="65"/>
      <c r="V2515" s="65"/>
      <c r="W2515" s="65"/>
      <c r="X2515" s="65"/>
    </row>
    <row r="2516" ht="12.0" customHeight="1">
      <c r="A2516" s="241"/>
      <c r="B2516" s="57"/>
      <c r="C2516" s="58"/>
      <c r="D2516" s="59"/>
      <c r="E2516" s="57"/>
      <c r="F2516" s="57"/>
      <c r="G2516" s="60"/>
      <c r="H2516" s="57"/>
      <c r="I2516" s="61"/>
      <c r="J2516" s="62"/>
      <c r="K2516" s="63"/>
      <c r="L2516" s="63"/>
      <c r="M2516" s="63"/>
      <c r="N2516" s="64"/>
      <c r="O2516" s="62"/>
      <c r="P2516" s="64"/>
      <c r="Q2516" s="59"/>
      <c r="R2516" s="65"/>
      <c r="S2516" s="65"/>
      <c r="T2516" s="65"/>
      <c r="U2516" s="65"/>
      <c r="V2516" s="65"/>
      <c r="W2516" s="65"/>
      <c r="X2516" s="65"/>
    </row>
    <row r="2517" ht="12.0" customHeight="1">
      <c r="A2517" s="241"/>
      <c r="B2517" s="57"/>
      <c r="C2517" s="58"/>
      <c r="D2517" s="59"/>
      <c r="E2517" s="57"/>
      <c r="F2517" s="57"/>
      <c r="G2517" s="60"/>
      <c r="H2517" s="57"/>
      <c r="I2517" s="61"/>
      <c r="J2517" s="62"/>
      <c r="K2517" s="63"/>
      <c r="L2517" s="63"/>
      <c r="M2517" s="63"/>
      <c r="N2517" s="64"/>
      <c r="O2517" s="62"/>
      <c r="P2517" s="64"/>
      <c r="Q2517" s="59"/>
      <c r="R2517" s="65"/>
      <c r="S2517" s="65"/>
      <c r="T2517" s="65"/>
      <c r="U2517" s="65"/>
      <c r="V2517" s="65"/>
      <c r="W2517" s="65"/>
      <c r="X2517" s="65"/>
    </row>
    <row r="2518" ht="12.0" customHeight="1">
      <c r="A2518" s="241"/>
      <c r="B2518" s="57"/>
      <c r="C2518" s="58"/>
      <c r="D2518" s="59"/>
      <c r="E2518" s="57"/>
      <c r="F2518" s="57"/>
      <c r="G2518" s="60"/>
      <c r="H2518" s="57"/>
      <c r="I2518" s="61"/>
      <c r="J2518" s="62"/>
      <c r="K2518" s="63"/>
      <c r="L2518" s="63"/>
      <c r="M2518" s="63"/>
      <c r="N2518" s="64"/>
      <c r="O2518" s="62"/>
      <c r="P2518" s="64"/>
      <c r="Q2518" s="59"/>
      <c r="R2518" s="65"/>
      <c r="S2518" s="65"/>
      <c r="T2518" s="65"/>
      <c r="U2518" s="65"/>
      <c r="V2518" s="65"/>
      <c r="W2518" s="65"/>
      <c r="X2518" s="65"/>
    </row>
    <row r="2519" ht="12.0" customHeight="1">
      <c r="A2519" s="241"/>
      <c r="B2519" s="57"/>
      <c r="C2519" s="58"/>
      <c r="D2519" s="59"/>
      <c r="E2519" s="57"/>
      <c r="F2519" s="57"/>
      <c r="G2519" s="60"/>
      <c r="H2519" s="57"/>
      <c r="I2519" s="61"/>
      <c r="J2519" s="62"/>
      <c r="K2519" s="63"/>
      <c r="L2519" s="63"/>
      <c r="M2519" s="63"/>
      <c r="N2519" s="64"/>
      <c r="O2519" s="62"/>
      <c r="P2519" s="64"/>
      <c r="Q2519" s="59"/>
      <c r="R2519" s="65"/>
      <c r="S2519" s="65"/>
      <c r="T2519" s="65"/>
      <c r="U2519" s="65"/>
      <c r="V2519" s="65"/>
      <c r="W2519" s="65"/>
      <c r="X2519" s="65"/>
    </row>
    <row r="2520" ht="12.0" customHeight="1">
      <c r="A2520" s="241"/>
      <c r="B2520" s="57"/>
      <c r="C2520" s="58"/>
      <c r="D2520" s="59"/>
      <c r="E2520" s="57"/>
      <c r="F2520" s="57"/>
      <c r="G2520" s="60"/>
      <c r="H2520" s="57"/>
      <c r="I2520" s="61"/>
      <c r="J2520" s="62"/>
      <c r="K2520" s="63"/>
      <c r="L2520" s="63"/>
      <c r="M2520" s="63"/>
      <c r="N2520" s="64"/>
      <c r="O2520" s="62"/>
      <c r="P2520" s="64"/>
      <c r="Q2520" s="59"/>
      <c r="R2520" s="65"/>
      <c r="S2520" s="65"/>
      <c r="T2520" s="65"/>
      <c r="U2520" s="65"/>
      <c r="V2520" s="65"/>
      <c r="W2520" s="65"/>
      <c r="X2520" s="65"/>
    </row>
    <row r="2521" ht="12.0" customHeight="1">
      <c r="A2521" s="241"/>
      <c r="B2521" s="57"/>
      <c r="C2521" s="58"/>
      <c r="D2521" s="59"/>
      <c r="E2521" s="57"/>
      <c r="F2521" s="57"/>
      <c r="G2521" s="60"/>
      <c r="H2521" s="57"/>
      <c r="I2521" s="61"/>
      <c r="J2521" s="62"/>
      <c r="K2521" s="63"/>
      <c r="L2521" s="63"/>
      <c r="M2521" s="63"/>
      <c r="N2521" s="64"/>
      <c r="O2521" s="62"/>
      <c r="P2521" s="64"/>
      <c r="Q2521" s="59"/>
      <c r="R2521" s="65"/>
      <c r="S2521" s="65"/>
      <c r="T2521" s="65"/>
      <c r="U2521" s="65"/>
      <c r="V2521" s="65"/>
      <c r="W2521" s="65"/>
      <c r="X2521" s="65"/>
    </row>
    <row r="2522" ht="12.0" customHeight="1">
      <c r="A2522" s="241"/>
      <c r="B2522" s="57"/>
      <c r="C2522" s="58"/>
      <c r="D2522" s="59"/>
      <c r="E2522" s="57"/>
      <c r="F2522" s="57"/>
      <c r="G2522" s="60"/>
      <c r="H2522" s="57"/>
      <c r="I2522" s="61"/>
      <c r="J2522" s="62"/>
      <c r="K2522" s="63"/>
      <c r="L2522" s="63"/>
      <c r="M2522" s="63"/>
      <c r="N2522" s="64"/>
      <c r="O2522" s="62"/>
      <c r="P2522" s="64"/>
      <c r="Q2522" s="59"/>
      <c r="R2522" s="65"/>
      <c r="S2522" s="65"/>
      <c r="T2522" s="65"/>
      <c r="U2522" s="65"/>
      <c r="V2522" s="65"/>
      <c r="W2522" s="65"/>
      <c r="X2522" s="65"/>
    </row>
    <row r="2523" ht="12.0" customHeight="1">
      <c r="A2523" s="241"/>
      <c r="B2523" s="57"/>
      <c r="C2523" s="58"/>
      <c r="D2523" s="59"/>
      <c r="E2523" s="57"/>
      <c r="F2523" s="57"/>
      <c r="G2523" s="60"/>
      <c r="H2523" s="57"/>
      <c r="I2523" s="61"/>
      <c r="J2523" s="62"/>
      <c r="K2523" s="63"/>
      <c r="L2523" s="63"/>
      <c r="M2523" s="63"/>
      <c r="N2523" s="64"/>
      <c r="O2523" s="62"/>
      <c r="P2523" s="64"/>
      <c r="Q2523" s="59"/>
      <c r="R2523" s="65"/>
      <c r="S2523" s="65"/>
      <c r="T2523" s="65"/>
      <c r="U2523" s="65"/>
      <c r="V2523" s="65"/>
      <c r="W2523" s="65"/>
      <c r="X2523" s="65"/>
    </row>
    <row r="2524" ht="12.0" customHeight="1">
      <c r="A2524" s="241"/>
      <c r="B2524" s="57"/>
      <c r="C2524" s="58"/>
      <c r="D2524" s="59"/>
      <c r="E2524" s="57"/>
      <c r="F2524" s="57"/>
      <c r="G2524" s="60"/>
      <c r="H2524" s="57"/>
      <c r="I2524" s="61"/>
      <c r="J2524" s="62"/>
      <c r="K2524" s="63"/>
      <c r="L2524" s="63"/>
      <c r="M2524" s="63"/>
      <c r="N2524" s="64"/>
      <c r="O2524" s="62"/>
      <c r="P2524" s="64"/>
      <c r="Q2524" s="59"/>
      <c r="R2524" s="65"/>
      <c r="S2524" s="65"/>
      <c r="T2524" s="65"/>
      <c r="U2524" s="65"/>
      <c r="V2524" s="65"/>
      <c r="W2524" s="65"/>
      <c r="X2524" s="65"/>
    </row>
    <row r="2525" ht="12.0" customHeight="1">
      <c r="A2525" s="241"/>
      <c r="B2525" s="57"/>
      <c r="C2525" s="58"/>
      <c r="D2525" s="59"/>
      <c r="E2525" s="57"/>
      <c r="F2525" s="57"/>
      <c r="G2525" s="60"/>
      <c r="H2525" s="57"/>
      <c r="I2525" s="61"/>
      <c r="J2525" s="62"/>
      <c r="K2525" s="63"/>
      <c r="L2525" s="63"/>
      <c r="M2525" s="63"/>
      <c r="N2525" s="64"/>
      <c r="O2525" s="62"/>
      <c r="P2525" s="64"/>
      <c r="Q2525" s="59"/>
      <c r="R2525" s="65"/>
      <c r="S2525" s="65"/>
      <c r="T2525" s="65"/>
      <c r="U2525" s="65"/>
      <c r="V2525" s="65"/>
      <c r="W2525" s="65"/>
      <c r="X2525" s="65"/>
    </row>
    <row r="2526" ht="12.0" customHeight="1">
      <c r="A2526" s="241"/>
      <c r="B2526" s="57"/>
      <c r="C2526" s="58"/>
      <c r="D2526" s="59"/>
      <c r="E2526" s="57"/>
      <c r="F2526" s="57"/>
      <c r="G2526" s="60"/>
      <c r="H2526" s="57"/>
      <c r="I2526" s="61"/>
      <c r="J2526" s="62"/>
      <c r="K2526" s="63"/>
      <c r="L2526" s="63"/>
      <c r="M2526" s="63"/>
      <c r="N2526" s="64"/>
      <c r="O2526" s="62"/>
      <c r="P2526" s="64"/>
      <c r="Q2526" s="59"/>
      <c r="R2526" s="65"/>
      <c r="S2526" s="65"/>
      <c r="T2526" s="65"/>
      <c r="U2526" s="65"/>
      <c r="V2526" s="65"/>
      <c r="W2526" s="65"/>
      <c r="X2526" s="65"/>
    </row>
    <row r="2527" ht="12.0" customHeight="1">
      <c r="A2527" s="241"/>
      <c r="B2527" s="57"/>
      <c r="C2527" s="58"/>
      <c r="D2527" s="59"/>
      <c r="E2527" s="57"/>
      <c r="F2527" s="57"/>
      <c r="G2527" s="60"/>
      <c r="H2527" s="57"/>
      <c r="I2527" s="61"/>
      <c r="J2527" s="62"/>
      <c r="K2527" s="63"/>
      <c r="L2527" s="63"/>
      <c r="M2527" s="63"/>
      <c r="N2527" s="64"/>
      <c r="O2527" s="62"/>
      <c r="P2527" s="64"/>
      <c r="Q2527" s="59"/>
      <c r="R2527" s="65"/>
      <c r="S2527" s="65"/>
      <c r="T2527" s="65"/>
      <c r="U2527" s="65"/>
      <c r="V2527" s="65"/>
      <c r="W2527" s="65"/>
      <c r="X2527" s="65"/>
    </row>
    <row r="2528" ht="12.0" customHeight="1">
      <c r="A2528" s="241"/>
      <c r="B2528" s="57"/>
      <c r="C2528" s="58"/>
      <c r="D2528" s="59"/>
      <c r="E2528" s="57"/>
      <c r="F2528" s="57"/>
      <c r="G2528" s="60"/>
      <c r="H2528" s="57"/>
      <c r="I2528" s="61"/>
      <c r="J2528" s="62"/>
      <c r="K2528" s="63"/>
      <c r="L2528" s="63"/>
      <c r="M2528" s="63"/>
      <c r="N2528" s="64"/>
      <c r="O2528" s="62"/>
      <c r="P2528" s="64"/>
      <c r="Q2528" s="59"/>
      <c r="R2528" s="65"/>
      <c r="S2528" s="65"/>
      <c r="T2528" s="65"/>
      <c r="U2528" s="65"/>
      <c r="V2528" s="65"/>
      <c r="W2528" s="65"/>
      <c r="X2528" s="65"/>
    </row>
    <row r="2529" ht="12.0" customHeight="1">
      <c r="A2529" s="241"/>
      <c r="B2529" s="57"/>
      <c r="C2529" s="58"/>
      <c r="D2529" s="59"/>
      <c r="E2529" s="57"/>
      <c r="F2529" s="57"/>
      <c r="G2529" s="60"/>
      <c r="H2529" s="57"/>
      <c r="I2529" s="61"/>
      <c r="J2529" s="62"/>
      <c r="K2529" s="63"/>
      <c r="L2529" s="63"/>
      <c r="M2529" s="63"/>
      <c r="N2529" s="64"/>
      <c r="O2529" s="62"/>
      <c r="P2529" s="64"/>
      <c r="Q2529" s="59"/>
      <c r="R2529" s="65"/>
      <c r="S2529" s="65"/>
      <c r="T2529" s="65"/>
      <c r="U2529" s="65"/>
      <c r="V2529" s="65"/>
      <c r="W2529" s="65"/>
      <c r="X2529" s="65"/>
    </row>
    <row r="2530" ht="12.0" customHeight="1">
      <c r="A2530" s="241"/>
      <c r="B2530" s="57"/>
      <c r="C2530" s="58"/>
      <c r="D2530" s="59"/>
      <c r="E2530" s="57"/>
      <c r="F2530" s="57"/>
      <c r="G2530" s="60"/>
      <c r="H2530" s="57"/>
      <c r="I2530" s="61"/>
      <c r="J2530" s="62"/>
      <c r="K2530" s="63"/>
      <c r="L2530" s="63"/>
      <c r="M2530" s="63"/>
      <c r="N2530" s="64"/>
      <c r="O2530" s="62"/>
      <c r="P2530" s="64"/>
      <c r="Q2530" s="59"/>
      <c r="R2530" s="65"/>
      <c r="S2530" s="65"/>
      <c r="T2530" s="65"/>
      <c r="U2530" s="65"/>
      <c r="V2530" s="65"/>
      <c r="W2530" s="65"/>
      <c r="X2530" s="65"/>
    </row>
    <row r="2531" ht="12.0" customHeight="1">
      <c r="A2531" s="241"/>
      <c r="B2531" s="57"/>
      <c r="C2531" s="58"/>
      <c r="D2531" s="59"/>
      <c r="E2531" s="57"/>
      <c r="F2531" s="57"/>
      <c r="G2531" s="60"/>
      <c r="H2531" s="57"/>
      <c r="I2531" s="61"/>
      <c r="J2531" s="62"/>
      <c r="K2531" s="63"/>
      <c r="L2531" s="63"/>
      <c r="M2531" s="63"/>
      <c r="N2531" s="64"/>
      <c r="O2531" s="62"/>
      <c r="P2531" s="64"/>
      <c r="Q2531" s="59"/>
      <c r="R2531" s="65"/>
      <c r="S2531" s="65"/>
      <c r="T2531" s="65"/>
      <c r="U2531" s="65"/>
      <c r="V2531" s="65"/>
      <c r="W2531" s="65"/>
      <c r="X2531" s="65"/>
    </row>
    <row r="2532" ht="12.0" customHeight="1">
      <c r="A2532" s="241"/>
      <c r="B2532" s="57"/>
      <c r="C2532" s="58"/>
      <c r="D2532" s="59"/>
      <c r="E2532" s="57"/>
      <c r="F2532" s="57"/>
      <c r="G2532" s="60"/>
      <c r="H2532" s="57"/>
      <c r="I2532" s="61"/>
      <c r="J2532" s="62"/>
      <c r="K2532" s="63"/>
      <c r="L2532" s="63"/>
      <c r="M2532" s="63"/>
      <c r="N2532" s="64"/>
      <c r="O2532" s="62"/>
      <c r="P2532" s="64"/>
      <c r="Q2532" s="59"/>
      <c r="R2532" s="65"/>
      <c r="S2532" s="65"/>
      <c r="T2532" s="65"/>
      <c r="U2532" s="65"/>
      <c r="V2532" s="65"/>
      <c r="W2532" s="65"/>
      <c r="X2532" s="65"/>
    </row>
    <row r="2533" ht="12.0" customHeight="1">
      <c r="A2533" s="241"/>
      <c r="B2533" s="57"/>
      <c r="C2533" s="58"/>
      <c r="D2533" s="59"/>
      <c r="E2533" s="57"/>
      <c r="F2533" s="57"/>
      <c r="G2533" s="60"/>
      <c r="H2533" s="57"/>
      <c r="I2533" s="61"/>
      <c r="J2533" s="62"/>
      <c r="K2533" s="63"/>
      <c r="L2533" s="63"/>
      <c r="M2533" s="63"/>
      <c r="N2533" s="64"/>
      <c r="O2533" s="62"/>
      <c r="P2533" s="64"/>
      <c r="Q2533" s="59"/>
      <c r="R2533" s="65"/>
      <c r="S2533" s="65"/>
      <c r="T2533" s="65"/>
      <c r="U2533" s="65"/>
      <c r="V2533" s="65"/>
      <c r="W2533" s="65"/>
      <c r="X2533" s="65"/>
    </row>
    <row r="2534" ht="12.0" customHeight="1">
      <c r="A2534" s="241"/>
      <c r="B2534" s="57"/>
      <c r="C2534" s="58"/>
      <c r="D2534" s="59"/>
      <c r="E2534" s="57"/>
      <c r="F2534" s="57"/>
      <c r="G2534" s="60"/>
      <c r="H2534" s="57"/>
      <c r="I2534" s="61"/>
      <c r="J2534" s="62"/>
      <c r="K2534" s="63"/>
      <c r="L2534" s="63"/>
      <c r="M2534" s="63"/>
      <c r="N2534" s="64"/>
      <c r="O2534" s="62"/>
      <c r="P2534" s="64"/>
      <c r="Q2534" s="59"/>
      <c r="R2534" s="65"/>
      <c r="S2534" s="65"/>
      <c r="T2534" s="65"/>
      <c r="U2534" s="65"/>
      <c r="V2534" s="65"/>
      <c r="W2534" s="65"/>
      <c r="X2534" s="65"/>
    </row>
    <row r="2535" ht="12.0" customHeight="1">
      <c r="A2535" s="241"/>
      <c r="B2535" s="57"/>
      <c r="C2535" s="58"/>
      <c r="D2535" s="59"/>
      <c r="E2535" s="57"/>
      <c r="F2535" s="57"/>
      <c r="G2535" s="60"/>
      <c r="H2535" s="57"/>
      <c r="I2535" s="61"/>
      <c r="J2535" s="62"/>
      <c r="K2535" s="63"/>
      <c r="L2535" s="63"/>
      <c r="M2535" s="63"/>
      <c r="N2535" s="64"/>
      <c r="O2535" s="62"/>
      <c r="P2535" s="64"/>
      <c r="Q2535" s="59"/>
      <c r="R2535" s="65"/>
      <c r="S2535" s="65"/>
      <c r="T2535" s="65"/>
      <c r="U2535" s="65"/>
      <c r="V2535" s="65"/>
      <c r="W2535" s="65"/>
      <c r="X2535" s="65"/>
    </row>
    <row r="2536" ht="12.0" customHeight="1">
      <c r="A2536" s="241"/>
      <c r="B2536" s="57"/>
      <c r="C2536" s="58"/>
      <c r="D2536" s="59"/>
      <c r="E2536" s="57"/>
      <c r="F2536" s="57"/>
      <c r="G2536" s="60"/>
      <c r="H2536" s="57"/>
      <c r="I2536" s="61"/>
      <c r="J2536" s="62"/>
      <c r="K2536" s="63"/>
      <c r="L2536" s="63"/>
      <c r="M2536" s="63"/>
      <c r="N2536" s="64"/>
      <c r="O2536" s="62"/>
      <c r="P2536" s="64"/>
      <c r="Q2536" s="59"/>
      <c r="R2536" s="65"/>
      <c r="S2536" s="65"/>
      <c r="T2536" s="65"/>
      <c r="U2536" s="65"/>
      <c r="V2536" s="65"/>
      <c r="W2536" s="65"/>
      <c r="X2536" s="65"/>
    </row>
    <row r="2537" ht="12.0" customHeight="1">
      <c r="A2537" s="241"/>
      <c r="B2537" s="57"/>
      <c r="C2537" s="58"/>
      <c r="D2537" s="59"/>
      <c r="E2537" s="57"/>
      <c r="F2537" s="57"/>
      <c r="G2537" s="60"/>
      <c r="H2537" s="57"/>
      <c r="I2537" s="61"/>
      <c r="J2537" s="62"/>
      <c r="K2537" s="63"/>
      <c r="L2537" s="63"/>
      <c r="M2537" s="63"/>
      <c r="N2537" s="64"/>
      <c r="O2537" s="62"/>
      <c r="P2537" s="64"/>
      <c r="Q2537" s="59"/>
      <c r="R2537" s="65"/>
      <c r="S2537" s="65"/>
      <c r="T2537" s="65"/>
      <c r="U2537" s="65"/>
      <c r="V2537" s="65"/>
      <c r="W2537" s="65"/>
      <c r="X2537" s="65"/>
    </row>
    <row r="2538" ht="12.0" customHeight="1">
      <c r="A2538" s="241"/>
      <c r="B2538" s="57"/>
      <c r="C2538" s="58"/>
      <c r="D2538" s="59"/>
      <c r="E2538" s="57"/>
      <c r="F2538" s="57"/>
      <c r="G2538" s="60"/>
      <c r="H2538" s="57"/>
      <c r="I2538" s="61"/>
      <c r="J2538" s="62"/>
      <c r="K2538" s="63"/>
      <c r="L2538" s="63"/>
      <c r="M2538" s="63"/>
      <c r="N2538" s="64"/>
      <c r="O2538" s="62"/>
      <c r="P2538" s="64"/>
      <c r="Q2538" s="59"/>
      <c r="R2538" s="65"/>
      <c r="S2538" s="65"/>
      <c r="T2538" s="65"/>
      <c r="U2538" s="65"/>
      <c r="V2538" s="65"/>
      <c r="W2538" s="65"/>
      <c r="X2538" s="65"/>
    </row>
    <row r="2539" ht="12.0" customHeight="1">
      <c r="A2539" s="241"/>
      <c r="B2539" s="57"/>
      <c r="C2539" s="58"/>
      <c r="D2539" s="59"/>
      <c r="E2539" s="57"/>
      <c r="F2539" s="57"/>
      <c r="G2539" s="60"/>
      <c r="H2539" s="57"/>
      <c r="I2539" s="61"/>
      <c r="J2539" s="62"/>
      <c r="K2539" s="63"/>
      <c r="L2539" s="63"/>
      <c r="M2539" s="63"/>
      <c r="N2539" s="64"/>
      <c r="O2539" s="62"/>
      <c r="P2539" s="64"/>
      <c r="Q2539" s="59"/>
      <c r="R2539" s="65"/>
      <c r="S2539" s="65"/>
      <c r="T2539" s="65"/>
      <c r="U2539" s="65"/>
      <c r="V2539" s="65"/>
      <c r="W2539" s="65"/>
      <c r="X2539" s="65"/>
    </row>
    <row r="2540" ht="12.0" customHeight="1">
      <c r="A2540" s="241"/>
      <c r="B2540" s="57"/>
      <c r="C2540" s="58"/>
      <c r="D2540" s="59"/>
      <c r="E2540" s="57"/>
      <c r="F2540" s="57"/>
      <c r="G2540" s="60"/>
      <c r="H2540" s="57"/>
      <c r="I2540" s="61"/>
      <c r="J2540" s="62"/>
      <c r="K2540" s="63"/>
      <c r="L2540" s="63"/>
      <c r="M2540" s="63"/>
      <c r="N2540" s="64"/>
      <c r="O2540" s="62"/>
      <c r="P2540" s="64"/>
      <c r="Q2540" s="59"/>
      <c r="R2540" s="65"/>
      <c r="S2540" s="65"/>
      <c r="T2540" s="65"/>
      <c r="U2540" s="65"/>
      <c r="V2540" s="65"/>
      <c r="W2540" s="65"/>
      <c r="X2540" s="65"/>
    </row>
    <row r="2541" ht="12.0" customHeight="1">
      <c r="A2541" s="241"/>
      <c r="B2541" s="57"/>
      <c r="C2541" s="58"/>
      <c r="D2541" s="59"/>
      <c r="E2541" s="57"/>
      <c r="F2541" s="57"/>
      <c r="G2541" s="60"/>
      <c r="H2541" s="57"/>
      <c r="I2541" s="61"/>
      <c r="J2541" s="62"/>
      <c r="K2541" s="63"/>
      <c r="L2541" s="63"/>
      <c r="M2541" s="63"/>
      <c r="N2541" s="64"/>
      <c r="O2541" s="62"/>
      <c r="P2541" s="64"/>
      <c r="Q2541" s="59"/>
      <c r="R2541" s="65"/>
      <c r="S2541" s="65"/>
      <c r="T2541" s="65"/>
      <c r="U2541" s="65"/>
      <c r="V2541" s="65"/>
      <c r="W2541" s="65"/>
      <c r="X2541" s="65"/>
    </row>
    <row r="2542" ht="12.0" customHeight="1">
      <c r="A2542" s="241"/>
      <c r="B2542" s="57"/>
      <c r="C2542" s="58"/>
      <c r="D2542" s="59"/>
      <c r="E2542" s="57"/>
      <c r="F2542" s="57"/>
      <c r="G2542" s="60"/>
      <c r="H2542" s="57"/>
      <c r="I2542" s="61"/>
      <c r="J2542" s="62"/>
      <c r="K2542" s="63"/>
      <c r="L2542" s="63"/>
      <c r="M2542" s="63"/>
      <c r="N2542" s="64"/>
      <c r="O2542" s="62"/>
      <c r="P2542" s="64"/>
      <c r="Q2542" s="59"/>
      <c r="R2542" s="65"/>
      <c r="S2542" s="65"/>
      <c r="T2542" s="65"/>
      <c r="U2542" s="65"/>
      <c r="V2542" s="65"/>
      <c r="W2542" s="65"/>
      <c r="X2542" s="65"/>
    </row>
    <row r="2543" ht="12.0" customHeight="1">
      <c r="A2543" s="241"/>
      <c r="B2543" s="57"/>
      <c r="C2543" s="58"/>
      <c r="D2543" s="59"/>
      <c r="E2543" s="57"/>
      <c r="F2543" s="57"/>
      <c r="G2543" s="60"/>
      <c r="H2543" s="57"/>
      <c r="I2543" s="61"/>
      <c r="J2543" s="62"/>
      <c r="K2543" s="63"/>
      <c r="L2543" s="63"/>
      <c r="M2543" s="63"/>
      <c r="N2543" s="64"/>
      <c r="O2543" s="62"/>
      <c r="P2543" s="64"/>
      <c r="Q2543" s="59"/>
      <c r="R2543" s="65"/>
      <c r="S2543" s="65"/>
      <c r="T2543" s="65"/>
      <c r="U2543" s="65"/>
      <c r="V2543" s="65"/>
      <c r="W2543" s="65"/>
      <c r="X2543" s="65"/>
    </row>
    <row r="2544" ht="12.0" customHeight="1">
      <c r="A2544" s="241"/>
      <c r="B2544" s="57"/>
      <c r="C2544" s="58"/>
      <c r="D2544" s="59"/>
      <c r="E2544" s="57"/>
      <c r="F2544" s="57"/>
      <c r="G2544" s="60"/>
      <c r="H2544" s="57"/>
      <c r="I2544" s="61"/>
      <c r="J2544" s="62"/>
      <c r="K2544" s="63"/>
      <c r="L2544" s="63"/>
      <c r="M2544" s="63"/>
      <c r="N2544" s="64"/>
      <c r="O2544" s="62"/>
      <c r="P2544" s="64"/>
      <c r="Q2544" s="59"/>
      <c r="R2544" s="65"/>
      <c r="S2544" s="65"/>
      <c r="T2544" s="65"/>
      <c r="U2544" s="65"/>
      <c r="V2544" s="65"/>
      <c r="W2544" s="65"/>
      <c r="X2544" s="65"/>
    </row>
    <row r="2545" ht="12.0" customHeight="1">
      <c r="A2545" s="241"/>
      <c r="B2545" s="57"/>
      <c r="C2545" s="58"/>
      <c r="D2545" s="59"/>
      <c r="E2545" s="57"/>
      <c r="F2545" s="57"/>
      <c r="G2545" s="60"/>
      <c r="H2545" s="57"/>
      <c r="I2545" s="61"/>
      <c r="J2545" s="62"/>
      <c r="K2545" s="63"/>
      <c r="L2545" s="63"/>
      <c r="M2545" s="63"/>
      <c r="N2545" s="64"/>
      <c r="O2545" s="62"/>
      <c r="P2545" s="64"/>
      <c r="Q2545" s="59"/>
      <c r="R2545" s="65"/>
      <c r="S2545" s="65"/>
      <c r="T2545" s="65"/>
      <c r="U2545" s="65"/>
      <c r="V2545" s="65"/>
      <c r="W2545" s="65"/>
      <c r="X2545" s="65"/>
    </row>
    <row r="2546" ht="12.0" customHeight="1">
      <c r="A2546" s="241"/>
      <c r="B2546" s="57"/>
      <c r="C2546" s="58"/>
      <c r="D2546" s="59"/>
      <c r="E2546" s="57"/>
      <c r="F2546" s="57"/>
      <c r="G2546" s="60"/>
      <c r="H2546" s="57"/>
      <c r="I2546" s="61"/>
      <c r="J2546" s="62"/>
      <c r="K2546" s="63"/>
      <c r="L2546" s="63"/>
      <c r="M2546" s="63"/>
      <c r="N2546" s="64"/>
      <c r="O2546" s="62"/>
      <c r="P2546" s="64"/>
      <c r="Q2546" s="59"/>
      <c r="R2546" s="65"/>
      <c r="S2546" s="65"/>
      <c r="T2546" s="65"/>
      <c r="U2546" s="65"/>
      <c r="V2546" s="65"/>
      <c r="W2546" s="65"/>
      <c r="X2546" s="65"/>
    </row>
    <row r="2547" ht="12.0" customHeight="1">
      <c r="A2547" s="241"/>
      <c r="B2547" s="57"/>
      <c r="C2547" s="58"/>
      <c r="D2547" s="59"/>
      <c r="E2547" s="57"/>
      <c r="F2547" s="57"/>
      <c r="G2547" s="60"/>
      <c r="H2547" s="57"/>
      <c r="I2547" s="61"/>
      <c r="J2547" s="62"/>
      <c r="K2547" s="63"/>
      <c r="L2547" s="63"/>
      <c r="M2547" s="63"/>
      <c r="N2547" s="64"/>
      <c r="O2547" s="62"/>
      <c r="P2547" s="64"/>
      <c r="Q2547" s="59"/>
      <c r="R2547" s="65"/>
      <c r="S2547" s="65"/>
      <c r="T2547" s="65"/>
      <c r="U2547" s="65"/>
      <c r="V2547" s="65"/>
      <c r="W2547" s="65"/>
      <c r="X2547" s="65"/>
    </row>
    <row r="2548" ht="12.0" customHeight="1">
      <c r="A2548" s="241"/>
      <c r="B2548" s="57"/>
      <c r="C2548" s="58"/>
      <c r="D2548" s="59"/>
      <c r="E2548" s="57"/>
      <c r="F2548" s="57"/>
      <c r="G2548" s="60"/>
      <c r="H2548" s="57"/>
      <c r="I2548" s="61"/>
      <c r="J2548" s="62"/>
      <c r="K2548" s="63"/>
      <c r="L2548" s="63"/>
      <c r="M2548" s="63"/>
      <c r="N2548" s="64"/>
      <c r="O2548" s="62"/>
      <c r="P2548" s="64"/>
      <c r="Q2548" s="59"/>
      <c r="R2548" s="65"/>
      <c r="S2548" s="65"/>
      <c r="T2548" s="65"/>
      <c r="U2548" s="65"/>
      <c r="V2548" s="65"/>
      <c r="W2548" s="65"/>
      <c r="X2548" s="65"/>
    </row>
    <row r="2549" ht="12.0" customHeight="1">
      <c r="A2549" s="241"/>
      <c r="B2549" s="57"/>
      <c r="C2549" s="58"/>
      <c r="D2549" s="59"/>
      <c r="E2549" s="57"/>
      <c r="F2549" s="57"/>
      <c r="G2549" s="60"/>
      <c r="H2549" s="57"/>
      <c r="I2549" s="61"/>
      <c r="J2549" s="62"/>
      <c r="K2549" s="63"/>
      <c r="L2549" s="63"/>
      <c r="M2549" s="63"/>
      <c r="N2549" s="64"/>
      <c r="O2549" s="62"/>
      <c r="P2549" s="64"/>
      <c r="Q2549" s="59"/>
      <c r="R2549" s="65"/>
      <c r="S2549" s="65"/>
      <c r="T2549" s="65"/>
      <c r="U2549" s="65"/>
      <c r="V2549" s="65"/>
      <c r="W2549" s="65"/>
      <c r="X2549" s="65"/>
    </row>
    <row r="2550" ht="12.0" customHeight="1">
      <c r="A2550" s="241"/>
      <c r="B2550" s="57"/>
      <c r="C2550" s="58"/>
      <c r="D2550" s="59"/>
      <c r="E2550" s="57"/>
      <c r="F2550" s="57"/>
      <c r="G2550" s="60"/>
      <c r="H2550" s="57"/>
      <c r="I2550" s="61"/>
      <c r="J2550" s="62"/>
      <c r="K2550" s="63"/>
      <c r="L2550" s="63"/>
      <c r="M2550" s="63"/>
      <c r="N2550" s="64"/>
      <c r="O2550" s="62"/>
      <c r="P2550" s="64"/>
      <c r="Q2550" s="59"/>
      <c r="R2550" s="65"/>
      <c r="S2550" s="65"/>
      <c r="T2550" s="65"/>
      <c r="U2550" s="65"/>
      <c r="V2550" s="65"/>
      <c r="W2550" s="65"/>
      <c r="X2550" s="65"/>
    </row>
    <row r="2551" ht="12.0" customHeight="1">
      <c r="A2551" s="241"/>
      <c r="B2551" s="57"/>
      <c r="C2551" s="58"/>
      <c r="D2551" s="59"/>
      <c r="E2551" s="57"/>
      <c r="F2551" s="57"/>
      <c r="G2551" s="60"/>
      <c r="H2551" s="57"/>
      <c r="I2551" s="61"/>
      <c r="J2551" s="62"/>
      <c r="K2551" s="63"/>
      <c r="L2551" s="63"/>
      <c r="M2551" s="63"/>
      <c r="N2551" s="64"/>
      <c r="O2551" s="62"/>
      <c r="P2551" s="64"/>
      <c r="Q2551" s="59"/>
      <c r="R2551" s="65"/>
      <c r="S2551" s="65"/>
      <c r="T2551" s="65"/>
      <c r="U2551" s="65"/>
      <c r="V2551" s="65"/>
      <c r="W2551" s="65"/>
      <c r="X2551" s="65"/>
    </row>
    <row r="2552" ht="12.0" customHeight="1">
      <c r="A2552" s="241"/>
      <c r="B2552" s="57"/>
      <c r="C2552" s="58"/>
      <c r="D2552" s="59"/>
      <c r="E2552" s="57"/>
      <c r="F2552" s="57"/>
      <c r="G2552" s="60"/>
      <c r="H2552" s="57"/>
      <c r="I2552" s="61"/>
      <c r="J2552" s="62"/>
      <c r="K2552" s="63"/>
      <c r="L2552" s="63"/>
      <c r="M2552" s="63"/>
      <c r="N2552" s="64"/>
      <c r="O2552" s="62"/>
      <c r="P2552" s="64"/>
      <c r="Q2552" s="59"/>
      <c r="R2552" s="65"/>
      <c r="S2552" s="65"/>
      <c r="T2552" s="65"/>
      <c r="U2552" s="65"/>
      <c r="V2552" s="65"/>
      <c r="W2552" s="65"/>
      <c r="X2552" s="65"/>
    </row>
    <row r="2553" ht="12.0" customHeight="1">
      <c r="A2553" s="241"/>
      <c r="B2553" s="57"/>
      <c r="C2553" s="58"/>
      <c r="D2553" s="59"/>
      <c r="E2553" s="57"/>
      <c r="F2553" s="57"/>
      <c r="G2553" s="60"/>
      <c r="H2553" s="57"/>
      <c r="I2553" s="61"/>
      <c r="J2553" s="62"/>
      <c r="K2553" s="63"/>
      <c r="L2553" s="63"/>
      <c r="M2553" s="63"/>
      <c r="N2553" s="64"/>
      <c r="O2553" s="62"/>
      <c r="P2553" s="64"/>
      <c r="Q2553" s="59"/>
      <c r="R2553" s="65"/>
      <c r="S2553" s="65"/>
      <c r="T2553" s="65"/>
      <c r="U2553" s="65"/>
      <c r="V2553" s="65"/>
      <c r="W2553" s="65"/>
      <c r="X2553" s="65"/>
    </row>
    <row r="2554" ht="12.0" customHeight="1">
      <c r="A2554" s="241"/>
      <c r="B2554" s="57"/>
      <c r="C2554" s="58"/>
      <c r="D2554" s="59"/>
      <c r="E2554" s="57"/>
      <c r="F2554" s="57"/>
      <c r="G2554" s="60"/>
      <c r="H2554" s="57"/>
      <c r="I2554" s="61"/>
      <c r="J2554" s="62"/>
      <c r="K2554" s="63"/>
      <c r="L2554" s="63"/>
      <c r="M2554" s="63"/>
      <c r="N2554" s="64"/>
      <c r="O2554" s="62"/>
      <c r="P2554" s="64"/>
      <c r="Q2554" s="59"/>
      <c r="R2554" s="65"/>
      <c r="S2554" s="65"/>
      <c r="T2554" s="65"/>
      <c r="U2554" s="65"/>
      <c r="V2554" s="65"/>
      <c r="W2554" s="65"/>
      <c r="X2554" s="65"/>
    </row>
    <row r="2555" ht="12.0" customHeight="1">
      <c r="A2555" s="241"/>
      <c r="B2555" s="57"/>
      <c r="C2555" s="58"/>
      <c r="D2555" s="59"/>
      <c r="E2555" s="57"/>
      <c r="F2555" s="57"/>
      <c r="G2555" s="60"/>
      <c r="H2555" s="57"/>
      <c r="I2555" s="61"/>
      <c r="J2555" s="62"/>
      <c r="K2555" s="63"/>
      <c r="L2555" s="63"/>
      <c r="M2555" s="63"/>
      <c r="N2555" s="64"/>
      <c r="O2555" s="62"/>
      <c r="P2555" s="64"/>
      <c r="Q2555" s="59"/>
      <c r="R2555" s="65"/>
      <c r="S2555" s="65"/>
      <c r="T2555" s="65"/>
      <c r="U2555" s="65"/>
      <c r="V2555" s="65"/>
      <c r="W2555" s="65"/>
      <c r="X2555" s="65"/>
    </row>
    <row r="2556" ht="12.0" customHeight="1">
      <c r="A2556" s="241"/>
      <c r="B2556" s="57"/>
      <c r="C2556" s="58"/>
      <c r="D2556" s="59"/>
      <c r="E2556" s="57"/>
      <c r="F2556" s="57"/>
      <c r="G2556" s="60"/>
      <c r="H2556" s="57"/>
      <c r="I2556" s="61"/>
      <c r="J2556" s="62"/>
      <c r="K2556" s="63"/>
      <c r="L2556" s="63"/>
      <c r="M2556" s="63"/>
      <c r="N2556" s="64"/>
      <c r="O2556" s="62"/>
      <c r="P2556" s="64"/>
      <c r="Q2556" s="59"/>
      <c r="R2556" s="65"/>
      <c r="S2556" s="65"/>
      <c r="T2556" s="65"/>
      <c r="U2556" s="65"/>
      <c r="V2556" s="65"/>
      <c r="W2556" s="65"/>
      <c r="X2556" s="65"/>
    </row>
    <row r="2557" ht="12.0" customHeight="1">
      <c r="A2557" s="241"/>
      <c r="B2557" s="57"/>
      <c r="C2557" s="58"/>
      <c r="D2557" s="59"/>
      <c r="E2557" s="57"/>
      <c r="F2557" s="57"/>
      <c r="G2557" s="60"/>
      <c r="H2557" s="57"/>
      <c r="I2557" s="61"/>
      <c r="J2557" s="62"/>
      <c r="K2557" s="63"/>
      <c r="L2557" s="63"/>
      <c r="M2557" s="63"/>
      <c r="N2557" s="64"/>
      <c r="O2557" s="62"/>
      <c r="P2557" s="64"/>
      <c r="Q2557" s="59"/>
      <c r="R2557" s="65"/>
      <c r="S2557" s="65"/>
      <c r="T2557" s="65"/>
      <c r="U2557" s="65"/>
      <c r="V2557" s="65"/>
      <c r="W2557" s="65"/>
      <c r="X2557" s="65"/>
    </row>
    <row r="2558" ht="12.0" customHeight="1">
      <c r="A2558" s="241"/>
      <c r="B2558" s="57"/>
      <c r="C2558" s="58"/>
      <c r="D2558" s="59"/>
      <c r="E2558" s="57"/>
      <c r="F2558" s="57"/>
      <c r="G2558" s="60"/>
      <c r="H2558" s="57"/>
      <c r="I2558" s="61"/>
      <c r="J2558" s="62"/>
      <c r="K2558" s="63"/>
      <c r="L2558" s="63"/>
      <c r="M2558" s="63"/>
      <c r="N2558" s="64"/>
      <c r="O2558" s="62"/>
      <c r="P2558" s="64"/>
      <c r="Q2558" s="59"/>
      <c r="R2558" s="65"/>
      <c r="S2558" s="65"/>
      <c r="T2558" s="65"/>
      <c r="U2558" s="65"/>
      <c r="V2558" s="65"/>
      <c r="W2558" s="65"/>
      <c r="X2558" s="65"/>
    </row>
    <row r="2559" ht="12.0" customHeight="1">
      <c r="A2559" s="241"/>
      <c r="B2559" s="57"/>
      <c r="C2559" s="58"/>
      <c r="D2559" s="59"/>
      <c r="E2559" s="57"/>
      <c r="F2559" s="57"/>
      <c r="G2559" s="60"/>
      <c r="H2559" s="57"/>
      <c r="I2559" s="61"/>
      <c r="J2559" s="62"/>
      <c r="K2559" s="63"/>
      <c r="L2559" s="63"/>
      <c r="M2559" s="63"/>
      <c r="N2559" s="64"/>
      <c r="O2559" s="62"/>
      <c r="P2559" s="64"/>
      <c r="Q2559" s="59"/>
      <c r="R2559" s="65"/>
      <c r="S2559" s="65"/>
      <c r="T2559" s="65"/>
      <c r="U2559" s="65"/>
      <c r="V2559" s="65"/>
      <c r="W2559" s="65"/>
      <c r="X2559" s="65"/>
    </row>
    <row r="2560" ht="12.0" customHeight="1">
      <c r="A2560" s="241"/>
      <c r="B2560" s="57"/>
      <c r="C2560" s="58"/>
      <c r="D2560" s="59"/>
      <c r="E2560" s="57"/>
      <c r="F2560" s="57"/>
      <c r="G2560" s="60"/>
      <c r="H2560" s="57"/>
      <c r="I2560" s="61"/>
      <c r="J2560" s="62"/>
      <c r="K2560" s="63"/>
      <c r="L2560" s="63"/>
      <c r="M2560" s="63"/>
      <c r="N2560" s="64"/>
      <c r="O2560" s="62"/>
      <c r="P2560" s="64"/>
      <c r="Q2560" s="59"/>
      <c r="R2560" s="65"/>
      <c r="S2560" s="65"/>
      <c r="T2560" s="65"/>
      <c r="U2560" s="65"/>
      <c r="V2560" s="65"/>
      <c r="W2560" s="65"/>
      <c r="X2560" s="65"/>
    </row>
    <row r="2561" ht="12.0" customHeight="1">
      <c r="A2561" s="241"/>
      <c r="B2561" s="57"/>
      <c r="C2561" s="58"/>
      <c r="D2561" s="59"/>
      <c r="E2561" s="57"/>
      <c r="F2561" s="57"/>
      <c r="G2561" s="60"/>
      <c r="H2561" s="57"/>
      <c r="I2561" s="61"/>
      <c r="J2561" s="62"/>
      <c r="K2561" s="63"/>
      <c r="L2561" s="63"/>
      <c r="M2561" s="63"/>
      <c r="N2561" s="64"/>
      <c r="O2561" s="62"/>
      <c r="P2561" s="64"/>
      <c r="Q2561" s="59"/>
      <c r="R2561" s="65"/>
      <c r="S2561" s="65"/>
      <c r="T2561" s="65"/>
      <c r="U2561" s="65"/>
      <c r="V2561" s="65"/>
      <c r="W2561" s="65"/>
      <c r="X2561" s="65"/>
    </row>
    <row r="2562" ht="12.0" customHeight="1">
      <c r="A2562" s="241"/>
      <c r="B2562" s="57"/>
      <c r="C2562" s="58"/>
      <c r="D2562" s="59"/>
      <c r="E2562" s="57"/>
      <c r="F2562" s="57"/>
      <c r="G2562" s="60"/>
      <c r="H2562" s="57"/>
      <c r="I2562" s="61"/>
      <c r="J2562" s="62"/>
      <c r="K2562" s="63"/>
      <c r="L2562" s="63"/>
      <c r="M2562" s="63"/>
      <c r="N2562" s="64"/>
      <c r="O2562" s="62"/>
      <c r="P2562" s="64"/>
      <c r="Q2562" s="59"/>
      <c r="R2562" s="65"/>
      <c r="S2562" s="65"/>
      <c r="T2562" s="65"/>
      <c r="U2562" s="65"/>
      <c r="V2562" s="65"/>
      <c r="W2562" s="65"/>
      <c r="X2562" s="65"/>
    </row>
    <row r="2563" ht="12.0" customHeight="1">
      <c r="A2563" s="241"/>
      <c r="B2563" s="57"/>
      <c r="C2563" s="58"/>
      <c r="D2563" s="59"/>
      <c r="E2563" s="57"/>
      <c r="F2563" s="57"/>
      <c r="G2563" s="60"/>
      <c r="H2563" s="57"/>
      <c r="I2563" s="61"/>
      <c r="J2563" s="62"/>
      <c r="K2563" s="63"/>
      <c r="L2563" s="63"/>
      <c r="M2563" s="63"/>
      <c r="N2563" s="64"/>
      <c r="O2563" s="62"/>
      <c r="P2563" s="64"/>
      <c r="Q2563" s="59"/>
      <c r="R2563" s="65"/>
      <c r="S2563" s="65"/>
      <c r="T2563" s="65"/>
      <c r="U2563" s="65"/>
      <c r="V2563" s="65"/>
      <c r="W2563" s="65"/>
      <c r="X2563" s="65"/>
    </row>
    <row r="2564" ht="12.0" customHeight="1">
      <c r="A2564" s="241"/>
      <c r="B2564" s="57"/>
      <c r="C2564" s="58"/>
      <c r="D2564" s="59"/>
      <c r="E2564" s="57"/>
      <c r="F2564" s="57"/>
      <c r="G2564" s="60"/>
      <c r="H2564" s="57"/>
      <c r="I2564" s="61"/>
      <c r="J2564" s="62"/>
      <c r="K2564" s="63"/>
      <c r="L2564" s="63"/>
      <c r="M2564" s="63"/>
      <c r="N2564" s="64"/>
      <c r="O2564" s="62"/>
      <c r="P2564" s="64"/>
      <c r="Q2564" s="59"/>
      <c r="R2564" s="65"/>
      <c r="S2564" s="65"/>
      <c r="T2564" s="65"/>
      <c r="U2564" s="65"/>
      <c r="V2564" s="65"/>
      <c r="W2564" s="65"/>
      <c r="X2564" s="65"/>
    </row>
    <row r="2565" ht="12.0" customHeight="1">
      <c r="A2565" s="241"/>
      <c r="B2565" s="57"/>
      <c r="C2565" s="58"/>
      <c r="D2565" s="59"/>
      <c r="E2565" s="57"/>
      <c r="F2565" s="57"/>
      <c r="G2565" s="60"/>
      <c r="H2565" s="57"/>
      <c r="I2565" s="61"/>
      <c r="J2565" s="62"/>
      <c r="K2565" s="63"/>
      <c r="L2565" s="63"/>
      <c r="M2565" s="63"/>
      <c r="N2565" s="64"/>
      <c r="O2565" s="62"/>
      <c r="P2565" s="64"/>
      <c r="Q2565" s="59"/>
      <c r="R2565" s="65"/>
      <c r="S2565" s="65"/>
      <c r="T2565" s="65"/>
      <c r="U2565" s="65"/>
      <c r="V2565" s="65"/>
      <c r="W2565" s="65"/>
      <c r="X2565" s="65"/>
    </row>
    <row r="2566" ht="12.0" customHeight="1">
      <c r="A2566" s="241"/>
      <c r="B2566" s="57"/>
      <c r="C2566" s="58"/>
      <c r="D2566" s="59"/>
      <c r="E2566" s="57"/>
      <c r="F2566" s="57"/>
      <c r="G2566" s="60"/>
      <c r="H2566" s="57"/>
      <c r="I2566" s="61"/>
      <c r="J2566" s="62"/>
      <c r="K2566" s="63"/>
      <c r="L2566" s="63"/>
      <c r="M2566" s="63"/>
      <c r="N2566" s="64"/>
      <c r="O2566" s="62"/>
      <c r="P2566" s="64"/>
      <c r="Q2566" s="59"/>
      <c r="R2566" s="65"/>
      <c r="S2566" s="65"/>
      <c r="T2566" s="65"/>
      <c r="U2566" s="65"/>
      <c r="V2566" s="65"/>
      <c r="W2566" s="65"/>
      <c r="X2566" s="65"/>
    </row>
    <row r="2567" ht="12.0" customHeight="1">
      <c r="A2567" s="241"/>
      <c r="B2567" s="57"/>
      <c r="C2567" s="58"/>
      <c r="D2567" s="59"/>
      <c r="E2567" s="57"/>
      <c r="F2567" s="57"/>
      <c r="G2567" s="60"/>
      <c r="H2567" s="57"/>
      <c r="I2567" s="61"/>
      <c r="J2567" s="62"/>
      <c r="K2567" s="63"/>
      <c r="L2567" s="63"/>
      <c r="M2567" s="63"/>
      <c r="N2567" s="64"/>
      <c r="O2567" s="62"/>
      <c r="P2567" s="64"/>
      <c r="Q2567" s="59"/>
      <c r="R2567" s="65"/>
      <c r="S2567" s="65"/>
      <c r="T2567" s="65"/>
      <c r="U2567" s="65"/>
      <c r="V2567" s="65"/>
      <c r="W2567" s="65"/>
      <c r="X2567" s="65"/>
    </row>
    <row r="2568" ht="12.0" customHeight="1">
      <c r="A2568" s="241"/>
      <c r="B2568" s="57"/>
      <c r="C2568" s="58"/>
      <c r="D2568" s="59"/>
      <c r="E2568" s="57"/>
      <c r="F2568" s="57"/>
      <c r="G2568" s="60"/>
      <c r="H2568" s="57"/>
      <c r="I2568" s="61"/>
      <c r="J2568" s="62"/>
      <c r="K2568" s="63"/>
      <c r="L2568" s="63"/>
      <c r="M2568" s="63"/>
      <c r="N2568" s="64"/>
      <c r="O2568" s="62"/>
      <c r="P2568" s="64"/>
      <c r="Q2568" s="59"/>
      <c r="R2568" s="65"/>
      <c r="S2568" s="65"/>
      <c r="T2568" s="65"/>
      <c r="U2568" s="65"/>
      <c r="V2568" s="65"/>
      <c r="W2568" s="65"/>
      <c r="X2568" s="65"/>
    </row>
    <row r="2569" ht="12.0" customHeight="1">
      <c r="A2569" s="241"/>
      <c r="B2569" s="57"/>
      <c r="C2569" s="58"/>
      <c r="D2569" s="59"/>
      <c r="E2569" s="57"/>
      <c r="F2569" s="57"/>
      <c r="G2569" s="60"/>
      <c r="H2569" s="57"/>
      <c r="I2569" s="61"/>
      <c r="J2569" s="62"/>
      <c r="K2569" s="63"/>
      <c r="L2569" s="63"/>
      <c r="M2569" s="63"/>
      <c r="N2569" s="64"/>
      <c r="O2569" s="62"/>
      <c r="P2569" s="64"/>
      <c r="Q2569" s="59"/>
      <c r="R2569" s="65"/>
      <c r="S2569" s="65"/>
      <c r="T2569" s="65"/>
      <c r="U2569" s="65"/>
      <c r="V2569" s="65"/>
      <c r="W2569" s="65"/>
      <c r="X2569" s="65"/>
    </row>
    <row r="2570" ht="12.0" customHeight="1">
      <c r="A2570" s="241"/>
      <c r="B2570" s="57"/>
      <c r="C2570" s="58"/>
      <c r="D2570" s="59"/>
      <c r="E2570" s="57"/>
      <c r="F2570" s="57"/>
      <c r="G2570" s="60"/>
      <c r="H2570" s="57"/>
      <c r="I2570" s="61"/>
      <c r="J2570" s="62"/>
      <c r="K2570" s="63"/>
      <c r="L2570" s="63"/>
      <c r="M2570" s="63"/>
      <c r="N2570" s="64"/>
      <c r="O2570" s="62"/>
      <c r="P2570" s="64"/>
      <c r="Q2570" s="59"/>
      <c r="R2570" s="65"/>
      <c r="S2570" s="65"/>
      <c r="T2570" s="65"/>
      <c r="U2570" s="65"/>
      <c r="V2570" s="65"/>
      <c r="W2570" s="65"/>
      <c r="X2570" s="65"/>
    </row>
    <row r="2571" ht="12.0" customHeight="1">
      <c r="A2571" s="241"/>
      <c r="B2571" s="57"/>
      <c r="C2571" s="58"/>
      <c r="D2571" s="59"/>
      <c r="E2571" s="57"/>
      <c r="F2571" s="57"/>
      <c r="G2571" s="60"/>
      <c r="H2571" s="57"/>
      <c r="I2571" s="61"/>
      <c r="J2571" s="62"/>
      <c r="K2571" s="63"/>
      <c r="L2571" s="63"/>
      <c r="M2571" s="63"/>
      <c r="N2571" s="64"/>
      <c r="O2571" s="62"/>
      <c r="P2571" s="64"/>
      <c r="Q2571" s="59"/>
      <c r="R2571" s="65"/>
      <c r="S2571" s="65"/>
      <c r="T2571" s="65"/>
      <c r="U2571" s="65"/>
      <c r="V2571" s="65"/>
      <c r="W2571" s="65"/>
      <c r="X2571" s="65"/>
    </row>
    <row r="2572" ht="12.0" customHeight="1">
      <c r="A2572" s="241"/>
      <c r="B2572" s="57"/>
      <c r="C2572" s="58"/>
      <c r="D2572" s="59"/>
      <c r="E2572" s="57"/>
      <c r="F2572" s="57"/>
      <c r="G2572" s="60"/>
      <c r="H2572" s="57"/>
      <c r="I2572" s="61"/>
      <c r="J2572" s="62"/>
      <c r="K2572" s="63"/>
      <c r="L2572" s="63"/>
      <c r="M2572" s="63"/>
      <c r="N2572" s="64"/>
      <c r="O2572" s="62"/>
      <c r="P2572" s="64"/>
      <c r="Q2572" s="59"/>
      <c r="R2572" s="65"/>
      <c r="S2572" s="65"/>
      <c r="T2572" s="65"/>
      <c r="U2572" s="65"/>
      <c r="V2572" s="65"/>
      <c r="W2572" s="65"/>
      <c r="X2572" s="65"/>
    </row>
    <row r="2573" ht="12.0" customHeight="1">
      <c r="A2573" s="241"/>
      <c r="B2573" s="57"/>
      <c r="C2573" s="58"/>
      <c r="D2573" s="59"/>
      <c r="E2573" s="57"/>
      <c r="F2573" s="57"/>
      <c r="G2573" s="60"/>
      <c r="H2573" s="57"/>
      <c r="I2573" s="61"/>
      <c r="J2573" s="62"/>
      <c r="K2573" s="63"/>
      <c r="L2573" s="63"/>
      <c r="M2573" s="63"/>
      <c r="N2573" s="64"/>
      <c r="O2573" s="62"/>
      <c r="P2573" s="64"/>
      <c r="Q2573" s="59"/>
      <c r="R2573" s="65"/>
      <c r="S2573" s="65"/>
      <c r="T2573" s="65"/>
      <c r="U2573" s="65"/>
      <c r="V2573" s="65"/>
      <c r="W2573" s="65"/>
      <c r="X2573" s="65"/>
    </row>
    <row r="2574" ht="12.0" customHeight="1">
      <c r="A2574" s="241"/>
      <c r="B2574" s="57"/>
      <c r="C2574" s="58"/>
      <c r="D2574" s="59"/>
      <c r="E2574" s="57"/>
      <c r="F2574" s="57"/>
      <c r="G2574" s="60"/>
      <c r="H2574" s="57"/>
      <c r="I2574" s="61"/>
      <c r="J2574" s="62"/>
      <c r="K2574" s="63"/>
      <c r="L2574" s="63"/>
      <c r="M2574" s="63"/>
      <c r="N2574" s="64"/>
      <c r="O2574" s="62"/>
      <c r="P2574" s="64"/>
      <c r="Q2574" s="59"/>
      <c r="R2574" s="65"/>
      <c r="S2574" s="65"/>
      <c r="T2574" s="65"/>
      <c r="U2574" s="65"/>
      <c r="V2574" s="65"/>
      <c r="W2574" s="65"/>
      <c r="X2574" s="65"/>
    </row>
    <row r="2575" ht="12.0" customHeight="1">
      <c r="A2575" s="241"/>
      <c r="B2575" s="57"/>
      <c r="C2575" s="58"/>
      <c r="D2575" s="59"/>
      <c r="E2575" s="57"/>
      <c r="F2575" s="57"/>
      <c r="G2575" s="60"/>
      <c r="H2575" s="57"/>
      <c r="I2575" s="61"/>
      <c r="J2575" s="62"/>
      <c r="K2575" s="63"/>
      <c r="L2575" s="63"/>
      <c r="M2575" s="63"/>
      <c r="N2575" s="64"/>
      <c r="O2575" s="62"/>
      <c r="P2575" s="64"/>
      <c r="Q2575" s="59"/>
      <c r="R2575" s="65"/>
      <c r="S2575" s="65"/>
      <c r="T2575" s="65"/>
      <c r="U2575" s="65"/>
      <c r="V2575" s="65"/>
      <c r="W2575" s="65"/>
      <c r="X2575" s="65"/>
    </row>
    <row r="2576" ht="12.0" customHeight="1">
      <c r="A2576" s="241"/>
      <c r="B2576" s="57"/>
      <c r="C2576" s="58"/>
      <c r="D2576" s="59"/>
      <c r="E2576" s="57"/>
      <c r="F2576" s="57"/>
      <c r="G2576" s="60"/>
      <c r="H2576" s="57"/>
      <c r="I2576" s="61"/>
      <c r="J2576" s="62"/>
      <c r="K2576" s="63"/>
      <c r="L2576" s="63"/>
      <c r="M2576" s="63"/>
      <c r="N2576" s="64"/>
      <c r="O2576" s="62"/>
      <c r="P2576" s="64"/>
      <c r="Q2576" s="59"/>
      <c r="R2576" s="65"/>
      <c r="S2576" s="65"/>
      <c r="T2576" s="65"/>
      <c r="U2576" s="65"/>
      <c r="V2576" s="65"/>
      <c r="W2576" s="65"/>
      <c r="X2576" s="65"/>
    </row>
    <row r="2577" ht="12.0" customHeight="1">
      <c r="A2577" s="241"/>
      <c r="B2577" s="57"/>
      <c r="C2577" s="58"/>
      <c r="D2577" s="59"/>
      <c r="E2577" s="57"/>
      <c r="F2577" s="57"/>
      <c r="G2577" s="60"/>
      <c r="H2577" s="57"/>
      <c r="I2577" s="61"/>
      <c r="J2577" s="62"/>
      <c r="K2577" s="63"/>
      <c r="L2577" s="63"/>
      <c r="M2577" s="63"/>
      <c r="N2577" s="64"/>
      <c r="O2577" s="62"/>
      <c r="P2577" s="64"/>
      <c r="Q2577" s="59"/>
      <c r="R2577" s="65"/>
      <c r="S2577" s="65"/>
      <c r="T2577" s="65"/>
      <c r="U2577" s="65"/>
      <c r="V2577" s="65"/>
      <c r="W2577" s="65"/>
      <c r="X2577" s="65"/>
    </row>
    <row r="2578" ht="12.0" customHeight="1">
      <c r="A2578" s="241"/>
      <c r="B2578" s="57"/>
      <c r="C2578" s="58"/>
      <c r="D2578" s="59"/>
      <c r="E2578" s="57"/>
      <c r="F2578" s="57"/>
      <c r="G2578" s="60"/>
      <c r="H2578" s="57"/>
      <c r="I2578" s="61"/>
      <c r="J2578" s="62"/>
      <c r="K2578" s="63"/>
      <c r="L2578" s="63"/>
      <c r="M2578" s="63"/>
      <c r="N2578" s="64"/>
      <c r="O2578" s="62"/>
      <c r="P2578" s="64"/>
      <c r="Q2578" s="59"/>
      <c r="R2578" s="65"/>
      <c r="S2578" s="65"/>
      <c r="T2578" s="65"/>
      <c r="U2578" s="65"/>
      <c r="V2578" s="65"/>
      <c r="W2578" s="65"/>
      <c r="X2578" s="65"/>
    </row>
    <row r="2579" ht="12.0" customHeight="1">
      <c r="A2579" s="241"/>
      <c r="B2579" s="57"/>
      <c r="C2579" s="58"/>
      <c r="D2579" s="59"/>
      <c r="E2579" s="57"/>
      <c r="F2579" s="57"/>
      <c r="G2579" s="60"/>
      <c r="H2579" s="57"/>
      <c r="I2579" s="61"/>
      <c r="J2579" s="62"/>
      <c r="K2579" s="63"/>
      <c r="L2579" s="63"/>
      <c r="M2579" s="63"/>
      <c r="N2579" s="64"/>
      <c r="O2579" s="62"/>
      <c r="P2579" s="64"/>
      <c r="Q2579" s="59"/>
      <c r="R2579" s="65"/>
      <c r="S2579" s="65"/>
      <c r="T2579" s="65"/>
      <c r="U2579" s="65"/>
      <c r="V2579" s="65"/>
      <c r="W2579" s="65"/>
      <c r="X2579" s="65"/>
    </row>
    <row r="2580" ht="12.0" customHeight="1">
      <c r="A2580" s="241"/>
      <c r="B2580" s="57"/>
      <c r="C2580" s="58"/>
      <c r="D2580" s="59"/>
      <c r="E2580" s="57"/>
      <c r="F2580" s="57"/>
      <c r="G2580" s="60"/>
      <c r="H2580" s="57"/>
      <c r="I2580" s="61"/>
      <c r="J2580" s="62"/>
      <c r="K2580" s="63"/>
      <c r="L2580" s="63"/>
      <c r="M2580" s="63"/>
      <c r="N2580" s="64"/>
      <c r="O2580" s="62"/>
      <c r="P2580" s="64"/>
      <c r="Q2580" s="59"/>
      <c r="R2580" s="65"/>
      <c r="S2580" s="65"/>
      <c r="T2580" s="65"/>
      <c r="U2580" s="65"/>
      <c r="V2580" s="65"/>
      <c r="W2580" s="65"/>
      <c r="X2580" s="65"/>
    </row>
    <row r="2581" ht="12.0" customHeight="1">
      <c r="A2581" s="241"/>
      <c r="B2581" s="57"/>
      <c r="C2581" s="58"/>
      <c r="D2581" s="59"/>
      <c r="E2581" s="57"/>
      <c r="F2581" s="57"/>
      <c r="G2581" s="60"/>
      <c r="H2581" s="57"/>
      <c r="I2581" s="61"/>
      <c r="J2581" s="62"/>
      <c r="K2581" s="63"/>
      <c r="L2581" s="63"/>
      <c r="M2581" s="63"/>
      <c r="N2581" s="64"/>
      <c r="O2581" s="62"/>
      <c r="P2581" s="64"/>
      <c r="Q2581" s="59"/>
      <c r="R2581" s="65"/>
      <c r="S2581" s="65"/>
      <c r="T2581" s="65"/>
      <c r="U2581" s="65"/>
      <c r="V2581" s="65"/>
      <c r="W2581" s="65"/>
      <c r="X2581" s="65"/>
    </row>
    <row r="2582" ht="12.0" customHeight="1">
      <c r="A2582" s="241"/>
      <c r="B2582" s="57"/>
      <c r="C2582" s="58"/>
      <c r="D2582" s="59"/>
      <c r="E2582" s="57"/>
      <c r="F2582" s="57"/>
      <c r="G2582" s="60"/>
      <c r="H2582" s="57"/>
      <c r="I2582" s="61"/>
      <c r="J2582" s="62"/>
      <c r="K2582" s="63"/>
      <c r="L2582" s="63"/>
      <c r="M2582" s="63"/>
      <c r="N2582" s="64"/>
      <c r="O2582" s="62"/>
      <c r="P2582" s="64"/>
      <c r="Q2582" s="59"/>
      <c r="R2582" s="65"/>
      <c r="S2582" s="65"/>
      <c r="T2582" s="65"/>
      <c r="U2582" s="65"/>
      <c r="V2582" s="65"/>
      <c r="W2582" s="65"/>
      <c r="X2582" s="65"/>
    </row>
    <row r="2583" ht="12.0" customHeight="1">
      <c r="A2583" s="241"/>
      <c r="B2583" s="57"/>
      <c r="C2583" s="58"/>
      <c r="D2583" s="59"/>
      <c r="E2583" s="57"/>
      <c r="F2583" s="57"/>
      <c r="G2583" s="60"/>
      <c r="H2583" s="57"/>
      <c r="I2583" s="61"/>
      <c r="J2583" s="62"/>
      <c r="K2583" s="63"/>
      <c r="L2583" s="63"/>
      <c r="M2583" s="63"/>
      <c r="N2583" s="64"/>
      <c r="O2583" s="62"/>
      <c r="P2583" s="64"/>
      <c r="Q2583" s="59"/>
      <c r="R2583" s="65"/>
      <c r="S2583" s="65"/>
      <c r="T2583" s="65"/>
      <c r="U2583" s="65"/>
      <c r="V2583" s="65"/>
      <c r="W2583" s="65"/>
      <c r="X2583" s="65"/>
    </row>
    <row r="2584" ht="12.0" customHeight="1">
      <c r="A2584" s="241"/>
      <c r="B2584" s="57"/>
      <c r="C2584" s="58"/>
      <c r="D2584" s="59"/>
      <c r="E2584" s="57"/>
      <c r="F2584" s="57"/>
      <c r="G2584" s="60"/>
      <c r="H2584" s="57"/>
      <c r="I2584" s="61"/>
      <c r="J2584" s="62"/>
      <c r="K2584" s="63"/>
      <c r="L2584" s="63"/>
      <c r="M2584" s="63"/>
      <c r="N2584" s="64"/>
      <c r="O2584" s="62"/>
      <c r="P2584" s="64"/>
      <c r="Q2584" s="59"/>
      <c r="R2584" s="65"/>
      <c r="S2584" s="65"/>
      <c r="T2584" s="65"/>
      <c r="U2584" s="65"/>
      <c r="V2584" s="65"/>
      <c r="W2584" s="65"/>
      <c r="X2584" s="65"/>
    </row>
    <row r="2585" ht="12.0" customHeight="1">
      <c r="A2585" s="241"/>
      <c r="B2585" s="57"/>
      <c r="C2585" s="58"/>
      <c r="D2585" s="59"/>
      <c r="E2585" s="57"/>
      <c r="F2585" s="57"/>
      <c r="G2585" s="60"/>
      <c r="H2585" s="57"/>
      <c r="I2585" s="61"/>
      <c r="J2585" s="62"/>
      <c r="K2585" s="63"/>
      <c r="L2585" s="63"/>
      <c r="M2585" s="63"/>
      <c r="N2585" s="64"/>
      <c r="O2585" s="62"/>
      <c r="P2585" s="64"/>
      <c r="Q2585" s="59"/>
      <c r="R2585" s="65"/>
      <c r="S2585" s="65"/>
      <c r="T2585" s="65"/>
      <c r="U2585" s="65"/>
      <c r="V2585" s="65"/>
      <c r="W2585" s="65"/>
      <c r="X2585" s="65"/>
    </row>
    <row r="2586" ht="12.0" customHeight="1">
      <c r="A2586" s="241"/>
      <c r="B2586" s="57"/>
      <c r="C2586" s="58"/>
      <c r="D2586" s="59"/>
      <c r="E2586" s="57"/>
      <c r="F2586" s="57"/>
      <c r="G2586" s="60"/>
      <c r="H2586" s="57"/>
      <c r="I2586" s="61"/>
      <c r="J2586" s="62"/>
      <c r="K2586" s="63"/>
      <c r="L2586" s="63"/>
      <c r="M2586" s="63"/>
      <c r="N2586" s="64"/>
      <c r="O2586" s="62"/>
      <c r="P2586" s="64"/>
      <c r="Q2586" s="59"/>
      <c r="R2586" s="65"/>
      <c r="S2586" s="65"/>
      <c r="T2586" s="65"/>
      <c r="U2586" s="65"/>
      <c r="V2586" s="65"/>
      <c r="W2586" s="65"/>
      <c r="X2586" s="65"/>
    </row>
    <row r="2587" ht="12.0" customHeight="1">
      <c r="A2587" s="241"/>
      <c r="B2587" s="57"/>
      <c r="C2587" s="58"/>
      <c r="D2587" s="59"/>
      <c r="E2587" s="57"/>
      <c r="F2587" s="57"/>
      <c r="G2587" s="60"/>
      <c r="H2587" s="57"/>
      <c r="I2587" s="61"/>
      <c r="J2587" s="62"/>
      <c r="K2587" s="63"/>
      <c r="L2587" s="63"/>
      <c r="M2587" s="63"/>
      <c r="N2587" s="64"/>
      <c r="O2587" s="62"/>
      <c r="P2587" s="64"/>
      <c r="Q2587" s="59"/>
      <c r="R2587" s="65"/>
      <c r="S2587" s="65"/>
      <c r="T2587" s="65"/>
      <c r="U2587" s="65"/>
      <c r="V2587" s="65"/>
      <c r="W2587" s="65"/>
      <c r="X2587" s="65"/>
    </row>
    <row r="2588" ht="12.0" customHeight="1">
      <c r="A2588" s="241"/>
      <c r="B2588" s="57"/>
      <c r="C2588" s="58"/>
      <c r="D2588" s="59"/>
      <c r="E2588" s="57"/>
      <c r="F2588" s="57"/>
      <c r="G2588" s="60"/>
      <c r="H2588" s="57"/>
      <c r="I2588" s="61"/>
      <c r="J2588" s="62"/>
      <c r="K2588" s="63"/>
      <c r="L2588" s="63"/>
      <c r="M2588" s="63"/>
      <c r="N2588" s="64"/>
      <c r="O2588" s="62"/>
      <c r="P2588" s="64"/>
      <c r="Q2588" s="59"/>
      <c r="R2588" s="65"/>
      <c r="S2588" s="65"/>
      <c r="T2588" s="65"/>
      <c r="U2588" s="65"/>
      <c r="V2588" s="65"/>
      <c r="W2588" s="65"/>
      <c r="X2588" s="65"/>
    </row>
    <row r="2589" ht="12.0" customHeight="1">
      <c r="A2589" s="241"/>
      <c r="B2589" s="57"/>
      <c r="C2589" s="58"/>
      <c r="D2589" s="59"/>
      <c r="E2589" s="57"/>
      <c r="F2589" s="57"/>
      <c r="G2589" s="60"/>
      <c r="H2589" s="57"/>
      <c r="I2589" s="61"/>
      <c r="J2589" s="62"/>
      <c r="K2589" s="63"/>
      <c r="L2589" s="63"/>
      <c r="M2589" s="63"/>
      <c r="N2589" s="64"/>
      <c r="O2589" s="62"/>
      <c r="P2589" s="64"/>
      <c r="Q2589" s="59"/>
      <c r="R2589" s="65"/>
      <c r="S2589" s="65"/>
      <c r="T2589" s="65"/>
      <c r="U2589" s="65"/>
      <c r="V2589" s="65"/>
      <c r="W2589" s="65"/>
      <c r="X2589" s="65"/>
    </row>
    <row r="2590" ht="12.0" customHeight="1">
      <c r="A2590" s="241"/>
      <c r="B2590" s="57"/>
      <c r="C2590" s="58"/>
      <c r="D2590" s="59"/>
      <c r="E2590" s="57"/>
      <c r="F2590" s="57"/>
      <c r="G2590" s="60"/>
      <c r="H2590" s="57"/>
      <c r="I2590" s="61"/>
      <c r="J2590" s="62"/>
      <c r="K2590" s="63"/>
      <c r="L2590" s="63"/>
      <c r="M2590" s="63"/>
      <c r="N2590" s="64"/>
      <c r="O2590" s="62"/>
      <c r="P2590" s="64"/>
      <c r="Q2590" s="59"/>
      <c r="R2590" s="65"/>
      <c r="S2590" s="65"/>
      <c r="T2590" s="65"/>
      <c r="U2590" s="65"/>
      <c r="V2590" s="65"/>
      <c r="W2590" s="65"/>
      <c r="X2590" s="65"/>
    </row>
    <row r="2591" ht="12.0" customHeight="1">
      <c r="A2591" s="241"/>
      <c r="B2591" s="57"/>
      <c r="C2591" s="58"/>
      <c r="D2591" s="59"/>
      <c r="E2591" s="57"/>
      <c r="F2591" s="57"/>
      <c r="G2591" s="60"/>
      <c r="H2591" s="57"/>
      <c r="I2591" s="61"/>
      <c r="J2591" s="62"/>
      <c r="K2591" s="63"/>
      <c r="L2591" s="63"/>
      <c r="M2591" s="63"/>
      <c r="N2591" s="64"/>
      <c r="O2591" s="62"/>
      <c r="P2591" s="64"/>
      <c r="Q2591" s="59"/>
      <c r="R2591" s="65"/>
      <c r="S2591" s="65"/>
      <c r="T2591" s="65"/>
      <c r="U2591" s="65"/>
      <c r="V2591" s="65"/>
      <c r="W2591" s="65"/>
      <c r="X2591" s="65"/>
    </row>
    <row r="2592" ht="12.0" customHeight="1">
      <c r="A2592" s="241"/>
      <c r="B2592" s="57"/>
      <c r="C2592" s="58"/>
      <c r="D2592" s="59"/>
      <c r="E2592" s="57"/>
      <c r="F2592" s="57"/>
      <c r="G2592" s="60"/>
      <c r="H2592" s="57"/>
      <c r="I2592" s="61"/>
      <c r="J2592" s="62"/>
      <c r="K2592" s="63"/>
      <c r="L2592" s="63"/>
      <c r="M2592" s="63"/>
      <c r="N2592" s="64"/>
      <c r="O2592" s="62"/>
      <c r="P2592" s="64"/>
      <c r="Q2592" s="59"/>
      <c r="R2592" s="65"/>
      <c r="S2592" s="65"/>
      <c r="T2592" s="65"/>
      <c r="U2592" s="65"/>
      <c r="V2592" s="65"/>
      <c r="W2592" s="65"/>
      <c r="X2592" s="65"/>
    </row>
    <row r="2593" ht="12.0" customHeight="1">
      <c r="A2593" s="241"/>
      <c r="B2593" s="57"/>
      <c r="C2593" s="58"/>
      <c r="D2593" s="59"/>
      <c r="E2593" s="57"/>
      <c r="F2593" s="57"/>
      <c r="G2593" s="60"/>
      <c r="H2593" s="57"/>
      <c r="I2593" s="61"/>
      <c r="J2593" s="62"/>
      <c r="K2593" s="63"/>
      <c r="L2593" s="63"/>
      <c r="M2593" s="63"/>
      <c r="N2593" s="64"/>
      <c r="O2593" s="62"/>
      <c r="P2593" s="64"/>
      <c r="Q2593" s="59"/>
      <c r="R2593" s="65"/>
      <c r="S2593" s="65"/>
      <c r="T2593" s="65"/>
      <c r="U2593" s="65"/>
      <c r="V2593" s="65"/>
      <c r="W2593" s="65"/>
      <c r="X2593" s="65"/>
    </row>
    <row r="2594" ht="12.0" customHeight="1">
      <c r="A2594" s="241"/>
      <c r="B2594" s="57"/>
      <c r="C2594" s="58"/>
      <c r="D2594" s="59"/>
      <c r="E2594" s="57"/>
      <c r="F2594" s="57"/>
      <c r="G2594" s="60"/>
      <c r="H2594" s="57"/>
      <c r="I2594" s="61"/>
      <c r="J2594" s="62"/>
      <c r="K2594" s="63"/>
      <c r="L2594" s="63"/>
      <c r="M2594" s="63"/>
      <c r="N2594" s="64"/>
      <c r="O2594" s="62"/>
      <c r="P2594" s="64"/>
      <c r="Q2594" s="59"/>
      <c r="R2594" s="65"/>
      <c r="S2594" s="65"/>
      <c r="T2594" s="65"/>
      <c r="U2594" s="65"/>
      <c r="V2594" s="65"/>
      <c r="W2594" s="65"/>
      <c r="X2594" s="65"/>
    </row>
    <row r="2595" ht="12.0" customHeight="1">
      <c r="A2595" s="241"/>
      <c r="B2595" s="57"/>
      <c r="C2595" s="58"/>
      <c r="D2595" s="59"/>
      <c r="E2595" s="57"/>
      <c r="F2595" s="57"/>
      <c r="G2595" s="60"/>
      <c r="H2595" s="57"/>
      <c r="I2595" s="61"/>
      <c r="J2595" s="62"/>
      <c r="K2595" s="63"/>
      <c r="L2595" s="63"/>
      <c r="M2595" s="63"/>
      <c r="N2595" s="64"/>
      <c r="O2595" s="62"/>
      <c r="P2595" s="64"/>
      <c r="Q2595" s="59"/>
      <c r="R2595" s="65"/>
      <c r="S2595" s="65"/>
      <c r="T2595" s="65"/>
      <c r="U2595" s="65"/>
      <c r="V2595" s="65"/>
      <c r="W2595" s="65"/>
      <c r="X2595" s="65"/>
    </row>
    <row r="2596" ht="12.0" customHeight="1">
      <c r="A2596" s="241"/>
      <c r="B2596" s="57"/>
      <c r="C2596" s="58"/>
      <c r="D2596" s="59"/>
      <c r="E2596" s="57"/>
      <c r="F2596" s="57"/>
      <c r="G2596" s="60"/>
      <c r="H2596" s="57"/>
      <c r="I2596" s="61"/>
      <c r="J2596" s="62"/>
      <c r="K2596" s="63"/>
      <c r="L2596" s="63"/>
      <c r="M2596" s="63"/>
      <c r="N2596" s="64"/>
      <c r="O2596" s="62"/>
      <c r="P2596" s="64"/>
      <c r="Q2596" s="59"/>
      <c r="R2596" s="65"/>
      <c r="S2596" s="65"/>
      <c r="T2596" s="65"/>
      <c r="U2596" s="65"/>
      <c r="V2596" s="65"/>
      <c r="W2596" s="65"/>
      <c r="X2596" s="65"/>
    </row>
    <row r="2597" ht="12.0" customHeight="1">
      <c r="A2597" s="241"/>
      <c r="B2597" s="57"/>
      <c r="C2597" s="58"/>
      <c r="D2597" s="59"/>
      <c r="E2597" s="57"/>
      <c r="F2597" s="57"/>
      <c r="G2597" s="60"/>
      <c r="H2597" s="57"/>
      <c r="I2597" s="61"/>
      <c r="J2597" s="62"/>
      <c r="K2597" s="63"/>
      <c r="L2597" s="63"/>
      <c r="M2597" s="63"/>
      <c r="N2597" s="64"/>
      <c r="O2597" s="62"/>
      <c r="P2597" s="64"/>
      <c r="Q2597" s="59"/>
      <c r="R2597" s="65"/>
      <c r="S2597" s="65"/>
      <c r="T2597" s="65"/>
      <c r="U2597" s="65"/>
      <c r="V2597" s="65"/>
      <c r="W2597" s="65"/>
      <c r="X2597" s="65"/>
    </row>
    <row r="2598" ht="12.0" customHeight="1">
      <c r="A2598" s="241"/>
      <c r="B2598" s="57"/>
      <c r="C2598" s="58"/>
      <c r="D2598" s="59"/>
      <c r="E2598" s="57"/>
      <c r="F2598" s="57"/>
      <c r="G2598" s="60"/>
      <c r="H2598" s="57"/>
      <c r="I2598" s="61"/>
      <c r="J2598" s="62"/>
      <c r="K2598" s="63"/>
      <c r="L2598" s="63"/>
      <c r="M2598" s="63"/>
      <c r="N2598" s="64"/>
      <c r="O2598" s="62"/>
      <c r="P2598" s="64"/>
      <c r="Q2598" s="59"/>
      <c r="R2598" s="65"/>
      <c r="S2598" s="65"/>
      <c r="T2598" s="65"/>
      <c r="U2598" s="65"/>
      <c r="V2598" s="65"/>
      <c r="W2598" s="65"/>
      <c r="X2598" s="65"/>
    </row>
    <row r="2599" ht="12.0" customHeight="1">
      <c r="A2599" s="241"/>
      <c r="B2599" s="57"/>
      <c r="C2599" s="58"/>
      <c r="D2599" s="59"/>
      <c r="E2599" s="57"/>
      <c r="F2599" s="57"/>
      <c r="G2599" s="60"/>
      <c r="H2599" s="57"/>
      <c r="I2599" s="61"/>
      <c r="J2599" s="62"/>
      <c r="K2599" s="63"/>
      <c r="L2599" s="63"/>
      <c r="M2599" s="63"/>
      <c r="N2599" s="64"/>
      <c r="O2599" s="62"/>
      <c r="P2599" s="64"/>
      <c r="Q2599" s="59"/>
      <c r="R2599" s="65"/>
      <c r="S2599" s="65"/>
      <c r="T2599" s="65"/>
      <c r="U2599" s="65"/>
      <c r="V2599" s="65"/>
      <c r="W2599" s="65"/>
      <c r="X2599" s="65"/>
    </row>
    <row r="2600" ht="12.0" customHeight="1">
      <c r="A2600" s="241"/>
      <c r="B2600" s="57"/>
      <c r="C2600" s="58"/>
      <c r="D2600" s="59"/>
      <c r="E2600" s="57"/>
      <c r="F2600" s="57"/>
      <c r="G2600" s="60"/>
      <c r="H2600" s="57"/>
      <c r="I2600" s="61"/>
      <c r="J2600" s="62"/>
      <c r="K2600" s="63"/>
      <c r="L2600" s="63"/>
      <c r="M2600" s="63"/>
      <c r="N2600" s="64"/>
      <c r="O2600" s="62"/>
      <c r="P2600" s="64"/>
      <c r="Q2600" s="59"/>
      <c r="R2600" s="65"/>
      <c r="S2600" s="65"/>
      <c r="T2600" s="65"/>
      <c r="U2600" s="65"/>
      <c r="V2600" s="65"/>
      <c r="W2600" s="65"/>
      <c r="X2600" s="65"/>
    </row>
    <row r="2601" ht="12.0" customHeight="1">
      <c r="A2601" s="241"/>
      <c r="B2601" s="57"/>
      <c r="C2601" s="58"/>
      <c r="D2601" s="59"/>
      <c r="E2601" s="57"/>
      <c r="F2601" s="57"/>
      <c r="G2601" s="60"/>
      <c r="H2601" s="57"/>
      <c r="I2601" s="61"/>
      <c r="J2601" s="62"/>
      <c r="K2601" s="63"/>
      <c r="L2601" s="63"/>
      <c r="M2601" s="63"/>
      <c r="N2601" s="64"/>
      <c r="O2601" s="62"/>
      <c r="P2601" s="64"/>
      <c r="Q2601" s="59"/>
      <c r="R2601" s="65"/>
      <c r="S2601" s="65"/>
      <c r="T2601" s="65"/>
      <c r="U2601" s="65"/>
      <c r="V2601" s="65"/>
      <c r="W2601" s="65"/>
      <c r="X2601" s="65"/>
    </row>
    <row r="2602" ht="12.0" customHeight="1">
      <c r="A2602" s="241"/>
      <c r="B2602" s="57"/>
      <c r="C2602" s="58"/>
      <c r="D2602" s="59"/>
      <c r="E2602" s="57"/>
      <c r="F2602" s="57"/>
      <c r="G2602" s="60"/>
      <c r="H2602" s="57"/>
      <c r="I2602" s="61"/>
      <c r="J2602" s="62"/>
      <c r="K2602" s="63"/>
      <c r="L2602" s="63"/>
      <c r="M2602" s="63"/>
      <c r="N2602" s="64"/>
      <c r="O2602" s="62"/>
      <c r="P2602" s="64"/>
      <c r="Q2602" s="59"/>
      <c r="R2602" s="65"/>
      <c r="S2602" s="65"/>
      <c r="T2602" s="65"/>
      <c r="U2602" s="65"/>
      <c r="V2602" s="65"/>
      <c r="W2602" s="65"/>
      <c r="X2602" s="65"/>
    </row>
    <row r="2603" ht="12.0" customHeight="1">
      <c r="A2603" s="241"/>
      <c r="B2603" s="57"/>
      <c r="C2603" s="58"/>
      <c r="D2603" s="59"/>
      <c r="E2603" s="57"/>
      <c r="F2603" s="57"/>
      <c r="G2603" s="60"/>
      <c r="H2603" s="57"/>
      <c r="I2603" s="61"/>
      <c r="J2603" s="62"/>
      <c r="K2603" s="63"/>
      <c r="L2603" s="63"/>
      <c r="M2603" s="63"/>
      <c r="N2603" s="64"/>
      <c r="O2603" s="62"/>
      <c r="P2603" s="64"/>
      <c r="Q2603" s="59"/>
      <c r="R2603" s="65"/>
      <c r="S2603" s="65"/>
      <c r="T2603" s="65"/>
      <c r="U2603" s="65"/>
      <c r="V2603" s="65"/>
      <c r="W2603" s="65"/>
      <c r="X2603" s="65"/>
    </row>
    <row r="2604" ht="12.0" customHeight="1">
      <c r="A2604" s="241"/>
      <c r="B2604" s="57"/>
      <c r="C2604" s="58"/>
      <c r="D2604" s="59"/>
      <c r="E2604" s="57"/>
      <c r="F2604" s="57"/>
      <c r="G2604" s="60"/>
      <c r="H2604" s="57"/>
      <c r="I2604" s="61"/>
      <c r="J2604" s="62"/>
      <c r="K2604" s="63"/>
      <c r="L2604" s="63"/>
      <c r="M2604" s="63"/>
      <c r="N2604" s="64"/>
      <c r="O2604" s="62"/>
      <c r="P2604" s="64"/>
      <c r="Q2604" s="59"/>
      <c r="R2604" s="65"/>
      <c r="S2604" s="65"/>
      <c r="T2604" s="65"/>
      <c r="U2604" s="65"/>
      <c r="V2604" s="65"/>
      <c r="W2604" s="65"/>
      <c r="X2604" s="65"/>
    </row>
    <row r="2605" ht="12.0" customHeight="1">
      <c r="A2605" s="241"/>
      <c r="B2605" s="57"/>
      <c r="C2605" s="58"/>
      <c r="D2605" s="59"/>
      <c r="E2605" s="57"/>
      <c r="F2605" s="57"/>
      <c r="G2605" s="60"/>
      <c r="H2605" s="57"/>
      <c r="I2605" s="61"/>
      <c r="J2605" s="62"/>
      <c r="K2605" s="63"/>
      <c r="L2605" s="63"/>
      <c r="M2605" s="63"/>
      <c r="N2605" s="64"/>
      <c r="O2605" s="62"/>
      <c r="P2605" s="64"/>
      <c r="Q2605" s="59"/>
      <c r="R2605" s="65"/>
      <c r="S2605" s="65"/>
      <c r="T2605" s="65"/>
      <c r="U2605" s="65"/>
      <c r="V2605" s="65"/>
      <c r="W2605" s="65"/>
      <c r="X2605" s="65"/>
    </row>
    <row r="2606" ht="12.0" customHeight="1">
      <c r="A2606" s="241"/>
      <c r="B2606" s="57"/>
      <c r="C2606" s="58"/>
      <c r="D2606" s="59"/>
      <c r="E2606" s="57"/>
      <c r="F2606" s="57"/>
      <c r="G2606" s="60"/>
      <c r="H2606" s="57"/>
      <c r="I2606" s="61"/>
      <c r="J2606" s="62"/>
      <c r="K2606" s="63"/>
      <c r="L2606" s="63"/>
      <c r="M2606" s="63"/>
      <c r="N2606" s="64"/>
      <c r="O2606" s="62"/>
      <c r="P2606" s="64"/>
      <c r="Q2606" s="59"/>
      <c r="R2606" s="65"/>
      <c r="S2606" s="65"/>
      <c r="T2606" s="65"/>
      <c r="U2606" s="65"/>
      <c r="V2606" s="65"/>
      <c r="W2606" s="65"/>
      <c r="X2606" s="65"/>
    </row>
    <row r="2607" ht="12.0" customHeight="1">
      <c r="A2607" s="241"/>
      <c r="B2607" s="57"/>
      <c r="C2607" s="58"/>
      <c r="D2607" s="59"/>
      <c r="E2607" s="57"/>
      <c r="F2607" s="57"/>
      <c r="G2607" s="60"/>
      <c r="H2607" s="57"/>
      <c r="I2607" s="61"/>
      <c r="J2607" s="62"/>
      <c r="K2607" s="63"/>
      <c r="L2607" s="63"/>
      <c r="M2607" s="63"/>
      <c r="N2607" s="64"/>
      <c r="O2607" s="62"/>
      <c r="P2607" s="64"/>
      <c r="Q2607" s="59"/>
      <c r="R2607" s="65"/>
      <c r="S2607" s="65"/>
      <c r="T2607" s="65"/>
      <c r="U2607" s="65"/>
      <c r="V2607" s="65"/>
      <c r="W2607" s="65"/>
      <c r="X2607" s="65"/>
    </row>
    <row r="2608" ht="12.0" customHeight="1">
      <c r="A2608" s="241"/>
      <c r="B2608" s="57"/>
      <c r="C2608" s="58"/>
      <c r="D2608" s="59"/>
      <c r="E2608" s="57"/>
      <c r="F2608" s="57"/>
      <c r="G2608" s="60"/>
      <c r="H2608" s="57"/>
      <c r="I2608" s="61"/>
      <c r="J2608" s="62"/>
      <c r="K2608" s="63"/>
      <c r="L2608" s="63"/>
      <c r="M2608" s="63"/>
      <c r="N2608" s="64"/>
      <c r="O2608" s="62"/>
      <c r="P2608" s="64"/>
      <c r="Q2608" s="59"/>
      <c r="R2608" s="65"/>
      <c r="S2608" s="65"/>
      <c r="T2608" s="65"/>
      <c r="U2608" s="65"/>
      <c r="V2608" s="65"/>
      <c r="W2608" s="65"/>
      <c r="X2608" s="65"/>
    </row>
    <row r="2609" ht="12.0" customHeight="1">
      <c r="A2609" s="241"/>
      <c r="B2609" s="57"/>
      <c r="C2609" s="58"/>
      <c r="D2609" s="59"/>
      <c r="E2609" s="57"/>
      <c r="F2609" s="57"/>
      <c r="G2609" s="60"/>
      <c r="H2609" s="57"/>
      <c r="I2609" s="61"/>
      <c r="J2609" s="62"/>
      <c r="K2609" s="63"/>
      <c r="L2609" s="63"/>
      <c r="M2609" s="63"/>
      <c r="N2609" s="64"/>
      <c r="O2609" s="62"/>
      <c r="P2609" s="64"/>
      <c r="Q2609" s="59"/>
      <c r="R2609" s="65"/>
      <c r="S2609" s="65"/>
      <c r="T2609" s="65"/>
      <c r="U2609" s="65"/>
      <c r="V2609" s="65"/>
      <c r="W2609" s="65"/>
      <c r="X2609" s="65"/>
    </row>
    <row r="2610" ht="12.0" customHeight="1">
      <c r="A2610" s="241"/>
      <c r="B2610" s="57"/>
      <c r="C2610" s="58"/>
      <c r="D2610" s="59"/>
      <c r="E2610" s="57"/>
      <c r="F2610" s="57"/>
      <c r="G2610" s="60"/>
      <c r="H2610" s="57"/>
      <c r="I2610" s="61"/>
      <c r="J2610" s="62"/>
      <c r="K2610" s="63"/>
      <c r="L2610" s="63"/>
      <c r="M2610" s="63"/>
      <c r="N2610" s="64"/>
      <c r="O2610" s="62"/>
      <c r="P2610" s="64"/>
      <c r="Q2610" s="59"/>
      <c r="R2610" s="65"/>
      <c r="S2610" s="65"/>
      <c r="T2610" s="65"/>
      <c r="U2610" s="65"/>
      <c r="V2610" s="65"/>
      <c r="W2610" s="65"/>
      <c r="X2610" s="65"/>
    </row>
    <row r="2611" ht="12.0" customHeight="1">
      <c r="A2611" s="241"/>
      <c r="B2611" s="57"/>
      <c r="C2611" s="58"/>
      <c r="D2611" s="59"/>
      <c r="E2611" s="57"/>
      <c r="F2611" s="57"/>
      <c r="G2611" s="60"/>
      <c r="H2611" s="57"/>
      <c r="I2611" s="61"/>
      <c r="J2611" s="62"/>
      <c r="K2611" s="63"/>
      <c r="L2611" s="63"/>
      <c r="M2611" s="63"/>
      <c r="N2611" s="64"/>
      <c r="O2611" s="62"/>
      <c r="P2611" s="64"/>
      <c r="Q2611" s="59"/>
      <c r="R2611" s="65"/>
      <c r="S2611" s="65"/>
      <c r="T2611" s="65"/>
      <c r="U2611" s="65"/>
      <c r="V2611" s="65"/>
      <c r="W2611" s="65"/>
      <c r="X2611" s="65"/>
    </row>
    <row r="2612" ht="12.0" customHeight="1">
      <c r="A2612" s="241"/>
      <c r="B2612" s="57"/>
      <c r="C2612" s="58"/>
      <c r="D2612" s="59"/>
      <c r="E2612" s="57"/>
      <c r="F2612" s="57"/>
      <c r="G2612" s="60"/>
      <c r="H2612" s="57"/>
      <c r="I2612" s="61"/>
      <c r="J2612" s="62"/>
      <c r="K2612" s="63"/>
      <c r="L2612" s="63"/>
      <c r="M2612" s="63"/>
      <c r="N2612" s="64"/>
      <c r="O2612" s="62"/>
      <c r="P2612" s="64"/>
      <c r="Q2612" s="59"/>
      <c r="R2612" s="65"/>
      <c r="S2612" s="65"/>
      <c r="T2612" s="65"/>
      <c r="U2612" s="65"/>
      <c r="V2612" s="65"/>
      <c r="W2612" s="65"/>
      <c r="X2612" s="65"/>
    </row>
    <row r="2613" ht="12.0" customHeight="1">
      <c r="A2613" s="241"/>
      <c r="B2613" s="57"/>
      <c r="C2613" s="58"/>
      <c r="D2613" s="59"/>
      <c r="E2613" s="57"/>
      <c r="F2613" s="57"/>
      <c r="G2613" s="60"/>
      <c r="H2613" s="57"/>
      <c r="I2613" s="61"/>
      <c r="J2613" s="62"/>
      <c r="K2613" s="63"/>
      <c r="L2613" s="63"/>
      <c r="M2613" s="63"/>
      <c r="N2613" s="64"/>
      <c r="O2613" s="62"/>
      <c r="P2613" s="64"/>
      <c r="Q2613" s="59"/>
      <c r="R2613" s="65"/>
      <c r="S2613" s="65"/>
      <c r="T2613" s="65"/>
      <c r="U2613" s="65"/>
      <c r="V2613" s="65"/>
      <c r="W2613" s="65"/>
      <c r="X2613" s="65"/>
    </row>
    <row r="2614" ht="12.0" customHeight="1">
      <c r="A2614" s="241"/>
      <c r="B2614" s="57"/>
      <c r="C2614" s="58"/>
      <c r="D2614" s="59"/>
      <c r="E2614" s="57"/>
      <c r="F2614" s="57"/>
      <c r="G2614" s="60"/>
      <c r="H2614" s="57"/>
      <c r="I2614" s="61"/>
      <c r="J2614" s="62"/>
      <c r="K2614" s="63"/>
      <c r="L2614" s="63"/>
      <c r="M2614" s="63"/>
      <c r="N2614" s="64"/>
      <c r="O2614" s="62"/>
      <c r="P2614" s="64"/>
      <c r="Q2614" s="59"/>
      <c r="R2614" s="65"/>
      <c r="S2614" s="65"/>
      <c r="T2614" s="65"/>
      <c r="U2614" s="65"/>
      <c r="V2614" s="65"/>
      <c r="W2614" s="65"/>
      <c r="X2614" s="65"/>
    </row>
    <row r="2615" ht="12.0" customHeight="1">
      <c r="A2615" s="241"/>
      <c r="B2615" s="57"/>
      <c r="C2615" s="58"/>
      <c r="D2615" s="59"/>
      <c r="E2615" s="57"/>
      <c r="F2615" s="57"/>
      <c r="G2615" s="60"/>
      <c r="H2615" s="57"/>
      <c r="I2615" s="61"/>
      <c r="J2615" s="62"/>
      <c r="K2615" s="63"/>
      <c r="L2615" s="63"/>
      <c r="M2615" s="63"/>
      <c r="N2615" s="64"/>
      <c r="O2615" s="62"/>
      <c r="P2615" s="64"/>
      <c r="Q2615" s="59"/>
      <c r="R2615" s="65"/>
      <c r="S2615" s="65"/>
      <c r="T2615" s="65"/>
      <c r="U2615" s="65"/>
      <c r="V2615" s="65"/>
      <c r="W2615" s="65"/>
      <c r="X2615" s="65"/>
    </row>
    <row r="2616" ht="12.0" customHeight="1">
      <c r="A2616" s="241"/>
      <c r="B2616" s="57"/>
      <c r="C2616" s="58"/>
      <c r="D2616" s="59"/>
      <c r="E2616" s="57"/>
      <c r="F2616" s="57"/>
      <c r="G2616" s="60"/>
      <c r="H2616" s="57"/>
      <c r="I2616" s="61"/>
      <c r="J2616" s="62"/>
      <c r="K2616" s="63"/>
      <c r="L2616" s="63"/>
      <c r="M2616" s="63"/>
      <c r="N2616" s="64"/>
      <c r="O2616" s="62"/>
      <c r="P2616" s="64"/>
      <c r="Q2616" s="59"/>
      <c r="R2616" s="65"/>
      <c r="S2616" s="65"/>
      <c r="T2616" s="65"/>
      <c r="U2616" s="65"/>
      <c r="V2616" s="65"/>
      <c r="W2616" s="65"/>
      <c r="X2616" s="65"/>
    </row>
    <row r="2617" ht="12.0" customHeight="1">
      <c r="A2617" s="241"/>
      <c r="B2617" s="57"/>
      <c r="C2617" s="58"/>
      <c r="D2617" s="59"/>
      <c r="E2617" s="57"/>
      <c r="F2617" s="57"/>
      <c r="G2617" s="60"/>
      <c r="H2617" s="57"/>
      <c r="I2617" s="61"/>
      <c r="J2617" s="62"/>
      <c r="K2617" s="63"/>
      <c r="L2617" s="63"/>
      <c r="M2617" s="63"/>
      <c r="N2617" s="64"/>
      <c r="O2617" s="62"/>
      <c r="P2617" s="64"/>
      <c r="Q2617" s="59"/>
      <c r="R2617" s="65"/>
      <c r="S2617" s="65"/>
      <c r="T2617" s="65"/>
      <c r="U2617" s="65"/>
      <c r="V2617" s="65"/>
      <c r="W2617" s="65"/>
      <c r="X2617" s="65"/>
    </row>
    <row r="2618" ht="12.0" customHeight="1">
      <c r="A2618" s="241"/>
      <c r="B2618" s="57"/>
      <c r="C2618" s="58"/>
      <c r="D2618" s="59"/>
      <c r="E2618" s="57"/>
      <c r="F2618" s="57"/>
      <c r="G2618" s="60"/>
      <c r="H2618" s="57"/>
      <c r="I2618" s="61"/>
      <c r="J2618" s="62"/>
      <c r="K2618" s="63"/>
      <c r="L2618" s="63"/>
      <c r="M2618" s="63"/>
      <c r="N2618" s="64"/>
      <c r="O2618" s="62"/>
      <c r="P2618" s="64"/>
      <c r="Q2618" s="59"/>
      <c r="R2618" s="65"/>
      <c r="S2618" s="65"/>
      <c r="T2618" s="65"/>
      <c r="U2618" s="65"/>
      <c r="V2618" s="65"/>
      <c r="W2618" s="65"/>
      <c r="X2618" s="65"/>
    </row>
    <row r="2619" ht="12.0" customHeight="1">
      <c r="A2619" s="241"/>
      <c r="B2619" s="57"/>
      <c r="C2619" s="58"/>
      <c r="D2619" s="59"/>
      <c r="E2619" s="57"/>
      <c r="F2619" s="57"/>
      <c r="G2619" s="60"/>
      <c r="H2619" s="57"/>
      <c r="I2619" s="61"/>
      <c r="J2619" s="62"/>
      <c r="K2619" s="63"/>
      <c r="L2619" s="63"/>
      <c r="M2619" s="63"/>
      <c r="N2619" s="64"/>
      <c r="O2619" s="62"/>
      <c r="P2619" s="64"/>
      <c r="Q2619" s="59"/>
      <c r="R2619" s="65"/>
      <c r="S2619" s="65"/>
      <c r="T2619" s="65"/>
      <c r="U2619" s="65"/>
      <c r="V2619" s="65"/>
      <c r="W2619" s="65"/>
      <c r="X2619" s="65"/>
    </row>
    <row r="2620" ht="12.0" customHeight="1">
      <c r="A2620" s="241"/>
      <c r="B2620" s="57"/>
      <c r="C2620" s="58"/>
      <c r="D2620" s="59"/>
      <c r="E2620" s="57"/>
      <c r="F2620" s="57"/>
      <c r="G2620" s="60"/>
      <c r="H2620" s="57"/>
      <c r="I2620" s="61"/>
      <c r="J2620" s="62"/>
      <c r="K2620" s="63"/>
      <c r="L2620" s="63"/>
      <c r="M2620" s="63"/>
      <c r="N2620" s="64"/>
      <c r="O2620" s="62"/>
      <c r="P2620" s="64"/>
      <c r="Q2620" s="59"/>
      <c r="R2620" s="65"/>
      <c r="S2620" s="65"/>
      <c r="T2620" s="65"/>
      <c r="U2620" s="65"/>
      <c r="V2620" s="65"/>
      <c r="W2620" s="65"/>
      <c r="X2620" s="65"/>
    </row>
    <row r="2621" ht="12.0" customHeight="1">
      <c r="A2621" s="241"/>
      <c r="B2621" s="57"/>
      <c r="C2621" s="58"/>
      <c r="D2621" s="59"/>
      <c r="E2621" s="57"/>
      <c r="F2621" s="57"/>
      <c r="G2621" s="60"/>
      <c r="H2621" s="57"/>
      <c r="I2621" s="61"/>
      <c r="J2621" s="62"/>
      <c r="K2621" s="63"/>
      <c r="L2621" s="63"/>
      <c r="M2621" s="63"/>
      <c r="N2621" s="64"/>
      <c r="O2621" s="62"/>
      <c r="P2621" s="64"/>
      <c r="Q2621" s="59"/>
      <c r="R2621" s="65"/>
      <c r="S2621" s="65"/>
      <c r="T2621" s="65"/>
      <c r="U2621" s="65"/>
      <c r="V2621" s="65"/>
      <c r="W2621" s="65"/>
      <c r="X2621" s="65"/>
    </row>
    <row r="2622" ht="12.0" customHeight="1">
      <c r="A2622" s="241"/>
      <c r="B2622" s="57"/>
      <c r="C2622" s="58"/>
      <c r="D2622" s="59"/>
      <c r="E2622" s="57"/>
      <c r="F2622" s="57"/>
      <c r="G2622" s="60"/>
      <c r="H2622" s="57"/>
      <c r="I2622" s="61"/>
      <c r="J2622" s="62"/>
      <c r="K2622" s="63"/>
      <c r="L2622" s="63"/>
      <c r="M2622" s="63"/>
      <c r="N2622" s="64"/>
      <c r="O2622" s="62"/>
      <c r="P2622" s="64"/>
      <c r="Q2622" s="59"/>
      <c r="R2622" s="65"/>
      <c r="S2622" s="65"/>
      <c r="T2622" s="65"/>
      <c r="U2622" s="65"/>
      <c r="V2622" s="65"/>
      <c r="W2622" s="65"/>
      <c r="X2622" s="65"/>
    </row>
    <row r="2623" ht="12.0" customHeight="1">
      <c r="A2623" s="241"/>
      <c r="B2623" s="57"/>
      <c r="C2623" s="58"/>
      <c r="D2623" s="59"/>
      <c r="E2623" s="57"/>
      <c r="F2623" s="57"/>
      <c r="G2623" s="60"/>
      <c r="H2623" s="57"/>
      <c r="I2623" s="61"/>
      <c r="J2623" s="62"/>
      <c r="K2623" s="63"/>
      <c r="L2623" s="63"/>
      <c r="M2623" s="63"/>
      <c r="N2623" s="64"/>
      <c r="O2623" s="62"/>
      <c r="P2623" s="64"/>
      <c r="Q2623" s="59"/>
      <c r="R2623" s="65"/>
      <c r="S2623" s="65"/>
      <c r="T2623" s="65"/>
      <c r="U2623" s="65"/>
      <c r="V2623" s="65"/>
      <c r="W2623" s="65"/>
      <c r="X2623" s="65"/>
    </row>
    <row r="2624" ht="12.0" customHeight="1">
      <c r="A2624" s="241"/>
      <c r="B2624" s="57"/>
      <c r="C2624" s="58"/>
      <c r="D2624" s="59"/>
      <c r="E2624" s="57"/>
      <c r="F2624" s="57"/>
      <c r="G2624" s="60"/>
      <c r="H2624" s="57"/>
      <c r="I2624" s="61"/>
      <c r="J2624" s="62"/>
      <c r="K2624" s="63"/>
      <c r="L2624" s="63"/>
      <c r="M2624" s="63"/>
      <c r="N2624" s="64"/>
      <c r="O2624" s="62"/>
      <c r="P2624" s="64"/>
      <c r="Q2624" s="59"/>
      <c r="R2624" s="65"/>
      <c r="S2624" s="65"/>
      <c r="T2624" s="65"/>
      <c r="U2624" s="65"/>
      <c r="V2624" s="65"/>
      <c r="W2624" s="65"/>
      <c r="X2624" s="65"/>
    </row>
    <row r="2625" ht="12.0" customHeight="1">
      <c r="A2625" s="241"/>
      <c r="B2625" s="57"/>
      <c r="C2625" s="58"/>
      <c r="D2625" s="59"/>
      <c r="E2625" s="57"/>
      <c r="F2625" s="57"/>
      <c r="G2625" s="60"/>
      <c r="H2625" s="57"/>
      <c r="I2625" s="61"/>
      <c r="J2625" s="62"/>
      <c r="K2625" s="63"/>
      <c r="L2625" s="63"/>
      <c r="M2625" s="63"/>
      <c r="N2625" s="64"/>
      <c r="O2625" s="62"/>
      <c r="P2625" s="64"/>
      <c r="Q2625" s="59"/>
      <c r="R2625" s="65"/>
      <c r="S2625" s="65"/>
      <c r="T2625" s="65"/>
      <c r="U2625" s="65"/>
      <c r="V2625" s="65"/>
      <c r="W2625" s="65"/>
      <c r="X2625" s="65"/>
    </row>
    <row r="2626" ht="12.0" customHeight="1">
      <c r="A2626" s="241"/>
      <c r="B2626" s="57"/>
      <c r="C2626" s="58"/>
      <c r="D2626" s="59"/>
      <c r="E2626" s="57"/>
      <c r="F2626" s="57"/>
      <c r="G2626" s="60"/>
      <c r="H2626" s="57"/>
      <c r="I2626" s="61"/>
      <c r="J2626" s="62"/>
      <c r="K2626" s="63"/>
      <c r="L2626" s="63"/>
      <c r="M2626" s="63"/>
      <c r="N2626" s="64"/>
      <c r="O2626" s="62"/>
      <c r="P2626" s="64"/>
      <c r="Q2626" s="59"/>
      <c r="R2626" s="65"/>
      <c r="S2626" s="65"/>
      <c r="T2626" s="65"/>
      <c r="U2626" s="65"/>
      <c r="V2626" s="65"/>
      <c r="W2626" s="65"/>
      <c r="X2626" s="65"/>
    </row>
    <row r="2627" ht="12.0" customHeight="1">
      <c r="A2627" s="241"/>
      <c r="B2627" s="57"/>
      <c r="C2627" s="58"/>
      <c r="D2627" s="59"/>
      <c r="E2627" s="57"/>
      <c r="F2627" s="57"/>
      <c r="G2627" s="60"/>
      <c r="H2627" s="57"/>
      <c r="I2627" s="61"/>
      <c r="J2627" s="62"/>
      <c r="K2627" s="63"/>
      <c r="L2627" s="63"/>
      <c r="M2627" s="63"/>
      <c r="N2627" s="64"/>
      <c r="O2627" s="62"/>
      <c r="P2627" s="64"/>
      <c r="Q2627" s="59"/>
      <c r="R2627" s="65"/>
      <c r="S2627" s="65"/>
      <c r="T2627" s="65"/>
      <c r="U2627" s="65"/>
      <c r="V2627" s="65"/>
      <c r="W2627" s="65"/>
      <c r="X2627" s="65"/>
    </row>
    <row r="2628" ht="12.0" customHeight="1">
      <c r="A2628" s="241"/>
      <c r="B2628" s="57"/>
      <c r="C2628" s="58"/>
      <c r="D2628" s="59"/>
      <c r="E2628" s="57"/>
      <c r="F2628" s="57"/>
      <c r="G2628" s="60"/>
      <c r="H2628" s="57"/>
      <c r="I2628" s="61"/>
      <c r="J2628" s="62"/>
      <c r="K2628" s="63"/>
      <c r="L2628" s="63"/>
      <c r="M2628" s="63"/>
      <c r="N2628" s="64"/>
      <c r="O2628" s="62"/>
      <c r="P2628" s="64"/>
      <c r="Q2628" s="59"/>
      <c r="R2628" s="65"/>
      <c r="S2628" s="65"/>
      <c r="T2628" s="65"/>
      <c r="U2628" s="65"/>
      <c r="V2628" s="65"/>
      <c r="W2628" s="65"/>
      <c r="X2628" s="65"/>
    </row>
    <row r="2629" ht="12.0" customHeight="1">
      <c r="A2629" s="241"/>
      <c r="B2629" s="57"/>
      <c r="C2629" s="58"/>
      <c r="D2629" s="59"/>
      <c r="E2629" s="57"/>
      <c r="F2629" s="57"/>
      <c r="G2629" s="60"/>
      <c r="H2629" s="57"/>
      <c r="I2629" s="61"/>
      <c r="J2629" s="62"/>
      <c r="K2629" s="63"/>
      <c r="L2629" s="63"/>
      <c r="M2629" s="63"/>
      <c r="N2629" s="64"/>
      <c r="O2629" s="62"/>
      <c r="P2629" s="64"/>
      <c r="Q2629" s="59"/>
      <c r="R2629" s="65"/>
      <c r="S2629" s="65"/>
      <c r="T2629" s="65"/>
      <c r="U2629" s="65"/>
      <c r="V2629" s="65"/>
      <c r="W2629" s="65"/>
      <c r="X2629" s="65"/>
    </row>
    <row r="2630" ht="12.0" customHeight="1">
      <c r="A2630" s="241"/>
      <c r="B2630" s="57"/>
      <c r="C2630" s="58"/>
      <c r="D2630" s="59"/>
      <c r="E2630" s="57"/>
      <c r="F2630" s="57"/>
      <c r="G2630" s="60"/>
      <c r="H2630" s="57"/>
      <c r="I2630" s="61"/>
      <c r="J2630" s="62"/>
      <c r="K2630" s="63"/>
      <c r="L2630" s="63"/>
      <c r="M2630" s="63"/>
      <c r="N2630" s="64"/>
      <c r="O2630" s="62"/>
      <c r="P2630" s="64"/>
      <c r="Q2630" s="59"/>
      <c r="R2630" s="65"/>
      <c r="S2630" s="65"/>
      <c r="T2630" s="65"/>
      <c r="U2630" s="65"/>
      <c r="V2630" s="65"/>
      <c r="W2630" s="65"/>
      <c r="X2630" s="65"/>
    </row>
    <row r="2631" ht="12.0" customHeight="1">
      <c r="A2631" s="241"/>
      <c r="B2631" s="57"/>
      <c r="C2631" s="58"/>
      <c r="D2631" s="59"/>
      <c r="E2631" s="57"/>
      <c r="F2631" s="57"/>
      <c r="G2631" s="60"/>
      <c r="H2631" s="57"/>
      <c r="I2631" s="61"/>
      <c r="J2631" s="62"/>
      <c r="K2631" s="63"/>
      <c r="L2631" s="63"/>
      <c r="M2631" s="63"/>
      <c r="N2631" s="64"/>
      <c r="O2631" s="62"/>
      <c r="P2631" s="64"/>
      <c r="Q2631" s="59"/>
      <c r="R2631" s="65"/>
      <c r="S2631" s="65"/>
      <c r="T2631" s="65"/>
      <c r="U2631" s="65"/>
      <c r="V2631" s="65"/>
      <c r="W2631" s="65"/>
      <c r="X2631" s="65"/>
    </row>
    <row r="2632" ht="12.0" customHeight="1">
      <c r="A2632" s="241"/>
      <c r="B2632" s="57"/>
      <c r="C2632" s="58"/>
      <c r="D2632" s="59"/>
      <c r="E2632" s="57"/>
      <c r="F2632" s="57"/>
      <c r="G2632" s="60"/>
      <c r="H2632" s="57"/>
      <c r="I2632" s="61"/>
      <c r="J2632" s="62"/>
      <c r="K2632" s="63"/>
      <c r="L2632" s="63"/>
      <c r="M2632" s="63"/>
      <c r="N2632" s="64"/>
      <c r="O2632" s="62"/>
      <c r="P2632" s="64"/>
      <c r="Q2632" s="59"/>
      <c r="R2632" s="65"/>
      <c r="S2632" s="65"/>
      <c r="T2632" s="65"/>
      <c r="U2632" s="65"/>
      <c r="V2632" s="65"/>
      <c r="W2632" s="65"/>
      <c r="X2632" s="65"/>
    </row>
    <row r="2633" ht="12.0" customHeight="1">
      <c r="A2633" s="241"/>
      <c r="B2633" s="57"/>
      <c r="C2633" s="58"/>
      <c r="D2633" s="59"/>
      <c r="E2633" s="57"/>
      <c r="F2633" s="57"/>
      <c r="G2633" s="60"/>
      <c r="H2633" s="57"/>
      <c r="I2633" s="61"/>
      <c r="J2633" s="62"/>
      <c r="K2633" s="63"/>
      <c r="L2633" s="63"/>
      <c r="M2633" s="63"/>
      <c r="N2633" s="64"/>
      <c r="O2633" s="62"/>
      <c r="P2633" s="64"/>
      <c r="Q2633" s="59"/>
      <c r="R2633" s="65"/>
      <c r="S2633" s="65"/>
      <c r="T2633" s="65"/>
      <c r="U2633" s="65"/>
      <c r="V2633" s="65"/>
      <c r="W2633" s="65"/>
      <c r="X2633" s="65"/>
    </row>
    <row r="2634" ht="12.0" customHeight="1">
      <c r="A2634" s="241"/>
      <c r="B2634" s="57"/>
      <c r="C2634" s="58"/>
      <c r="D2634" s="59"/>
      <c r="E2634" s="57"/>
      <c r="F2634" s="57"/>
      <c r="G2634" s="60"/>
      <c r="H2634" s="57"/>
      <c r="I2634" s="61"/>
      <c r="J2634" s="62"/>
      <c r="K2634" s="63"/>
      <c r="L2634" s="63"/>
      <c r="M2634" s="63"/>
      <c r="N2634" s="64"/>
      <c r="O2634" s="62"/>
      <c r="P2634" s="64"/>
      <c r="Q2634" s="59"/>
      <c r="R2634" s="65"/>
      <c r="S2634" s="65"/>
      <c r="T2634" s="65"/>
      <c r="U2634" s="65"/>
      <c r="V2634" s="65"/>
      <c r="W2634" s="65"/>
      <c r="X2634" s="65"/>
    </row>
    <row r="2635" ht="12.0" customHeight="1">
      <c r="A2635" s="241"/>
      <c r="B2635" s="57"/>
      <c r="C2635" s="58"/>
      <c r="D2635" s="59"/>
      <c r="E2635" s="57"/>
      <c r="F2635" s="57"/>
      <c r="G2635" s="60"/>
      <c r="H2635" s="57"/>
      <c r="I2635" s="61"/>
      <c r="J2635" s="62"/>
      <c r="K2635" s="63"/>
      <c r="L2635" s="63"/>
      <c r="M2635" s="63"/>
      <c r="N2635" s="64"/>
      <c r="O2635" s="62"/>
      <c r="P2635" s="64"/>
      <c r="Q2635" s="59"/>
      <c r="R2635" s="65"/>
      <c r="S2635" s="65"/>
      <c r="T2635" s="65"/>
      <c r="U2635" s="65"/>
      <c r="V2635" s="65"/>
      <c r="W2635" s="65"/>
      <c r="X2635" s="65"/>
    </row>
    <row r="2636" ht="12.0" customHeight="1">
      <c r="A2636" s="241"/>
      <c r="B2636" s="57"/>
      <c r="C2636" s="58"/>
      <c r="D2636" s="59"/>
      <c r="E2636" s="57"/>
      <c r="F2636" s="57"/>
      <c r="G2636" s="60"/>
      <c r="H2636" s="57"/>
      <c r="I2636" s="61"/>
      <c r="J2636" s="62"/>
      <c r="K2636" s="63"/>
      <c r="L2636" s="63"/>
      <c r="M2636" s="63"/>
      <c r="N2636" s="64"/>
      <c r="O2636" s="62"/>
      <c r="P2636" s="64"/>
      <c r="Q2636" s="59"/>
      <c r="R2636" s="65"/>
      <c r="S2636" s="65"/>
      <c r="T2636" s="65"/>
      <c r="U2636" s="65"/>
      <c r="V2636" s="65"/>
      <c r="W2636" s="65"/>
      <c r="X2636" s="65"/>
    </row>
    <row r="2637" ht="12.0" customHeight="1">
      <c r="A2637" s="241"/>
      <c r="B2637" s="57"/>
      <c r="C2637" s="58"/>
      <c r="D2637" s="59"/>
      <c r="E2637" s="57"/>
      <c r="F2637" s="57"/>
      <c r="G2637" s="60"/>
      <c r="H2637" s="57"/>
      <c r="I2637" s="61"/>
      <c r="J2637" s="62"/>
      <c r="K2637" s="63"/>
      <c r="L2637" s="63"/>
      <c r="M2637" s="63"/>
      <c r="N2637" s="64"/>
      <c r="O2637" s="62"/>
      <c r="P2637" s="64"/>
      <c r="Q2637" s="59"/>
      <c r="R2637" s="65"/>
      <c r="S2637" s="65"/>
      <c r="T2637" s="65"/>
      <c r="U2637" s="65"/>
      <c r="V2637" s="65"/>
      <c r="W2637" s="65"/>
      <c r="X2637" s="65"/>
    </row>
    <row r="2638" ht="12.0" customHeight="1">
      <c r="A2638" s="241"/>
      <c r="B2638" s="57"/>
      <c r="C2638" s="58"/>
      <c r="D2638" s="59"/>
      <c r="E2638" s="57"/>
      <c r="F2638" s="57"/>
      <c r="G2638" s="60"/>
      <c r="H2638" s="57"/>
      <c r="I2638" s="61"/>
      <c r="J2638" s="62"/>
      <c r="K2638" s="63"/>
      <c r="L2638" s="63"/>
      <c r="M2638" s="63"/>
      <c r="N2638" s="64"/>
      <c r="O2638" s="62"/>
      <c r="P2638" s="64"/>
      <c r="Q2638" s="59"/>
      <c r="R2638" s="65"/>
      <c r="S2638" s="65"/>
      <c r="T2638" s="65"/>
      <c r="U2638" s="65"/>
      <c r="V2638" s="65"/>
      <c r="W2638" s="65"/>
      <c r="X2638" s="65"/>
    </row>
    <row r="2639" ht="12.0" customHeight="1">
      <c r="A2639" s="241"/>
      <c r="B2639" s="57"/>
      <c r="C2639" s="58"/>
      <c r="D2639" s="59"/>
      <c r="E2639" s="57"/>
      <c r="F2639" s="57"/>
      <c r="G2639" s="60"/>
      <c r="H2639" s="57"/>
      <c r="I2639" s="61"/>
      <c r="J2639" s="62"/>
      <c r="K2639" s="63"/>
      <c r="L2639" s="63"/>
      <c r="M2639" s="63"/>
      <c r="N2639" s="64"/>
      <c r="O2639" s="62"/>
      <c r="P2639" s="64"/>
      <c r="Q2639" s="59"/>
      <c r="R2639" s="65"/>
      <c r="S2639" s="65"/>
      <c r="T2639" s="65"/>
      <c r="U2639" s="65"/>
      <c r="V2639" s="65"/>
      <c r="W2639" s="65"/>
      <c r="X2639" s="65"/>
    </row>
    <row r="2640" ht="12.0" customHeight="1">
      <c r="A2640" s="241"/>
      <c r="B2640" s="57"/>
      <c r="C2640" s="58"/>
      <c r="D2640" s="59"/>
      <c r="E2640" s="57"/>
      <c r="F2640" s="57"/>
      <c r="G2640" s="60"/>
      <c r="H2640" s="57"/>
      <c r="I2640" s="61"/>
      <c r="J2640" s="62"/>
      <c r="K2640" s="63"/>
      <c r="L2640" s="63"/>
      <c r="M2640" s="63"/>
      <c r="N2640" s="64"/>
      <c r="O2640" s="62"/>
      <c r="P2640" s="64"/>
      <c r="Q2640" s="59"/>
      <c r="R2640" s="65"/>
      <c r="S2640" s="65"/>
      <c r="T2640" s="65"/>
      <c r="U2640" s="65"/>
      <c r="V2640" s="65"/>
      <c r="W2640" s="65"/>
      <c r="X2640" s="65"/>
    </row>
    <row r="2641" ht="12.0" customHeight="1">
      <c r="A2641" s="241"/>
      <c r="B2641" s="57"/>
      <c r="C2641" s="58"/>
      <c r="D2641" s="59"/>
      <c r="E2641" s="57"/>
      <c r="F2641" s="57"/>
      <c r="G2641" s="60"/>
      <c r="H2641" s="57"/>
      <c r="I2641" s="61"/>
      <c r="J2641" s="62"/>
      <c r="K2641" s="63"/>
      <c r="L2641" s="63"/>
      <c r="M2641" s="63"/>
      <c r="N2641" s="64"/>
      <c r="O2641" s="62"/>
      <c r="P2641" s="64"/>
      <c r="Q2641" s="59"/>
      <c r="R2641" s="65"/>
      <c r="S2641" s="65"/>
      <c r="T2641" s="65"/>
      <c r="U2641" s="65"/>
      <c r="V2641" s="65"/>
      <c r="W2641" s="65"/>
      <c r="X2641" s="65"/>
    </row>
    <row r="2642" ht="12.0" customHeight="1">
      <c r="A2642" s="241"/>
      <c r="B2642" s="57"/>
      <c r="C2642" s="58"/>
      <c r="D2642" s="59"/>
      <c r="E2642" s="57"/>
      <c r="F2642" s="57"/>
      <c r="G2642" s="60"/>
      <c r="H2642" s="57"/>
      <c r="I2642" s="61"/>
      <c r="J2642" s="62"/>
      <c r="K2642" s="63"/>
      <c r="L2642" s="63"/>
      <c r="M2642" s="63"/>
      <c r="N2642" s="64"/>
      <c r="O2642" s="62"/>
      <c r="P2642" s="64"/>
      <c r="Q2642" s="59"/>
      <c r="R2642" s="65"/>
      <c r="S2642" s="65"/>
      <c r="T2642" s="65"/>
      <c r="U2642" s="65"/>
      <c r="V2642" s="65"/>
      <c r="W2642" s="65"/>
      <c r="X2642" s="65"/>
    </row>
    <row r="2643" ht="12.0" customHeight="1">
      <c r="A2643" s="241"/>
      <c r="B2643" s="57"/>
      <c r="C2643" s="58"/>
      <c r="D2643" s="59"/>
      <c r="E2643" s="57"/>
      <c r="F2643" s="57"/>
      <c r="G2643" s="60"/>
      <c r="H2643" s="57"/>
      <c r="I2643" s="61"/>
      <c r="J2643" s="62"/>
      <c r="K2643" s="63"/>
      <c r="L2643" s="63"/>
      <c r="M2643" s="63"/>
      <c r="N2643" s="64"/>
      <c r="O2643" s="62"/>
      <c r="P2643" s="64"/>
      <c r="Q2643" s="59"/>
      <c r="R2643" s="65"/>
      <c r="S2643" s="65"/>
      <c r="T2643" s="65"/>
      <c r="U2643" s="65"/>
      <c r="V2643" s="65"/>
      <c r="W2643" s="65"/>
      <c r="X2643" s="65"/>
    </row>
    <row r="2644" ht="12.0" customHeight="1">
      <c r="A2644" s="241"/>
      <c r="B2644" s="57"/>
      <c r="C2644" s="58"/>
      <c r="D2644" s="59"/>
      <c r="E2644" s="57"/>
      <c r="F2644" s="57"/>
      <c r="G2644" s="60"/>
      <c r="H2644" s="57"/>
      <c r="I2644" s="61"/>
      <c r="J2644" s="62"/>
      <c r="K2644" s="63"/>
      <c r="L2644" s="63"/>
      <c r="M2644" s="63"/>
      <c r="N2644" s="64"/>
      <c r="O2644" s="62"/>
      <c r="P2644" s="64"/>
      <c r="Q2644" s="59"/>
      <c r="R2644" s="65"/>
      <c r="S2644" s="65"/>
      <c r="T2644" s="65"/>
      <c r="U2644" s="65"/>
      <c r="V2644" s="65"/>
      <c r="W2644" s="65"/>
      <c r="X2644" s="65"/>
    </row>
    <row r="2645" ht="12.0" customHeight="1">
      <c r="A2645" s="241"/>
      <c r="B2645" s="57"/>
      <c r="C2645" s="58"/>
      <c r="D2645" s="59"/>
      <c r="E2645" s="57"/>
      <c r="F2645" s="57"/>
      <c r="G2645" s="60"/>
      <c r="H2645" s="57"/>
      <c r="I2645" s="61"/>
      <c r="J2645" s="62"/>
      <c r="K2645" s="63"/>
      <c r="L2645" s="63"/>
      <c r="M2645" s="63"/>
      <c r="N2645" s="64"/>
      <c r="O2645" s="62"/>
      <c r="P2645" s="64"/>
      <c r="Q2645" s="59"/>
      <c r="R2645" s="65"/>
      <c r="S2645" s="65"/>
      <c r="T2645" s="65"/>
      <c r="U2645" s="65"/>
      <c r="V2645" s="65"/>
      <c r="W2645" s="65"/>
      <c r="X2645" s="65"/>
    </row>
    <row r="2646" ht="12.0" customHeight="1">
      <c r="A2646" s="241"/>
      <c r="B2646" s="57"/>
      <c r="C2646" s="58"/>
      <c r="D2646" s="59"/>
      <c r="E2646" s="57"/>
      <c r="F2646" s="57"/>
      <c r="G2646" s="60"/>
      <c r="H2646" s="57"/>
      <c r="I2646" s="61"/>
      <c r="J2646" s="62"/>
      <c r="K2646" s="63"/>
      <c r="L2646" s="63"/>
      <c r="M2646" s="63"/>
      <c r="N2646" s="64"/>
      <c r="O2646" s="62"/>
      <c r="P2646" s="64"/>
      <c r="Q2646" s="59"/>
      <c r="R2646" s="65"/>
      <c r="S2646" s="65"/>
      <c r="T2646" s="65"/>
      <c r="U2646" s="65"/>
      <c r="V2646" s="65"/>
      <c r="W2646" s="65"/>
      <c r="X2646" s="65"/>
    </row>
    <row r="2647" ht="12.0" customHeight="1">
      <c r="A2647" s="241"/>
      <c r="B2647" s="57"/>
      <c r="C2647" s="58"/>
      <c r="D2647" s="59"/>
      <c r="E2647" s="57"/>
      <c r="F2647" s="57"/>
      <c r="G2647" s="60"/>
      <c r="H2647" s="57"/>
      <c r="I2647" s="61"/>
      <c r="J2647" s="62"/>
      <c r="K2647" s="63"/>
      <c r="L2647" s="63"/>
      <c r="M2647" s="63"/>
      <c r="N2647" s="64"/>
      <c r="O2647" s="62"/>
      <c r="P2647" s="64"/>
      <c r="Q2647" s="59"/>
      <c r="R2647" s="65"/>
      <c r="S2647" s="65"/>
      <c r="T2647" s="65"/>
      <c r="U2647" s="65"/>
      <c r="V2647" s="65"/>
      <c r="W2647" s="65"/>
      <c r="X2647" s="65"/>
    </row>
    <row r="2648" ht="12.0" customHeight="1">
      <c r="A2648" s="241"/>
      <c r="B2648" s="57"/>
      <c r="C2648" s="58"/>
      <c r="D2648" s="59"/>
      <c r="E2648" s="57"/>
      <c r="F2648" s="57"/>
      <c r="G2648" s="60"/>
      <c r="H2648" s="57"/>
      <c r="I2648" s="61"/>
      <c r="J2648" s="62"/>
      <c r="K2648" s="63"/>
      <c r="L2648" s="63"/>
      <c r="M2648" s="63"/>
      <c r="N2648" s="64"/>
      <c r="O2648" s="62"/>
      <c r="P2648" s="64"/>
      <c r="Q2648" s="59"/>
      <c r="R2648" s="65"/>
      <c r="S2648" s="65"/>
      <c r="T2648" s="65"/>
      <c r="U2648" s="65"/>
      <c r="V2648" s="65"/>
      <c r="W2648" s="65"/>
      <c r="X2648" s="65"/>
    </row>
    <row r="2649" ht="12.0" customHeight="1">
      <c r="A2649" s="241"/>
      <c r="B2649" s="57"/>
      <c r="C2649" s="58"/>
      <c r="D2649" s="59"/>
      <c r="E2649" s="57"/>
      <c r="F2649" s="57"/>
      <c r="G2649" s="60"/>
      <c r="H2649" s="57"/>
      <c r="I2649" s="61"/>
      <c r="J2649" s="62"/>
      <c r="K2649" s="63"/>
      <c r="L2649" s="63"/>
      <c r="M2649" s="63"/>
      <c r="N2649" s="64"/>
      <c r="O2649" s="62"/>
      <c r="P2649" s="64"/>
      <c r="Q2649" s="59"/>
      <c r="R2649" s="65"/>
      <c r="S2649" s="65"/>
      <c r="T2649" s="65"/>
      <c r="U2649" s="65"/>
      <c r="V2649" s="65"/>
      <c r="W2649" s="65"/>
      <c r="X2649" s="65"/>
    </row>
    <row r="2650" ht="12.0" customHeight="1">
      <c r="A2650" s="241"/>
      <c r="B2650" s="57"/>
      <c r="C2650" s="58"/>
      <c r="D2650" s="59"/>
      <c r="E2650" s="57"/>
      <c r="F2650" s="57"/>
      <c r="G2650" s="60"/>
      <c r="H2650" s="57"/>
      <c r="I2650" s="61"/>
      <c r="J2650" s="62"/>
      <c r="K2650" s="63"/>
      <c r="L2650" s="63"/>
      <c r="M2650" s="63"/>
      <c r="N2650" s="64"/>
      <c r="O2650" s="62"/>
      <c r="P2650" s="64"/>
      <c r="Q2650" s="59"/>
      <c r="R2650" s="65"/>
      <c r="S2650" s="65"/>
      <c r="T2650" s="65"/>
      <c r="U2650" s="65"/>
      <c r="V2650" s="65"/>
      <c r="W2650" s="65"/>
      <c r="X2650" s="65"/>
    </row>
    <row r="2651" ht="12.0" customHeight="1">
      <c r="A2651" s="241"/>
      <c r="B2651" s="57"/>
      <c r="C2651" s="58"/>
      <c r="D2651" s="59"/>
      <c r="E2651" s="57"/>
      <c r="F2651" s="57"/>
      <c r="G2651" s="60"/>
      <c r="H2651" s="57"/>
      <c r="I2651" s="61"/>
      <c r="J2651" s="62"/>
      <c r="K2651" s="63"/>
      <c r="L2651" s="63"/>
      <c r="M2651" s="63"/>
      <c r="N2651" s="64"/>
      <c r="O2651" s="62"/>
      <c r="P2651" s="64"/>
      <c r="Q2651" s="59"/>
      <c r="R2651" s="65"/>
      <c r="S2651" s="65"/>
      <c r="T2651" s="65"/>
      <c r="U2651" s="65"/>
      <c r="V2651" s="65"/>
      <c r="W2651" s="65"/>
      <c r="X2651" s="65"/>
    </row>
    <row r="2652" ht="12.0" customHeight="1">
      <c r="A2652" s="241"/>
      <c r="B2652" s="57"/>
      <c r="C2652" s="58"/>
      <c r="D2652" s="59"/>
      <c r="E2652" s="57"/>
      <c r="F2652" s="57"/>
      <c r="G2652" s="60"/>
      <c r="H2652" s="57"/>
      <c r="I2652" s="61"/>
      <c r="J2652" s="62"/>
      <c r="K2652" s="63"/>
      <c r="L2652" s="63"/>
      <c r="M2652" s="63"/>
      <c r="N2652" s="64"/>
      <c r="O2652" s="62"/>
      <c r="P2652" s="64"/>
      <c r="Q2652" s="59"/>
      <c r="R2652" s="65"/>
      <c r="S2652" s="65"/>
      <c r="T2652" s="65"/>
      <c r="U2652" s="65"/>
      <c r="V2652" s="65"/>
      <c r="W2652" s="65"/>
      <c r="X2652" s="65"/>
    </row>
    <row r="2653" ht="12.0" customHeight="1">
      <c r="A2653" s="241"/>
      <c r="B2653" s="57"/>
      <c r="C2653" s="58"/>
      <c r="D2653" s="59"/>
      <c r="E2653" s="57"/>
      <c r="F2653" s="57"/>
      <c r="G2653" s="60"/>
      <c r="H2653" s="57"/>
      <c r="I2653" s="61"/>
      <c r="J2653" s="62"/>
      <c r="K2653" s="63"/>
      <c r="L2653" s="63"/>
      <c r="M2653" s="63"/>
      <c r="N2653" s="64"/>
      <c r="O2653" s="62"/>
      <c r="P2653" s="64"/>
      <c r="Q2653" s="59"/>
      <c r="R2653" s="65"/>
      <c r="S2653" s="65"/>
      <c r="T2653" s="65"/>
      <c r="U2653" s="65"/>
      <c r="V2653" s="65"/>
      <c r="W2653" s="65"/>
      <c r="X2653" s="65"/>
    </row>
    <row r="2654" ht="12.0" customHeight="1">
      <c r="A2654" s="241"/>
      <c r="B2654" s="57"/>
      <c r="C2654" s="58"/>
      <c r="D2654" s="59"/>
      <c r="E2654" s="57"/>
      <c r="F2654" s="57"/>
      <c r="G2654" s="60"/>
      <c r="H2654" s="57"/>
      <c r="I2654" s="61"/>
      <c r="J2654" s="62"/>
      <c r="K2654" s="63"/>
      <c r="L2654" s="63"/>
      <c r="M2654" s="63"/>
      <c r="N2654" s="64"/>
      <c r="O2654" s="62"/>
      <c r="P2654" s="64"/>
      <c r="Q2654" s="59"/>
      <c r="R2654" s="65"/>
      <c r="S2654" s="65"/>
      <c r="T2654" s="65"/>
      <c r="U2654" s="65"/>
      <c r="V2654" s="65"/>
      <c r="W2654" s="65"/>
      <c r="X2654" s="65"/>
    </row>
    <row r="2655" ht="12.0" customHeight="1">
      <c r="A2655" s="241"/>
      <c r="B2655" s="57"/>
      <c r="C2655" s="58"/>
      <c r="D2655" s="59"/>
      <c r="E2655" s="57"/>
      <c r="F2655" s="57"/>
      <c r="G2655" s="60"/>
      <c r="H2655" s="57"/>
      <c r="I2655" s="61"/>
      <c r="J2655" s="62"/>
      <c r="K2655" s="63"/>
      <c r="L2655" s="63"/>
      <c r="M2655" s="63"/>
      <c r="N2655" s="64"/>
      <c r="O2655" s="62"/>
      <c r="P2655" s="64"/>
      <c r="Q2655" s="59"/>
      <c r="R2655" s="65"/>
      <c r="S2655" s="65"/>
      <c r="T2655" s="65"/>
      <c r="U2655" s="65"/>
      <c r="V2655" s="65"/>
      <c r="W2655" s="65"/>
      <c r="X2655" s="65"/>
    </row>
    <row r="2656" ht="12.0" customHeight="1">
      <c r="A2656" s="241"/>
      <c r="B2656" s="57"/>
      <c r="C2656" s="58"/>
      <c r="D2656" s="59"/>
      <c r="E2656" s="57"/>
      <c r="F2656" s="57"/>
      <c r="G2656" s="60"/>
      <c r="H2656" s="57"/>
      <c r="I2656" s="61"/>
      <c r="J2656" s="62"/>
      <c r="K2656" s="63"/>
      <c r="L2656" s="63"/>
      <c r="M2656" s="63"/>
      <c r="N2656" s="64"/>
      <c r="O2656" s="62"/>
      <c r="P2656" s="64"/>
      <c r="Q2656" s="59"/>
      <c r="R2656" s="65"/>
      <c r="S2656" s="65"/>
      <c r="T2656" s="65"/>
      <c r="U2656" s="65"/>
      <c r="V2656" s="65"/>
      <c r="W2656" s="65"/>
      <c r="X2656" s="65"/>
    </row>
    <row r="2657" ht="12.0" customHeight="1">
      <c r="A2657" s="241"/>
      <c r="B2657" s="57"/>
      <c r="C2657" s="58"/>
      <c r="D2657" s="59"/>
      <c r="E2657" s="57"/>
      <c r="F2657" s="57"/>
      <c r="G2657" s="60"/>
      <c r="H2657" s="57"/>
      <c r="I2657" s="61"/>
      <c r="J2657" s="62"/>
      <c r="K2657" s="63"/>
      <c r="L2657" s="63"/>
      <c r="M2657" s="63"/>
      <c r="N2657" s="64"/>
      <c r="O2657" s="62"/>
      <c r="P2657" s="64"/>
      <c r="Q2657" s="59"/>
      <c r="R2657" s="65"/>
      <c r="S2657" s="65"/>
      <c r="T2657" s="65"/>
      <c r="U2657" s="65"/>
      <c r="V2657" s="65"/>
      <c r="W2657" s="65"/>
      <c r="X2657" s="65"/>
    </row>
    <row r="2658" ht="12.0" customHeight="1">
      <c r="A2658" s="241"/>
      <c r="B2658" s="57"/>
      <c r="C2658" s="58"/>
      <c r="D2658" s="59"/>
      <c r="E2658" s="57"/>
      <c r="F2658" s="57"/>
      <c r="G2658" s="60"/>
      <c r="H2658" s="57"/>
      <c r="I2658" s="61"/>
      <c r="J2658" s="62"/>
      <c r="K2658" s="63"/>
      <c r="L2658" s="63"/>
      <c r="M2658" s="63"/>
      <c r="N2658" s="64"/>
      <c r="O2658" s="62"/>
      <c r="P2658" s="64"/>
      <c r="Q2658" s="59"/>
      <c r="R2658" s="65"/>
      <c r="S2658" s="65"/>
      <c r="T2658" s="65"/>
      <c r="U2658" s="65"/>
      <c r="V2658" s="65"/>
      <c r="W2658" s="65"/>
      <c r="X2658" s="65"/>
    </row>
    <row r="2659" ht="12.0" customHeight="1">
      <c r="A2659" s="241"/>
      <c r="B2659" s="57"/>
      <c r="C2659" s="58"/>
      <c r="D2659" s="59"/>
      <c r="E2659" s="57"/>
      <c r="F2659" s="57"/>
      <c r="G2659" s="60"/>
      <c r="H2659" s="57"/>
      <c r="I2659" s="61"/>
      <c r="J2659" s="62"/>
      <c r="K2659" s="63"/>
      <c r="L2659" s="63"/>
      <c r="M2659" s="63"/>
      <c r="N2659" s="64"/>
      <c r="O2659" s="62"/>
      <c r="P2659" s="64"/>
      <c r="Q2659" s="59"/>
      <c r="R2659" s="65"/>
      <c r="S2659" s="65"/>
      <c r="T2659" s="65"/>
      <c r="U2659" s="65"/>
      <c r="V2659" s="65"/>
      <c r="W2659" s="65"/>
      <c r="X2659" s="65"/>
    </row>
    <row r="2660" ht="12.0" customHeight="1">
      <c r="A2660" s="241"/>
      <c r="B2660" s="57"/>
      <c r="C2660" s="58"/>
      <c r="D2660" s="59"/>
      <c r="E2660" s="57"/>
      <c r="F2660" s="57"/>
      <c r="G2660" s="60"/>
      <c r="H2660" s="57"/>
      <c r="I2660" s="61"/>
      <c r="J2660" s="62"/>
      <c r="K2660" s="63"/>
      <c r="L2660" s="63"/>
      <c r="M2660" s="63"/>
      <c r="N2660" s="64"/>
      <c r="O2660" s="62"/>
      <c r="P2660" s="64"/>
      <c r="Q2660" s="59"/>
      <c r="R2660" s="65"/>
      <c r="S2660" s="65"/>
      <c r="T2660" s="65"/>
      <c r="U2660" s="65"/>
      <c r="V2660" s="65"/>
      <c r="W2660" s="65"/>
      <c r="X2660" s="65"/>
    </row>
    <row r="2661" ht="12.0" customHeight="1">
      <c r="A2661" s="241"/>
      <c r="B2661" s="57"/>
      <c r="C2661" s="58"/>
      <c r="D2661" s="59"/>
      <c r="E2661" s="57"/>
      <c r="F2661" s="57"/>
      <c r="G2661" s="60"/>
      <c r="H2661" s="57"/>
      <c r="I2661" s="61"/>
      <c r="J2661" s="62"/>
      <c r="K2661" s="63"/>
      <c r="L2661" s="63"/>
      <c r="M2661" s="63"/>
      <c r="N2661" s="64"/>
      <c r="O2661" s="62"/>
      <c r="P2661" s="64"/>
      <c r="Q2661" s="59"/>
      <c r="R2661" s="65"/>
      <c r="S2661" s="65"/>
      <c r="T2661" s="65"/>
      <c r="U2661" s="65"/>
      <c r="V2661" s="65"/>
      <c r="W2661" s="65"/>
      <c r="X2661" s="65"/>
    </row>
    <row r="2662" ht="12.0" customHeight="1">
      <c r="A2662" s="241"/>
      <c r="B2662" s="57"/>
      <c r="C2662" s="58"/>
      <c r="D2662" s="59"/>
      <c r="E2662" s="57"/>
      <c r="F2662" s="57"/>
      <c r="G2662" s="60"/>
      <c r="H2662" s="57"/>
      <c r="I2662" s="61"/>
      <c r="J2662" s="62"/>
      <c r="K2662" s="63"/>
      <c r="L2662" s="63"/>
      <c r="M2662" s="63"/>
      <c r="N2662" s="64"/>
      <c r="O2662" s="62"/>
      <c r="P2662" s="64"/>
      <c r="Q2662" s="59"/>
      <c r="R2662" s="65"/>
      <c r="S2662" s="65"/>
      <c r="T2662" s="65"/>
      <c r="U2662" s="65"/>
      <c r="V2662" s="65"/>
      <c r="W2662" s="65"/>
      <c r="X2662" s="65"/>
    </row>
    <row r="2663" ht="12.0" customHeight="1">
      <c r="A2663" s="241"/>
      <c r="B2663" s="57"/>
      <c r="C2663" s="58"/>
      <c r="D2663" s="59"/>
      <c r="E2663" s="57"/>
      <c r="F2663" s="57"/>
      <c r="G2663" s="60"/>
      <c r="H2663" s="57"/>
      <c r="I2663" s="61"/>
      <c r="J2663" s="62"/>
      <c r="K2663" s="63"/>
      <c r="L2663" s="63"/>
      <c r="M2663" s="63"/>
      <c r="N2663" s="64"/>
      <c r="O2663" s="62"/>
      <c r="P2663" s="64"/>
      <c r="Q2663" s="59"/>
      <c r="R2663" s="65"/>
      <c r="S2663" s="65"/>
      <c r="T2663" s="65"/>
      <c r="U2663" s="65"/>
      <c r="V2663" s="65"/>
      <c r="W2663" s="65"/>
      <c r="X2663" s="65"/>
    </row>
    <row r="2664" ht="12.0" customHeight="1">
      <c r="A2664" s="241"/>
      <c r="B2664" s="57"/>
      <c r="C2664" s="58"/>
      <c r="D2664" s="59"/>
      <c r="E2664" s="57"/>
      <c r="F2664" s="57"/>
      <c r="G2664" s="60"/>
      <c r="H2664" s="57"/>
      <c r="I2664" s="61"/>
      <c r="J2664" s="62"/>
      <c r="K2664" s="63"/>
      <c r="L2664" s="63"/>
      <c r="M2664" s="63"/>
      <c r="N2664" s="64"/>
      <c r="O2664" s="62"/>
      <c r="P2664" s="64"/>
      <c r="Q2664" s="59"/>
      <c r="R2664" s="65"/>
      <c r="S2664" s="65"/>
      <c r="T2664" s="65"/>
      <c r="U2664" s="65"/>
      <c r="V2664" s="65"/>
      <c r="W2664" s="65"/>
      <c r="X2664" s="65"/>
    </row>
    <row r="2665" ht="12.0" customHeight="1">
      <c r="A2665" s="241"/>
      <c r="B2665" s="57"/>
      <c r="C2665" s="58"/>
      <c r="D2665" s="59"/>
      <c r="E2665" s="57"/>
      <c r="F2665" s="57"/>
      <c r="G2665" s="60"/>
      <c r="H2665" s="57"/>
      <c r="I2665" s="61"/>
      <c r="J2665" s="62"/>
      <c r="K2665" s="63"/>
      <c r="L2665" s="63"/>
      <c r="M2665" s="63"/>
      <c r="N2665" s="64"/>
      <c r="O2665" s="62"/>
      <c r="P2665" s="64"/>
      <c r="Q2665" s="59"/>
      <c r="R2665" s="65"/>
      <c r="S2665" s="65"/>
      <c r="T2665" s="65"/>
      <c r="U2665" s="65"/>
      <c r="V2665" s="65"/>
      <c r="W2665" s="65"/>
      <c r="X2665" s="65"/>
    </row>
    <row r="2666" ht="12.0" customHeight="1">
      <c r="A2666" s="241"/>
      <c r="B2666" s="57"/>
      <c r="C2666" s="58"/>
      <c r="D2666" s="59"/>
      <c r="E2666" s="57"/>
      <c r="F2666" s="57"/>
      <c r="G2666" s="60"/>
      <c r="H2666" s="57"/>
      <c r="I2666" s="61"/>
      <c r="J2666" s="62"/>
      <c r="K2666" s="63"/>
      <c r="L2666" s="63"/>
      <c r="M2666" s="63"/>
      <c r="N2666" s="64"/>
      <c r="O2666" s="62"/>
      <c r="P2666" s="64"/>
      <c r="Q2666" s="59"/>
      <c r="R2666" s="65"/>
      <c r="S2666" s="65"/>
      <c r="T2666" s="65"/>
      <c r="U2666" s="65"/>
      <c r="V2666" s="65"/>
      <c r="W2666" s="65"/>
      <c r="X2666" s="65"/>
    </row>
    <row r="2667" ht="12.0" customHeight="1">
      <c r="A2667" s="241"/>
      <c r="B2667" s="57"/>
      <c r="C2667" s="58"/>
      <c r="D2667" s="59"/>
      <c r="E2667" s="57"/>
      <c r="F2667" s="57"/>
      <c r="G2667" s="60"/>
      <c r="H2667" s="57"/>
      <c r="I2667" s="61"/>
      <c r="J2667" s="62"/>
      <c r="K2667" s="63"/>
      <c r="L2667" s="63"/>
      <c r="M2667" s="63"/>
      <c r="N2667" s="64"/>
      <c r="O2667" s="62"/>
      <c r="P2667" s="64"/>
      <c r="Q2667" s="59"/>
      <c r="R2667" s="65"/>
      <c r="S2667" s="65"/>
      <c r="T2667" s="65"/>
      <c r="U2667" s="65"/>
      <c r="V2667" s="65"/>
      <c r="W2667" s="65"/>
      <c r="X2667" s="65"/>
    </row>
    <row r="2668" ht="12.0" customHeight="1">
      <c r="A2668" s="241"/>
      <c r="B2668" s="57"/>
      <c r="C2668" s="58"/>
      <c r="D2668" s="59"/>
      <c r="E2668" s="57"/>
      <c r="F2668" s="57"/>
      <c r="G2668" s="60"/>
      <c r="H2668" s="57"/>
      <c r="I2668" s="61"/>
      <c r="J2668" s="62"/>
      <c r="K2668" s="63"/>
      <c r="L2668" s="63"/>
      <c r="M2668" s="63"/>
      <c r="N2668" s="64"/>
      <c r="O2668" s="62"/>
      <c r="P2668" s="64"/>
      <c r="Q2668" s="59"/>
      <c r="R2668" s="65"/>
      <c r="S2668" s="65"/>
      <c r="T2668" s="65"/>
      <c r="U2668" s="65"/>
      <c r="V2668" s="65"/>
      <c r="W2668" s="65"/>
      <c r="X2668" s="65"/>
    </row>
    <row r="2669" ht="12.0" customHeight="1">
      <c r="A2669" s="241"/>
      <c r="B2669" s="57"/>
      <c r="C2669" s="58"/>
      <c r="D2669" s="59"/>
      <c r="E2669" s="57"/>
      <c r="F2669" s="57"/>
      <c r="G2669" s="60"/>
      <c r="H2669" s="57"/>
      <c r="I2669" s="61"/>
      <c r="J2669" s="62"/>
      <c r="K2669" s="63"/>
      <c r="L2669" s="63"/>
      <c r="M2669" s="63"/>
      <c r="N2669" s="64"/>
      <c r="O2669" s="62"/>
      <c r="P2669" s="64"/>
      <c r="Q2669" s="59"/>
      <c r="R2669" s="65"/>
      <c r="S2669" s="65"/>
      <c r="T2669" s="65"/>
      <c r="U2669" s="65"/>
      <c r="V2669" s="65"/>
      <c r="W2669" s="65"/>
      <c r="X2669" s="65"/>
    </row>
    <row r="2670" ht="12.0" customHeight="1">
      <c r="A2670" s="241"/>
      <c r="B2670" s="57"/>
      <c r="C2670" s="58"/>
      <c r="D2670" s="59"/>
      <c r="E2670" s="57"/>
      <c r="F2670" s="57"/>
      <c r="G2670" s="60"/>
      <c r="H2670" s="57"/>
      <c r="I2670" s="61"/>
      <c r="J2670" s="62"/>
      <c r="K2670" s="63"/>
      <c r="L2670" s="63"/>
      <c r="M2670" s="63"/>
      <c r="N2670" s="64"/>
      <c r="O2670" s="62"/>
      <c r="P2670" s="64"/>
      <c r="Q2670" s="59"/>
      <c r="R2670" s="65"/>
      <c r="S2670" s="65"/>
      <c r="T2670" s="65"/>
      <c r="U2670" s="65"/>
      <c r="V2670" s="65"/>
      <c r="W2670" s="65"/>
      <c r="X2670" s="65"/>
    </row>
    <row r="2671" ht="12.0" customHeight="1">
      <c r="A2671" s="241"/>
      <c r="B2671" s="57"/>
      <c r="C2671" s="58"/>
      <c r="D2671" s="59"/>
      <c r="E2671" s="57"/>
      <c r="F2671" s="57"/>
      <c r="G2671" s="60"/>
      <c r="H2671" s="57"/>
      <c r="I2671" s="61"/>
      <c r="J2671" s="62"/>
      <c r="K2671" s="63"/>
      <c r="L2671" s="63"/>
      <c r="M2671" s="63"/>
      <c r="N2671" s="64"/>
      <c r="O2671" s="62"/>
      <c r="P2671" s="64"/>
      <c r="Q2671" s="59"/>
      <c r="R2671" s="65"/>
      <c r="S2671" s="65"/>
      <c r="T2671" s="65"/>
      <c r="U2671" s="65"/>
      <c r="V2671" s="65"/>
      <c r="W2671" s="65"/>
      <c r="X2671" s="65"/>
    </row>
    <row r="2672" ht="12.0" customHeight="1">
      <c r="A2672" s="241"/>
      <c r="B2672" s="57"/>
      <c r="C2672" s="58"/>
      <c r="D2672" s="59"/>
      <c r="E2672" s="57"/>
      <c r="F2672" s="57"/>
      <c r="G2672" s="60"/>
      <c r="H2672" s="57"/>
      <c r="I2672" s="61"/>
      <c r="J2672" s="62"/>
      <c r="K2672" s="63"/>
      <c r="L2672" s="63"/>
      <c r="M2672" s="63"/>
      <c r="N2672" s="64"/>
      <c r="O2672" s="62"/>
      <c r="P2672" s="64"/>
      <c r="Q2672" s="59"/>
      <c r="R2672" s="65"/>
      <c r="S2672" s="65"/>
      <c r="T2672" s="65"/>
      <c r="U2672" s="65"/>
      <c r="V2672" s="65"/>
      <c r="W2672" s="65"/>
      <c r="X2672" s="65"/>
    </row>
    <row r="2673" ht="12.0" customHeight="1">
      <c r="A2673" s="241"/>
      <c r="B2673" s="57"/>
      <c r="C2673" s="58"/>
      <c r="D2673" s="59"/>
      <c r="E2673" s="57"/>
      <c r="F2673" s="57"/>
      <c r="G2673" s="60"/>
      <c r="H2673" s="57"/>
      <c r="I2673" s="61"/>
      <c r="J2673" s="62"/>
      <c r="K2673" s="63"/>
      <c r="L2673" s="63"/>
      <c r="M2673" s="63"/>
      <c r="N2673" s="64"/>
      <c r="O2673" s="62"/>
      <c r="P2673" s="64"/>
      <c r="Q2673" s="59"/>
      <c r="R2673" s="65"/>
      <c r="S2673" s="65"/>
      <c r="T2673" s="65"/>
      <c r="U2673" s="65"/>
      <c r="V2673" s="65"/>
      <c r="W2673" s="65"/>
      <c r="X2673" s="65"/>
    </row>
    <row r="2674" ht="12.0" customHeight="1">
      <c r="A2674" s="241"/>
      <c r="B2674" s="57"/>
      <c r="C2674" s="58"/>
      <c r="D2674" s="59"/>
      <c r="E2674" s="57"/>
      <c r="F2674" s="57"/>
      <c r="G2674" s="60"/>
      <c r="H2674" s="57"/>
      <c r="I2674" s="61"/>
      <c r="J2674" s="62"/>
      <c r="K2674" s="63"/>
      <c r="L2674" s="63"/>
      <c r="M2674" s="63"/>
      <c r="N2674" s="64"/>
      <c r="O2674" s="62"/>
      <c r="P2674" s="64"/>
      <c r="Q2674" s="59"/>
      <c r="R2674" s="65"/>
      <c r="S2674" s="65"/>
      <c r="T2674" s="65"/>
      <c r="U2674" s="65"/>
      <c r="V2674" s="65"/>
      <c r="W2674" s="65"/>
      <c r="X2674" s="65"/>
    </row>
    <row r="2675" ht="12.0" customHeight="1">
      <c r="A2675" s="241"/>
      <c r="B2675" s="57"/>
      <c r="C2675" s="58"/>
      <c r="D2675" s="59"/>
      <c r="E2675" s="57"/>
      <c r="F2675" s="57"/>
      <c r="G2675" s="60"/>
      <c r="H2675" s="57"/>
      <c r="I2675" s="61"/>
      <c r="J2675" s="62"/>
      <c r="K2675" s="63"/>
      <c r="L2675" s="63"/>
      <c r="M2675" s="63"/>
      <c r="N2675" s="64"/>
      <c r="O2675" s="62"/>
      <c r="P2675" s="64"/>
      <c r="Q2675" s="59"/>
      <c r="R2675" s="65"/>
      <c r="S2675" s="65"/>
      <c r="T2675" s="65"/>
      <c r="U2675" s="65"/>
      <c r="V2675" s="65"/>
      <c r="W2675" s="65"/>
      <c r="X2675" s="65"/>
    </row>
    <row r="2676" ht="12.0" customHeight="1">
      <c r="A2676" s="241"/>
      <c r="B2676" s="57"/>
      <c r="C2676" s="58"/>
      <c r="D2676" s="59"/>
      <c r="E2676" s="57"/>
      <c r="F2676" s="57"/>
      <c r="G2676" s="60"/>
      <c r="H2676" s="57"/>
      <c r="I2676" s="61"/>
      <c r="J2676" s="62"/>
      <c r="K2676" s="63"/>
      <c r="L2676" s="63"/>
      <c r="M2676" s="63"/>
      <c r="N2676" s="64"/>
      <c r="O2676" s="62"/>
      <c r="P2676" s="64"/>
      <c r="Q2676" s="59"/>
      <c r="R2676" s="65"/>
      <c r="S2676" s="65"/>
      <c r="T2676" s="65"/>
      <c r="U2676" s="65"/>
      <c r="V2676" s="65"/>
      <c r="W2676" s="65"/>
      <c r="X2676" s="65"/>
    </row>
    <row r="2677" ht="12.0" customHeight="1">
      <c r="A2677" s="241"/>
      <c r="B2677" s="57"/>
      <c r="C2677" s="58"/>
      <c r="D2677" s="59"/>
      <c r="E2677" s="57"/>
      <c r="F2677" s="57"/>
      <c r="G2677" s="60"/>
      <c r="H2677" s="57"/>
      <c r="I2677" s="61"/>
      <c r="J2677" s="62"/>
      <c r="K2677" s="63"/>
      <c r="L2677" s="63"/>
      <c r="M2677" s="63"/>
      <c r="N2677" s="64"/>
      <c r="O2677" s="62"/>
      <c r="P2677" s="64"/>
      <c r="Q2677" s="59"/>
      <c r="R2677" s="65"/>
      <c r="S2677" s="65"/>
      <c r="T2677" s="65"/>
      <c r="U2677" s="65"/>
      <c r="V2677" s="65"/>
      <c r="W2677" s="65"/>
      <c r="X2677" s="65"/>
    </row>
    <row r="2678" ht="12.0" customHeight="1">
      <c r="A2678" s="241"/>
      <c r="B2678" s="57"/>
      <c r="C2678" s="58"/>
      <c r="D2678" s="59"/>
      <c r="E2678" s="57"/>
      <c r="F2678" s="57"/>
      <c r="G2678" s="60"/>
      <c r="H2678" s="57"/>
      <c r="I2678" s="61"/>
      <c r="J2678" s="62"/>
      <c r="K2678" s="63"/>
      <c r="L2678" s="63"/>
      <c r="M2678" s="63"/>
      <c r="N2678" s="64"/>
      <c r="O2678" s="62"/>
      <c r="P2678" s="64"/>
      <c r="Q2678" s="59"/>
      <c r="R2678" s="65"/>
      <c r="S2678" s="65"/>
      <c r="T2678" s="65"/>
      <c r="U2678" s="65"/>
      <c r="V2678" s="65"/>
      <c r="W2678" s="65"/>
      <c r="X2678" s="65"/>
    </row>
    <row r="2679" ht="12.0" customHeight="1">
      <c r="A2679" s="241"/>
      <c r="B2679" s="57"/>
      <c r="C2679" s="58"/>
      <c r="D2679" s="59"/>
      <c r="E2679" s="57"/>
      <c r="F2679" s="57"/>
      <c r="G2679" s="60"/>
      <c r="H2679" s="57"/>
      <c r="I2679" s="61"/>
      <c r="J2679" s="62"/>
      <c r="K2679" s="63"/>
      <c r="L2679" s="63"/>
      <c r="M2679" s="63"/>
      <c r="N2679" s="64"/>
      <c r="O2679" s="62"/>
      <c r="P2679" s="64"/>
      <c r="Q2679" s="59"/>
      <c r="R2679" s="65"/>
      <c r="S2679" s="65"/>
      <c r="T2679" s="65"/>
      <c r="U2679" s="65"/>
      <c r="V2679" s="65"/>
      <c r="W2679" s="65"/>
      <c r="X2679" s="65"/>
    </row>
    <row r="2680" ht="12.0" customHeight="1">
      <c r="A2680" s="241"/>
      <c r="B2680" s="57"/>
      <c r="C2680" s="58"/>
      <c r="D2680" s="59"/>
      <c r="E2680" s="57"/>
      <c r="F2680" s="57"/>
      <c r="G2680" s="60"/>
      <c r="H2680" s="57"/>
      <c r="I2680" s="61"/>
      <c r="J2680" s="62"/>
      <c r="K2680" s="63"/>
      <c r="L2680" s="63"/>
      <c r="M2680" s="63"/>
      <c r="N2680" s="64"/>
      <c r="O2680" s="62"/>
      <c r="P2680" s="64"/>
      <c r="Q2680" s="59"/>
      <c r="R2680" s="65"/>
      <c r="S2680" s="65"/>
      <c r="T2680" s="65"/>
      <c r="U2680" s="65"/>
      <c r="V2680" s="65"/>
      <c r="W2680" s="65"/>
      <c r="X2680" s="65"/>
    </row>
    <row r="2681" ht="12.0" customHeight="1">
      <c r="A2681" s="241"/>
      <c r="B2681" s="57"/>
      <c r="C2681" s="58"/>
      <c r="D2681" s="59"/>
      <c r="E2681" s="57"/>
      <c r="F2681" s="57"/>
      <c r="G2681" s="60"/>
      <c r="H2681" s="57"/>
      <c r="I2681" s="61"/>
      <c r="J2681" s="62"/>
      <c r="K2681" s="63"/>
      <c r="L2681" s="63"/>
      <c r="M2681" s="63"/>
      <c r="N2681" s="64"/>
      <c r="O2681" s="62"/>
      <c r="P2681" s="64"/>
      <c r="Q2681" s="59"/>
      <c r="R2681" s="65"/>
      <c r="S2681" s="65"/>
      <c r="T2681" s="65"/>
      <c r="U2681" s="65"/>
      <c r="V2681" s="65"/>
      <c r="W2681" s="65"/>
      <c r="X2681" s="65"/>
    </row>
    <row r="2682" ht="12.0" customHeight="1">
      <c r="A2682" s="241"/>
      <c r="B2682" s="57"/>
      <c r="C2682" s="58"/>
      <c r="D2682" s="59"/>
      <c r="E2682" s="57"/>
      <c r="F2682" s="57"/>
      <c r="G2682" s="60"/>
      <c r="H2682" s="57"/>
      <c r="I2682" s="61"/>
      <c r="J2682" s="62"/>
      <c r="K2682" s="63"/>
      <c r="L2682" s="63"/>
      <c r="M2682" s="63"/>
      <c r="N2682" s="64"/>
      <c r="O2682" s="62"/>
      <c r="P2682" s="64"/>
      <c r="Q2682" s="59"/>
      <c r="R2682" s="65"/>
      <c r="S2682" s="65"/>
      <c r="T2682" s="65"/>
      <c r="U2682" s="65"/>
      <c r="V2682" s="65"/>
      <c r="W2682" s="65"/>
      <c r="X2682" s="65"/>
    </row>
    <row r="2683" ht="12.0" customHeight="1">
      <c r="A2683" s="241"/>
      <c r="B2683" s="57"/>
      <c r="C2683" s="58"/>
      <c r="D2683" s="59"/>
      <c r="E2683" s="57"/>
      <c r="F2683" s="57"/>
      <c r="G2683" s="60"/>
      <c r="H2683" s="57"/>
      <c r="I2683" s="61"/>
      <c r="J2683" s="62"/>
      <c r="K2683" s="63"/>
      <c r="L2683" s="63"/>
      <c r="M2683" s="63"/>
      <c r="N2683" s="64"/>
      <c r="O2683" s="62"/>
      <c r="P2683" s="64"/>
      <c r="Q2683" s="59"/>
      <c r="R2683" s="65"/>
      <c r="S2683" s="65"/>
      <c r="T2683" s="65"/>
      <c r="U2683" s="65"/>
      <c r="V2683" s="65"/>
      <c r="W2683" s="65"/>
      <c r="X2683" s="65"/>
    </row>
    <row r="2684" ht="12.0" customHeight="1">
      <c r="A2684" s="241"/>
      <c r="B2684" s="57"/>
      <c r="C2684" s="58"/>
      <c r="D2684" s="59"/>
      <c r="E2684" s="57"/>
      <c r="F2684" s="57"/>
      <c r="G2684" s="60"/>
      <c r="H2684" s="57"/>
      <c r="I2684" s="61"/>
      <c r="J2684" s="62"/>
      <c r="K2684" s="63"/>
      <c r="L2684" s="63"/>
      <c r="M2684" s="63"/>
      <c r="N2684" s="64"/>
      <c r="O2684" s="62"/>
      <c r="P2684" s="64"/>
      <c r="Q2684" s="59"/>
      <c r="R2684" s="65"/>
      <c r="S2684" s="65"/>
      <c r="T2684" s="65"/>
      <c r="U2684" s="65"/>
      <c r="V2684" s="65"/>
      <c r="W2684" s="65"/>
      <c r="X2684" s="65"/>
    </row>
    <row r="2685" ht="12.0" customHeight="1">
      <c r="A2685" s="241"/>
      <c r="B2685" s="57"/>
      <c r="C2685" s="58"/>
      <c r="D2685" s="59"/>
      <c r="E2685" s="57"/>
      <c r="F2685" s="57"/>
      <c r="G2685" s="60"/>
      <c r="H2685" s="57"/>
      <c r="I2685" s="61"/>
      <c r="J2685" s="62"/>
      <c r="K2685" s="63"/>
      <c r="L2685" s="63"/>
      <c r="M2685" s="63"/>
      <c r="N2685" s="64"/>
      <c r="O2685" s="62"/>
      <c r="P2685" s="64"/>
      <c r="Q2685" s="59"/>
      <c r="R2685" s="65"/>
      <c r="S2685" s="65"/>
      <c r="T2685" s="65"/>
      <c r="U2685" s="65"/>
      <c r="V2685" s="65"/>
      <c r="W2685" s="65"/>
      <c r="X2685" s="65"/>
    </row>
    <row r="2686" ht="12.0" customHeight="1">
      <c r="A2686" s="241"/>
      <c r="B2686" s="57"/>
      <c r="C2686" s="58"/>
      <c r="D2686" s="59"/>
      <c r="E2686" s="57"/>
      <c r="F2686" s="57"/>
      <c r="G2686" s="60"/>
      <c r="H2686" s="57"/>
      <c r="I2686" s="61"/>
      <c r="J2686" s="62"/>
      <c r="K2686" s="63"/>
      <c r="L2686" s="63"/>
      <c r="M2686" s="63"/>
      <c r="N2686" s="64"/>
      <c r="O2686" s="62"/>
      <c r="P2686" s="64"/>
      <c r="Q2686" s="59"/>
      <c r="R2686" s="65"/>
      <c r="S2686" s="65"/>
      <c r="T2686" s="65"/>
      <c r="U2686" s="65"/>
      <c r="V2686" s="65"/>
      <c r="W2686" s="65"/>
      <c r="X2686" s="65"/>
    </row>
    <row r="2687" ht="12.0" customHeight="1">
      <c r="A2687" s="241"/>
      <c r="B2687" s="57"/>
      <c r="C2687" s="58"/>
      <c r="D2687" s="59"/>
      <c r="E2687" s="57"/>
      <c r="F2687" s="57"/>
      <c r="G2687" s="60"/>
      <c r="H2687" s="57"/>
      <c r="I2687" s="61"/>
      <c r="J2687" s="62"/>
      <c r="K2687" s="63"/>
      <c r="L2687" s="63"/>
      <c r="M2687" s="63"/>
      <c r="N2687" s="64"/>
      <c r="O2687" s="62"/>
      <c r="P2687" s="64"/>
      <c r="Q2687" s="59"/>
      <c r="R2687" s="65"/>
      <c r="S2687" s="65"/>
      <c r="T2687" s="65"/>
      <c r="U2687" s="65"/>
      <c r="V2687" s="65"/>
      <c r="W2687" s="65"/>
      <c r="X2687" s="65"/>
    </row>
    <row r="2688" ht="12.0" customHeight="1">
      <c r="A2688" s="241"/>
      <c r="B2688" s="57"/>
      <c r="C2688" s="58"/>
      <c r="D2688" s="59"/>
      <c r="E2688" s="57"/>
      <c r="F2688" s="57"/>
      <c r="G2688" s="60"/>
      <c r="H2688" s="57"/>
      <c r="I2688" s="61"/>
      <c r="J2688" s="62"/>
      <c r="K2688" s="63"/>
      <c r="L2688" s="63"/>
      <c r="M2688" s="63"/>
      <c r="N2688" s="64"/>
      <c r="O2688" s="62"/>
      <c r="P2688" s="64"/>
      <c r="Q2688" s="59"/>
      <c r="R2688" s="65"/>
      <c r="S2688" s="65"/>
      <c r="T2688" s="65"/>
      <c r="U2688" s="65"/>
      <c r="V2688" s="65"/>
      <c r="W2688" s="65"/>
      <c r="X2688" s="65"/>
    </row>
    <row r="2689" ht="12.0" customHeight="1">
      <c r="A2689" s="241"/>
      <c r="B2689" s="57"/>
      <c r="C2689" s="58"/>
      <c r="D2689" s="59"/>
      <c r="E2689" s="57"/>
      <c r="F2689" s="57"/>
      <c r="G2689" s="60"/>
      <c r="H2689" s="57"/>
      <c r="I2689" s="61"/>
      <c r="J2689" s="62"/>
      <c r="K2689" s="63"/>
      <c r="L2689" s="63"/>
      <c r="M2689" s="63"/>
      <c r="N2689" s="64"/>
      <c r="O2689" s="62"/>
      <c r="P2689" s="64"/>
      <c r="Q2689" s="59"/>
      <c r="R2689" s="65"/>
      <c r="S2689" s="65"/>
      <c r="T2689" s="65"/>
      <c r="U2689" s="65"/>
      <c r="V2689" s="65"/>
      <c r="W2689" s="65"/>
      <c r="X2689" s="65"/>
    </row>
    <row r="2690" ht="12.0" customHeight="1">
      <c r="A2690" s="241"/>
      <c r="B2690" s="57"/>
      <c r="C2690" s="58"/>
      <c r="D2690" s="59"/>
      <c r="E2690" s="57"/>
      <c r="F2690" s="57"/>
      <c r="G2690" s="60"/>
      <c r="H2690" s="57"/>
      <c r="I2690" s="61"/>
      <c r="J2690" s="62"/>
      <c r="K2690" s="63"/>
      <c r="L2690" s="63"/>
      <c r="M2690" s="63"/>
      <c r="N2690" s="64"/>
      <c r="O2690" s="62"/>
      <c r="P2690" s="64"/>
      <c r="Q2690" s="59"/>
      <c r="R2690" s="65"/>
      <c r="S2690" s="65"/>
      <c r="T2690" s="65"/>
      <c r="U2690" s="65"/>
      <c r="V2690" s="65"/>
      <c r="W2690" s="65"/>
      <c r="X2690" s="65"/>
    </row>
    <row r="2691" ht="12.0" customHeight="1">
      <c r="A2691" s="241"/>
      <c r="B2691" s="57"/>
      <c r="C2691" s="58"/>
      <c r="D2691" s="59"/>
      <c r="E2691" s="57"/>
      <c r="F2691" s="57"/>
      <c r="G2691" s="60"/>
      <c r="H2691" s="57"/>
      <c r="I2691" s="61"/>
      <c r="J2691" s="62"/>
      <c r="K2691" s="63"/>
      <c r="L2691" s="63"/>
      <c r="M2691" s="63"/>
      <c r="N2691" s="64"/>
      <c r="O2691" s="62"/>
      <c r="P2691" s="64"/>
      <c r="Q2691" s="59"/>
      <c r="R2691" s="65"/>
      <c r="S2691" s="65"/>
      <c r="T2691" s="65"/>
      <c r="U2691" s="65"/>
      <c r="V2691" s="65"/>
      <c r="W2691" s="65"/>
      <c r="X2691" s="65"/>
    </row>
    <row r="2692" ht="12.0" customHeight="1">
      <c r="A2692" s="241"/>
      <c r="B2692" s="57"/>
      <c r="C2692" s="58"/>
      <c r="D2692" s="59"/>
      <c r="E2692" s="57"/>
      <c r="F2692" s="57"/>
      <c r="G2692" s="60"/>
      <c r="H2692" s="57"/>
      <c r="I2692" s="61"/>
      <c r="J2692" s="62"/>
      <c r="K2692" s="63"/>
      <c r="L2692" s="63"/>
      <c r="M2692" s="63"/>
      <c r="N2692" s="64"/>
      <c r="O2692" s="62"/>
      <c r="P2692" s="64"/>
      <c r="Q2692" s="59"/>
      <c r="R2692" s="65"/>
      <c r="S2692" s="65"/>
      <c r="T2692" s="65"/>
      <c r="U2692" s="65"/>
      <c r="V2692" s="65"/>
      <c r="W2692" s="65"/>
      <c r="X2692" s="65"/>
    </row>
    <row r="2693" ht="12.0" customHeight="1">
      <c r="A2693" s="241"/>
      <c r="B2693" s="57"/>
      <c r="C2693" s="58"/>
      <c r="D2693" s="59"/>
      <c r="E2693" s="57"/>
      <c r="F2693" s="57"/>
      <c r="G2693" s="60"/>
      <c r="H2693" s="57"/>
      <c r="I2693" s="61"/>
      <c r="J2693" s="62"/>
      <c r="K2693" s="63"/>
      <c r="L2693" s="63"/>
      <c r="M2693" s="63"/>
      <c r="N2693" s="64"/>
      <c r="O2693" s="62"/>
      <c r="P2693" s="64"/>
      <c r="Q2693" s="59"/>
      <c r="R2693" s="65"/>
      <c r="S2693" s="65"/>
      <c r="T2693" s="65"/>
      <c r="U2693" s="65"/>
      <c r="V2693" s="65"/>
      <c r="W2693" s="65"/>
      <c r="X2693" s="65"/>
    </row>
    <row r="2694" ht="12.0" customHeight="1">
      <c r="A2694" s="241"/>
      <c r="B2694" s="57"/>
      <c r="C2694" s="58"/>
      <c r="D2694" s="59"/>
      <c r="E2694" s="57"/>
      <c r="F2694" s="57"/>
      <c r="G2694" s="60"/>
      <c r="H2694" s="57"/>
      <c r="I2694" s="61"/>
      <c r="J2694" s="62"/>
      <c r="K2694" s="63"/>
      <c r="L2694" s="63"/>
      <c r="M2694" s="63"/>
      <c r="N2694" s="64"/>
      <c r="O2694" s="62"/>
      <c r="P2694" s="64"/>
      <c r="Q2694" s="59"/>
      <c r="R2694" s="65"/>
      <c r="S2694" s="65"/>
      <c r="T2694" s="65"/>
      <c r="U2694" s="65"/>
      <c r="V2694" s="65"/>
      <c r="W2694" s="65"/>
      <c r="X2694" s="65"/>
    </row>
    <row r="2695" ht="12.0" customHeight="1">
      <c r="A2695" s="241"/>
      <c r="B2695" s="57"/>
      <c r="C2695" s="58"/>
      <c r="D2695" s="59"/>
      <c r="E2695" s="57"/>
      <c r="F2695" s="57"/>
      <c r="G2695" s="60"/>
      <c r="H2695" s="57"/>
      <c r="I2695" s="61"/>
      <c r="J2695" s="62"/>
      <c r="K2695" s="63"/>
      <c r="L2695" s="63"/>
      <c r="M2695" s="63"/>
      <c r="N2695" s="64"/>
      <c r="O2695" s="62"/>
      <c r="P2695" s="64"/>
      <c r="Q2695" s="59"/>
      <c r="R2695" s="65"/>
      <c r="S2695" s="65"/>
      <c r="T2695" s="65"/>
      <c r="U2695" s="65"/>
      <c r="V2695" s="65"/>
      <c r="W2695" s="65"/>
      <c r="X2695" s="65"/>
    </row>
    <row r="2696" ht="12.0" customHeight="1">
      <c r="A2696" s="241"/>
      <c r="B2696" s="57"/>
      <c r="C2696" s="58"/>
      <c r="D2696" s="59"/>
      <c r="E2696" s="57"/>
      <c r="F2696" s="57"/>
      <c r="G2696" s="60"/>
      <c r="H2696" s="57"/>
      <c r="I2696" s="61"/>
      <c r="J2696" s="62"/>
      <c r="K2696" s="63"/>
      <c r="L2696" s="63"/>
      <c r="M2696" s="63"/>
      <c r="N2696" s="64"/>
      <c r="O2696" s="62"/>
      <c r="P2696" s="64"/>
      <c r="Q2696" s="59"/>
      <c r="R2696" s="65"/>
      <c r="S2696" s="65"/>
      <c r="T2696" s="65"/>
      <c r="U2696" s="65"/>
      <c r="V2696" s="65"/>
      <c r="W2696" s="65"/>
      <c r="X2696" s="65"/>
    </row>
    <row r="2697" ht="12.0" customHeight="1">
      <c r="A2697" s="241"/>
      <c r="B2697" s="57"/>
      <c r="C2697" s="58"/>
      <c r="D2697" s="59"/>
      <c r="E2697" s="57"/>
      <c r="F2697" s="57"/>
      <c r="G2697" s="60"/>
      <c r="H2697" s="57"/>
      <c r="I2697" s="61"/>
      <c r="J2697" s="62"/>
      <c r="K2697" s="63"/>
      <c r="L2697" s="63"/>
      <c r="M2697" s="63"/>
      <c r="N2697" s="64"/>
      <c r="O2697" s="62"/>
      <c r="P2697" s="64"/>
      <c r="Q2697" s="59"/>
      <c r="R2697" s="65"/>
      <c r="S2697" s="65"/>
      <c r="T2697" s="65"/>
      <c r="U2697" s="65"/>
      <c r="V2697" s="65"/>
      <c r="W2697" s="65"/>
      <c r="X2697" s="65"/>
    </row>
    <row r="2698" ht="12.0" customHeight="1">
      <c r="A2698" s="241"/>
      <c r="B2698" s="57"/>
      <c r="C2698" s="58"/>
      <c r="D2698" s="59"/>
      <c r="E2698" s="57"/>
      <c r="F2698" s="57"/>
      <c r="G2698" s="60"/>
      <c r="H2698" s="57"/>
      <c r="I2698" s="61"/>
      <c r="J2698" s="62"/>
      <c r="K2698" s="63"/>
      <c r="L2698" s="63"/>
      <c r="M2698" s="63"/>
      <c r="N2698" s="64"/>
      <c r="O2698" s="62"/>
      <c r="P2698" s="64"/>
      <c r="Q2698" s="59"/>
      <c r="R2698" s="65"/>
      <c r="S2698" s="65"/>
      <c r="T2698" s="65"/>
      <c r="U2698" s="65"/>
      <c r="V2698" s="65"/>
      <c r="W2698" s="65"/>
      <c r="X2698" s="65"/>
    </row>
    <row r="2699" ht="12.0" customHeight="1">
      <c r="A2699" s="241"/>
      <c r="B2699" s="57"/>
      <c r="C2699" s="58"/>
      <c r="D2699" s="59"/>
      <c r="E2699" s="57"/>
      <c r="F2699" s="57"/>
      <c r="G2699" s="60"/>
      <c r="H2699" s="57"/>
      <c r="I2699" s="61"/>
      <c r="J2699" s="62"/>
      <c r="K2699" s="63"/>
      <c r="L2699" s="63"/>
      <c r="M2699" s="63"/>
      <c r="N2699" s="64"/>
      <c r="O2699" s="62"/>
      <c r="P2699" s="64"/>
      <c r="Q2699" s="59"/>
      <c r="R2699" s="65"/>
      <c r="S2699" s="65"/>
      <c r="T2699" s="65"/>
      <c r="U2699" s="65"/>
      <c r="V2699" s="65"/>
      <c r="W2699" s="65"/>
      <c r="X2699" s="65"/>
    </row>
    <row r="2700" ht="12.0" customHeight="1">
      <c r="A2700" s="241"/>
      <c r="B2700" s="57"/>
      <c r="C2700" s="58"/>
      <c r="D2700" s="59"/>
      <c r="E2700" s="57"/>
      <c r="F2700" s="57"/>
      <c r="G2700" s="60"/>
      <c r="H2700" s="57"/>
      <c r="I2700" s="61"/>
      <c r="J2700" s="62"/>
      <c r="K2700" s="63"/>
      <c r="L2700" s="63"/>
      <c r="M2700" s="63"/>
      <c r="N2700" s="64"/>
      <c r="O2700" s="62"/>
      <c r="P2700" s="64"/>
      <c r="Q2700" s="59"/>
      <c r="R2700" s="65"/>
      <c r="S2700" s="65"/>
      <c r="T2700" s="65"/>
      <c r="U2700" s="65"/>
      <c r="V2700" s="65"/>
      <c r="W2700" s="65"/>
      <c r="X2700" s="65"/>
    </row>
    <row r="2701" ht="12.0" customHeight="1">
      <c r="A2701" s="241"/>
      <c r="B2701" s="57"/>
      <c r="C2701" s="58"/>
      <c r="D2701" s="59"/>
      <c r="E2701" s="57"/>
      <c r="F2701" s="57"/>
      <c r="G2701" s="60"/>
      <c r="H2701" s="57"/>
      <c r="I2701" s="61"/>
      <c r="J2701" s="62"/>
      <c r="K2701" s="63"/>
      <c r="L2701" s="63"/>
      <c r="M2701" s="63"/>
      <c r="N2701" s="64"/>
      <c r="O2701" s="62"/>
      <c r="P2701" s="64"/>
      <c r="Q2701" s="59"/>
      <c r="R2701" s="65"/>
      <c r="S2701" s="65"/>
      <c r="T2701" s="65"/>
      <c r="U2701" s="65"/>
      <c r="V2701" s="65"/>
      <c r="W2701" s="65"/>
      <c r="X2701" s="65"/>
    </row>
    <row r="2702" ht="12.0" customHeight="1">
      <c r="A2702" s="241"/>
      <c r="B2702" s="57"/>
      <c r="C2702" s="58"/>
      <c r="D2702" s="59"/>
      <c r="E2702" s="57"/>
      <c r="F2702" s="57"/>
      <c r="G2702" s="60"/>
      <c r="H2702" s="57"/>
      <c r="I2702" s="61"/>
      <c r="J2702" s="62"/>
      <c r="K2702" s="63"/>
      <c r="L2702" s="63"/>
      <c r="M2702" s="63"/>
      <c r="N2702" s="64"/>
      <c r="O2702" s="62"/>
      <c r="P2702" s="64"/>
      <c r="Q2702" s="59"/>
      <c r="R2702" s="65"/>
      <c r="S2702" s="65"/>
      <c r="T2702" s="65"/>
      <c r="U2702" s="65"/>
      <c r="V2702" s="65"/>
      <c r="W2702" s="65"/>
      <c r="X2702" s="65"/>
    </row>
    <row r="2703" ht="12.0" customHeight="1">
      <c r="A2703" s="241"/>
      <c r="B2703" s="57"/>
      <c r="C2703" s="58"/>
      <c r="D2703" s="59"/>
      <c r="E2703" s="57"/>
      <c r="F2703" s="57"/>
      <c r="G2703" s="60"/>
      <c r="H2703" s="57"/>
      <c r="I2703" s="61"/>
      <c r="J2703" s="62"/>
      <c r="K2703" s="63"/>
      <c r="L2703" s="63"/>
      <c r="M2703" s="63"/>
      <c r="N2703" s="64"/>
      <c r="O2703" s="62"/>
      <c r="P2703" s="64"/>
      <c r="Q2703" s="59"/>
      <c r="R2703" s="65"/>
      <c r="S2703" s="65"/>
      <c r="T2703" s="65"/>
      <c r="U2703" s="65"/>
      <c r="V2703" s="65"/>
      <c r="W2703" s="65"/>
      <c r="X2703" s="65"/>
    </row>
    <row r="2704" ht="12.0" customHeight="1">
      <c r="A2704" s="241"/>
      <c r="B2704" s="57"/>
      <c r="C2704" s="58"/>
      <c r="D2704" s="59"/>
      <c r="E2704" s="57"/>
      <c r="F2704" s="57"/>
      <c r="G2704" s="60"/>
      <c r="H2704" s="57"/>
      <c r="I2704" s="61"/>
      <c r="J2704" s="62"/>
      <c r="K2704" s="63"/>
      <c r="L2704" s="63"/>
      <c r="M2704" s="63"/>
      <c r="N2704" s="64"/>
      <c r="O2704" s="62"/>
      <c r="P2704" s="64"/>
      <c r="Q2704" s="59"/>
      <c r="R2704" s="65"/>
      <c r="S2704" s="65"/>
      <c r="T2704" s="65"/>
      <c r="U2704" s="65"/>
      <c r="V2704" s="65"/>
      <c r="W2704" s="65"/>
      <c r="X2704" s="65"/>
    </row>
    <row r="2705" ht="12.0" customHeight="1">
      <c r="A2705" s="241"/>
      <c r="B2705" s="57"/>
      <c r="C2705" s="58"/>
      <c r="D2705" s="59"/>
      <c r="E2705" s="57"/>
      <c r="F2705" s="57"/>
      <c r="G2705" s="60"/>
      <c r="H2705" s="57"/>
      <c r="I2705" s="61"/>
      <c r="J2705" s="62"/>
      <c r="K2705" s="63"/>
      <c r="L2705" s="63"/>
      <c r="M2705" s="63"/>
      <c r="N2705" s="64"/>
      <c r="O2705" s="62"/>
      <c r="P2705" s="64"/>
      <c r="Q2705" s="59"/>
      <c r="R2705" s="65"/>
      <c r="S2705" s="65"/>
      <c r="T2705" s="65"/>
      <c r="U2705" s="65"/>
      <c r="V2705" s="65"/>
      <c r="W2705" s="65"/>
      <c r="X2705" s="65"/>
    </row>
    <row r="2706" ht="12.0" customHeight="1">
      <c r="A2706" s="241"/>
      <c r="B2706" s="57"/>
      <c r="C2706" s="58"/>
      <c r="D2706" s="59"/>
      <c r="E2706" s="57"/>
      <c r="F2706" s="57"/>
      <c r="G2706" s="60"/>
      <c r="H2706" s="57"/>
      <c r="I2706" s="61"/>
      <c r="J2706" s="62"/>
      <c r="K2706" s="63"/>
      <c r="L2706" s="63"/>
      <c r="M2706" s="63"/>
      <c r="N2706" s="64"/>
      <c r="O2706" s="62"/>
      <c r="P2706" s="64"/>
      <c r="Q2706" s="59"/>
      <c r="R2706" s="65"/>
      <c r="S2706" s="65"/>
      <c r="T2706" s="65"/>
      <c r="U2706" s="65"/>
      <c r="V2706" s="65"/>
      <c r="W2706" s="65"/>
      <c r="X2706" s="65"/>
    </row>
    <row r="2707" ht="12.0" customHeight="1">
      <c r="A2707" s="241"/>
      <c r="B2707" s="57"/>
      <c r="C2707" s="58"/>
      <c r="D2707" s="59"/>
      <c r="E2707" s="57"/>
      <c r="F2707" s="57"/>
      <c r="G2707" s="60"/>
      <c r="H2707" s="57"/>
      <c r="I2707" s="61"/>
      <c r="J2707" s="62"/>
      <c r="K2707" s="63"/>
      <c r="L2707" s="63"/>
      <c r="M2707" s="63"/>
      <c r="N2707" s="64"/>
      <c r="O2707" s="62"/>
      <c r="P2707" s="64"/>
      <c r="Q2707" s="59"/>
      <c r="R2707" s="65"/>
      <c r="S2707" s="65"/>
      <c r="T2707" s="65"/>
      <c r="U2707" s="65"/>
      <c r="V2707" s="65"/>
      <c r="W2707" s="65"/>
      <c r="X2707" s="65"/>
    </row>
    <row r="2708" ht="12.0" customHeight="1">
      <c r="A2708" s="241"/>
      <c r="B2708" s="57"/>
      <c r="C2708" s="58"/>
      <c r="D2708" s="59"/>
      <c r="E2708" s="57"/>
      <c r="F2708" s="57"/>
      <c r="G2708" s="60"/>
      <c r="H2708" s="57"/>
      <c r="I2708" s="61"/>
      <c r="J2708" s="62"/>
      <c r="K2708" s="63"/>
      <c r="L2708" s="63"/>
      <c r="M2708" s="63"/>
      <c r="N2708" s="64"/>
      <c r="O2708" s="62"/>
      <c r="P2708" s="64"/>
      <c r="Q2708" s="59"/>
      <c r="R2708" s="65"/>
      <c r="S2708" s="65"/>
      <c r="T2708" s="65"/>
      <c r="U2708" s="65"/>
      <c r="V2708" s="65"/>
      <c r="W2708" s="65"/>
      <c r="X2708" s="65"/>
    </row>
    <row r="2709" ht="12.0" customHeight="1">
      <c r="A2709" s="241"/>
      <c r="B2709" s="57"/>
      <c r="C2709" s="58"/>
      <c r="D2709" s="59"/>
      <c r="E2709" s="57"/>
      <c r="F2709" s="57"/>
      <c r="G2709" s="60"/>
      <c r="H2709" s="57"/>
      <c r="I2709" s="61"/>
      <c r="J2709" s="62"/>
      <c r="K2709" s="63"/>
      <c r="L2709" s="63"/>
      <c r="M2709" s="63"/>
      <c r="N2709" s="64"/>
      <c r="O2709" s="62"/>
      <c r="P2709" s="64"/>
      <c r="Q2709" s="59"/>
      <c r="R2709" s="65"/>
      <c r="S2709" s="65"/>
      <c r="T2709" s="65"/>
      <c r="U2709" s="65"/>
      <c r="V2709" s="65"/>
      <c r="W2709" s="65"/>
      <c r="X2709" s="65"/>
    </row>
    <row r="2710" ht="12.0" customHeight="1">
      <c r="A2710" s="241"/>
      <c r="B2710" s="57"/>
      <c r="C2710" s="58"/>
      <c r="D2710" s="59"/>
      <c r="E2710" s="57"/>
      <c r="F2710" s="57"/>
      <c r="G2710" s="60"/>
      <c r="H2710" s="57"/>
      <c r="I2710" s="61"/>
      <c r="J2710" s="62"/>
      <c r="K2710" s="63"/>
      <c r="L2710" s="63"/>
      <c r="M2710" s="63"/>
      <c r="N2710" s="64"/>
      <c r="O2710" s="62"/>
      <c r="P2710" s="64"/>
      <c r="Q2710" s="59"/>
      <c r="R2710" s="65"/>
      <c r="S2710" s="65"/>
      <c r="T2710" s="65"/>
      <c r="U2710" s="65"/>
      <c r="V2710" s="65"/>
      <c r="W2710" s="65"/>
      <c r="X2710" s="65"/>
    </row>
    <row r="2711" ht="12.0" customHeight="1">
      <c r="A2711" s="241"/>
      <c r="B2711" s="57"/>
      <c r="C2711" s="58"/>
      <c r="D2711" s="59"/>
      <c r="E2711" s="57"/>
      <c r="F2711" s="57"/>
      <c r="G2711" s="60"/>
      <c r="H2711" s="57"/>
      <c r="I2711" s="61"/>
      <c r="J2711" s="62"/>
      <c r="K2711" s="63"/>
      <c r="L2711" s="63"/>
      <c r="M2711" s="63"/>
      <c r="N2711" s="64"/>
      <c r="O2711" s="62"/>
      <c r="P2711" s="64"/>
      <c r="Q2711" s="59"/>
      <c r="R2711" s="65"/>
      <c r="S2711" s="65"/>
      <c r="T2711" s="65"/>
      <c r="U2711" s="65"/>
      <c r="V2711" s="65"/>
      <c r="W2711" s="65"/>
      <c r="X2711" s="65"/>
    </row>
    <row r="2712" ht="12.0" customHeight="1">
      <c r="A2712" s="241"/>
      <c r="B2712" s="57"/>
      <c r="C2712" s="58"/>
      <c r="D2712" s="59"/>
      <c r="E2712" s="57"/>
      <c r="F2712" s="57"/>
      <c r="G2712" s="60"/>
      <c r="H2712" s="57"/>
      <c r="I2712" s="61"/>
      <c r="J2712" s="62"/>
      <c r="K2712" s="63"/>
      <c r="L2712" s="63"/>
      <c r="M2712" s="63"/>
      <c r="N2712" s="64"/>
      <c r="O2712" s="62"/>
      <c r="P2712" s="64"/>
      <c r="Q2712" s="59"/>
      <c r="R2712" s="65"/>
      <c r="S2712" s="65"/>
      <c r="T2712" s="65"/>
      <c r="U2712" s="65"/>
      <c r="V2712" s="65"/>
      <c r="W2712" s="65"/>
      <c r="X2712" s="65"/>
    </row>
    <row r="2713" ht="12.0" customHeight="1">
      <c r="A2713" s="241"/>
      <c r="B2713" s="57"/>
      <c r="C2713" s="58"/>
      <c r="D2713" s="59"/>
      <c r="E2713" s="57"/>
      <c r="F2713" s="57"/>
      <c r="G2713" s="60"/>
      <c r="H2713" s="57"/>
      <c r="I2713" s="61"/>
      <c r="J2713" s="62"/>
      <c r="K2713" s="63"/>
      <c r="L2713" s="63"/>
      <c r="M2713" s="63"/>
      <c r="N2713" s="64"/>
      <c r="O2713" s="62"/>
      <c r="P2713" s="64"/>
      <c r="Q2713" s="59"/>
      <c r="R2713" s="65"/>
      <c r="S2713" s="65"/>
      <c r="T2713" s="65"/>
      <c r="U2713" s="65"/>
      <c r="V2713" s="65"/>
      <c r="W2713" s="65"/>
      <c r="X2713" s="65"/>
    </row>
    <row r="2714" ht="12.0" customHeight="1">
      <c r="A2714" s="241"/>
      <c r="B2714" s="57"/>
      <c r="C2714" s="58"/>
      <c r="D2714" s="59"/>
      <c r="E2714" s="57"/>
      <c r="F2714" s="57"/>
      <c r="G2714" s="60"/>
      <c r="H2714" s="57"/>
      <c r="I2714" s="61"/>
      <c r="J2714" s="62"/>
      <c r="K2714" s="63"/>
      <c r="L2714" s="63"/>
      <c r="M2714" s="63"/>
      <c r="N2714" s="64"/>
      <c r="O2714" s="62"/>
      <c r="P2714" s="64"/>
      <c r="Q2714" s="59"/>
      <c r="R2714" s="65"/>
      <c r="S2714" s="65"/>
      <c r="T2714" s="65"/>
      <c r="U2714" s="65"/>
      <c r="V2714" s="65"/>
      <c r="W2714" s="65"/>
      <c r="X2714" s="65"/>
    </row>
    <row r="2715" ht="12.0" customHeight="1">
      <c r="A2715" s="241"/>
      <c r="B2715" s="57"/>
      <c r="C2715" s="58"/>
      <c r="D2715" s="59"/>
      <c r="E2715" s="57"/>
      <c r="F2715" s="57"/>
      <c r="G2715" s="60"/>
      <c r="H2715" s="57"/>
      <c r="I2715" s="61"/>
      <c r="J2715" s="62"/>
      <c r="K2715" s="63"/>
      <c r="L2715" s="63"/>
      <c r="M2715" s="63"/>
      <c r="N2715" s="64"/>
      <c r="O2715" s="62"/>
      <c r="P2715" s="64"/>
      <c r="Q2715" s="59"/>
      <c r="R2715" s="65"/>
      <c r="S2715" s="65"/>
      <c r="T2715" s="65"/>
      <c r="U2715" s="65"/>
      <c r="V2715" s="65"/>
      <c r="W2715" s="65"/>
      <c r="X2715" s="65"/>
    </row>
    <row r="2716" ht="12.0" customHeight="1">
      <c r="A2716" s="241"/>
      <c r="B2716" s="57"/>
      <c r="C2716" s="58"/>
      <c r="D2716" s="59"/>
      <c r="E2716" s="57"/>
      <c r="F2716" s="57"/>
      <c r="G2716" s="60"/>
      <c r="H2716" s="57"/>
      <c r="I2716" s="61"/>
      <c r="J2716" s="62"/>
      <c r="K2716" s="63"/>
      <c r="L2716" s="63"/>
      <c r="M2716" s="63"/>
      <c r="N2716" s="64"/>
      <c r="O2716" s="62"/>
      <c r="P2716" s="64"/>
      <c r="Q2716" s="59"/>
      <c r="R2716" s="65"/>
      <c r="S2716" s="65"/>
      <c r="T2716" s="65"/>
      <c r="U2716" s="65"/>
      <c r="V2716" s="65"/>
      <c r="W2716" s="65"/>
      <c r="X2716" s="65"/>
    </row>
    <row r="2717" ht="12.0" customHeight="1">
      <c r="A2717" s="241"/>
      <c r="B2717" s="57"/>
      <c r="C2717" s="58"/>
      <c r="D2717" s="59"/>
      <c r="E2717" s="57"/>
      <c r="F2717" s="57"/>
      <c r="G2717" s="60"/>
      <c r="H2717" s="57"/>
      <c r="I2717" s="61"/>
      <c r="J2717" s="62"/>
      <c r="K2717" s="63"/>
      <c r="L2717" s="63"/>
      <c r="M2717" s="63"/>
      <c r="N2717" s="64"/>
      <c r="O2717" s="62"/>
      <c r="P2717" s="64"/>
      <c r="Q2717" s="59"/>
      <c r="R2717" s="65"/>
      <c r="S2717" s="65"/>
      <c r="T2717" s="65"/>
      <c r="U2717" s="65"/>
      <c r="V2717" s="65"/>
      <c r="W2717" s="65"/>
      <c r="X2717" s="65"/>
    </row>
    <row r="2718" ht="12.0" customHeight="1">
      <c r="A2718" s="241"/>
      <c r="B2718" s="57"/>
      <c r="C2718" s="58"/>
      <c r="D2718" s="59"/>
      <c r="E2718" s="57"/>
      <c r="F2718" s="57"/>
      <c r="G2718" s="60"/>
      <c r="H2718" s="57"/>
      <c r="I2718" s="61"/>
      <c r="J2718" s="62"/>
      <c r="K2718" s="63"/>
      <c r="L2718" s="63"/>
      <c r="M2718" s="63"/>
      <c r="N2718" s="64"/>
      <c r="O2718" s="62"/>
      <c r="P2718" s="64"/>
      <c r="Q2718" s="59"/>
      <c r="R2718" s="65"/>
      <c r="S2718" s="65"/>
      <c r="T2718" s="65"/>
      <c r="U2718" s="65"/>
      <c r="V2718" s="65"/>
      <c r="W2718" s="65"/>
      <c r="X2718" s="65"/>
    </row>
    <row r="2719" ht="12.0" customHeight="1">
      <c r="A2719" s="241"/>
      <c r="B2719" s="57"/>
      <c r="C2719" s="58"/>
      <c r="D2719" s="59"/>
      <c r="E2719" s="57"/>
      <c r="F2719" s="57"/>
      <c r="G2719" s="60"/>
      <c r="H2719" s="57"/>
      <c r="I2719" s="61"/>
      <c r="J2719" s="62"/>
      <c r="K2719" s="63"/>
      <c r="L2719" s="63"/>
      <c r="M2719" s="63"/>
      <c r="N2719" s="64"/>
      <c r="O2719" s="62"/>
      <c r="P2719" s="64"/>
      <c r="Q2719" s="59"/>
      <c r="R2719" s="65"/>
      <c r="S2719" s="65"/>
      <c r="T2719" s="65"/>
      <c r="U2719" s="65"/>
      <c r="V2719" s="65"/>
      <c r="W2719" s="65"/>
      <c r="X2719" s="65"/>
    </row>
    <row r="2720" ht="12.0" customHeight="1">
      <c r="A2720" s="241"/>
      <c r="B2720" s="57"/>
      <c r="C2720" s="58"/>
      <c r="D2720" s="59"/>
      <c r="E2720" s="57"/>
      <c r="F2720" s="57"/>
      <c r="G2720" s="60"/>
      <c r="H2720" s="57"/>
      <c r="I2720" s="61"/>
      <c r="J2720" s="62"/>
      <c r="K2720" s="63"/>
      <c r="L2720" s="63"/>
      <c r="M2720" s="63"/>
      <c r="N2720" s="64"/>
      <c r="O2720" s="62"/>
      <c r="P2720" s="64"/>
      <c r="Q2720" s="59"/>
      <c r="R2720" s="65"/>
      <c r="S2720" s="65"/>
      <c r="T2720" s="65"/>
      <c r="U2720" s="65"/>
      <c r="V2720" s="65"/>
      <c r="W2720" s="65"/>
      <c r="X2720" s="65"/>
    </row>
    <row r="2721" ht="12.0" customHeight="1">
      <c r="A2721" s="241"/>
      <c r="B2721" s="57"/>
      <c r="C2721" s="58"/>
      <c r="D2721" s="59"/>
      <c r="E2721" s="57"/>
      <c r="F2721" s="57"/>
      <c r="G2721" s="60"/>
      <c r="H2721" s="57"/>
      <c r="I2721" s="61"/>
      <c r="J2721" s="62"/>
      <c r="K2721" s="63"/>
      <c r="L2721" s="63"/>
      <c r="M2721" s="63"/>
      <c r="N2721" s="64"/>
      <c r="O2721" s="62"/>
      <c r="P2721" s="64"/>
      <c r="Q2721" s="59"/>
      <c r="R2721" s="65"/>
      <c r="S2721" s="65"/>
      <c r="T2721" s="65"/>
      <c r="U2721" s="65"/>
      <c r="V2721" s="65"/>
      <c r="W2721" s="65"/>
      <c r="X2721" s="65"/>
    </row>
    <row r="2722" ht="12.0" customHeight="1">
      <c r="A2722" s="241"/>
      <c r="B2722" s="57"/>
      <c r="C2722" s="58"/>
      <c r="D2722" s="59"/>
      <c r="E2722" s="57"/>
      <c r="F2722" s="57"/>
      <c r="G2722" s="60"/>
      <c r="H2722" s="57"/>
      <c r="I2722" s="61"/>
      <c r="J2722" s="62"/>
      <c r="K2722" s="63"/>
      <c r="L2722" s="63"/>
      <c r="M2722" s="63"/>
      <c r="N2722" s="64"/>
      <c r="O2722" s="62"/>
      <c r="P2722" s="64"/>
      <c r="Q2722" s="59"/>
      <c r="R2722" s="65"/>
      <c r="S2722" s="65"/>
      <c r="T2722" s="65"/>
      <c r="U2722" s="65"/>
      <c r="V2722" s="65"/>
      <c r="W2722" s="65"/>
      <c r="X2722" s="65"/>
    </row>
    <row r="2723" ht="12.0" customHeight="1">
      <c r="A2723" s="241"/>
      <c r="B2723" s="57"/>
      <c r="C2723" s="58"/>
      <c r="D2723" s="59"/>
      <c r="E2723" s="57"/>
      <c r="F2723" s="57"/>
      <c r="G2723" s="60"/>
      <c r="H2723" s="57"/>
      <c r="I2723" s="61"/>
      <c r="J2723" s="62"/>
      <c r="K2723" s="63"/>
      <c r="L2723" s="63"/>
      <c r="M2723" s="63"/>
      <c r="N2723" s="64"/>
      <c r="O2723" s="62"/>
      <c r="P2723" s="64"/>
      <c r="Q2723" s="59"/>
      <c r="R2723" s="65"/>
      <c r="S2723" s="65"/>
      <c r="T2723" s="65"/>
      <c r="U2723" s="65"/>
      <c r="V2723" s="65"/>
      <c r="W2723" s="65"/>
      <c r="X2723" s="65"/>
    </row>
    <row r="2724" ht="12.0" customHeight="1">
      <c r="A2724" s="241"/>
      <c r="B2724" s="57"/>
      <c r="C2724" s="58"/>
      <c r="D2724" s="59"/>
      <c r="E2724" s="57"/>
      <c r="F2724" s="57"/>
      <c r="G2724" s="60"/>
      <c r="H2724" s="57"/>
      <c r="I2724" s="61"/>
      <c r="J2724" s="62"/>
      <c r="K2724" s="63"/>
      <c r="L2724" s="63"/>
      <c r="M2724" s="63"/>
      <c r="N2724" s="64"/>
      <c r="O2724" s="62"/>
      <c r="P2724" s="64"/>
      <c r="Q2724" s="59"/>
      <c r="R2724" s="65"/>
      <c r="S2724" s="65"/>
      <c r="T2724" s="65"/>
      <c r="U2724" s="65"/>
      <c r="V2724" s="65"/>
      <c r="W2724" s="65"/>
      <c r="X2724" s="65"/>
    </row>
    <row r="2725" ht="12.0" customHeight="1">
      <c r="A2725" s="241"/>
      <c r="B2725" s="57"/>
      <c r="C2725" s="58"/>
      <c r="D2725" s="59"/>
      <c r="E2725" s="57"/>
      <c r="F2725" s="57"/>
      <c r="G2725" s="60"/>
      <c r="H2725" s="57"/>
      <c r="I2725" s="61"/>
      <c r="J2725" s="62"/>
      <c r="K2725" s="63"/>
      <c r="L2725" s="63"/>
      <c r="M2725" s="63"/>
      <c r="N2725" s="64"/>
      <c r="O2725" s="62"/>
      <c r="P2725" s="64"/>
      <c r="Q2725" s="59"/>
      <c r="R2725" s="65"/>
      <c r="S2725" s="65"/>
      <c r="T2725" s="65"/>
      <c r="U2725" s="65"/>
      <c r="V2725" s="65"/>
      <c r="W2725" s="65"/>
      <c r="X2725" s="65"/>
    </row>
    <row r="2726" ht="12.0" customHeight="1">
      <c r="A2726" s="241"/>
      <c r="B2726" s="57"/>
      <c r="C2726" s="58"/>
      <c r="D2726" s="59"/>
      <c r="E2726" s="57"/>
      <c r="F2726" s="57"/>
      <c r="G2726" s="60"/>
      <c r="H2726" s="57"/>
      <c r="I2726" s="61"/>
      <c r="J2726" s="62"/>
      <c r="K2726" s="63"/>
      <c r="L2726" s="63"/>
      <c r="M2726" s="63"/>
      <c r="N2726" s="64"/>
      <c r="O2726" s="62"/>
      <c r="P2726" s="64"/>
      <c r="Q2726" s="59"/>
      <c r="R2726" s="65"/>
      <c r="S2726" s="65"/>
      <c r="T2726" s="65"/>
      <c r="U2726" s="65"/>
      <c r="V2726" s="65"/>
      <c r="W2726" s="65"/>
      <c r="X2726" s="65"/>
    </row>
    <row r="2727" ht="12.0" customHeight="1">
      <c r="A2727" s="241"/>
      <c r="B2727" s="57"/>
      <c r="C2727" s="58"/>
      <c r="D2727" s="59"/>
      <c r="E2727" s="57"/>
      <c r="F2727" s="57"/>
      <c r="G2727" s="60"/>
      <c r="H2727" s="57"/>
      <c r="I2727" s="61"/>
      <c r="J2727" s="62"/>
      <c r="K2727" s="63"/>
      <c r="L2727" s="63"/>
      <c r="M2727" s="63"/>
      <c r="N2727" s="64"/>
      <c r="O2727" s="62"/>
      <c r="P2727" s="64"/>
      <c r="Q2727" s="59"/>
      <c r="R2727" s="65"/>
      <c r="S2727" s="65"/>
      <c r="T2727" s="65"/>
      <c r="U2727" s="65"/>
      <c r="V2727" s="65"/>
      <c r="W2727" s="65"/>
      <c r="X2727" s="65"/>
    </row>
    <row r="2728" ht="12.0" customHeight="1">
      <c r="A2728" s="241"/>
      <c r="B2728" s="57"/>
      <c r="C2728" s="58"/>
      <c r="D2728" s="59"/>
      <c r="E2728" s="57"/>
      <c r="F2728" s="57"/>
      <c r="G2728" s="60"/>
      <c r="H2728" s="57"/>
      <c r="I2728" s="61"/>
      <c r="J2728" s="62"/>
      <c r="K2728" s="63"/>
      <c r="L2728" s="63"/>
      <c r="M2728" s="63"/>
      <c r="N2728" s="64"/>
      <c r="O2728" s="62"/>
      <c r="P2728" s="64"/>
      <c r="Q2728" s="59"/>
      <c r="R2728" s="65"/>
      <c r="S2728" s="65"/>
      <c r="T2728" s="65"/>
      <c r="U2728" s="65"/>
      <c r="V2728" s="65"/>
      <c r="W2728" s="65"/>
      <c r="X2728" s="65"/>
    </row>
    <row r="2729" ht="12.0" customHeight="1">
      <c r="A2729" s="241"/>
      <c r="B2729" s="57"/>
      <c r="C2729" s="58"/>
      <c r="D2729" s="59"/>
      <c r="E2729" s="57"/>
      <c r="F2729" s="57"/>
      <c r="G2729" s="60"/>
      <c r="H2729" s="57"/>
      <c r="I2729" s="61"/>
      <c r="J2729" s="62"/>
      <c r="K2729" s="63"/>
      <c r="L2729" s="63"/>
      <c r="M2729" s="63"/>
      <c r="N2729" s="64"/>
      <c r="O2729" s="62"/>
      <c r="P2729" s="64"/>
      <c r="Q2729" s="59"/>
      <c r="R2729" s="65"/>
      <c r="S2729" s="65"/>
      <c r="T2729" s="65"/>
      <c r="U2729" s="65"/>
      <c r="V2729" s="65"/>
      <c r="W2729" s="65"/>
      <c r="X2729" s="65"/>
    </row>
    <row r="2730" ht="12.0" customHeight="1">
      <c r="A2730" s="241"/>
      <c r="B2730" s="57"/>
      <c r="C2730" s="58"/>
      <c r="D2730" s="59"/>
      <c r="E2730" s="57"/>
      <c r="F2730" s="57"/>
      <c r="G2730" s="60"/>
      <c r="H2730" s="57"/>
      <c r="I2730" s="61"/>
      <c r="J2730" s="62"/>
      <c r="K2730" s="63"/>
      <c r="L2730" s="63"/>
      <c r="M2730" s="63"/>
      <c r="N2730" s="64"/>
      <c r="O2730" s="62"/>
      <c r="P2730" s="64"/>
      <c r="Q2730" s="59"/>
      <c r="R2730" s="65"/>
      <c r="S2730" s="65"/>
      <c r="T2730" s="65"/>
      <c r="U2730" s="65"/>
      <c r="V2730" s="65"/>
      <c r="W2730" s="65"/>
      <c r="X2730" s="65"/>
    </row>
    <row r="2731" ht="12.0" customHeight="1">
      <c r="A2731" s="241"/>
      <c r="B2731" s="57"/>
      <c r="C2731" s="58"/>
      <c r="D2731" s="59"/>
      <c r="E2731" s="57"/>
      <c r="F2731" s="57"/>
      <c r="G2731" s="60"/>
      <c r="H2731" s="57"/>
      <c r="I2731" s="61"/>
      <c r="J2731" s="62"/>
      <c r="K2731" s="63"/>
      <c r="L2731" s="63"/>
      <c r="M2731" s="63"/>
      <c r="N2731" s="64"/>
      <c r="O2731" s="62"/>
      <c r="P2731" s="64"/>
      <c r="Q2731" s="59"/>
      <c r="R2731" s="65"/>
      <c r="S2731" s="65"/>
      <c r="T2731" s="65"/>
      <c r="U2731" s="65"/>
      <c r="V2731" s="65"/>
      <c r="W2731" s="65"/>
      <c r="X2731" s="65"/>
    </row>
    <row r="2732" ht="12.0" customHeight="1">
      <c r="A2732" s="241"/>
      <c r="B2732" s="57"/>
      <c r="C2732" s="58"/>
      <c r="D2732" s="59"/>
      <c r="E2732" s="57"/>
      <c r="F2732" s="57"/>
      <c r="G2732" s="60"/>
      <c r="H2732" s="57"/>
      <c r="I2732" s="61"/>
      <c r="J2732" s="62"/>
      <c r="K2732" s="63"/>
      <c r="L2732" s="63"/>
      <c r="M2732" s="63"/>
      <c r="N2732" s="64"/>
      <c r="O2732" s="62"/>
      <c r="P2732" s="64"/>
      <c r="Q2732" s="59"/>
      <c r="R2732" s="65"/>
      <c r="S2732" s="65"/>
      <c r="T2732" s="65"/>
      <c r="U2732" s="65"/>
      <c r="V2732" s="65"/>
      <c r="W2732" s="65"/>
      <c r="X2732" s="65"/>
    </row>
    <row r="2733" ht="12.0" customHeight="1">
      <c r="A2733" s="241"/>
      <c r="B2733" s="57"/>
      <c r="C2733" s="58"/>
      <c r="D2733" s="59"/>
      <c r="E2733" s="57"/>
      <c r="F2733" s="57"/>
      <c r="G2733" s="60"/>
      <c r="H2733" s="57"/>
      <c r="I2733" s="61"/>
      <c r="J2733" s="62"/>
      <c r="K2733" s="63"/>
      <c r="L2733" s="63"/>
      <c r="M2733" s="63"/>
      <c r="N2733" s="64"/>
      <c r="O2733" s="62"/>
      <c r="P2733" s="64"/>
      <c r="Q2733" s="59"/>
      <c r="R2733" s="65"/>
      <c r="S2733" s="65"/>
      <c r="T2733" s="65"/>
      <c r="U2733" s="65"/>
      <c r="V2733" s="65"/>
      <c r="W2733" s="65"/>
      <c r="X2733" s="65"/>
    </row>
    <row r="2734" ht="12.0" customHeight="1">
      <c r="A2734" s="241"/>
      <c r="B2734" s="57"/>
      <c r="C2734" s="58"/>
      <c r="D2734" s="59"/>
      <c r="E2734" s="57"/>
      <c r="F2734" s="57"/>
      <c r="G2734" s="60"/>
      <c r="H2734" s="57"/>
      <c r="I2734" s="61"/>
      <c r="J2734" s="62"/>
      <c r="K2734" s="63"/>
      <c r="L2734" s="63"/>
      <c r="M2734" s="63"/>
      <c r="N2734" s="64"/>
      <c r="O2734" s="62"/>
      <c r="P2734" s="64"/>
      <c r="Q2734" s="59"/>
      <c r="R2734" s="65"/>
      <c r="S2734" s="65"/>
      <c r="T2734" s="65"/>
      <c r="U2734" s="65"/>
      <c r="V2734" s="65"/>
      <c r="W2734" s="65"/>
      <c r="X2734" s="65"/>
    </row>
    <row r="2735" ht="12.0" customHeight="1">
      <c r="A2735" s="241"/>
      <c r="B2735" s="57"/>
      <c r="C2735" s="58"/>
      <c r="D2735" s="59"/>
      <c r="E2735" s="57"/>
      <c r="F2735" s="57"/>
      <c r="G2735" s="60"/>
      <c r="H2735" s="57"/>
      <c r="I2735" s="61"/>
      <c r="J2735" s="62"/>
      <c r="K2735" s="63"/>
      <c r="L2735" s="63"/>
      <c r="M2735" s="63"/>
      <c r="N2735" s="64"/>
      <c r="O2735" s="62"/>
      <c r="P2735" s="64"/>
      <c r="Q2735" s="59"/>
      <c r="R2735" s="65"/>
      <c r="S2735" s="65"/>
      <c r="T2735" s="65"/>
      <c r="U2735" s="65"/>
      <c r="V2735" s="65"/>
      <c r="W2735" s="65"/>
      <c r="X2735" s="65"/>
    </row>
    <row r="2736" ht="12.0" customHeight="1">
      <c r="A2736" s="241"/>
      <c r="B2736" s="57"/>
      <c r="C2736" s="58"/>
      <c r="D2736" s="59"/>
      <c r="E2736" s="57"/>
      <c r="F2736" s="57"/>
      <c r="G2736" s="60"/>
      <c r="H2736" s="57"/>
      <c r="I2736" s="61"/>
      <c r="J2736" s="62"/>
      <c r="K2736" s="63"/>
      <c r="L2736" s="63"/>
      <c r="M2736" s="63"/>
      <c r="N2736" s="64"/>
      <c r="O2736" s="62"/>
      <c r="P2736" s="64"/>
      <c r="Q2736" s="59"/>
      <c r="R2736" s="65"/>
      <c r="S2736" s="65"/>
      <c r="T2736" s="65"/>
      <c r="U2736" s="65"/>
      <c r="V2736" s="65"/>
      <c r="W2736" s="65"/>
      <c r="X2736" s="65"/>
    </row>
    <row r="2737" ht="12.0" customHeight="1">
      <c r="A2737" s="241"/>
      <c r="B2737" s="57"/>
      <c r="C2737" s="58"/>
      <c r="D2737" s="59"/>
      <c r="E2737" s="57"/>
      <c r="F2737" s="57"/>
      <c r="G2737" s="60"/>
      <c r="H2737" s="57"/>
      <c r="I2737" s="61"/>
      <c r="J2737" s="62"/>
      <c r="K2737" s="63"/>
      <c r="L2737" s="63"/>
      <c r="M2737" s="63"/>
      <c r="N2737" s="64"/>
      <c r="O2737" s="62"/>
      <c r="P2737" s="64"/>
      <c r="Q2737" s="59"/>
      <c r="R2737" s="65"/>
      <c r="S2737" s="65"/>
      <c r="T2737" s="65"/>
      <c r="U2737" s="65"/>
      <c r="V2737" s="65"/>
      <c r="W2737" s="65"/>
      <c r="X2737" s="65"/>
    </row>
    <row r="2738" ht="12.0" customHeight="1">
      <c r="A2738" s="241"/>
      <c r="B2738" s="57"/>
      <c r="C2738" s="58"/>
      <c r="D2738" s="59"/>
      <c r="E2738" s="57"/>
      <c r="F2738" s="57"/>
      <c r="G2738" s="60"/>
      <c r="H2738" s="57"/>
      <c r="I2738" s="61"/>
      <c r="J2738" s="62"/>
      <c r="K2738" s="63"/>
      <c r="L2738" s="63"/>
      <c r="M2738" s="63"/>
      <c r="N2738" s="64"/>
      <c r="O2738" s="62"/>
      <c r="P2738" s="64"/>
      <c r="Q2738" s="59"/>
      <c r="R2738" s="65"/>
      <c r="S2738" s="65"/>
      <c r="T2738" s="65"/>
      <c r="U2738" s="65"/>
      <c r="V2738" s="65"/>
      <c r="W2738" s="65"/>
      <c r="X2738" s="65"/>
    </row>
    <row r="2739" ht="12.0" customHeight="1">
      <c r="A2739" s="241"/>
      <c r="B2739" s="57"/>
      <c r="C2739" s="58"/>
      <c r="D2739" s="59"/>
      <c r="E2739" s="57"/>
      <c r="F2739" s="57"/>
      <c r="G2739" s="60"/>
      <c r="H2739" s="57"/>
      <c r="I2739" s="61"/>
      <c r="J2739" s="62"/>
      <c r="K2739" s="63"/>
      <c r="L2739" s="63"/>
      <c r="M2739" s="63"/>
      <c r="N2739" s="64"/>
      <c r="O2739" s="62"/>
      <c r="P2739" s="64"/>
      <c r="Q2739" s="59"/>
      <c r="R2739" s="65"/>
      <c r="S2739" s="65"/>
      <c r="T2739" s="65"/>
      <c r="U2739" s="65"/>
      <c r="V2739" s="65"/>
      <c r="W2739" s="65"/>
      <c r="X2739" s="65"/>
    </row>
    <row r="2740" ht="12.0" customHeight="1">
      <c r="A2740" s="241"/>
      <c r="B2740" s="57"/>
      <c r="C2740" s="58"/>
      <c r="D2740" s="59"/>
      <c r="E2740" s="57"/>
      <c r="F2740" s="57"/>
      <c r="G2740" s="60"/>
      <c r="H2740" s="57"/>
      <c r="I2740" s="61"/>
      <c r="J2740" s="62"/>
      <c r="K2740" s="63"/>
      <c r="L2740" s="63"/>
      <c r="M2740" s="63"/>
      <c r="N2740" s="64"/>
      <c r="O2740" s="62"/>
      <c r="P2740" s="64"/>
      <c r="Q2740" s="59"/>
      <c r="R2740" s="65"/>
      <c r="S2740" s="65"/>
      <c r="T2740" s="65"/>
      <c r="U2740" s="65"/>
      <c r="V2740" s="65"/>
      <c r="W2740" s="65"/>
      <c r="X2740" s="65"/>
    </row>
    <row r="2741" ht="12.0" customHeight="1">
      <c r="A2741" s="241"/>
      <c r="B2741" s="57"/>
      <c r="C2741" s="58"/>
      <c r="D2741" s="59"/>
      <c r="E2741" s="57"/>
      <c r="F2741" s="57"/>
      <c r="G2741" s="60"/>
      <c r="H2741" s="57"/>
      <c r="I2741" s="61"/>
      <c r="J2741" s="62"/>
      <c r="K2741" s="63"/>
      <c r="L2741" s="63"/>
      <c r="M2741" s="63"/>
      <c r="N2741" s="64"/>
      <c r="O2741" s="62"/>
      <c r="P2741" s="64"/>
      <c r="Q2741" s="59"/>
      <c r="R2741" s="65"/>
      <c r="S2741" s="65"/>
      <c r="T2741" s="65"/>
      <c r="U2741" s="65"/>
      <c r="V2741" s="65"/>
      <c r="W2741" s="65"/>
      <c r="X2741" s="65"/>
    </row>
    <row r="2742" ht="12.0" customHeight="1">
      <c r="A2742" s="241"/>
      <c r="B2742" s="57"/>
      <c r="C2742" s="58"/>
      <c r="D2742" s="59"/>
      <c r="E2742" s="57"/>
      <c r="F2742" s="57"/>
      <c r="G2742" s="60"/>
      <c r="H2742" s="57"/>
      <c r="I2742" s="61"/>
      <c r="J2742" s="62"/>
      <c r="K2742" s="63"/>
      <c r="L2742" s="63"/>
      <c r="M2742" s="63"/>
      <c r="N2742" s="64"/>
      <c r="O2742" s="62"/>
      <c r="P2742" s="64"/>
      <c r="Q2742" s="59"/>
      <c r="R2742" s="65"/>
      <c r="S2742" s="65"/>
      <c r="T2742" s="65"/>
      <c r="U2742" s="65"/>
      <c r="V2742" s="65"/>
      <c r="W2742" s="65"/>
      <c r="X2742" s="65"/>
    </row>
    <row r="2743" ht="12.0" customHeight="1">
      <c r="A2743" s="241"/>
      <c r="B2743" s="57"/>
      <c r="C2743" s="58"/>
      <c r="D2743" s="59"/>
      <c r="E2743" s="57"/>
      <c r="F2743" s="57"/>
      <c r="G2743" s="60"/>
      <c r="H2743" s="57"/>
      <c r="I2743" s="61"/>
      <c r="J2743" s="62"/>
      <c r="K2743" s="63"/>
      <c r="L2743" s="63"/>
      <c r="M2743" s="63"/>
      <c r="N2743" s="64"/>
      <c r="O2743" s="62"/>
      <c r="P2743" s="64"/>
      <c r="Q2743" s="59"/>
      <c r="R2743" s="65"/>
      <c r="S2743" s="65"/>
      <c r="T2743" s="65"/>
      <c r="U2743" s="65"/>
      <c r="V2743" s="65"/>
      <c r="W2743" s="65"/>
      <c r="X2743" s="65"/>
    </row>
    <row r="2744" ht="12.0" customHeight="1">
      <c r="A2744" s="241"/>
      <c r="B2744" s="57"/>
      <c r="C2744" s="58"/>
      <c r="D2744" s="59"/>
      <c r="E2744" s="57"/>
      <c r="F2744" s="57"/>
      <c r="G2744" s="60"/>
      <c r="H2744" s="57"/>
      <c r="I2744" s="61"/>
      <c r="J2744" s="62"/>
      <c r="K2744" s="63"/>
      <c r="L2744" s="63"/>
      <c r="M2744" s="63"/>
      <c r="N2744" s="64"/>
      <c r="O2744" s="62"/>
      <c r="P2744" s="64"/>
      <c r="Q2744" s="59"/>
      <c r="R2744" s="65"/>
      <c r="S2744" s="65"/>
      <c r="T2744" s="65"/>
      <c r="U2744" s="65"/>
      <c r="V2744" s="65"/>
      <c r="W2744" s="65"/>
      <c r="X2744" s="65"/>
    </row>
    <row r="2745" ht="12.0" customHeight="1">
      <c r="A2745" s="241"/>
      <c r="B2745" s="57"/>
      <c r="C2745" s="58"/>
      <c r="D2745" s="59"/>
      <c r="E2745" s="57"/>
      <c r="F2745" s="57"/>
      <c r="G2745" s="60"/>
      <c r="H2745" s="57"/>
      <c r="I2745" s="61"/>
      <c r="J2745" s="62"/>
      <c r="K2745" s="63"/>
      <c r="L2745" s="63"/>
      <c r="M2745" s="63"/>
      <c r="N2745" s="64"/>
      <c r="O2745" s="62"/>
      <c r="P2745" s="64"/>
      <c r="Q2745" s="59"/>
      <c r="R2745" s="65"/>
      <c r="S2745" s="65"/>
      <c r="T2745" s="65"/>
      <c r="U2745" s="65"/>
      <c r="V2745" s="65"/>
      <c r="W2745" s="65"/>
      <c r="X2745" s="65"/>
    </row>
    <row r="2746" ht="12.0" customHeight="1">
      <c r="A2746" s="241"/>
      <c r="B2746" s="57"/>
      <c r="C2746" s="58"/>
      <c r="D2746" s="59"/>
      <c r="E2746" s="57"/>
      <c r="F2746" s="57"/>
      <c r="G2746" s="60"/>
      <c r="H2746" s="57"/>
      <c r="I2746" s="61"/>
      <c r="J2746" s="62"/>
      <c r="K2746" s="63"/>
      <c r="L2746" s="63"/>
      <c r="M2746" s="63"/>
      <c r="N2746" s="64"/>
      <c r="O2746" s="62"/>
      <c r="P2746" s="64"/>
      <c r="Q2746" s="59"/>
      <c r="R2746" s="65"/>
      <c r="S2746" s="65"/>
      <c r="T2746" s="65"/>
      <c r="U2746" s="65"/>
      <c r="V2746" s="65"/>
      <c r="W2746" s="65"/>
      <c r="X2746" s="65"/>
    </row>
    <row r="2747" ht="12.0" customHeight="1">
      <c r="A2747" s="241"/>
      <c r="B2747" s="57"/>
      <c r="C2747" s="58"/>
      <c r="D2747" s="59"/>
      <c r="E2747" s="57"/>
      <c r="F2747" s="57"/>
      <c r="G2747" s="60"/>
      <c r="H2747" s="57"/>
      <c r="I2747" s="61"/>
      <c r="J2747" s="62"/>
      <c r="K2747" s="63"/>
      <c r="L2747" s="63"/>
      <c r="M2747" s="63"/>
      <c r="N2747" s="64"/>
      <c r="O2747" s="62"/>
      <c r="P2747" s="64"/>
      <c r="Q2747" s="59"/>
      <c r="R2747" s="65"/>
      <c r="S2747" s="65"/>
      <c r="T2747" s="65"/>
      <c r="U2747" s="65"/>
      <c r="V2747" s="65"/>
      <c r="W2747" s="65"/>
      <c r="X2747" s="65"/>
    </row>
    <row r="2748" ht="12.0" customHeight="1">
      <c r="A2748" s="241"/>
      <c r="B2748" s="57"/>
      <c r="C2748" s="58"/>
      <c r="D2748" s="59"/>
      <c r="E2748" s="57"/>
      <c r="F2748" s="57"/>
      <c r="G2748" s="60"/>
      <c r="H2748" s="57"/>
      <c r="I2748" s="61"/>
      <c r="J2748" s="62"/>
      <c r="K2748" s="63"/>
      <c r="L2748" s="63"/>
      <c r="M2748" s="63"/>
      <c r="N2748" s="64"/>
      <c r="O2748" s="62"/>
      <c r="P2748" s="64"/>
      <c r="Q2748" s="59"/>
      <c r="R2748" s="65"/>
      <c r="S2748" s="65"/>
      <c r="T2748" s="65"/>
      <c r="U2748" s="65"/>
      <c r="V2748" s="65"/>
      <c r="W2748" s="65"/>
      <c r="X2748" s="65"/>
    </row>
    <row r="2749" ht="12.0" customHeight="1">
      <c r="A2749" s="241"/>
      <c r="B2749" s="57"/>
      <c r="C2749" s="58"/>
      <c r="D2749" s="59"/>
      <c r="E2749" s="57"/>
      <c r="F2749" s="57"/>
      <c r="G2749" s="60"/>
      <c r="H2749" s="57"/>
      <c r="I2749" s="61"/>
      <c r="J2749" s="62"/>
      <c r="K2749" s="63"/>
      <c r="L2749" s="63"/>
      <c r="M2749" s="63"/>
      <c r="N2749" s="64"/>
      <c r="O2749" s="62"/>
      <c r="P2749" s="64"/>
      <c r="Q2749" s="59"/>
      <c r="R2749" s="65"/>
      <c r="S2749" s="65"/>
      <c r="T2749" s="65"/>
      <c r="U2749" s="65"/>
      <c r="V2749" s="65"/>
      <c r="W2749" s="65"/>
      <c r="X2749" s="65"/>
    </row>
    <row r="2750" ht="12.0" customHeight="1">
      <c r="A2750" s="241"/>
      <c r="B2750" s="57"/>
      <c r="C2750" s="58"/>
      <c r="D2750" s="59"/>
      <c r="E2750" s="57"/>
      <c r="F2750" s="57"/>
      <c r="G2750" s="60"/>
      <c r="H2750" s="57"/>
      <c r="I2750" s="61"/>
      <c r="J2750" s="62"/>
      <c r="K2750" s="63"/>
      <c r="L2750" s="63"/>
      <c r="M2750" s="63"/>
      <c r="N2750" s="64"/>
      <c r="O2750" s="62"/>
      <c r="P2750" s="64"/>
      <c r="Q2750" s="59"/>
      <c r="R2750" s="65"/>
      <c r="S2750" s="65"/>
      <c r="T2750" s="65"/>
      <c r="U2750" s="65"/>
      <c r="V2750" s="65"/>
      <c r="W2750" s="65"/>
      <c r="X2750" s="65"/>
    </row>
    <row r="2751" ht="12.0" customHeight="1">
      <c r="A2751" s="241"/>
      <c r="B2751" s="57"/>
      <c r="C2751" s="58"/>
      <c r="D2751" s="59"/>
      <c r="E2751" s="57"/>
      <c r="F2751" s="57"/>
      <c r="G2751" s="60"/>
      <c r="H2751" s="57"/>
      <c r="I2751" s="61"/>
      <c r="J2751" s="62"/>
      <c r="K2751" s="63"/>
      <c r="L2751" s="63"/>
      <c r="M2751" s="63"/>
      <c r="N2751" s="64"/>
      <c r="O2751" s="62"/>
      <c r="P2751" s="64"/>
      <c r="Q2751" s="59"/>
      <c r="R2751" s="65"/>
      <c r="S2751" s="65"/>
      <c r="T2751" s="65"/>
      <c r="U2751" s="65"/>
      <c r="V2751" s="65"/>
      <c r="W2751" s="65"/>
      <c r="X2751" s="65"/>
    </row>
    <row r="2752" ht="12.0" customHeight="1">
      <c r="A2752" s="241"/>
      <c r="B2752" s="57"/>
      <c r="C2752" s="58"/>
      <c r="D2752" s="59"/>
      <c r="E2752" s="57"/>
      <c r="F2752" s="57"/>
      <c r="G2752" s="60"/>
      <c r="H2752" s="57"/>
      <c r="I2752" s="61"/>
      <c r="J2752" s="62"/>
      <c r="K2752" s="63"/>
      <c r="L2752" s="63"/>
      <c r="M2752" s="63"/>
      <c r="N2752" s="64"/>
      <c r="O2752" s="62"/>
      <c r="P2752" s="64"/>
      <c r="Q2752" s="59"/>
      <c r="R2752" s="65"/>
      <c r="S2752" s="65"/>
      <c r="T2752" s="65"/>
      <c r="U2752" s="65"/>
      <c r="V2752" s="65"/>
      <c r="W2752" s="65"/>
      <c r="X2752" s="65"/>
    </row>
    <row r="2753" ht="12.0" customHeight="1">
      <c r="A2753" s="241"/>
      <c r="B2753" s="57"/>
      <c r="C2753" s="58"/>
      <c r="D2753" s="59"/>
      <c r="E2753" s="57"/>
      <c r="F2753" s="57"/>
      <c r="G2753" s="60"/>
      <c r="H2753" s="57"/>
      <c r="I2753" s="61"/>
      <c r="J2753" s="62"/>
      <c r="K2753" s="63"/>
      <c r="L2753" s="63"/>
      <c r="M2753" s="63"/>
      <c r="N2753" s="64"/>
      <c r="O2753" s="62"/>
      <c r="P2753" s="64"/>
      <c r="Q2753" s="59"/>
      <c r="R2753" s="65"/>
      <c r="S2753" s="65"/>
      <c r="T2753" s="65"/>
      <c r="U2753" s="65"/>
      <c r="V2753" s="65"/>
      <c r="W2753" s="65"/>
      <c r="X2753" s="65"/>
    </row>
    <row r="2754" ht="12.0" customHeight="1">
      <c r="A2754" s="241"/>
      <c r="B2754" s="57"/>
      <c r="C2754" s="58"/>
      <c r="D2754" s="59"/>
      <c r="E2754" s="57"/>
      <c r="F2754" s="57"/>
      <c r="G2754" s="60"/>
      <c r="H2754" s="57"/>
      <c r="I2754" s="61"/>
      <c r="J2754" s="62"/>
      <c r="K2754" s="63"/>
      <c r="L2754" s="63"/>
      <c r="M2754" s="63"/>
      <c r="N2754" s="64"/>
      <c r="O2754" s="62"/>
      <c r="P2754" s="64"/>
      <c r="Q2754" s="59"/>
      <c r="R2754" s="65"/>
      <c r="S2754" s="65"/>
      <c r="T2754" s="65"/>
      <c r="U2754" s="65"/>
      <c r="V2754" s="65"/>
      <c r="W2754" s="65"/>
      <c r="X2754" s="65"/>
    </row>
    <row r="2755" ht="12.0" customHeight="1">
      <c r="A2755" s="241"/>
      <c r="B2755" s="57"/>
      <c r="C2755" s="58"/>
      <c r="D2755" s="59"/>
      <c r="E2755" s="57"/>
      <c r="F2755" s="57"/>
      <c r="G2755" s="60"/>
      <c r="H2755" s="57"/>
      <c r="I2755" s="61"/>
      <c r="J2755" s="62"/>
      <c r="K2755" s="63"/>
      <c r="L2755" s="63"/>
      <c r="M2755" s="63"/>
      <c r="N2755" s="64"/>
      <c r="O2755" s="62"/>
      <c r="P2755" s="64"/>
      <c r="Q2755" s="59"/>
      <c r="R2755" s="65"/>
      <c r="S2755" s="65"/>
      <c r="T2755" s="65"/>
      <c r="U2755" s="65"/>
      <c r="V2755" s="65"/>
      <c r="W2755" s="65"/>
      <c r="X2755" s="65"/>
    </row>
    <row r="2756" ht="12.0" customHeight="1">
      <c r="A2756" s="241"/>
      <c r="B2756" s="57"/>
      <c r="C2756" s="58"/>
      <c r="D2756" s="59"/>
      <c r="E2756" s="57"/>
      <c r="F2756" s="57"/>
      <c r="G2756" s="60"/>
      <c r="H2756" s="57"/>
      <c r="I2756" s="61"/>
      <c r="J2756" s="62"/>
      <c r="K2756" s="63"/>
      <c r="L2756" s="63"/>
      <c r="M2756" s="63"/>
      <c r="N2756" s="64"/>
      <c r="O2756" s="62"/>
      <c r="P2756" s="64"/>
      <c r="Q2756" s="59"/>
      <c r="R2756" s="65"/>
      <c r="S2756" s="65"/>
      <c r="T2756" s="65"/>
      <c r="U2756" s="65"/>
      <c r="V2756" s="65"/>
      <c r="W2756" s="65"/>
      <c r="X2756" s="65"/>
    </row>
    <row r="2757" ht="12.0" customHeight="1">
      <c r="A2757" s="241"/>
      <c r="B2757" s="57"/>
      <c r="C2757" s="58"/>
      <c r="D2757" s="59"/>
      <c r="E2757" s="57"/>
      <c r="F2757" s="57"/>
      <c r="G2757" s="60"/>
      <c r="H2757" s="57"/>
      <c r="I2757" s="61"/>
      <c r="J2757" s="62"/>
      <c r="K2757" s="63"/>
      <c r="L2757" s="63"/>
      <c r="M2757" s="63"/>
      <c r="N2757" s="64"/>
      <c r="O2757" s="62"/>
      <c r="P2757" s="64"/>
      <c r="Q2757" s="59"/>
      <c r="R2757" s="65"/>
      <c r="S2757" s="65"/>
      <c r="T2757" s="65"/>
      <c r="U2757" s="65"/>
      <c r="V2757" s="65"/>
      <c r="W2757" s="65"/>
      <c r="X2757" s="65"/>
    </row>
    <row r="2758" ht="12.0" customHeight="1">
      <c r="A2758" s="241"/>
      <c r="B2758" s="57"/>
      <c r="C2758" s="58"/>
      <c r="D2758" s="59"/>
      <c r="E2758" s="57"/>
      <c r="F2758" s="57"/>
      <c r="G2758" s="60"/>
      <c r="H2758" s="57"/>
      <c r="I2758" s="61"/>
      <c r="J2758" s="62"/>
      <c r="K2758" s="63"/>
      <c r="L2758" s="63"/>
      <c r="M2758" s="63"/>
      <c r="N2758" s="64"/>
      <c r="O2758" s="62"/>
      <c r="P2758" s="64"/>
      <c r="Q2758" s="59"/>
      <c r="R2758" s="65"/>
      <c r="S2758" s="65"/>
      <c r="T2758" s="65"/>
      <c r="U2758" s="65"/>
      <c r="V2758" s="65"/>
      <c r="W2758" s="65"/>
      <c r="X2758" s="65"/>
    </row>
    <row r="2759" ht="12.0" customHeight="1">
      <c r="A2759" s="241"/>
      <c r="B2759" s="57"/>
      <c r="C2759" s="58"/>
      <c r="D2759" s="59"/>
      <c r="E2759" s="57"/>
      <c r="F2759" s="57"/>
      <c r="G2759" s="60"/>
      <c r="H2759" s="57"/>
      <c r="I2759" s="61"/>
      <c r="J2759" s="62"/>
      <c r="K2759" s="63"/>
      <c r="L2759" s="63"/>
      <c r="M2759" s="63"/>
      <c r="N2759" s="64"/>
      <c r="O2759" s="62"/>
      <c r="P2759" s="64"/>
      <c r="Q2759" s="59"/>
      <c r="R2759" s="65"/>
      <c r="S2759" s="65"/>
      <c r="T2759" s="65"/>
      <c r="U2759" s="65"/>
      <c r="V2759" s="65"/>
      <c r="W2759" s="65"/>
      <c r="X2759" s="65"/>
    </row>
    <row r="2760" ht="12.0" customHeight="1">
      <c r="A2760" s="241"/>
      <c r="B2760" s="57"/>
      <c r="C2760" s="58"/>
      <c r="D2760" s="59"/>
      <c r="E2760" s="57"/>
      <c r="F2760" s="57"/>
      <c r="G2760" s="60"/>
      <c r="H2760" s="57"/>
      <c r="I2760" s="61"/>
      <c r="J2760" s="62"/>
      <c r="K2760" s="63"/>
      <c r="L2760" s="63"/>
      <c r="M2760" s="63"/>
      <c r="N2760" s="64"/>
      <c r="O2760" s="62"/>
      <c r="P2760" s="64"/>
      <c r="Q2760" s="59"/>
      <c r="R2760" s="65"/>
      <c r="S2760" s="65"/>
      <c r="T2760" s="65"/>
      <c r="U2760" s="65"/>
      <c r="V2760" s="65"/>
      <c r="W2760" s="65"/>
      <c r="X2760" s="65"/>
    </row>
    <row r="2761" ht="12.0" customHeight="1">
      <c r="A2761" s="241"/>
      <c r="B2761" s="57"/>
      <c r="C2761" s="58"/>
      <c r="D2761" s="59"/>
      <c r="E2761" s="57"/>
      <c r="F2761" s="57"/>
      <c r="G2761" s="60"/>
      <c r="H2761" s="57"/>
      <c r="I2761" s="61"/>
      <c r="J2761" s="62"/>
      <c r="K2761" s="63"/>
      <c r="L2761" s="63"/>
      <c r="M2761" s="63"/>
      <c r="N2761" s="64"/>
      <c r="O2761" s="62"/>
      <c r="P2761" s="64"/>
      <c r="Q2761" s="59"/>
      <c r="R2761" s="65"/>
      <c r="S2761" s="65"/>
      <c r="T2761" s="65"/>
      <c r="U2761" s="65"/>
      <c r="V2761" s="65"/>
      <c r="W2761" s="65"/>
      <c r="X2761" s="65"/>
    </row>
    <row r="2762" ht="12.0" customHeight="1">
      <c r="A2762" s="241"/>
      <c r="B2762" s="57"/>
      <c r="C2762" s="58"/>
      <c r="D2762" s="59"/>
      <c r="E2762" s="57"/>
      <c r="F2762" s="57"/>
      <c r="G2762" s="60"/>
      <c r="H2762" s="57"/>
      <c r="I2762" s="61"/>
      <c r="J2762" s="62"/>
      <c r="K2762" s="63"/>
      <c r="L2762" s="63"/>
      <c r="M2762" s="63"/>
      <c r="N2762" s="64"/>
      <c r="O2762" s="62"/>
      <c r="P2762" s="64"/>
      <c r="Q2762" s="59"/>
      <c r="R2762" s="65"/>
      <c r="S2762" s="65"/>
      <c r="T2762" s="65"/>
      <c r="U2762" s="65"/>
      <c r="V2762" s="65"/>
      <c r="W2762" s="65"/>
      <c r="X2762" s="65"/>
    </row>
    <row r="2763" ht="12.0" customHeight="1">
      <c r="A2763" s="241"/>
      <c r="B2763" s="57"/>
      <c r="C2763" s="58"/>
      <c r="D2763" s="59"/>
      <c r="E2763" s="57"/>
      <c r="F2763" s="57"/>
      <c r="G2763" s="60"/>
      <c r="H2763" s="57"/>
      <c r="I2763" s="61"/>
      <c r="J2763" s="62"/>
      <c r="K2763" s="63"/>
      <c r="L2763" s="63"/>
      <c r="M2763" s="63"/>
      <c r="N2763" s="64"/>
      <c r="O2763" s="62"/>
      <c r="P2763" s="64"/>
      <c r="Q2763" s="59"/>
      <c r="R2763" s="65"/>
      <c r="S2763" s="65"/>
      <c r="T2763" s="65"/>
      <c r="U2763" s="65"/>
      <c r="V2763" s="65"/>
      <c r="W2763" s="65"/>
      <c r="X2763" s="65"/>
    </row>
    <row r="2764" ht="12.0" customHeight="1">
      <c r="A2764" s="241"/>
      <c r="B2764" s="57"/>
      <c r="C2764" s="58"/>
      <c r="D2764" s="59"/>
      <c r="E2764" s="57"/>
      <c r="F2764" s="57"/>
      <c r="G2764" s="60"/>
      <c r="H2764" s="57"/>
      <c r="I2764" s="61"/>
      <c r="J2764" s="62"/>
      <c r="K2764" s="63"/>
      <c r="L2764" s="63"/>
      <c r="M2764" s="63"/>
      <c r="N2764" s="64"/>
      <c r="O2764" s="62"/>
      <c r="P2764" s="64"/>
      <c r="Q2764" s="59"/>
      <c r="R2764" s="65"/>
      <c r="S2764" s="65"/>
      <c r="T2764" s="65"/>
      <c r="U2764" s="65"/>
      <c r="V2764" s="65"/>
      <c r="W2764" s="65"/>
      <c r="X2764" s="65"/>
    </row>
    <row r="2765" ht="12.0" customHeight="1">
      <c r="A2765" s="241"/>
      <c r="B2765" s="57"/>
      <c r="C2765" s="58"/>
      <c r="D2765" s="59"/>
      <c r="E2765" s="57"/>
      <c r="F2765" s="57"/>
      <c r="G2765" s="60"/>
      <c r="H2765" s="57"/>
      <c r="I2765" s="61"/>
      <c r="J2765" s="62"/>
      <c r="K2765" s="63"/>
      <c r="L2765" s="63"/>
      <c r="M2765" s="63"/>
      <c r="N2765" s="64"/>
      <c r="O2765" s="62"/>
      <c r="P2765" s="64"/>
      <c r="Q2765" s="59"/>
      <c r="R2765" s="65"/>
      <c r="S2765" s="65"/>
      <c r="T2765" s="65"/>
      <c r="U2765" s="65"/>
      <c r="V2765" s="65"/>
      <c r="W2765" s="65"/>
      <c r="X2765" s="65"/>
    </row>
    <row r="2766" ht="12.0" customHeight="1">
      <c r="A2766" s="241"/>
      <c r="B2766" s="57"/>
      <c r="C2766" s="58"/>
      <c r="D2766" s="59"/>
      <c r="E2766" s="57"/>
      <c r="F2766" s="57"/>
      <c r="G2766" s="60"/>
      <c r="H2766" s="57"/>
      <c r="I2766" s="61"/>
      <c r="J2766" s="62"/>
      <c r="K2766" s="63"/>
      <c r="L2766" s="63"/>
      <c r="M2766" s="63"/>
      <c r="N2766" s="64"/>
      <c r="O2766" s="62"/>
      <c r="P2766" s="64"/>
      <c r="Q2766" s="59"/>
      <c r="R2766" s="65"/>
      <c r="S2766" s="65"/>
      <c r="T2766" s="65"/>
      <c r="U2766" s="65"/>
      <c r="V2766" s="65"/>
      <c r="W2766" s="65"/>
      <c r="X2766" s="65"/>
    </row>
    <row r="2767" ht="12.0" customHeight="1">
      <c r="A2767" s="241"/>
      <c r="B2767" s="57"/>
      <c r="C2767" s="58"/>
      <c r="D2767" s="59"/>
      <c r="E2767" s="57"/>
      <c r="F2767" s="57"/>
      <c r="G2767" s="60"/>
      <c r="H2767" s="57"/>
      <c r="I2767" s="61"/>
      <c r="J2767" s="62"/>
      <c r="K2767" s="63"/>
      <c r="L2767" s="63"/>
      <c r="M2767" s="63"/>
      <c r="N2767" s="64"/>
      <c r="O2767" s="62"/>
      <c r="P2767" s="64"/>
      <c r="Q2767" s="59"/>
      <c r="R2767" s="65"/>
      <c r="S2767" s="65"/>
      <c r="T2767" s="65"/>
      <c r="U2767" s="65"/>
      <c r="V2767" s="65"/>
      <c r="W2767" s="65"/>
      <c r="X2767" s="65"/>
    </row>
    <row r="2768" ht="12.0" customHeight="1">
      <c r="A2768" s="241"/>
      <c r="B2768" s="57"/>
      <c r="C2768" s="58"/>
      <c r="D2768" s="59"/>
      <c r="E2768" s="57"/>
      <c r="F2768" s="57"/>
      <c r="G2768" s="60"/>
      <c r="H2768" s="57"/>
      <c r="I2768" s="61"/>
      <c r="J2768" s="62"/>
      <c r="K2768" s="63"/>
      <c r="L2768" s="63"/>
      <c r="M2768" s="63"/>
      <c r="N2768" s="64"/>
      <c r="O2768" s="62"/>
      <c r="P2768" s="64"/>
      <c r="Q2768" s="59"/>
      <c r="R2768" s="65"/>
      <c r="S2768" s="65"/>
      <c r="T2768" s="65"/>
      <c r="U2768" s="65"/>
      <c r="V2768" s="65"/>
      <c r="W2768" s="65"/>
      <c r="X2768" s="65"/>
    </row>
    <row r="2769" ht="12.0" customHeight="1">
      <c r="A2769" s="241"/>
      <c r="B2769" s="57"/>
      <c r="C2769" s="58"/>
      <c r="D2769" s="59"/>
      <c r="E2769" s="57"/>
      <c r="F2769" s="57"/>
      <c r="G2769" s="60"/>
      <c r="H2769" s="57"/>
      <c r="I2769" s="61"/>
      <c r="J2769" s="62"/>
      <c r="K2769" s="63"/>
      <c r="L2769" s="63"/>
      <c r="M2769" s="63"/>
      <c r="N2769" s="64"/>
      <c r="O2769" s="62"/>
      <c r="P2769" s="64"/>
      <c r="Q2769" s="59"/>
      <c r="R2769" s="65"/>
      <c r="S2769" s="65"/>
      <c r="T2769" s="65"/>
      <c r="U2769" s="65"/>
      <c r="V2769" s="65"/>
      <c r="W2769" s="65"/>
      <c r="X2769" s="65"/>
    </row>
    <row r="2770" ht="12.0" customHeight="1">
      <c r="A2770" s="241"/>
      <c r="B2770" s="57"/>
      <c r="C2770" s="58"/>
      <c r="D2770" s="59"/>
      <c r="E2770" s="57"/>
      <c r="F2770" s="57"/>
      <c r="G2770" s="60"/>
      <c r="H2770" s="57"/>
      <c r="I2770" s="61"/>
      <c r="J2770" s="62"/>
      <c r="K2770" s="63"/>
      <c r="L2770" s="63"/>
      <c r="M2770" s="63"/>
      <c r="N2770" s="64"/>
      <c r="O2770" s="62"/>
      <c r="P2770" s="64"/>
      <c r="Q2770" s="59"/>
      <c r="R2770" s="65"/>
      <c r="S2770" s="65"/>
      <c r="T2770" s="65"/>
      <c r="U2770" s="65"/>
      <c r="V2770" s="65"/>
      <c r="W2770" s="65"/>
      <c r="X2770" s="65"/>
    </row>
    <row r="2771" ht="12.0" customHeight="1">
      <c r="A2771" s="241"/>
      <c r="B2771" s="57"/>
      <c r="C2771" s="58"/>
      <c r="D2771" s="59"/>
      <c r="E2771" s="57"/>
      <c r="F2771" s="57"/>
      <c r="G2771" s="60"/>
      <c r="H2771" s="57"/>
      <c r="I2771" s="61"/>
      <c r="J2771" s="62"/>
      <c r="K2771" s="63"/>
      <c r="L2771" s="63"/>
      <c r="M2771" s="63"/>
      <c r="N2771" s="64"/>
      <c r="O2771" s="62"/>
      <c r="P2771" s="64"/>
      <c r="Q2771" s="59"/>
      <c r="R2771" s="65"/>
      <c r="S2771" s="65"/>
      <c r="T2771" s="65"/>
      <c r="U2771" s="65"/>
      <c r="V2771" s="65"/>
      <c r="W2771" s="65"/>
      <c r="X2771" s="65"/>
    </row>
    <row r="2772" ht="12.0" customHeight="1">
      <c r="A2772" s="241"/>
      <c r="B2772" s="57"/>
      <c r="C2772" s="58"/>
      <c r="D2772" s="59"/>
      <c r="E2772" s="57"/>
      <c r="F2772" s="57"/>
      <c r="G2772" s="60"/>
      <c r="H2772" s="57"/>
      <c r="I2772" s="61"/>
      <c r="J2772" s="62"/>
      <c r="K2772" s="63"/>
      <c r="L2772" s="63"/>
      <c r="M2772" s="63"/>
      <c r="N2772" s="64"/>
      <c r="O2772" s="62"/>
      <c r="P2772" s="64"/>
      <c r="Q2772" s="59"/>
      <c r="R2772" s="65"/>
      <c r="S2772" s="65"/>
      <c r="T2772" s="65"/>
      <c r="U2772" s="65"/>
      <c r="V2772" s="65"/>
      <c r="W2772" s="65"/>
      <c r="X2772" s="65"/>
    </row>
    <row r="2773" ht="12.0" customHeight="1">
      <c r="A2773" s="241"/>
      <c r="B2773" s="57"/>
      <c r="C2773" s="58"/>
      <c r="D2773" s="59"/>
      <c r="E2773" s="57"/>
      <c r="F2773" s="57"/>
      <c r="G2773" s="60"/>
      <c r="H2773" s="57"/>
      <c r="I2773" s="61"/>
      <c r="J2773" s="62"/>
      <c r="K2773" s="63"/>
      <c r="L2773" s="63"/>
      <c r="M2773" s="63"/>
      <c r="N2773" s="64"/>
      <c r="O2773" s="62"/>
      <c r="P2773" s="64"/>
      <c r="Q2773" s="59"/>
      <c r="R2773" s="65"/>
      <c r="S2773" s="65"/>
      <c r="T2773" s="65"/>
      <c r="U2773" s="65"/>
      <c r="V2773" s="65"/>
      <c r="W2773" s="65"/>
      <c r="X2773" s="65"/>
    </row>
    <row r="2774" ht="12.0" customHeight="1">
      <c r="A2774" s="241"/>
      <c r="B2774" s="57"/>
      <c r="C2774" s="58"/>
      <c r="D2774" s="59"/>
      <c r="E2774" s="57"/>
      <c r="F2774" s="57"/>
      <c r="G2774" s="60"/>
      <c r="H2774" s="57"/>
      <c r="I2774" s="61"/>
      <c r="J2774" s="62"/>
      <c r="K2774" s="63"/>
      <c r="L2774" s="63"/>
      <c r="M2774" s="63"/>
      <c r="N2774" s="64"/>
      <c r="O2774" s="62"/>
      <c r="P2774" s="64"/>
      <c r="Q2774" s="59"/>
      <c r="R2774" s="65"/>
      <c r="S2774" s="65"/>
      <c r="T2774" s="65"/>
      <c r="U2774" s="65"/>
      <c r="V2774" s="65"/>
      <c r="W2774" s="65"/>
      <c r="X2774" s="65"/>
    </row>
    <row r="2775" ht="12.0" customHeight="1">
      <c r="A2775" s="241"/>
      <c r="B2775" s="57"/>
      <c r="C2775" s="58"/>
      <c r="D2775" s="59"/>
      <c r="E2775" s="57"/>
      <c r="F2775" s="57"/>
      <c r="G2775" s="60"/>
      <c r="H2775" s="57"/>
      <c r="I2775" s="61"/>
      <c r="J2775" s="62"/>
      <c r="K2775" s="63"/>
      <c r="L2775" s="63"/>
      <c r="M2775" s="63"/>
      <c r="N2775" s="64"/>
      <c r="O2775" s="62"/>
      <c r="P2775" s="64"/>
      <c r="Q2775" s="59"/>
      <c r="R2775" s="65"/>
      <c r="S2775" s="65"/>
      <c r="T2775" s="65"/>
      <c r="U2775" s="65"/>
      <c r="V2775" s="65"/>
      <c r="W2775" s="65"/>
      <c r="X2775" s="65"/>
    </row>
    <row r="2776" ht="12.0" customHeight="1">
      <c r="A2776" s="241"/>
      <c r="B2776" s="57"/>
      <c r="C2776" s="58"/>
      <c r="D2776" s="59"/>
      <c r="E2776" s="57"/>
      <c r="F2776" s="57"/>
      <c r="G2776" s="60"/>
      <c r="H2776" s="57"/>
      <c r="I2776" s="61"/>
      <c r="J2776" s="62"/>
      <c r="K2776" s="63"/>
      <c r="L2776" s="63"/>
      <c r="M2776" s="63"/>
      <c r="N2776" s="64"/>
      <c r="O2776" s="62"/>
      <c r="P2776" s="64"/>
      <c r="Q2776" s="59"/>
      <c r="R2776" s="65"/>
      <c r="S2776" s="65"/>
      <c r="T2776" s="65"/>
      <c r="U2776" s="65"/>
      <c r="V2776" s="65"/>
      <c r="W2776" s="65"/>
      <c r="X2776" s="65"/>
    </row>
    <row r="2777" ht="12.0" customHeight="1">
      <c r="A2777" s="241"/>
      <c r="B2777" s="57"/>
      <c r="C2777" s="58"/>
      <c r="D2777" s="59"/>
      <c r="E2777" s="57"/>
      <c r="F2777" s="57"/>
      <c r="G2777" s="60"/>
      <c r="H2777" s="57"/>
      <c r="I2777" s="61"/>
      <c r="J2777" s="62"/>
      <c r="K2777" s="63"/>
      <c r="L2777" s="63"/>
      <c r="M2777" s="63"/>
      <c r="N2777" s="64"/>
      <c r="O2777" s="62"/>
      <c r="P2777" s="64"/>
      <c r="Q2777" s="59"/>
      <c r="R2777" s="65"/>
      <c r="S2777" s="65"/>
      <c r="T2777" s="65"/>
      <c r="U2777" s="65"/>
      <c r="V2777" s="65"/>
      <c r="W2777" s="65"/>
      <c r="X2777" s="65"/>
    </row>
    <row r="2778" ht="12.0" customHeight="1">
      <c r="A2778" s="241"/>
      <c r="B2778" s="57"/>
      <c r="C2778" s="58"/>
      <c r="D2778" s="59"/>
      <c r="E2778" s="57"/>
      <c r="F2778" s="57"/>
      <c r="G2778" s="60"/>
      <c r="H2778" s="57"/>
      <c r="I2778" s="61"/>
      <c r="J2778" s="62"/>
      <c r="K2778" s="63"/>
      <c r="L2778" s="63"/>
      <c r="M2778" s="63"/>
      <c r="N2778" s="64"/>
      <c r="O2778" s="62"/>
      <c r="P2778" s="64"/>
      <c r="Q2778" s="59"/>
      <c r="R2778" s="65"/>
      <c r="S2778" s="65"/>
      <c r="T2778" s="65"/>
      <c r="U2778" s="65"/>
      <c r="V2778" s="65"/>
      <c r="W2778" s="65"/>
      <c r="X2778" s="65"/>
    </row>
    <row r="2779" ht="12.0" customHeight="1">
      <c r="A2779" s="241"/>
      <c r="B2779" s="57"/>
      <c r="C2779" s="58"/>
      <c r="D2779" s="59"/>
      <c r="E2779" s="57"/>
      <c r="F2779" s="57"/>
      <c r="G2779" s="60"/>
      <c r="H2779" s="57"/>
      <c r="I2779" s="61"/>
      <c r="J2779" s="62"/>
      <c r="K2779" s="63"/>
      <c r="L2779" s="63"/>
      <c r="M2779" s="63"/>
      <c r="N2779" s="64"/>
      <c r="O2779" s="62"/>
      <c r="P2779" s="64"/>
      <c r="Q2779" s="59"/>
      <c r="R2779" s="65"/>
      <c r="S2779" s="65"/>
      <c r="T2779" s="65"/>
      <c r="U2779" s="65"/>
      <c r="V2779" s="65"/>
      <c r="W2779" s="65"/>
      <c r="X2779" s="65"/>
    </row>
    <row r="2780" ht="12.0" customHeight="1">
      <c r="A2780" s="241"/>
      <c r="B2780" s="57"/>
      <c r="C2780" s="58"/>
      <c r="D2780" s="59"/>
      <c r="E2780" s="57"/>
      <c r="F2780" s="57"/>
      <c r="G2780" s="60"/>
      <c r="H2780" s="57"/>
      <c r="I2780" s="61"/>
      <c r="J2780" s="62"/>
      <c r="K2780" s="63"/>
      <c r="L2780" s="63"/>
      <c r="M2780" s="63"/>
      <c r="N2780" s="64"/>
      <c r="O2780" s="62"/>
      <c r="P2780" s="64"/>
      <c r="Q2780" s="59"/>
      <c r="R2780" s="65"/>
      <c r="S2780" s="65"/>
      <c r="T2780" s="65"/>
      <c r="U2780" s="65"/>
      <c r="V2780" s="65"/>
      <c r="W2780" s="65"/>
      <c r="X2780" s="65"/>
    </row>
    <row r="2781" ht="12.0" customHeight="1">
      <c r="A2781" s="241"/>
      <c r="B2781" s="57"/>
      <c r="C2781" s="58"/>
      <c r="D2781" s="59"/>
      <c r="E2781" s="57"/>
      <c r="F2781" s="57"/>
      <c r="G2781" s="60"/>
      <c r="H2781" s="57"/>
      <c r="I2781" s="61"/>
      <c r="J2781" s="62"/>
      <c r="K2781" s="63"/>
      <c r="L2781" s="63"/>
      <c r="M2781" s="63"/>
      <c r="N2781" s="64"/>
      <c r="O2781" s="62"/>
      <c r="P2781" s="64"/>
      <c r="Q2781" s="59"/>
      <c r="R2781" s="65"/>
      <c r="S2781" s="65"/>
      <c r="T2781" s="65"/>
      <c r="U2781" s="65"/>
      <c r="V2781" s="65"/>
      <c r="W2781" s="65"/>
      <c r="X2781" s="65"/>
    </row>
    <row r="2782" ht="12.0" customHeight="1">
      <c r="A2782" s="241"/>
      <c r="B2782" s="57"/>
      <c r="C2782" s="58"/>
      <c r="D2782" s="59"/>
      <c r="E2782" s="57"/>
      <c r="F2782" s="57"/>
      <c r="G2782" s="60"/>
      <c r="H2782" s="57"/>
      <c r="I2782" s="61"/>
      <c r="J2782" s="62"/>
      <c r="K2782" s="63"/>
      <c r="L2782" s="63"/>
      <c r="M2782" s="63"/>
      <c r="N2782" s="64"/>
      <c r="O2782" s="62"/>
      <c r="P2782" s="64"/>
      <c r="Q2782" s="59"/>
      <c r="R2782" s="65"/>
      <c r="S2782" s="65"/>
      <c r="T2782" s="65"/>
      <c r="U2782" s="65"/>
      <c r="V2782" s="65"/>
      <c r="W2782" s="65"/>
      <c r="X2782" s="65"/>
    </row>
    <row r="2783" ht="12.0" customHeight="1">
      <c r="A2783" s="241"/>
      <c r="B2783" s="57"/>
      <c r="C2783" s="58"/>
      <c r="D2783" s="59"/>
      <c r="E2783" s="57"/>
      <c r="F2783" s="57"/>
      <c r="G2783" s="60"/>
      <c r="H2783" s="57"/>
      <c r="I2783" s="61"/>
      <c r="J2783" s="62"/>
      <c r="K2783" s="63"/>
      <c r="L2783" s="63"/>
      <c r="M2783" s="63"/>
      <c r="N2783" s="64"/>
      <c r="O2783" s="62"/>
      <c r="P2783" s="64"/>
      <c r="Q2783" s="59"/>
      <c r="R2783" s="65"/>
      <c r="S2783" s="65"/>
      <c r="T2783" s="65"/>
      <c r="U2783" s="65"/>
      <c r="V2783" s="65"/>
      <c r="W2783" s="65"/>
      <c r="X2783" s="65"/>
    </row>
    <row r="2784" ht="12.0" customHeight="1">
      <c r="A2784" s="241"/>
      <c r="B2784" s="57"/>
      <c r="C2784" s="58"/>
      <c r="D2784" s="59"/>
      <c r="E2784" s="57"/>
      <c r="F2784" s="57"/>
      <c r="G2784" s="60"/>
      <c r="H2784" s="57"/>
      <c r="I2784" s="61"/>
      <c r="J2784" s="62"/>
      <c r="K2784" s="63"/>
      <c r="L2784" s="63"/>
      <c r="M2784" s="63"/>
      <c r="N2784" s="64"/>
      <c r="O2784" s="62"/>
      <c r="P2784" s="64"/>
      <c r="Q2784" s="59"/>
      <c r="R2784" s="65"/>
      <c r="S2784" s="65"/>
      <c r="T2784" s="65"/>
      <c r="U2784" s="65"/>
      <c r="V2784" s="65"/>
      <c r="W2784" s="65"/>
      <c r="X2784" s="65"/>
    </row>
    <row r="2785" ht="12.0" customHeight="1">
      <c r="A2785" s="241"/>
      <c r="B2785" s="57"/>
      <c r="C2785" s="58"/>
      <c r="D2785" s="59"/>
      <c r="E2785" s="57"/>
      <c r="F2785" s="57"/>
      <c r="G2785" s="60"/>
      <c r="H2785" s="57"/>
      <c r="I2785" s="61"/>
      <c r="J2785" s="62"/>
      <c r="K2785" s="63"/>
      <c r="L2785" s="63"/>
      <c r="M2785" s="63"/>
      <c r="N2785" s="64"/>
      <c r="O2785" s="62"/>
      <c r="P2785" s="64"/>
      <c r="Q2785" s="59"/>
      <c r="R2785" s="65"/>
      <c r="S2785" s="65"/>
      <c r="T2785" s="65"/>
      <c r="U2785" s="65"/>
      <c r="V2785" s="65"/>
      <c r="W2785" s="65"/>
      <c r="X2785" s="65"/>
    </row>
    <row r="2786" ht="12.0" customHeight="1">
      <c r="A2786" s="241"/>
      <c r="B2786" s="57"/>
      <c r="C2786" s="58"/>
      <c r="D2786" s="59"/>
      <c r="E2786" s="57"/>
      <c r="F2786" s="57"/>
      <c r="G2786" s="60"/>
      <c r="H2786" s="57"/>
      <c r="I2786" s="61"/>
      <c r="J2786" s="62"/>
      <c r="K2786" s="63"/>
      <c r="L2786" s="63"/>
      <c r="M2786" s="63"/>
      <c r="N2786" s="64"/>
      <c r="O2786" s="62"/>
      <c r="P2786" s="64"/>
      <c r="Q2786" s="59"/>
      <c r="R2786" s="65"/>
      <c r="S2786" s="65"/>
      <c r="T2786" s="65"/>
      <c r="U2786" s="65"/>
      <c r="V2786" s="65"/>
      <c r="W2786" s="65"/>
      <c r="X2786" s="65"/>
    </row>
    <row r="2787" ht="12.0" customHeight="1">
      <c r="A2787" s="241"/>
      <c r="B2787" s="57"/>
      <c r="C2787" s="58"/>
      <c r="D2787" s="59"/>
      <c r="E2787" s="57"/>
      <c r="F2787" s="57"/>
      <c r="G2787" s="60"/>
      <c r="H2787" s="57"/>
      <c r="I2787" s="61"/>
      <c r="J2787" s="62"/>
      <c r="K2787" s="63"/>
      <c r="L2787" s="63"/>
      <c r="M2787" s="63"/>
      <c r="N2787" s="64"/>
      <c r="O2787" s="62"/>
      <c r="P2787" s="64"/>
      <c r="Q2787" s="59"/>
      <c r="R2787" s="65"/>
      <c r="S2787" s="65"/>
      <c r="T2787" s="65"/>
      <c r="U2787" s="65"/>
      <c r="V2787" s="65"/>
      <c r="W2787" s="65"/>
      <c r="X2787" s="65"/>
    </row>
    <row r="2788" ht="12.0" customHeight="1">
      <c r="A2788" s="241"/>
      <c r="B2788" s="57"/>
      <c r="C2788" s="58"/>
      <c r="D2788" s="59"/>
      <c r="E2788" s="57"/>
      <c r="F2788" s="57"/>
      <c r="G2788" s="60"/>
      <c r="H2788" s="57"/>
      <c r="I2788" s="61"/>
      <c r="J2788" s="62"/>
      <c r="K2788" s="63"/>
      <c r="L2788" s="63"/>
      <c r="M2788" s="63"/>
      <c r="N2788" s="64"/>
      <c r="O2788" s="62"/>
      <c r="P2788" s="64"/>
      <c r="Q2788" s="59"/>
      <c r="R2788" s="65"/>
      <c r="S2788" s="65"/>
      <c r="T2788" s="65"/>
      <c r="U2788" s="65"/>
      <c r="V2788" s="65"/>
      <c r="W2788" s="65"/>
      <c r="X2788" s="65"/>
    </row>
    <row r="2789" ht="12.0" customHeight="1">
      <c r="A2789" s="241"/>
      <c r="B2789" s="57"/>
      <c r="C2789" s="58"/>
      <c r="D2789" s="59"/>
      <c r="E2789" s="57"/>
      <c r="F2789" s="57"/>
      <c r="G2789" s="60"/>
      <c r="H2789" s="57"/>
      <c r="I2789" s="61"/>
      <c r="J2789" s="62"/>
      <c r="K2789" s="63"/>
      <c r="L2789" s="63"/>
      <c r="M2789" s="63"/>
      <c r="N2789" s="64"/>
      <c r="O2789" s="62"/>
      <c r="P2789" s="64"/>
      <c r="Q2789" s="59"/>
      <c r="R2789" s="65"/>
      <c r="S2789" s="65"/>
      <c r="T2789" s="65"/>
      <c r="U2789" s="65"/>
      <c r="V2789" s="65"/>
      <c r="W2789" s="65"/>
      <c r="X2789" s="65"/>
    </row>
    <row r="2790" ht="12.0" customHeight="1">
      <c r="A2790" s="241"/>
      <c r="B2790" s="57"/>
      <c r="C2790" s="58"/>
      <c r="D2790" s="59"/>
      <c r="E2790" s="57"/>
      <c r="F2790" s="57"/>
      <c r="G2790" s="60"/>
      <c r="H2790" s="57"/>
      <c r="I2790" s="61"/>
      <c r="J2790" s="62"/>
      <c r="K2790" s="63"/>
      <c r="L2790" s="63"/>
      <c r="M2790" s="63"/>
      <c r="N2790" s="64"/>
      <c r="O2790" s="62"/>
      <c r="P2790" s="64"/>
      <c r="Q2790" s="59"/>
      <c r="R2790" s="65"/>
      <c r="S2790" s="65"/>
      <c r="T2790" s="65"/>
      <c r="U2790" s="65"/>
      <c r="V2790" s="65"/>
      <c r="W2790" s="65"/>
      <c r="X2790" s="65"/>
    </row>
    <row r="2791" ht="12.0" customHeight="1">
      <c r="A2791" s="241"/>
      <c r="B2791" s="57"/>
      <c r="C2791" s="58"/>
      <c r="D2791" s="59"/>
      <c r="E2791" s="57"/>
      <c r="F2791" s="57"/>
      <c r="G2791" s="60"/>
      <c r="H2791" s="57"/>
      <c r="I2791" s="61"/>
      <c r="J2791" s="62"/>
      <c r="K2791" s="63"/>
      <c r="L2791" s="63"/>
      <c r="M2791" s="63"/>
      <c r="N2791" s="64"/>
      <c r="O2791" s="62"/>
      <c r="P2791" s="64"/>
      <c r="Q2791" s="59"/>
      <c r="R2791" s="65"/>
      <c r="S2791" s="65"/>
      <c r="T2791" s="65"/>
      <c r="U2791" s="65"/>
      <c r="V2791" s="65"/>
      <c r="W2791" s="65"/>
      <c r="X2791" s="65"/>
    </row>
    <row r="2792" ht="12.0" customHeight="1">
      <c r="A2792" s="241"/>
      <c r="B2792" s="57"/>
      <c r="C2792" s="58"/>
      <c r="D2792" s="59"/>
      <c r="E2792" s="57"/>
      <c r="F2792" s="57"/>
      <c r="G2792" s="60"/>
      <c r="H2792" s="57"/>
      <c r="I2792" s="61"/>
      <c r="J2792" s="62"/>
      <c r="K2792" s="63"/>
      <c r="L2792" s="63"/>
      <c r="M2792" s="63"/>
      <c r="N2792" s="64"/>
      <c r="O2792" s="62"/>
      <c r="P2792" s="64"/>
      <c r="Q2792" s="59"/>
      <c r="R2792" s="65"/>
      <c r="S2792" s="65"/>
      <c r="T2792" s="65"/>
      <c r="U2792" s="65"/>
      <c r="V2792" s="65"/>
      <c r="W2792" s="65"/>
      <c r="X2792" s="65"/>
    </row>
    <row r="2793" ht="12.0" customHeight="1">
      <c r="A2793" s="241"/>
      <c r="B2793" s="57"/>
      <c r="C2793" s="58"/>
      <c r="D2793" s="59"/>
      <c r="E2793" s="57"/>
      <c r="F2793" s="57"/>
      <c r="G2793" s="60"/>
      <c r="H2793" s="57"/>
      <c r="I2793" s="61"/>
      <c r="J2793" s="62"/>
      <c r="K2793" s="63"/>
      <c r="L2793" s="63"/>
      <c r="M2793" s="63"/>
      <c r="N2793" s="64"/>
      <c r="O2793" s="62"/>
      <c r="P2793" s="64"/>
      <c r="Q2793" s="59"/>
      <c r="R2793" s="65"/>
      <c r="S2793" s="65"/>
      <c r="T2793" s="65"/>
      <c r="U2793" s="65"/>
      <c r="V2793" s="65"/>
      <c r="W2793" s="65"/>
      <c r="X2793" s="65"/>
    </row>
    <row r="2794" ht="12.0" customHeight="1">
      <c r="A2794" s="241"/>
      <c r="B2794" s="57"/>
      <c r="C2794" s="58"/>
      <c r="D2794" s="59"/>
      <c r="E2794" s="57"/>
      <c r="F2794" s="57"/>
      <c r="G2794" s="60"/>
      <c r="H2794" s="57"/>
      <c r="I2794" s="61"/>
      <c r="J2794" s="62"/>
      <c r="K2794" s="63"/>
      <c r="L2794" s="63"/>
      <c r="M2794" s="63"/>
      <c r="N2794" s="64"/>
      <c r="O2794" s="62"/>
      <c r="P2794" s="64"/>
      <c r="Q2794" s="59"/>
      <c r="R2794" s="65"/>
      <c r="S2794" s="65"/>
      <c r="T2794" s="65"/>
      <c r="U2794" s="65"/>
      <c r="V2794" s="65"/>
      <c r="W2794" s="65"/>
      <c r="X2794" s="65"/>
    </row>
    <row r="2795" ht="12.0" customHeight="1">
      <c r="A2795" s="241"/>
      <c r="B2795" s="57"/>
      <c r="C2795" s="58"/>
      <c r="D2795" s="59"/>
      <c r="E2795" s="57"/>
      <c r="F2795" s="57"/>
      <c r="G2795" s="60"/>
      <c r="H2795" s="57"/>
      <c r="I2795" s="61"/>
      <c r="J2795" s="62"/>
      <c r="K2795" s="63"/>
      <c r="L2795" s="63"/>
      <c r="M2795" s="63"/>
      <c r="N2795" s="64"/>
      <c r="O2795" s="62"/>
      <c r="P2795" s="64"/>
      <c r="Q2795" s="59"/>
      <c r="R2795" s="65"/>
      <c r="S2795" s="65"/>
      <c r="T2795" s="65"/>
      <c r="U2795" s="65"/>
      <c r="V2795" s="65"/>
      <c r="W2795" s="65"/>
      <c r="X2795" s="65"/>
    </row>
    <row r="2796" ht="12.0" customHeight="1">
      <c r="A2796" s="241"/>
      <c r="B2796" s="57"/>
      <c r="C2796" s="58"/>
      <c r="D2796" s="59"/>
      <c r="E2796" s="57"/>
      <c r="F2796" s="57"/>
      <c r="G2796" s="60"/>
      <c r="H2796" s="57"/>
      <c r="I2796" s="61"/>
      <c r="J2796" s="62"/>
      <c r="K2796" s="63"/>
      <c r="L2796" s="63"/>
      <c r="M2796" s="63"/>
      <c r="N2796" s="64"/>
      <c r="O2796" s="62"/>
      <c r="P2796" s="64"/>
      <c r="Q2796" s="59"/>
      <c r="R2796" s="65"/>
      <c r="S2796" s="65"/>
      <c r="T2796" s="65"/>
      <c r="U2796" s="65"/>
      <c r="V2796" s="65"/>
      <c r="W2796" s="65"/>
      <c r="X2796" s="65"/>
    </row>
    <row r="2797" ht="12.0" customHeight="1">
      <c r="A2797" s="241"/>
      <c r="B2797" s="57"/>
      <c r="C2797" s="58"/>
      <c r="D2797" s="59"/>
      <c r="E2797" s="57"/>
      <c r="F2797" s="57"/>
      <c r="G2797" s="60"/>
      <c r="H2797" s="57"/>
      <c r="I2797" s="61"/>
      <c r="J2797" s="62"/>
      <c r="K2797" s="63"/>
      <c r="L2797" s="63"/>
      <c r="M2797" s="63"/>
      <c r="N2797" s="64"/>
      <c r="O2797" s="62"/>
      <c r="P2797" s="64"/>
      <c r="Q2797" s="59"/>
      <c r="R2797" s="65"/>
      <c r="S2797" s="65"/>
      <c r="T2797" s="65"/>
      <c r="U2797" s="65"/>
      <c r="V2797" s="65"/>
      <c r="W2797" s="65"/>
      <c r="X2797" s="65"/>
    </row>
    <row r="2798" ht="12.0" customHeight="1">
      <c r="A2798" s="241"/>
      <c r="B2798" s="57"/>
      <c r="C2798" s="58"/>
      <c r="D2798" s="59"/>
      <c r="E2798" s="57"/>
      <c r="F2798" s="57"/>
      <c r="G2798" s="60"/>
      <c r="H2798" s="57"/>
      <c r="I2798" s="61"/>
      <c r="J2798" s="62"/>
      <c r="K2798" s="63"/>
      <c r="L2798" s="63"/>
      <c r="M2798" s="63"/>
      <c r="N2798" s="64"/>
      <c r="O2798" s="62"/>
      <c r="P2798" s="64"/>
      <c r="Q2798" s="59"/>
      <c r="R2798" s="65"/>
      <c r="S2798" s="65"/>
      <c r="T2798" s="65"/>
      <c r="U2798" s="65"/>
      <c r="V2798" s="65"/>
      <c r="W2798" s="65"/>
      <c r="X2798" s="65"/>
    </row>
    <row r="2799" ht="12.0" customHeight="1">
      <c r="A2799" s="241"/>
      <c r="B2799" s="57"/>
      <c r="C2799" s="58"/>
      <c r="D2799" s="59"/>
      <c r="E2799" s="57"/>
      <c r="F2799" s="57"/>
      <c r="G2799" s="60"/>
      <c r="H2799" s="57"/>
      <c r="I2799" s="61"/>
      <c r="J2799" s="62"/>
      <c r="K2799" s="63"/>
      <c r="L2799" s="63"/>
      <c r="M2799" s="63"/>
      <c r="N2799" s="64"/>
      <c r="O2799" s="62"/>
      <c r="P2799" s="64"/>
      <c r="Q2799" s="59"/>
      <c r="R2799" s="65"/>
      <c r="S2799" s="65"/>
      <c r="T2799" s="65"/>
      <c r="U2799" s="65"/>
      <c r="V2799" s="65"/>
      <c r="W2799" s="65"/>
      <c r="X2799" s="65"/>
    </row>
    <row r="2800" ht="12.0" customHeight="1">
      <c r="A2800" s="241"/>
      <c r="B2800" s="57"/>
      <c r="C2800" s="58"/>
      <c r="D2800" s="59"/>
      <c r="E2800" s="57"/>
      <c r="F2800" s="57"/>
      <c r="G2800" s="60"/>
      <c r="H2800" s="57"/>
      <c r="I2800" s="61"/>
      <c r="J2800" s="62"/>
      <c r="K2800" s="63"/>
      <c r="L2800" s="63"/>
      <c r="M2800" s="63"/>
      <c r="N2800" s="64"/>
      <c r="O2800" s="62"/>
      <c r="P2800" s="64"/>
      <c r="Q2800" s="59"/>
      <c r="R2800" s="65"/>
      <c r="S2800" s="65"/>
      <c r="T2800" s="65"/>
      <c r="U2800" s="65"/>
      <c r="V2800" s="65"/>
      <c r="W2800" s="65"/>
      <c r="X2800" s="65"/>
    </row>
    <row r="2801" ht="12.0" customHeight="1">
      <c r="A2801" s="241"/>
      <c r="B2801" s="57"/>
      <c r="C2801" s="58"/>
      <c r="D2801" s="59"/>
      <c r="E2801" s="57"/>
      <c r="F2801" s="57"/>
      <c r="G2801" s="60"/>
      <c r="H2801" s="57"/>
      <c r="I2801" s="61"/>
      <c r="J2801" s="62"/>
      <c r="K2801" s="63"/>
      <c r="L2801" s="63"/>
      <c r="M2801" s="63"/>
      <c r="N2801" s="64"/>
      <c r="O2801" s="62"/>
      <c r="P2801" s="64"/>
      <c r="Q2801" s="59"/>
      <c r="R2801" s="65"/>
      <c r="S2801" s="65"/>
      <c r="T2801" s="65"/>
      <c r="U2801" s="65"/>
      <c r="V2801" s="65"/>
      <c r="W2801" s="65"/>
      <c r="X2801" s="65"/>
    </row>
    <row r="2802" ht="12.0" customHeight="1">
      <c r="A2802" s="241"/>
      <c r="B2802" s="57"/>
      <c r="C2802" s="58"/>
      <c r="D2802" s="59"/>
      <c r="E2802" s="57"/>
      <c r="F2802" s="57"/>
      <c r="G2802" s="60"/>
      <c r="H2802" s="57"/>
      <c r="I2802" s="61"/>
      <c r="J2802" s="62"/>
      <c r="K2802" s="63"/>
      <c r="L2802" s="63"/>
      <c r="M2802" s="63"/>
      <c r="N2802" s="64"/>
      <c r="O2802" s="62"/>
      <c r="P2802" s="64"/>
      <c r="Q2802" s="59"/>
      <c r="R2802" s="65"/>
      <c r="S2802" s="65"/>
      <c r="T2802" s="65"/>
      <c r="U2802" s="65"/>
      <c r="V2802" s="65"/>
      <c r="W2802" s="65"/>
      <c r="X2802" s="65"/>
    </row>
    <row r="2803" ht="12.0" customHeight="1">
      <c r="A2803" s="241"/>
      <c r="B2803" s="57"/>
      <c r="C2803" s="58"/>
      <c r="D2803" s="59"/>
      <c r="E2803" s="57"/>
      <c r="F2803" s="57"/>
      <c r="G2803" s="60"/>
      <c r="H2803" s="57"/>
      <c r="I2803" s="61"/>
      <c r="J2803" s="62"/>
      <c r="K2803" s="63"/>
      <c r="L2803" s="63"/>
      <c r="M2803" s="63"/>
      <c r="N2803" s="64"/>
      <c r="O2803" s="62"/>
      <c r="P2803" s="64"/>
      <c r="Q2803" s="59"/>
      <c r="R2803" s="65"/>
      <c r="S2803" s="65"/>
      <c r="T2803" s="65"/>
      <c r="U2803" s="65"/>
      <c r="V2803" s="65"/>
      <c r="W2803" s="65"/>
      <c r="X2803" s="65"/>
    </row>
    <row r="2804" ht="12.0" customHeight="1">
      <c r="A2804" s="241"/>
      <c r="B2804" s="57"/>
      <c r="C2804" s="58"/>
      <c r="D2804" s="59"/>
      <c r="E2804" s="57"/>
      <c r="F2804" s="57"/>
      <c r="G2804" s="60"/>
      <c r="H2804" s="57"/>
      <c r="I2804" s="61"/>
      <c r="J2804" s="62"/>
      <c r="K2804" s="63"/>
      <c r="L2804" s="63"/>
      <c r="M2804" s="63"/>
      <c r="N2804" s="64"/>
      <c r="O2804" s="62"/>
      <c r="P2804" s="64"/>
      <c r="Q2804" s="59"/>
      <c r="R2804" s="65"/>
      <c r="S2804" s="65"/>
      <c r="T2804" s="65"/>
      <c r="U2804" s="65"/>
      <c r="V2804" s="65"/>
      <c r="W2804" s="65"/>
      <c r="X2804" s="65"/>
    </row>
    <row r="2805" ht="12.0" customHeight="1">
      <c r="A2805" s="241"/>
      <c r="B2805" s="57"/>
      <c r="C2805" s="58"/>
      <c r="D2805" s="59"/>
      <c r="E2805" s="57"/>
      <c r="F2805" s="57"/>
      <c r="G2805" s="60"/>
      <c r="H2805" s="57"/>
      <c r="I2805" s="61"/>
      <c r="J2805" s="62"/>
      <c r="K2805" s="63"/>
      <c r="L2805" s="63"/>
      <c r="M2805" s="63"/>
      <c r="N2805" s="64"/>
      <c r="O2805" s="62"/>
      <c r="P2805" s="64"/>
      <c r="Q2805" s="59"/>
      <c r="R2805" s="65"/>
      <c r="S2805" s="65"/>
      <c r="T2805" s="65"/>
      <c r="U2805" s="65"/>
      <c r="V2805" s="65"/>
      <c r="W2805" s="65"/>
      <c r="X2805" s="65"/>
    </row>
    <row r="2806" ht="12.0" customHeight="1">
      <c r="A2806" s="241"/>
      <c r="B2806" s="57"/>
      <c r="C2806" s="58"/>
      <c r="D2806" s="59"/>
      <c r="E2806" s="57"/>
      <c r="F2806" s="57"/>
      <c r="G2806" s="60"/>
      <c r="H2806" s="57"/>
      <c r="I2806" s="61"/>
      <c r="J2806" s="62"/>
      <c r="K2806" s="63"/>
      <c r="L2806" s="63"/>
      <c r="M2806" s="63"/>
      <c r="N2806" s="64"/>
      <c r="O2806" s="62"/>
      <c r="P2806" s="64"/>
      <c r="Q2806" s="59"/>
      <c r="R2806" s="65"/>
      <c r="S2806" s="65"/>
      <c r="T2806" s="65"/>
      <c r="U2806" s="65"/>
      <c r="V2806" s="65"/>
      <c r="W2806" s="65"/>
      <c r="X2806" s="65"/>
    </row>
    <row r="2807" ht="12.0" customHeight="1">
      <c r="A2807" s="241"/>
      <c r="B2807" s="57"/>
      <c r="C2807" s="58"/>
      <c r="D2807" s="59"/>
      <c r="E2807" s="57"/>
      <c r="F2807" s="57"/>
      <c r="G2807" s="60"/>
      <c r="H2807" s="57"/>
      <c r="I2807" s="61"/>
      <c r="J2807" s="62"/>
      <c r="K2807" s="63"/>
      <c r="L2807" s="63"/>
      <c r="M2807" s="63"/>
      <c r="N2807" s="64"/>
      <c r="O2807" s="62"/>
      <c r="P2807" s="64"/>
      <c r="Q2807" s="59"/>
      <c r="R2807" s="65"/>
      <c r="S2807" s="65"/>
      <c r="T2807" s="65"/>
      <c r="U2807" s="65"/>
      <c r="V2807" s="65"/>
      <c r="W2807" s="65"/>
      <c r="X2807" s="65"/>
    </row>
    <row r="2808" ht="12.0" customHeight="1">
      <c r="A2808" s="241"/>
      <c r="B2808" s="57"/>
      <c r="C2808" s="58"/>
      <c r="D2808" s="59"/>
      <c r="E2808" s="57"/>
      <c r="F2808" s="57"/>
      <c r="G2808" s="60"/>
      <c r="H2808" s="57"/>
      <c r="I2808" s="61"/>
      <c r="J2808" s="62"/>
      <c r="K2808" s="63"/>
      <c r="L2808" s="63"/>
      <c r="M2808" s="63"/>
      <c r="N2808" s="64"/>
      <c r="O2808" s="62"/>
      <c r="P2808" s="64"/>
      <c r="Q2808" s="59"/>
      <c r="R2808" s="65"/>
      <c r="S2808" s="65"/>
      <c r="T2808" s="65"/>
      <c r="U2808" s="65"/>
      <c r="V2808" s="65"/>
      <c r="W2808" s="65"/>
      <c r="X2808" s="65"/>
    </row>
    <row r="2809" ht="12.0" customHeight="1">
      <c r="A2809" s="241"/>
      <c r="B2809" s="57"/>
      <c r="C2809" s="58"/>
      <c r="D2809" s="59"/>
      <c r="E2809" s="57"/>
      <c r="F2809" s="57"/>
      <c r="G2809" s="60"/>
      <c r="H2809" s="57"/>
      <c r="I2809" s="61"/>
      <c r="J2809" s="62"/>
      <c r="K2809" s="63"/>
      <c r="L2809" s="63"/>
      <c r="M2809" s="63"/>
      <c r="N2809" s="64"/>
      <c r="O2809" s="62"/>
      <c r="P2809" s="64"/>
      <c r="Q2809" s="59"/>
      <c r="R2809" s="65"/>
      <c r="S2809" s="65"/>
      <c r="T2809" s="65"/>
      <c r="U2809" s="65"/>
      <c r="V2809" s="65"/>
      <c r="W2809" s="65"/>
      <c r="X2809" s="65"/>
    </row>
    <row r="2810" ht="12.0" customHeight="1">
      <c r="A2810" s="241"/>
      <c r="B2810" s="57"/>
      <c r="C2810" s="58"/>
      <c r="D2810" s="59"/>
      <c r="E2810" s="57"/>
      <c r="F2810" s="57"/>
      <c r="G2810" s="60"/>
      <c r="H2810" s="57"/>
      <c r="I2810" s="61"/>
      <c r="J2810" s="62"/>
      <c r="K2810" s="63"/>
      <c r="L2810" s="63"/>
      <c r="M2810" s="63"/>
      <c r="N2810" s="64"/>
      <c r="O2810" s="62"/>
      <c r="P2810" s="64"/>
      <c r="Q2810" s="59"/>
      <c r="R2810" s="65"/>
      <c r="S2810" s="65"/>
      <c r="T2810" s="65"/>
      <c r="U2810" s="65"/>
      <c r="V2810" s="65"/>
      <c r="W2810" s="65"/>
      <c r="X2810" s="65"/>
    </row>
    <row r="2811" ht="12.0" customHeight="1">
      <c r="A2811" s="241"/>
      <c r="B2811" s="57"/>
      <c r="C2811" s="58"/>
      <c r="D2811" s="59"/>
      <c r="E2811" s="57"/>
      <c r="F2811" s="57"/>
      <c r="G2811" s="60"/>
      <c r="H2811" s="57"/>
      <c r="I2811" s="61"/>
      <c r="J2811" s="62"/>
      <c r="K2811" s="63"/>
      <c r="L2811" s="63"/>
      <c r="M2811" s="63"/>
      <c r="N2811" s="64"/>
      <c r="O2811" s="62"/>
      <c r="P2811" s="64"/>
      <c r="Q2811" s="59"/>
      <c r="R2811" s="65"/>
      <c r="S2811" s="65"/>
      <c r="T2811" s="65"/>
      <c r="U2811" s="65"/>
      <c r="V2811" s="65"/>
      <c r="W2811" s="65"/>
      <c r="X2811" s="65"/>
    </row>
    <row r="2812" ht="12.0" customHeight="1">
      <c r="A2812" s="241"/>
      <c r="B2812" s="57"/>
      <c r="C2812" s="58"/>
      <c r="D2812" s="59"/>
      <c r="E2812" s="57"/>
      <c r="F2812" s="57"/>
      <c r="G2812" s="60"/>
      <c r="H2812" s="57"/>
      <c r="I2812" s="61"/>
      <c r="J2812" s="62"/>
      <c r="K2812" s="63"/>
      <c r="L2812" s="63"/>
      <c r="M2812" s="63"/>
      <c r="N2812" s="64"/>
      <c r="O2812" s="62"/>
      <c r="P2812" s="64"/>
      <c r="Q2812" s="59"/>
      <c r="R2812" s="65"/>
      <c r="S2812" s="65"/>
      <c r="T2812" s="65"/>
      <c r="U2812" s="65"/>
      <c r="V2812" s="65"/>
      <c r="W2812" s="65"/>
      <c r="X2812" s="65"/>
    </row>
    <row r="2813" ht="12.0" customHeight="1">
      <c r="A2813" s="241"/>
      <c r="B2813" s="57"/>
      <c r="C2813" s="58"/>
      <c r="D2813" s="59"/>
      <c r="E2813" s="57"/>
      <c r="F2813" s="57"/>
      <c r="G2813" s="60"/>
      <c r="H2813" s="57"/>
      <c r="I2813" s="61"/>
      <c r="J2813" s="62"/>
      <c r="K2813" s="63"/>
      <c r="L2813" s="63"/>
      <c r="M2813" s="63"/>
      <c r="N2813" s="64"/>
      <c r="O2813" s="62"/>
      <c r="P2813" s="64"/>
      <c r="Q2813" s="59"/>
      <c r="R2813" s="65"/>
      <c r="S2813" s="65"/>
      <c r="T2813" s="65"/>
      <c r="U2813" s="65"/>
      <c r="V2813" s="65"/>
      <c r="W2813" s="65"/>
      <c r="X2813" s="65"/>
    </row>
    <row r="2814" ht="12.0" customHeight="1">
      <c r="A2814" s="241"/>
      <c r="B2814" s="57"/>
      <c r="C2814" s="58"/>
      <c r="D2814" s="59"/>
      <c r="E2814" s="57"/>
      <c r="F2814" s="57"/>
      <c r="G2814" s="60"/>
      <c r="H2814" s="57"/>
      <c r="I2814" s="61"/>
      <c r="J2814" s="62"/>
      <c r="K2814" s="63"/>
      <c r="L2814" s="63"/>
      <c r="M2814" s="63"/>
      <c r="N2814" s="64"/>
      <c r="O2814" s="62"/>
      <c r="P2814" s="64"/>
      <c r="Q2814" s="59"/>
      <c r="R2814" s="65"/>
      <c r="S2814" s="65"/>
      <c r="T2814" s="65"/>
      <c r="U2814" s="65"/>
      <c r="V2814" s="65"/>
      <c r="W2814" s="65"/>
      <c r="X2814" s="65"/>
    </row>
    <row r="2815" ht="12.0" customHeight="1">
      <c r="A2815" s="241"/>
      <c r="B2815" s="57"/>
      <c r="C2815" s="58"/>
      <c r="D2815" s="59"/>
      <c r="E2815" s="57"/>
      <c r="F2815" s="57"/>
      <c r="G2815" s="60"/>
      <c r="H2815" s="57"/>
      <c r="I2815" s="61"/>
      <c r="J2815" s="62"/>
      <c r="K2815" s="63"/>
      <c r="L2815" s="63"/>
      <c r="M2815" s="63"/>
      <c r="N2815" s="64"/>
      <c r="O2815" s="62"/>
      <c r="P2815" s="64"/>
      <c r="Q2815" s="59"/>
      <c r="R2815" s="65"/>
      <c r="S2815" s="65"/>
      <c r="T2815" s="65"/>
      <c r="U2815" s="65"/>
      <c r="V2815" s="65"/>
      <c r="W2815" s="65"/>
      <c r="X2815" s="65"/>
    </row>
    <row r="2816" ht="12.0" customHeight="1">
      <c r="A2816" s="241"/>
      <c r="B2816" s="57"/>
      <c r="C2816" s="58"/>
      <c r="D2816" s="59"/>
      <c r="E2816" s="57"/>
      <c r="F2816" s="57"/>
      <c r="G2816" s="60"/>
      <c r="H2816" s="57"/>
      <c r="I2816" s="61"/>
      <c r="J2816" s="62"/>
      <c r="K2816" s="63"/>
      <c r="L2816" s="63"/>
      <c r="M2816" s="63"/>
      <c r="N2816" s="64"/>
      <c r="O2816" s="62"/>
      <c r="P2816" s="64"/>
      <c r="Q2816" s="59"/>
      <c r="R2816" s="65"/>
      <c r="S2816" s="65"/>
      <c r="T2816" s="65"/>
      <c r="U2816" s="65"/>
      <c r="V2816" s="65"/>
      <c r="W2816" s="65"/>
      <c r="X2816" s="65"/>
    </row>
    <row r="2817" ht="12.0" customHeight="1">
      <c r="A2817" s="241"/>
      <c r="B2817" s="57"/>
      <c r="C2817" s="58"/>
      <c r="D2817" s="59"/>
      <c r="E2817" s="57"/>
      <c r="F2817" s="57"/>
      <c r="G2817" s="60"/>
      <c r="H2817" s="57"/>
      <c r="I2817" s="61"/>
      <c r="J2817" s="62"/>
      <c r="K2817" s="63"/>
      <c r="L2817" s="63"/>
      <c r="M2817" s="63"/>
      <c r="N2817" s="64"/>
      <c r="O2817" s="62"/>
      <c r="P2817" s="64"/>
      <c r="Q2817" s="59"/>
      <c r="R2817" s="65"/>
      <c r="S2817" s="65"/>
      <c r="T2817" s="65"/>
      <c r="U2817" s="65"/>
      <c r="V2817" s="65"/>
      <c r="W2817" s="65"/>
      <c r="X2817" s="65"/>
    </row>
    <row r="2818" ht="12.0" customHeight="1">
      <c r="A2818" s="241"/>
      <c r="B2818" s="57"/>
      <c r="C2818" s="58"/>
      <c r="D2818" s="59"/>
      <c r="E2818" s="57"/>
      <c r="F2818" s="57"/>
      <c r="G2818" s="60"/>
      <c r="H2818" s="57"/>
      <c r="I2818" s="61"/>
      <c r="J2818" s="62"/>
      <c r="K2818" s="63"/>
      <c r="L2818" s="63"/>
      <c r="M2818" s="63"/>
      <c r="N2818" s="64"/>
      <c r="O2818" s="62"/>
      <c r="P2818" s="64"/>
      <c r="Q2818" s="59"/>
      <c r="R2818" s="65"/>
      <c r="S2818" s="65"/>
      <c r="T2818" s="65"/>
      <c r="U2818" s="65"/>
      <c r="V2818" s="65"/>
      <c r="W2818" s="65"/>
      <c r="X2818" s="65"/>
    </row>
    <row r="2819" ht="12.0" customHeight="1">
      <c r="A2819" s="241"/>
      <c r="B2819" s="57"/>
      <c r="C2819" s="58"/>
      <c r="D2819" s="59"/>
      <c r="E2819" s="57"/>
      <c r="F2819" s="57"/>
      <c r="G2819" s="60"/>
      <c r="H2819" s="57"/>
      <c r="I2819" s="61"/>
      <c r="J2819" s="62"/>
      <c r="K2819" s="63"/>
      <c r="L2819" s="63"/>
      <c r="M2819" s="63"/>
      <c r="N2819" s="64"/>
      <c r="O2819" s="62"/>
      <c r="P2819" s="64"/>
      <c r="Q2819" s="59"/>
      <c r="R2819" s="65"/>
      <c r="S2819" s="65"/>
      <c r="T2819" s="65"/>
      <c r="U2819" s="65"/>
      <c r="V2819" s="65"/>
      <c r="W2819" s="65"/>
      <c r="X2819" s="65"/>
    </row>
    <row r="2820" ht="12.0" customHeight="1">
      <c r="A2820" s="241"/>
      <c r="B2820" s="57"/>
      <c r="C2820" s="58"/>
      <c r="D2820" s="59"/>
      <c r="E2820" s="57"/>
      <c r="F2820" s="57"/>
      <c r="G2820" s="60"/>
      <c r="H2820" s="57"/>
      <c r="I2820" s="61"/>
      <c r="J2820" s="62"/>
      <c r="K2820" s="63"/>
      <c r="L2820" s="63"/>
      <c r="M2820" s="63"/>
      <c r="N2820" s="64"/>
      <c r="O2820" s="62"/>
      <c r="P2820" s="64"/>
      <c r="Q2820" s="59"/>
      <c r="R2820" s="65"/>
      <c r="S2820" s="65"/>
      <c r="T2820" s="65"/>
      <c r="U2820" s="65"/>
      <c r="V2820" s="65"/>
      <c r="W2820" s="65"/>
      <c r="X2820" s="65"/>
    </row>
    <row r="2821" ht="12.0" customHeight="1">
      <c r="A2821" s="241"/>
      <c r="B2821" s="57"/>
      <c r="C2821" s="58"/>
      <c r="D2821" s="59"/>
      <c r="E2821" s="57"/>
      <c r="F2821" s="57"/>
      <c r="G2821" s="60"/>
      <c r="H2821" s="57"/>
      <c r="I2821" s="61"/>
      <c r="J2821" s="62"/>
      <c r="K2821" s="63"/>
      <c r="L2821" s="63"/>
      <c r="M2821" s="63"/>
      <c r="N2821" s="64"/>
      <c r="O2821" s="62"/>
      <c r="P2821" s="64"/>
      <c r="Q2821" s="59"/>
      <c r="R2821" s="65"/>
      <c r="S2821" s="65"/>
      <c r="T2821" s="65"/>
      <c r="U2821" s="65"/>
      <c r="V2821" s="65"/>
      <c r="W2821" s="65"/>
      <c r="X2821" s="65"/>
    </row>
    <row r="2822" ht="12.0" customHeight="1">
      <c r="A2822" s="241"/>
      <c r="B2822" s="57"/>
      <c r="C2822" s="58"/>
      <c r="D2822" s="59"/>
      <c r="E2822" s="57"/>
      <c r="F2822" s="57"/>
      <c r="G2822" s="60"/>
      <c r="H2822" s="57"/>
      <c r="I2822" s="61"/>
      <c r="J2822" s="62"/>
      <c r="K2822" s="63"/>
      <c r="L2822" s="63"/>
      <c r="M2822" s="63"/>
      <c r="N2822" s="64"/>
      <c r="O2822" s="62"/>
      <c r="P2822" s="64"/>
      <c r="Q2822" s="59"/>
      <c r="R2822" s="65"/>
      <c r="S2822" s="65"/>
      <c r="T2822" s="65"/>
      <c r="U2822" s="65"/>
      <c r="V2822" s="65"/>
      <c r="W2822" s="65"/>
      <c r="X2822" s="65"/>
    </row>
    <row r="2823" ht="12.0" customHeight="1">
      <c r="A2823" s="241"/>
      <c r="B2823" s="57"/>
      <c r="C2823" s="58"/>
      <c r="D2823" s="59"/>
      <c r="E2823" s="57"/>
      <c r="F2823" s="57"/>
      <c r="G2823" s="60"/>
      <c r="H2823" s="57"/>
      <c r="I2823" s="61"/>
      <c r="J2823" s="62"/>
      <c r="K2823" s="63"/>
      <c r="L2823" s="63"/>
      <c r="M2823" s="63"/>
      <c r="N2823" s="64"/>
      <c r="O2823" s="62"/>
      <c r="P2823" s="64"/>
      <c r="Q2823" s="59"/>
      <c r="R2823" s="65"/>
      <c r="S2823" s="65"/>
      <c r="T2823" s="65"/>
      <c r="U2823" s="65"/>
      <c r="V2823" s="65"/>
      <c r="W2823" s="65"/>
      <c r="X2823" s="65"/>
    </row>
    <row r="2824" ht="12.0" customHeight="1">
      <c r="A2824" s="241"/>
      <c r="B2824" s="57"/>
      <c r="C2824" s="58"/>
      <c r="D2824" s="59"/>
      <c r="E2824" s="57"/>
      <c r="F2824" s="57"/>
      <c r="G2824" s="60"/>
      <c r="H2824" s="57"/>
      <c r="I2824" s="61"/>
      <c r="J2824" s="62"/>
      <c r="K2824" s="63"/>
      <c r="L2824" s="63"/>
      <c r="M2824" s="63"/>
      <c r="N2824" s="64"/>
      <c r="O2824" s="62"/>
      <c r="P2824" s="64"/>
      <c r="Q2824" s="59"/>
      <c r="R2824" s="65"/>
      <c r="S2824" s="65"/>
      <c r="T2824" s="65"/>
      <c r="U2824" s="65"/>
      <c r="V2824" s="65"/>
      <c r="W2824" s="65"/>
      <c r="X2824" s="65"/>
    </row>
    <row r="2825" ht="12.0" customHeight="1">
      <c r="A2825" s="241"/>
      <c r="B2825" s="57"/>
      <c r="C2825" s="58"/>
      <c r="D2825" s="59"/>
      <c r="E2825" s="57"/>
      <c r="F2825" s="57"/>
      <c r="G2825" s="60"/>
      <c r="H2825" s="57"/>
      <c r="I2825" s="61"/>
      <c r="J2825" s="62"/>
      <c r="K2825" s="63"/>
      <c r="L2825" s="63"/>
      <c r="M2825" s="63"/>
      <c r="N2825" s="64"/>
      <c r="O2825" s="62"/>
      <c r="P2825" s="64"/>
      <c r="Q2825" s="59"/>
      <c r="R2825" s="65"/>
      <c r="S2825" s="65"/>
      <c r="T2825" s="65"/>
      <c r="U2825" s="65"/>
      <c r="V2825" s="65"/>
      <c r="W2825" s="65"/>
      <c r="X2825" s="65"/>
    </row>
    <row r="2826" ht="12.0" customHeight="1">
      <c r="A2826" s="241"/>
      <c r="B2826" s="57"/>
      <c r="C2826" s="58"/>
      <c r="D2826" s="59"/>
      <c r="E2826" s="57"/>
      <c r="F2826" s="57"/>
      <c r="G2826" s="60"/>
      <c r="H2826" s="57"/>
      <c r="I2826" s="61"/>
      <c r="J2826" s="62"/>
      <c r="K2826" s="63"/>
      <c r="L2826" s="63"/>
      <c r="M2826" s="63"/>
      <c r="N2826" s="64"/>
      <c r="O2826" s="62"/>
      <c r="P2826" s="64"/>
      <c r="Q2826" s="59"/>
      <c r="R2826" s="65"/>
      <c r="S2826" s="65"/>
      <c r="T2826" s="65"/>
      <c r="U2826" s="65"/>
      <c r="V2826" s="65"/>
      <c r="W2826" s="65"/>
      <c r="X2826" s="65"/>
    </row>
    <row r="2827" ht="12.0" customHeight="1">
      <c r="A2827" s="241"/>
      <c r="B2827" s="57"/>
      <c r="C2827" s="58"/>
      <c r="D2827" s="59"/>
      <c r="E2827" s="57"/>
      <c r="F2827" s="57"/>
      <c r="G2827" s="60"/>
      <c r="H2827" s="57"/>
      <c r="I2827" s="61"/>
      <c r="J2827" s="62"/>
      <c r="K2827" s="63"/>
      <c r="L2827" s="63"/>
      <c r="M2827" s="63"/>
      <c r="N2827" s="64"/>
      <c r="O2827" s="62"/>
      <c r="P2827" s="64"/>
      <c r="Q2827" s="59"/>
      <c r="R2827" s="65"/>
      <c r="S2827" s="65"/>
      <c r="T2827" s="65"/>
      <c r="U2827" s="65"/>
      <c r="V2827" s="65"/>
      <c r="W2827" s="65"/>
      <c r="X2827" s="65"/>
    </row>
    <row r="2828" ht="12.0" customHeight="1">
      <c r="A2828" s="241"/>
      <c r="B2828" s="57"/>
      <c r="C2828" s="58"/>
      <c r="D2828" s="59"/>
      <c r="E2828" s="57"/>
      <c r="F2828" s="57"/>
      <c r="G2828" s="60"/>
      <c r="H2828" s="57"/>
      <c r="I2828" s="61"/>
      <c r="J2828" s="62"/>
      <c r="K2828" s="63"/>
      <c r="L2828" s="63"/>
      <c r="M2828" s="63"/>
      <c r="N2828" s="64"/>
      <c r="O2828" s="62"/>
      <c r="P2828" s="64"/>
      <c r="Q2828" s="59"/>
      <c r="R2828" s="65"/>
      <c r="S2828" s="65"/>
      <c r="T2828" s="65"/>
      <c r="U2828" s="65"/>
      <c r="V2828" s="65"/>
      <c r="W2828" s="65"/>
      <c r="X2828" s="65"/>
    </row>
    <row r="2829" ht="12.0" customHeight="1">
      <c r="A2829" s="241"/>
      <c r="B2829" s="57"/>
      <c r="C2829" s="58"/>
      <c r="D2829" s="59"/>
      <c r="E2829" s="57"/>
      <c r="F2829" s="57"/>
      <c r="G2829" s="60"/>
      <c r="H2829" s="57"/>
      <c r="I2829" s="61"/>
      <c r="J2829" s="62"/>
      <c r="K2829" s="63"/>
      <c r="L2829" s="63"/>
      <c r="M2829" s="63"/>
      <c r="N2829" s="64"/>
      <c r="O2829" s="62"/>
      <c r="P2829" s="64"/>
      <c r="Q2829" s="59"/>
      <c r="R2829" s="65"/>
      <c r="S2829" s="65"/>
      <c r="T2829" s="65"/>
      <c r="U2829" s="65"/>
      <c r="V2829" s="65"/>
      <c r="W2829" s="65"/>
      <c r="X2829" s="65"/>
    </row>
    <row r="2830" ht="12.0" customHeight="1">
      <c r="A2830" s="241"/>
      <c r="B2830" s="57"/>
      <c r="C2830" s="58"/>
      <c r="D2830" s="59"/>
      <c r="E2830" s="57"/>
      <c r="F2830" s="57"/>
      <c r="G2830" s="60"/>
      <c r="H2830" s="57"/>
      <c r="I2830" s="61"/>
      <c r="J2830" s="62"/>
      <c r="K2830" s="63"/>
      <c r="L2830" s="63"/>
      <c r="M2830" s="63"/>
      <c r="N2830" s="64"/>
      <c r="O2830" s="62"/>
      <c r="P2830" s="64"/>
      <c r="Q2830" s="59"/>
      <c r="R2830" s="65"/>
      <c r="S2830" s="65"/>
      <c r="T2830" s="65"/>
      <c r="U2830" s="65"/>
      <c r="V2830" s="65"/>
      <c r="W2830" s="65"/>
      <c r="X2830" s="65"/>
    </row>
    <row r="2831" ht="12.0" customHeight="1">
      <c r="A2831" s="241"/>
      <c r="B2831" s="57"/>
      <c r="C2831" s="58"/>
      <c r="D2831" s="59"/>
      <c r="E2831" s="57"/>
      <c r="F2831" s="57"/>
      <c r="G2831" s="60"/>
      <c r="H2831" s="57"/>
      <c r="I2831" s="61"/>
      <c r="J2831" s="62"/>
      <c r="K2831" s="63"/>
      <c r="L2831" s="63"/>
      <c r="M2831" s="63"/>
      <c r="N2831" s="64"/>
      <c r="O2831" s="62"/>
      <c r="P2831" s="64"/>
      <c r="Q2831" s="59"/>
      <c r="R2831" s="65"/>
      <c r="S2831" s="65"/>
      <c r="T2831" s="65"/>
      <c r="U2831" s="65"/>
      <c r="V2831" s="65"/>
      <c r="W2831" s="65"/>
      <c r="X2831" s="65"/>
    </row>
    <row r="2832" ht="12.0" customHeight="1">
      <c r="A2832" s="241"/>
      <c r="B2832" s="57"/>
      <c r="C2832" s="58"/>
      <c r="D2832" s="59"/>
      <c r="E2832" s="57"/>
      <c r="F2832" s="57"/>
      <c r="G2832" s="60"/>
      <c r="H2832" s="57"/>
      <c r="I2832" s="61"/>
      <c r="J2832" s="62"/>
      <c r="K2832" s="63"/>
      <c r="L2832" s="63"/>
      <c r="M2832" s="63"/>
      <c r="N2832" s="64"/>
      <c r="O2832" s="62"/>
      <c r="P2832" s="64"/>
      <c r="Q2832" s="59"/>
      <c r="R2832" s="65"/>
      <c r="S2832" s="65"/>
      <c r="T2832" s="65"/>
      <c r="U2832" s="65"/>
      <c r="V2832" s="65"/>
      <c r="W2832" s="65"/>
      <c r="X2832" s="65"/>
    </row>
    <row r="2833" ht="12.0" customHeight="1">
      <c r="A2833" s="241"/>
      <c r="B2833" s="57"/>
      <c r="C2833" s="58"/>
      <c r="D2833" s="59"/>
      <c r="E2833" s="57"/>
      <c r="F2833" s="57"/>
      <c r="G2833" s="60"/>
      <c r="H2833" s="57"/>
      <c r="I2833" s="61"/>
      <c r="J2833" s="62"/>
      <c r="K2833" s="63"/>
      <c r="L2833" s="63"/>
      <c r="M2833" s="63"/>
      <c r="N2833" s="64"/>
      <c r="O2833" s="62"/>
      <c r="P2833" s="64"/>
      <c r="Q2833" s="59"/>
      <c r="R2833" s="65"/>
      <c r="S2833" s="65"/>
      <c r="T2833" s="65"/>
      <c r="U2833" s="65"/>
      <c r="V2833" s="65"/>
      <c r="W2833" s="65"/>
      <c r="X2833" s="65"/>
    </row>
    <row r="2834" ht="12.0" customHeight="1">
      <c r="A2834" s="241"/>
      <c r="B2834" s="57"/>
      <c r="C2834" s="58"/>
      <c r="D2834" s="59"/>
      <c r="E2834" s="57"/>
      <c r="F2834" s="57"/>
      <c r="G2834" s="60"/>
      <c r="H2834" s="57"/>
      <c r="I2834" s="61"/>
      <c r="J2834" s="62"/>
      <c r="K2834" s="63"/>
      <c r="L2834" s="63"/>
      <c r="M2834" s="63"/>
      <c r="N2834" s="64"/>
      <c r="O2834" s="62"/>
      <c r="P2834" s="64"/>
      <c r="Q2834" s="59"/>
      <c r="R2834" s="65"/>
      <c r="S2834" s="65"/>
      <c r="T2834" s="65"/>
      <c r="U2834" s="65"/>
      <c r="V2834" s="65"/>
      <c r="W2834" s="65"/>
      <c r="X2834" s="65"/>
    </row>
    <row r="2835" ht="12.0" customHeight="1">
      <c r="A2835" s="241"/>
      <c r="B2835" s="57"/>
      <c r="C2835" s="58"/>
      <c r="D2835" s="59"/>
      <c r="E2835" s="57"/>
      <c r="F2835" s="57"/>
      <c r="G2835" s="60"/>
      <c r="H2835" s="57"/>
      <c r="I2835" s="61"/>
      <c r="J2835" s="62"/>
      <c r="K2835" s="63"/>
      <c r="L2835" s="63"/>
      <c r="M2835" s="63"/>
      <c r="N2835" s="64"/>
      <c r="O2835" s="62"/>
      <c r="P2835" s="64"/>
      <c r="Q2835" s="59"/>
      <c r="R2835" s="65"/>
      <c r="S2835" s="65"/>
      <c r="T2835" s="65"/>
      <c r="U2835" s="65"/>
      <c r="V2835" s="65"/>
      <c r="W2835" s="65"/>
      <c r="X2835" s="65"/>
    </row>
    <row r="2836" ht="12.0" customHeight="1">
      <c r="A2836" s="241"/>
      <c r="B2836" s="57"/>
      <c r="C2836" s="58"/>
      <c r="D2836" s="59"/>
      <c r="E2836" s="57"/>
      <c r="F2836" s="57"/>
      <c r="G2836" s="60"/>
      <c r="H2836" s="57"/>
      <c r="I2836" s="61"/>
      <c r="J2836" s="62"/>
      <c r="K2836" s="63"/>
      <c r="L2836" s="63"/>
      <c r="M2836" s="63"/>
      <c r="N2836" s="64"/>
      <c r="O2836" s="62"/>
      <c r="P2836" s="64"/>
      <c r="Q2836" s="59"/>
      <c r="R2836" s="65"/>
      <c r="S2836" s="65"/>
      <c r="T2836" s="65"/>
      <c r="U2836" s="65"/>
      <c r="V2836" s="65"/>
      <c r="W2836" s="65"/>
      <c r="X2836" s="65"/>
    </row>
    <row r="2837" ht="12.0" customHeight="1">
      <c r="A2837" s="241"/>
      <c r="B2837" s="57"/>
      <c r="C2837" s="58"/>
      <c r="D2837" s="59"/>
      <c r="E2837" s="57"/>
      <c r="F2837" s="57"/>
      <c r="G2837" s="60"/>
      <c r="H2837" s="57"/>
      <c r="I2837" s="61"/>
      <c r="J2837" s="62"/>
      <c r="K2837" s="63"/>
      <c r="L2837" s="63"/>
      <c r="M2837" s="63"/>
      <c r="N2837" s="64"/>
      <c r="O2837" s="62"/>
      <c r="P2837" s="64"/>
      <c r="Q2837" s="59"/>
      <c r="R2837" s="65"/>
      <c r="S2837" s="65"/>
      <c r="T2837" s="65"/>
      <c r="U2837" s="65"/>
      <c r="V2837" s="65"/>
      <c r="W2837" s="65"/>
      <c r="X2837" s="65"/>
    </row>
    <row r="2838" ht="12.0" customHeight="1">
      <c r="A2838" s="241"/>
      <c r="B2838" s="57"/>
      <c r="C2838" s="58"/>
      <c r="D2838" s="59"/>
      <c r="E2838" s="57"/>
      <c r="F2838" s="57"/>
      <c r="G2838" s="60"/>
      <c r="H2838" s="57"/>
      <c r="I2838" s="61"/>
      <c r="J2838" s="62"/>
      <c r="K2838" s="63"/>
      <c r="L2838" s="63"/>
      <c r="M2838" s="63"/>
      <c r="N2838" s="64"/>
      <c r="O2838" s="62"/>
      <c r="P2838" s="64"/>
      <c r="Q2838" s="59"/>
      <c r="R2838" s="65"/>
      <c r="S2838" s="65"/>
      <c r="T2838" s="65"/>
      <c r="U2838" s="65"/>
      <c r="V2838" s="65"/>
      <c r="W2838" s="65"/>
      <c r="X2838" s="65"/>
    </row>
    <row r="2839" ht="12.0" customHeight="1">
      <c r="A2839" s="241"/>
      <c r="B2839" s="57"/>
      <c r="C2839" s="58"/>
      <c r="D2839" s="59"/>
      <c r="E2839" s="57"/>
      <c r="F2839" s="57"/>
      <c r="G2839" s="60"/>
      <c r="H2839" s="57"/>
      <c r="I2839" s="61"/>
      <c r="J2839" s="62"/>
      <c r="K2839" s="63"/>
      <c r="L2839" s="63"/>
      <c r="M2839" s="63"/>
      <c r="N2839" s="64"/>
      <c r="O2839" s="62"/>
      <c r="P2839" s="64"/>
      <c r="Q2839" s="59"/>
      <c r="R2839" s="65"/>
      <c r="S2839" s="65"/>
      <c r="T2839" s="65"/>
      <c r="U2839" s="65"/>
      <c r="V2839" s="65"/>
      <c r="W2839" s="65"/>
      <c r="X2839" s="65"/>
    </row>
    <row r="2840" ht="12.0" customHeight="1">
      <c r="A2840" s="241"/>
      <c r="B2840" s="57"/>
      <c r="C2840" s="58"/>
      <c r="D2840" s="59"/>
      <c r="E2840" s="57"/>
      <c r="F2840" s="57"/>
      <c r="G2840" s="60"/>
      <c r="H2840" s="57"/>
      <c r="I2840" s="61"/>
      <c r="J2840" s="62"/>
      <c r="K2840" s="63"/>
      <c r="L2840" s="63"/>
      <c r="M2840" s="63"/>
      <c r="N2840" s="64"/>
      <c r="O2840" s="62"/>
      <c r="P2840" s="64"/>
      <c r="Q2840" s="59"/>
      <c r="R2840" s="65"/>
      <c r="S2840" s="65"/>
      <c r="T2840" s="65"/>
      <c r="U2840" s="65"/>
      <c r="V2840" s="65"/>
      <c r="W2840" s="65"/>
      <c r="X2840" s="65"/>
    </row>
    <row r="2841" ht="12.0" customHeight="1">
      <c r="A2841" s="241"/>
      <c r="B2841" s="57"/>
      <c r="C2841" s="58"/>
      <c r="D2841" s="59"/>
      <c r="E2841" s="57"/>
      <c r="F2841" s="57"/>
      <c r="G2841" s="60"/>
      <c r="H2841" s="57"/>
      <c r="I2841" s="61"/>
      <c r="J2841" s="62"/>
      <c r="K2841" s="63"/>
      <c r="L2841" s="63"/>
      <c r="M2841" s="63"/>
      <c r="N2841" s="64"/>
      <c r="O2841" s="62"/>
      <c r="P2841" s="64"/>
      <c r="Q2841" s="59"/>
      <c r="R2841" s="65"/>
      <c r="S2841" s="65"/>
      <c r="T2841" s="65"/>
      <c r="U2841" s="65"/>
      <c r="V2841" s="65"/>
      <c r="W2841" s="65"/>
      <c r="X2841" s="65"/>
    </row>
    <row r="2842" ht="12.0" customHeight="1">
      <c r="A2842" s="241"/>
      <c r="B2842" s="57"/>
      <c r="C2842" s="58"/>
      <c r="D2842" s="59"/>
      <c r="E2842" s="57"/>
      <c r="F2842" s="57"/>
      <c r="G2842" s="60"/>
      <c r="H2842" s="57"/>
      <c r="I2842" s="61"/>
      <c r="J2842" s="62"/>
      <c r="K2842" s="63"/>
      <c r="L2842" s="63"/>
      <c r="M2842" s="63"/>
      <c r="N2842" s="64"/>
      <c r="O2842" s="62"/>
      <c r="P2842" s="64"/>
      <c r="Q2842" s="59"/>
      <c r="R2842" s="65"/>
      <c r="S2842" s="65"/>
      <c r="T2842" s="65"/>
      <c r="U2842" s="65"/>
      <c r="V2842" s="65"/>
      <c r="W2842" s="65"/>
      <c r="X2842" s="65"/>
    </row>
    <row r="2843" ht="12.0" customHeight="1">
      <c r="A2843" s="241"/>
      <c r="B2843" s="57"/>
      <c r="C2843" s="58"/>
      <c r="D2843" s="59"/>
      <c r="E2843" s="57"/>
      <c r="F2843" s="57"/>
      <c r="G2843" s="60"/>
      <c r="H2843" s="57"/>
      <c r="I2843" s="61"/>
      <c r="J2843" s="62"/>
      <c r="K2843" s="63"/>
      <c r="L2843" s="63"/>
      <c r="M2843" s="63"/>
      <c r="N2843" s="64"/>
      <c r="O2843" s="62"/>
      <c r="P2843" s="64"/>
      <c r="Q2843" s="59"/>
      <c r="R2843" s="65"/>
      <c r="S2843" s="65"/>
      <c r="T2843" s="65"/>
      <c r="U2843" s="65"/>
      <c r="V2843" s="65"/>
      <c r="W2843" s="65"/>
      <c r="X2843" s="65"/>
    </row>
    <row r="2844" ht="12.0" customHeight="1">
      <c r="A2844" s="241"/>
      <c r="B2844" s="57"/>
      <c r="C2844" s="58"/>
      <c r="D2844" s="59"/>
      <c r="E2844" s="57"/>
      <c r="F2844" s="57"/>
      <c r="G2844" s="60"/>
      <c r="H2844" s="57"/>
      <c r="I2844" s="61"/>
      <c r="J2844" s="62"/>
      <c r="K2844" s="63"/>
      <c r="L2844" s="63"/>
      <c r="M2844" s="63"/>
      <c r="N2844" s="64"/>
      <c r="O2844" s="62"/>
      <c r="P2844" s="64"/>
      <c r="Q2844" s="59"/>
      <c r="R2844" s="65"/>
      <c r="S2844" s="65"/>
      <c r="T2844" s="65"/>
      <c r="U2844" s="65"/>
      <c r="V2844" s="65"/>
      <c r="W2844" s="65"/>
      <c r="X2844" s="65"/>
    </row>
    <row r="2845" ht="12.0" customHeight="1">
      <c r="A2845" s="241"/>
      <c r="B2845" s="57"/>
      <c r="C2845" s="58"/>
      <c r="D2845" s="59"/>
      <c r="E2845" s="57"/>
      <c r="F2845" s="57"/>
      <c r="G2845" s="60"/>
      <c r="H2845" s="57"/>
      <c r="I2845" s="61"/>
      <c r="J2845" s="62"/>
      <c r="K2845" s="63"/>
      <c r="L2845" s="63"/>
      <c r="M2845" s="63"/>
      <c r="N2845" s="64"/>
      <c r="O2845" s="62"/>
      <c r="P2845" s="64"/>
      <c r="Q2845" s="59"/>
      <c r="R2845" s="65"/>
      <c r="S2845" s="65"/>
      <c r="T2845" s="65"/>
      <c r="U2845" s="65"/>
      <c r="V2845" s="65"/>
      <c r="W2845" s="65"/>
      <c r="X2845" s="65"/>
    </row>
    <row r="2846" ht="12.0" customHeight="1">
      <c r="A2846" s="241"/>
      <c r="B2846" s="57"/>
      <c r="C2846" s="58"/>
      <c r="D2846" s="59"/>
      <c r="E2846" s="57"/>
      <c r="F2846" s="57"/>
      <c r="G2846" s="60"/>
      <c r="H2846" s="57"/>
      <c r="I2846" s="61"/>
      <c r="J2846" s="62"/>
      <c r="K2846" s="63"/>
      <c r="L2846" s="63"/>
      <c r="M2846" s="63"/>
      <c r="N2846" s="64"/>
      <c r="O2846" s="62"/>
      <c r="P2846" s="64"/>
      <c r="Q2846" s="59"/>
      <c r="R2846" s="65"/>
      <c r="S2846" s="65"/>
      <c r="T2846" s="65"/>
      <c r="U2846" s="65"/>
      <c r="V2846" s="65"/>
      <c r="W2846" s="65"/>
      <c r="X2846" s="65"/>
    </row>
    <row r="2847" ht="12.0" customHeight="1">
      <c r="A2847" s="241"/>
      <c r="B2847" s="57"/>
      <c r="C2847" s="58"/>
      <c r="D2847" s="59"/>
      <c r="E2847" s="57"/>
      <c r="F2847" s="57"/>
      <c r="G2847" s="60"/>
      <c r="H2847" s="57"/>
      <c r="I2847" s="61"/>
      <c r="J2847" s="62"/>
      <c r="K2847" s="63"/>
      <c r="L2847" s="63"/>
      <c r="M2847" s="63"/>
      <c r="N2847" s="64"/>
      <c r="O2847" s="62"/>
      <c r="P2847" s="64"/>
      <c r="Q2847" s="59"/>
      <c r="R2847" s="65"/>
      <c r="S2847" s="65"/>
      <c r="T2847" s="65"/>
      <c r="U2847" s="65"/>
      <c r="V2847" s="65"/>
      <c r="W2847" s="65"/>
      <c r="X2847" s="65"/>
    </row>
    <row r="2848" ht="12.0" customHeight="1">
      <c r="A2848" s="241"/>
      <c r="B2848" s="57"/>
      <c r="C2848" s="58"/>
      <c r="D2848" s="59"/>
      <c r="E2848" s="57"/>
      <c r="F2848" s="57"/>
      <c r="G2848" s="60"/>
      <c r="H2848" s="57"/>
      <c r="I2848" s="61"/>
      <c r="J2848" s="62"/>
      <c r="K2848" s="63"/>
      <c r="L2848" s="63"/>
      <c r="M2848" s="63"/>
      <c r="N2848" s="64"/>
      <c r="O2848" s="62"/>
      <c r="P2848" s="64"/>
      <c r="Q2848" s="59"/>
      <c r="R2848" s="65"/>
      <c r="S2848" s="65"/>
      <c r="T2848" s="65"/>
      <c r="U2848" s="65"/>
      <c r="V2848" s="65"/>
      <c r="W2848" s="65"/>
      <c r="X2848" s="65"/>
    </row>
    <row r="2849" ht="12.0" customHeight="1">
      <c r="A2849" s="241"/>
      <c r="B2849" s="57"/>
      <c r="C2849" s="58"/>
      <c r="D2849" s="59"/>
      <c r="E2849" s="57"/>
      <c r="F2849" s="57"/>
      <c r="G2849" s="60"/>
      <c r="H2849" s="57"/>
      <c r="I2849" s="61"/>
      <c r="J2849" s="62"/>
      <c r="K2849" s="63"/>
      <c r="L2849" s="63"/>
      <c r="M2849" s="63"/>
      <c r="N2849" s="64"/>
      <c r="O2849" s="62"/>
      <c r="P2849" s="64"/>
      <c r="Q2849" s="59"/>
      <c r="R2849" s="65"/>
      <c r="S2849" s="65"/>
      <c r="T2849" s="65"/>
      <c r="U2849" s="65"/>
      <c r="V2849" s="65"/>
      <c r="W2849" s="65"/>
      <c r="X2849" s="65"/>
    </row>
    <row r="2850" ht="12.0" customHeight="1">
      <c r="A2850" s="241"/>
      <c r="B2850" s="57"/>
      <c r="C2850" s="58"/>
      <c r="D2850" s="59"/>
      <c r="E2850" s="57"/>
      <c r="F2850" s="57"/>
      <c r="G2850" s="60"/>
      <c r="H2850" s="57"/>
      <c r="I2850" s="61"/>
      <c r="J2850" s="62"/>
      <c r="K2850" s="63"/>
      <c r="L2850" s="63"/>
      <c r="M2850" s="63"/>
      <c r="N2850" s="64"/>
      <c r="O2850" s="62"/>
      <c r="P2850" s="64"/>
      <c r="Q2850" s="59"/>
      <c r="R2850" s="65"/>
      <c r="S2850" s="65"/>
      <c r="T2850" s="65"/>
      <c r="U2850" s="65"/>
      <c r="V2850" s="65"/>
      <c r="W2850" s="65"/>
      <c r="X2850" s="65"/>
    </row>
    <row r="2851" ht="12.0" customHeight="1">
      <c r="A2851" s="241"/>
      <c r="B2851" s="57"/>
      <c r="C2851" s="58"/>
      <c r="D2851" s="59"/>
      <c r="E2851" s="57"/>
      <c r="F2851" s="57"/>
      <c r="G2851" s="60"/>
      <c r="H2851" s="57"/>
      <c r="I2851" s="61"/>
      <c r="J2851" s="62"/>
      <c r="K2851" s="63"/>
      <c r="L2851" s="63"/>
      <c r="M2851" s="63"/>
      <c r="N2851" s="64"/>
      <c r="O2851" s="62"/>
      <c r="P2851" s="64"/>
      <c r="Q2851" s="59"/>
      <c r="R2851" s="65"/>
      <c r="S2851" s="65"/>
      <c r="T2851" s="65"/>
      <c r="U2851" s="65"/>
      <c r="V2851" s="65"/>
      <c r="W2851" s="65"/>
      <c r="X2851" s="65"/>
    </row>
    <row r="2852" ht="12.0" customHeight="1">
      <c r="A2852" s="241"/>
      <c r="B2852" s="57"/>
      <c r="C2852" s="58"/>
      <c r="D2852" s="59"/>
      <c r="E2852" s="57"/>
      <c r="F2852" s="57"/>
      <c r="G2852" s="60"/>
      <c r="H2852" s="57"/>
      <c r="I2852" s="61"/>
      <c r="J2852" s="62"/>
      <c r="K2852" s="63"/>
      <c r="L2852" s="63"/>
      <c r="M2852" s="63"/>
      <c r="N2852" s="64"/>
      <c r="O2852" s="62"/>
      <c r="P2852" s="64"/>
      <c r="Q2852" s="59"/>
      <c r="R2852" s="65"/>
      <c r="S2852" s="65"/>
      <c r="T2852" s="65"/>
      <c r="U2852" s="65"/>
      <c r="V2852" s="65"/>
      <c r="W2852" s="65"/>
      <c r="X2852" s="65"/>
    </row>
    <row r="2853" ht="12.0" customHeight="1">
      <c r="A2853" s="241"/>
      <c r="B2853" s="57"/>
      <c r="C2853" s="58"/>
      <c r="D2853" s="59"/>
      <c r="E2853" s="57"/>
      <c r="F2853" s="57"/>
      <c r="G2853" s="60"/>
      <c r="H2853" s="57"/>
      <c r="I2853" s="61"/>
      <c r="J2853" s="62"/>
      <c r="K2853" s="63"/>
      <c r="L2853" s="63"/>
      <c r="M2853" s="63"/>
      <c r="N2853" s="64"/>
      <c r="O2853" s="62"/>
      <c r="P2853" s="64"/>
      <c r="Q2853" s="59"/>
      <c r="R2853" s="65"/>
      <c r="S2853" s="65"/>
      <c r="T2853" s="65"/>
      <c r="U2853" s="65"/>
      <c r="V2853" s="65"/>
      <c r="W2853" s="65"/>
      <c r="X2853" s="65"/>
    </row>
    <row r="2854" ht="12.0" customHeight="1">
      <c r="A2854" s="241"/>
      <c r="B2854" s="57"/>
      <c r="C2854" s="58"/>
      <c r="D2854" s="59"/>
      <c r="E2854" s="57"/>
      <c r="F2854" s="57"/>
      <c r="G2854" s="60"/>
      <c r="H2854" s="57"/>
      <c r="I2854" s="61"/>
      <c r="J2854" s="62"/>
      <c r="K2854" s="63"/>
      <c r="L2854" s="63"/>
      <c r="M2854" s="63"/>
      <c r="N2854" s="64"/>
      <c r="O2854" s="62"/>
      <c r="P2854" s="64"/>
      <c r="Q2854" s="59"/>
      <c r="R2854" s="65"/>
      <c r="S2854" s="65"/>
      <c r="T2854" s="65"/>
      <c r="U2854" s="65"/>
      <c r="V2854" s="65"/>
      <c r="W2854" s="65"/>
      <c r="X2854" s="65"/>
    </row>
    <row r="2855" ht="12.0" customHeight="1">
      <c r="A2855" s="241"/>
      <c r="B2855" s="57"/>
      <c r="C2855" s="58"/>
      <c r="D2855" s="59"/>
      <c r="E2855" s="57"/>
      <c r="F2855" s="57"/>
      <c r="G2855" s="60"/>
      <c r="H2855" s="57"/>
      <c r="I2855" s="61"/>
      <c r="J2855" s="62"/>
      <c r="K2855" s="63"/>
      <c r="L2855" s="63"/>
      <c r="M2855" s="63"/>
      <c r="N2855" s="64"/>
      <c r="O2855" s="62"/>
      <c r="P2855" s="64"/>
      <c r="Q2855" s="59"/>
      <c r="R2855" s="65"/>
      <c r="S2855" s="65"/>
      <c r="T2855" s="65"/>
      <c r="U2855" s="65"/>
      <c r="V2855" s="65"/>
      <c r="W2855" s="65"/>
      <c r="X2855" s="65"/>
    </row>
    <row r="2856" ht="12.0" customHeight="1">
      <c r="A2856" s="241"/>
      <c r="B2856" s="57"/>
      <c r="C2856" s="58"/>
      <c r="D2856" s="59"/>
      <c r="E2856" s="57"/>
      <c r="F2856" s="57"/>
      <c r="G2856" s="60"/>
      <c r="H2856" s="57"/>
      <c r="I2856" s="61"/>
      <c r="J2856" s="62"/>
      <c r="K2856" s="63"/>
      <c r="L2856" s="63"/>
      <c r="M2856" s="63"/>
      <c r="N2856" s="64"/>
      <c r="O2856" s="62"/>
      <c r="P2856" s="64"/>
      <c r="Q2856" s="59"/>
      <c r="R2856" s="65"/>
      <c r="S2856" s="65"/>
      <c r="T2856" s="65"/>
      <c r="U2856" s="65"/>
      <c r="V2856" s="65"/>
      <c r="W2856" s="65"/>
      <c r="X2856" s="65"/>
    </row>
    <row r="2857" ht="12.0" customHeight="1">
      <c r="A2857" s="241"/>
      <c r="B2857" s="57"/>
      <c r="C2857" s="58"/>
      <c r="D2857" s="59"/>
      <c r="E2857" s="57"/>
      <c r="F2857" s="57"/>
      <c r="G2857" s="60"/>
      <c r="H2857" s="57"/>
      <c r="I2857" s="61"/>
      <c r="J2857" s="62"/>
      <c r="K2857" s="63"/>
      <c r="L2857" s="63"/>
      <c r="M2857" s="63"/>
      <c r="N2857" s="64"/>
      <c r="O2857" s="62"/>
      <c r="P2857" s="64"/>
      <c r="Q2857" s="59"/>
      <c r="R2857" s="65"/>
      <c r="S2857" s="65"/>
      <c r="T2857" s="65"/>
      <c r="U2857" s="65"/>
      <c r="V2857" s="65"/>
      <c r="W2857" s="65"/>
      <c r="X2857" s="65"/>
    </row>
    <row r="2858" ht="12.0" customHeight="1">
      <c r="A2858" s="241"/>
      <c r="B2858" s="57"/>
      <c r="C2858" s="58"/>
      <c r="D2858" s="59"/>
      <c r="E2858" s="57"/>
      <c r="F2858" s="57"/>
      <c r="G2858" s="60"/>
      <c r="H2858" s="57"/>
      <c r="I2858" s="61"/>
      <c r="J2858" s="62"/>
      <c r="K2858" s="63"/>
      <c r="L2858" s="63"/>
      <c r="M2858" s="63"/>
      <c r="N2858" s="64"/>
      <c r="O2858" s="62"/>
      <c r="P2858" s="64"/>
      <c r="Q2858" s="59"/>
      <c r="R2858" s="65"/>
      <c r="S2858" s="65"/>
      <c r="T2858" s="65"/>
      <c r="U2858" s="65"/>
      <c r="V2858" s="65"/>
      <c r="W2858" s="65"/>
      <c r="X2858" s="65"/>
    </row>
    <row r="2859" ht="12.0" customHeight="1">
      <c r="A2859" s="241"/>
      <c r="B2859" s="57"/>
      <c r="C2859" s="58"/>
      <c r="D2859" s="59"/>
      <c r="E2859" s="57"/>
      <c r="F2859" s="57"/>
      <c r="G2859" s="60"/>
      <c r="H2859" s="57"/>
      <c r="I2859" s="61"/>
      <c r="J2859" s="62"/>
      <c r="K2859" s="63"/>
      <c r="L2859" s="63"/>
      <c r="M2859" s="63"/>
      <c r="N2859" s="64"/>
      <c r="O2859" s="62"/>
      <c r="P2859" s="64"/>
      <c r="Q2859" s="59"/>
      <c r="R2859" s="65"/>
      <c r="S2859" s="65"/>
      <c r="T2859" s="65"/>
      <c r="U2859" s="65"/>
      <c r="V2859" s="65"/>
      <c r="W2859" s="65"/>
      <c r="X2859" s="65"/>
    </row>
    <row r="2860" ht="12.0" customHeight="1">
      <c r="A2860" s="241"/>
      <c r="B2860" s="57"/>
      <c r="C2860" s="58"/>
      <c r="D2860" s="59"/>
      <c r="E2860" s="57"/>
      <c r="F2860" s="57"/>
      <c r="G2860" s="60"/>
      <c r="H2860" s="57"/>
      <c r="I2860" s="61"/>
      <c r="J2860" s="62"/>
      <c r="K2860" s="63"/>
      <c r="L2860" s="63"/>
      <c r="M2860" s="63"/>
      <c r="N2860" s="64"/>
      <c r="O2860" s="62"/>
      <c r="P2860" s="64"/>
      <c r="Q2860" s="59"/>
      <c r="R2860" s="65"/>
      <c r="S2860" s="65"/>
      <c r="T2860" s="65"/>
      <c r="U2860" s="65"/>
      <c r="V2860" s="65"/>
      <c r="W2860" s="65"/>
      <c r="X2860" s="65"/>
    </row>
    <row r="2861" ht="12.0" customHeight="1">
      <c r="A2861" s="241"/>
      <c r="B2861" s="57"/>
      <c r="C2861" s="58"/>
      <c r="D2861" s="59"/>
      <c r="E2861" s="57"/>
      <c r="F2861" s="57"/>
      <c r="G2861" s="60"/>
      <c r="H2861" s="57"/>
      <c r="I2861" s="61"/>
      <c r="J2861" s="62"/>
      <c r="K2861" s="63"/>
      <c r="L2861" s="63"/>
      <c r="M2861" s="63"/>
      <c r="N2861" s="64"/>
      <c r="O2861" s="62"/>
      <c r="P2861" s="64"/>
      <c r="Q2861" s="59"/>
      <c r="R2861" s="65"/>
      <c r="S2861" s="65"/>
      <c r="T2861" s="65"/>
      <c r="U2861" s="65"/>
      <c r="V2861" s="65"/>
      <c r="W2861" s="65"/>
      <c r="X2861" s="65"/>
    </row>
    <row r="2862" ht="12.0" customHeight="1">
      <c r="A2862" s="241"/>
      <c r="B2862" s="57"/>
      <c r="C2862" s="58"/>
      <c r="D2862" s="59"/>
      <c r="E2862" s="57"/>
      <c r="F2862" s="57"/>
      <c r="G2862" s="60"/>
      <c r="H2862" s="57"/>
      <c r="I2862" s="61"/>
      <c r="J2862" s="62"/>
      <c r="K2862" s="63"/>
      <c r="L2862" s="63"/>
      <c r="M2862" s="63"/>
      <c r="N2862" s="64"/>
      <c r="O2862" s="62"/>
      <c r="P2862" s="64"/>
      <c r="Q2862" s="59"/>
      <c r="R2862" s="65"/>
      <c r="S2862" s="65"/>
      <c r="T2862" s="65"/>
      <c r="U2862" s="65"/>
      <c r="V2862" s="65"/>
      <c r="W2862" s="65"/>
      <c r="X2862" s="65"/>
    </row>
    <row r="2863" ht="12.0" customHeight="1">
      <c r="A2863" s="241"/>
      <c r="B2863" s="57"/>
      <c r="C2863" s="58"/>
      <c r="D2863" s="59"/>
      <c r="E2863" s="57"/>
      <c r="F2863" s="57"/>
      <c r="G2863" s="60"/>
      <c r="H2863" s="57"/>
      <c r="I2863" s="61"/>
      <c r="J2863" s="62"/>
      <c r="K2863" s="63"/>
      <c r="L2863" s="63"/>
      <c r="M2863" s="63"/>
      <c r="N2863" s="64"/>
      <c r="O2863" s="62"/>
      <c r="P2863" s="64"/>
      <c r="Q2863" s="59"/>
      <c r="R2863" s="65"/>
      <c r="S2863" s="65"/>
      <c r="T2863" s="65"/>
      <c r="U2863" s="65"/>
      <c r="V2863" s="65"/>
      <c r="W2863" s="65"/>
      <c r="X2863" s="65"/>
    </row>
    <row r="2864" ht="12.0" customHeight="1">
      <c r="A2864" s="241"/>
      <c r="B2864" s="57"/>
      <c r="C2864" s="58"/>
      <c r="D2864" s="59"/>
      <c r="E2864" s="57"/>
      <c r="F2864" s="57"/>
      <c r="G2864" s="60"/>
      <c r="H2864" s="57"/>
      <c r="I2864" s="61"/>
      <c r="J2864" s="62"/>
      <c r="K2864" s="63"/>
      <c r="L2864" s="63"/>
      <c r="M2864" s="63"/>
      <c r="N2864" s="64"/>
      <c r="O2864" s="62"/>
      <c r="P2864" s="64"/>
      <c r="Q2864" s="59"/>
      <c r="R2864" s="65"/>
      <c r="S2864" s="65"/>
      <c r="T2864" s="65"/>
      <c r="U2864" s="65"/>
      <c r="V2864" s="65"/>
      <c r="W2864" s="65"/>
      <c r="X2864" s="65"/>
    </row>
    <row r="2865" ht="12.0" customHeight="1">
      <c r="A2865" s="241"/>
      <c r="B2865" s="57"/>
      <c r="C2865" s="58"/>
      <c r="D2865" s="59"/>
      <c r="E2865" s="57"/>
      <c r="F2865" s="57"/>
      <c r="G2865" s="60"/>
      <c r="H2865" s="57"/>
      <c r="I2865" s="61"/>
      <c r="J2865" s="62"/>
      <c r="K2865" s="63"/>
      <c r="L2865" s="63"/>
      <c r="M2865" s="63"/>
      <c r="N2865" s="64"/>
      <c r="O2865" s="62"/>
      <c r="P2865" s="64"/>
      <c r="Q2865" s="59"/>
      <c r="R2865" s="65"/>
      <c r="S2865" s="65"/>
      <c r="T2865" s="65"/>
      <c r="U2865" s="65"/>
      <c r="V2865" s="65"/>
      <c r="W2865" s="65"/>
      <c r="X2865" s="65"/>
    </row>
    <row r="2866" ht="12.0" customHeight="1">
      <c r="A2866" s="241"/>
      <c r="B2866" s="57"/>
      <c r="C2866" s="58"/>
      <c r="D2866" s="59"/>
      <c r="E2866" s="57"/>
      <c r="F2866" s="57"/>
      <c r="G2866" s="60"/>
      <c r="H2866" s="57"/>
      <c r="I2866" s="61"/>
      <c r="J2866" s="62"/>
      <c r="K2866" s="63"/>
      <c r="L2866" s="63"/>
      <c r="M2866" s="63"/>
      <c r="N2866" s="64"/>
      <c r="O2866" s="62"/>
      <c r="P2866" s="64"/>
      <c r="Q2866" s="59"/>
      <c r="R2866" s="65"/>
      <c r="S2866" s="65"/>
      <c r="T2866" s="65"/>
      <c r="U2866" s="65"/>
      <c r="V2866" s="65"/>
      <c r="W2866" s="65"/>
      <c r="X2866" s="65"/>
    </row>
    <row r="2867" ht="12.0" customHeight="1">
      <c r="A2867" s="241"/>
      <c r="B2867" s="57"/>
      <c r="C2867" s="58"/>
      <c r="D2867" s="59"/>
      <c r="E2867" s="57"/>
      <c r="F2867" s="57"/>
      <c r="G2867" s="60"/>
      <c r="H2867" s="57"/>
      <c r="I2867" s="61"/>
      <c r="J2867" s="62"/>
      <c r="K2867" s="63"/>
      <c r="L2867" s="63"/>
      <c r="M2867" s="63"/>
      <c r="N2867" s="64"/>
      <c r="O2867" s="62"/>
      <c r="P2867" s="64"/>
      <c r="Q2867" s="59"/>
      <c r="R2867" s="65"/>
      <c r="S2867" s="65"/>
      <c r="T2867" s="65"/>
      <c r="U2867" s="65"/>
      <c r="V2867" s="65"/>
      <c r="W2867" s="65"/>
      <c r="X2867" s="65"/>
    </row>
    <row r="2868" ht="12.0" customHeight="1">
      <c r="A2868" s="241"/>
      <c r="B2868" s="57"/>
      <c r="C2868" s="58"/>
      <c r="D2868" s="59"/>
      <c r="E2868" s="57"/>
      <c r="F2868" s="57"/>
      <c r="G2868" s="60"/>
      <c r="H2868" s="57"/>
      <c r="I2868" s="61"/>
      <c r="J2868" s="62"/>
      <c r="K2868" s="63"/>
      <c r="L2868" s="63"/>
      <c r="M2868" s="63"/>
      <c r="N2868" s="64"/>
      <c r="O2868" s="62"/>
      <c r="P2868" s="64"/>
      <c r="Q2868" s="59"/>
      <c r="R2868" s="65"/>
      <c r="S2868" s="65"/>
      <c r="T2868" s="65"/>
      <c r="U2868" s="65"/>
      <c r="V2868" s="65"/>
      <c r="W2868" s="65"/>
      <c r="X2868" s="65"/>
    </row>
    <row r="2869" ht="12.0" customHeight="1">
      <c r="A2869" s="241"/>
      <c r="B2869" s="57"/>
      <c r="C2869" s="58"/>
      <c r="D2869" s="59"/>
      <c r="E2869" s="57"/>
      <c r="F2869" s="57"/>
      <c r="G2869" s="60"/>
      <c r="H2869" s="57"/>
      <c r="I2869" s="61"/>
      <c r="J2869" s="62"/>
      <c r="K2869" s="63"/>
      <c r="L2869" s="63"/>
      <c r="M2869" s="63"/>
      <c r="N2869" s="64"/>
      <c r="O2869" s="62"/>
      <c r="P2869" s="64"/>
      <c r="Q2869" s="59"/>
      <c r="R2869" s="65"/>
      <c r="S2869" s="65"/>
      <c r="T2869" s="65"/>
      <c r="U2869" s="65"/>
      <c r="V2869" s="65"/>
      <c r="W2869" s="65"/>
      <c r="X2869" s="65"/>
    </row>
    <row r="2870" ht="12.0" customHeight="1">
      <c r="A2870" s="241"/>
      <c r="B2870" s="57"/>
      <c r="C2870" s="58"/>
      <c r="D2870" s="59"/>
      <c r="E2870" s="57"/>
      <c r="F2870" s="57"/>
      <c r="G2870" s="60"/>
      <c r="H2870" s="57"/>
      <c r="I2870" s="61"/>
      <c r="J2870" s="62"/>
      <c r="K2870" s="63"/>
      <c r="L2870" s="63"/>
      <c r="M2870" s="63"/>
      <c r="N2870" s="64"/>
      <c r="O2870" s="62"/>
      <c r="P2870" s="64"/>
      <c r="Q2870" s="59"/>
      <c r="R2870" s="65"/>
      <c r="S2870" s="65"/>
      <c r="T2870" s="65"/>
      <c r="U2870" s="65"/>
      <c r="V2870" s="65"/>
      <c r="W2870" s="65"/>
      <c r="X2870" s="65"/>
    </row>
    <row r="2871" ht="12.0" customHeight="1">
      <c r="A2871" s="241"/>
      <c r="B2871" s="57"/>
      <c r="C2871" s="58"/>
      <c r="D2871" s="59"/>
      <c r="E2871" s="57"/>
      <c r="F2871" s="57"/>
      <c r="G2871" s="60"/>
      <c r="H2871" s="57"/>
      <c r="I2871" s="61"/>
      <c r="J2871" s="62"/>
      <c r="K2871" s="63"/>
      <c r="L2871" s="63"/>
      <c r="M2871" s="63"/>
      <c r="N2871" s="64"/>
      <c r="O2871" s="62"/>
      <c r="P2871" s="64"/>
      <c r="Q2871" s="59"/>
      <c r="R2871" s="65"/>
      <c r="S2871" s="65"/>
      <c r="T2871" s="65"/>
      <c r="U2871" s="65"/>
      <c r="V2871" s="65"/>
      <c r="W2871" s="65"/>
      <c r="X2871" s="65"/>
    </row>
    <row r="2872" ht="12.0" customHeight="1">
      <c r="A2872" s="241"/>
      <c r="B2872" s="57"/>
      <c r="C2872" s="58"/>
      <c r="D2872" s="59"/>
      <c r="E2872" s="57"/>
      <c r="F2872" s="57"/>
      <c r="G2872" s="60"/>
      <c r="H2872" s="57"/>
      <c r="I2872" s="61"/>
      <c r="J2872" s="62"/>
      <c r="K2872" s="63"/>
      <c r="L2872" s="63"/>
      <c r="M2872" s="63"/>
      <c r="N2872" s="64"/>
      <c r="O2872" s="62"/>
      <c r="P2872" s="64"/>
      <c r="Q2872" s="59"/>
      <c r="R2872" s="65"/>
      <c r="S2872" s="65"/>
      <c r="T2872" s="65"/>
      <c r="U2872" s="65"/>
      <c r="V2872" s="65"/>
      <c r="W2872" s="65"/>
      <c r="X2872" s="65"/>
    </row>
    <row r="2873" ht="12.0" customHeight="1">
      <c r="A2873" s="241"/>
      <c r="B2873" s="57"/>
      <c r="C2873" s="58"/>
      <c r="D2873" s="59"/>
      <c r="E2873" s="57"/>
      <c r="F2873" s="57"/>
      <c r="G2873" s="60"/>
      <c r="H2873" s="57"/>
      <c r="I2873" s="61"/>
      <c r="J2873" s="62"/>
      <c r="K2873" s="63"/>
      <c r="L2873" s="63"/>
      <c r="M2873" s="63"/>
      <c r="N2873" s="64"/>
      <c r="O2873" s="62"/>
      <c r="P2873" s="64"/>
      <c r="Q2873" s="59"/>
      <c r="R2873" s="65"/>
      <c r="S2873" s="65"/>
      <c r="T2873" s="65"/>
      <c r="U2873" s="65"/>
      <c r="V2873" s="65"/>
      <c r="W2873" s="65"/>
      <c r="X2873" s="65"/>
    </row>
    <row r="2874" ht="12.0" customHeight="1">
      <c r="A2874" s="241"/>
      <c r="B2874" s="57"/>
      <c r="C2874" s="58"/>
      <c r="D2874" s="59"/>
      <c r="E2874" s="57"/>
      <c r="F2874" s="57"/>
      <c r="G2874" s="60"/>
      <c r="H2874" s="57"/>
      <c r="I2874" s="61"/>
      <c r="J2874" s="62"/>
      <c r="K2874" s="63"/>
      <c r="L2874" s="63"/>
      <c r="M2874" s="63"/>
      <c r="N2874" s="64"/>
      <c r="O2874" s="62"/>
      <c r="P2874" s="64"/>
      <c r="Q2874" s="59"/>
      <c r="R2874" s="65"/>
      <c r="S2874" s="65"/>
      <c r="T2874" s="65"/>
      <c r="U2874" s="65"/>
      <c r="V2874" s="65"/>
      <c r="W2874" s="65"/>
      <c r="X2874" s="65"/>
    </row>
    <row r="2875" ht="12.0" customHeight="1">
      <c r="A2875" s="241"/>
      <c r="B2875" s="57"/>
      <c r="C2875" s="58"/>
      <c r="D2875" s="59"/>
      <c r="E2875" s="57"/>
      <c r="F2875" s="57"/>
      <c r="G2875" s="60"/>
      <c r="H2875" s="57"/>
      <c r="I2875" s="61"/>
      <c r="J2875" s="62"/>
      <c r="K2875" s="63"/>
      <c r="L2875" s="63"/>
      <c r="M2875" s="63"/>
      <c r="N2875" s="64"/>
      <c r="O2875" s="62"/>
      <c r="P2875" s="64"/>
      <c r="Q2875" s="59"/>
      <c r="R2875" s="65"/>
      <c r="S2875" s="65"/>
      <c r="T2875" s="65"/>
      <c r="U2875" s="65"/>
      <c r="V2875" s="65"/>
      <c r="W2875" s="65"/>
      <c r="X2875" s="65"/>
    </row>
    <row r="2876" ht="12.0" customHeight="1">
      <c r="A2876" s="241"/>
      <c r="B2876" s="57"/>
      <c r="C2876" s="58"/>
      <c r="D2876" s="59"/>
      <c r="E2876" s="57"/>
      <c r="F2876" s="57"/>
      <c r="G2876" s="60"/>
      <c r="H2876" s="57"/>
      <c r="I2876" s="61"/>
      <c r="J2876" s="62"/>
      <c r="K2876" s="63"/>
      <c r="L2876" s="63"/>
      <c r="M2876" s="63"/>
      <c r="N2876" s="64"/>
      <c r="O2876" s="62"/>
      <c r="P2876" s="64"/>
      <c r="Q2876" s="59"/>
      <c r="R2876" s="65"/>
      <c r="S2876" s="65"/>
      <c r="T2876" s="65"/>
      <c r="U2876" s="65"/>
      <c r="V2876" s="65"/>
      <c r="W2876" s="65"/>
      <c r="X2876" s="65"/>
    </row>
    <row r="2877" ht="12.0" customHeight="1">
      <c r="A2877" s="241"/>
      <c r="B2877" s="57"/>
      <c r="C2877" s="58"/>
      <c r="D2877" s="59"/>
      <c r="E2877" s="57"/>
      <c r="F2877" s="57"/>
      <c r="G2877" s="60"/>
      <c r="H2877" s="57"/>
      <c r="I2877" s="61"/>
      <c r="J2877" s="62"/>
      <c r="K2877" s="63"/>
      <c r="L2877" s="63"/>
      <c r="M2877" s="63"/>
      <c r="N2877" s="64"/>
      <c r="O2877" s="62"/>
      <c r="P2877" s="64"/>
      <c r="Q2877" s="59"/>
      <c r="R2877" s="65"/>
      <c r="S2877" s="65"/>
      <c r="T2877" s="65"/>
      <c r="U2877" s="65"/>
      <c r="V2877" s="65"/>
      <c r="W2877" s="65"/>
      <c r="X2877" s="65"/>
    </row>
    <row r="2878" ht="12.0" customHeight="1">
      <c r="A2878" s="241"/>
      <c r="B2878" s="57"/>
      <c r="C2878" s="58"/>
      <c r="D2878" s="59"/>
      <c r="E2878" s="57"/>
      <c r="F2878" s="57"/>
      <c r="G2878" s="60"/>
      <c r="H2878" s="57"/>
      <c r="I2878" s="61"/>
      <c r="J2878" s="62"/>
      <c r="K2878" s="63"/>
      <c r="L2878" s="63"/>
      <c r="M2878" s="63"/>
      <c r="N2878" s="64"/>
      <c r="O2878" s="62"/>
      <c r="P2878" s="64"/>
      <c r="Q2878" s="59"/>
      <c r="R2878" s="65"/>
      <c r="S2878" s="65"/>
      <c r="T2878" s="65"/>
      <c r="U2878" s="65"/>
      <c r="V2878" s="65"/>
      <c r="W2878" s="65"/>
      <c r="X2878" s="65"/>
    </row>
    <row r="2879" ht="12.0" customHeight="1">
      <c r="A2879" s="241"/>
      <c r="B2879" s="57"/>
      <c r="C2879" s="58"/>
      <c r="D2879" s="59"/>
      <c r="E2879" s="57"/>
      <c r="F2879" s="57"/>
      <c r="G2879" s="60"/>
      <c r="H2879" s="57"/>
      <c r="I2879" s="61"/>
      <c r="J2879" s="62"/>
      <c r="K2879" s="63"/>
      <c r="L2879" s="63"/>
      <c r="M2879" s="63"/>
      <c r="N2879" s="64"/>
      <c r="O2879" s="62"/>
      <c r="P2879" s="64"/>
      <c r="Q2879" s="59"/>
      <c r="R2879" s="65"/>
      <c r="S2879" s="65"/>
      <c r="T2879" s="65"/>
      <c r="U2879" s="65"/>
      <c r="V2879" s="65"/>
      <c r="W2879" s="65"/>
      <c r="X2879" s="65"/>
    </row>
    <row r="2880" ht="12.0" customHeight="1">
      <c r="A2880" s="241"/>
      <c r="B2880" s="57"/>
      <c r="C2880" s="58"/>
      <c r="D2880" s="59"/>
      <c r="E2880" s="57"/>
      <c r="F2880" s="57"/>
      <c r="G2880" s="60"/>
      <c r="H2880" s="57"/>
      <c r="I2880" s="61"/>
      <c r="J2880" s="62"/>
      <c r="K2880" s="63"/>
      <c r="L2880" s="63"/>
      <c r="M2880" s="63"/>
      <c r="N2880" s="64"/>
      <c r="O2880" s="62"/>
      <c r="P2880" s="64"/>
      <c r="Q2880" s="59"/>
      <c r="R2880" s="65"/>
      <c r="S2880" s="65"/>
      <c r="T2880" s="65"/>
      <c r="U2880" s="65"/>
      <c r="V2880" s="65"/>
      <c r="W2880" s="65"/>
      <c r="X2880" s="65"/>
    </row>
    <row r="2881" ht="12.0" customHeight="1">
      <c r="A2881" s="241"/>
      <c r="B2881" s="57"/>
      <c r="C2881" s="58"/>
      <c r="D2881" s="59"/>
      <c r="E2881" s="57"/>
      <c r="F2881" s="57"/>
      <c r="G2881" s="60"/>
      <c r="H2881" s="57"/>
      <c r="I2881" s="61"/>
      <c r="J2881" s="62"/>
      <c r="K2881" s="63"/>
      <c r="L2881" s="63"/>
      <c r="M2881" s="63"/>
      <c r="N2881" s="64"/>
      <c r="O2881" s="62"/>
      <c r="P2881" s="64"/>
      <c r="Q2881" s="59"/>
      <c r="R2881" s="65"/>
      <c r="S2881" s="65"/>
      <c r="T2881" s="65"/>
      <c r="U2881" s="65"/>
      <c r="V2881" s="65"/>
      <c r="W2881" s="65"/>
      <c r="X2881" s="65"/>
    </row>
    <row r="2882" ht="12.0" customHeight="1">
      <c r="A2882" s="241"/>
      <c r="B2882" s="57"/>
      <c r="C2882" s="58"/>
      <c r="D2882" s="59"/>
      <c r="E2882" s="57"/>
      <c r="F2882" s="57"/>
      <c r="G2882" s="60"/>
      <c r="H2882" s="57"/>
      <c r="I2882" s="61"/>
      <c r="J2882" s="62"/>
      <c r="K2882" s="63"/>
      <c r="L2882" s="63"/>
      <c r="M2882" s="63"/>
      <c r="N2882" s="64"/>
      <c r="O2882" s="62"/>
      <c r="P2882" s="64"/>
      <c r="Q2882" s="59"/>
      <c r="R2882" s="65"/>
      <c r="S2882" s="65"/>
      <c r="T2882" s="65"/>
      <c r="U2882" s="65"/>
      <c r="V2882" s="65"/>
      <c r="W2882" s="65"/>
      <c r="X2882" s="65"/>
    </row>
    <row r="2883" ht="12.0" customHeight="1">
      <c r="A2883" s="241"/>
      <c r="B2883" s="57"/>
      <c r="C2883" s="58"/>
      <c r="D2883" s="59"/>
      <c r="E2883" s="57"/>
      <c r="F2883" s="57"/>
      <c r="G2883" s="60"/>
      <c r="H2883" s="57"/>
      <c r="I2883" s="61"/>
      <c r="J2883" s="62"/>
      <c r="K2883" s="63"/>
      <c r="L2883" s="63"/>
      <c r="M2883" s="63"/>
      <c r="N2883" s="64"/>
      <c r="O2883" s="62"/>
      <c r="P2883" s="64"/>
      <c r="Q2883" s="59"/>
      <c r="R2883" s="65"/>
      <c r="S2883" s="65"/>
      <c r="T2883" s="65"/>
      <c r="U2883" s="65"/>
      <c r="V2883" s="65"/>
      <c r="W2883" s="65"/>
      <c r="X2883" s="65"/>
    </row>
    <row r="2884" ht="12.0" customHeight="1">
      <c r="A2884" s="241"/>
      <c r="B2884" s="57"/>
      <c r="C2884" s="58"/>
      <c r="D2884" s="59"/>
      <c r="E2884" s="57"/>
      <c r="F2884" s="57"/>
      <c r="G2884" s="60"/>
      <c r="H2884" s="57"/>
      <c r="I2884" s="61"/>
      <c r="J2884" s="62"/>
      <c r="K2884" s="63"/>
      <c r="L2884" s="63"/>
      <c r="M2884" s="63"/>
      <c r="N2884" s="64"/>
      <c r="O2884" s="62"/>
      <c r="P2884" s="64"/>
      <c r="Q2884" s="59"/>
      <c r="R2884" s="65"/>
      <c r="S2884" s="65"/>
      <c r="T2884" s="65"/>
      <c r="U2884" s="65"/>
      <c r="V2884" s="65"/>
      <c r="W2884" s="65"/>
      <c r="X2884" s="65"/>
    </row>
    <row r="2885" ht="12.0" customHeight="1">
      <c r="A2885" s="241"/>
      <c r="B2885" s="57"/>
      <c r="C2885" s="58"/>
      <c r="D2885" s="59"/>
      <c r="E2885" s="57"/>
      <c r="F2885" s="57"/>
      <c r="G2885" s="60"/>
      <c r="H2885" s="57"/>
      <c r="I2885" s="61"/>
      <c r="J2885" s="62"/>
      <c r="K2885" s="63"/>
      <c r="L2885" s="63"/>
      <c r="M2885" s="63"/>
      <c r="N2885" s="64"/>
      <c r="O2885" s="62"/>
      <c r="P2885" s="64"/>
      <c r="Q2885" s="59"/>
      <c r="R2885" s="65"/>
      <c r="S2885" s="65"/>
      <c r="T2885" s="65"/>
      <c r="U2885" s="65"/>
      <c r="V2885" s="65"/>
      <c r="W2885" s="65"/>
      <c r="X2885" s="65"/>
    </row>
    <row r="2886" ht="12.0" customHeight="1">
      <c r="A2886" s="241"/>
      <c r="B2886" s="57"/>
      <c r="C2886" s="58"/>
      <c r="D2886" s="59"/>
      <c r="E2886" s="57"/>
      <c r="F2886" s="57"/>
      <c r="G2886" s="60"/>
      <c r="H2886" s="57"/>
      <c r="I2886" s="61"/>
      <c r="J2886" s="62"/>
      <c r="K2886" s="63"/>
      <c r="L2886" s="63"/>
      <c r="M2886" s="63"/>
      <c r="N2886" s="64"/>
      <c r="O2886" s="62"/>
      <c r="P2886" s="64"/>
      <c r="Q2886" s="59"/>
      <c r="R2886" s="65"/>
      <c r="S2886" s="65"/>
      <c r="T2886" s="65"/>
      <c r="U2886" s="65"/>
      <c r="V2886" s="65"/>
      <c r="W2886" s="65"/>
      <c r="X2886" s="65"/>
    </row>
    <row r="2887" ht="12.0" customHeight="1">
      <c r="A2887" s="241"/>
      <c r="B2887" s="57"/>
      <c r="C2887" s="58"/>
      <c r="D2887" s="59"/>
      <c r="E2887" s="57"/>
      <c r="F2887" s="57"/>
      <c r="G2887" s="60"/>
      <c r="H2887" s="57"/>
      <c r="I2887" s="61"/>
      <c r="J2887" s="62"/>
      <c r="K2887" s="63"/>
      <c r="L2887" s="63"/>
      <c r="M2887" s="63"/>
      <c r="N2887" s="64"/>
      <c r="O2887" s="62"/>
      <c r="P2887" s="64"/>
      <c r="Q2887" s="59"/>
      <c r="R2887" s="65"/>
      <c r="S2887" s="65"/>
      <c r="T2887" s="65"/>
      <c r="U2887" s="65"/>
      <c r="V2887" s="65"/>
      <c r="W2887" s="65"/>
      <c r="X2887" s="65"/>
    </row>
    <row r="2888" ht="12.0" customHeight="1">
      <c r="A2888" s="241"/>
      <c r="B2888" s="57"/>
      <c r="C2888" s="58"/>
      <c r="D2888" s="59"/>
      <c r="E2888" s="57"/>
      <c r="F2888" s="57"/>
      <c r="G2888" s="60"/>
      <c r="H2888" s="57"/>
      <c r="I2888" s="61"/>
      <c r="J2888" s="62"/>
      <c r="K2888" s="63"/>
      <c r="L2888" s="63"/>
      <c r="M2888" s="63"/>
      <c r="N2888" s="64"/>
      <c r="O2888" s="62"/>
      <c r="P2888" s="64"/>
      <c r="Q2888" s="59"/>
      <c r="R2888" s="65"/>
      <c r="S2888" s="65"/>
      <c r="T2888" s="65"/>
      <c r="U2888" s="65"/>
      <c r="V2888" s="65"/>
      <c r="W2888" s="65"/>
      <c r="X2888" s="65"/>
    </row>
    <row r="2889" ht="12.0" customHeight="1">
      <c r="A2889" s="241"/>
      <c r="B2889" s="57"/>
      <c r="C2889" s="58"/>
      <c r="D2889" s="59"/>
      <c r="E2889" s="57"/>
      <c r="F2889" s="57"/>
      <c r="G2889" s="60"/>
      <c r="H2889" s="57"/>
      <c r="I2889" s="61"/>
      <c r="J2889" s="62"/>
      <c r="K2889" s="63"/>
      <c r="L2889" s="63"/>
      <c r="M2889" s="63"/>
      <c r="N2889" s="64"/>
      <c r="O2889" s="62"/>
      <c r="P2889" s="64"/>
      <c r="Q2889" s="59"/>
      <c r="R2889" s="65"/>
      <c r="S2889" s="65"/>
      <c r="T2889" s="65"/>
      <c r="U2889" s="65"/>
      <c r="V2889" s="65"/>
      <c r="W2889" s="65"/>
      <c r="X2889" s="65"/>
    </row>
    <row r="2890" ht="12.0" customHeight="1">
      <c r="A2890" s="241"/>
      <c r="B2890" s="57"/>
      <c r="C2890" s="58"/>
      <c r="D2890" s="59"/>
      <c r="E2890" s="57"/>
      <c r="F2890" s="57"/>
      <c r="G2890" s="60"/>
      <c r="H2890" s="57"/>
      <c r="I2890" s="61"/>
      <c r="J2890" s="62"/>
      <c r="K2890" s="63"/>
      <c r="L2890" s="63"/>
      <c r="M2890" s="63"/>
      <c r="N2890" s="64"/>
      <c r="O2890" s="62"/>
      <c r="P2890" s="64"/>
      <c r="Q2890" s="59"/>
      <c r="R2890" s="65"/>
      <c r="S2890" s="65"/>
      <c r="T2890" s="65"/>
      <c r="U2890" s="65"/>
      <c r="V2890" s="65"/>
      <c r="W2890" s="65"/>
      <c r="X2890" s="65"/>
    </row>
    <row r="2891" ht="12.0" customHeight="1">
      <c r="A2891" s="241"/>
      <c r="B2891" s="57"/>
      <c r="C2891" s="58"/>
      <c r="D2891" s="59"/>
      <c r="E2891" s="57"/>
      <c r="F2891" s="57"/>
      <c r="G2891" s="60"/>
      <c r="H2891" s="57"/>
      <c r="I2891" s="61"/>
      <c r="J2891" s="62"/>
      <c r="K2891" s="63"/>
      <c r="L2891" s="63"/>
      <c r="M2891" s="63"/>
      <c r="N2891" s="64"/>
      <c r="O2891" s="62"/>
      <c r="P2891" s="64"/>
      <c r="Q2891" s="59"/>
      <c r="R2891" s="65"/>
      <c r="S2891" s="65"/>
      <c r="T2891" s="65"/>
      <c r="U2891" s="65"/>
      <c r="V2891" s="65"/>
      <c r="W2891" s="65"/>
      <c r="X2891" s="65"/>
    </row>
    <row r="2892" ht="12.0" customHeight="1">
      <c r="A2892" s="241"/>
      <c r="B2892" s="57"/>
      <c r="C2892" s="58"/>
      <c r="D2892" s="59"/>
      <c r="E2892" s="57"/>
      <c r="F2892" s="57"/>
      <c r="G2892" s="60"/>
      <c r="H2892" s="57"/>
      <c r="I2892" s="61"/>
      <c r="J2892" s="62"/>
      <c r="K2892" s="63"/>
      <c r="L2892" s="63"/>
      <c r="M2892" s="63"/>
      <c r="N2892" s="64"/>
      <c r="O2892" s="62"/>
      <c r="P2892" s="64"/>
      <c r="Q2892" s="59"/>
      <c r="R2892" s="65"/>
      <c r="S2892" s="65"/>
      <c r="T2892" s="65"/>
      <c r="U2892" s="65"/>
      <c r="V2892" s="65"/>
      <c r="W2892" s="65"/>
      <c r="X2892" s="65"/>
    </row>
    <row r="2893" ht="12.0" customHeight="1">
      <c r="A2893" s="241"/>
      <c r="B2893" s="57"/>
      <c r="C2893" s="58"/>
      <c r="D2893" s="59"/>
      <c r="E2893" s="57"/>
      <c r="F2893" s="57"/>
      <c r="G2893" s="60"/>
      <c r="H2893" s="57"/>
      <c r="I2893" s="61"/>
      <c r="J2893" s="62"/>
      <c r="K2893" s="63"/>
      <c r="L2893" s="63"/>
      <c r="M2893" s="63"/>
      <c r="N2893" s="64"/>
      <c r="O2893" s="62"/>
      <c r="P2893" s="64"/>
      <c r="Q2893" s="59"/>
      <c r="R2893" s="65"/>
      <c r="S2893" s="65"/>
      <c r="T2893" s="65"/>
      <c r="U2893" s="65"/>
      <c r="V2893" s="65"/>
      <c r="W2893" s="65"/>
      <c r="X2893" s="65"/>
    </row>
    <row r="2894" ht="12.0" customHeight="1">
      <c r="A2894" s="241"/>
      <c r="B2894" s="57"/>
      <c r="C2894" s="58"/>
      <c r="D2894" s="59"/>
      <c r="E2894" s="57"/>
      <c r="F2894" s="57"/>
      <c r="G2894" s="60"/>
      <c r="H2894" s="57"/>
      <c r="I2894" s="61"/>
      <c r="J2894" s="62"/>
      <c r="K2894" s="63"/>
      <c r="L2894" s="63"/>
      <c r="M2894" s="63"/>
      <c r="N2894" s="64"/>
      <c r="O2894" s="62"/>
      <c r="P2894" s="64"/>
      <c r="Q2894" s="59"/>
      <c r="R2894" s="65"/>
      <c r="S2894" s="65"/>
      <c r="T2894" s="65"/>
      <c r="U2894" s="65"/>
      <c r="V2894" s="65"/>
      <c r="W2894" s="65"/>
      <c r="X2894" s="65"/>
    </row>
    <row r="2895" ht="12.0" customHeight="1">
      <c r="A2895" s="241"/>
      <c r="B2895" s="57"/>
      <c r="C2895" s="58"/>
      <c r="D2895" s="59"/>
      <c r="E2895" s="57"/>
      <c r="F2895" s="57"/>
      <c r="G2895" s="60"/>
      <c r="H2895" s="57"/>
      <c r="I2895" s="61"/>
      <c r="J2895" s="62"/>
      <c r="K2895" s="63"/>
      <c r="L2895" s="63"/>
      <c r="M2895" s="63"/>
      <c r="N2895" s="64"/>
      <c r="O2895" s="62"/>
      <c r="P2895" s="64"/>
      <c r="Q2895" s="59"/>
      <c r="R2895" s="65"/>
      <c r="S2895" s="65"/>
      <c r="T2895" s="65"/>
      <c r="U2895" s="65"/>
      <c r="V2895" s="65"/>
      <c r="W2895" s="65"/>
      <c r="X2895" s="65"/>
    </row>
    <row r="2896" ht="12.0" customHeight="1">
      <c r="A2896" s="241"/>
      <c r="B2896" s="57"/>
      <c r="C2896" s="58"/>
      <c r="D2896" s="59"/>
      <c r="E2896" s="57"/>
      <c r="F2896" s="57"/>
      <c r="G2896" s="60"/>
      <c r="H2896" s="57"/>
      <c r="I2896" s="61"/>
      <c r="J2896" s="62"/>
      <c r="K2896" s="63"/>
      <c r="L2896" s="63"/>
      <c r="M2896" s="63"/>
      <c r="N2896" s="64"/>
      <c r="O2896" s="62"/>
      <c r="P2896" s="64"/>
      <c r="Q2896" s="59"/>
      <c r="R2896" s="65"/>
      <c r="S2896" s="65"/>
      <c r="T2896" s="65"/>
      <c r="U2896" s="65"/>
      <c r="V2896" s="65"/>
      <c r="W2896" s="65"/>
      <c r="X2896" s="65"/>
    </row>
    <row r="2897" ht="12.0" customHeight="1">
      <c r="A2897" s="241"/>
      <c r="B2897" s="57"/>
      <c r="C2897" s="58"/>
      <c r="D2897" s="59"/>
      <c r="E2897" s="57"/>
      <c r="F2897" s="57"/>
      <c r="G2897" s="60"/>
      <c r="H2897" s="57"/>
      <c r="I2897" s="61"/>
      <c r="J2897" s="62"/>
      <c r="K2897" s="63"/>
      <c r="L2897" s="63"/>
      <c r="M2897" s="63"/>
      <c r="N2897" s="64"/>
      <c r="O2897" s="62"/>
      <c r="P2897" s="64"/>
      <c r="Q2897" s="59"/>
      <c r="R2897" s="65"/>
      <c r="S2897" s="65"/>
      <c r="T2897" s="65"/>
      <c r="U2897" s="65"/>
      <c r="V2897" s="65"/>
      <c r="W2897" s="65"/>
      <c r="X2897" s="65"/>
    </row>
    <row r="2898" ht="12.0" customHeight="1">
      <c r="A2898" s="241"/>
      <c r="B2898" s="57"/>
      <c r="C2898" s="58"/>
      <c r="D2898" s="59"/>
      <c r="E2898" s="57"/>
      <c r="F2898" s="57"/>
      <c r="G2898" s="60"/>
      <c r="H2898" s="57"/>
      <c r="I2898" s="61"/>
      <c r="J2898" s="62"/>
      <c r="K2898" s="63"/>
      <c r="L2898" s="63"/>
      <c r="M2898" s="63"/>
      <c r="N2898" s="64"/>
      <c r="O2898" s="62"/>
      <c r="P2898" s="64"/>
      <c r="Q2898" s="59"/>
      <c r="R2898" s="65"/>
      <c r="S2898" s="65"/>
      <c r="T2898" s="65"/>
      <c r="U2898" s="65"/>
      <c r="V2898" s="65"/>
      <c r="W2898" s="65"/>
      <c r="X2898" s="65"/>
    </row>
    <row r="2899" ht="12.0" customHeight="1">
      <c r="A2899" s="241"/>
      <c r="B2899" s="57"/>
      <c r="C2899" s="58"/>
      <c r="D2899" s="59"/>
      <c r="E2899" s="57"/>
      <c r="F2899" s="57"/>
      <c r="G2899" s="60"/>
      <c r="H2899" s="57"/>
      <c r="I2899" s="61"/>
      <c r="J2899" s="62"/>
      <c r="K2899" s="63"/>
      <c r="L2899" s="63"/>
      <c r="M2899" s="63"/>
      <c r="N2899" s="64"/>
      <c r="O2899" s="62"/>
      <c r="P2899" s="64"/>
      <c r="Q2899" s="59"/>
      <c r="R2899" s="65"/>
      <c r="S2899" s="65"/>
      <c r="T2899" s="65"/>
      <c r="U2899" s="65"/>
      <c r="V2899" s="65"/>
      <c r="W2899" s="65"/>
      <c r="X2899" s="65"/>
    </row>
    <row r="2900" ht="12.0" customHeight="1">
      <c r="A2900" s="241"/>
      <c r="B2900" s="57"/>
      <c r="C2900" s="58"/>
      <c r="D2900" s="59"/>
      <c r="E2900" s="57"/>
      <c r="F2900" s="57"/>
      <c r="G2900" s="60"/>
      <c r="H2900" s="57"/>
      <c r="I2900" s="61"/>
      <c r="J2900" s="62"/>
      <c r="K2900" s="63"/>
      <c r="L2900" s="63"/>
      <c r="M2900" s="63"/>
      <c r="N2900" s="64"/>
      <c r="O2900" s="62"/>
      <c r="P2900" s="64"/>
      <c r="Q2900" s="59"/>
      <c r="R2900" s="65"/>
      <c r="S2900" s="65"/>
      <c r="T2900" s="65"/>
      <c r="U2900" s="65"/>
      <c r="V2900" s="65"/>
      <c r="W2900" s="65"/>
      <c r="X2900" s="65"/>
    </row>
    <row r="2901" ht="12.0" customHeight="1">
      <c r="A2901" s="241"/>
      <c r="B2901" s="57"/>
      <c r="C2901" s="58"/>
      <c r="D2901" s="59"/>
      <c r="E2901" s="57"/>
      <c r="F2901" s="57"/>
      <c r="G2901" s="60"/>
      <c r="H2901" s="57"/>
      <c r="I2901" s="61"/>
      <c r="J2901" s="62"/>
      <c r="K2901" s="63"/>
      <c r="L2901" s="63"/>
      <c r="M2901" s="63"/>
      <c r="N2901" s="64"/>
      <c r="O2901" s="62"/>
      <c r="P2901" s="64"/>
      <c r="Q2901" s="59"/>
      <c r="R2901" s="65"/>
      <c r="S2901" s="65"/>
      <c r="T2901" s="65"/>
      <c r="U2901" s="65"/>
      <c r="V2901" s="65"/>
      <c r="W2901" s="65"/>
      <c r="X2901" s="65"/>
    </row>
    <row r="2902" ht="12.0" customHeight="1">
      <c r="A2902" s="241"/>
      <c r="B2902" s="57"/>
      <c r="C2902" s="58"/>
      <c r="D2902" s="59"/>
      <c r="E2902" s="57"/>
      <c r="F2902" s="57"/>
      <c r="G2902" s="60"/>
      <c r="H2902" s="57"/>
      <c r="I2902" s="61"/>
      <c r="J2902" s="62"/>
      <c r="K2902" s="63"/>
      <c r="L2902" s="63"/>
      <c r="M2902" s="63"/>
      <c r="N2902" s="64"/>
      <c r="O2902" s="62"/>
      <c r="P2902" s="64"/>
      <c r="Q2902" s="59"/>
      <c r="R2902" s="65"/>
      <c r="S2902" s="65"/>
      <c r="T2902" s="65"/>
      <c r="U2902" s="65"/>
      <c r="V2902" s="65"/>
      <c r="W2902" s="65"/>
      <c r="X2902" s="65"/>
    </row>
    <row r="2903" ht="12.0" customHeight="1">
      <c r="A2903" s="241"/>
      <c r="B2903" s="57"/>
      <c r="C2903" s="58"/>
      <c r="D2903" s="59"/>
      <c r="E2903" s="57"/>
      <c r="F2903" s="57"/>
      <c r="G2903" s="60"/>
      <c r="H2903" s="57"/>
      <c r="I2903" s="61"/>
      <c r="J2903" s="62"/>
      <c r="K2903" s="63"/>
      <c r="L2903" s="63"/>
      <c r="M2903" s="63"/>
      <c r="N2903" s="64"/>
      <c r="O2903" s="62"/>
      <c r="P2903" s="64"/>
      <c r="Q2903" s="59"/>
      <c r="R2903" s="65"/>
      <c r="S2903" s="65"/>
      <c r="T2903" s="65"/>
      <c r="U2903" s="65"/>
      <c r="V2903" s="65"/>
      <c r="W2903" s="65"/>
      <c r="X2903" s="65"/>
    </row>
    <row r="2904" ht="12.0" customHeight="1">
      <c r="A2904" s="241"/>
      <c r="B2904" s="57"/>
      <c r="C2904" s="58"/>
      <c r="D2904" s="59"/>
      <c r="E2904" s="57"/>
      <c r="F2904" s="57"/>
      <c r="G2904" s="60"/>
      <c r="H2904" s="57"/>
      <c r="I2904" s="61"/>
      <c r="J2904" s="62"/>
      <c r="K2904" s="63"/>
      <c r="L2904" s="63"/>
      <c r="M2904" s="63"/>
      <c r="N2904" s="64"/>
      <c r="O2904" s="62"/>
      <c r="P2904" s="64"/>
      <c r="Q2904" s="59"/>
      <c r="R2904" s="65"/>
      <c r="S2904" s="65"/>
      <c r="T2904" s="65"/>
      <c r="U2904" s="65"/>
      <c r="V2904" s="65"/>
      <c r="W2904" s="65"/>
      <c r="X2904" s="65"/>
    </row>
    <row r="2905" ht="12.0" customHeight="1">
      <c r="A2905" s="241"/>
      <c r="B2905" s="57"/>
      <c r="C2905" s="58"/>
      <c r="D2905" s="59"/>
      <c r="E2905" s="57"/>
      <c r="F2905" s="57"/>
      <c r="G2905" s="60"/>
      <c r="H2905" s="57"/>
      <c r="I2905" s="61"/>
      <c r="J2905" s="62"/>
      <c r="K2905" s="63"/>
      <c r="L2905" s="63"/>
      <c r="M2905" s="63"/>
      <c r="N2905" s="64"/>
      <c r="O2905" s="62"/>
      <c r="P2905" s="64"/>
      <c r="Q2905" s="59"/>
      <c r="R2905" s="65"/>
      <c r="S2905" s="65"/>
      <c r="T2905" s="65"/>
      <c r="U2905" s="65"/>
      <c r="V2905" s="65"/>
      <c r="W2905" s="65"/>
      <c r="X2905" s="65"/>
    </row>
    <row r="2906" ht="12.0" customHeight="1">
      <c r="A2906" s="241"/>
      <c r="B2906" s="57"/>
      <c r="C2906" s="58"/>
      <c r="D2906" s="59"/>
      <c r="E2906" s="57"/>
      <c r="F2906" s="57"/>
      <c r="G2906" s="60"/>
      <c r="H2906" s="57"/>
      <c r="I2906" s="61"/>
      <c r="J2906" s="62"/>
      <c r="K2906" s="63"/>
      <c r="L2906" s="63"/>
      <c r="M2906" s="63"/>
      <c r="N2906" s="64"/>
      <c r="O2906" s="62"/>
      <c r="P2906" s="64"/>
      <c r="Q2906" s="59"/>
      <c r="R2906" s="65"/>
      <c r="S2906" s="65"/>
      <c r="T2906" s="65"/>
      <c r="U2906" s="65"/>
      <c r="V2906" s="65"/>
      <c r="W2906" s="65"/>
      <c r="X2906" s="65"/>
    </row>
    <row r="2907" ht="12.0" customHeight="1">
      <c r="A2907" s="241"/>
      <c r="B2907" s="57"/>
      <c r="C2907" s="58"/>
      <c r="D2907" s="59"/>
      <c r="E2907" s="57"/>
      <c r="F2907" s="57"/>
      <c r="G2907" s="60"/>
      <c r="H2907" s="57"/>
      <c r="I2907" s="61"/>
      <c r="J2907" s="62"/>
      <c r="K2907" s="63"/>
      <c r="L2907" s="63"/>
      <c r="M2907" s="63"/>
      <c r="N2907" s="64"/>
      <c r="O2907" s="62"/>
      <c r="P2907" s="64"/>
      <c r="Q2907" s="59"/>
      <c r="R2907" s="65"/>
      <c r="S2907" s="65"/>
      <c r="T2907" s="65"/>
      <c r="U2907" s="65"/>
      <c r="V2907" s="65"/>
      <c r="W2907" s="65"/>
      <c r="X2907" s="65"/>
    </row>
    <row r="2908" ht="12.0" customHeight="1">
      <c r="A2908" s="241"/>
      <c r="B2908" s="57"/>
      <c r="C2908" s="58"/>
      <c r="D2908" s="59"/>
      <c r="E2908" s="57"/>
      <c r="F2908" s="57"/>
      <c r="G2908" s="60"/>
      <c r="H2908" s="57"/>
      <c r="I2908" s="61"/>
      <c r="J2908" s="62"/>
      <c r="K2908" s="63"/>
      <c r="L2908" s="63"/>
      <c r="M2908" s="63"/>
      <c r="N2908" s="64"/>
      <c r="O2908" s="62"/>
      <c r="P2908" s="64"/>
      <c r="Q2908" s="59"/>
      <c r="R2908" s="65"/>
      <c r="S2908" s="65"/>
      <c r="T2908" s="65"/>
      <c r="U2908" s="65"/>
      <c r="V2908" s="65"/>
      <c r="W2908" s="65"/>
      <c r="X2908" s="65"/>
    </row>
    <row r="2909" ht="12.0" customHeight="1">
      <c r="A2909" s="241"/>
      <c r="B2909" s="57"/>
      <c r="C2909" s="58"/>
      <c r="D2909" s="59"/>
      <c r="E2909" s="57"/>
      <c r="F2909" s="57"/>
      <c r="G2909" s="60"/>
      <c r="H2909" s="57"/>
      <c r="I2909" s="61"/>
      <c r="J2909" s="62"/>
      <c r="K2909" s="63"/>
      <c r="L2909" s="63"/>
      <c r="M2909" s="63"/>
      <c r="N2909" s="64"/>
      <c r="O2909" s="62"/>
      <c r="P2909" s="64"/>
      <c r="Q2909" s="59"/>
      <c r="R2909" s="65"/>
      <c r="S2909" s="65"/>
      <c r="T2909" s="65"/>
      <c r="U2909" s="65"/>
      <c r="V2909" s="65"/>
      <c r="W2909" s="65"/>
      <c r="X2909" s="65"/>
    </row>
    <row r="2910" ht="12.0" customHeight="1">
      <c r="A2910" s="241"/>
      <c r="B2910" s="57"/>
      <c r="C2910" s="58"/>
      <c r="D2910" s="59"/>
      <c r="E2910" s="57"/>
      <c r="F2910" s="57"/>
      <c r="G2910" s="60"/>
      <c r="H2910" s="57"/>
      <c r="I2910" s="61"/>
      <c r="J2910" s="62"/>
      <c r="K2910" s="63"/>
      <c r="L2910" s="63"/>
      <c r="M2910" s="63"/>
      <c r="N2910" s="64"/>
      <c r="O2910" s="62"/>
      <c r="P2910" s="64"/>
      <c r="Q2910" s="59"/>
      <c r="R2910" s="65"/>
      <c r="S2910" s="65"/>
      <c r="T2910" s="65"/>
      <c r="U2910" s="65"/>
      <c r="V2910" s="65"/>
      <c r="W2910" s="65"/>
      <c r="X2910" s="65"/>
    </row>
    <row r="2911" ht="12.0" customHeight="1">
      <c r="A2911" s="241"/>
      <c r="B2911" s="57"/>
      <c r="C2911" s="58"/>
      <c r="D2911" s="59"/>
      <c r="E2911" s="57"/>
      <c r="F2911" s="57"/>
      <c r="G2911" s="60"/>
      <c r="H2911" s="57"/>
      <c r="I2911" s="61"/>
      <c r="J2911" s="62"/>
      <c r="K2911" s="63"/>
      <c r="L2911" s="63"/>
      <c r="M2911" s="63"/>
      <c r="N2911" s="64"/>
      <c r="O2911" s="62"/>
      <c r="P2911" s="64"/>
      <c r="Q2911" s="59"/>
      <c r="R2911" s="65"/>
      <c r="S2911" s="65"/>
      <c r="T2911" s="65"/>
      <c r="U2911" s="65"/>
      <c r="V2911" s="65"/>
      <c r="W2911" s="65"/>
      <c r="X2911" s="65"/>
    </row>
    <row r="2912" ht="12.0" customHeight="1">
      <c r="A2912" s="241"/>
      <c r="B2912" s="57"/>
      <c r="C2912" s="58"/>
      <c r="D2912" s="59"/>
      <c r="E2912" s="57"/>
      <c r="F2912" s="57"/>
      <c r="G2912" s="60"/>
      <c r="H2912" s="57"/>
      <c r="I2912" s="61"/>
      <c r="J2912" s="62"/>
      <c r="K2912" s="63"/>
      <c r="L2912" s="63"/>
      <c r="M2912" s="63"/>
      <c r="N2912" s="64"/>
      <c r="O2912" s="62"/>
      <c r="P2912" s="64"/>
      <c r="Q2912" s="59"/>
      <c r="R2912" s="65"/>
      <c r="S2912" s="65"/>
      <c r="T2912" s="65"/>
      <c r="U2912" s="65"/>
      <c r="V2912" s="65"/>
      <c r="W2912" s="65"/>
      <c r="X2912" s="65"/>
    </row>
    <row r="2913" ht="12.0" customHeight="1">
      <c r="A2913" s="241"/>
      <c r="B2913" s="57"/>
      <c r="C2913" s="58"/>
      <c r="D2913" s="59"/>
      <c r="E2913" s="57"/>
      <c r="F2913" s="57"/>
      <c r="G2913" s="60"/>
      <c r="H2913" s="57"/>
      <c r="I2913" s="61"/>
      <c r="J2913" s="62"/>
      <c r="K2913" s="63"/>
      <c r="L2913" s="63"/>
      <c r="M2913" s="63"/>
      <c r="N2913" s="64"/>
      <c r="O2913" s="62"/>
      <c r="P2913" s="64"/>
      <c r="Q2913" s="59"/>
      <c r="R2913" s="65"/>
      <c r="S2913" s="65"/>
      <c r="T2913" s="65"/>
      <c r="U2913" s="65"/>
      <c r="V2913" s="65"/>
      <c r="W2913" s="65"/>
      <c r="X2913" s="65"/>
    </row>
    <row r="2914" ht="12.0" customHeight="1">
      <c r="A2914" s="241"/>
      <c r="B2914" s="57"/>
      <c r="C2914" s="58"/>
      <c r="D2914" s="59"/>
      <c r="E2914" s="57"/>
      <c r="F2914" s="57"/>
      <c r="G2914" s="60"/>
      <c r="H2914" s="57"/>
      <c r="I2914" s="61"/>
      <c r="J2914" s="62"/>
      <c r="K2914" s="63"/>
      <c r="L2914" s="63"/>
      <c r="M2914" s="63"/>
      <c r="N2914" s="64"/>
      <c r="O2914" s="62"/>
      <c r="P2914" s="64"/>
      <c r="Q2914" s="59"/>
      <c r="R2914" s="65"/>
      <c r="S2914" s="65"/>
      <c r="T2914" s="65"/>
      <c r="U2914" s="65"/>
      <c r="V2914" s="65"/>
      <c r="W2914" s="65"/>
      <c r="X2914" s="65"/>
    </row>
    <row r="2915" ht="12.0" customHeight="1">
      <c r="A2915" s="241"/>
      <c r="B2915" s="57"/>
      <c r="C2915" s="58"/>
      <c r="D2915" s="59"/>
      <c r="E2915" s="57"/>
      <c r="F2915" s="57"/>
      <c r="G2915" s="60"/>
      <c r="H2915" s="57"/>
      <c r="I2915" s="61"/>
      <c r="J2915" s="62"/>
      <c r="K2915" s="63"/>
      <c r="L2915" s="63"/>
      <c r="M2915" s="63"/>
      <c r="N2915" s="64"/>
      <c r="O2915" s="62"/>
      <c r="P2915" s="64"/>
      <c r="Q2915" s="59"/>
      <c r="R2915" s="65"/>
      <c r="S2915" s="65"/>
      <c r="T2915" s="65"/>
      <c r="U2915" s="65"/>
      <c r="V2915" s="65"/>
      <c r="W2915" s="65"/>
      <c r="X2915" s="65"/>
    </row>
    <row r="2916" ht="12.0" customHeight="1">
      <c r="A2916" s="241"/>
      <c r="B2916" s="57"/>
      <c r="C2916" s="58"/>
      <c r="D2916" s="59"/>
      <c r="E2916" s="57"/>
      <c r="F2916" s="57"/>
      <c r="G2916" s="60"/>
      <c r="H2916" s="57"/>
      <c r="I2916" s="61"/>
      <c r="J2916" s="62"/>
      <c r="K2916" s="63"/>
      <c r="L2916" s="63"/>
      <c r="M2916" s="63"/>
      <c r="N2916" s="64"/>
      <c r="O2916" s="62"/>
      <c r="P2916" s="64"/>
      <c r="Q2916" s="59"/>
      <c r="R2916" s="65"/>
      <c r="S2916" s="65"/>
      <c r="T2916" s="65"/>
      <c r="U2916" s="65"/>
      <c r="V2916" s="65"/>
      <c r="W2916" s="65"/>
      <c r="X2916" s="65"/>
    </row>
    <row r="2917" ht="12.0" customHeight="1">
      <c r="A2917" s="241"/>
      <c r="B2917" s="57"/>
      <c r="C2917" s="58"/>
      <c r="D2917" s="59"/>
      <c r="E2917" s="57"/>
      <c r="F2917" s="57"/>
      <c r="G2917" s="60"/>
      <c r="H2917" s="57"/>
      <c r="I2917" s="61"/>
      <c r="J2917" s="62"/>
      <c r="K2917" s="63"/>
      <c r="L2917" s="63"/>
      <c r="M2917" s="63"/>
      <c r="N2917" s="64"/>
      <c r="O2917" s="62"/>
      <c r="P2917" s="64"/>
      <c r="Q2917" s="59"/>
      <c r="R2917" s="65"/>
      <c r="S2917" s="65"/>
      <c r="T2917" s="65"/>
      <c r="U2917" s="65"/>
      <c r="V2917" s="65"/>
      <c r="W2917" s="65"/>
      <c r="X2917" s="65"/>
    </row>
    <row r="2918" ht="12.0" customHeight="1">
      <c r="A2918" s="241"/>
      <c r="B2918" s="57"/>
      <c r="C2918" s="58"/>
      <c r="D2918" s="59"/>
      <c r="E2918" s="57"/>
      <c r="F2918" s="57"/>
      <c r="G2918" s="60"/>
      <c r="H2918" s="57"/>
      <c r="I2918" s="61"/>
      <c r="J2918" s="62"/>
      <c r="K2918" s="63"/>
      <c r="L2918" s="63"/>
      <c r="M2918" s="63"/>
      <c r="N2918" s="64"/>
      <c r="O2918" s="62"/>
      <c r="P2918" s="64"/>
      <c r="Q2918" s="59"/>
      <c r="R2918" s="65"/>
      <c r="S2918" s="65"/>
      <c r="T2918" s="65"/>
      <c r="U2918" s="65"/>
      <c r="V2918" s="65"/>
      <c r="W2918" s="65"/>
      <c r="X2918" s="65"/>
    </row>
    <row r="2919" ht="12.0" customHeight="1">
      <c r="A2919" s="241"/>
      <c r="B2919" s="57"/>
      <c r="C2919" s="58"/>
      <c r="D2919" s="59"/>
      <c r="E2919" s="57"/>
      <c r="F2919" s="57"/>
      <c r="G2919" s="60"/>
      <c r="H2919" s="57"/>
      <c r="I2919" s="61"/>
      <c r="J2919" s="62"/>
      <c r="K2919" s="63"/>
      <c r="L2919" s="63"/>
      <c r="M2919" s="63"/>
      <c r="N2919" s="64"/>
      <c r="O2919" s="62"/>
      <c r="P2919" s="64"/>
      <c r="Q2919" s="59"/>
      <c r="R2919" s="65"/>
      <c r="S2919" s="65"/>
      <c r="T2919" s="65"/>
      <c r="U2919" s="65"/>
      <c r="V2919" s="65"/>
      <c r="W2919" s="65"/>
      <c r="X2919" s="65"/>
    </row>
    <row r="2920" ht="12.0" customHeight="1">
      <c r="A2920" s="241"/>
      <c r="B2920" s="57"/>
      <c r="C2920" s="58"/>
      <c r="D2920" s="59"/>
      <c r="E2920" s="57"/>
      <c r="F2920" s="57"/>
      <c r="G2920" s="60"/>
      <c r="H2920" s="57"/>
      <c r="I2920" s="61"/>
      <c r="J2920" s="62"/>
      <c r="K2920" s="63"/>
      <c r="L2920" s="63"/>
      <c r="M2920" s="63"/>
      <c r="N2920" s="64"/>
      <c r="O2920" s="62"/>
      <c r="P2920" s="64"/>
      <c r="Q2920" s="59"/>
      <c r="R2920" s="65"/>
      <c r="S2920" s="65"/>
      <c r="T2920" s="65"/>
      <c r="U2920" s="65"/>
      <c r="V2920" s="65"/>
      <c r="W2920" s="65"/>
      <c r="X2920" s="65"/>
    </row>
    <row r="2921" ht="12.0" customHeight="1">
      <c r="A2921" s="241"/>
      <c r="B2921" s="57"/>
      <c r="C2921" s="58"/>
      <c r="D2921" s="59"/>
      <c r="E2921" s="57"/>
      <c r="F2921" s="57"/>
      <c r="G2921" s="60"/>
      <c r="H2921" s="57"/>
      <c r="I2921" s="61"/>
      <c r="J2921" s="62"/>
      <c r="K2921" s="63"/>
      <c r="L2921" s="63"/>
      <c r="M2921" s="63"/>
      <c r="N2921" s="64"/>
      <c r="O2921" s="62"/>
      <c r="P2921" s="64"/>
      <c r="Q2921" s="59"/>
      <c r="R2921" s="65"/>
      <c r="S2921" s="65"/>
      <c r="T2921" s="65"/>
      <c r="U2921" s="65"/>
      <c r="V2921" s="65"/>
      <c r="W2921" s="65"/>
      <c r="X2921" s="65"/>
    </row>
    <row r="2922" ht="12.0" customHeight="1">
      <c r="A2922" s="241"/>
      <c r="B2922" s="57"/>
      <c r="C2922" s="58"/>
      <c r="D2922" s="59"/>
      <c r="E2922" s="57"/>
      <c r="F2922" s="57"/>
      <c r="G2922" s="60"/>
      <c r="H2922" s="57"/>
      <c r="I2922" s="61"/>
      <c r="J2922" s="62"/>
      <c r="K2922" s="63"/>
      <c r="L2922" s="63"/>
      <c r="M2922" s="63"/>
      <c r="N2922" s="64"/>
      <c r="O2922" s="62"/>
      <c r="P2922" s="64"/>
      <c r="Q2922" s="59"/>
      <c r="R2922" s="65"/>
      <c r="S2922" s="65"/>
      <c r="T2922" s="65"/>
      <c r="U2922" s="65"/>
      <c r="V2922" s="65"/>
      <c r="W2922" s="65"/>
      <c r="X2922" s="65"/>
    </row>
    <row r="2923" ht="12.0" customHeight="1">
      <c r="A2923" s="241"/>
      <c r="B2923" s="57"/>
      <c r="C2923" s="58"/>
      <c r="D2923" s="59"/>
      <c r="E2923" s="57"/>
      <c r="F2923" s="57"/>
      <c r="G2923" s="60"/>
      <c r="H2923" s="57"/>
      <c r="I2923" s="61"/>
      <c r="J2923" s="62"/>
      <c r="K2923" s="63"/>
      <c r="L2923" s="63"/>
      <c r="M2923" s="63"/>
      <c r="N2923" s="64"/>
      <c r="O2923" s="62"/>
      <c r="P2923" s="64"/>
      <c r="Q2923" s="59"/>
      <c r="R2923" s="65"/>
      <c r="S2923" s="65"/>
      <c r="T2923" s="65"/>
      <c r="U2923" s="65"/>
      <c r="V2923" s="65"/>
      <c r="W2923" s="65"/>
      <c r="X2923" s="65"/>
    </row>
    <row r="2924" ht="12.0" customHeight="1">
      <c r="A2924" s="241"/>
      <c r="B2924" s="57"/>
      <c r="C2924" s="58"/>
      <c r="D2924" s="59"/>
      <c r="E2924" s="57"/>
      <c r="F2924" s="57"/>
      <c r="G2924" s="60"/>
      <c r="H2924" s="57"/>
      <c r="I2924" s="61"/>
      <c r="J2924" s="62"/>
      <c r="K2924" s="63"/>
      <c r="L2924" s="63"/>
      <c r="M2924" s="63"/>
      <c r="N2924" s="64"/>
      <c r="O2924" s="62"/>
      <c r="P2924" s="64"/>
      <c r="Q2924" s="59"/>
      <c r="R2924" s="65"/>
      <c r="S2924" s="65"/>
      <c r="T2924" s="65"/>
      <c r="U2924" s="65"/>
      <c r="V2924" s="65"/>
      <c r="W2924" s="65"/>
      <c r="X2924" s="65"/>
    </row>
    <row r="2925" ht="12.0" customHeight="1">
      <c r="A2925" s="241"/>
      <c r="B2925" s="57"/>
      <c r="C2925" s="58"/>
      <c r="D2925" s="59"/>
      <c r="E2925" s="57"/>
      <c r="F2925" s="57"/>
      <c r="G2925" s="60"/>
      <c r="H2925" s="57"/>
      <c r="I2925" s="61"/>
      <c r="J2925" s="62"/>
      <c r="K2925" s="63"/>
      <c r="L2925" s="63"/>
      <c r="M2925" s="63"/>
      <c r="N2925" s="64"/>
      <c r="O2925" s="62"/>
      <c r="P2925" s="64"/>
      <c r="Q2925" s="59"/>
      <c r="R2925" s="65"/>
      <c r="S2925" s="65"/>
      <c r="T2925" s="65"/>
      <c r="U2925" s="65"/>
      <c r="V2925" s="65"/>
      <c r="W2925" s="65"/>
      <c r="X2925" s="65"/>
    </row>
    <row r="2926" ht="12.0" customHeight="1">
      <c r="A2926" s="241"/>
      <c r="B2926" s="57"/>
      <c r="C2926" s="58"/>
      <c r="D2926" s="59"/>
      <c r="E2926" s="57"/>
      <c r="F2926" s="57"/>
      <c r="G2926" s="60"/>
      <c r="H2926" s="57"/>
      <c r="I2926" s="61"/>
      <c r="J2926" s="62"/>
      <c r="K2926" s="63"/>
      <c r="L2926" s="63"/>
      <c r="M2926" s="63"/>
      <c r="N2926" s="64"/>
      <c r="O2926" s="62"/>
      <c r="P2926" s="64"/>
      <c r="Q2926" s="59"/>
      <c r="R2926" s="65"/>
      <c r="S2926" s="65"/>
      <c r="T2926" s="65"/>
      <c r="U2926" s="65"/>
      <c r="V2926" s="65"/>
      <c r="W2926" s="65"/>
      <c r="X2926" s="65"/>
    </row>
    <row r="2927" ht="12.0" customHeight="1">
      <c r="A2927" s="241"/>
      <c r="B2927" s="57"/>
      <c r="C2927" s="58"/>
      <c r="D2927" s="59"/>
      <c r="E2927" s="57"/>
      <c r="F2927" s="57"/>
      <c r="G2927" s="60"/>
      <c r="H2927" s="57"/>
      <c r="I2927" s="61"/>
      <c r="J2927" s="62"/>
      <c r="K2927" s="63"/>
      <c r="L2927" s="63"/>
      <c r="M2927" s="63"/>
      <c r="N2927" s="64"/>
      <c r="O2927" s="62"/>
      <c r="P2927" s="64"/>
      <c r="Q2927" s="59"/>
      <c r="R2927" s="65"/>
      <c r="S2927" s="65"/>
      <c r="T2927" s="65"/>
      <c r="U2927" s="65"/>
      <c r="V2927" s="65"/>
      <c r="W2927" s="65"/>
      <c r="X2927" s="65"/>
    </row>
    <row r="2928" ht="12.0" customHeight="1">
      <c r="A2928" s="241"/>
      <c r="B2928" s="57"/>
      <c r="C2928" s="58"/>
      <c r="D2928" s="59"/>
      <c r="E2928" s="57"/>
      <c r="F2928" s="57"/>
      <c r="G2928" s="60"/>
      <c r="H2928" s="57"/>
      <c r="I2928" s="61"/>
      <c r="J2928" s="62"/>
      <c r="K2928" s="63"/>
      <c r="L2928" s="63"/>
      <c r="M2928" s="63"/>
      <c r="N2928" s="64"/>
      <c r="O2928" s="62"/>
      <c r="P2928" s="64"/>
      <c r="Q2928" s="59"/>
      <c r="R2928" s="65"/>
      <c r="S2928" s="65"/>
      <c r="T2928" s="65"/>
      <c r="U2928" s="65"/>
      <c r="V2928" s="65"/>
      <c r="W2928" s="65"/>
      <c r="X2928" s="65"/>
    </row>
    <row r="2929" ht="12.0" customHeight="1">
      <c r="A2929" s="241"/>
      <c r="B2929" s="57"/>
      <c r="C2929" s="58"/>
      <c r="D2929" s="59"/>
      <c r="E2929" s="57"/>
      <c r="F2929" s="57"/>
      <c r="G2929" s="60"/>
      <c r="H2929" s="57"/>
      <c r="I2929" s="61"/>
      <c r="J2929" s="62"/>
      <c r="K2929" s="63"/>
      <c r="L2929" s="63"/>
      <c r="M2929" s="63"/>
      <c r="N2929" s="64"/>
      <c r="O2929" s="62"/>
      <c r="P2929" s="64"/>
      <c r="Q2929" s="59"/>
      <c r="R2929" s="65"/>
      <c r="S2929" s="65"/>
      <c r="T2929" s="65"/>
      <c r="U2929" s="65"/>
      <c r="V2929" s="65"/>
      <c r="W2929" s="65"/>
      <c r="X2929" s="65"/>
    </row>
    <row r="2930" ht="12.0" customHeight="1">
      <c r="A2930" s="241"/>
      <c r="B2930" s="57"/>
      <c r="C2930" s="58"/>
      <c r="D2930" s="59"/>
      <c r="E2930" s="57"/>
      <c r="F2930" s="57"/>
      <c r="G2930" s="60"/>
      <c r="H2930" s="57"/>
      <c r="I2930" s="61"/>
      <c r="J2930" s="62"/>
      <c r="K2930" s="63"/>
      <c r="L2930" s="63"/>
      <c r="M2930" s="63"/>
      <c r="N2930" s="64"/>
      <c r="O2930" s="62"/>
      <c r="P2930" s="64"/>
      <c r="Q2930" s="59"/>
      <c r="R2930" s="65"/>
      <c r="S2930" s="65"/>
      <c r="T2930" s="65"/>
      <c r="U2930" s="65"/>
      <c r="V2930" s="65"/>
      <c r="W2930" s="65"/>
      <c r="X2930" s="65"/>
    </row>
    <row r="2931" ht="12.0" customHeight="1">
      <c r="A2931" s="241"/>
      <c r="B2931" s="57"/>
      <c r="C2931" s="58"/>
      <c r="D2931" s="59"/>
      <c r="E2931" s="57"/>
      <c r="F2931" s="57"/>
      <c r="G2931" s="60"/>
      <c r="H2931" s="57"/>
      <c r="I2931" s="61"/>
      <c r="J2931" s="62"/>
      <c r="K2931" s="63"/>
      <c r="L2931" s="63"/>
      <c r="M2931" s="63"/>
      <c r="N2931" s="64"/>
      <c r="O2931" s="62"/>
      <c r="P2931" s="64"/>
      <c r="Q2931" s="59"/>
      <c r="R2931" s="65"/>
      <c r="S2931" s="65"/>
      <c r="T2931" s="65"/>
      <c r="U2931" s="65"/>
      <c r="V2931" s="65"/>
      <c r="W2931" s="65"/>
      <c r="X2931" s="65"/>
    </row>
    <row r="2932" ht="12.0" customHeight="1">
      <c r="A2932" s="241"/>
      <c r="B2932" s="57"/>
      <c r="C2932" s="58"/>
      <c r="D2932" s="59"/>
      <c r="E2932" s="57"/>
      <c r="F2932" s="57"/>
      <c r="G2932" s="60"/>
      <c r="H2932" s="57"/>
      <c r="I2932" s="61"/>
      <c r="J2932" s="62"/>
      <c r="K2932" s="63"/>
      <c r="L2932" s="63"/>
      <c r="M2932" s="63"/>
      <c r="N2932" s="64"/>
      <c r="O2932" s="62"/>
      <c r="P2932" s="64"/>
      <c r="Q2932" s="59"/>
      <c r="R2932" s="65"/>
      <c r="S2932" s="65"/>
      <c r="T2932" s="65"/>
      <c r="U2932" s="65"/>
      <c r="V2932" s="65"/>
      <c r="W2932" s="65"/>
      <c r="X2932" s="65"/>
    </row>
    <row r="2933" ht="12.0" customHeight="1">
      <c r="A2933" s="241"/>
      <c r="B2933" s="57"/>
      <c r="C2933" s="58"/>
      <c r="D2933" s="59"/>
      <c r="E2933" s="57"/>
      <c r="F2933" s="57"/>
      <c r="G2933" s="60"/>
      <c r="H2933" s="57"/>
      <c r="I2933" s="61"/>
      <c r="J2933" s="62"/>
      <c r="K2933" s="63"/>
      <c r="L2933" s="63"/>
      <c r="M2933" s="63"/>
      <c r="N2933" s="64"/>
      <c r="O2933" s="62"/>
      <c r="P2933" s="64"/>
      <c r="Q2933" s="59"/>
      <c r="R2933" s="65"/>
      <c r="S2933" s="65"/>
      <c r="T2933" s="65"/>
      <c r="U2933" s="65"/>
      <c r="V2933" s="65"/>
      <c r="W2933" s="65"/>
      <c r="X2933" s="65"/>
    </row>
    <row r="2934" ht="12.0" customHeight="1">
      <c r="A2934" s="241"/>
      <c r="B2934" s="57"/>
      <c r="C2934" s="58"/>
      <c r="D2934" s="59"/>
      <c r="E2934" s="57"/>
      <c r="F2934" s="57"/>
      <c r="G2934" s="60"/>
      <c r="H2934" s="57"/>
      <c r="I2934" s="61"/>
      <c r="J2934" s="62"/>
      <c r="K2934" s="63"/>
      <c r="L2934" s="63"/>
      <c r="M2934" s="63"/>
      <c r="N2934" s="64"/>
      <c r="O2934" s="62"/>
      <c r="P2934" s="64"/>
      <c r="Q2934" s="59"/>
      <c r="R2934" s="65"/>
      <c r="S2934" s="65"/>
      <c r="T2934" s="65"/>
      <c r="U2934" s="65"/>
      <c r="V2934" s="65"/>
      <c r="W2934" s="65"/>
      <c r="X2934" s="65"/>
    </row>
    <row r="2935" ht="12.0" customHeight="1">
      <c r="A2935" s="241"/>
      <c r="B2935" s="57"/>
      <c r="C2935" s="58"/>
      <c r="D2935" s="59"/>
      <c r="E2935" s="57"/>
      <c r="F2935" s="57"/>
      <c r="G2935" s="60"/>
      <c r="H2935" s="57"/>
      <c r="I2935" s="61"/>
      <c r="J2935" s="62"/>
      <c r="K2935" s="63"/>
      <c r="L2935" s="63"/>
      <c r="M2935" s="63"/>
      <c r="N2935" s="64"/>
      <c r="O2935" s="62"/>
      <c r="P2935" s="64"/>
      <c r="Q2935" s="59"/>
      <c r="R2935" s="65"/>
      <c r="S2935" s="65"/>
      <c r="T2935" s="65"/>
      <c r="U2935" s="65"/>
      <c r="V2935" s="65"/>
      <c r="W2935" s="65"/>
      <c r="X2935" s="65"/>
    </row>
    <row r="2936" ht="12.0" customHeight="1">
      <c r="A2936" s="241"/>
      <c r="B2936" s="57"/>
      <c r="C2936" s="58"/>
      <c r="D2936" s="59"/>
      <c r="E2936" s="57"/>
      <c r="F2936" s="57"/>
      <c r="G2936" s="60"/>
      <c r="H2936" s="57"/>
      <c r="I2936" s="61"/>
      <c r="J2936" s="62"/>
      <c r="K2936" s="63"/>
      <c r="L2936" s="63"/>
      <c r="M2936" s="63"/>
      <c r="N2936" s="64"/>
      <c r="O2936" s="62"/>
      <c r="P2936" s="64"/>
      <c r="Q2936" s="59"/>
      <c r="R2936" s="65"/>
      <c r="S2936" s="65"/>
      <c r="T2936" s="65"/>
      <c r="U2936" s="65"/>
      <c r="V2936" s="65"/>
      <c r="W2936" s="65"/>
      <c r="X2936" s="65"/>
    </row>
    <row r="2937" ht="12.0" customHeight="1">
      <c r="A2937" s="241"/>
      <c r="B2937" s="57"/>
      <c r="C2937" s="58"/>
      <c r="D2937" s="59"/>
      <c r="E2937" s="57"/>
      <c r="F2937" s="57"/>
      <c r="G2937" s="60"/>
      <c r="H2937" s="57"/>
      <c r="I2937" s="61"/>
      <c r="J2937" s="62"/>
      <c r="K2937" s="63"/>
      <c r="L2937" s="63"/>
      <c r="M2937" s="63"/>
      <c r="N2937" s="64"/>
      <c r="O2937" s="62"/>
      <c r="P2937" s="64"/>
      <c r="Q2937" s="59"/>
      <c r="R2937" s="65"/>
      <c r="S2937" s="65"/>
      <c r="T2937" s="65"/>
      <c r="U2937" s="65"/>
      <c r="V2937" s="65"/>
      <c r="W2937" s="65"/>
      <c r="X2937" s="65"/>
    </row>
    <row r="2938" ht="12.0" customHeight="1">
      <c r="A2938" s="241"/>
      <c r="B2938" s="57"/>
      <c r="C2938" s="58"/>
      <c r="D2938" s="59"/>
      <c r="E2938" s="57"/>
      <c r="F2938" s="57"/>
      <c r="G2938" s="60"/>
      <c r="H2938" s="57"/>
      <c r="I2938" s="61"/>
      <c r="J2938" s="62"/>
      <c r="K2938" s="63"/>
      <c r="L2938" s="63"/>
      <c r="M2938" s="63"/>
      <c r="N2938" s="64"/>
      <c r="O2938" s="62"/>
      <c r="P2938" s="64"/>
      <c r="Q2938" s="59"/>
      <c r="R2938" s="65"/>
      <c r="S2938" s="65"/>
      <c r="T2938" s="65"/>
      <c r="U2938" s="65"/>
      <c r="V2938" s="65"/>
      <c r="W2938" s="65"/>
      <c r="X2938" s="65"/>
    </row>
    <row r="2939" ht="12.0" customHeight="1">
      <c r="A2939" s="241"/>
      <c r="B2939" s="57"/>
      <c r="C2939" s="58"/>
      <c r="D2939" s="59"/>
      <c r="E2939" s="57"/>
      <c r="F2939" s="57"/>
      <c r="G2939" s="60"/>
      <c r="H2939" s="57"/>
      <c r="I2939" s="61"/>
      <c r="J2939" s="62"/>
      <c r="K2939" s="63"/>
      <c r="L2939" s="63"/>
      <c r="M2939" s="63"/>
      <c r="N2939" s="64"/>
      <c r="O2939" s="62"/>
      <c r="P2939" s="64"/>
      <c r="Q2939" s="59"/>
      <c r="R2939" s="65"/>
      <c r="S2939" s="65"/>
      <c r="T2939" s="65"/>
      <c r="U2939" s="65"/>
      <c r="V2939" s="65"/>
      <c r="W2939" s="65"/>
      <c r="X2939" s="65"/>
    </row>
    <row r="2940" ht="12.0" customHeight="1">
      <c r="A2940" s="241"/>
      <c r="B2940" s="57"/>
      <c r="C2940" s="58"/>
      <c r="D2940" s="59"/>
      <c r="E2940" s="57"/>
      <c r="F2940" s="57"/>
      <c r="G2940" s="60"/>
      <c r="H2940" s="57"/>
      <c r="I2940" s="61"/>
      <c r="J2940" s="62"/>
      <c r="K2940" s="63"/>
      <c r="L2940" s="63"/>
      <c r="M2940" s="63"/>
      <c r="N2940" s="64"/>
      <c r="O2940" s="62"/>
      <c r="P2940" s="64"/>
      <c r="Q2940" s="59"/>
      <c r="R2940" s="65"/>
      <c r="S2940" s="65"/>
      <c r="T2940" s="65"/>
      <c r="U2940" s="65"/>
      <c r="V2940" s="65"/>
      <c r="W2940" s="65"/>
      <c r="X2940" s="65"/>
    </row>
    <row r="2941" ht="12.0" customHeight="1">
      <c r="A2941" s="241"/>
      <c r="B2941" s="57"/>
      <c r="C2941" s="58"/>
      <c r="D2941" s="59"/>
      <c r="E2941" s="57"/>
      <c r="F2941" s="57"/>
      <c r="G2941" s="60"/>
      <c r="H2941" s="57"/>
      <c r="I2941" s="61"/>
      <c r="J2941" s="62"/>
      <c r="K2941" s="63"/>
      <c r="L2941" s="63"/>
      <c r="M2941" s="63"/>
      <c r="N2941" s="64"/>
      <c r="O2941" s="62"/>
      <c r="P2941" s="64"/>
      <c r="Q2941" s="59"/>
      <c r="R2941" s="65"/>
      <c r="S2941" s="65"/>
      <c r="T2941" s="65"/>
      <c r="U2941" s="65"/>
      <c r="V2941" s="65"/>
      <c r="W2941" s="65"/>
      <c r="X2941" s="65"/>
    </row>
    <row r="2942" ht="12.0" customHeight="1">
      <c r="A2942" s="241"/>
      <c r="B2942" s="57"/>
      <c r="C2942" s="58"/>
      <c r="D2942" s="59"/>
      <c r="E2942" s="57"/>
      <c r="F2942" s="57"/>
      <c r="G2942" s="60"/>
      <c r="H2942" s="57"/>
      <c r="I2942" s="61"/>
      <c r="J2942" s="62"/>
      <c r="K2942" s="63"/>
      <c r="L2942" s="63"/>
      <c r="M2942" s="63"/>
      <c r="N2942" s="64"/>
      <c r="O2942" s="62"/>
      <c r="P2942" s="64"/>
      <c r="Q2942" s="59"/>
      <c r="R2942" s="65"/>
      <c r="S2942" s="65"/>
      <c r="T2942" s="65"/>
      <c r="U2942" s="65"/>
      <c r="V2942" s="65"/>
      <c r="W2942" s="65"/>
      <c r="X2942" s="65"/>
    </row>
    <row r="2943" ht="12.0" customHeight="1">
      <c r="A2943" s="241"/>
      <c r="B2943" s="57"/>
      <c r="C2943" s="58"/>
      <c r="D2943" s="59"/>
      <c r="E2943" s="57"/>
      <c r="F2943" s="57"/>
      <c r="G2943" s="60"/>
      <c r="H2943" s="57"/>
      <c r="I2943" s="61"/>
      <c r="J2943" s="62"/>
      <c r="K2943" s="63"/>
      <c r="L2943" s="63"/>
      <c r="M2943" s="63"/>
      <c r="N2943" s="64"/>
      <c r="O2943" s="62"/>
      <c r="P2943" s="64"/>
      <c r="Q2943" s="59"/>
      <c r="R2943" s="65"/>
      <c r="S2943" s="65"/>
      <c r="T2943" s="65"/>
      <c r="U2943" s="65"/>
      <c r="V2943" s="65"/>
      <c r="W2943" s="65"/>
      <c r="X2943" s="65"/>
    </row>
    <row r="2944" ht="12.0" customHeight="1">
      <c r="A2944" s="241"/>
      <c r="B2944" s="57"/>
      <c r="C2944" s="58"/>
      <c r="D2944" s="59"/>
      <c r="E2944" s="57"/>
      <c r="F2944" s="57"/>
      <c r="G2944" s="60"/>
      <c r="H2944" s="57"/>
      <c r="I2944" s="61"/>
      <c r="J2944" s="62"/>
      <c r="K2944" s="63"/>
      <c r="L2944" s="63"/>
      <c r="M2944" s="63"/>
      <c r="N2944" s="64"/>
      <c r="O2944" s="62"/>
      <c r="P2944" s="64"/>
      <c r="Q2944" s="59"/>
      <c r="R2944" s="65"/>
      <c r="S2944" s="65"/>
      <c r="T2944" s="65"/>
      <c r="U2944" s="65"/>
      <c r="V2944" s="65"/>
      <c r="W2944" s="65"/>
      <c r="X2944" s="65"/>
    </row>
    <row r="2945" ht="12.0" customHeight="1">
      <c r="A2945" s="241"/>
      <c r="B2945" s="57"/>
      <c r="C2945" s="58"/>
      <c r="D2945" s="59"/>
      <c r="E2945" s="57"/>
      <c r="F2945" s="57"/>
      <c r="G2945" s="60"/>
      <c r="H2945" s="57"/>
      <c r="I2945" s="61"/>
      <c r="J2945" s="62"/>
      <c r="K2945" s="63"/>
      <c r="L2945" s="63"/>
      <c r="M2945" s="63"/>
      <c r="N2945" s="64"/>
      <c r="O2945" s="62"/>
      <c r="P2945" s="64"/>
      <c r="Q2945" s="59"/>
      <c r="R2945" s="65"/>
      <c r="S2945" s="65"/>
      <c r="T2945" s="65"/>
      <c r="U2945" s="65"/>
      <c r="V2945" s="65"/>
      <c r="W2945" s="65"/>
      <c r="X2945" s="65"/>
    </row>
    <row r="2946" ht="12.0" customHeight="1">
      <c r="A2946" s="241"/>
      <c r="B2946" s="57"/>
      <c r="C2946" s="58"/>
      <c r="D2946" s="59"/>
      <c r="E2946" s="57"/>
      <c r="F2946" s="57"/>
      <c r="G2946" s="60"/>
      <c r="H2946" s="57"/>
      <c r="I2946" s="61"/>
      <c r="J2946" s="62"/>
      <c r="K2946" s="63"/>
      <c r="L2946" s="63"/>
      <c r="M2946" s="63"/>
      <c r="N2946" s="64"/>
      <c r="O2946" s="62"/>
      <c r="P2946" s="64"/>
      <c r="Q2946" s="59"/>
      <c r="R2946" s="65"/>
      <c r="S2946" s="65"/>
      <c r="T2946" s="65"/>
      <c r="U2946" s="65"/>
      <c r="V2946" s="65"/>
      <c r="W2946" s="65"/>
      <c r="X2946" s="65"/>
    </row>
    <row r="2947" ht="12.0" customHeight="1">
      <c r="A2947" s="241"/>
      <c r="B2947" s="57"/>
      <c r="C2947" s="58"/>
      <c r="D2947" s="59"/>
      <c r="E2947" s="57"/>
      <c r="F2947" s="57"/>
      <c r="G2947" s="60"/>
      <c r="H2947" s="57"/>
      <c r="I2947" s="61"/>
      <c r="J2947" s="62"/>
      <c r="K2947" s="63"/>
      <c r="L2947" s="63"/>
      <c r="M2947" s="63"/>
      <c r="N2947" s="64"/>
      <c r="O2947" s="62"/>
      <c r="P2947" s="64"/>
      <c r="Q2947" s="59"/>
      <c r="R2947" s="65"/>
      <c r="S2947" s="65"/>
      <c r="T2947" s="65"/>
      <c r="U2947" s="65"/>
      <c r="V2947" s="65"/>
      <c r="W2947" s="65"/>
      <c r="X2947" s="65"/>
    </row>
    <row r="2948" ht="12.0" customHeight="1">
      <c r="A2948" s="241"/>
      <c r="B2948" s="57"/>
      <c r="C2948" s="58"/>
      <c r="D2948" s="59"/>
      <c r="E2948" s="57"/>
      <c r="F2948" s="57"/>
      <c r="G2948" s="60"/>
      <c r="H2948" s="57"/>
      <c r="I2948" s="61"/>
      <c r="J2948" s="62"/>
      <c r="K2948" s="63"/>
      <c r="L2948" s="63"/>
      <c r="M2948" s="63"/>
      <c r="N2948" s="64"/>
      <c r="O2948" s="62"/>
      <c r="P2948" s="64"/>
      <c r="Q2948" s="59"/>
      <c r="R2948" s="65"/>
      <c r="S2948" s="65"/>
      <c r="T2948" s="65"/>
      <c r="U2948" s="65"/>
      <c r="V2948" s="65"/>
      <c r="W2948" s="65"/>
      <c r="X2948" s="65"/>
    </row>
    <row r="2949" ht="12.0" customHeight="1">
      <c r="A2949" s="241"/>
      <c r="B2949" s="57"/>
      <c r="C2949" s="58"/>
      <c r="D2949" s="59"/>
      <c r="E2949" s="57"/>
      <c r="F2949" s="57"/>
      <c r="G2949" s="60"/>
      <c r="H2949" s="57"/>
      <c r="I2949" s="61"/>
      <c r="J2949" s="62"/>
      <c r="K2949" s="63"/>
      <c r="L2949" s="63"/>
      <c r="M2949" s="63"/>
      <c r="N2949" s="64"/>
      <c r="O2949" s="62"/>
      <c r="P2949" s="64"/>
      <c r="Q2949" s="59"/>
      <c r="R2949" s="65"/>
      <c r="S2949" s="65"/>
      <c r="T2949" s="65"/>
      <c r="U2949" s="65"/>
      <c r="V2949" s="65"/>
      <c r="W2949" s="65"/>
      <c r="X2949" s="65"/>
    </row>
    <row r="2950" ht="12.0" customHeight="1">
      <c r="A2950" s="241"/>
      <c r="B2950" s="57"/>
      <c r="C2950" s="58"/>
      <c r="D2950" s="59"/>
      <c r="E2950" s="57"/>
      <c r="F2950" s="57"/>
      <c r="G2950" s="60"/>
      <c r="H2950" s="57"/>
      <c r="I2950" s="61"/>
      <c r="J2950" s="62"/>
      <c r="K2950" s="63"/>
      <c r="L2950" s="63"/>
      <c r="M2950" s="63"/>
      <c r="N2950" s="64"/>
      <c r="O2950" s="62"/>
      <c r="P2950" s="64"/>
      <c r="Q2950" s="59"/>
      <c r="R2950" s="65"/>
      <c r="S2950" s="65"/>
      <c r="T2950" s="65"/>
      <c r="U2950" s="65"/>
      <c r="V2950" s="65"/>
      <c r="W2950" s="65"/>
      <c r="X2950" s="65"/>
    </row>
    <row r="2951" ht="12.0" customHeight="1">
      <c r="A2951" s="241"/>
      <c r="B2951" s="57"/>
      <c r="C2951" s="58"/>
      <c r="D2951" s="59"/>
      <c r="E2951" s="57"/>
      <c r="F2951" s="57"/>
      <c r="G2951" s="60"/>
      <c r="H2951" s="57"/>
      <c r="I2951" s="61"/>
      <c r="J2951" s="62"/>
      <c r="K2951" s="63"/>
      <c r="L2951" s="63"/>
      <c r="M2951" s="63"/>
      <c r="N2951" s="64"/>
      <c r="O2951" s="62"/>
      <c r="P2951" s="64"/>
      <c r="Q2951" s="59"/>
      <c r="R2951" s="65"/>
      <c r="S2951" s="65"/>
      <c r="T2951" s="65"/>
      <c r="U2951" s="65"/>
      <c r="V2951" s="65"/>
      <c r="W2951" s="65"/>
      <c r="X2951" s="65"/>
    </row>
    <row r="2952" ht="12.0" customHeight="1">
      <c r="A2952" s="241"/>
      <c r="B2952" s="57"/>
      <c r="C2952" s="58"/>
      <c r="D2952" s="59"/>
      <c r="E2952" s="57"/>
      <c r="F2952" s="57"/>
      <c r="G2952" s="60"/>
      <c r="H2952" s="57"/>
      <c r="I2952" s="61"/>
      <c r="J2952" s="62"/>
      <c r="K2952" s="63"/>
      <c r="L2952" s="63"/>
      <c r="M2952" s="63"/>
      <c r="N2952" s="64"/>
      <c r="O2952" s="62"/>
      <c r="P2952" s="64"/>
      <c r="Q2952" s="59"/>
      <c r="R2952" s="65"/>
      <c r="S2952" s="65"/>
      <c r="T2952" s="65"/>
      <c r="U2952" s="65"/>
      <c r="V2952" s="65"/>
      <c r="W2952" s="65"/>
      <c r="X2952" s="65"/>
    </row>
    <row r="2953" ht="12.0" customHeight="1">
      <c r="A2953" s="241"/>
      <c r="B2953" s="57"/>
      <c r="C2953" s="58"/>
      <c r="D2953" s="59"/>
      <c r="E2953" s="57"/>
      <c r="F2953" s="57"/>
      <c r="G2953" s="60"/>
      <c r="H2953" s="57"/>
      <c r="I2953" s="61"/>
      <c r="J2953" s="62"/>
      <c r="K2953" s="63"/>
      <c r="L2953" s="63"/>
      <c r="M2953" s="63"/>
      <c r="N2953" s="64"/>
      <c r="O2953" s="62"/>
      <c r="P2953" s="64"/>
      <c r="Q2953" s="59"/>
      <c r="R2953" s="65"/>
      <c r="S2953" s="65"/>
      <c r="T2953" s="65"/>
      <c r="U2953" s="65"/>
      <c r="V2953" s="65"/>
      <c r="W2953" s="65"/>
      <c r="X2953" s="65"/>
    </row>
    <row r="2954" ht="12.0" customHeight="1">
      <c r="A2954" s="241"/>
      <c r="B2954" s="57"/>
      <c r="C2954" s="58"/>
      <c r="D2954" s="59"/>
      <c r="E2954" s="57"/>
      <c r="F2954" s="57"/>
      <c r="G2954" s="60"/>
      <c r="H2954" s="57"/>
      <c r="I2954" s="61"/>
      <c r="J2954" s="62"/>
      <c r="K2954" s="63"/>
      <c r="L2954" s="63"/>
      <c r="M2954" s="63"/>
      <c r="N2954" s="64"/>
      <c r="O2954" s="62"/>
      <c r="P2954" s="64"/>
      <c r="Q2954" s="59"/>
      <c r="R2954" s="65"/>
      <c r="S2954" s="65"/>
      <c r="T2954" s="65"/>
      <c r="U2954" s="65"/>
      <c r="V2954" s="65"/>
      <c r="W2954" s="65"/>
      <c r="X2954" s="65"/>
    </row>
    <row r="2955" ht="12.0" customHeight="1">
      <c r="A2955" s="241"/>
      <c r="B2955" s="57"/>
      <c r="C2955" s="58"/>
      <c r="D2955" s="59"/>
      <c r="E2955" s="57"/>
      <c r="F2955" s="57"/>
      <c r="G2955" s="60"/>
      <c r="H2955" s="57"/>
      <c r="I2955" s="61"/>
      <c r="J2955" s="62"/>
      <c r="K2955" s="63"/>
      <c r="L2955" s="63"/>
      <c r="M2955" s="63"/>
      <c r="N2955" s="64"/>
      <c r="O2955" s="62"/>
      <c r="P2955" s="64"/>
      <c r="Q2955" s="59"/>
      <c r="R2955" s="65"/>
      <c r="S2955" s="65"/>
      <c r="T2955" s="65"/>
      <c r="U2955" s="65"/>
      <c r="V2955" s="65"/>
      <c r="W2955" s="65"/>
      <c r="X2955" s="65"/>
    </row>
    <row r="2956" ht="12.0" customHeight="1">
      <c r="A2956" s="241"/>
      <c r="B2956" s="57"/>
      <c r="C2956" s="58"/>
      <c r="D2956" s="59"/>
      <c r="E2956" s="57"/>
      <c r="F2956" s="57"/>
      <c r="G2956" s="60"/>
      <c r="H2956" s="57"/>
      <c r="I2956" s="61"/>
      <c r="J2956" s="62"/>
      <c r="K2956" s="63"/>
      <c r="L2956" s="63"/>
      <c r="M2956" s="63"/>
      <c r="N2956" s="64"/>
      <c r="O2956" s="62"/>
      <c r="P2956" s="64"/>
      <c r="Q2956" s="59"/>
      <c r="R2956" s="65"/>
      <c r="S2956" s="65"/>
      <c r="T2956" s="65"/>
      <c r="U2956" s="65"/>
      <c r="V2956" s="65"/>
      <c r="W2956" s="65"/>
      <c r="X2956" s="65"/>
    </row>
    <row r="2957" ht="12.0" customHeight="1">
      <c r="A2957" s="241"/>
      <c r="B2957" s="57"/>
      <c r="C2957" s="58"/>
      <c r="D2957" s="59"/>
      <c r="E2957" s="57"/>
      <c r="F2957" s="57"/>
      <c r="G2957" s="60"/>
      <c r="H2957" s="57"/>
      <c r="I2957" s="61"/>
      <c r="J2957" s="62"/>
      <c r="K2957" s="63"/>
      <c r="L2957" s="63"/>
      <c r="M2957" s="63"/>
      <c r="N2957" s="64"/>
      <c r="O2957" s="62"/>
      <c r="P2957" s="64"/>
      <c r="Q2957" s="59"/>
      <c r="R2957" s="65"/>
      <c r="S2957" s="65"/>
      <c r="T2957" s="65"/>
      <c r="U2957" s="65"/>
      <c r="V2957" s="65"/>
      <c r="W2957" s="65"/>
      <c r="X2957" s="65"/>
    </row>
    <row r="2958" ht="12.0" customHeight="1">
      <c r="A2958" s="241"/>
      <c r="B2958" s="57"/>
      <c r="C2958" s="58"/>
      <c r="D2958" s="59"/>
      <c r="E2958" s="57"/>
      <c r="F2958" s="57"/>
      <c r="G2958" s="60"/>
      <c r="H2958" s="57"/>
      <c r="I2958" s="61"/>
      <c r="J2958" s="62"/>
      <c r="K2958" s="63"/>
      <c r="L2958" s="63"/>
      <c r="M2958" s="63"/>
      <c r="N2958" s="64"/>
      <c r="O2958" s="62"/>
      <c r="P2958" s="64"/>
      <c r="Q2958" s="59"/>
      <c r="R2958" s="65"/>
      <c r="S2958" s="65"/>
      <c r="T2958" s="65"/>
      <c r="U2958" s="65"/>
      <c r="V2958" s="65"/>
      <c r="W2958" s="65"/>
      <c r="X2958" s="65"/>
    </row>
    <row r="2959" ht="12.0" customHeight="1">
      <c r="A2959" s="241"/>
      <c r="B2959" s="57"/>
      <c r="C2959" s="58"/>
      <c r="D2959" s="59"/>
      <c r="E2959" s="57"/>
      <c r="F2959" s="57"/>
      <c r="G2959" s="60"/>
      <c r="H2959" s="57"/>
      <c r="I2959" s="61"/>
      <c r="J2959" s="62"/>
      <c r="K2959" s="63"/>
      <c r="L2959" s="63"/>
      <c r="M2959" s="63"/>
      <c r="N2959" s="64"/>
      <c r="O2959" s="62"/>
      <c r="P2959" s="64"/>
      <c r="Q2959" s="59"/>
      <c r="R2959" s="65"/>
      <c r="S2959" s="65"/>
      <c r="T2959" s="65"/>
      <c r="U2959" s="65"/>
      <c r="V2959" s="65"/>
      <c r="W2959" s="65"/>
      <c r="X2959" s="65"/>
    </row>
    <row r="2960" ht="12.0" customHeight="1">
      <c r="A2960" s="241"/>
      <c r="B2960" s="57"/>
      <c r="C2960" s="58"/>
      <c r="D2960" s="59"/>
      <c r="E2960" s="57"/>
      <c r="F2960" s="57"/>
      <c r="G2960" s="60"/>
      <c r="H2960" s="57"/>
      <c r="I2960" s="61"/>
      <c r="J2960" s="62"/>
      <c r="K2960" s="63"/>
      <c r="L2960" s="63"/>
      <c r="M2960" s="63"/>
      <c r="N2960" s="64"/>
      <c r="O2960" s="62"/>
      <c r="P2960" s="64"/>
      <c r="Q2960" s="59"/>
      <c r="R2960" s="65"/>
      <c r="S2960" s="65"/>
      <c r="T2960" s="65"/>
      <c r="U2960" s="65"/>
      <c r="V2960" s="65"/>
      <c r="W2960" s="65"/>
      <c r="X2960" s="65"/>
    </row>
    <row r="2961" ht="12.0" customHeight="1">
      <c r="A2961" s="241"/>
      <c r="B2961" s="57"/>
      <c r="C2961" s="58"/>
      <c r="D2961" s="59"/>
      <c r="E2961" s="57"/>
      <c r="F2961" s="57"/>
      <c r="G2961" s="60"/>
      <c r="H2961" s="57"/>
      <c r="I2961" s="61"/>
      <c r="J2961" s="62"/>
      <c r="K2961" s="63"/>
      <c r="L2961" s="63"/>
      <c r="M2961" s="63"/>
      <c r="N2961" s="64"/>
      <c r="O2961" s="62"/>
      <c r="P2961" s="64"/>
      <c r="Q2961" s="59"/>
      <c r="R2961" s="65"/>
      <c r="S2961" s="65"/>
      <c r="T2961" s="65"/>
      <c r="U2961" s="65"/>
      <c r="V2961" s="65"/>
      <c r="W2961" s="65"/>
      <c r="X2961" s="65"/>
    </row>
    <row r="2962" ht="12.0" customHeight="1">
      <c r="A2962" s="241"/>
      <c r="B2962" s="57"/>
      <c r="C2962" s="58"/>
      <c r="D2962" s="59"/>
      <c r="E2962" s="57"/>
      <c r="F2962" s="57"/>
      <c r="G2962" s="60"/>
      <c r="H2962" s="57"/>
      <c r="I2962" s="61"/>
      <c r="J2962" s="62"/>
      <c r="K2962" s="63"/>
      <c r="L2962" s="63"/>
      <c r="M2962" s="63"/>
      <c r="N2962" s="64"/>
      <c r="O2962" s="62"/>
      <c r="P2962" s="64"/>
      <c r="Q2962" s="59"/>
      <c r="R2962" s="65"/>
      <c r="S2962" s="65"/>
      <c r="T2962" s="65"/>
      <c r="U2962" s="65"/>
      <c r="V2962" s="65"/>
      <c r="W2962" s="65"/>
      <c r="X2962" s="65"/>
    </row>
    <row r="2963" ht="12.0" customHeight="1">
      <c r="A2963" s="241"/>
      <c r="B2963" s="57"/>
      <c r="C2963" s="58"/>
      <c r="D2963" s="59"/>
      <c r="E2963" s="57"/>
      <c r="F2963" s="57"/>
      <c r="G2963" s="60"/>
      <c r="H2963" s="57"/>
      <c r="I2963" s="61"/>
      <c r="J2963" s="62"/>
      <c r="K2963" s="63"/>
      <c r="L2963" s="63"/>
      <c r="M2963" s="63"/>
      <c r="N2963" s="64"/>
      <c r="O2963" s="62"/>
      <c r="P2963" s="64"/>
      <c r="Q2963" s="59"/>
      <c r="R2963" s="65"/>
      <c r="S2963" s="65"/>
      <c r="T2963" s="65"/>
      <c r="U2963" s="65"/>
      <c r="V2963" s="65"/>
      <c r="W2963" s="65"/>
      <c r="X2963" s="65"/>
    </row>
    <row r="2964" ht="12.0" customHeight="1">
      <c r="A2964" s="241"/>
      <c r="B2964" s="57"/>
      <c r="C2964" s="58"/>
      <c r="D2964" s="59"/>
      <c r="E2964" s="57"/>
      <c r="F2964" s="57"/>
      <c r="G2964" s="60"/>
      <c r="H2964" s="57"/>
      <c r="I2964" s="61"/>
      <c r="J2964" s="62"/>
      <c r="K2964" s="63"/>
      <c r="L2964" s="63"/>
      <c r="M2964" s="63"/>
      <c r="N2964" s="64"/>
      <c r="O2964" s="62"/>
      <c r="P2964" s="64"/>
      <c r="Q2964" s="59"/>
      <c r="R2964" s="65"/>
      <c r="S2964" s="65"/>
      <c r="T2964" s="65"/>
      <c r="U2964" s="65"/>
      <c r="V2964" s="65"/>
      <c r="W2964" s="65"/>
      <c r="X2964" s="65"/>
    </row>
    <row r="2965" ht="12.0" customHeight="1">
      <c r="A2965" s="241"/>
      <c r="B2965" s="57"/>
      <c r="C2965" s="58"/>
      <c r="D2965" s="59"/>
      <c r="E2965" s="57"/>
      <c r="F2965" s="57"/>
      <c r="G2965" s="60"/>
      <c r="H2965" s="57"/>
      <c r="I2965" s="61"/>
      <c r="J2965" s="62"/>
      <c r="K2965" s="63"/>
      <c r="L2965" s="63"/>
      <c r="M2965" s="63"/>
      <c r="N2965" s="64"/>
      <c r="O2965" s="62"/>
      <c r="P2965" s="64"/>
      <c r="Q2965" s="59"/>
      <c r="R2965" s="65"/>
      <c r="S2965" s="65"/>
      <c r="T2965" s="65"/>
      <c r="U2965" s="65"/>
      <c r="V2965" s="65"/>
      <c r="W2965" s="65"/>
      <c r="X2965" s="65"/>
    </row>
    <row r="2966" ht="12.0" customHeight="1">
      <c r="A2966" s="241"/>
      <c r="B2966" s="57"/>
      <c r="C2966" s="58"/>
      <c r="D2966" s="59"/>
      <c r="E2966" s="57"/>
      <c r="F2966" s="57"/>
      <c r="G2966" s="60"/>
      <c r="H2966" s="57"/>
      <c r="I2966" s="61"/>
      <c r="J2966" s="62"/>
      <c r="K2966" s="63"/>
      <c r="L2966" s="63"/>
      <c r="M2966" s="63"/>
      <c r="N2966" s="64"/>
      <c r="O2966" s="62"/>
      <c r="P2966" s="64"/>
      <c r="Q2966" s="59"/>
      <c r="R2966" s="65"/>
      <c r="S2966" s="65"/>
      <c r="T2966" s="65"/>
      <c r="U2966" s="65"/>
      <c r="V2966" s="65"/>
      <c r="W2966" s="65"/>
      <c r="X2966" s="65"/>
    </row>
    <row r="2967" ht="12.0" customHeight="1">
      <c r="A2967" s="241"/>
      <c r="B2967" s="57"/>
      <c r="C2967" s="58"/>
      <c r="D2967" s="59"/>
      <c r="E2967" s="57"/>
      <c r="F2967" s="57"/>
      <c r="G2967" s="60"/>
      <c r="H2967" s="57"/>
      <c r="I2967" s="61"/>
      <c r="J2967" s="62"/>
      <c r="K2967" s="63"/>
      <c r="L2967" s="63"/>
      <c r="M2967" s="63"/>
      <c r="N2967" s="64"/>
      <c r="O2967" s="62"/>
      <c r="P2967" s="64"/>
      <c r="Q2967" s="59"/>
      <c r="R2967" s="65"/>
      <c r="S2967" s="65"/>
      <c r="T2967" s="65"/>
      <c r="U2967" s="65"/>
      <c r="V2967" s="65"/>
      <c r="W2967" s="65"/>
      <c r="X2967" s="65"/>
    </row>
    <row r="2968" ht="12.0" customHeight="1">
      <c r="A2968" s="241"/>
      <c r="B2968" s="57"/>
      <c r="C2968" s="58"/>
      <c r="D2968" s="59"/>
      <c r="E2968" s="57"/>
      <c r="F2968" s="57"/>
      <c r="G2968" s="60"/>
      <c r="H2968" s="57"/>
      <c r="I2968" s="61"/>
      <c r="J2968" s="62"/>
      <c r="K2968" s="63"/>
      <c r="L2968" s="63"/>
      <c r="M2968" s="63"/>
      <c r="N2968" s="64"/>
      <c r="O2968" s="62"/>
      <c r="P2968" s="64"/>
      <c r="Q2968" s="59"/>
      <c r="R2968" s="65"/>
      <c r="S2968" s="65"/>
      <c r="T2968" s="65"/>
      <c r="U2968" s="65"/>
      <c r="V2968" s="65"/>
      <c r="W2968" s="65"/>
      <c r="X2968" s="65"/>
    </row>
    <row r="2969" ht="12.0" customHeight="1">
      <c r="A2969" s="241"/>
      <c r="B2969" s="57"/>
      <c r="C2969" s="58"/>
      <c r="D2969" s="59"/>
      <c r="E2969" s="57"/>
      <c r="F2969" s="57"/>
      <c r="G2969" s="60"/>
      <c r="H2969" s="57"/>
      <c r="I2969" s="61"/>
      <c r="J2969" s="62"/>
      <c r="K2969" s="63"/>
      <c r="L2969" s="63"/>
      <c r="M2969" s="63"/>
      <c r="N2969" s="64"/>
      <c r="O2969" s="62"/>
      <c r="P2969" s="64"/>
      <c r="Q2969" s="59"/>
      <c r="R2969" s="65"/>
      <c r="S2969" s="65"/>
      <c r="T2969" s="65"/>
      <c r="U2969" s="65"/>
      <c r="V2969" s="65"/>
      <c r="W2969" s="65"/>
      <c r="X2969" s="65"/>
    </row>
    <row r="2970" ht="12.0" customHeight="1">
      <c r="A2970" s="241"/>
      <c r="B2970" s="57"/>
      <c r="C2970" s="58"/>
      <c r="D2970" s="59"/>
      <c r="E2970" s="57"/>
      <c r="F2970" s="57"/>
      <c r="G2970" s="60"/>
      <c r="H2970" s="57"/>
      <c r="I2970" s="61"/>
      <c r="J2970" s="62"/>
      <c r="K2970" s="63"/>
      <c r="L2970" s="63"/>
      <c r="M2970" s="63"/>
      <c r="N2970" s="64"/>
      <c r="O2970" s="62"/>
      <c r="P2970" s="64"/>
      <c r="Q2970" s="59"/>
      <c r="R2970" s="65"/>
      <c r="S2970" s="65"/>
      <c r="T2970" s="65"/>
      <c r="U2970" s="65"/>
      <c r="V2970" s="65"/>
      <c r="W2970" s="65"/>
      <c r="X2970" s="65"/>
    </row>
    <row r="2971" ht="12.0" customHeight="1">
      <c r="A2971" s="241"/>
      <c r="B2971" s="57"/>
      <c r="C2971" s="58"/>
      <c r="D2971" s="59"/>
      <c r="E2971" s="57"/>
      <c r="F2971" s="57"/>
      <c r="G2971" s="60"/>
      <c r="H2971" s="57"/>
      <c r="I2971" s="61"/>
      <c r="J2971" s="62"/>
      <c r="K2971" s="63"/>
      <c r="L2971" s="63"/>
      <c r="M2971" s="63"/>
      <c r="N2971" s="64"/>
      <c r="O2971" s="62"/>
      <c r="P2971" s="64"/>
      <c r="Q2971" s="59"/>
      <c r="R2971" s="65"/>
      <c r="S2971" s="65"/>
      <c r="T2971" s="65"/>
      <c r="U2971" s="65"/>
      <c r="V2971" s="65"/>
      <c r="W2971" s="65"/>
      <c r="X2971" s="65"/>
    </row>
    <row r="2972" ht="12.0" customHeight="1">
      <c r="A2972" s="241"/>
      <c r="B2972" s="57"/>
      <c r="C2972" s="58"/>
      <c r="D2972" s="59"/>
      <c r="E2972" s="57"/>
      <c r="F2972" s="57"/>
      <c r="G2972" s="60"/>
      <c r="H2972" s="57"/>
      <c r="I2972" s="61"/>
      <c r="J2972" s="62"/>
      <c r="K2972" s="63"/>
      <c r="L2972" s="63"/>
      <c r="M2972" s="63"/>
      <c r="N2972" s="64"/>
      <c r="O2972" s="62"/>
      <c r="P2972" s="64"/>
      <c r="Q2972" s="59"/>
      <c r="R2972" s="65"/>
      <c r="S2972" s="65"/>
      <c r="T2972" s="65"/>
      <c r="U2972" s="65"/>
      <c r="V2972" s="65"/>
      <c r="W2972" s="65"/>
      <c r="X2972" s="65"/>
    </row>
    <row r="2973" ht="12.0" customHeight="1">
      <c r="A2973" s="241"/>
      <c r="B2973" s="57"/>
      <c r="C2973" s="58"/>
      <c r="D2973" s="59"/>
      <c r="E2973" s="57"/>
      <c r="F2973" s="57"/>
      <c r="G2973" s="60"/>
      <c r="H2973" s="57"/>
      <c r="I2973" s="61"/>
      <c r="J2973" s="62"/>
      <c r="K2973" s="63"/>
      <c r="L2973" s="63"/>
      <c r="M2973" s="63"/>
      <c r="N2973" s="64"/>
      <c r="O2973" s="62"/>
      <c r="P2973" s="64"/>
      <c r="Q2973" s="59"/>
      <c r="R2973" s="65"/>
      <c r="S2973" s="65"/>
      <c r="T2973" s="65"/>
      <c r="U2973" s="65"/>
      <c r="V2973" s="65"/>
      <c r="W2973" s="65"/>
      <c r="X2973" s="65"/>
    </row>
    <row r="2974" ht="12.0" customHeight="1">
      <c r="A2974" s="241"/>
      <c r="B2974" s="57"/>
      <c r="C2974" s="58"/>
      <c r="D2974" s="59"/>
      <c r="E2974" s="57"/>
      <c r="F2974" s="57"/>
      <c r="G2974" s="60"/>
      <c r="H2974" s="57"/>
      <c r="I2974" s="61"/>
      <c r="J2974" s="62"/>
      <c r="K2974" s="63"/>
      <c r="L2974" s="63"/>
      <c r="M2974" s="63"/>
      <c r="N2974" s="64"/>
      <c r="O2974" s="62"/>
      <c r="P2974" s="64"/>
      <c r="Q2974" s="59"/>
      <c r="R2974" s="65"/>
      <c r="S2974" s="65"/>
      <c r="T2974" s="65"/>
      <c r="U2974" s="65"/>
      <c r="V2974" s="65"/>
      <c r="W2974" s="65"/>
      <c r="X2974" s="65"/>
    </row>
    <row r="2975" ht="12.0" customHeight="1">
      <c r="A2975" s="241"/>
      <c r="B2975" s="57"/>
      <c r="C2975" s="58"/>
      <c r="D2975" s="59"/>
      <c r="E2975" s="57"/>
      <c r="F2975" s="57"/>
      <c r="G2975" s="60"/>
      <c r="H2975" s="57"/>
      <c r="I2975" s="61"/>
      <c r="J2975" s="62"/>
      <c r="K2975" s="63"/>
      <c r="L2975" s="63"/>
      <c r="M2975" s="63"/>
      <c r="N2975" s="64"/>
      <c r="O2975" s="62"/>
      <c r="P2975" s="64"/>
      <c r="Q2975" s="59"/>
      <c r="R2975" s="65"/>
      <c r="S2975" s="65"/>
      <c r="T2975" s="65"/>
      <c r="U2975" s="65"/>
      <c r="V2975" s="65"/>
      <c r="W2975" s="65"/>
      <c r="X2975" s="65"/>
    </row>
    <row r="2976" ht="12.0" customHeight="1">
      <c r="A2976" s="241"/>
      <c r="B2976" s="57"/>
      <c r="C2976" s="58"/>
      <c r="D2976" s="59"/>
      <c r="E2976" s="57"/>
      <c r="F2976" s="57"/>
      <c r="G2976" s="60"/>
      <c r="H2976" s="57"/>
      <c r="I2976" s="61"/>
      <c r="J2976" s="62"/>
      <c r="K2976" s="63"/>
      <c r="L2976" s="63"/>
      <c r="M2976" s="63"/>
      <c r="N2976" s="64"/>
      <c r="O2976" s="62"/>
      <c r="P2976" s="64"/>
      <c r="Q2976" s="59"/>
      <c r="R2976" s="65"/>
      <c r="S2976" s="65"/>
      <c r="T2976" s="65"/>
      <c r="U2976" s="65"/>
      <c r="V2976" s="65"/>
      <c r="W2976" s="65"/>
      <c r="X2976" s="65"/>
    </row>
    <row r="2977" ht="12.0" customHeight="1">
      <c r="A2977" s="241"/>
      <c r="B2977" s="57"/>
      <c r="C2977" s="58"/>
      <c r="D2977" s="59"/>
      <c r="E2977" s="57"/>
      <c r="F2977" s="57"/>
      <c r="G2977" s="60"/>
      <c r="H2977" s="57"/>
      <c r="I2977" s="61"/>
      <c r="J2977" s="62"/>
      <c r="K2977" s="63"/>
      <c r="L2977" s="63"/>
      <c r="M2977" s="63"/>
      <c r="N2977" s="64"/>
      <c r="O2977" s="62"/>
      <c r="P2977" s="64"/>
      <c r="Q2977" s="59"/>
      <c r="R2977" s="65"/>
      <c r="S2977" s="65"/>
      <c r="T2977" s="65"/>
      <c r="U2977" s="65"/>
      <c r="V2977" s="65"/>
      <c r="W2977" s="65"/>
      <c r="X2977" s="65"/>
    </row>
    <row r="2978" ht="12.0" customHeight="1">
      <c r="A2978" s="241"/>
      <c r="B2978" s="57"/>
      <c r="C2978" s="58"/>
      <c r="D2978" s="59"/>
      <c r="E2978" s="57"/>
      <c r="F2978" s="57"/>
      <c r="G2978" s="60"/>
      <c r="H2978" s="57"/>
      <c r="I2978" s="61"/>
      <c r="J2978" s="62"/>
      <c r="K2978" s="63"/>
      <c r="L2978" s="63"/>
      <c r="M2978" s="63"/>
      <c r="N2978" s="64"/>
      <c r="O2978" s="62"/>
      <c r="P2978" s="64"/>
      <c r="Q2978" s="59"/>
      <c r="R2978" s="65"/>
      <c r="S2978" s="65"/>
      <c r="T2978" s="65"/>
      <c r="U2978" s="65"/>
      <c r="V2978" s="65"/>
      <c r="W2978" s="65"/>
      <c r="X2978" s="65"/>
    </row>
    <row r="2979" ht="12.0" customHeight="1">
      <c r="A2979" s="241"/>
      <c r="B2979" s="57"/>
      <c r="C2979" s="58"/>
      <c r="D2979" s="59"/>
      <c r="E2979" s="57"/>
      <c r="F2979" s="57"/>
      <c r="G2979" s="60"/>
      <c r="H2979" s="57"/>
      <c r="I2979" s="61"/>
      <c r="J2979" s="62"/>
      <c r="K2979" s="63"/>
      <c r="L2979" s="63"/>
      <c r="M2979" s="63"/>
      <c r="N2979" s="64"/>
      <c r="O2979" s="62"/>
      <c r="P2979" s="64"/>
      <c r="Q2979" s="59"/>
      <c r="R2979" s="65"/>
      <c r="S2979" s="65"/>
      <c r="T2979" s="65"/>
      <c r="U2979" s="65"/>
      <c r="V2979" s="65"/>
      <c r="W2979" s="65"/>
      <c r="X2979" s="65"/>
    </row>
    <row r="2980" ht="12.0" customHeight="1">
      <c r="A2980" s="242"/>
      <c r="B2980" s="65"/>
      <c r="C2980" s="243"/>
      <c r="D2980" s="65"/>
      <c r="E2980" s="65"/>
      <c r="F2980" s="65"/>
      <c r="G2980" s="65"/>
      <c r="H2980" s="57"/>
      <c r="I2980" s="61"/>
      <c r="J2980" s="244"/>
      <c r="K2980" s="63"/>
      <c r="L2980" s="63"/>
      <c r="M2980" s="63"/>
      <c r="N2980" s="63"/>
      <c r="O2980" s="244"/>
      <c r="P2980" s="63"/>
      <c r="Q2980" s="65"/>
      <c r="R2980" s="65"/>
      <c r="S2980" s="65"/>
      <c r="T2980" s="65"/>
      <c r="U2980" s="65"/>
      <c r="V2980" s="65"/>
      <c r="W2980" s="65"/>
      <c r="X2980" s="65"/>
    </row>
    <row r="2981" ht="12.0" customHeight="1">
      <c r="A2981" s="242"/>
      <c r="B2981" s="65"/>
      <c r="C2981" s="243"/>
      <c r="D2981" s="65"/>
      <c r="E2981" s="65"/>
      <c r="F2981" s="65"/>
      <c r="G2981" s="65"/>
      <c r="H2981" s="57"/>
      <c r="I2981" s="61"/>
      <c r="J2981" s="244"/>
      <c r="K2981" s="63"/>
      <c r="L2981" s="63"/>
      <c r="M2981" s="63"/>
      <c r="N2981" s="63"/>
      <c r="O2981" s="244"/>
      <c r="P2981" s="63"/>
      <c r="Q2981" s="65"/>
      <c r="R2981" s="65"/>
      <c r="S2981" s="65"/>
      <c r="T2981" s="65"/>
      <c r="U2981" s="65"/>
      <c r="V2981" s="65"/>
      <c r="W2981" s="65"/>
      <c r="X2981" s="65"/>
    </row>
    <row r="2982" ht="12.0" customHeight="1">
      <c r="A2982" s="242"/>
      <c r="B2982" s="65"/>
      <c r="C2982" s="243"/>
      <c r="D2982" s="65"/>
      <c r="E2982" s="65"/>
      <c r="F2982" s="65"/>
      <c r="G2982" s="65"/>
      <c r="H2982" s="57"/>
      <c r="I2982" s="61"/>
      <c r="J2982" s="244"/>
      <c r="K2982" s="63"/>
      <c r="L2982" s="63"/>
      <c r="M2982" s="63"/>
      <c r="N2982" s="63"/>
      <c r="O2982" s="244"/>
      <c r="P2982" s="63"/>
      <c r="Q2982" s="65"/>
      <c r="R2982" s="65"/>
      <c r="S2982" s="65"/>
      <c r="T2982" s="65"/>
      <c r="U2982" s="65"/>
      <c r="V2982" s="65"/>
      <c r="W2982" s="65"/>
      <c r="X2982" s="65"/>
    </row>
    <row r="2983" ht="12.0" customHeight="1">
      <c r="A2983" s="242"/>
      <c r="B2983" s="65"/>
      <c r="C2983" s="243"/>
      <c r="D2983" s="65"/>
      <c r="E2983" s="65"/>
      <c r="F2983" s="65"/>
      <c r="G2983" s="65"/>
      <c r="H2983" s="57"/>
      <c r="I2983" s="61"/>
      <c r="J2983" s="244"/>
      <c r="K2983" s="63"/>
      <c r="L2983" s="63"/>
      <c r="M2983" s="63"/>
      <c r="N2983" s="63"/>
      <c r="O2983" s="244"/>
      <c r="P2983" s="63"/>
      <c r="Q2983" s="65"/>
      <c r="R2983" s="65"/>
      <c r="S2983" s="65"/>
      <c r="T2983" s="65"/>
      <c r="U2983" s="65"/>
      <c r="V2983" s="65"/>
      <c r="W2983" s="65"/>
      <c r="X2983" s="65"/>
    </row>
    <row r="2984" ht="12.0" customHeight="1">
      <c r="A2984" s="242"/>
      <c r="B2984" s="65"/>
      <c r="C2984" s="243"/>
      <c r="D2984" s="65"/>
      <c r="E2984" s="65"/>
      <c r="F2984" s="65"/>
      <c r="G2984" s="65"/>
      <c r="H2984" s="57"/>
      <c r="I2984" s="61"/>
      <c r="J2984" s="244"/>
      <c r="K2984" s="63"/>
      <c r="L2984" s="63"/>
      <c r="M2984" s="63"/>
      <c r="N2984" s="63"/>
      <c r="O2984" s="244"/>
      <c r="P2984" s="63"/>
      <c r="Q2984" s="65"/>
      <c r="R2984" s="65"/>
      <c r="S2984" s="65"/>
      <c r="T2984" s="65"/>
      <c r="U2984" s="65"/>
      <c r="V2984" s="65"/>
      <c r="W2984" s="65"/>
      <c r="X2984" s="65"/>
    </row>
    <row r="2985" ht="12.0" customHeight="1">
      <c r="A2985" s="245"/>
      <c r="B2985" s="65"/>
      <c r="C2985" s="243"/>
      <c r="D2985" s="65"/>
      <c r="E2985" s="65"/>
      <c r="F2985" s="65"/>
      <c r="G2985" s="65"/>
      <c r="H2985" s="57"/>
      <c r="I2985" s="61"/>
      <c r="J2985" s="244"/>
      <c r="K2985" s="63"/>
      <c r="L2985" s="63"/>
      <c r="M2985" s="63"/>
      <c r="N2985" s="63"/>
      <c r="O2985" s="244"/>
      <c r="P2985" s="63"/>
      <c r="Q2985" s="65"/>
      <c r="R2985" s="65"/>
      <c r="S2985" s="65"/>
      <c r="T2985" s="65"/>
      <c r="U2985" s="65"/>
      <c r="V2985" s="65"/>
      <c r="W2985" s="65"/>
      <c r="X2985" s="65"/>
    </row>
  </sheetData>
  <conditionalFormatting sqref="A1:D2985 E1:E739 F1:Q2985 E741:E2985">
    <cfRule type="expression" dxfId="9" priority="1">
      <formula>$A1="CLOSED"</formula>
    </cfRule>
  </conditionalFormatting>
  <conditionalFormatting sqref="A1:D2985 E1:E739 F1:Q2985 E741:E2985">
    <cfRule type="expression" dxfId="3" priority="2">
      <formula>$A1="IN-USE"</formula>
    </cfRule>
  </conditionalFormatting>
  <conditionalFormatting sqref="A1:D2985 E1:E739 F1:Q2985 E741:E2985">
    <cfRule type="expression" dxfId="10" priority="3">
      <formula>$B1="FEED"</formula>
    </cfRule>
  </conditionalFormatting>
  <conditionalFormatting sqref="A1:D2985 E1:E739 F1:Q2985 E741:E2985">
    <cfRule type="expression" dxfId="11" priority="4">
      <formula>$A1="SUNDRY"</formula>
    </cfRule>
  </conditionalFormatting>
  <dataValidations>
    <dataValidation type="custom" allowBlank="1" showDropDown="1" sqref="C8:C2502">
      <formula1>OR(NOT(ISERROR(DATEVALUE(C8))), AND(ISNUMBER(C8), LEFT(CELL("format", C8))="D"))</formula1>
    </dataValidation>
    <dataValidation type="custom" allowBlank="1" showDropDown="1" sqref="J8:J2502 N8:P2502">
      <formula1>AND(ISNUMBER(J8),(NOT(OR(NOT(ISERROR(DATEVALUE(J8))), AND(ISNUMBER(J8), LEFT(CELL("format", J8))="D")))))</formula1>
    </dataValidation>
    <dataValidation allowBlank="1" showDropDown="1" sqref="G8:G2502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13"/>
    <col customWidth="1" min="3" max="3" width="16.88"/>
    <col customWidth="1" min="4" max="4" width="9.13"/>
    <col customWidth="1" min="5" max="5" width="11.5"/>
    <col customWidth="1" min="7" max="7" width="9.13"/>
    <col customWidth="1" min="8" max="8" width="7.75"/>
    <col customWidth="1" min="9" max="9" width="7.88"/>
    <col customWidth="1" hidden="1" min="10" max="10" width="7.88"/>
    <col customWidth="1" min="11" max="11" width="7.25"/>
    <col customWidth="1" min="12" max="12" width="12.0"/>
    <col customWidth="1" min="13" max="14" width="7.88"/>
    <col customWidth="1" min="15" max="15" width="2.75"/>
  </cols>
  <sheetData>
    <row r="1">
      <c r="A1" s="246"/>
      <c r="B1" s="246"/>
      <c r="C1" s="246"/>
      <c r="D1" s="247"/>
      <c r="E1" s="246"/>
      <c r="F1" s="247"/>
      <c r="G1" s="247"/>
      <c r="I1" s="248"/>
      <c r="J1" s="247"/>
      <c r="K1" s="246"/>
      <c r="L1" s="246"/>
      <c r="M1" s="249"/>
      <c r="N1" s="250"/>
      <c r="O1" s="247"/>
      <c r="P1" s="247"/>
      <c r="Q1" s="247"/>
      <c r="R1" s="247"/>
      <c r="S1" s="247"/>
      <c r="T1" s="247"/>
      <c r="U1" s="247"/>
      <c r="V1" s="247"/>
      <c r="W1" s="247"/>
      <c r="X1" s="247"/>
    </row>
    <row r="2">
      <c r="A2" s="246"/>
      <c r="B2" s="246"/>
      <c r="C2" s="246"/>
      <c r="D2" s="247"/>
      <c r="E2" s="246"/>
      <c r="F2" s="247"/>
      <c r="G2" s="247"/>
      <c r="I2" s="248"/>
      <c r="J2" s="247"/>
      <c r="K2" s="246"/>
      <c r="L2" s="246"/>
      <c r="M2" s="249"/>
      <c r="N2" s="250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>
      <c r="A3" s="246"/>
      <c r="B3" s="246"/>
      <c r="C3" s="246"/>
      <c r="D3" s="247"/>
      <c r="E3" s="246"/>
      <c r="F3" s="247"/>
      <c r="G3" s="247"/>
      <c r="I3" s="248"/>
      <c r="J3" s="247"/>
      <c r="K3" s="246"/>
      <c r="L3" s="246"/>
      <c r="M3" s="249"/>
      <c r="N3" s="250"/>
      <c r="O3" s="247"/>
      <c r="P3" s="247"/>
      <c r="Q3" s="247"/>
      <c r="R3" s="247"/>
      <c r="S3" s="247"/>
      <c r="T3" s="247"/>
      <c r="U3" s="247"/>
      <c r="V3" s="247"/>
      <c r="W3" s="247"/>
      <c r="X3" s="247"/>
    </row>
    <row r="4" ht="36.75" customHeight="1">
      <c r="A4" s="251" t="s">
        <v>17</v>
      </c>
      <c r="B4" s="251" t="s">
        <v>1010</v>
      </c>
      <c r="C4" s="251" t="s">
        <v>6</v>
      </c>
      <c r="D4" s="252" t="s">
        <v>21</v>
      </c>
      <c r="E4" s="251" t="s">
        <v>1011</v>
      </c>
      <c r="F4" s="251" t="s">
        <v>28</v>
      </c>
      <c r="G4" s="251" t="s">
        <v>19</v>
      </c>
      <c r="I4" s="253" t="s">
        <v>10</v>
      </c>
      <c r="J4" s="254" t="s">
        <v>1012</v>
      </c>
      <c r="K4" s="254" t="s">
        <v>1013</v>
      </c>
      <c r="L4" s="254" t="s">
        <v>1010</v>
      </c>
      <c r="M4" s="255" t="s">
        <v>1014</v>
      </c>
      <c r="N4" s="256" t="s">
        <v>1015</v>
      </c>
      <c r="O4" s="257"/>
      <c r="P4" s="257"/>
      <c r="Q4" s="257"/>
      <c r="R4" s="257"/>
      <c r="S4" s="257"/>
      <c r="T4" s="257"/>
      <c r="U4" s="257"/>
      <c r="V4" s="257"/>
      <c r="W4" s="257"/>
      <c r="X4" s="257"/>
    </row>
    <row r="5">
      <c r="A5" s="258">
        <v>45292.0</v>
      </c>
      <c r="B5" s="259"/>
      <c r="C5" s="260" t="s">
        <v>1016</v>
      </c>
      <c r="D5" s="261">
        <v>13997.0</v>
      </c>
      <c r="E5" s="260" t="s">
        <v>1017</v>
      </c>
      <c r="F5" s="262" t="s">
        <v>1018</v>
      </c>
      <c r="G5" s="259" t="str">
        <f>IFNA(IF(VLOOKUP(RC_OUT[BLOCK],RC_IN[[BLOCK]:[BLOCK LOC]],2,FALSE)=0,"",VLOOKUP(RC_OUT[BLOCK],RC_IN[[BLOCK]:[BLOCK LOC]],2,FALSE)),"")</f>
        <v/>
      </c>
      <c r="I5" s="263" t="str">
        <f>IFERROR(AVERAGEIFS(RC_IN[MC],RC_IN[BLOCK],RC_OUT[BLOCK]),"")</f>
        <v/>
      </c>
      <c r="J5" s="264">
        <f t="shared" ref="J5:J1854" si="1">D5*I5</f>
        <v>0</v>
      </c>
      <c r="K5" s="265"/>
      <c r="L5" s="265"/>
      <c r="M5" s="249" t="str">
        <f t="shared" ref="M5:M1580" si="2">IFERROR(SUMIFS(J:J,A:A,K5,B:B,L5)/SUMIFS(D:D,A:A,K5,B:B,L5),"")</f>
        <v/>
      </c>
      <c r="N5" s="266">
        <f t="shared" ref="N5:N1854" si="3">IFERROR(SUMIFS(D:D,A:A,K5,B:B,L5),"")</f>
        <v>0</v>
      </c>
      <c r="O5" s="247"/>
      <c r="P5" s="247"/>
      <c r="Q5" s="247"/>
      <c r="R5" s="247"/>
      <c r="S5" s="247"/>
      <c r="T5" s="247"/>
      <c r="U5" s="247"/>
      <c r="V5" s="247"/>
      <c r="W5" s="247"/>
      <c r="X5" s="247"/>
    </row>
    <row r="6">
      <c r="A6" s="267">
        <v>45292.0</v>
      </c>
      <c r="B6" s="268"/>
      <c r="C6" s="269" t="s">
        <v>1019</v>
      </c>
      <c r="D6" s="270">
        <v>28828.0</v>
      </c>
      <c r="E6" s="269" t="s">
        <v>1017</v>
      </c>
      <c r="F6" s="271" t="s">
        <v>1018</v>
      </c>
      <c r="G6" s="272" t="str">
        <f>IFNA(IF(VLOOKUP(RC_OUT[BLOCK],RC_IN[[BLOCK]:[BLOCK LOC]],2,FALSE)=0,"",VLOOKUP(RC_OUT[BLOCK],RC_IN[[BLOCK]:[BLOCK LOC]],2,FALSE)),"")</f>
        <v/>
      </c>
      <c r="I6" s="263" t="str">
        <f>IFERROR(AVERAGEIFS(RC_IN[MC],RC_IN[BLOCK],RC_OUT[BLOCK]),"")</f>
        <v/>
      </c>
      <c r="J6" s="264">
        <f t="shared" si="1"/>
        <v>0</v>
      </c>
      <c r="K6" s="246"/>
      <c r="L6" s="246"/>
      <c r="M6" s="249" t="str">
        <f t="shared" si="2"/>
        <v/>
      </c>
      <c r="N6" s="266">
        <f t="shared" si="3"/>
        <v>0</v>
      </c>
      <c r="O6" s="247"/>
      <c r="P6" s="247"/>
      <c r="Q6" s="247"/>
      <c r="R6" s="247"/>
      <c r="S6" s="247"/>
      <c r="T6" s="247"/>
      <c r="U6" s="247"/>
      <c r="V6" s="247"/>
      <c r="W6" s="247"/>
      <c r="X6" s="247"/>
    </row>
    <row r="7">
      <c r="A7" s="267">
        <v>45292.0</v>
      </c>
      <c r="B7" s="268"/>
      <c r="C7" s="269" t="s">
        <v>1020</v>
      </c>
      <c r="D7" s="270">
        <v>9934.0</v>
      </c>
      <c r="E7" s="269" t="s">
        <v>1017</v>
      </c>
      <c r="F7" s="271" t="s">
        <v>1018</v>
      </c>
      <c r="G7" s="272" t="str">
        <f>IFNA(IF(VLOOKUP(RC_OUT[BLOCK],RC_IN[[BLOCK]:[BLOCK LOC]],2,FALSE)=0,"",VLOOKUP(RC_OUT[BLOCK],RC_IN[[BLOCK]:[BLOCK LOC]],2,FALSE)),"")</f>
        <v/>
      </c>
      <c r="I7" s="263" t="str">
        <f>IFERROR(AVERAGEIFS(RC_IN[MC],RC_IN[BLOCK],RC_OUT[BLOCK]),"")</f>
        <v/>
      </c>
      <c r="J7" s="264">
        <f t="shared" si="1"/>
        <v>0</v>
      </c>
      <c r="K7" s="246"/>
      <c r="L7" s="246"/>
      <c r="M7" s="249" t="str">
        <f t="shared" si="2"/>
        <v/>
      </c>
      <c r="N7" s="266">
        <f t="shared" si="3"/>
        <v>0</v>
      </c>
      <c r="O7" s="247"/>
      <c r="P7" s="247"/>
      <c r="Q7" s="247"/>
      <c r="R7" s="247"/>
      <c r="S7" s="247"/>
      <c r="T7" s="247"/>
      <c r="U7" s="247"/>
      <c r="V7" s="247"/>
      <c r="W7" s="247"/>
      <c r="X7" s="247"/>
    </row>
    <row r="8">
      <c r="A8" s="267">
        <v>45292.0</v>
      </c>
      <c r="B8" s="268"/>
      <c r="C8" s="269" t="s">
        <v>1021</v>
      </c>
      <c r="D8" s="270">
        <v>15776.0</v>
      </c>
      <c r="E8" s="269" t="s">
        <v>1017</v>
      </c>
      <c r="F8" s="271" t="s">
        <v>1018</v>
      </c>
      <c r="G8" s="272" t="str">
        <f>IFNA(IF(VLOOKUP(RC_OUT[BLOCK],RC_IN[[BLOCK]:[BLOCK LOC]],2,FALSE)=0,"",VLOOKUP(RC_OUT[BLOCK],RC_IN[[BLOCK]:[BLOCK LOC]],2,FALSE)),"")</f>
        <v/>
      </c>
      <c r="I8" s="263" t="str">
        <f>IFERROR(AVERAGEIFS(RC_IN[MC],RC_IN[BLOCK],RC_OUT[BLOCK]),"")</f>
        <v/>
      </c>
      <c r="J8" s="264">
        <f t="shared" si="1"/>
        <v>0</v>
      </c>
      <c r="K8" s="246"/>
      <c r="L8" s="246"/>
      <c r="M8" s="249" t="str">
        <f t="shared" si="2"/>
        <v/>
      </c>
      <c r="N8" s="266">
        <f t="shared" si="3"/>
        <v>0</v>
      </c>
      <c r="O8" s="247"/>
      <c r="P8" s="247"/>
      <c r="Q8" s="247"/>
      <c r="R8" s="247"/>
      <c r="S8" s="247"/>
      <c r="T8" s="247"/>
      <c r="U8" s="247"/>
      <c r="V8" s="247"/>
      <c r="W8" s="247"/>
      <c r="X8" s="247"/>
    </row>
    <row r="9">
      <c r="A9" s="267">
        <v>45292.0</v>
      </c>
      <c r="B9" s="268"/>
      <c r="C9" s="269" t="s">
        <v>1022</v>
      </c>
      <c r="D9" s="270">
        <v>53632.0</v>
      </c>
      <c r="E9" s="269" t="s">
        <v>1017</v>
      </c>
      <c r="F9" s="271" t="s">
        <v>1018</v>
      </c>
      <c r="G9" s="272" t="str">
        <f>IFNA(IF(VLOOKUP(RC_OUT[BLOCK],RC_IN[[BLOCK]:[BLOCK LOC]],2,FALSE)=0,"",VLOOKUP(RC_OUT[BLOCK],RC_IN[[BLOCK]:[BLOCK LOC]],2,FALSE)),"")</f>
        <v/>
      </c>
      <c r="I9" s="263" t="str">
        <f>IFERROR(AVERAGEIFS(RC_IN[MC],RC_IN[BLOCK],RC_OUT[BLOCK]),"")</f>
        <v/>
      </c>
      <c r="J9" s="264">
        <f t="shared" si="1"/>
        <v>0</v>
      </c>
      <c r="K9" s="246"/>
      <c r="L9" s="246"/>
      <c r="M9" s="249" t="str">
        <f t="shared" si="2"/>
        <v/>
      </c>
      <c r="N9" s="266">
        <f t="shared" si="3"/>
        <v>0</v>
      </c>
      <c r="O9" s="247"/>
      <c r="P9" s="247"/>
      <c r="Q9" s="247"/>
      <c r="R9" s="247"/>
      <c r="S9" s="247"/>
      <c r="T9" s="247"/>
      <c r="U9" s="247"/>
      <c r="V9" s="247"/>
      <c r="W9" s="247"/>
      <c r="X9" s="247"/>
    </row>
    <row r="10">
      <c r="A10" s="267">
        <v>45292.0</v>
      </c>
      <c r="B10" s="268"/>
      <c r="C10" s="269" t="s">
        <v>1023</v>
      </c>
      <c r="D10" s="270">
        <v>73711.0</v>
      </c>
      <c r="E10" s="269" t="s">
        <v>1017</v>
      </c>
      <c r="F10" s="271" t="s">
        <v>1018</v>
      </c>
      <c r="G10" s="272" t="str">
        <f>IFNA(IF(VLOOKUP(RC_OUT[BLOCK],RC_IN[[BLOCK]:[BLOCK LOC]],2,FALSE)=0,"",VLOOKUP(RC_OUT[BLOCK],RC_IN[[BLOCK]:[BLOCK LOC]],2,FALSE)),"")</f>
        <v/>
      </c>
      <c r="I10" s="263" t="str">
        <f>IFERROR(AVERAGEIFS(RC_IN[MC],RC_IN[BLOCK],RC_OUT[BLOCK]),"")</f>
        <v/>
      </c>
      <c r="J10" s="264">
        <f t="shared" si="1"/>
        <v>0</v>
      </c>
      <c r="K10" s="246"/>
      <c r="L10" s="246"/>
      <c r="M10" s="249" t="str">
        <f t="shared" si="2"/>
        <v/>
      </c>
      <c r="N10" s="266">
        <f t="shared" si="3"/>
        <v>0</v>
      </c>
      <c r="O10" s="247"/>
      <c r="P10" s="247"/>
      <c r="Q10" s="247"/>
      <c r="R10" s="247"/>
      <c r="S10" s="247"/>
      <c r="T10" s="247"/>
      <c r="U10" s="247"/>
      <c r="V10" s="247"/>
      <c r="W10" s="247"/>
      <c r="X10" s="247"/>
    </row>
    <row r="11">
      <c r="A11" s="267">
        <v>45292.0</v>
      </c>
      <c r="B11" s="268"/>
      <c r="C11" s="269" t="s">
        <v>1024</v>
      </c>
      <c r="D11" s="270">
        <v>75584.0</v>
      </c>
      <c r="E11" s="269" t="s">
        <v>1017</v>
      </c>
      <c r="F11" s="271" t="s">
        <v>1018</v>
      </c>
      <c r="G11" s="272" t="str">
        <f>IFNA(IF(VLOOKUP(RC_OUT[BLOCK],RC_IN[[BLOCK]:[BLOCK LOC]],2,FALSE)=0,"",VLOOKUP(RC_OUT[BLOCK],RC_IN[[BLOCK]:[BLOCK LOC]],2,FALSE)),"")</f>
        <v/>
      </c>
      <c r="I11" s="263" t="str">
        <f>IFERROR(AVERAGEIFS(RC_IN[MC],RC_IN[BLOCK],RC_OUT[BLOCK]),"")</f>
        <v/>
      </c>
      <c r="J11" s="264">
        <f t="shared" si="1"/>
        <v>0</v>
      </c>
      <c r="K11" s="246"/>
      <c r="L11" s="246"/>
      <c r="M11" s="249" t="str">
        <f t="shared" si="2"/>
        <v/>
      </c>
      <c r="N11" s="266">
        <f t="shared" si="3"/>
        <v>0</v>
      </c>
      <c r="O11" s="247"/>
      <c r="P11" s="247"/>
      <c r="Q11" s="247"/>
      <c r="R11" s="247"/>
      <c r="S11" s="247"/>
      <c r="T11" s="247"/>
      <c r="U11" s="247"/>
      <c r="V11" s="247"/>
      <c r="W11" s="247"/>
      <c r="X11" s="247"/>
    </row>
    <row r="12">
      <c r="A12" s="267">
        <v>45292.0</v>
      </c>
      <c r="B12" s="268"/>
      <c r="C12" s="269" t="s">
        <v>1025</v>
      </c>
      <c r="D12" s="270">
        <v>67586.0</v>
      </c>
      <c r="E12" s="269" t="s">
        <v>1017</v>
      </c>
      <c r="F12" s="271" t="s">
        <v>1018</v>
      </c>
      <c r="G12" s="272" t="str">
        <f>IFNA(IF(VLOOKUP(RC_OUT[BLOCK],RC_IN[[BLOCK]:[BLOCK LOC]],2,FALSE)=0,"",VLOOKUP(RC_OUT[BLOCK],RC_IN[[BLOCK]:[BLOCK LOC]],2,FALSE)),"")</f>
        <v/>
      </c>
      <c r="I12" s="263" t="str">
        <f>IFERROR(AVERAGEIFS(RC_IN[MC],RC_IN[BLOCK],RC_OUT[BLOCK]),"")</f>
        <v/>
      </c>
      <c r="J12" s="264">
        <f t="shared" si="1"/>
        <v>0</v>
      </c>
      <c r="K12" s="246"/>
      <c r="L12" s="246"/>
      <c r="M12" s="249" t="str">
        <f t="shared" si="2"/>
        <v/>
      </c>
      <c r="N12" s="266">
        <f t="shared" si="3"/>
        <v>0</v>
      </c>
      <c r="O12" s="247"/>
      <c r="P12" s="247"/>
      <c r="Q12" s="247"/>
      <c r="R12" s="247"/>
      <c r="S12" s="247"/>
      <c r="T12" s="247"/>
      <c r="U12" s="247"/>
      <c r="V12" s="247"/>
      <c r="W12" s="247"/>
      <c r="X12" s="247"/>
    </row>
    <row r="13">
      <c r="A13" s="273">
        <v>45292.0</v>
      </c>
      <c r="B13" s="274"/>
      <c r="C13" s="275" t="s">
        <v>1026</v>
      </c>
      <c r="D13" s="276">
        <v>62271.0</v>
      </c>
      <c r="E13" s="275" t="s">
        <v>1017</v>
      </c>
      <c r="F13" s="277" t="s">
        <v>1018</v>
      </c>
      <c r="G13" s="278" t="str">
        <f>IFNA(IF(VLOOKUP(RC_OUT[BLOCK],RC_IN[[BLOCK]:[BLOCK LOC]],2,FALSE)=0,"",VLOOKUP(RC_OUT[BLOCK],RC_IN[[BLOCK]:[BLOCK LOC]],2,FALSE)),"")</f>
        <v/>
      </c>
      <c r="I13" s="263" t="str">
        <f>IFERROR(AVERAGEIFS(RC_IN[MC],RC_IN[BLOCK],RC_OUT[BLOCK]),"")</f>
        <v/>
      </c>
      <c r="J13" s="264">
        <f t="shared" si="1"/>
        <v>0</v>
      </c>
      <c r="K13" s="246"/>
      <c r="L13" s="246"/>
      <c r="M13" s="249" t="str">
        <f t="shared" si="2"/>
        <v/>
      </c>
      <c r="N13" s="266">
        <f t="shared" si="3"/>
        <v>0</v>
      </c>
      <c r="O13" s="247"/>
      <c r="P13" s="247"/>
      <c r="Q13" s="247"/>
      <c r="R13" s="247"/>
      <c r="S13" s="247"/>
      <c r="T13" s="247"/>
      <c r="U13" s="247"/>
      <c r="V13" s="247"/>
      <c r="W13" s="247"/>
      <c r="X13" s="247"/>
    </row>
    <row r="14">
      <c r="A14" s="273">
        <v>45292.0</v>
      </c>
      <c r="B14" s="274"/>
      <c r="C14" s="275" t="s">
        <v>1027</v>
      </c>
      <c r="D14" s="276">
        <v>68650.0</v>
      </c>
      <c r="E14" s="275" t="s">
        <v>1017</v>
      </c>
      <c r="F14" s="277" t="s">
        <v>1018</v>
      </c>
      <c r="G14" s="278" t="str">
        <f>IFNA(IF(VLOOKUP(RC_OUT[BLOCK],RC_IN[[BLOCK]:[BLOCK LOC]],2,FALSE)=0,"",VLOOKUP(RC_OUT[BLOCK],RC_IN[[BLOCK]:[BLOCK LOC]],2,FALSE)),"")</f>
        <v/>
      </c>
      <c r="I14" s="263" t="str">
        <f>IFERROR(AVERAGEIFS(RC_IN[MC],RC_IN[BLOCK],RC_OUT[BLOCK]),"")</f>
        <v/>
      </c>
      <c r="J14" s="264">
        <f t="shared" si="1"/>
        <v>0</v>
      </c>
      <c r="K14" s="246"/>
      <c r="L14" s="246"/>
      <c r="M14" s="249" t="str">
        <f t="shared" si="2"/>
        <v/>
      </c>
      <c r="N14" s="266">
        <f t="shared" si="3"/>
        <v>0</v>
      </c>
      <c r="O14" s="247"/>
      <c r="P14" s="247"/>
      <c r="Q14" s="247"/>
      <c r="R14" s="247"/>
      <c r="S14" s="247"/>
      <c r="T14" s="247"/>
      <c r="U14" s="247"/>
      <c r="V14" s="247"/>
      <c r="W14" s="247"/>
      <c r="X14" s="247"/>
    </row>
    <row r="15">
      <c r="A15" s="273">
        <v>45292.0</v>
      </c>
      <c r="B15" s="274"/>
      <c r="C15" s="275" t="s">
        <v>1028</v>
      </c>
      <c r="D15" s="276">
        <v>69336.0</v>
      </c>
      <c r="E15" s="275" t="s">
        <v>1017</v>
      </c>
      <c r="F15" s="277" t="s">
        <v>1018</v>
      </c>
      <c r="G15" s="278" t="str">
        <f>IFNA(IF(VLOOKUP(RC_OUT[BLOCK],RC_IN[[BLOCK]:[BLOCK LOC]],2,FALSE)=0,"",VLOOKUP(RC_OUT[BLOCK],RC_IN[[BLOCK]:[BLOCK LOC]],2,FALSE)),"")</f>
        <v/>
      </c>
      <c r="I15" s="263" t="str">
        <f>IFERROR(AVERAGEIFS(RC_IN[MC],RC_IN[BLOCK],RC_OUT[BLOCK]),"")</f>
        <v/>
      </c>
      <c r="J15" s="264">
        <f t="shared" si="1"/>
        <v>0</v>
      </c>
      <c r="K15" s="246"/>
      <c r="L15" s="246"/>
      <c r="M15" s="249" t="str">
        <f t="shared" si="2"/>
        <v/>
      </c>
      <c r="N15" s="266">
        <f t="shared" si="3"/>
        <v>0</v>
      </c>
      <c r="O15" s="247"/>
      <c r="P15" s="247"/>
      <c r="Q15" s="247"/>
      <c r="R15" s="247"/>
      <c r="S15" s="247"/>
      <c r="T15" s="247"/>
      <c r="U15" s="247"/>
      <c r="V15" s="247"/>
      <c r="W15" s="247"/>
      <c r="X15" s="247"/>
    </row>
    <row r="16">
      <c r="A16" s="273">
        <v>45292.0</v>
      </c>
      <c r="B16" s="274"/>
      <c r="C16" s="275" t="s">
        <v>1029</v>
      </c>
      <c r="D16" s="276">
        <v>38462.0</v>
      </c>
      <c r="E16" s="275" t="s">
        <v>1017</v>
      </c>
      <c r="F16" s="277" t="s">
        <v>1018</v>
      </c>
      <c r="G16" s="278" t="str">
        <f>IFNA(IF(VLOOKUP(RC_OUT[BLOCK],RC_IN[[BLOCK]:[BLOCK LOC]],2,FALSE)=0,"",VLOOKUP(RC_OUT[BLOCK],RC_IN[[BLOCK]:[BLOCK LOC]],2,FALSE)),"")</f>
        <v/>
      </c>
      <c r="I16" s="263" t="str">
        <f>IFERROR(AVERAGEIFS(RC_IN[MC],RC_IN[BLOCK],RC_OUT[BLOCK]),"")</f>
        <v/>
      </c>
      <c r="J16" s="264">
        <f t="shared" si="1"/>
        <v>0</v>
      </c>
      <c r="K16" s="246"/>
      <c r="L16" s="246"/>
      <c r="M16" s="249" t="str">
        <f t="shared" si="2"/>
        <v/>
      </c>
      <c r="N16" s="266">
        <f t="shared" si="3"/>
        <v>0</v>
      </c>
      <c r="O16" s="247"/>
      <c r="P16" s="247"/>
      <c r="Q16" s="247"/>
      <c r="R16" s="247"/>
      <c r="S16" s="247"/>
      <c r="T16" s="247"/>
      <c r="U16" s="247"/>
      <c r="V16" s="247"/>
      <c r="W16" s="247"/>
      <c r="X16" s="247"/>
    </row>
    <row r="17">
      <c r="A17" s="273">
        <v>45292.0</v>
      </c>
      <c r="B17" s="274"/>
      <c r="C17" s="275" t="s">
        <v>1030</v>
      </c>
      <c r="D17" s="276">
        <v>35085.0</v>
      </c>
      <c r="E17" s="275" t="s">
        <v>1017</v>
      </c>
      <c r="F17" s="277" t="s">
        <v>1018</v>
      </c>
      <c r="G17" s="278" t="str">
        <f>IFNA(IF(VLOOKUP(RC_OUT[BLOCK],RC_IN[[BLOCK]:[BLOCK LOC]],2,FALSE)=0,"",VLOOKUP(RC_OUT[BLOCK],RC_IN[[BLOCK]:[BLOCK LOC]],2,FALSE)),"")</f>
        <v/>
      </c>
      <c r="I17" s="263" t="str">
        <f>IFERROR(AVERAGEIFS(RC_IN[MC],RC_IN[BLOCK],RC_OUT[BLOCK]),"")</f>
        <v/>
      </c>
      <c r="J17" s="264">
        <f t="shared" si="1"/>
        <v>0</v>
      </c>
      <c r="K17" s="246"/>
      <c r="L17" s="246"/>
      <c r="M17" s="249" t="str">
        <f t="shared" si="2"/>
        <v/>
      </c>
      <c r="N17" s="266">
        <f t="shared" si="3"/>
        <v>0</v>
      </c>
      <c r="O17" s="247"/>
      <c r="P17" s="247"/>
      <c r="Q17" s="247"/>
      <c r="R17" s="247"/>
      <c r="S17" s="247"/>
      <c r="T17" s="247"/>
      <c r="U17" s="247"/>
      <c r="V17" s="247"/>
      <c r="W17" s="247"/>
      <c r="X17" s="247"/>
    </row>
    <row r="18">
      <c r="A18" s="273">
        <v>45292.0</v>
      </c>
      <c r="B18" s="274"/>
      <c r="C18" s="275" t="s">
        <v>1031</v>
      </c>
      <c r="D18" s="276">
        <v>17639.0</v>
      </c>
      <c r="E18" s="275" t="s">
        <v>1017</v>
      </c>
      <c r="F18" s="277" t="s">
        <v>1018</v>
      </c>
      <c r="G18" s="278" t="str">
        <f>IFNA(IF(VLOOKUP(RC_OUT[BLOCK],RC_IN[[BLOCK]:[BLOCK LOC]],2,FALSE)=0,"",VLOOKUP(RC_OUT[BLOCK],RC_IN[[BLOCK]:[BLOCK LOC]],2,FALSE)),"")</f>
        <v/>
      </c>
      <c r="I18" s="263" t="str">
        <f>IFERROR(AVERAGEIFS(RC_IN[MC],RC_IN[BLOCK],RC_OUT[BLOCK]),"")</f>
        <v/>
      </c>
      <c r="J18" s="264">
        <f t="shared" si="1"/>
        <v>0</v>
      </c>
      <c r="K18" s="246"/>
      <c r="L18" s="246"/>
      <c r="M18" s="249" t="str">
        <f t="shared" si="2"/>
        <v/>
      </c>
      <c r="N18" s="266">
        <f t="shared" si="3"/>
        <v>0</v>
      </c>
      <c r="O18" s="247"/>
      <c r="P18" s="247"/>
      <c r="Q18" s="247"/>
      <c r="R18" s="247"/>
      <c r="S18" s="247"/>
      <c r="T18" s="247"/>
      <c r="U18" s="247"/>
      <c r="V18" s="247"/>
      <c r="W18" s="247"/>
      <c r="X18" s="247"/>
    </row>
    <row r="19">
      <c r="A19" s="273">
        <v>45323.0</v>
      </c>
      <c r="B19" s="274"/>
      <c r="C19" s="275" t="s">
        <v>1029</v>
      </c>
      <c r="D19" s="276">
        <v>15180.0</v>
      </c>
      <c r="E19" s="275" t="s">
        <v>1017</v>
      </c>
      <c r="F19" s="277" t="s">
        <v>1018</v>
      </c>
      <c r="G19" s="278" t="str">
        <f>IFNA(IF(VLOOKUP(RC_OUT[BLOCK],RC_IN[[BLOCK]:[BLOCK LOC]],2,FALSE)=0,"",VLOOKUP(RC_OUT[BLOCK],RC_IN[[BLOCK]:[BLOCK LOC]],2,FALSE)),"")</f>
        <v/>
      </c>
      <c r="I19" s="263" t="str">
        <f>IFERROR(AVERAGEIFS(RC_IN[MC],RC_IN[BLOCK],RC_OUT[BLOCK]),"")</f>
        <v/>
      </c>
      <c r="J19" s="264">
        <f t="shared" si="1"/>
        <v>0</v>
      </c>
      <c r="K19" s="246"/>
      <c r="L19" s="246"/>
      <c r="M19" s="249" t="str">
        <f t="shared" si="2"/>
        <v/>
      </c>
      <c r="N19" s="266">
        <f t="shared" si="3"/>
        <v>0</v>
      </c>
      <c r="O19" s="247"/>
      <c r="P19" s="247"/>
      <c r="Q19" s="247"/>
      <c r="R19" s="247"/>
      <c r="S19" s="247"/>
      <c r="T19" s="247"/>
      <c r="U19" s="247"/>
      <c r="V19" s="247"/>
      <c r="W19" s="247"/>
      <c r="X19" s="247"/>
    </row>
    <row r="20">
      <c r="A20" s="273">
        <v>45323.0</v>
      </c>
      <c r="B20" s="274"/>
      <c r="C20" s="275" t="s">
        <v>1030</v>
      </c>
      <c r="D20" s="276">
        <v>28835.0</v>
      </c>
      <c r="E20" s="275" t="s">
        <v>1017</v>
      </c>
      <c r="F20" s="277" t="s">
        <v>1018</v>
      </c>
      <c r="G20" s="278" t="str">
        <f>IFNA(IF(VLOOKUP(RC_OUT[BLOCK],RC_IN[[BLOCK]:[BLOCK LOC]],2,FALSE)=0,"",VLOOKUP(RC_OUT[BLOCK],RC_IN[[BLOCK]:[BLOCK LOC]],2,FALSE)),"")</f>
        <v/>
      </c>
      <c r="I20" s="263" t="str">
        <f>IFERROR(AVERAGEIFS(RC_IN[MC],RC_IN[BLOCK],RC_OUT[BLOCK]),"")</f>
        <v/>
      </c>
      <c r="J20" s="264">
        <f t="shared" si="1"/>
        <v>0</v>
      </c>
      <c r="K20" s="246"/>
      <c r="L20" s="246"/>
      <c r="M20" s="249" t="str">
        <f t="shared" si="2"/>
        <v/>
      </c>
      <c r="N20" s="266">
        <f t="shared" si="3"/>
        <v>0</v>
      </c>
      <c r="O20" s="247"/>
      <c r="P20" s="247"/>
      <c r="Q20" s="247"/>
      <c r="R20" s="247"/>
      <c r="S20" s="247"/>
      <c r="T20" s="247"/>
      <c r="U20" s="247"/>
      <c r="V20" s="247"/>
      <c r="W20" s="247"/>
      <c r="X20" s="247"/>
    </row>
    <row r="21">
      <c r="A21" s="273">
        <v>45323.0</v>
      </c>
      <c r="B21" s="274"/>
      <c r="C21" s="275" t="s">
        <v>1031</v>
      </c>
      <c r="D21" s="276">
        <v>54500.0</v>
      </c>
      <c r="E21" s="275" t="s">
        <v>1017</v>
      </c>
      <c r="F21" s="277" t="s">
        <v>1018</v>
      </c>
      <c r="G21" s="278" t="str">
        <f>IFNA(IF(VLOOKUP(RC_OUT[BLOCK],RC_IN[[BLOCK]:[BLOCK LOC]],2,FALSE)=0,"",VLOOKUP(RC_OUT[BLOCK],RC_IN[[BLOCK]:[BLOCK LOC]],2,FALSE)),"")</f>
        <v/>
      </c>
      <c r="I21" s="263" t="str">
        <f>IFERROR(AVERAGEIFS(RC_IN[MC],RC_IN[BLOCK],RC_OUT[BLOCK]),"")</f>
        <v/>
      </c>
      <c r="J21" s="264">
        <f t="shared" si="1"/>
        <v>0</v>
      </c>
      <c r="K21" s="246"/>
      <c r="L21" s="246"/>
      <c r="M21" s="249" t="str">
        <f t="shared" si="2"/>
        <v/>
      </c>
      <c r="N21" s="266">
        <f t="shared" si="3"/>
        <v>0</v>
      </c>
      <c r="O21" s="247"/>
      <c r="P21" s="247"/>
      <c r="Q21" s="247"/>
      <c r="R21" s="247"/>
      <c r="S21" s="247"/>
      <c r="T21" s="247"/>
      <c r="U21" s="247"/>
      <c r="V21" s="247"/>
      <c r="W21" s="247"/>
      <c r="X21" s="247"/>
    </row>
    <row r="22">
      <c r="A22" s="273">
        <v>45323.0</v>
      </c>
      <c r="B22" s="274"/>
      <c r="C22" s="275" t="s">
        <v>1032</v>
      </c>
      <c r="D22" s="276">
        <v>59878.0</v>
      </c>
      <c r="E22" s="275" t="s">
        <v>1017</v>
      </c>
      <c r="F22" s="277" t="s">
        <v>1018</v>
      </c>
      <c r="G22" s="278" t="str">
        <f>IFNA(IF(VLOOKUP(RC_OUT[BLOCK],RC_IN[[BLOCK]:[BLOCK LOC]],2,FALSE)=0,"",VLOOKUP(RC_OUT[BLOCK],RC_IN[[BLOCK]:[BLOCK LOC]],2,FALSE)),"")</f>
        <v/>
      </c>
      <c r="I22" s="263" t="str">
        <f>IFERROR(AVERAGEIFS(RC_IN[MC],RC_IN[BLOCK],RC_OUT[BLOCK]),"")</f>
        <v/>
      </c>
      <c r="J22" s="264">
        <f t="shared" si="1"/>
        <v>0</v>
      </c>
      <c r="K22" s="246"/>
      <c r="L22" s="246"/>
      <c r="M22" s="249" t="str">
        <f t="shared" si="2"/>
        <v/>
      </c>
      <c r="N22" s="266">
        <f t="shared" si="3"/>
        <v>0</v>
      </c>
      <c r="O22" s="247"/>
      <c r="P22" s="247"/>
      <c r="Q22" s="247"/>
      <c r="R22" s="247"/>
      <c r="S22" s="247"/>
      <c r="T22" s="247"/>
      <c r="U22" s="247"/>
      <c r="V22" s="247"/>
      <c r="W22" s="247"/>
      <c r="X22" s="247"/>
    </row>
    <row r="23">
      <c r="A23" s="273">
        <v>45323.0</v>
      </c>
      <c r="B23" s="274"/>
      <c r="C23" s="275" t="s">
        <v>1033</v>
      </c>
      <c r="D23" s="276">
        <v>52285.0</v>
      </c>
      <c r="E23" s="275" t="s">
        <v>1017</v>
      </c>
      <c r="F23" s="277" t="s">
        <v>1018</v>
      </c>
      <c r="G23" s="278" t="str">
        <f>IFNA(IF(VLOOKUP(RC_OUT[BLOCK],RC_IN[[BLOCK]:[BLOCK LOC]],2,FALSE)=0,"",VLOOKUP(RC_OUT[BLOCK],RC_IN[[BLOCK]:[BLOCK LOC]],2,FALSE)),"")</f>
        <v/>
      </c>
      <c r="I23" s="263" t="str">
        <f>IFERROR(AVERAGEIFS(RC_IN[MC],RC_IN[BLOCK],RC_OUT[BLOCK]),"")</f>
        <v/>
      </c>
      <c r="J23" s="264">
        <f t="shared" si="1"/>
        <v>0</v>
      </c>
      <c r="K23" s="246"/>
      <c r="L23" s="246"/>
      <c r="M23" s="249" t="str">
        <f t="shared" si="2"/>
        <v/>
      </c>
      <c r="N23" s="266">
        <f t="shared" si="3"/>
        <v>0</v>
      </c>
      <c r="O23" s="247"/>
      <c r="P23" s="247"/>
      <c r="Q23" s="247"/>
      <c r="R23" s="247"/>
      <c r="S23" s="247"/>
      <c r="T23" s="247"/>
      <c r="U23" s="247"/>
      <c r="V23" s="247"/>
      <c r="W23" s="247"/>
      <c r="X23" s="247"/>
    </row>
    <row r="24">
      <c r="A24" s="273">
        <v>45323.0</v>
      </c>
      <c r="B24" s="274"/>
      <c r="C24" s="275" t="s">
        <v>1034</v>
      </c>
      <c r="D24" s="276">
        <v>77665.0</v>
      </c>
      <c r="E24" s="275" t="s">
        <v>1017</v>
      </c>
      <c r="F24" s="277" t="s">
        <v>1018</v>
      </c>
      <c r="G24" s="278" t="str">
        <f>IFNA(IF(VLOOKUP(RC_OUT[BLOCK],RC_IN[[BLOCK]:[BLOCK LOC]],2,FALSE)=0,"",VLOOKUP(RC_OUT[BLOCK],RC_IN[[BLOCK]:[BLOCK LOC]],2,FALSE)),"")</f>
        <v/>
      </c>
      <c r="I24" s="263" t="str">
        <f>IFERROR(AVERAGEIFS(RC_IN[MC],RC_IN[BLOCK],RC_OUT[BLOCK]),"")</f>
        <v/>
      </c>
      <c r="J24" s="264">
        <f t="shared" si="1"/>
        <v>0</v>
      </c>
      <c r="K24" s="246"/>
      <c r="L24" s="246"/>
      <c r="M24" s="249" t="str">
        <f t="shared" si="2"/>
        <v/>
      </c>
      <c r="N24" s="266">
        <f t="shared" si="3"/>
        <v>0</v>
      </c>
      <c r="O24" s="247"/>
      <c r="P24" s="247"/>
      <c r="Q24" s="247"/>
      <c r="R24" s="247"/>
      <c r="S24" s="247"/>
      <c r="T24" s="247"/>
      <c r="U24" s="247"/>
      <c r="V24" s="247"/>
      <c r="W24" s="247"/>
      <c r="X24" s="247"/>
    </row>
    <row r="25">
      <c r="A25" s="273">
        <v>45323.0</v>
      </c>
      <c r="B25" s="274"/>
      <c r="C25" s="275" t="s">
        <v>1035</v>
      </c>
      <c r="D25" s="276">
        <v>52562.0</v>
      </c>
      <c r="E25" s="275" t="s">
        <v>1017</v>
      </c>
      <c r="F25" s="277" t="s">
        <v>1018</v>
      </c>
      <c r="G25" s="278" t="str">
        <f>IFNA(IF(VLOOKUP(RC_OUT[BLOCK],RC_IN[[BLOCK]:[BLOCK LOC]],2,FALSE)=0,"",VLOOKUP(RC_OUT[BLOCK],RC_IN[[BLOCK]:[BLOCK LOC]],2,FALSE)),"")</f>
        <v/>
      </c>
      <c r="I25" s="263" t="str">
        <f>IFERROR(AVERAGEIFS(RC_IN[MC],RC_IN[BLOCK],RC_OUT[BLOCK]),"")</f>
        <v/>
      </c>
      <c r="J25" s="264">
        <f t="shared" si="1"/>
        <v>0</v>
      </c>
      <c r="K25" s="246"/>
      <c r="L25" s="246"/>
      <c r="M25" s="249" t="str">
        <f t="shared" si="2"/>
        <v/>
      </c>
      <c r="N25" s="266">
        <f t="shared" si="3"/>
        <v>0</v>
      </c>
      <c r="O25" s="247"/>
      <c r="P25" s="247"/>
      <c r="Q25" s="247"/>
      <c r="R25" s="247"/>
      <c r="S25" s="247"/>
      <c r="T25" s="247"/>
      <c r="U25" s="247"/>
      <c r="V25" s="247"/>
      <c r="W25" s="247"/>
      <c r="X25" s="247"/>
    </row>
    <row r="26">
      <c r="A26" s="273">
        <v>45323.0</v>
      </c>
      <c r="B26" s="274"/>
      <c r="C26" s="275" t="s">
        <v>1036</v>
      </c>
      <c r="D26" s="276">
        <v>79460.0</v>
      </c>
      <c r="E26" s="275" t="s">
        <v>1017</v>
      </c>
      <c r="F26" s="277" t="s">
        <v>1018</v>
      </c>
      <c r="G26" s="278" t="str">
        <f>IFNA(IF(VLOOKUP(RC_OUT[BLOCK],RC_IN[[BLOCK]:[BLOCK LOC]],2,FALSE)=0,"",VLOOKUP(RC_OUT[BLOCK],RC_IN[[BLOCK]:[BLOCK LOC]],2,FALSE)),"")</f>
        <v/>
      </c>
      <c r="I26" s="263" t="str">
        <f>IFERROR(AVERAGEIFS(RC_IN[MC],RC_IN[BLOCK],RC_OUT[BLOCK]),"")</f>
        <v/>
      </c>
      <c r="J26" s="264">
        <f t="shared" si="1"/>
        <v>0</v>
      </c>
      <c r="K26" s="246"/>
      <c r="L26" s="246"/>
      <c r="M26" s="249" t="str">
        <f t="shared" si="2"/>
        <v/>
      </c>
      <c r="N26" s="266">
        <f t="shared" si="3"/>
        <v>0</v>
      </c>
      <c r="O26" s="247"/>
      <c r="P26" s="247"/>
      <c r="Q26" s="247"/>
      <c r="R26" s="247"/>
      <c r="S26" s="247"/>
      <c r="T26" s="247"/>
      <c r="U26" s="247"/>
      <c r="V26" s="247"/>
      <c r="W26" s="247"/>
      <c r="X26" s="247"/>
    </row>
    <row r="27">
      <c r="A27" s="273">
        <v>45323.0</v>
      </c>
      <c r="B27" s="274"/>
      <c r="C27" s="275" t="s">
        <v>1037</v>
      </c>
      <c r="D27" s="276">
        <v>52143.0</v>
      </c>
      <c r="E27" s="275" t="s">
        <v>1017</v>
      </c>
      <c r="F27" s="277" t="s">
        <v>1018</v>
      </c>
      <c r="G27" s="278" t="str">
        <f>IFNA(IF(VLOOKUP(RC_OUT[BLOCK],RC_IN[[BLOCK]:[BLOCK LOC]],2,FALSE)=0,"",VLOOKUP(RC_OUT[BLOCK],RC_IN[[BLOCK]:[BLOCK LOC]],2,FALSE)),"")</f>
        <v/>
      </c>
      <c r="I27" s="263" t="str">
        <f>IFERROR(AVERAGEIFS(RC_IN[MC],RC_IN[BLOCK],RC_OUT[BLOCK]),"")</f>
        <v/>
      </c>
      <c r="J27" s="264">
        <f t="shared" si="1"/>
        <v>0</v>
      </c>
      <c r="K27" s="246"/>
      <c r="L27" s="246"/>
      <c r="M27" s="249" t="str">
        <f t="shared" si="2"/>
        <v/>
      </c>
      <c r="N27" s="266">
        <f t="shared" si="3"/>
        <v>0</v>
      </c>
      <c r="O27" s="247"/>
      <c r="P27" s="247"/>
      <c r="Q27" s="247"/>
      <c r="R27" s="247"/>
      <c r="S27" s="247"/>
      <c r="T27" s="247"/>
      <c r="U27" s="247"/>
      <c r="V27" s="247"/>
      <c r="W27" s="247"/>
      <c r="X27" s="247"/>
    </row>
    <row r="28">
      <c r="A28" s="273">
        <v>45323.0</v>
      </c>
      <c r="B28" s="274"/>
      <c r="C28" s="275" t="s">
        <v>1038</v>
      </c>
      <c r="D28" s="276">
        <v>53981.0</v>
      </c>
      <c r="E28" s="275" t="s">
        <v>1017</v>
      </c>
      <c r="F28" s="277" t="s">
        <v>1018</v>
      </c>
      <c r="G28" s="278" t="str">
        <f>IFNA(IF(VLOOKUP(RC_OUT[BLOCK],RC_IN[[BLOCK]:[BLOCK LOC]],2,FALSE)=0,"",VLOOKUP(RC_OUT[BLOCK],RC_IN[[BLOCK]:[BLOCK LOC]],2,FALSE)),"")</f>
        <v/>
      </c>
      <c r="I28" s="263" t="str">
        <f>IFERROR(AVERAGEIFS(RC_IN[MC],RC_IN[BLOCK],RC_OUT[BLOCK]),"")</f>
        <v/>
      </c>
      <c r="J28" s="264">
        <f t="shared" si="1"/>
        <v>0</v>
      </c>
      <c r="K28" s="246"/>
      <c r="L28" s="246"/>
      <c r="M28" s="249" t="str">
        <f t="shared" si="2"/>
        <v/>
      </c>
      <c r="N28" s="266">
        <f t="shared" si="3"/>
        <v>0</v>
      </c>
      <c r="O28" s="247"/>
      <c r="P28" s="247"/>
      <c r="Q28" s="247"/>
      <c r="R28" s="247"/>
      <c r="S28" s="247"/>
      <c r="T28" s="247"/>
      <c r="U28" s="247"/>
      <c r="V28" s="247"/>
      <c r="W28" s="247"/>
      <c r="X28" s="247"/>
    </row>
    <row r="29">
      <c r="A29" s="273">
        <v>45323.0</v>
      </c>
      <c r="B29" s="274"/>
      <c r="C29" s="275" t="s">
        <v>1039</v>
      </c>
      <c r="D29" s="276">
        <v>43172.0</v>
      </c>
      <c r="E29" s="275" t="s">
        <v>1017</v>
      </c>
      <c r="F29" s="277" t="s">
        <v>1018</v>
      </c>
      <c r="G29" s="278" t="str">
        <f>IFNA(IF(VLOOKUP(RC_OUT[BLOCK],RC_IN[[BLOCK]:[BLOCK LOC]],2,FALSE)=0,"",VLOOKUP(RC_OUT[BLOCK],RC_IN[[BLOCK]:[BLOCK LOC]],2,FALSE)),"")</f>
        <v/>
      </c>
      <c r="I29" s="263" t="str">
        <f>IFERROR(AVERAGEIFS(RC_IN[MC],RC_IN[BLOCK],RC_OUT[BLOCK]),"")</f>
        <v/>
      </c>
      <c r="J29" s="264">
        <f t="shared" si="1"/>
        <v>0</v>
      </c>
      <c r="K29" s="246"/>
      <c r="L29" s="246"/>
      <c r="M29" s="249" t="str">
        <f t="shared" si="2"/>
        <v/>
      </c>
      <c r="N29" s="266">
        <f t="shared" si="3"/>
        <v>0</v>
      </c>
      <c r="O29" s="247"/>
      <c r="P29" s="247"/>
      <c r="Q29" s="247"/>
      <c r="R29" s="247"/>
      <c r="S29" s="247"/>
      <c r="T29" s="247"/>
      <c r="U29" s="247"/>
      <c r="V29" s="247"/>
      <c r="W29" s="247"/>
      <c r="X29" s="247"/>
    </row>
    <row r="30">
      <c r="A30" s="273">
        <v>45323.0</v>
      </c>
      <c r="B30" s="274"/>
      <c r="C30" s="275" t="s">
        <v>1040</v>
      </c>
      <c r="D30" s="276">
        <v>47980.0</v>
      </c>
      <c r="E30" s="275" t="s">
        <v>1017</v>
      </c>
      <c r="F30" s="277" t="s">
        <v>1018</v>
      </c>
      <c r="G30" s="278" t="str">
        <f>IFNA(IF(VLOOKUP(RC_OUT[BLOCK],RC_IN[[BLOCK]:[BLOCK LOC]],2,FALSE)=0,"",VLOOKUP(RC_OUT[BLOCK],RC_IN[[BLOCK]:[BLOCK LOC]],2,FALSE)),"")</f>
        <v/>
      </c>
      <c r="I30" s="263" t="str">
        <f>IFERROR(AVERAGEIFS(RC_IN[MC],RC_IN[BLOCK],RC_OUT[BLOCK]),"")</f>
        <v/>
      </c>
      <c r="J30" s="264">
        <f t="shared" si="1"/>
        <v>0</v>
      </c>
      <c r="K30" s="246"/>
      <c r="L30" s="246"/>
      <c r="M30" s="249" t="str">
        <f t="shared" si="2"/>
        <v/>
      </c>
      <c r="N30" s="266">
        <f t="shared" si="3"/>
        <v>0</v>
      </c>
      <c r="O30" s="247"/>
      <c r="P30" s="247"/>
      <c r="Q30" s="247"/>
      <c r="R30" s="247"/>
      <c r="S30" s="247"/>
      <c r="T30" s="247"/>
      <c r="U30" s="247"/>
      <c r="V30" s="247"/>
      <c r="W30" s="247"/>
      <c r="X30" s="247"/>
    </row>
    <row r="31">
      <c r="A31" s="273">
        <v>45352.0</v>
      </c>
      <c r="B31" s="274"/>
      <c r="C31" s="275" t="s">
        <v>1039</v>
      </c>
      <c r="D31" s="276">
        <v>21493.0</v>
      </c>
      <c r="E31" s="275" t="s">
        <v>1017</v>
      </c>
      <c r="F31" s="277" t="s">
        <v>1018</v>
      </c>
      <c r="G31" s="278" t="str">
        <f>IFNA(IF(VLOOKUP(RC_OUT[BLOCK],RC_IN[[BLOCK]:[BLOCK LOC]],2,FALSE)=0,"",VLOOKUP(RC_OUT[BLOCK],RC_IN[[BLOCK]:[BLOCK LOC]],2,FALSE)),"")</f>
        <v/>
      </c>
      <c r="I31" s="263" t="str">
        <f>IFERROR(AVERAGEIFS(RC_IN[MC],RC_IN[BLOCK],RC_OUT[BLOCK]),"")</f>
        <v/>
      </c>
      <c r="J31" s="264">
        <f t="shared" si="1"/>
        <v>0</v>
      </c>
      <c r="K31" s="246"/>
      <c r="L31" s="246"/>
      <c r="M31" s="249" t="str">
        <f t="shared" si="2"/>
        <v/>
      </c>
      <c r="N31" s="266">
        <f t="shared" si="3"/>
        <v>0</v>
      </c>
      <c r="O31" s="247"/>
      <c r="P31" s="247"/>
      <c r="Q31" s="247"/>
      <c r="R31" s="247"/>
      <c r="S31" s="247"/>
      <c r="T31" s="247"/>
      <c r="U31" s="247"/>
      <c r="V31" s="247"/>
      <c r="W31" s="247"/>
      <c r="X31" s="247"/>
    </row>
    <row r="32">
      <c r="A32" s="273">
        <v>45352.0</v>
      </c>
      <c r="B32" s="274"/>
      <c r="C32" s="275" t="s">
        <v>1040</v>
      </c>
      <c r="D32" s="276">
        <v>20872.0</v>
      </c>
      <c r="E32" s="275" t="s">
        <v>1017</v>
      </c>
      <c r="F32" s="277" t="s">
        <v>1018</v>
      </c>
      <c r="G32" s="278" t="str">
        <f>IFNA(IF(VLOOKUP(RC_OUT[BLOCK],RC_IN[[BLOCK]:[BLOCK LOC]],2,FALSE)=0,"",VLOOKUP(RC_OUT[BLOCK],RC_IN[[BLOCK]:[BLOCK LOC]],2,FALSE)),"")</f>
        <v/>
      </c>
      <c r="I32" s="263" t="str">
        <f>IFERROR(AVERAGEIFS(RC_IN[MC],RC_IN[BLOCK],RC_OUT[BLOCK]),"")</f>
        <v/>
      </c>
      <c r="J32" s="264">
        <f t="shared" si="1"/>
        <v>0</v>
      </c>
      <c r="K32" s="246"/>
      <c r="L32" s="246"/>
      <c r="M32" s="249" t="str">
        <f t="shared" si="2"/>
        <v/>
      </c>
      <c r="N32" s="266">
        <f t="shared" si="3"/>
        <v>0</v>
      </c>
      <c r="O32" s="247"/>
      <c r="P32" s="247"/>
      <c r="Q32" s="247"/>
      <c r="R32" s="247"/>
      <c r="S32" s="247"/>
      <c r="T32" s="247"/>
      <c r="U32" s="247"/>
      <c r="V32" s="247"/>
      <c r="W32" s="247"/>
      <c r="X32" s="247"/>
    </row>
    <row r="33">
      <c r="A33" s="273">
        <v>45352.0</v>
      </c>
      <c r="B33" s="274"/>
      <c r="C33" s="275" t="s">
        <v>1041</v>
      </c>
      <c r="D33" s="276">
        <v>55699.0</v>
      </c>
      <c r="E33" s="275" t="s">
        <v>1017</v>
      </c>
      <c r="F33" s="277" t="s">
        <v>1018</v>
      </c>
      <c r="G33" s="278" t="str">
        <f>IFNA(IF(VLOOKUP(RC_OUT[BLOCK],RC_IN[[BLOCK]:[BLOCK LOC]],2,FALSE)=0,"",VLOOKUP(RC_OUT[BLOCK],RC_IN[[BLOCK]:[BLOCK LOC]],2,FALSE)),"")</f>
        <v/>
      </c>
      <c r="I33" s="263" t="str">
        <f>IFERROR(AVERAGEIFS(RC_IN[MC],RC_IN[BLOCK],RC_OUT[BLOCK]),"")</f>
        <v/>
      </c>
      <c r="J33" s="264">
        <f t="shared" si="1"/>
        <v>0</v>
      </c>
      <c r="K33" s="246"/>
      <c r="L33" s="246"/>
      <c r="M33" s="249" t="str">
        <f t="shared" si="2"/>
        <v/>
      </c>
      <c r="N33" s="266">
        <f t="shared" si="3"/>
        <v>0</v>
      </c>
      <c r="O33" s="247"/>
      <c r="P33" s="247"/>
      <c r="Q33" s="247"/>
      <c r="R33" s="247"/>
      <c r="S33" s="247"/>
      <c r="T33" s="247"/>
      <c r="U33" s="247"/>
      <c r="V33" s="247"/>
      <c r="W33" s="247"/>
      <c r="X33" s="247"/>
    </row>
    <row r="34">
      <c r="A34" s="273">
        <v>45352.0</v>
      </c>
      <c r="B34" s="274"/>
      <c r="C34" s="275" t="s">
        <v>1038</v>
      </c>
      <c r="D34" s="276">
        <v>55834.0</v>
      </c>
      <c r="E34" s="275" t="s">
        <v>1017</v>
      </c>
      <c r="F34" s="277" t="s">
        <v>1018</v>
      </c>
      <c r="G34" s="278" t="str">
        <f>IFNA(IF(VLOOKUP(RC_OUT[BLOCK],RC_IN[[BLOCK]:[BLOCK LOC]],2,FALSE)=0,"",VLOOKUP(RC_OUT[BLOCK],RC_IN[[BLOCK]:[BLOCK LOC]],2,FALSE)),"")</f>
        <v/>
      </c>
      <c r="I34" s="263" t="str">
        <f>IFERROR(AVERAGEIFS(RC_IN[MC],RC_IN[BLOCK],RC_OUT[BLOCK]),"")</f>
        <v/>
      </c>
      <c r="J34" s="264">
        <f t="shared" si="1"/>
        <v>0</v>
      </c>
      <c r="K34" s="246"/>
      <c r="L34" s="246"/>
      <c r="M34" s="249" t="str">
        <f t="shared" si="2"/>
        <v/>
      </c>
      <c r="N34" s="266">
        <f t="shared" si="3"/>
        <v>0</v>
      </c>
      <c r="O34" s="247"/>
      <c r="P34" s="247"/>
      <c r="Q34" s="247"/>
      <c r="R34" s="247"/>
      <c r="S34" s="247"/>
      <c r="T34" s="247"/>
      <c r="U34" s="247"/>
      <c r="V34" s="247"/>
      <c r="W34" s="247"/>
      <c r="X34" s="247"/>
    </row>
    <row r="35">
      <c r="A35" s="273">
        <v>45352.0</v>
      </c>
      <c r="B35" s="274"/>
      <c r="C35" s="275" t="s">
        <v>1042</v>
      </c>
      <c r="D35" s="276">
        <v>67060.0</v>
      </c>
      <c r="E35" s="275" t="s">
        <v>1017</v>
      </c>
      <c r="F35" s="277" t="s">
        <v>1018</v>
      </c>
      <c r="G35" s="278" t="str">
        <f>IFNA(IF(VLOOKUP(RC_OUT[BLOCK],RC_IN[[BLOCK]:[BLOCK LOC]],2,FALSE)=0,"",VLOOKUP(RC_OUT[BLOCK],RC_IN[[BLOCK]:[BLOCK LOC]],2,FALSE)),"")</f>
        <v/>
      </c>
      <c r="I35" s="263" t="str">
        <f>IFERROR(AVERAGEIFS(RC_IN[MC],RC_IN[BLOCK],RC_OUT[BLOCK]),"")</f>
        <v/>
      </c>
      <c r="J35" s="264">
        <f t="shared" si="1"/>
        <v>0</v>
      </c>
      <c r="K35" s="246"/>
      <c r="L35" s="246"/>
      <c r="M35" s="249" t="str">
        <f t="shared" si="2"/>
        <v/>
      </c>
      <c r="N35" s="266">
        <f t="shared" si="3"/>
        <v>0</v>
      </c>
      <c r="O35" s="247"/>
      <c r="P35" s="247"/>
      <c r="Q35" s="247"/>
      <c r="R35" s="247"/>
      <c r="S35" s="247"/>
      <c r="T35" s="247"/>
      <c r="U35" s="247"/>
      <c r="V35" s="247"/>
      <c r="W35" s="247"/>
      <c r="X35" s="247"/>
    </row>
    <row r="36">
      <c r="A36" s="273">
        <v>45352.0</v>
      </c>
      <c r="B36" s="274"/>
      <c r="C36" s="275" t="s">
        <v>1043</v>
      </c>
      <c r="D36" s="276">
        <v>67062.0</v>
      </c>
      <c r="E36" s="275" t="s">
        <v>1017</v>
      </c>
      <c r="F36" s="277" t="s">
        <v>1018</v>
      </c>
      <c r="G36" s="278" t="str">
        <f>IFNA(IF(VLOOKUP(RC_OUT[BLOCK],RC_IN[[BLOCK]:[BLOCK LOC]],2,FALSE)=0,"",VLOOKUP(RC_OUT[BLOCK],RC_IN[[BLOCK]:[BLOCK LOC]],2,FALSE)),"")</f>
        <v/>
      </c>
      <c r="I36" s="263" t="str">
        <f>IFERROR(AVERAGEIFS(RC_IN[MC],RC_IN[BLOCK],RC_OUT[BLOCK]),"")</f>
        <v/>
      </c>
      <c r="J36" s="264">
        <f t="shared" si="1"/>
        <v>0</v>
      </c>
      <c r="K36" s="246"/>
      <c r="L36" s="246"/>
      <c r="M36" s="249" t="str">
        <f t="shared" si="2"/>
        <v/>
      </c>
      <c r="N36" s="266">
        <f t="shared" si="3"/>
        <v>0</v>
      </c>
      <c r="O36" s="247"/>
      <c r="P36" s="247"/>
      <c r="Q36" s="247"/>
      <c r="R36" s="247"/>
      <c r="S36" s="247"/>
      <c r="T36" s="247"/>
      <c r="U36" s="247"/>
      <c r="V36" s="247"/>
      <c r="W36" s="247"/>
      <c r="X36" s="247"/>
    </row>
    <row r="37">
      <c r="A37" s="273">
        <v>45352.0</v>
      </c>
      <c r="B37" s="274"/>
      <c r="C37" s="275" t="s">
        <v>1044</v>
      </c>
      <c r="D37" s="276">
        <v>75257.0</v>
      </c>
      <c r="E37" s="275" t="s">
        <v>1017</v>
      </c>
      <c r="F37" s="277" t="s">
        <v>1018</v>
      </c>
      <c r="G37" s="278" t="str">
        <f>IFNA(IF(VLOOKUP(RC_OUT[BLOCK],RC_IN[[BLOCK]:[BLOCK LOC]],2,FALSE)=0,"",VLOOKUP(RC_OUT[BLOCK],RC_IN[[BLOCK]:[BLOCK LOC]],2,FALSE)),"")</f>
        <v/>
      </c>
      <c r="I37" s="263" t="str">
        <f>IFERROR(AVERAGEIFS(RC_IN[MC],RC_IN[BLOCK],RC_OUT[BLOCK]),"")</f>
        <v/>
      </c>
      <c r="J37" s="264">
        <f t="shared" si="1"/>
        <v>0</v>
      </c>
      <c r="K37" s="246"/>
      <c r="L37" s="246"/>
      <c r="M37" s="249" t="str">
        <f t="shared" si="2"/>
        <v/>
      </c>
      <c r="N37" s="266">
        <f t="shared" si="3"/>
        <v>0</v>
      </c>
      <c r="O37" s="247"/>
      <c r="P37" s="247"/>
      <c r="Q37" s="247"/>
      <c r="R37" s="247"/>
      <c r="S37" s="247"/>
      <c r="T37" s="247"/>
      <c r="U37" s="247"/>
      <c r="V37" s="247"/>
      <c r="W37" s="247"/>
      <c r="X37" s="247"/>
    </row>
    <row r="38">
      <c r="A38" s="273">
        <v>45352.0</v>
      </c>
      <c r="B38" s="274"/>
      <c r="C38" s="275" t="s">
        <v>1045</v>
      </c>
      <c r="D38" s="276">
        <v>57940.0</v>
      </c>
      <c r="E38" s="275" t="s">
        <v>1017</v>
      </c>
      <c r="F38" s="277" t="s">
        <v>1018</v>
      </c>
      <c r="G38" s="278" t="str">
        <f>IFNA(IF(VLOOKUP(RC_OUT[BLOCK],RC_IN[[BLOCK]:[BLOCK LOC]],2,FALSE)=0,"",VLOOKUP(RC_OUT[BLOCK],RC_IN[[BLOCK]:[BLOCK LOC]],2,FALSE)),"")</f>
        <v/>
      </c>
      <c r="I38" s="263" t="str">
        <f>IFERROR(AVERAGEIFS(RC_IN[MC],RC_IN[BLOCK],RC_OUT[BLOCK]),"")</f>
        <v/>
      </c>
      <c r="J38" s="264">
        <f t="shared" si="1"/>
        <v>0</v>
      </c>
      <c r="K38" s="246"/>
      <c r="L38" s="246"/>
      <c r="M38" s="249" t="str">
        <f t="shared" si="2"/>
        <v/>
      </c>
      <c r="N38" s="266">
        <f t="shared" si="3"/>
        <v>0</v>
      </c>
      <c r="O38" s="247"/>
      <c r="P38" s="247"/>
      <c r="Q38" s="247"/>
      <c r="R38" s="247"/>
      <c r="S38" s="247"/>
      <c r="T38" s="247"/>
      <c r="U38" s="247"/>
      <c r="V38" s="247"/>
      <c r="W38" s="247"/>
      <c r="X38" s="247"/>
    </row>
    <row r="39">
      <c r="A39" s="273">
        <v>45352.0</v>
      </c>
      <c r="B39" s="274"/>
      <c r="C39" s="275" t="s">
        <v>1046</v>
      </c>
      <c r="D39" s="276">
        <v>61812.0</v>
      </c>
      <c r="E39" s="275" t="s">
        <v>1017</v>
      </c>
      <c r="F39" s="277" t="s">
        <v>1018</v>
      </c>
      <c r="G39" s="278" t="str">
        <f>IFNA(IF(VLOOKUP(RC_OUT[BLOCK],RC_IN[[BLOCK]:[BLOCK LOC]],2,FALSE)=0,"",VLOOKUP(RC_OUT[BLOCK],RC_IN[[BLOCK]:[BLOCK LOC]],2,FALSE)),"")</f>
        <v/>
      </c>
      <c r="I39" s="263" t="str">
        <f>IFERROR(AVERAGEIFS(RC_IN[MC],RC_IN[BLOCK],RC_OUT[BLOCK]),"")</f>
        <v/>
      </c>
      <c r="J39" s="264">
        <f t="shared" si="1"/>
        <v>0</v>
      </c>
      <c r="K39" s="246"/>
      <c r="L39" s="246"/>
      <c r="M39" s="249" t="str">
        <f t="shared" si="2"/>
        <v/>
      </c>
      <c r="N39" s="266">
        <f t="shared" si="3"/>
        <v>0</v>
      </c>
      <c r="O39" s="247"/>
      <c r="P39" s="247"/>
      <c r="Q39" s="247"/>
      <c r="R39" s="247"/>
      <c r="S39" s="247"/>
      <c r="T39" s="247"/>
      <c r="U39" s="247"/>
      <c r="V39" s="247"/>
      <c r="W39" s="247"/>
      <c r="X39" s="247"/>
    </row>
    <row r="40">
      <c r="A40" s="273">
        <v>45352.0</v>
      </c>
      <c r="B40" s="274"/>
      <c r="C40" s="275" t="s">
        <v>1047</v>
      </c>
      <c r="D40" s="276">
        <v>74182.0</v>
      </c>
      <c r="E40" s="275" t="s">
        <v>1017</v>
      </c>
      <c r="F40" s="277" t="s">
        <v>1018</v>
      </c>
      <c r="G40" s="278" t="str">
        <f>IFNA(IF(VLOOKUP(RC_OUT[BLOCK],RC_IN[[BLOCK]:[BLOCK LOC]],2,FALSE)=0,"",VLOOKUP(RC_OUT[BLOCK],RC_IN[[BLOCK]:[BLOCK LOC]],2,FALSE)),"")</f>
        <v/>
      </c>
      <c r="I40" s="263" t="str">
        <f>IFERROR(AVERAGEIFS(RC_IN[MC],RC_IN[BLOCK],RC_OUT[BLOCK]),"")</f>
        <v/>
      </c>
      <c r="J40" s="264">
        <f t="shared" si="1"/>
        <v>0</v>
      </c>
      <c r="K40" s="246"/>
      <c r="L40" s="246"/>
      <c r="M40" s="249" t="str">
        <f t="shared" si="2"/>
        <v/>
      </c>
      <c r="N40" s="266">
        <f t="shared" si="3"/>
        <v>0</v>
      </c>
      <c r="O40" s="247"/>
      <c r="P40" s="247"/>
      <c r="Q40" s="247"/>
      <c r="R40" s="247"/>
      <c r="S40" s="247"/>
      <c r="T40" s="247"/>
      <c r="U40" s="247"/>
      <c r="V40" s="247"/>
      <c r="W40" s="247"/>
      <c r="X40" s="247"/>
    </row>
    <row r="41">
      <c r="A41" s="273">
        <v>45352.0</v>
      </c>
      <c r="B41" s="274"/>
      <c r="C41" s="275" t="s">
        <v>1048</v>
      </c>
      <c r="D41" s="276">
        <v>42064.0</v>
      </c>
      <c r="E41" s="275" t="s">
        <v>1017</v>
      </c>
      <c r="F41" s="277" t="s">
        <v>1018</v>
      </c>
      <c r="G41" s="278" t="str">
        <f>IFNA(IF(VLOOKUP(RC_OUT[BLOCK],RC_IN[[BLOCK]:[BLOCK LOC]],2,FALSE)=0,"",VLOOKUP(RC_OUT[BLOCK],RC_IN[[BLOCK]:[BLOCK LOC]],2,FALSE)),"")</f>
        <v/>
      </c>
      <c r="I41" s="263" t="str">
        <f>IFERROR(AVERAGEIFS(RC_IN[MC],RC_IN[BLOCK],RC_OUT[BLOCK]),"")</f>
        <v/>
      </c>
      <c r="J41" s="264">
        <f t="shared" si="1"/>
        <v>0</v>
      </c>
      <c r="K41" s="246"/>
      <c r="L41" s="246"/>
      <c r="M41" s="249" t="str">
        <f t="shared" si="2"/>
        <v/>
      </c>
      <c r="N41" s="266">
        <f t="shared" si="3"/>
        <v>0</v>
      </c>
      <c r="O41" s="247"/>
      <c r="P41" s="247"/>
      <c r="Q41" s="247"/>
      <c r="R41" s="247"/>
      <c r="S41" s="247"/>
      <c r="T41" s="247"/>
      <c r="U41" s="247"/>
      <c r="V41" s="247"/>
      <c r="W41" s="247"/>
      <c r="X41" s="247"/>
    </row>
    <row r="42">
      <c r="A42" s="273">
        <v>45352.0</v>
      </c>
      <c r="B42" s="274"/>
      <c r="C42" s="275" t="s">
        <v>1049</v>
      </c>
      <c r="D42" s="276">
        <v>18754.0</v>
      </c>
      <c r="E42" s="275" t="s">
        <v>1017</v>
      </c>
      <c r="F42" s="277" t="s">
        <v>1018</v>
      </c>
      <c r="G42" s="278" t="str">
        <f>IFNA(IF(VLOOKUP(RC_OUT[BLOCK],RC_IN[[BLOCK]:[BLOCK LOC]],2,FALSE)=0,"",VLOOKUP(RC_OUT[BLOCK],RC_IN[[BLOCK]:[BLOCK LOC]],2,FALSE)),"")</f>
        <v/>
      </c>
      <c r="I42" s="263" t="str">
        <f>IFERROR(AVERAGEIFS(RC_IN[MC],RC_IN[BLOCK],RC_OUT[BLOCK]),"")</f>
        <v/>
      </c>
      <c r="J42" s="264">
        <f t="shared" si="1"/>
        <v>0</v>
      </c>
      <c r="K42" s="246"/>
      <c r="L42" s="246"/>
      <c r="M42" s="249" t="str">
        <f t="shared" si="2"/>
        <v/>
      </c>
      <c r="N42" s="266">
        <f t="shared" si="3"/>
        <v>0</v>
      </c>
      <c r="O42" s="247"/>
      <c r="P42" s="247"/>
      <c r="Q42" s="247"/>
      <c r="R42" s="247"/>
      <c r="S42" s="247"/>
      <c r="T42" s="247"/>
      <c r="U42" s="247"/>
      <c r="V42" s="247"/>
      <c r="W42" s="247"/>
      <c r="X42" s="247"/>
    </row>
    <row r="43">
      <c r="A43" s="273">
        <v>45352.0</v>
      </c>
      <c r="B43" s="274"/>
      <c r="C43" s="275" t="s">
        <v>1050</v>
      </c>
      <c r="D43" s="276">
        <v>9930.0</v>
      </c>
      <c r="E43" s="275" t="s">
        <v>1017</v>
      </c>
      <c r="F43" s="277" t="s">
        <v>1018</v>
      </c>
      <c r="G43" s="278" t="str">
        <f>IFNA(IF(VLOOKUP(RC_OUT[BLOCK],RC_IN[[BLOCK]:[BLOCK LOC]],2,FALSE)=0,"",VLOOKUP(RC_OUT[BLOCK],RC_IN[[BLOCK]:[BLOCK LOC]],2,FALSE)),"")</f>
        <v/>
      </c>
      <c r="I43" s="263" t="str">
        <f>IFERROR(AVERAGEIFS(RC_IN[MC],RC_IN[BLOCK],RC_OUT[BLOCK]),"")</f>
        <v/>
      </c>
      <c r="J43" s="264">
        <f t="shared" si="1"/>
        <v>0</v>
      </c>
      <c r="K43" s="246"/>
      <c r="L43" s="246"/>
      <c r="M43" s="249" t="str">
        <f t="shared" si="2"/>
        <v/>
      </c>
      <c r="N43" s="266">
        <f t="shared" si="3"/>
        <v>0</v>
      </c>
      <c r="O43" s="247"/>
      <c r="P43" s="247"/>
      <c r="Q43" s="247"/>
      <c r="R43" s="247"/>
      <c r="S43" s="247"/>
      <c r="T43" s="247"/>
      <c r="U43" s="247"/>
      <c r="V43" s="247"/>
      <c r="W43" s="247"/>
      <c r="X43" s="247"/>
    </row>
    <row r="44">
      <c r="A44" s="273">
        <v>45383.0</v>
      </c>
      <c r="B44" s="274"/>
      <c r="C44" s="275" t="s">
        <v>1048</v>
      </c>
      <c r="D44" s="276">
        <v>26948.0</v>
      </c>
      <c r="E44" s="275" t="s">
        <v>1017</v>
      </c>
      <c r="F44" s="277" t="s">
        <v>1018</v>
      </c>
      <c r="G44" s="278" t="str">
        <f>IFNA(IF(VLOOKUP(RC_OUT[BLOCK],RC_IN[[BLOCK]:[BLOCK LOC]],2,FALSE)=0,"",VLOOKUP(RC_OUT[BLOCK],RC_IN[[BLOCK]:[BLOCK LOC]],2,FALSE)),"")</f>
        <v/>
      </c>
      <c r="I44" s="263" t="str">
        <f>IFERROR(AVERAGEIFS(RC_IN[MC],RC_IN[BLOCK],RC_OUT[BLOCK]),"")</f>
        <v/>
      </c>
      <c r="J44" s="264">
        <f t="shared" si="1"/>
        <v>0</v>
      </c>
      <c r="K44" s="246"/>
      <c r="L44" s="246"/>
      <c r="M44" s="249" t="str">
        <f t="shared" si="2"/>
        <v/>
      </c>
      <c r="N44" s="266">
        <f t="shared" si="3"/>
        <v>0</v>
      </c>
      <c r="O44" s="247"/>
      <c r="P44" s="247"/>
      <c r="Q44" s="247"/>
      <c r="R44" s="247"/>
      <c r="S44" s="247"/>
      <c r="T44" s="247"/>
      <c r="U44" s="247"/>
      <c r="V44" s="247"/>
      <c r="W44" s="247"/>
      <c r="X44" s="247"/>
    </row>
    <row r="45">
      <c r="A45" s="273">
        <v>45383.0</v>
      </c>
      <c r="B45" s="274"/>
      <c r="C45" s="275" t="s">
        <v>1049</v>
      </c>
      <c r="D45" s="276">
        <v>52334.0</v>
      </c>
      <c r="E45" s="275" t="s">
        <v>1017</v>
      </c>
      <c r="F45" s="277" t="s">
        <v>1018</v>
      </c>
      <c r="G45" s="278" t="str">
        <f>IFNA(IF(VLOOKUP(RC_OUT[BLOCK],RC_IN[[BLOCK]:[BLOCK LOC]],2,FALSE)=0,"",VLOOKUP(RC_OUT[BLOCK],RC_IN[[BLOCK]:[BLOCK LOC]],2,FALSE)),"")</f>
        <v/>
      </c>
      <c r="I45" s="263" t="str">
        <f>IFERROR(AVERAGEIFS(RC_IN[MC],RC_IN[BLOCK],RC_OUT[BLOCK]),"")</f>
        <v/>
      </c>
      <c r="J45" s="264">
        <f t="shared" si="1"/>
        <v>0</v>
      </c>
      <c r="K45" s="246"/>
      <c r="L45" s="246"/>
      <c r="M45" s="249" t="str">
        <f t="shared" si="2"/>
        <v/>
      </c>
      <c r="N45" s="266">
        <f t="shared" si="3"/>
        <v>0</v>
      </c>
      <c r="O45" s="247"/>
      <c r="P45" s="247"/>
      <c r="Q45" s="247"/>
      <c r="R45" s="247"/>
      <c r="S45" s="247"/>
      <c r="T45" s="247"/>
      <c r="U45" s="247"/>
      <c r="V45" s="247"/>
      <c r="W45" s="247"/>
      <c r="X45" s="247"/>
    </row>
    <row r="46">
      <c r="A46" s="273">
        <v>45383.0</v>
      </c>
      <c r="B46" s="274"/>
      <c r="C46" s="275" t="s">
        <v>1051</v>
      </c>
      <c r="D46" s="276">
        <v>70859.0</v>
      </c>
      <c r="E46" s="275" t="s">
        <v>1017</v>
      </c>
      <c r="F46" s="277" t="s">
        <v>1018</v>
      </c>
      <c r="G46" s="278" t="str">
        <f>IFNA(IF(VLOOKUP(RC_OUT[BLOCK],RC_IN[[BLOCK]:[BLOCK LOC]],2,FALSE)=0,"",VLOOKUP(RC_OUT[BLOCK],RC_IN[[BLOCK]:[BLOCK LOC]],2,FALSE)),"")</f>
        <v/>
      </c>
      <c r="I46" s="263" t="str">
        <f>IFERROR(AVERAGEIFS(RC_IN[MC],RC_IN[BLOCK],RC_OUT[BLOCK]),"")</f>
        <v/>
      </c>
      <c r="J46" s="264">
        <f t="shared" si="1"/>
        <v>0</v>
      </c>
      <c r="K46" s="246"/>
      <c r="L46" s="246"/>
      <c r="M46" s="249" t="str">
        <f t="shared" si="2"/>
        <v/>
      </c>
      <c r="N46" s="266">
        <f t="shared" si="3"/>
        <v>0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7"/>
    </row>
    <row r="47">
      <c r="A47" s="273">
        <v>45383.0</v>
      </c>
      <c r="B47" s="274"/>
      <c r="C47" s="275" t="s">
        <v>1052</v>
      </c>
      <c r="D47" s="276">
        <v>54191.0</v>
      </c>
      <c r="E47" s="275" t="s">
        <v>1017</v>
      </c>
      <c r="F47" s="277" t="s">
        <v>1018</v>
      </c>
      <c r="G47" s="278" t="str">
        <f>IFNA(IF(VLOOKUP(RC_OUT[BLOCK],RC_IN[[BLOCK]:[BLOCK LOC]],2,FALSE)=0,"",VLOOKUP(RC_OUT[BLOCK],RC_IN[[BLOCK]:[BLOCK LOC]],2,FALSE)),"")</f>
        <v/>
      </c>
      <c r="I47" s="263" t="str">
        <f>IFERROR(AVERAGEIFS(RC_IN[MC],RC_IN[BLOCK],RC_OUT[BLOCK]),"")</f>
        <v/>
      </c>
      <c r="J47" s="264">
        <f t="shared" si="1"/>
        <v>0</v>
      </c>
      <c r="K47" s="246"/>
      <c r="L47" s="246"/>
      <c r="M47" s="249" t="str">
        <f t="shared" si="2"/>
        <v/>
      </c>
      <c r="N47" s="266">
        <f t="shared" si="3"/>
        <v>0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7"/>
    </row>
    <row r="48">
      <c r="A48" s="273">
        <v>45383.0</v>
      </c>
      <c r="B48" s="274"/>
      <c r="C48" s="275" t="s">
        <v>1053</v>
      </c>
      <c r="D48" s="276">
        <v>71189.0</v>
      </c>
      <c r="E48" s="275" t="s">
        <v>1017</v>
      </c>
      <c r="F48" s="277" t="s">
        <v>1018</v>
      </c>
      <c r="G48" s="278" t="str">
        <f>IFNA(IF(VLOOKUP(RC_OUT[BLOCK],RC_IN[[BLOCK]:[BLOCK LOC]],2,FALSE)=0,"",VLOOKUP(RC_OUT[BLOCK],RC_IN[[BLOCK]:[BLOCK LOC]],2,FALSE)),"")</f>
        <v/>
      </c>
      <c r="I48" s="263" t="str">
        <f>IFERROR(AVERAGEIFS(RC_IN[MC],RC_IN[BLOCK],RC_OUT[BLOCK]),"")</f>
        <v/>
      </c>
      <c r="J48" s="264">
        <f t="shared" si="1"/>
        <v>0</v>
      </c>
      <c r="K48" s="246"/>
      <c r="L48" s="246"/>
      <c r="M48" s="249" t="str">
        <f t="shared" si="2"/>
        <v/>
      </c>
      <c r="N48" s="266">
        <f t="shared" si="3"/>
        <v>0</v>
      </c>
      <c r="O48" s="247"/>
      <c r="P48" s="247"/>
      <c r="Q48" s="247"/>
      <c r="R48" s="247"/>
      <c r="S48" s="247"/>
      <c r="T48" s="247"/>
      <c r="U48" s="247"/>
      <c r="V48" s="247"/>
      <c r="W48" s="247"/>
      <c r="X48" s="247"/>
    </row>
    <row r="49">
      <c r="A49" s="273">
        <v>45383.0</v>
      </c>
      <c r="B49" s="274"/>
      <c r="C49" s="275" t="s">
        <v>1054</v>
      </c>
      <c r="D49" s="276">
        <v>53616.0</v>
      </c>
      <c r="E49" s="275" t="s">
        <v>1017</v>
      </c>
      <c r="F49" s="277" t="s">
        <v>1018</v>
      </c>
      <c r="G49" s="278" t="str">
        <f>IFNA(IF(VLOOKUP(RC_OUT[BLOCK],RC_IN[[BLOCK]:[BLOCK LOC]],2,FALSE)=0,"",VLOOKUP(RC_OUT[BLOCK],RC_IN[[BLOCK]:[BLOCK LOC]],2,FALSE)),"")</f>
        <v/>
      </c>
      <c r="I49" s="263" t="str">
        <f>IFERROR(AVERAGEIFS(RC_IN[MC],RC_IN[BLOCK],RC_OUT[BLOCK]),"")</f>
        <v/>
      </c>
      <c r="J49" s="264">
        <f t="shared" si="1"/>
        <v>0</v>
      </c>
      <c r="K49" s="246"/>
      <c r="L49" s="246"/>
      <c r="M49" s="249" t="str">
        <f t="shared" si="2"/>
        <v/>
      </c>
      <c r="N49" s="266">
        <f t="shared" si="3"/>
        <v>0</v>
      </c>
      <c r="O49" s="247"/>
      <c r="P49" s="247"/>
      <c r="Q49" s="247"/>
      <c r="R49" s="247"/>
      <c r="S49" s="247"/>
      <c r="T49" s="247"/>
      <c r="U49" s="247"/>
      <c r="V49" s="247"/>
      <c r="W49" s="247"/>
      <c r="X49" s="247"/>
    </row>
    <row r="50">
      <c r="A50" s="273">
        <v>45383.0</v>
      </c>
      <c r="B50" s="274"/>
      <c r="C50" s="275" t="s">
        <v>1055</v>
      </c>
      <c r="D50" s="276">
        <v>65612.0</v>
      </c>
      <c r="E50" s="275" t="s">
        <v>1017</v>
      </c>
      <c r="F50" s="277" t="s">
        <v>1018</v>
      </c>
      <c r="G50" s="278" t="str">
        <f>IFNA(IF(VLOOKUP(RC_OUT[BLOCK],RC_IN[[BLOCK]:[BLOCK LOC]],2,FALSE)=0,"",VLOOKUP(RC_OUT[BLOCK],RC_IN[[BLOCK]:[BLOCK LOC]],2,FALSE)),"")</f>
        <v/>
      </c>
      <c r="I50" s="263" t="str">
        <f>IFERROR(AVERAGEIFS(RC_IN[MC],RC_IN[BLOCK],RC_OUT[BLOCK]),"")</f>
        <v/>
      </c>
      <c r="J50" s="264">
        <f t="shared" si="1"/>
        <v>0</v>
      </c>
      <c r="K50" s="246"/>
      <c r="L50" s="246"/>
      <c r="M50" s="249" t="str">
        <f t="shared" si="2"/>
        <v/>
      </c>
      <c r="N50" s="266">
        <f t="shared" si="3"/>
        <v>0</v>
      </c>
      <c r="O50" s="247"/>
      <c r="P50" s="247"/>
      <c r="Q50" s="247"/>
      <c r="R50" s="247"/>
      <c r="S50" s="247"/>
      <c r="T50" s="247"/>
      <c r="U50" s="247"/>
      <c r="V50" s="247"/>
      <c r="W50" s="247"/>
      <c r="X50" s="247"/>
    </row>
    <row r="51">
      <c r="A51" s="273">
        <v>45383.0</v>
      </c>
      <c r="B51" s="274"/>
      <c r="C51" s="275" t="s">
        <v>1056</v>
      </c>
      <c r="D51" s="276">
        <v>56531.0</v>
      </c>
      <c r="E51" s="275" t="s">
        <v>1017</v>
      </c>
      <c r="F51" s="277" t="s">
        <v>1018</v>
      </c>
      <c r="G51" s="278" t="str">
        <f>IFNA(IF(VLOOKUP(RC_OUT[BLOCK],RC_IN[[BLOCK]:[BLOCK LOC]],2,FALSE)=0,"",VLOOKUP(RC_OUT[BLOCK],RC_IN[[BLOCK]:[BLOCK LOC]],2,FALSE)),"")</f>
        <v/>
      </c>
      <c r="I51" s="263" t="str">
        <f>IFERROR(AVERAGEIFS(RC_IN[MC],RC_IN[BLOCK],RC_OUT[BLOCK]),"")</f>
        <v/>
      </c>
      <c r="J51" s="264">
        <f t="shared" si="1"/>
        <v>0</v>
      </c>
      <c r="K51" s="246"/>
      <c r="L51" s="246"/>
      <c r="M51" s="249" t="str">
        <f t="shared" si="2"/>
        <v/>
      </c>
      <c r="N51" s="266">
        <f t="shared" si="3"/>
        <v>0</v>
      </c>
      <c r="O51" s="247"/>
      <c r="P51" s="247"/>
      <c r="Q51" s="247"/>
      <c r="R51" s="247"/>
      <c r="S51" s="247"/>
      <c r="T51" s="247"/>
      <c r="U51" s="247"/>
      <c r="V51" s="247"/>
      <c r="W51" s="247"/>
      <c r="X51" s="247"/>
    </row>
    <row r="52">
      <c r="A52" s="273">
        <v>45383.0</v>
      </c>
      <c r="B52" s="274"/>
      <c r="C52" s="275" t="s">
        <v>1057</v>
      </c>
      <c r="D52" s="276">
        <v>17980.0</v>
      </c>
      <c r="E52" s="275" t="s">
        <v>1017</v>
      </c>
      <c r="F52" s="277" t="s">
        <v>1018</v>
      </c>
      <c r="G52" s="278" t="str">
        <f>IFNA(IF(VLOOKUP(RC_OUT[BLOCK],RC_IN[[BLOCK]:[BLOCK LOC]],2,FALSE)=0,"",VLOOKUP(RC_OUT[BLOCK],RC_IN[[BLOCK]:[BLOCK LOC]],2,FALSE)),"")</f>
        <v/>
      </c>
      <c r="I52" s="263" t="str">
        <f>IFERROR(AVERAGEIFS(RC_IN[MC],RC_IN[BLOCK],RC_OUT[BLOCK]),"")</f>
        <v/>
      </c>
      <c r="J52" s="264">
        <f t="shared" si="1"/>
        <v>0</v>
      </c>
      <c r="K52" s="246"/>
      <c r="L52" s="246"/>
      <c r="M52" s="249" t="str">
        <f t="shared" si="2"/>
        <v/>
      </c>
      <c r="N52" s="266">
        <f t="shared" si="3"/>
        <v>0</v>
      </c>
      <c r="O52" s="247"/>
      <c r="P52" s="247"/>
      <c r="Q52" s="247"/>
      <c r="R52" s="247"/>
      <c r="S52" s="247"/>
      <c r="T52" s="247"/>
      <c r="U52" s="247"/>
      <c r="V52" s="247"/>
      <c r="W52" s="247"/>
      <c r="X52" s="247"/>
    </row>
    <row r="53">
      <c r="A53" s="273">
        <v>45383.0</v>
      </c>
      <c r="B53" s="274"/>
      <c r="C53" s="275" t="s">
        <v>1058</v>
      </c>
      <c r="D53" s="276">
        <v>7152.0</v>
      </c>
      <c r="E53" s="275" t="s">
        <v>1017</v>
      </c>
      <c r="F53" s="277" t="s">
        <v>1018</v>
      </c>
      <c r="G53" s="278" t="str">
        <f>IFNA(IF(VLOOKUP(RC_OUT[BLOCK],RC_IN[[BLOCK]:[BLOCK LOC]],2,FALSE)=0,"",VLOOKUP(RC_OUT[BLOCK],RC_IN[[BLOCK]:[BLOCK LOC]],2,FALSE)),"")</f>
        <v/>
      </c>
      <c r="I53" s="263" t="str">
        <f>IFERROR(AVERAGEIFS(RC_IN[MC],RC_IN[BLOCK],RC_OUT[BLOCK]),"")</f>
        <v/>
      </c>
      <c r="J53" s="264">
        <f t="shared" si="1"/>
        <v>0</v>
      </c>
      <c r="K53" s="246"/>
      <c r="L53" s="246"/>
      <c r="M53" s="249" t="str">
        <f t="shared" si="2"/>
        <v/>
      </c>
      <c r="N53" s="266">
        <f t="shared" si="3"/>
        <v>0</v>
      </c>
      <c r="O53" s="247"/>
      <c r="P53" s="247"/>
      <c r="Q53" s="247"/>
      <c r="R53" s="247"/>
      <c r="S53" s="247"/>
      <c r="T53" s="247"/>
      <c r="U53" s="247"/>
      <c r="V53" s="247"/>
      <c r="W53" s="247"/>
      <c r="X53" s="247"/>
    </row>
    <row r="54">
      <c r="A54" s="273">
        <v>45383.0</v>
      </c>
      <c r="B54" s="274"/>
      <c r="C54" s="275" t="s">
        <v>1050</v>
      </c>
      <c r="D54" s="276">
        <v>40222.0</v>
      </c>
      <c r="E54" s="275" t="s">
        <v>1017</v>
      </c>
      <c r="F54" s="277" t="s">
        <v>1059</v>
      </c>
      <c r="G54" s="278" t="str">
        <f>IFNA(IF(VLOOKUP(RC_OUT[BLOCK],RC_IN[[BLOCK]:[BLOCK LOC]],2,FALSE)=0,"",VLOOKUP(RC_OUT[BLOCK],RC_IN[[BLOCK]:[BLOCK LOC]],2,FALSE)),"")</f>
        <v/>
      </c>
      <c r="I54" s="263" t="str">
        <f>IFERROR(AVERAGEIFS(RC_IN[MC],RC_IN[BLOCK],RC_OUT[BLOCK]),"")</f>
        <v/>
      </c>
      <c r="J54" s="264">
        <f t="shared" si="1"/>
        <v>0</v>
      </c>
      <c r="K54" s="246"/>
      <c r="L54" s="246"/>
      <c r="M54" s="249" t="str">
        <f t="shared" si="2"/>
        <v/>
      </c>
      <c r="N54" s="266">
        <f t="shared" si="3"/>
        <v>0</v>
      </c>
      <c r="O54" s="247"/>
      <c r="P54" s="247"/>
      <c r="Q54" s="247"/>
      <c r="R54" s="247"/>
      <c r="S54" s="247"/>
      <c r="T54" s="247"/>
      <c r="U54" s="247"/>
      <c r="V54" s="247"/>
      <c r="W54" s="247"/>
      <c r="X54" s="247"/>
    </row>
    <row r="55">
      <c r="A55" s="273">
        <v>45383.0</v>
      </c>
      <c r="B55" s="274"/>
      <c r="C55" s="275" t="s">
        <v>1060</v>
      </c>
      <c r="D55" s="276">
        <v>53052.0</v>
      </c>
      <c r="E55" s="275" t="s">
        <v>1017</v>
      </c>
      <c r="F55" s="277" t="s">
        <v>1059</v>
      </c>
      <c r="G55" s="278" t="str">
        <f>IFNA(IF(VLOOKUP(RC_OUT[BLOCK],RC_IN[[BLOCK]:[BLOCK LOC]],2,FALSE)=0,"",VLOOKUP(RC_OUT[BLOCK],RC_IN[[BLOCK]:[BLOCK LOC]],2,FALSE)),"")</f>
        <v/>
      </c>
      <c r="I55" s="263" t="str">
        <f>IFERROR(AVERAGEIFS(RC_IN[MC],RC_IN[BLOCK],RC_OUT[BLOCK]),"")</f>
        <v/>
      </c>
      <c r="J55" s="264">
        <f t="shared" si="1"/>
        <v>0</v>
      </c>
      <c r="K55" s="246"/>
      <c r="L55" s="246"/>
      <c r="M55" s="249" t="str">
        <f t="shared" si="2"/>
        <v/>
      </c>
      <c r="N55" s="266">
        <f t="shared" si="3"/>
        <v>0</v>
      </c>
      <c r="O55" s="247"/>
      <c r="P55" s="247"/>
      <c r="Q55" s="247"/>
      <c r="R55" s="247"/>
      <c r="S55" s="247"/>
      <c r="T55" s="247"/>
      <c r="U55" s="247"/>
      <c r="V55" s="247"/>
      <c r="W55" s="247"/>
      <c r="X55" s="247"/>
    </row>
    <row r="56">
      <c r="A56" s="273">
        <v>45383.0</v>
      </c>
      <c r="B56" s="274"/>
      <c r="C56" s="275" t="s">
        <v>1061</v>
      </c>
      <c r="D56" s="276">
        <v>30091.0</v>
      </c>
      <c r="E56" s="275" t="s">
        <v>1017</v>
      </c>
      <c r="F56" s="277" t="s">
        <v>1059</v>
      </c>
      <c r="G56" s="278" t="str">
        <f>IFNA(IF(VLOOKUP(RC_OUT[BLOCK],RC_IN[[BLOCK]:[BLOCK LOC]],2,FALSE)=0,"",VLOOKUP(RC_OUT[BLOCK],RC_IN[[BLOCK]:[BLOCK LOC]],2,FALSE)),"")</f>
        <v/>
      </c>
      <c r="I56" s="263" t="str">
        <f>IFERROR(AVERAGEIFS(RC_IN[MC],RC_IN[BLOCK],RC_OUT[BLOCK]),"")</f>
        <v/>
      </c>
      <c r="J56" s="264">
        <f t="shared" si="1"/>
        <v>0</v>
      </c>
      <c r="K56" s="246"/>
      <c r="L56" s="246"/>
      <c r="M56" s="249" t="str">
        <f t="shared" si="2"/>
        <v/>
      </c>
      <c r="N56" s="266">
        <f t="shared" si="3"/>
        <v>0</v>
      </c>
      <c r="O56" s="247"/>
      <c r="P56" s="247"/>
      <c r="Q56" s="247"/>
      <c r="R56" s="247"/>
      <c r="S56" s="247"/>
      <c r="T56" s="247"/>
      <c r="U56" s="247"/>
      <c r="V56" s="247"/>
      <c r="W56" s="247"/>
      <c r="X56" s="247"/>
    </row>
    <row r="57">
      <c r="A57" s="273">
        <v>45413.0</v>
      </c>
      <c r="B57" s="274"/>
      <c r="C57" s="275" t="s">
        <v>1062</v>
      </c>
      <c r="D57" s="276">
        <v>55980.0</v>
      </c>
      <c r="E57" s="275" t="s">
        <v>1017</v>
      </c>
      <c r="F57" s="277" t="s">
        <v>1018</v>
      </c>
      <c r="G57" s="278" t="str">
        <f>IFNA(IF(VLOOKUP(RC_OUT[BLOCK],RC_IN[[BLOCK]:[BLOCK LOC]],2,FALSE)=0,"",VLOOKUP(RC_OUT[BLOCK],RC_IN[[BLOCK]:[BLOCK LOC]],2,FALSE)),"")</f>
        <v/>
      </c>
      <c r="I57" s="263" t="str">
        <f>IFERROR(AVERAGEIFS(RC_IN[MC],RC_IN[BLOCK],RC_OUT[BLOCK]),"")</f>
        <v/>
      </c>
      <c r="J57" s="264">
        <f t="shared" si="1"/>
        <v>0</v>
      </c>
      <c r="K57" s="246"/>
      <c r="L57" s="246"/>
      <c r="M57" s="249" t="str">
        <f t="shared" si="2"/>
        <v/>
      </c>
      <c r="N57" s="266">
        <f t="shared" si="3"/>
        <v>0</v>
      </c>
      <c r="O57" s="247"/>
      <c r="P57" s="247"/>
      <c r="Q57" s="247"/>
      <c r="R57" s="247"/>
      <c r="S57" s="247"/>
      <c r="T57" s="247"/>
      <c r="U57" s="247"/>
      <c r="V57" s="247"/>
      <c r="W57" s="247"/>
      <c r="X57" s="247"/>
    </row>
    <row r="58">
      <c r="A58" s="273">
        <v>45413.0</v>
      </c>
      <c r="B58" s="274"/>
      <c r="C58" s="275" t="s">
        <v>1063</v>
      </c>
      <c r="D58" s="276">
        <v>17805.0</v>
      </c>
      <c r="E58" s="275" t="s">
        <v>1017</v>
      </c>
      <c r="F58" s="277" t="s">
        <v>1018</v>
      </c>
      <c r="G58" s="278" t="str">
        <f>IFNA(IF(VLOOKUP(RC_OUT[BLOCK],RC_IN[[BLOCK]:[BLOCK LOC]],2,FALSE)=0,"",VLOOKUP(RC_OUT[BLOCK],RC_IN[[BLOCK]:[BLOCK LOC]],2,FALSE)),"")</f>
        <v/>
      </c>
      <c r="I58" s="263" t="str">
        <f>IFERROR(AVERAGEIFS(RC_IN[MC],RC_IN[BLOCK],RC_OUT[BLOCK]),"")</f>
        <v/>
      </c>
      <c r="J58" s="264">
        <f t="shared" si="1"/>
        <v>0</v>
      </c>
      <c r="K58" s="246"/>
      <c r="L58" s="246"/>
      <c r="M58" s="249" t="str">
        <f t="shared" si="2"/>
        <v/>
      </c>
      <c r="N58" s="266">
        <f t="shared" si="3"/>
        <v>0</v>
      </c>
      <c r="O58" s="247"/>
      <c r="P58" s="247"/>
      <c r="Q58" s="247"/>
      <c r="R58" s="247"/>
      <c r="S58" s="247"/>
      <c r="T58" s="247"/>
      <c r="U58" s="247"/>
      <c r="V58" s="247"/>
      <c r="W58" s="247"/>
      <c r="X58" s="247"/>
    </row>
    <row r="59">
      <c r="A59" s="273">
        <v>45413.0</v>
      </c>
      <c r="B59" s="274"/>
      <c r="C59" s="275" t="s">
        <v>1064</v>
      </c>
      <c r="D59" s="276">
        <v>69164.0</v>
      </c>
      <c r="E59" s="275" t="s">
        <v>1017</v>
      </c>
      <c r="F59" s="277" t="s">
        <v>1018</v>
      </c>
      <c r="G59" s="278" t="str">
        <f>IFNA(IF(VLOOKUP(RC_OUT[BLOCK],RC_IN[[BLOCK]:[BLOCK LOC]],2,FALSE)=0,"",VLOOKUP(RC_OUT[BLOCK],RC_IN[[BLOCK]:[BLOCK LOC]],2,FALSE)),"")</f>
        <v/>
      </c>
      <c r="I59" s="263" t="str">
        <f>IFERROR(AVERAGEIFS(RC_IN[MC],RC_IN[BLOCK],RC_OUT[BLOCK]),"")</f>
        <v/>
      </c>
      <c r="J59" s="264">
        <f t="shared" si="1"/>
        <v>0</v>
      </c>
      <c r="K59" s="246"/>
      <c r="L59" s="246"/>
      <c r="M59" s="249" t="str">
        <f t="shared" si="2"/>
        <v/>
      </c>
      <c r="N59" s="266">
        <f t="shared" si="3"/>
        <v>0</v>
      </c>
      <c r="O59" s="247"/>
      <c r="P59" s="247"/>
      <c r="Q59" s="247"/>
      <c r="R59" s="247"/>
      <c r="S59" s="247"/>
      <c r="T59" s="247"/>
      <c r="U59" s="247"/>
      <c r="V59" s="247"/>
      <c r="W59" s="247"/>
      <c r="X59" s="247"/>
    </row>
    <row r="60">
      <c r="A60" s="273">
        <v>45413.0</v>
      </c>
      <c r="B60" s="274"/>
      <c r="C60" s="275" t="s">
        <v>1063</v>
      </c>
      <c r="D60" s="276">
        <v>18140.0</v>
      </c>
      <c r="E60" s="275" t="s">
        <v>1017</v>
      </c>
      <c r="F60" s="277" t="s">
        <v>1018</v>
      </c>
      <c r="G60" s="278" t="str">
        <f>IFNA(IF(VLOOKUP(RC_OUT[BLOCK],RC_IN[[BLOCK]:[BLOCK LOC]],2,FALSE)=0,"",VLOOKUP(RC_OUT[BLOCK],RC_IN[[BLOCK]:[BLOCK LOC]],2,FALSE)),"")</f>
        <v/>
      </c>
      <c r="I60" s="263" t="str">
        <f>IFERROR(AVERAGEIFS(RC_IN[MC],RC_IN[BLOCK],RC_OUT[BLOCK]),"")</f>
        <v/>
      </c>
      <c r="J60" s="264">
        <f t="shared" si="1"/>
        <v>0</v>
      </c>
      <c r="K60" s="246"/>
      <c r="L60" s="246"/>
      <c r="M60" s="249" t="str">
        <f t="shared" si="2"/>
        <v/>
      </c>
      <c r="N60" s="266">
        <f t="shared" si="3"/>
        <v>0</v>
      </c>
      <c r="O60" s="247"/>
      <c r="P60" s="247"/>
      <c r="Q60" s="247"/>
      <c r="R60" s="247"/>
      <c r="S60" s="247"/>
      <c r="T60" s="247"/>
      <c r="U60" s="247"/>
      <c r="V60" s="247"/>
      <c r="W60" s="247"/>
      <c r="X60" s="247"/>
    </row>
    <row r="61">
      <c r="A61" s="273">
        <v>45413.0</v>
      </c>
      <c r="B61" s="274"/>
      <c r="C61" s="275" t="s">
        <v>1065</v>
      </c>
      <c r="D61" s="276">
        <v>56874.0</v>
      </c>
      <c r="E61" s="275" t="s">
        <v>1017</v>
      </c>
      <c r="F61" s="277" t="s">
        <v>1018</v>
      </c>
      <c r="G61" s="278" t="str">
        <f>IFNA(IF(VLOOKUP(RC_OUT[BLOCK],RC_IN[[BLOCK]:[BLOCK LOC]],2,FALSE)=0,"",VLOOKUP(RC_OUT[BLOCK],RC_IN[[BLOCK]:[BLOCK LOC]],2,FALSE)),"")</f>
        <v/>
      </c>
      <c r="I61" s="263" t="str">
        <f>IFERROR(AVERAGEIFS(RC_IN[MC],RC_IN[BLOCK],RC_OUT[BLOCK]),"")</f>
        <v/>
      </c>
      <c r="J61" s="264">
        <f t="shared" si="1"/>
        <v>0</v>
      </c>
      <c r="K61" s="246"/>
      <c r="L61" s="246"/>
      <c r="M61" s="249" t="str">
        <f t="shared" si="2"/>
        <v/>
      </c>
      <c r="N61" s="266">
        <f t="shared" si="3"/>
        <v>0</v>
      </c>
      <c r="O61" s="247"/>
      <c r="P61" s="247"/>
      <c r="Q61" s="247"/>
      <c r="R61" s="247"/>
      <c r="S61" s="247"/>
      <c r="T61" s="247"/>
      <c r="U61" s="247"/>
      <c r="V61" s="247"/>
      <c r="W61" s="247"/>
      <c r="X61" s="247"/>
    </row>
    <row r="62">
      <c r="A62" s="273">
        <v>45413.0</v>
      </c>
      <c r="B62" s="274"/>
      <c r="C62" s="275" t="s">
        <v>1066</v>
      </c>
      <c r="D62" s="276">
        <v>66037.0</v>
      </c>
      <c r="E62" s="275" t="s">
        <v>1017</v>
      </c>
      <c r="F62" s="277" t="s">
        <v>1018</v>
      </c>
      <c r="G62" s="278" t="str">
        <f>IFNA(IF(VLOOKUP(RC_OUT[BLOCK],RC_IN[[BLOCK]:[BLOCK LOC]],2,FALSE)=0,"",VLOOKUP(RC_OUT[BLOCK],RC_IN[[BLOCK]:[BLOCK LOC]],2,FALSE)),"")</f>
        <v/>
      </c>
      <c r="I62" s="263" t="str">
        <f>IFERROR(AVERAGEIFS(RC_IN[MC],RC_IN[BLOCK],RC_OUT[BLOCK]),"")</f>
        <v/>
      </c>
      <c r="J62" s="264">
        <f t="shared" si="1"/>
        <v>0</v>
      </c>
      <c r="K62" s="246"/>
      <c r="L62" s="246"/>
      <c r="M62" s="249" t="str">
        <f t="shared" si="2"/>
        <v/>
      </c>
      <c r="N62" s="266">
        <f t="shared" si="3"/>
        <v>0</v>
      </c>
      <c r="O62" s="247"/>
      <c r="P62" s="247"/>
      <c r="Q62" s="247"/>
      <c r="R62" s="247"/>
      <c r="S62" s="247"/>
      <c r="T62" s="247"/>
      <c r="U62" s="247"/>
      <c r="V62" s="247"/>
      <c r="W62" s="247"/>
      <c r="X62" s="247"/>
    </row>
    <row r="63">
      <c r="A63" s="273">
        <v>45413.0</v>
      </c>
      <c r="B63" s="274"/>
      <c r="C63" s="275" t="s">
        <v>1067</v>
      </c>
      <c r="D63" s="276">
        <v>56394.0</v>
      </c>
      <c r="E63" s="275" t="s">
        <v>1017</v>
      </c>
      <c r="F63" s="277" t="s">
        <v>1018</v>
      </c>
      <c r="G63" s="278" t="str">
        <f>IFNA(IF(VLOOKUP(RC_OUT[BLOCK],RC_IN[[BLOCK]:[BLOCK LOC]],2,FALSE)=0,"",VLOOKUP(RC_OUT[BLOCK],RC_IN[[BLOCK]:[BLOCK LOC]],2,FALSE)),"")</f>
        <v/>
      </c>
      <c r="I63" s="263" t="str">
        <f>IFERROR(AVERAGEIFS(RC_IN[MC],RC_IN[BLOCK],RC_OUT[BLOCK]),"")</f>
        <v/>
      </c>
      <c r="J63" s="264">
        <f t="shared" si="1"/>
        <v>0</v>
      </c>
      <c r="K63" s="246"/>
      <c r="L63" s="246"/>
      <c r="M63" s="249" t="str">
        <f t="shared" si="2"/>
        <v/>
      </c>
      <c r="N63" s="266">
        <f t="shared" si="3"/>
        <v>0</v>
      </c>
      <c r="O63" s="247"/>
      <c r="P63" s="247"/>
      <c r="Q63" s="247"/>
      <c r="R63" s="247"/>
      <c r="S63" s="247"/>
      <c r="T63" s="247"/>
      <c r="U63" s="247"/>
      <c r="V63" s="247"/>
      <c r="W63" s="247"/>
      <c r="X63" s="247"/>
    </row>
    <row r="64">
      <c r="A64" s="273">
        <v>45413.0</v>
      </c>
      <c r="B64" s="274"/>
      <c r="C64" s="275" t="s">
        <v>1068</v>
      </c>
      <c r="D64" s="276">
        <v>15820.0</v>
      </c>
      <c r="E64" s="275" t="s">
        <v>1017</v>
      </c>
      <c r="F64" s="277" t="s">
        <v>1018</v>
      </c>
      <c r="G64" s="278" t="str">
        <f>IFNA(IF(VLOOKUP(RC_OUT[BLOCK],RC_IN[[BLOCK]:[BLOCK LOC]],2,FALSE)=0,"",VLOOKUP(RC_OUT[BLOCK],RC_IN[[BLOCK]:[BLOCK LOC]],2,FALSE)),"")</f>
        <v/>
      </c>
      <c r="I64" s="263" t="str">
        <f>IFERROR(AVERAGEIFS(RC_IN[MC],RC_IN[BLOCK],RC_OUT[BLOCK]),"")</f>
        <v/>
      </c>
      <c r="J64" s="264">
        <f t="shared" si="1"/>
        <v>0</v>
      </c>
      <c r="K64" s="246"/>
      <c r="L64" s="246"/>
      <c r="M64" s="249" t="str">
        <f t="shared" si="2"/>
        <v/>
      </c>
      <c r="N64" s="266">
        <f t="shared" si="3"/>
        <v>0</v>
      </c>
      <c r="O64" s="247"/>
      <c r="P64" s="247"/>
      <c r="Q64" s="247"/>
      <c r="R64" s="247"/>
      <c r="S64" s="247"/>
      <c r="T64" s="247"/>
      <c r="U64" s="247"/>
      <c r="V64" s="247"/>
      <c r="W64" s="247"/>
      <c r="X64" s="247"/>
    </row>
    <row r="65">
      <c r="A65" s="273">
        <v>45413.0</v>
      </c>
      <c r="B65" s="274"/>
      <c r="C65" s="275" t="s">
        <v>1069</v>
      </c>
      <c r="D65" s="276">
        <v>34887.0</v>
      </c>
      <c r="E65" s="275" t="s">
        <v>1017</v>
      </c>
      <c r="F65" s="277" t="s">
        <v>1018</v>
      </c>
      <c r="G65" s="278" t="str">
        <f>IFNA(IF(VLOOKUP(RC_OUT[BLOCK],RC_IN[[BLOCK]:[BLOCK LOC]],2,FALSE)=0,"",VLOOKUP(RC_OUT[BLOCK],RC_IN[[BLOCK]:[BLOCK LOC]],2,FALSE)),"")</f>
        <v/>
      </c>
      <c r="I65" s="263" t="str">
        <f>IFERROR(AVERAGEIFS(RC_IN[MC],RC_IN[BLOCK],RC_OUT[BLOCK]),"")</f>
        <v/>
      </c>
      <c r="J65" s="264">
        <f t="shared" si="1"/>
        <v>0</v>
      </c>
      <c r="K65" s="246"/>
      <c r="L65" s="246"/>
      <c r="M65" s="249" t="str">
        <f t="shared" si="2"/>
        <v/>
      </c>
      <c r="N65" s="266">
        <f t="shared" si="3"/>
        <v>0</v>
      </c>
      <c r="O65" s="247"/>
      <c r="P65" s="247"/>
      <c r="Q65" s="247"/>
      <c r="R65" s="247"/>
      <c r="S65" s="247"/>
      <c r="T65" s="247"/>
      <c r="U65" s="247"/>
      <c r="V65" s="247"/>
      <c r="W65" s="247"/>
      <c r="X65" s="247"/>
    </row>
    <row r="66">
      <c r="A66" s="273">
        <v>45413.0</v>
      </c>
      <c r="B66" s="274"/>
      <c r="C66" s="275" t="s">
        <v>1070</v>
      </c>
      <c r="D66" s="276">
        <v>58650.0</v>
      </c>
      <c r="E66" s="275" t="s">
        <v>1017</v>
      </c>
      <c r="F66" s="277" t="s">
        <v>1059</v>
      </c>
      <c r="G66" s="278" t="str">
        <f>IFNA(IF(VLOOKUP(RC_OUT[BLOCK],RC_IN[[BLOCK]:[BLOCK LOC]],2,FALSE)=0,"",VLOOKUP(RC_OUT[BLOCK],RC_IN[[BLOCK]:[BLOCK LOC]],2,FALSE)),"")</f>
        <v/>
      </c>
      <c r="I66" s="263" t="str">
        <f>IFERROR(AVERAGEIFS(RC_IN[MC],RC_IN[BLOCK],RC_OUT[BLOCK]),"")</f>
        <v/>
      </c>
      <c r="J66" s="264">
        <f t="shared" si="1"/>
        <v>0</v>
      </c>
      <c r="K66" s="246"/>
      <c r="L66" s="246"/>
      <c r="M66" s="249" t="str">
        <f t="shared" si="2"/>
        <v/>
      </c>
      <c r="N66" s="266">
        <f t="shared" si="3"/>
        <v>0</v>
      </c>
      <c r="O66" s="247"/>
      <c r="P66" s="247"/>
      <c r="Q66" s="247"/>
      <c r="R66" s="247"/>
      <c r="S66" s="247"/>
      <c r="T66" s="247"/>
      <c r="U66" s="247"/>
      <c r="V66" s="247"/>
      <c r="W66" s="247"/>
      <c r="X66" s="247"/>
    </row>
    <row r="67">
      <c r="A67" s="273">
        <v>45413.0</v>
      </c>
      <c r="B67" s="274"/>
      <c r="C67" s="275" t="s">
        <v>1058</v>
      </c>
      <c r="D67" s="276">
        <v>13402.0</v>
      </c>
      <c r="E67" s="275" t="s">
        <v>1017</v>
      </c>
      <c r="F67" s="277" t="s">
        <v>1059</v>
      </c>
      <c r="G67" s="278" t="str">
        <f>IFNA(IF(VLOOKUP(RC_OUT[BLOCK],RC_IN[[BLOCK]:[BLOCK LOC]],2,FALSE)=0,"",VLOOKUP(RC_OUT[BLOCK],RC_IN[[BLOCK]:[BLOCK LOC]],2,FALSE)),"")</f>
        <v/>
      </c>
      <c r="I67" s="263" t="str">
        <f>IFERROR(AVERAGEIFS(RC_IN[MC],RC_IN[BLOCK],RC_OUT[BLOCK]),"")</f>
        <v/>
      </c>
      <c r="J67" s="264">
        <f t="shared" si="1"/>
        <v>0</v>
      </c>
      <c r="K67" s="246"/>
      <c r="L67" s="246"/>
      <c r="M67" s="249" t="str">
        <f t="shared" si="2"/>
        <v/>
      </c>
      <c r="N67" s="266">
        <f t="shared" si="3"/>
        <v>0</v>
      </c>
      <c r="O67" s="247"/>
      <c r="P67" s="247"/>
      <c r="Q67" s="247"/>
      <c r="R67" s="247"/>
      <c r="S67" s="247"/>
      <c r="T67" s="247"/>
      <c r="U67" s="247"/>
      <c r="V67" s="247"/>
      <c r="W67" s="247"/>
      <c r="X67" s="247"/>
    </row>
    <row r="68">
      <c r="A68" s="273">
        <v>45413.0</v>
      </c>
      <c r="B68" s="274"/>
      <c r="C68" s="275" t="s">
        <v>1071</v>
      </c>
      <c r="D68" s="276">
        <v>53505.0</v>
      </c>
      <c r="E68" s="275" t="s">
        <v>1017</v>
      </c>
      <c r="F68" s="277" t="s">
        <v>1059</v>
      </c>
      <c r="G68" s="278" t="str">
        <f>IFNA(IF(VLOOKUP(RC_OUT[BLOCK],RC_IN[[BLOCK]:[BLOCK LOC]],2,FALSE)=0,"",VLOOKUP(RC_OUT[BLOCK],RC_IN[[BLOCK]:[BLOCK LOC]],2,FALSE)),"")</f>
        <v/>
      </c>
      <c r="I68" s="263" t="str">
        <f>IFERROR(AVERAGEIFS(RC_IN[MC],RC_IN[BLOCK],RC_OUT[BLOCK]),"")</f>
        <v/>
      </c>
      <c r="J68" s="264">
        <f t="shared" si="1"/>
        <v>0</v>
      </c>
      <c r="K68" s="246"/>
      <c r="L68" s="246"/>
      <c r="M68" s="249" t="str">
        <f t="shared" si="2"/>
        <v/>
      </c>
      <c r="N68" s="266">
        <f t="shared" si="3"/>
        <v>0</v>
      </c>
      <c r="O68" s="247"/>
      <c r="P68" s="247"/>
      <c r="Q68" s="247"/>
      <c r="R68" s="247"/>
      <c r="S68" s="247"/>
      <c r="T68" s="247"/>
      <c r="U68" s="247"/>
      <c r="V68" s="247"/>
      <c r="W68" s="247"/>
      <c r="X68" s="247"/>
    </row>
    <row r="69">
      <c r="A69" s="273">
        <v>45413.0</v>
      </c>
      <c r="B69" s="274"/>
      <c r="C69" s="275" t="s">
        <v>1072</v>
      </c>
      <c r="D69" s="276">
        <v>54322.0</v>
      </c>
      <c r="E69" s="275" t="s">
        <v>1017</v>
      </c>
      <c r="F69" s="277" t="s">
        <v>1059</v>
      </c>
      <c r="G69" s="278" t="str">
        <f>IFNA(IF(VLOOKUP(RC_OUT[BLOCK],RC_IN[[BLOCK]:[BLOCK LOC]],2,FALSE)=0,"",VLOOKUP(RC_OUT[BLOCK],RC_IN[[BLOCK]:[BLOCK LOC]],2,FALSE)),"")</f>
        <v/>
      </c>
      <c r="I69" s="263" t="str">
        <f>IFERROR(AVERAGEIFS(RC_IN[MC],RC_IN[BLOCK],RC_OUT[BLOCK]),"")</f>
        <v/>
      </c>
      <c r="J69" s="264">
        <f t="shared" si="1"/>
        <v>0</v>
      </c>
      <c r="K69" s="246"/>
      <c r="L69" s="246"/>
      <c r="M69" s="249" t="str">
        <f t="shared" si="2"/>
        <v/>
      </c>
      <c r="N69" s="266">
        <f t="shared" si="3"/>
        <v>0</v>
      </c>
      <c r="O69" s="247"/>
      <c r="P69" s="247"/>
      <c r="Q69" s="247"/>
      <c r="R69" s="247"/>
      <c r="S69" s="247"/>
      <c r="T69" s="247"/>
      <c r="U69" s="247"/>
      <c r="V69" s="247"/>
      <c r="W69" s="247"/>
      <c r="X69" s="247"/>
    </row>
    <row r="70">
      <c r="A70" s="273">
        <v>45413.0</v>
      </c>
      <c r="B70" s="274"/>
      <c r="C70" s="275" t="s">
        <v>1073</v>
      </c>
      <c r="D70" s="276">
        <v>56213.0</v>
      </c>
      <c r="E70" s="275" t="s">
        <v>1017</v>
      </c>
      <c r="F70" s="277" t="s">
        <v>1059</v>
      </c>
      <c r="G70" s="278" t="str">
        <f>IFNA(IF(VLOOKUP(RC_OUT[BLOCK],RC_IN[[BLOCK]:[BLOCK LOC]],2,FALSE)=0,"",VLOOKUP(RC_OUT[BLOCK],RC_IN[[BLOCK]:[BLOCK LOC]],2,FALSE)),"")</f>
        <v/>
      </c>
      <c r="I70" s="263" t="str">
        <f>IFERROR(AVERAGEIFS(RC_IN[MC],RC_IN[BLOCK],RC_OUT[BLOCK]),"")</f>
        <v/>
      </c>
      <c r="J70" s="264">
        <f t="shared" si="1"/>
        <v>0</v>
      </c>
      <c r="K70" s="246"/>
      <c r="L70" s="246"/>
      <c r="M70" s="249" t="str">
        <f t="shared" si="2"/>
        <v/>
      </c>
      <c r="N70" s="266">
        <f t="shared" si="3"/>
        <v>0</v>
      </c>
      <c r="O70" s="247"/>
      <c r="P70" s="247"/>
      <c r="Q70" s="247"/>
      <c r="R70" s="247"/>
      <c r="S70" s="247"/>
      <c r="T70" s="247"/>
      <c r="U70" s="247"/>
      <c r="V70" s="247"/>
      <c r="W70" s="247"/>
      <c r="X70" s="247"/>
    </row>
    <row r="71">
      <c r="A71" s="273">
        <v>45413.0</v>
      </c>
      <c r="B71" s="274"/>
      <c r="C71" s="275" t="s">
        <v>1074</v>
      </c>
      <c r="D71" s="276">
        <v>45754.0</v>
      </c>
      <c r="E71" s="275" t="s">
        <v>1017</v>
      </c>
      <c r="F71" s="277" t="s">
        <v>1059</v>
      </c>
      <c r="G71" s="278" t="str">
        <f>IFNA(IF(VLOOKUP(RC_OUT[BLOCK],RC_IN[[BLOCK]:[BLOCK LOC]],2,FALSE)=0,"",VLOOKUP(RC_OUT[BLOCK],RC_IN[[BLOCK]:[BLOCK LOC]],2,FALSE)),"")</f>
        <v/>
      </c>
      <c r="I71" s="263" t="str">
        <f>IFERROR(AVERAGEIFS(RC_IN[MC],RC_IN[BLOCK],RC_OUT[BLOCK]),"")</f>
        <v/>
      </c>
      <c r="J71" s="264">
        <f t="shared" si="1"/>
        <v>0</v>
      </c>
      <c r="K71" s="246"/>
      <c r="L71" s="246"/>
      <c r="M71" s="249" t="str">
        <f t="shared" si="2"/>
        <v/>
      </c>
      <c r="N71" s="266">
        <f t="shared" si="3"/>
        <v>0</v>
      </c>
      <c r="O71" s="247"/>
      <c r="P71" s="247"/>
      <c r="Q71" s="247"/>
      <c r="R71" s="247"/>
      <c r="S71" s="247"/>
      <c r="T71" s="247"/>
      <c r="U71" s="247"/>
      <c r="V71" s="247"/>
      <c r="W71" s="247"/>
      <c r="X71" s="247"/>
    </row>
    <row r="72">
      <c r="A72" s="273">
        <v>45413.0</v>
      </c>
      <c r="B72" s="274"/>
      <c r="C72" s="275" t="s">
        <v>1075</v>
      </c>
      <c r="D72" s="276">
        <v>11432.0</v>
      </c>
      <c r="E72" s="275" t="s">
        <v>1017</v>
      </c>
      <c r="F72" s="277" t="s">
        <v>1018</v>
      </c>
      <c r="G72" s="278" t="str">
        <f>IFNA(IF(VLOOKUP(RC_OUT[BLOCK],RC_IN[[BLOCK]:[BLOCK LOC]],2,FALSE)=0,"",VLOOKUP(RC_OUT[BLOCK],RC_IN[[BLOCK]:[BLOCK LOC]],2,FALSE)),"")</f>
        <v/>
      </c>
      <c r="I72" s="263" t="str">
        <f>IFERROR(AVERAGEIFS(RC_IN[MC],RC_IN[BLOCK],RC_OUT[BLOCK]),"")</f>
        <v/>
      </c>
      <c r="J72" s="264">
        <f t="shared" si="1"/>
        <v>0</v>
      </c>
      <c r="K72" s="246"/>
      <c r="L72" s="246"/>
      <c r="M72" s="249" t="str">
        <f t="shared" si="2"/>
        <v/>
      </c>
      <c r="N72" s="266">
        <f t="shared" si="3"/>
        <v>0</v>
      </c>
      <c r="O72" s="247"/>
      <c r="P72" s="247"/>
      <c r="Q72" s="247"/>
      <c r="R72" s="247"/>
      <c r="S72" s="247"/>
      <c r="T72" s="247"/>
      <c r="U72" s="247"/>
      <c r="V72" s="247"/>
      <c r="W72" s="247"/>
      <c r="X72" s="247"/>
    </row>
    <row r="73">
      <c r="A73" s="273">
        <v>45444.0</v>
      </c>
      <c r="B73" s="274"/>
      <c r="C73" s="275" t="s">
        <v>1076</v>
      </c>
      <c r="D73" s="276">
        <v>32560.0</v>
      </c>
      <c r="E73" s="275" t="s">
        <v>1017</v>
      </c>
      <c r="F73" s="279"/>
      <c r="G73" s="278" t="str">
        <f>IFNA(IF(VLOOKUP(RC_OUT[BLOCK],RC_IN[[BLOCK]:[BLOCK LOC]],2,FALSE)=0,"",VLOOKUP(RC_OUT[BLOCK],RC_IN[[BLOCK]:[BLOCK LOC]],2,FALSE)),"")</f>
        <v/>
      </c>
      <c r="I73" s="263" t="str">
        <f>IFERROR(AVERAGEIFS(RC_IN[MC],RC_IN[BLOCK],RC_OUT[BLOCK]),"")</f>
        <v/>
      </c>
      <c r="J73" s="264">
        <f t="shared" si="1"/>
        <v>0</v>
      </c>
      <c r="K73" s="246"/>
      <c r="L73" s="246"/>
      <c r="M73" s="249" t="str">
        <f t="shared" si="2"/>
        <v/>
      </c>
      <c r="N73" s="266">
        <f t="shared" si="3"/>
        <v>0</v>
      </c>
      <c r="O73" s="247"/>
      <c r="P73" s="247"/>
      <c r="Q73" s="247"/>
      <c r="R73" s="247"/>
      <c r="S73" s="247"/>
      <c r="T73" s="247"/>
      <c r="U73" s="247"/>
      <c r="V73" s="247"/>
      <c r="W73" s="247"/>
      <c r="X73" s="247"/>
    </row>
    <row r="74">
      <c r="A74" s="273">
        <v>45444.0</v>
      </c>
      <c r="B74" s="274"/>
      <c r="C74" s="275" t="s">
        <v>1077</v>
      </c>
      <c r="D74" s="276">
        <v>47202.0</v>
      </c>
      <c r="E74" s="275" t="s">
        <v>1017</v>
      </c>
      <c r="F74" s="277" t="s">
        <v>1018</v>
      </c>
      <c r="G74" s="278" t="str">
        <f>IFNA(IF(VLOOKUP(RC_OUT[BLOCK],RC_IN[[BLOCK]:[BLOCK LOC]],2,FALSE)=0,"",VLOOKUP(RC_OUT[BLOCK],RC_IN[[BLOCK]:[BLOCK LOC]],2,FALSE)),"")</f>
        <v/>
      </c>
      <c r="I74" s="263" t="str">
        <f>IFERROR(AVERAGEIFS(RC_IN[MC],RC_IN[BLOCK],RC_OUT[BLOCK]),"")</f>
        <v/>
      </c>
      <c r="J74" s="264">
        <f t="shared" si="1"/>
        <v>0</v>
      </c>
      <c r="K74" s="246"/>
      <c r="L74" s="246"/>
      <c r="M74" s="249" t="str">
        <f t="shared" si="2"/>
        <v/>
      </c>
      <c r="N74" s="266">
        <f t="shared" si="3"/>
        <v>0</v>
      </c>
      <c r="O74" s="247"/>
      <c r="P74" s="247"/>
      <c r="Q74" s="247"/>
      <c r="R74" s="247"/>
      <c r="S74" s="247"/>
      <c r="T74" s="247"/>
      <c r="U74" s="247"/>
      <c r="V74" s="247"/>
      <c r="W74" s="247"/>
      <c r="X74" s="247"/>
    </row>
    <row r="75">
      <c r="A75" s="273">
        <v>45444.0</v>
      </c>
      <c r="B75" s="274"/>
      <c r="C75" s="275" t="s">
        <v>1057</v>
      </c>
      <c r="D75" s="276">
        <v>17868.0</v>
      </c>
      <c r="E75" s="275" t="s">
        <v>1017</v>
      </c>
      <c r="F75" s="277" t="s">
        <v>1018</v>
      </c>
      <c r="G75" s="278" t="str">
        <f>IFNA(IF(VLOOKUP(RC_OUT[BLOCK],RC_IN[[BLOCK]:[BLOCK LOC]],2,FALSE)=0,"",VLOOKUP(RC_OUT[BLOCK],RC_IN[[BLOCK]:[BLOCK LOC]],2,FALSE)),"")</f>
        <v/>
      </c>
      <c r="I75" s="263" t="str">
        <f>IFERROR(AVERAGEIFS(RC_IN[MC],RC_IN[BLOCK],RC_OUT[BLOCK]),"")</f>
        <v/>
      </c>
      <c r="J75" s="264">
        <f t="shared" si="1"/>
        <v>0</v>
      </c>
      <c r="K75" s="246"/>
      <c r="L75" s="246"/>
      <c r="M75" s="249" t="str">
        <f t="shared" si="2"/>
        <v/>
      </c>
      <c r="N75" s="266">
        <f t="shared" si="3"/>
        <v>0</v>
      </c>
      <c r="O75" s="247"/>
      <c r="P75" s="247"/>
      <c r="Q75" s="247"/>
      <c r="R75" s="247"/>
      <c r="S75" s="247"/>
      <c r="T75" s="247"/>
      <c r="U75" s="247"/>
      <c r="V75" s="247"/>
      <c r="W75" s="247"/>
      <c r="X75" s="247"/>
    </row>
    <row r="76">
      <c r="A76" s="273">
        <v>45444.0</v>
      </c>
      <c r="B76" s="274"/>
      <c r="C76" s="275" t="s">
        <v>1055</v>
      </c>
      <c r="D76" s="276">
        <v>65425.0</v>
      </c>
      <c r="E76" s="275" t="s">
        <v>1017</v>
      </c>
      <c r="F76" s="277" t="s">
        <v>1018</v>
      </c>
      <c r="G76" s="278" t="str">
        <f>IFNA(IF(VLOOKUP(RC_OUT[BLOCK],RC_IN[[BLOCK]:[BLOCK LOC]],2,FALSE)=0,"",VLOOKUP(RC_OUT[BLOCK],RC_IN[[BLOCK]:[BLOCK LOC]],2,FALSE)),"")</f>
        <v/>
      </c>
      <c r="I76" s="263" t="str">
        <f>IFERROR(AVERAGEIFS(RC_IN[MC],RC_IN[BLOCK],RC_OUT[BLOCK]),"")</f>
        <v/>
      </c>
      <c r="J76" s="264">
        <f t="shared" si="1"/>
        <v>0</v>
      </c>
      <c r="K76" s="246"/>
      <c r="L76" s="246"/>
      <c r="M76" s="249" t="str">
        <f t="shared" si="2"/>
        <v/>
      </c>
      <c r="N76" s="266">
        <f t="shared" si="3"/>
        <v>0</v>
      </c>
      <c r="O76" s="247"/>
      <c r="P76" s="247"/>
      <c r="Q76" s="247"/>
      <c r="R76" s="247"/>
      <c r="S76" s="247"/>
      <c r="T76" s="247"/>
      <c r="U76" s="247"/>
      <c r="V76" s="247"/>
      <c r="W76" s="247"/>
      <c r="X76" s="247"/>
    </row>
    <row r="77">
      <c r="A77" s="273">
        <v>45444.0</v>
      </c>
      <c r="B77" s="274"/>
      <c r="C77" s="275" t="s">
        <v>1078</v>
      </c>
      <c r="D77" s="276">
        <v>65942.0</v>
      </c>
      <c r="E77" s="275" t="s">
        <v>1017</v>
      </c>
      <c r="F77" s="277" t="s">
        <v>1018</v>
      </c>
      <c r="G77" s="278" t="str">
        <f>IFNA(IF(VLOOKUP(RC_OUT[BLOCK],RC_IN[[BLOCK]:[BLOCK LOC]],2,FALSE)=0,"",VLOOKUP(RC_OUT[BLOCK],RC_IN[[BLOCK]:[BLOCK LOC]],2,FALSE)),"")</f>
        <v/>
      </c>
      <c r="I77" s="263" t="str">
        <f>IFERROR(AVERAGEIFS(RC_IN[MC],RC_IN[BLOCK],RC_OUT[BLOCK]),"")</f>
        <v/>
      </c>
      <c r="J77" s="264">
        <f t="shared" si="1"/>
        <v>0</v>
      </c>
      <c r="K77" s="246"/>
      <c r="L77" s="246"/>
      <c r="M77" s="249" t="str">
        <f t="shared" si="2"/>
        <v/>
      </c>
      <c r="N77" s="266">
        <f t="shared" si="3"/>
        <v>0</v>
      </c>
      <c r="O77" s="247"/>
      <c r="P77" s="247"/>
      <c r="Q77" s="247"/>
      <c r="R77" s="247"/>
      <c r="S77" s="247"/>
      <c r="T77" s="247"/>
      <c r="U77" s="247"/>
      <c r="V77" s="247"/>
      <c r="W77" s="247"/>
      <c r="X77" s="247"/>
    </row>
    <row r="78">
      <c r="A78" s="273">
        <v>45444.0</v>
      </c>
      <c r="B78" s="274"/>
      <c r="C78" s="275" t="s">
        <v>1079</v>
      </c>
      <c r="D78" s="276">
        <v>68898.0</v>
      </c>
      <c r="E78" s="275" t="s">
        <v>1017</v>
      </c>
      <c r="F78" s="277" t="s">
        <v>1018</v>
      </c>
      <c r="G78" s="278" t="str">
        <f>IFNA(IF(VLOOKUP(RC_OUT[BLOCK],RC_IN[[BLOCK]:[BLOCK LOC]],2,FALSE)=0,"",VLOOKUP(RC_OUT[BLOCK],RC_IN[[BLOCK]:[BLOCK LOC]],2,FALSE)),"")</f>
        <v/>
      </c>
      <c r="I78" s="263" t="str">
        <f>IFERROR(AVERAGEIFS(RC_IN[MC],RC_IN[BLOCK],RC_OUT[BLOCK]),"")</f>
        <v/>
      </c>
      <c r="J78" s="264">
        <f t="shared" si="1"/>
        <v>0</v>
      </c>
      <c r="K78" s="246"/>
      <c r="L78" s="246"/>
      <c r="M78" s="249" t="str">
        <f t="shared" si="2"/>
        <v/>
      </c>
      <c r="N78" s="266">
        <f t="shared" si="3"/>
        <v>0</v>
      </c>
      <c r="O78" s="247"/>
      <c r="P78" s="247"/>
      <c r="Q78" s="247"/>
      <c r="R78" s="247"/>
      <c r="S78" s="247"/>
      <c r="T78" s="247"/>
      <c r="U78" s="247"/>
      <c r="V78" s="247"/>
      <c r="W78" s="247"/>
      <c r="X78" s="247"/>
    </row>
    <row r="79">
      <c r="A79" s="273">
        <v>45444.0</v>
      </c>
      <c r="B79" s="274"/>
      <c r="C79" s="275" t="s">
        <v>1080</v>
      </c>
      <c r="D79" s="276">
        <v>81580.0</v>
      </c>
      <c r="E79" s="275" t="s">
        <v>1017</v>
      </c>
      <c r="F79" s="277" t="s">
        <v>1018</v>
      </c>
      <c r="G79" s="278" t="str">
        <f>IFNA(IF(VLOOKUP(RC_OUT[BLOCK],RC_IN[[BLOCK]:[BLOCK LOC]],2,FALSE)=0,"",VLOOKUP(RC_OUT[BLOCK],RC_IN[[BLOCK]:[BLOCK LOC]],2,FALSE)),"")</f>
        <v/>
      </c>
      <c r="I79" s="263" t="str">
        <f>IFERROR(AVERAGEIFS(RC_IN[MC],RC_IN[BLOCK],RC_OUT[BLOCK]),"")</f>
        <v/>
      </c>
      <c r="J79" s="264">
        <f t="shared" si="1"/>
        <v>0</v>
      </c>
      <c r="K79" s="246"/>
      <c r="L79" s="246"/>
      <c r="M79" s="249" t="str">
        <f t="shared" si="2"/>
        <v/>
      </c>
      <c r="N79" s="266">
        <f t="shared" si="3"/>
        <v>0</v>
      </c>
      <c r="O79" s="247"/>
      <c r="P79" s="247"/>
      <c r="Q79" s="247"/>
      <c r="R79" s="247"/>
      <c r="S79" s="247"/>
      <c r="T79" s="247"/>
      <c r="U79" s="247"/>
      <c r="V79" s="247"/>
      <c r="W79" s="247"/>
      <c r="X79" s="247"/>
    </row>
    <row r="80">
      <c r="A80" s="273">
        <v>45444.0</v>
      </c>
      <c r="B80" s="274"/>
      <c r="C80" s="275" t="s">
        <v>1081</v>
      </c>
      <c r="D80" s="276">
        <v>57485.0</v>
      </c>
      <c r="E80" s="275" t="s">
        <v>1017</v>
      </c>
      <c r="F80" s="277" t="s">
        <v>1018</v>
      </c>
      <c r="G80" s="278" t="str">
        <f>IFNA(IF(VLOOKUP(RC_OUT[BLOCK],RC_IN[[BLOCK]:[BLOCK LOC]],2,FALSE)=0,"",VLOOKUP(RC_OUT[BLOCK],RC_IN[[BLOCK]:[BLOCK LOC]],2,FALSE)),"")</f>
        <v/>
      </c>
      <c r="I80" s="263" t="str">
        <f>IFERROR(AVERAGEIFS(RC_IN[MC],RC_IN[BLOCK],RC_OUT[BLOCK]),"")</f>
        <v/>
      </c>
      <c r="J80" s="264">
        <f t="shared" si="1"/>
        <v>0</v>
      </c>
      <c r="K80" s="246"/>
      <c r="L80" s="246"/>
      <c r="M80" s="249" t="str">
        <f t="shared" si="2"/>
        <v/>
      </c>
      <c r="N80" s="266">
        <f t="shared" si="3"/>
        <v>0</v>
      </c>
      <c r="O80" s="247"/>
      <c r="P80" s="247"/>
      <c r="Q80" s="247"/>
      <c r="R80" s="247"/>
      <c r="S80" s="247"/>
      <c r="T80" s="247"/>
      <c r="U80" s="247"/>
      <c r="V80" s="247"/>
      <c r="W80" s="247"/>
      <c r="X80" s="247"/>
    </row>
    <row r="81">
      <c r="A81" s="273">
        <v>45444.0</v>
      </c>
      <c r="B81" s="274"/>
      <c r="C81" s="275" t="s">
        <v>1069</v>
      </c>
      <c r="D81" s="276">
        <v>30840.0</v>
      </c>
      <c r="E81" s="275" t="s">
        <v>1017</v>
      </c>
      <c r="F81" s="277" t="s">
        <v>1059</v>
      </c>
      <c r="G81" s="278" t="str">
        <f>IFNA(IF(VLOOKUP(RC_OUT[BLOCK],RC_IN[[BLOCK]:[BLOCK LOC]],2,FALSE)=0,"",VLOOKUP(RC_OUT[BLOCK],RC_IN[[BLOCK]:[BLOCK LOC]],2,FALSE)),"")</f>
        <v/>
      </c>
      <c r="I81" s="263" t="str">
        <f>IFERROR(AVERAGEIFS(RC_IN[MC],RC_IN[BLOCK],RC_OUT[BLOCK]),"")</f>
        <v/>
      </c>
      <c r="J81" s="264">
        <f t="shared" si="1"/>
        <v>0</v>
      </c>
      <c r="K81" s="246"/>
      <c r="L81" s="246"/>
      <c r="M81" s="249" t="str">
        <f t="shared" si="2"/>
        <v/>
      </c>
      <c r="N81" s="266">
        <f t="shared" si="3"/>
        <v>0</v>
      </c>
      <c r="O81" s="247"/>
      <c r="P81" s="247"/>
      <c r="Q81" s="247"/>
      <c r="R81" s="247"/>
      <c r="S81" s="247"/>
      <c r="T81" s="247"/>
      <c r="U81" s="247"/>
      <c r="V81" s="247"/>
      <c r="W81" s="247"/>
      <c r="X81" s="247"/>
    </row>
    <row r="82">
      <c r="A82" s="273">
        <v>45444.0</v>
      </c>
      <c r="B82" s="274"/>
      <c r="C82" s="275" t="s">
        <v>1082</v>
      </c>
      <c r="D82" s="276">
        <v>27389.0</v>
      </c>
      <c r="E82" s="275" t="s">
        <v>1017</v>
      </c>
      <c r="F82" s="279"/>
      <c r="G82" s="278" t="str">
        <f>IFNA(IF(VLOOKUP(RC_OUT[BLOCK],RC_IN[[BLOCK]:[BLOCK LOC]],2,FALSE)=0,"",VLOOKUP(RC_OUT[BLOCK],RC_IN[[BLOCK]:[BLOCK LOC]],2,FALSE)),"")</f>
        <v/>
      </c>
      <c r="I82" s="263" t="str">
        <f>IFERROR(AVERAGEIFS(RC_IN[MC],RC_IN[BLOCK],RC_OUT[BLOCK]),"")</f>
        <v/>
      </c>
      <c r="J82" s="264">
        <f t="shared" si="1"/>
        <v>0</v>
      </c>
      <c r="K82" s="246"/>
      <c r="L82" s="246"/>
      <c r="M82" s="249" t="str">
        <f t="shared" si="2"/>
        <v/>
      </c>
      <c r="N82" s="266">
        <f t="shared" si="3"/>
        <v>0</v>
      </c>
      <c r="O82" s="247"/>
      <c r="P82" s="247"/>
      <c r="Q82" s="247"/>
      <c r="R82" s="247"/>
      <c r="S82" s="247"/>
      <c r="T82" s="247"/>
      <c r="U82" s="247"/>
      <c r="V82" s="247"/>
      <c r="W82" s="247"/>
      <c r="X82" s="247"/>
    </row>
    <row r="83">
      <c r="A83" s="273">
        <v>45444.0</v>
      </c>
      <c r="B83" s="274"/>
      <c r="C83" s="275" t="s">
        <v>1083</v>
      </c>
      <c r="D83" s="276">
        <v>56788.0</v>
      </c>
      <c r="E83" s="275" t="s">
        <v>1017</v>
      </c>
      <c r="F83" s="279"/>
      <c r="G83" s="278" t="str">
        <f>IFNA(IF(VLOOKUP(RC_OUT[BLOCK],RC_IN[[BLOCK]:[BLOCK LOC]],2,FALSE)=0,"",VLOOKUP(RC_OUT[BLOCK],RC_IN[[BLOCK]:[BLOCK LOC]],2,FALSE)),"")</f>
        <v/>
      </c>
      <c r="I83" s="263" t="str">
        <f>IFERROR(AVERAGEIFS(RC_IN[MC],RC_IN[BLOCK],RC_OUT[BLOCK]),"")</f>
        <v/>
      </c>
      <c r="J83" s="264">
        <f t="shared" si="1"/>
        <v>0</v>
      </c>
      <c r="K83" s="246"/>
      <c r="L83" s="246"/>
      <c r="M83" s="249" t="str">
        <f t="shared" si="2"/>
        <v/>
      </c>
      <c r="N83" s="266">
        <f t="shared" si="3"/>
        <v>0</v>
      </c>
      <c r="O83" s="247"/>
      <c r="P83" s="247"/>
      <c r="Q83" s="247"/>
      <c r="R83" s="247"/>
      <c r="S83" s="247"/>
      <c r="T83" s="247"/>
      <c r="U83" s="247"/>
      <c r="V83" s="247"/>
      <c r="W83" s="247"/>
      <c r="X83" s="247"/>
    </row>
    <row r="84">
      <c r="A84" s="273">
        <v>45444.0</v>
      </c>
      <c r="B84" s="274"/>
      <c r="C84" s="275" t="s">
        <v>1075</v>
      </c>
      <c r="D84" s="276">
        <v>46252.0</v>
      </c>
      <c r="E84" s="275" t="s">
        <v>1017</v>
      </c>
      <c r="F84" s="277" t="s">
        <v>1059</v>
      </c>
      <c r="G84" s="278" t="str">
        <f>IFNA(IF(VLOOKUP(RC_OUT[BLOCK],RC_IN[[BLOCK]:[BLOCK LOC]],2,FALSE)=0,"",VLOOKUP(RC_OUT[BLOCK],RC_IN[[BLOCK]:[BLOCK LOC]],2,FALSE)),"")</f>
        <v/>
      </c>
      <c r="I84" s="263" t="str">
        <f>IFERROR(AVERAGEIFS(RC_IN[MC],RC_IN[BLOCK],RC_OUT[BLOCK]),"")</f>
        <v/>
      </c>
      <c r="J84" s="264">
        <f t="shared" si="1"/>
        <v>0</v>
      </c>
      <c r="K84" s="246"/>
      <c r="L84" s="246"/>
      <c r="M84" s="249" t="str">
        <f t="shared" si="2"/>
        <v/>
      </c>
      <c r="N84" s="266">
        <f t="shared" si="3"/>
        <v>0</v>
      </c>
      <c r="O84" s="247"/>
      <c r="P84" s="247"/>
      <c r="Q84" s="247"/>
      <c r="R84" s="247"/>
      <c r="S84" s="247"/>
      <c r="T84" s="247"/>
      <c r="U84" s="247"/>
      <c r="V84" s="247"/>
      <c r="W84" s="247"/>
      <c r="X84" s="247"/>
    </row>
    <row r="85">
      <c r="A85" s="273">
        <v>45444.0</v>
      </c>
      <c r="B85" s="274"/>
      <c r="C85" s="275" t="s">
        <v>1084</v>
      </c>
      <c r="D85" s="276">
        <v>52077.0</v>
      </c>
      <c r="E85" s="275" t="s">
        <v>1017</v>
      </c>
      <c r="F85" s="277" t="s">
        <v>1059</v>
      </c>
      <c r="G85" s="278" t="str">
        <f>IFNA(IF(VLOOKUP(RC_OUT[BLOCK],RC_IN[[BLOCK]:[BLOCK LOC]],2,FALSE)=0,"",VLOOKUP(RC_OUT[BLOCK],RC_IN[[BLOCK]:[BLOCK LOC]],2,FALSE)),"")</f>
        <v/>
      </c>
      <c r="I85" s="263" t="str">
        <f>IFERROR(AVERAGEIFS(RC_IN[MC],RC_IN[BLOCK],RC_OUT[BLOCK]),"")</f>
        <v/>
      </c>
      <c r="J85" s="264">
        <f t="shared" si="1"/>
        <v>0</v>
      </c>
      <c r="K85" s="246"/>
      <c r="L85" s="246"/>
      <c r="M85" s="249" t="str">
        <f t="shared" si="2"/>
        <v/>
      </c>
      <c r="N85" s="266">
        <f t="shared" si="3"/>
        <v>0</v>
      </c>
      <c r="O85" s="247"/>
      <c r="P85" s="247"/>
      <c r="Q85" s="247"/>
      <c r="R85" s="247"/>
      <c r="S85" s="247"/>
      <c r="T85" s="247"/>
      <c r="U85" s="247"/>
      <c r="V85" s="247"/>
      <c r="W85" s="247"/>
      <c r="X85" s="247"/>
    </row>
    <row r="86">
      <c r="A86" s="273">
        <v>45485.0</v>
      </c>
      <c r="B86" s="274"/>
      <c r="C86" s="275" t="s">
        <v>1076</v>
      </c>
      <c r="D86" s="276">
        <v>30511.0</v>
      </c>
      <c r="E86" s="275" t="s">
        <v>1017</v>
      </c>
      <c r="F86" s="277" t="s">
        <v>1059</v>
      </c>
      <c r="G86" s="278" t="str">
        <f>IFNA(IF(VLOOKUP(RC_OUT[BLOCK],RC_IN[[BLOCK]:[BLOCK LOC]],2,FALSE)=0,"",VLOOKUP(RC_OUT[BLOCK],RC_IN[[BLOCK]:[BLOCK LOC]],2,FALSE)),"")</f>
        <v/>
      </c>
      <c r="I86" s="263" t="str">
        <f>IFERROR(AVERAGEIFS(RC_IN[MC],RC_IN[BLOCK],RC_OUT[BLOCK]),"")</f>
        <v/>
      </c>
      <c r="J86" s="264">
        <f t="shared" si="1"/>
        <v>0</v>
      </c>
      <c r="K86" s="246"/>
      <c r="L86" s="246"/>
      <c r="M86" s="249" t="str">
        <f t="shared" si="2"/>
        <v/>
      </c>
      <c r="N86" s="266">
        <f t="shared" si="3"/>
        <v>0</v>
      </c>
      <c r="O86" s="247"/>
      <c r="P86" s="247"/>
      <c r="Q86" s="247"/>
      <c r="R86" s="247"/>
      <c r="S86" s="247"/>
      <c r="T86" s="247"/>
      <c r="U86" s="247"/>
      <c r="V86" s="247"/>
      <c r="W86" s="247"/>
      <c r="X86" s="247"/>
    </row>
    <row r="87">
      <c r="A87" s="273">
        <v>45485.0</v>
      </c>
      <c r="B87" s="274"/>
      <c r="C87" s="275" t="s">
        <v>1085</v>
      </c>
      <c r="D87" s="276">
        <v>81030.0</v>
      </c>
      <c r="E87" s="275" t="s">
        <v>1017</v>
      </c>
      <c r="F87" s="279"/>
      <c r="G87" s="278" t="str">
        <f>IFNA(IF(VLOOKUP(RC_OUT[BLOCK],RC_IN[[BLOCK]:[BLOCK LOC]],2,FALSE)=0,"",VLOOKUP(RC_OUT[BLOCK],RC_IN[[BLOCK]:[BLOCK LOC]],2,FALSE)),"")</f>
        <v/>
      </c>
      <c r="I87" s="263" t="str">
        <f>IFERROR(AVERAGEIFS(RC_IN[MC],RC_IN[BLOCK],RC_OUT[BLOCK]),"")</f>
        <v/>
      </c>
      <c r="J87" s="264">
        <f t="shared" si="1"/>
        <v>0</v>
      </c>
      <c r="K87" s="246"/>
      <c r="L87" s="246"/>
      <c r="M87" s="249" t="str">
        <f t="shared" si="2"/>
        <v/>
      </c>
      <c r="N87" s="266">
        <f t="shared" si="3"/>
        <v>0</v>
      </c>
      <c r="O87" s="247"/>
      <c r="P87" s="247"/>
      <c r="Q87" s="247"/>
      <c r="R87" s="247"/>
      <c r="S87" s="247"/>
      <c r="T87" s="247"/>
      <c r="U87" s="247"/>
      <c r="V87" s="247"/>
      <c r="W87" s="247"/>
      <c r="X87" s="247"/>
    </row>
    <row r="88">
      <c r="A88" s="273">
        <v>45485.0</v>
      </c>
      <c r="B88" s="274"/>
      <c r="C88" s="275" t="s">
        <v>1086</v>
      </c>
      <c r="D88" s="276">
        <v>69691.0</v>
      </c>
      <c r="E88" s="275" t="s">
        <v>1017</v>
      </c>
      <c r="F88" s="277" t="s">
        <v>1059</v>
      </c>
      <c r="G88" s="278" t="str">
        <f>IFNA(IF(VLOOKUP(RC_OUT[BLOCK],RC_IN[[BLOCK]:[BLOCK LOC]],2,FALSE)=0,"",VLOOKUP(RC_OUT[BLOCK],RC_IN[[BLOCK]:[BLOCK LOC]],2,FALSE)),"")</f>
        <v/>
      </c>
      <c r="I88" s="263" t="str">
        <f>IFERROR(AVERAGEIFS(RC_IN[MC],RC_IN[BLOCK],RC_OUT[BLOCK]),"")</f>
        <v/>
      </c>
      <c r="J88" s="264">
        <f t="shared" si="1"/>
        <v>0</v>
      </c>
      <c r="K88" s="246"/>
      <c r="L88" s="246"/>
      <c r="M88" s="249" t="str">
        <f t="shared" si="2"/>
        <v/>
      </c>
      <c r="N88" s="266">
        <f t="shared" si="3"/>
        <v>0</v>
      </c>
      <c r="O88" s="247"/>
      <c r="P88" s="247"/>
      <c r="Q88" s="247"/>
      <c r="R88" s="247"/>
      <c r="S88" s="247"/>
      <c r="T88" s="247"/>
      <c r="U88" s="247"/>
      <c r="V88" s="247"/>
      <c r="W88" s="247"/>
      <c r="X88" s="247"/>
    </row>
    <row r="89">
      <c r="A89" s="273">
        <v>45485.0</v>
      </c>
      <c r="B89" s="274"/>
      <c r="C89" s="275" t="s">
        <v>1087</v>
      </c>
      <c r="D89" s="276">
        <v>59453.0</v>
      </c>
      <c r="E89" s="275" t="s">
        <v>1017</v>
      </c>
      <c r="F89" s="277" t="s">
        <v>1059</v>
      </c>
      <c r="G89" s="278" t="str">
        <f>IFNA(IF(VLOOKUP(RC_OUT[BLOCK],RC_IN[[BLOCK]:[BLOCK LOC]],2,FALSE)=0,"",VLOOKUP(RC_OUT[BLOCK],RC_IN[[BLOCK]:[BLOCK LOC]],2,FALSE)),"")</f>
        <v/>
      </c>
      <c r="I89" s="263" t="str">
        <f>IFERROR(AVERAGEIFS(RC_IN[MC],RC_IN[BLOCK],RC_OUT[BLOCK]),"")</f>
        <v/>
      </c>
      <c r="J89" s="264">
        <f t="shared" si="1"/>
        <v>0</v>
      </c>
      <c r="K89" s="246"/>
      <c r="L89" s="246"/>
      <c r="M89" s="249" t="str">
        <f t="shared" si="2"/>
        <v/>
      </c>
      <c r="N89" s="266">
        <f t="shared" si="3"/>
        <v>0</v>
      </c>
      <c r="O89" s="247"/>
      <c r="P89" s="247"/>
      <c r="Q89" s="247"/>
      <c r="R89" s="247"/>
      <c r="S89" s="247"/>
      <c r="T89" s="247"/>
      <c r="U89" s="247"/>
      <c r="V89" s="247"/>
      <c r="W89" s="247"/>
      <c r="X89" s="247"/>
    </row>
    <row r="90">
      <c r="A90" s="273">
        <v>45485.0</v>
      </c>
      <c r="B90" s="274"/>
      <c r="C90" s="275" t="s">
        <v>1082</v>
      </c>
      <c r="D90" s="276">
        <v>51599.0</v>
      </c>
      <c r="E90" s="275" t="s">
        <v>1017</v>
      </c>
      <c r="F90" s="277" t="s">
        <v>1059</v>
      </c>
      <c r="G90" s="278" t="str">
        <f>IFNA(IF(VLOOKUP(RC_OUT[BLOCK],RC_IN[[BLOCK]:[BLOCK LOC]],2,FALSE)=0,"",VLOOKUP(RC_OUT[BLOCK],RC_IN[[BLOCK]:[BLOCK LOC]],2,FALSE)),"")</f>
        <v/>
      </c>
      <c r="I90" s="263" t="str">
        <f>IFERROR(AVERAGEIFS(RC_IN[MC],RC_IN[BLOCK],RC_OUT[BLOCK]),"")</f>
        <v/>
      </c>
      <c r="J90" s="264">
        <f t="shared" si="1"/>
        <v>0</v>
      </c>
      <c r="K90" s="246"/>
      <c r="L90" s="246"/>
      <c r="M90" s="249" t="str">
        <f t="shared" si="2"/>
        <v/>
      </c>
      <c r="N90" s="266">
        <f t="shared" si="3"/>
        <v>0</v>
      </c>
      <c r="O90" s="247"/>
      <c r="P90" s="247"/>
      <c r="Q90" s="247"/>
      <c r="R90" s="247"/>
      <c r="S90" s="247"/>
      <c r="T90" s="247"/>
      <c r="U90" s="247"/>
      <c r="V90" s="247"/>
      <c r="W90" s="247"/>
      <c r="X90" s="247"/>
    </row>
    <row r="91">
      <c r="A91" s="273">
        <v>45485.0</v>
      </c>
      <c r="B91" s="274"/>
      <c r="C91" s="275" t="s">
        <v>1088</v>
      </c>
      <c r="D91" s="276">
        <v>4720.0</v>
      </c>
      <c r="E91" s="275" t="s">
        <v>1017</v>
      </c>
      <c r="F91" s="277" t="s">
        <v>1018</v>
      </c>
      <c r="G91" s="278" t="str">
        <f>IFNA(IF(VLOOKUP(RC_OUT[BLOCK],RC_IN[[BLOCK]:[BLOCK LOC]],2,FALSE)=0,"",VLOOKUP(RC_OUT[BLOCK],RC_IN[[BLOCK]:[BLOCK LOC]],2,FALSE)),"")</f>
        <v/>
      </c>
      <c r="I91" s="263" t="str">
        <f>IFERROR(AVERAGEIFS(RC_IN[MC],RC_IN[BLOCK],RC_OUT[BLOCK]),"")</f>
        <v/>
      </c>
      <c r="J91" s="264">
        <f t="shared" si="1"/>
        <v>0</v>
      </c>
      <c r="K91" s="246"/>
      <c r="L91" s="246"/>
      <c r="M91" s="249" t="str">
        <f t="shared" si="2"/>
        <v/>
      </c>
      <c r="N91" s="266">
        <f t="shared" si="3"/>
        <v>0</v>
      </c>
      <c r="O91" s="247"/>
      <c r="P91" s="247"/>
      <c r="Q91" s="247"/>
      <c r="R91" s="247"/>
      <c r="S91" s="247"/>
      <c r="T91" s="247"/>
      <c r="U91" s="247"/>
      <c r="V91" s="247"/>
      <c r="W91" s="247"/>
      <c r="X91" s="247"/>
    </row>
    <row r="92">
      <c r="A92" s="273">
        <v>45485.0</v>
      </c>
      <c r="B92" s="274"/>
      <c r="C92" s="275" t="s">
        <v>1089</v>
      </c>
      <c r="D92" s="276">
        <v>48063.0</v>
      </c>
      <c r="E92" s="275" t="s">
        <v>1017</v>
      </c>
      <c r="F92" s="277" t="s">
        <v>1059</v>
      </c>
      <c r="G92" s="278" t="str">
        <f>IFNA(IF(VLOOKUP(RC_OUT[BLOCK],RC_IN[[BLOCK]:[BLOCK LOC]],2,FALSE)=0,"",VLOOKUP(RC_OUT[BLOCK],RC_IN[[BLOCK]:[BLOCK LOC]],2,FALSE)),"")</f>
        <v/>
      </c>
      <c r="I92" s="263" t="str">
        <f>IFERROR(AVERAGEIFS(RC_IN[MC],RC_IN[BLOCK],RC_OUT[BLOCK]),"")</f>
        <v/>
      </c>
      <c r="J92" s="264">
        <f t="shared" si="1"/>
        <v>0</v>
      </c>
      <c r="K92" s="246"/>
      <c r="L92" s="246"/>
      <c r="M92" s="249" t="str">
        <f t="shared" si="2"/>
        <v/>
      </c>
      <c r="N92" s="266">
        <f t="shared" si="3"/>
        <v>0</v>
      </c>
      <c r="O92" s="247"/>
      <c r="P92" s="247"/>
      <c r="Q92" s="247"/>
      <c r="R92" s="247"/>
      <c r="S92" s="247"/>
      <c r="T92" s="247"/>
      <c r="U92" s="247"/>
      <c r="V92" s="247"/>
      <c r="W92" s="247"/>
      <c r="X92" s="247"/>
    </row>
    <row r="93">
      <c r="A93" s="273">
        <v>45485.0</v>
      </c>
      <c r="B93" s="274"/>
      <c r="C93" s="275" t="s">
        <v>1090</v>
      </c>
      <c r="D93" s="276">
        <v>37596.0</v>
      </c>
      <c r="E93" s="275" t="s">
        <v>1017</v>
      </c>
      <c r="F93" s="279"/>
      <c r="G93" s="278" t="str">
        <f>IFNA(IF(VLOOKUP(RC_OUT[BLOCK],RC_IN[[BLOCK]:[BLOCK LOC]],2,FALSE)=0,"",VLOOKUP(RC_OUT[BLOCK],RC_IN[[BLOCK]:[BLOCK LOC]],2,FALSE)),"")</f>
        <v/>
      </c>
      <c r="I93" s="263" t="str">
        <f>IFERROR(AVERAGEIFS(RC_IN[MC],RC_IN[BLOCK],RC_OUT[BLOCK]),"")</f>
        <v/>
      </c>
      <c r="J93" s="264">
        <f t="shared" si="1"/>
        <v>0</v>
      </c>
      <c r="K93" s="246"/>
      <c r="L93" s="246"/>
      <c r="M93" s="249" t="str">
        <f t="shared" si="2"/>
        <v/>
      </c>
      <c r="N93" s="266">
        <f t="shared" si="3"/>
        <v>0</v>
      </c>
      <c r="O93" s="247"/>
      <c r="P93" s="247"/>
      <c r="Q93" s="247"/>
      <c r="R93" s="247"/>
      <c r="S93" s="247"/>
      <c r="T93" s="247"/>
      <c r="U93" s="247"/>
      <c r="V93" s="247"/>
      <c r="W93" s="247"/>
      <c r="X93" s="247"/>
    </row>
    <row r="94">
      <c r="A94" s="273">
        <v>45485.0</v>
      </c>
      <c r="B94" s="274"/>
      <c r="C94" s="275" t="s">
        <v>1083</v>
      </c>
      <c r="D94" s="276">
        <v>4103.0</v>
      </c>
      <c r="E94" s="275" t="s">
        <v>1017</v>
      </c>
      <c r="F94" s="277" t="s">
        <v>1059</v>
      </c>
      <c r="G94" s="278" t="str">
        <f>IFNA(IF(VLOOKUP(RC_OUT[BLOCK],RC_IN[[BLOCK]:[BLOCK LOC]],2,FALSE)=0,"",VLOOKUP(RC_OUT[BLOCK],RC_IN[[BLOCK]:[BLOCK LOC]],2,FALSE)),"")</f>
        <v/>
      </c>
      <c r="I94" s="263" t="str">
        <f>IFERROR(AVERAGEIFS(RC_IN[MC],RC_IN[BLOCK],RC_OUT[BLOCK]),"")</f>
        <v/>
      </c>
      <c r="J94" s="264">
        <f t="shared" si="1"/>
        <v>0</v>
      </c>
      <c r="K94" s="246"/>
      <c r="L94" s="246"/>
      <c r="M94" s="249" t="str">
        <f t="shared" si="2"/>
        <v/>
      </c>
      <c r="N94" s="266">
        <f t="shared" si="3"/>
        <v>0</v>
      </c>
      <c r="O94" s="247"/>
      <c r="P94" s="247"/>
      <c r="Q94" s="247"/>
      <c r="R94" s="247"/>
      <c r="S94" s="247"/>
      <c r="T94" s="247"/>
      <c r="U94" s="247"/>
      <c r="V94" s="247"/>
      <c r="W94" s="247"/>
      <c r="X94" s="247"/>
    </row>
    <row r="95">
      <c r="A95" s="273">
        <v>45488.0</v>
      </c>
      <c r="B95" s="274"/>
      <c r="C95" s="275" t="s">
        <v>1085</v>
      </c>
      <c r="D95" s="276">
        <v>3486.0</v>
      </c>
      <c r="E95" s="275" t="s">
        <v>1017</v>
      </c>
      <c r="F95" s="277" t="s">
        <v>1059</v>
      </c>
      <c r="G95" s="278" t="str">
        <f>IFNA(IF(VLOOKUP(RC_OUT[BLOCK],RC_IN[[BLOCK]:[BLOCK LOC]],2,FALSE)=0,"",VLOOKUP(RC_OUT[BLOCK],RC_IN[[BLOCK]:[BLOCK LOC]],2,FALSE)),"")</f>
        <v/>
      </c>
      <c r="I95" s="263" t="str">
        <f>IFERROR(AVERAGEIFS(RC_IN[MC],RC_IN[BLOCK],RC_OUT[BLOCK]),"")</f>
        <v/>
      </c>
      <c r="J95" s="264">
        <f t="shared" si="1"/>
        <v>0</v>
      </c>
      <c r="K95" s="246"/>
      <c r="L95" s="246"/>
      <c r="M95" s="249" t="str">
        <f t="shared" si="2"/>
        <v/>
      </c>
      <c r="N95" s="266">
        <f t="shared" si="3"/>
        <v>0</v>
      </c>
      <c r="O95" s="247"/>
      <c r="P95" s="247"/>
      <c r="Q95" s="247"/>
      <c r="R95" s="247"/>
      <c r="S95" s="247"/>
      <c r="T95" s="247"/>
      <c r="U95" s="247"/>
      <c r="V95" s="247"/>
      <c r="W95" s="247"/>
      <c r="X95" s="247"/>
    </row>
    <row r="96">
      <c r="A96" s="273">
        <v>45488.0</v>
      </c>
      <c r="B96" s="274"/>
      <c r="C96" s="275" t="s">
        <v>1091</v>
      </c>
      <c r="D96" s="276">
        <v>20775.0</v>
      </c>
      <c r="E96" s="275" t="s">
        <v>1017</v>
      </c>
      <c r="F96" s="279"/>
      <c r="G96" s="278" t="str">
        <f>IFNA(IF(VLOOKUP(RC_OUT[BLOCK],RC_IN[[BLOCK]:[BLOCK LOC]],2,FALSE)=0,"",VLOOKUP(RC_OUT[BLOCK],RC_IN[[BLOCK]:[BLOCK LOC]],2,FALSE)),"")</f>
        <v/>
      </c>
      <c r="I96" s="263" t="str">
        <f>IFERROR(AVERAGEIFS(RC_IN[MC],RC_IN[BLOCK],RC_OUT[BLOCK]),"")</f>
        <v/>
      </c>
      <c r="J96" s="264">
        <f t="shared" si="1"/>
        <v>0</v>
      </c>
      <c r="K96" s="246"/>
      <c r="L96" s="246"/>
      <c r="M96" s="249" t="str">
        <f t="shared" si="2"/>
        <v/>
      </c>
      <c r="N96" s="266">
        <f t="shared" si="3"/>
        <v>0</v>
      </c>
      <c r="O96" s="247"/>
      <c r="P96" s="247"/>
      <c r="Q96" s="247"/>
      <c r="R96" s="247"/>
      <c r="S96" s="247"/>
      <c r="T96" s="247"/>
      <c r="U96" s="247"/>
      <c r="V96" s="247"/>
      <c r="W96" s="247"/>
      <c r="X96" s="247"/>
    </row>
    <row r="97">
      <c r="A97" s="273">
        <v>45488.0</v>
      </c>
      <c r="B97" s="274"/>
      <c r="C97" s="275" t="s">
        <v>1088</v>
      </c>
      <c r="D97" s="276">
        <v>6209.0</v>
      </c>
      <c r="E97" s="275" t="s">
        <v>1017</v>
      </c>
      <c r="F97" s="279"/>
      <c r="G97" s="278" t="str">
        <f>IFNA(IF(VLOOKUP(RC_OUT[BLOCK],RC_IN[[BLOCK]:[BLOCK LOC]],2,FALSE)=0,"",VLOOKUP(RC_OUT[BLOCK],RC_IN[[BLOCK]:[BLOCK LOC]],2,FALSE)),"")</f>
        <v/>
      </c>
      <c r="I97" s="263" t="str">
        <f>IFERROR(AVERAGEIFS(RC_IN[MC],RC_IN[BLOCK],RC_OUT[BLOCK]),"")</f>
        <v/>
      </c>
      <c r="J97" s="264">
        <f t="shared" si="1"/>
        <v>0</v>
      </c>
      <c r="K97" s="246"/>
      <c r="L97" s="246"/>
      <c r="M97" s="249" t="str">
        <f t="shared" si="2"/>
        <v/>
      </c>
      <c r="N97" s="266">
        <f t="shared" si="3"/>
        <v>0</v>
      </c>
      <c r="O97" s="247"/>
      <c r="P97" s="247"/>
      <c r="Q97" s="247"/>
      <c r="R97" s="247"/>
      <c r="S97" s="247"/>
      <c r="T97" s="247"/>
      <c r="U97" s="247"/>
      <c r="V97" s="247"/>
      <c r="W97" s="247"/>
      <c r="X97" s="247"/>
    </row>
    <row r="98">
      <c r="A98" s="273">
        <v>45488.0</v>
      </c>
      <c r="B98" s="274"/>
      <c r="C98" s="275" t="s">
        <v>1090</v>
      </c>
      <c r="D98" s="276">
        <v>2729.0</v>
      </c>
      <c r="E98" s="275" t="s">
        <v>1017</v>
      </c>
      <c r="F98" s="279"/>
      <c r="G98" s="278" t="str">
        <f>IFNA(IF(VLOOKUP(RC_OUT[BLOCK],RC_IN[[BLOCK]:[BLOCK LOC]],2,FALSE)=0,"",VLOOKUP(RC_OUT[BLOCK],RC_IN[[BLOCK]:[BLOCK LOC]],2,FALSE)),"")</f>
        <v/>
      </c>
      <c r="I98" s="263" t="str">
        <f>IFERROR(AVERAGEIFS(RC_IN[MC],RC_IN[BLOCK],RC_OUT[BLOCK]),"")</f>
        <v/>
      </c>
      <c r="J98" s="264">
        <f t="shared" si="1"/>
        <v>0</v>
      </c>
      <c r="K98" s="246"/>
      <c r="L98" s="246"/>
      <c r="M98" s="249" t="str">
        <f t="shared" si="2"/>
        <v/>
      </c>
      <c r="N98" s="266">
        <f t="shared" si="3"/>
        <v>0</v>
      </c>
      <c r="O98" s="247"/>
      <c r="P98" s="247"/>
      <c r="Q98" s="247"/>
      <c r="R98" s="247"/>
      <c r="S98" s="247"/>
      <c r="T98" s="247"/>
      <c r="U98" s="247"/>
      <c r="V98" s="247"/>
      <c r="W98" s="247"/>
      <c r="X98" s="247"/>
    </row>
    <row r="99">
      <c r="A99" s="273">
        <v>45489.0</v>
      </c>
      <c r="B99" s="274"/>
      <c r="C99" s="275" t="s">
        <v>1091</v>
      </c>
      <c r="D99" s="276">
        <v>28786.0</v>
      </c>
      <c r="E99" s="275" t="s">
        <v>1017</v>
      </c>
      <c r="F99" s="279"/>
      <c r="G99" s="278" t="str">
        <f>IFNA(IF(VLOOKUP(RC_OUT[BLOCK],RC_IN[[BLOCK]:[BLOCK LOC]],2,FALSE)=0,"",VLOOKUP(RC_OUT[BLOCK],RC_IN[[BLOCK]:[BLOCK LOC]],2,FALSE)),"")</f>
        <v/>
      </c>
      <c r="I99" s="263" t="str">
        <f>IFERROR(AVERAGEIFS(RC_IN[MC],RC_IN[BLOCK],RC_OUT[BLOCK]),"")</f>
        <v/>
      </c>
      <c r="J99" s="264">
        <f t="shared" si="1"/>
        <v>0</v>
      </c>
      <c r="K99" s="246"/>
      <c r="L99" s="246"/>
      <c r="M99" s="249" t="str">
        <f t="shared" si="2"/>
        <v/>
      </c>
      <c r="N99" s="266">
        <f t="shared" si="3"/>
        <v>0</v>
      </c>
      <c r="O99" s="247"/>
      <c r="P99" s="247"/>
      <c r="Q99" s="247"/>
      <c r="R99" s="247"/>
      <c r="S99" s="247"/>
      <c r="T99" s="247"/>
      <c r="U99" s="247"/>
      <c r="V99" s="247"/>
      <c r="W99" s="247"/>
      <c r="X99" s="247"/>
    </row>
    <row r="100">
      <c r="A100" s="273">
        <v>45489.0</v>
      </c>
      <c r="B100" s="274"/>
      <c r="C100" s="275" t="s">
        <v>1088</v>
      </c>
      <c r="D100" s="276">
        <v>8370.0</v>
      </c>
      <c r="E100" s="275" t="s">
        <v>1017</v>
      </c>
      <c r="F100" s="279"/>
      <c r="G100" s="278" t="str">
        <f>IFNA(IF(VLOOKUP(RC_OUT[BLOCK],RC_IN[[BLOCK]:[BLOCK LOC]],2,FALSE)=0,"",VLOOKUP(RC_OUT[BLOCK],RC_IN[[BLOCK]:[BLOCK LOC]],2,FALSE)),"")</f>
        <v/>
      </c>
      <c r="I100" s="263" t="str">
        <f>IFERROR(AVERAGEIFS(RC_IN[MC],RC_IN[BLOCK],RC_OUT[BLOCK]),"")</f>
        <v/>
      </c>
      <c r="J100" s="264">
        <f t="shared" si="1"/>
        <v>0</v>
      </c>
      <c r="K100" s="246"/>
      <c r="L100" s="246"/>
      <c r="M100" s="249" t="str">
        <f t="shared" si="2"/>
        <v/>
      </c>
      <c r="N100" s="266">
        <f t="shared" si="3"/>
        <v>0</v>
      </c>
      <c r="O100" s="247"/>
      <c r="P100" s="247"/>
      <c r="Q100" s="247"/>
      <c r="R100" s="247"/>
      <c r="S100" s="247"/>
      <c r="T100" s="247"/>
      <c r="U100" s="247"/>
      <c r="V100" s="247"/>
      <c r="W100" s="247"/>
      <c r="X100" s="247"/>
    </row>
    <row r="101">
      <c r="A101" s="273">
        <v>45489.0</v>
      </c>
      <c r="B101" s="274"/>
      <c r="C101" s="275" t="s">
        <v>1090</v>
      </c>
      <c r="D101" s="276">
        <v>3728.0</v>
      </c>
      <c r="E101" s="275" t="s">
        <v>1017</v>
      </c>
      <c r="F101" s="277" t="s">
        <v>1059</v>
      </c>
      <c r="G101" s="278" t="str">
        <f>IFNA(IF(VLOOKUP(RC_OUT[BLOCK],RC_IN[[BLOCK]:[BLOCK LOC]],2,FALSE)=0,"",VLOOKUP(RC_OUT[BLOCK],RC_IN[[BLOCK]:[BLOCK LOC]],2,FALSE)),"")</f>
        <v/>
      </c>
      <c r="I101" s="263" t="str">
        <f>IFERROR(AVERAGEIFS(RC_IN[MC],RC_IN[BLOCK],RC_OUT[BLOCK]),"")</f>
        <v/>
      </c>
      <c r="J101" s="264">
        <f t="shared" si="1"/>
        <v>0</v>
      </c>
      <c r="K101" s="246"/>
      <c r="L101" s="246"/>
      <c r="M101" s="249" t="str">
        <f t="shared" si="2"/>
        <v/>
      </c>
      <c r="N101" s="266">
        <f t="shared" si="3"/>
        <v>0</v>
      </c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</row>
    <row r="102">
      <c r="A102" s="273">
        <v>45490.0</v>
      </c>
      <c r="B102" s="274"/>
      <c r="C102" s="275" t="s">
        <v>1091</v>
      </c>
      <c r="D102" s="276">
        <v>18309.0</v>
      </c>
      <c r="E102" s="275" t="s">
        <v>1017</v>
      </c>
      <c r="F102" s="279"/>
      <c r="G102" s="278" t="str">
        <f>IFNA(IF(VLOOKUP(RC_OUT[BLOCK],RC_IN[[BLOCK]:[BLOCK LOC]],2,FALSE)=0,"",VLOOKUP(RC_OUT[BLOCK],RC_IN[[BLOCK]:[BLOCK LOC]],2,FALSE)),"")</f>
        <v/>
      </c>
      <c r="I102" s="263" t="str">
        <f>IFERROR(AVERAGEIFS(RC_IN[MC],RC_IN[BLOCK],RC_OUT[BLOCK]),"")</f>
        <v/>
      </c>
      <c r="J102" s="264">
        <f t="shared" si="1"/>
        <v>0</v>
      </c>
      <c r="K102" s="246"/>
      <c r="L102" s="246"/>
      <c r="M102" s="249" t="str">
        <f t="shared" si="2"/>
        <v/>
      </c>
      <c r="N102" s="266">
        <f t="shared" si="3"/>
        <v>0</v>
      </c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</row>
    <row r="103">
      <c r="A103" s="273">
        <v>45490.0</v>
      </c>
      <c r="B103" s="274"/>
      <c r="C103" s="275" t="s">
        <v>1088</v>
      </c>
      <c r="D103" s="276">
        <v>6161.0</v>
      </c>
      <c r="E103" s="275" t="s">
        <v>1017</v>
      </c>
      <c r="F103" s="279"/>
      <c r="G103" s="278" t="str">
        <f>IFNA(IF(VLOOKUP(RC_OUT[BLOCK],RC_IN[[BLOCK]:[BLOCK LOC]],2,FALSE)=0,"",VLOOKUP(RC_OUT[BLOCK],RC_IN[[BLOCK]:[BLOCK LOC]],2,FALSE)),"")</f>
        <v/>
      </c>
      <c r="I103" s="263" t="str">
        <f>IFERROR(AVERAGEIFS(RC_IN[MC],RC_IN[BLOCK],RC_OUT[BLOCK]),"")</f>
        <v/>
      </c>
      <c r="J103" s="264">
        <f t="shared" si="1"/>
        <v>0</v>
      </c>
      <c r="K103" s="246"/>
      <c r="L103" s="246"/>
      <c r="M103" s="249" t="str">
        <f t="shared" si="2"/>
        <v/>
      </c>
      <c r="N103" s="266">
        <f t="shared" si="3"/>
        <v>0</v>
      </c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</row>
    <row r="104">
      <c r="A104" s="273">
        <v>45490.0</v>
      </c>
      <c r="B104" s="274"/>
      <c r="C104" s="275" t="s">
        <v>1092</v>
      </c>
      <c r="D104" s="276">
        <v>4274.0</v>
      </c>
      <c r="E104" s="275" t="s">
        <v>1017</v>
      </c>
      <c r="F104" s="279"/>
      <c r="G104" s="278" t="str">
        <f>IFNA(IF(VLOOKUP(RC_OUT[BLOCK],RC_IN[[BLOCK]:[BLOCK LOC]],2,FALSE)=0,"",VLOOKUP(RC_OUT[BLOCK],RC_IN[[BLOCK]:[BLOCK LOC]],2,FALSE)),"")</f>
        <v/>
      </c>
      <c r="I104" s="263" t="str">
        <f>IFERROR(AVERAGEIFS(RC_IN[MC],RC_IN[BLOCK],RC_OUT[BLOCK]),"")</f>
        <v/>
      </c>
      <c r="J104" s="264">
        <f t="shared" si="1"/>
        <v>0</v>
      </c>
      <c r="K104" s="246"/>
      <c r="L104" s="246"/>
      <c r="M104" s="249" t="str">
        <f t="shared" si="2"/>
        <v/>
      </c>
      <c r="N104" s="266">
        <f t="shared" si="3"/>
        <v>0</v>
      </c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</row>
    <row r="105">
      <c r="A105" s="273">
        <v>45491.0</v>
      </c>
      <c r="B105" s="274"/>
      <c r="C105" s="275" t="s">
        <v>1093</v>
      </c>
      <c r="D105" s="276">
        <v>23338.0</v>
      </c>
      <c r="E105" s="275" t="s">
        <v>1017</v>
      </c>
      <c r="F105" s="277" t="s">
        <v>1094</v>
      </c>
      <c r="G105" s="278" t="str">
        <f>IFNA(IF(VLOOKUP(RC_OUT[BLOCK],RC_IN[[BLOCK]:[BLOCK LOC]],2,FALSE)=0,"",VLOOKUP(RC_OUT[BLOCK],RC_IN[[BLOCK]:[BLOCK LOC]],2,FALSE)),"")</f>
        <v/>
      </c>
      <c r="I105" s="263" t="str">
        <f>IFERROR(AVERAGEIFS(RC_IN[MC],RC_IN[BLOCK],RC_OUT[BLOCK]),"")</f>
        <v/>
      </c>
      <c r="J105" s="264">
        <f t="shared" si="1"/>
        <v>0</v>
      </c>
      <c r="K105" s="246"/>
      <c r="L105" s="246"/>
      <c r="M105" s="249" t="str">
        <f t="shared" si="2"/>
        <v/>
      </c>
      <c r="N105" s="266">
        <f t="shared" si="3"/>
        <v>0</v>
      </c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</row>
    <row r="106">
      <c r="A106" s="273">
        <v>45491.0</v>
      </c>
      <c r="B106" s="274"/>
      <c r="C106" s="275" t="s">
        <v>1091</v>
      </c>
      <c r="D106" s="276">
        <v>1549.0</v>
      </c>
      <c r="E106" s="275" t="s">
        <v>1017</v>
      </c>
      <c r="F106" s="277" t="s">
        <v>1059</v>
      </c>
      <c r="G106" s="278" t="str">
        <f>IFNA(IF(VLOOKUP(RC_OUT[BLOCK],RC_IN[[BLOCK]:[BLOCK LOC]],2,FALSE)=0,"",VLOOKUP(RC_OUT[BLOCK],RC_IN[[BLOCK]:[BLOCK LOC]],2,FALSE)),"")</f>
        <v/>
      </c>
      <c r="I106" s="263" t="str">
        <f>IFERROR(AVERAGEIFS(RC_IN[MC],RC_IN[BLOCK],RC_OUT[BLOCK]),"")</f>
        <v/>
      </c>
      <c r="J106" s="264">
        <f t="shared" si="1"/>
        <v>0</v>
      </c>
      <c r="K106" s="246"/>
      <c r="L106" s="246"/>
      <c r="M106" s="249" t="str">
        <f t="shared" si="2"/>
        <v/>
      </c>
      <c r="N106" s="266">
        <f t="shared" si="3"/>
        <v>0</v>
      </c>
      <c r="O106" s="247"/>
      <c r="P106" s="247"/>
      <c r="Q106" s="247"/>
      <c r="R106" s="247"/>
      <c r="S106" s="247"/>
      <c r="T106" s="247"/>
      <c r="U106" s="247"/>
      <c r="V106" s="247"/>
      <c r="W106" s="247"/>
      <c r="X106" s="247"/>
    </row>
    <row r="107">
      <c r="A107" s="273">
        <v>45491.0</v>
      </c>
      <c r="B107" s="274"/>
      <c r="C107" s="275" t="s">
        <v>1088</v>
      </c>
      <c r="D107" s="276">
        <v>6411.0</v>
      </c>
      <c r="E107" s="275" t="s">
        <v>1017</v>
      </c>
      <c r="F107" s="279"/>
      <c r="G107" s="278" t="str">
        <f>IFNA(IF(VLOOKUP(RC_OUT[BLOCK],RC_IN[[BLOCK]:[BLOCK LOC]],2,FALSE)=0,"",VLOOKUP(RC_OUT[BLOCK],RC_IN[[BLOCK]:[BLOCK LOC]],2,FALSE)),"")</f>
        <v/>
      </c>
      <c r="I107" s="263" t="str">
        <f>IFERROR(AVERAGEIFS(RC_IN[MC],RC_IN[BLOCK],RC_OUT[BLOCK]),"")</f>
        <v/>
      </c>
      <c r="J107" s="264">
        <f t="shared" si="1"/>
        <v>0</v>
      </c>
      <c r="K107" s="246"/>
      <c r="L107" s="246"/>
      <c r="M107" s="249" t="str">
        <f t="shared" si="2"/>
        <v/>
      </c>
      <c r="N107" s="266">
        <f t="shared" si="3"/>
        <v>0</v>
      </c>
      <c r="O107" s="247"/>
      <c r="P107" s="247"/>
      <c r="Q107" s="247"/>
      <c r="R107" s="247"/>
      <c r="S107" s="247"/>
      <c r="T107" s="247"/>
      <c r="U107" s="247"/>
      <c r="V107" s="247"/>
      <c r="W107" s="247"/>
      <c r="X107" s="247"/>
    </row>
    <row r="108">
      <c r="A108" s="273">
        <v>45491.0</v>
      </c>
      <c r="B108" s="274"/>
      <c r="C108" s="275" t="s">
        <v>1092</v>
      </c>
      <c r="D108" s="276">
        <v>3594.0</v>
      </c>
      <c r="E108" s="275" t="s">
        <v>1017</v>
      </c>
      <c r="F108" s="279"/>
      <c r="G108" s="278" t="str">
        <f>IFNA(IF(VLOOKUP(RC_OUT[BLOCK],RC_IN[[BLOCK]:[BLOCK LOC]],2,FALSE)=0,"",VLOOKUP(RC_OUT[BLOCK],RC_IN[[BLOCK]:[BLOCK LOC]],2,FALSE)),"")</f>
        <v/>
      </c>
      <c r="I108" s="263" t="str">
        <f>IFERROR(AVERAGEIFS(RC_IN[MC],RC_IN[BLOCK],RC_OUT[BLOCK]),"")</f>
        <v/>
      </c>
      <c r="J108" s="264">
        <f t="shared" si="1"/>
        <v>0</v>
      </c>
      <c r="K108" s="246"/>
      <c r="L108" s="246"/>
      <c r="M108" s="249" t="str">
        <f t="shared" si="2"/>
        <v/>
      </c>
      <c r="N108" s="266">
        <f t="shared" si="3"/>
        <v>0</v>
      </c>
      <c r="O108" s="247"/>
      <c r="P108" s="247"/>
      <c r="Q108" s="247"/>
      <c r="R108" s="247"/>
      <c r="S108" s="247"/>
      <c r="T108" s="247"/>
      <c r="U108" s="247"/>
      <c r="V108" s="247"/>
      <c r="W108" s="247"/>
      <c r="X108" s="247"/>
    </row>
    <row r="109">
      <c r="A109" s="273">
        <v>45492.0</v>
      </c>
      <c r="B109" s="274"/>
      <c r="C109" s="275" t="s">
        <v>1093</v>
      </c>
      <c r="D109" s="276">
        <v>14374.0</v>
      </c>
      <c r="E109" s="275" t="s">
        <v>1017</v>
      </c>
      <c r="F109" s="279"/>
      <c r="G109" s="278" t="str">
        <f>IFNA(IF(VLOOKUP(RC_OUT[BLOCK],RC_IN[[BLOCK]:[BLOCK LOC]],2,FALSE)=0,"",VLOOKUP(RC_OUT[BLOCK],RC_IN[[BLOCK]:[BLOCK LOC]],2,FALSE)),"")</f>
        <v/>
      </c>
      <c r="I109" s="263" t="str">
        <f>IFERROR(AVERAGEIFS(RC_IN[MC],RC_IN[BLOCK],RC_OUT[BLOCK]),"")</f>
        <v/>
      </c>
      <c r="J109" s="264">
        <f t="shared" si="1"/>
        <v>0</v>
      </c>
      <c r="K109" s="246"/>
      <c r="L109" s="246"/>
      <c r="M109" s="249" t="str">
        <f t="shared" si="2"/>
        <v/>
      </c>
      <c r="N109" s="266">
        <f t="shared" si="3"/>
        <v>0</v>
      </c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</row>
    <row r="110">
      <c r="A110" s="273">
        <v>45492.0</v>
      </c>
      <c r="B110" s="274"/>
      <c r="C110" s="275" t="s">
        <v>1088</v>
      </c>
      <c r="D110" s="276">
        <v>3737.0</v>
      </c>
      <c r="E110" s="275" t="s">
        <v>1017</v>
      </c>
      <c r="F110" s="279"/>
      <c r="G110" s="278" t="str">
        <f>IFNA(IF(VLOOKUP(RC_OUT[BLOCK],RC_IN[[BLOCK]:[BLOCK LOC]],2,FALSE)=0,"",VLOOKUP(RC_OUT[BLOCK],RC_IN[[BLOCK]:[BLOCK LOC]],2,FALSE)),"")</f>
        <v/>
      </c>
      <c r="I110" s="263" t="str">
        <f>IFERROR(AVERAGEIFS(RC_IN[MC],RC_IN[BLOCK],RC_OUT[BLOCK]),"")</f>
        <v/>
      </c>
      <c r="J110" s="264">
        <f t="shared" si="1"/>
        <v>0</v>
      </c>
      <c r="K110" s="246"/>
      <c r="L110" s="246"/>
      <c r="M110" s="249" t="str">
        <f t="shared" si="2"/>
        <v/>
      </c>
      <c r="N110" s="266">
        <f t="shared" si="3"/>
        <v>0</v>
      </c>
      <c r="O110" s="247"/>
      <c r="P110" s="247"/>
      <c r="Q110" s="247"/>
      <c r="R110" s="247"/>
      <c r="S110" s="247"/>
      <c r="T110" s="247"/>
      <c r="U110" s="247"/>
      <c r="V110" s="247"/>
      <c r="W110" s="247"/>
      <c r="X110" s="247"/>
    </row>
    <row r="111">
      <c r="A111" s="273">
        <v>45492.0</v>
      </c>
      <c r="B111" s="274"/>
      <c r="C111" s="275" t="s">
        <v>1092</v>
      </c>
      <c r="D111" s="276">
        <v>2203.0</v>
      </c>
      <c r="E111" s="275" t="s">
        <v>1017</v>
      </c>
      <c r="F111" s="279"/>
      <c r="G111" s="278" t="str">
        <f>IFNA(IF(VLOOKUP(RC_OUT[BLOCK],RC_IN[[BLOCK]:[BLOCK LOC]],2,FALSE)=0,"",VLOOKUP(RC_OUT[BLOCK],RC_IN[[BLOCK]:[BLOCK LOC]],2,FALSE)),"")</f>
        <v/>
      </c>
      <c r="I111" s="263" t="str">
        <f>IFERROR(AVERAGEIFS(RC_IN[MC],RC_IN[BLOCK],RC_OUT[BLOCK]),"")</f>
        <v/>
      </c>
      <c r="J111" s="264">
        <f t="shared" si="1"/>
        <v>0</v>
      </c>
      <c r="K111" s="246"/>
      <c r="L111" s="246"/>
      <c r="M111" s="249" t="str">
        <f t="shared" si="2"/>
        <v/>
      </c>
      <c r="N111" s="266">
        <f t="shared" si="3"/>
        <v>0</v>
      </c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</row>
    <row r="112">
      <c r="A112" s="273">
        <v>45495.0</v>
      </c>
      <c r="B112" s="274"/>
      <c r="C112" s="275" t="s">
        <v>1095</v>
      </c>
      <c r="D112" s="276">
        <v>5751.0</v>
      </c>
      <c r="E112" s="275" t="s">
        <v>1017</v>
      </c>
      <c r="F112" s="277" t="s">
        <v>1094</v>
      </c>
      <c r="G112" s="278" t="str">
        <f>IFNA(IF(VLOOKUP(RC_OUT[BLOCK],RC_IN[[BLOCK]:[BLOCK LOC]],2,FALSE)=0,"",VLOOKUP(RC_OUT[BLOCK],RC_IN[[BLOCK]:[BLOCK LOC]],2,FALSE)),"")</f>
        <v/>
      </c>
      <c r="I112" s="263" t="str">
        <f>IFERROR(AVERAGEIFS(RC_IN[MC],RC_IN[BLOCK],RC_OUT[BLOCK]),"")</f>
        <v/>
      </c>
      <c r="J112" s="264">
        <f t="shared" si="1"/>
        <v>0</v>
      </c>
      <c r="K112" s="246"/>
      <c r="L112" s="246"/>
      <c r="M112" s="249" t="str">
        <f t="shared" si="2"/>
        <v/>
      </c>
      <c r="N112" s="266">
        <f t="shared" si="3"/>
        <v>0</v>
      </c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</row>
    <row r="113">
      <c r="A113" s="273">
        <v>45495.0</v>
      </c>
      <c r="B113" s="274"/>
      <c r="C113" s="275" t="s">
        <v>1093</v>
      </c>
      <c r="D113" s="276">
        <v>22255.0</v>
      </c>
      <c r="E113" s="275" t="s">
        <v>1017</v>
      </c>
      <c r="F113" s="279"/>
      <c r="G113" s="278" t="str">
        <f>IFNA(IF(VLOOKUP(RC_OUT[BLOCK],RC_IN[[BLOCK]:[BLOCK LOC]],2,FALSE)=0,"",VLOOKUP(RC_OUT[BLOCK],RC_IN[[BLOCK]:[BLOCK LOC]],2,FALSE)),"")</f>
        <v/>
      </c>
      <c r="I113" s="263" t="str">
        <f>IFERROR(AVERAGEIFS(RC_IN[MC],RC_IN[BLOCK],RC_OUT[BLOCK]),"")</f>
        <v/>
      </c>
      <c r="J113" s="264">
        <f t="shared" si="1"/>
        <v>0</v>
      </c>
      <c r="K113" s="246"/>
      <c r="L113" s="246"/>
      <c r="M113" s="249" t="str">
        <f t="shared" si="2"/>
        <v/>
      </c>
      <c r="N113" s="266">
        <f t="shared" si="3"/>
        <v>0</v>
      </c>
      <c r="O113" s="247"/>
      <c r="P113" s="247"/>
      <c r="Q113" s="247"/>
      <c r="R113" s="247"/>
      <c r="S113" s="247"/>
      <c r="T113" s="247"/>
      <c r="U113" s="247"/>
      <c r="V113" s="247"/>
      <c r="W113" s="247"/>
      <c r="X113" s="247"/>
    </row>
    <row r="114">
      <c r="A114" s="273">
        <v>45495.0</v>
      </c>
      <c r="B114" s="274"/>
      <c r="C114" s="275" t="s">
        <v>1088</v>
      </c>
      <c r="D114" s="276">
        <v>1922.0</v>
      </c>
      <c r="E114" s="275" t="s">
        <v>1017</v>
      </c>
      <c r="F114" s="277" t="s">
        <v>1059</v>
      </c>
      <c r="G114" s="278" t="str">
        <f>IFNA(IF(VLOOKUP(RC_OUT[BLOCK],RC_IN[[BLOCK]:[BLOCK LOC]],2,FALSE)=0,"",VLOOKUP(RC_OUT[BLOCK],RC_IN[[BLOCK]:[BLOCK LOC]],2,FALSE)),"")</f>
        <v/>
      </c>
      <c r="I114" s="263" t="str">
        <f>IFERROR(AVERAGEIFS(RC_IN[MC],RC_IN[BLOCK],RC_OUT[BLOCK]),"")</f>
        <v/>
      </c>
      <c r="J114" s="264">
        <f t="shared" si="1"/>
        <v>0</v>
      </c>
      <c r="K114" s="246"/>
      <c r="L114" s="246"/>
      <c r="M114" s="249" t="str">
        <f t="shared" si="2"/>
        <v/>
      </c>
      <c r="N114" s="266">
        <f t="shared" si="3"/>
        <v>0</v>
      </c>
      <c r="O114" s="247"/>
      <c r="P114" s="247"/>
      <c r="Q114" s="247"/>
      <c r="R114" s="247"/>
      <c r="S114" s="247"/>
      <c r="T114" s="247"/>
      <c r="U114" s="247"/>
      <c r="V114" s="247"/>
      <c r="W114" s="247"/>
      <c r="X114" s="247"/>
    </row>
    <row r="115">
      <c r="A115" s="273">
        <v>45495.0</v>
      </c>
      <c r="B115" s="274"/>
      <c r="C115" s="275" t="s">
        <v>1092</v>
      </c>
      <c r="D115" s="276">
        <v>10747.0</v>
      </c>
      <c r="E115" s="275" t="s">
        <v>1017</v>
      </c>
      <c r="F115" s="279"/>
      <c r="G115" s="278" t="str">
        <f>IFNA(IF(VLOOKUP(RC_OUT[BLOCK],RC_IN[[BLOCK]:[BLOCK LOC]],2,FALSE)=0,"",VLOOKUP(RC_OUT[BLOCK],RC_IN[[BLOCK]:[BLOCK LOC]],2,FALSE)),"")</f>
        <v/>
      </c>
      <c r="I115" s="263" t="str">
        <f>IFERROR(AVERAGEIFS(RC_IN[MC],RC_IN[BLOCK],RC_OUT[BLOCK]),"")</f>
        <v/>
      </c>
      <c r="J115" s="264">
        <f t="shared" si="1"/>
        <v>0</v>
      </c>
      <c r="K115" s="246"/>
      <c r="L115" s="246"/>
      <c r="M115" s="249" t="str">
        <f t="shared" si="2"/>
        <v/>
      </c>
      <c r="N115" s="266">
        <f t="shared" si="3"/>
        <v>0</v>
      </c>
      <c r="O115" s="247"/>
      <c r="P115" s="247"/>
      <c r="Q115" s="247"/>
      <c r="R115" s="247"/>
      <c r="S115" s="247"/>
      <c r="T115" s="247"/>
      <c r="U115" s="247"/>
      <c r="V115" s="247"/>
      <c r="W115" s="247"/>
      <c r="X115" s="247"/>
    </row>
    <row r="116">
      <c r="A116" s="273">
        <v>45503.0</v>
      </c>
      <c r="B116" s="274"/>
      <c r="C116" s="275" t="s">
        <v>1095</v>
      </c>
      <c r="D116" s="276">
        <v>59751.0</v>
      </c>
      <c r="E116" s="275" t="s">
        <v>1017</v>
      </c>
      <c r="F116" s="277" t="s">
        <v>1059</v>
      </c>
      <c r="G116" s="278" t="str">
        <f>IFNA(IF(VLOOKUP(RC_OUT[BLOCK],RC_IN[[BLOCK]:[BLOCK LOC]],2,FALSE)=0,"",VLOOKUP(RC_OUT[BLOCK],RC_IN[[BLOCK]:[BLOCK LOC]],2,FALSE)),"")</f>
        <v/>
      </c>
      <c r="I116" s="263" t="str">
        <f>IFERROR(AVERAGEIFS(RC_IN[MC],RC_IN[BLOCK],RC_OUT[BLOCK]),"")</f>
        <v/>
      </c>
      <c r="J116" s="264">
        <f t="shared" si="1"/>
        <v>0</v>
      </c>
      <c r="K116" s="246"/>
      <c r="L116" s="246"/>
      <c r="M116" s="249" t="str">
        <f t="shared" si="2"/>
        <v/>
      </c>
      <c r="N116" s="266">
        <f t="shared" si="3"/>
        <v>0</v>
      </c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</row>
    <row r="117">
      <c r="A117" s="273">
        <v>45503.0</v>
      </c>
      <c r="B117" s="274"/>
      <c r="C117" s="275" t="s">
        <v>1093</v>
      </c>
      <c r="D117" s="276">
        <v>2390.0</v>
      </c>
      <c r="E117" s="275" t="s">
        <v>1017</v>
      </c>
      <c r="F117" s="277" t="s">
        <v>1059</v>
      </c>
      <c r="G117" s="278" t="str">
        <f>IFNA(IF(VLOOKUP(RC_OUT[BLOCK],RC_IN[[BLOCK]:[BLOCK LOC]],2,FALSE)=0,"",VLOOKUP(RC_OUT[BLOCK],RC_IN[[BLOCK]:[BLOCK LOC]],2,FALSE)),"")</f>
        <v/>
      </c>
      <c r="I117" s="263" t="str">
        <f>IFERROR(AVERAGEIFS(RC_IN[MC],RC_IN[BLOCK],RC_OUT[BLOCK]),"")</f>
        <v/>
      </c>
      <c r="J117" s="264">
        <f t="shared" si="1"/>
        <v>0</v>
      </c>
      <c r="K117" s="246"/>
      <c r="L117" s="246"/>
      <c r="M117" s="249" t="str">
        <f t="shared" si="2"/>
        <v/>
      </c>
      <c r="N117" s="266">
        <f t="shared" si="3"/>
        <v>0</v>
      </c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</row>
    <row r="118">
      <c r="A118" s="273">
        <v>45503.0</v>
      </c>
      <c r="B118" s="274"/>
      <c r="C118" s="275" t="s">
        <v>1096</v>
      </c>
      <c r="D118" s="276">
        <v>16706.0</v>
      </c>
      <c r="E118" s="275" t="s">
        <v>1017</v>
      </c>
      <c r="F118" s="279"/>
      <c r="G118" s="278" t="str">
        <f>IFNA(IF(VLOOKUP(RC_OUT[BLOCK],RC_IN[[BLOCK]:[BLOCK LOC]],2,FALSE)=0,"",VLOOKUP(RC_OUT[BLOCK],RC_IN[[BLOCK]:[BLOCK LOC]],2,FALSE)),"")</f>
        <v/>
      </c>
      <c r="I118" s="263" t="str">
        <f>IFERROR(AVERAGEIFS(RC_IN[MC],RC_IN[BLOCK],RC_OUT[BLOCK]),"")</f>
        <v/>
      </c>
      <c r="J118" s="264">
        <f t="shared" si="1"/>
        <v>0</v>
      </c>
      <c r="K118" s="246"/>
      <c r="L118" s="246"/>
      <c r="M118" s="249" t="str">
        <f t="shared" si="2"/>
        <v/>
      </c>
      <c r="N118" s="266">
        <f t="shared" si="3"/>
        <v>0</v>
      </c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</row>
    <row r="119">
      <c r="A119" s="273">
        <v>45503.0</v>
      </c>
      <c r="B119" s="274"/>
      <c r="C119" s="275" t="s">
        <v>1097</v>
      </c>
      <c r="D119" s="276">
        <v>74814.0</v>
      </c>
      <c r="E119" s="275" t="s">
        <v>1017</v>
      </c>
      <c r="F119" s="277" t="s">
        <v>1059</v>
      </c>
      <c r="G119" s="278" t="str">
        <f>IFNA(IF(VLOOKUP(RC_OUT[BLOCK],RC_IN[[BLOCK]:[BLOCK LOC]],2,FALSE)=0,"",VLOOKUP(RC_OUT[BLOCK],RC_IN[[BLOCK]:[BLOCK LOC]],2,FALSE)),"")</f>
        <v/>
      </c>
      <c r="I119" s="263" t="str">
        <f>IFERROR(AVERAGEIFS(RC_IN[MC],RC_IN[BLOCK],RC_OUT[BLOCK]),"")</f>
        <v/>
      </c>
      <c r="J119" s="264">
        <f t="shared" si="1"/>
        <v>0</v>
      </c>
      <c r="K119" s="246"/>
      <c r="L119" s="246"/>
      <c r="M119" s="249" t="str">
        <f t="shared" si="2"/>
        <v/>
      </c>
      <c r="N119" s="266">
        <f t="shared" si="3"/>
        <v>0</v>
      </c>
      <c r="O119" s="247"/>
      <c r="P119" s="247"/>
      <c r="Q119" s="247"/>
      <c r="R119" s="247"/>
      <c r="S119" s="247"/>
      <c r="T119" s="247"/>
      <c r="U119" s="247"/>
      <c r="V119" s="247"/>
      <c r="W119" s="247"/>
      <c r="X119" s="247"/>
    </row>
    <row r="120">
      <c r="A120" s="273">
        <v>45503.0</v>
      </c>
      <c r="B120" s="274"/>
      <c r="C120" s="275" t="s">
        <v>1092</v>
      </c>
      <c r="D120" s="276">
        <v>39367.0</v>
      </c>
      <c r="E120" s="275" t="s">
        <v>1017</v>
      </c>
      <c r="F120" s="277" t="s">
        <v>1059</v>
      </c>
      <c r="G120" s="278" t="str">
        <f>IFNA(IF(VLOOKUP(RC_OUT[BLOCK],RC_IN[[BLOCK]:[BLOCK LOC]],2,FALSE)=0,"",VLOOKUP(RC_OUT[BLOCK],RC_IN[[BLOCK]:[BLOCK LOC]],2,FALSE)),"")</f>
        <v/>
      </c>
      <c r="I120" s="263" t="str">
        <f>IFERROR(AVERAGEIFS(RC_IN[MC],RC_IN[BLOCK],RC_OUT[BLOCK]),"")</f>
        <v/>
      </c>
      <c r="J120" s="264">
        <f t="shared" si="1"/>
        <v>0</v>
      </c>
      <c r="K120" s="246"/>
      <c r="L120" s="246"/>
      <c r="M120" s="249" t="str">
        <f t="shared" si="2"/>
        <v/>
      </c>
      <c r="N120" s="266">
        <f t="shared" si="3"/>
        <v>0</v>
      </c>
      <c r="O120" s="247"/>
      <c r="P120" s="247"/>
      <c r="Q120" s="247"/>
      <c r="R120" s="247"/>
      <c r="S120" s="247"/>
      <c r="T120" s="247"/>
      <c r="U120" s="247"/>
      <c r="V120" s="247"/>
      <c r="W120" s="247"/>
      <c r="X120" s="247"/>
    </row>
    <row r="121">
      <c r="A121" s="273">
        <v>45535.0</v>
      </c>
      <c r="B121" s="274"/>
      <c r="C121" s="275" t="s">
        <v>1098</v>
      </c>
      <c r="D121" s="276">
        <v>69420.0</v>
      </c>
      <c r="E121" s="275" t="s">
        <v>1017</v>
      </c>
      <c r="F121" s="277" t="s">
        <v>1059</v>
      </c>
      <c r="G121" s="278" t="str">
        <f>IFNA(IF(VLOOKUP(RC_OUT[BLOCK],RC_IN[[BLOCK]:[BLOCK LOC]],2,FALSE)=0,"",VLOOKUP(RC_OUT[BLOCK],RC_IN[[BLOCK]:[BLOCK LOC]],2,FALSE)),"")</f>
        <v/>
      </c>
      <c r="I121" s="263" t="str">
        <f>IFERROR(AVERAGEIFS(RC_IN[MC],RC_IN[BLOCK],RC_OUT[BLOCK]),"")</f>
        <v/>
      </c>
      <c r="J121" s="264">
        <f t="shared" si="1"/>
        <v>0</v>
      </c>
      <c r="K121" s="246"/>
      <c r="L121" s="246"/>
      <c r="M121" s="249" t="str">
        <f t="shared" si="2"/>
        <v/>
      </c>
      <c r="N121" s="266">
        <f t="shared" si="3"/>
        <v>0</v>
      </c>
      <c r="O121" s="247"/>
      <c r="P121" s="247"/>
      <c r="Q121" s="247"/>
      <c r="R121" s="247"/>
      <c r="S121" s="247"/>
      <c r="T121" s="247"/>
      <c r="U121" s="247"/>
      <c r="V121" s="247"/>
      <c r="W121" s="247"/>
      <c r="X121" s="247"/>
    </row>
    <row r="122">
      <c r="A122" s="273">
        <v>45535.0</v>
      </c>
      <c r="B122" s="274"/>
      <c r="C122" s="275" t="s">
        <v>1096</v>
      </c>
      <c r="D122" s="276">
        <v>51323.0</v>
      </c>
      <c r="E122" s="275" t="s">
        <v>1017</v>
      </c>
      <c r="F122" s="277" t="s">
        <v>1059</v>
      </c>
      <c r="G122" s="278" t="str">
        <f>IFNA(IF(VLOOKUP(RC_OUT[BLOCK],RC_IN[[BLOCK]:[BLOCK LOC]],2,FALSE)=0,"",VLOOKUP(RC_OUT[BLOCK],RC_IN[[BLOCK]:[BLOCK LOC]],2,FALSE)),"")</f>
        <v/>
      </c>
      <c r="I122" s="263" t="str">
        <f>IFERROR(AVERAGEIFS(RC_IN[MC],RC_IN[BLOCK],RC_OUT[BLOCK]),"")</f>
        <v/>
      </c>
      <c r="J122" s="264">
        <f t="shared" si="1"/>
        <v>0</v>
      </c>
      <c r="K122" s="246"/>
      <c r="L122" s="246"/>
      <c r="M122" s="249" t="str">
        <f t="shared" si="2"/>
        <v/>
      </c>
      <c r="N122" s="266">
        <f t="shared" si="3"/>
        <v>0</v>
      </c>
      <c r="O122" s="247"/>
      <c r="P122" s="247"/>
      <c r="Q122" s="247"/>
      <c r="R122" s="247"/>
      <c r="S122" s="247"/>
      <c r="T122" s="247"/>
      <c r="U122" s="247"/>
      <c r="V122" s="247"/>
      <c r="W122" s="247"/>
      <c r="X122" s="247"/>
    </row>
    <row r="123">
      <c r="A123" s="273">
        <v>45535.0</v>
      </c>
      <c r="B123" s="274"/>
      <c r="C123" s="275" t="s">
        <v>1099</v>
      </c>
      <c r="D123" s="276">
        <v>67300.0</v>
      </c>
      <c r="E123" s="275" t="s">
        <v>1017</v>
      </c>
      <c r="F123" s="277" t="s">
        <v>1059</v>
      </c>
      <c r="G123" s="278" t="str">
        <f>IFNA(IF(VLOOKUP(RC_OUT[BLOCK],RC_IN[[BLOCK]:[BLOCK LOC]],2,FALSE)=0,"",VLOOKUP(RC_OUT[BLOCK],RC_IN[[BLOCK]:[BLOCK LOC]],2,FALSE)),"")</f>
        <v/>
      </c>
      <c r="I123" s="263" t="str">
        <f>IFERROR(AVERAGEIFS(RC_IN[MC],RC_IN[BLOCK],RC_OUT[BLOCK]),"")</f>
        <v/>
      </c>
      <c r="J123" s="264">
        <f t="shared" si="1"/>
        <v>0</v>
      </c>
      <c r="K123" s="246"/>
      <c r="L123" s="246"/>
      <c r="M123" s="249" t="str">
        <f t="shared" si="2"/>
        <v/>
      </c>
      <c r="N123" s="266">
        <f t="shared" si="3"/>
        <v>0</v>
      </c>
      <c r="O123" s="247"/>
      <c r="P123" s="247"/>
      <c r="Q123" s="247"/>
      <c r="R123" s="247"/>
      <c r="S123" s="247"/>
      <c r="T123" s="247"/>
      <c r="U123" s="247"/>
      <c r="V123" s="247"/>
      <c r="W123" s="247"/>
      <c r="X123" s="247"/>
    </row>
    <row r="124">
      <c r="A124" s="273">
        <v>45535.0</v>
      </c>
      <c r="B124" s="274"/>
      <c r="C124" s="275" t="s">
        <v>1100</v>
      </c>
      <c r="D124" s="276">
        <v>56901.0</v>
      </c>
      <c r="E124" s="275" t="s">
        <v>1017</v>
      </c>
      <c r="F124" s="277" t="s">
        <v>1059</v>
      </c>
      <c r="G124" s="278" t="str">
        <f>IFNA(IF(VLOOKUP(RC_OUT[BLOCK],RC_IN[[BLOCK]:[BLOCK LOC]],2,FALSE)=0,"",VLOOKUP(RC_OUT[BLOCK],RC_IN[[BLOCK]:[BLOCK LOC]],2,FALSE)),"")</f>
        <v/>
      </c>
      <c r="I124" s="263" t="str">
        <f>IFERROR(AVERAGEIFS(RC_IN[MC],RC_IN[BLOCK],RC_OUT[BLOCK]),"")</f>
        <v/>
      </c>
      <c r="J124" s="264">
        <f t="shared" si="1"/>
        <v>0</v>
      </c>
      <c r="K124" s="246"/>
      <c r="L124" s="246"/>
      <c r="M124" s="249" t="str">
        <f t="shared" si="2"/>
        <v/>
      </c>
      <c r="N124" s="266">
        <f t="shared" si="3"/>
        <v>0</v>
      </c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</row>
    <row r="125">
      <c r="A125" s="273">
        <v>45535.0</v>
      </c>
      <c r="B125" s="274"/>
      <c r="C125" s="275" t="s">
        <v>1101</v>
      </c>
      <c r="D125" s="276">
        <v>67169.0</v>
      </c>
      <c r="E125" s="275" t="s">
        <v>1017</v>
      </c>
      <c r="F125" s="277" t="s">
        <v>1059</v>
      </c>
      <c r="G125" s="278" t="str">
        <f>IFNA(IF(VLOOKUP(RC_OUT[BLOCK],RC_IN[[BLOCK]:[BLOCK LOC]],2,FALSE)=0,"",VLOOKUP(RC_OUT[BLOCK],RC_IN[[BLOCK]:[BLOCK LOC]],2,FALSE)),"")</f>
        <v/>
      </c>
      <c r="I125" s="263" t="str">
        <f>IFERROR(AVERAGEIFS(RC_IN[MC],RC_IN[BLOCK],RC_OUT[BLOCK]),"")</f>
        <v/>
      </c>
      <c r="J125" s="264">
        <f t="shared" si="1"/>
        <v>0</v>
      </c>
      <c r="K125" s="246"/>
      <c r="L125" s="246"/>
      <c r="M125" s="249" t="str">
        <f t="shared" si="2"/>
        <v/>
      </c>
      <c r="N125" s="266">
        <f t="shared" si="3"/>
        <v>0</v>
      </c>
      <c r="O125" s="247"/>
      <c r="P125" s="247"/>
      <c r="Q125" s="247"/>
      <c r="R125" s="247"/>
      <c r="S125" s="247"/>
      <c r="T125" s="247"/>
      <c r="U125" s="247"/>
      <c r="V125" s="247"/>
      <c r="W125" s="247"/>
      <c r="X125" s="247"/>
    </row>
    <row r="126">
      <c r="A126" s="273">
        <v>45535.0</v>
      </c>
      <c r="B126" s="274"/>
      <c r="C126" s="275" t="s">
        <v>1102</v>
      </c>
      <c r="D126" s="276">
        <v>57039.0</v>
      </c>
      <c r="E126" s="275" t="s">
        <v>1017</v>
      </c>
      <c r="F126" s="279"/>
      <c r="G126" s="278" t="str">
        <f>IFNA(IF(VLOOKUP(RC_OUT[BLOCK],RC_IN[[BLOCK]:[BLOCK LOC]],2,FALSE)=0,"",VLOOKUP(RC_OUT[BLOCK],RC_IN[[BLOCK]:[BLOCK LOC]],2,FALSE)),"")</f>
        <v/>
      </c>
      <c r="I126" s="263" t="str">
        <f>IFERROR(AVERAGEIFS(RC_IN[MC],RC_IN[BLOCK],RC_OUT[BLOCK]),"")</f>
        <v/>
      </c>
      <c r="J126" s="264">
        <f t="shared" si="1"/>
        <v>0</v>
      </c>
      <c r="K126" s="246"/>
      <c r="L126" s="246"/>
      <c r="M126" s="249" t="str">
        <f t="shared" si="2"/>
        <v/>
      </c>
      <c r="N126" s="266">
        <f t="shared" si="3"/>
        <v>0</v>
      </c>
      <c r="O126" s="247"/>
      <c r="P126" s="247"/>
      <c r="Q126" s="247"/>
      <c r="R126" s="247"/>
      <c r="S126" s="247"/>
      <c r="T126" s="247"/>
      <c r="U126" s="247"/>
      <c r="V126" s="247"/>
      <c r="W126" s="247"/>
      <c r="X126" s="247"/>
    </row>
    <row r="127">
      <c r="A127" s="273">
        <v>45535.0</v>
      </c>
      <c r="B127" s="274"/>
      <c r="C127" s="275" t="s">
        <v>1103</v>
      </c>
      <c r="D127" s="276">
        <v>68503.0</v>
      </c>
      <c r="E127" s="275" t="s">
        <v>1017</v>
      </c>
      <c r="F127" s="277" t="s">
        <v>1059</v>
      </c>
      <c r="G127" s="278" t="str">
        <f>IFNA(IF(VLOOKUP(RC_OUT[BLOCK],RC_IN[[BLOCK]:[BLOCK LOC]],2,FALSE)=0,"",VLOOKUP(RC_OUT[BLOCK],RC_IN[[BLOCK]:[BLOCK LOC]],2,FALSE)),"")</f>
        <v/>
      </c>
      <c r="I127" s="263" t="str">
        <f>IFERROR(AVERAGEIFS(RC_IN[MC],RC_IN[BLOCK],RC_OUT[BLOCK]),"")</f>
        <v/>
      </c>
      <c r="J127" s="264">
        <f t="shared" si="1"/>
        <v>0</v>
      </c>
      <c r="K127" s="246"/>
      <c r="L127" s="246"/>
      <c r="M127" s="249" t="str">
        <f t="shared" si="2"/>
        <v/>
      </c>
      <c r="N127" s="266">
        <f t="shared" si="3"/>
        <v>0</v>
      </c>
      <c r="O127" s="247"/>
      <c r="P127" s="247"/>
      <c r="Q127" s="247"/>
      <c r="R127" s="247"/>
      <c r="S127" s="247"/>
      <c r="T127" s="247"/>
      <c r="U127" s="247"/>
      <c r="V127" s="247"/>
      <c r="W127" s="247"/>
      <c r="X127" s="247"/>
    </row>
    <row r="128">
      <c r="A128" s="273">
        <v>45535.0</v>
      </c>
      <c r="B128" s="274"/>
      <c r="C128" s="275" t="s">
        <v>1104</v>
      </c>
      <c r="D128" s="276">
        <v>6930.0</v>
      </c>
      <c r="E128" s="275" t="s">
        <v>1017</v>
      </c>
      <c r="F128" s="279"/>
      <c r="G128" s="278" t="str">
        <f>IFNA(IF(VLOOKUP(RC_OUT[BLOCK],RC_IN[[BLOCK]:[BLOCK LOC]],2,FALSE)=0,"",VLOOKUP(RC_OUT[BLOCK],RC_IN[[BLOCK]:[BLOCK LOC]],2,FALSE)),"")</f>
        <v/>
      </c>
      <c r="I128" s="263" t="str">
        <f>IFERROR(AVERAGEIFS(RC_IN[MC],RC_IN[BLOCK],RC_OUT[BLOCK]),"")</f>
        <v/>
      </c>
      <c r="J128" s="264">
        <f t="shared" si="1"/>
        <v>0</v>
      </c>
      <c r="K128" s="246"/>
      <c r="L128" s="246"/>
      <c r="M128" s="249" t="str">
        <f t="shared" si="2"/>
        <v/>
      </c>
      <c r="N128" s="266">
        <f t="shared" si="3"/>
        <v>0</v>
      </c>
      <c r="O128" s="247"/>
      <c r="P128" s="247"/>
      <c r="Q128" s="247"/>
      <c r="R128" s="247"/>
      <c r="S128" s="247"/>
      <c r="T128" s="247"/>
      <c r="U128" s="247"/>
      <c r="V128" s="247"/>
      <c r="W128" s="247"/>
      <c r="X128" s="247"/>
    </row>
    <row r="129">
      <c r="A129" s="273">
        <v>45535.0</v>
      </c>
      <c r="B129" s="274"/>
      <c r="C129" s="275" t="s">
        <v>1105</v>
      </c>
      <c r="D129" s="276">
        <v>27062.0</v>
      </c>
      <c r="E129" s="275" t="s">
        <v>1017</v>
      </c>
      <c r="F129" s="277" t="s">
        <v>1059</v>
      </c>
      <c r="G129" s="278" t="str">
        <f>IFNA(IF(VLOOKUP(RC_OUT[BLOCK],RC_IN[[BLOCK]:[BLOCK LOC]],2,FALSE)=0,"",VLOOKUP(RC_OUT[BLOCK],RC_IN[[BLOCK]:[BLOCK LOC]],2,FALSE)),"")</f>
        <v/>
      </c>
      <c r="I129" s="263" t="str">
        <f>IFERROR(AVERAGEIFS(RC_IN[MC],RC_IN[BLOCK],RC_OUT[BLOCK]),"")</f>
        <v/>
      </c>
      <c r="J129" s="264">
        <f t="shared" si="1"/>
        <v>0</v>
      </c>
      <c r="K129" s="246"/>
      <c r="L129" s="246"/>
      <c r="M129" s="249" t="str">
        <f t="shared" si="2"/>
        <v/>
      </c>
      <c r="N129" s="266">
        <f t="shared" si="3"/>
        <v>0</v>
      </c>
      <c r="O129" s="247"/>
      <c r="P129" s="247"/>
      <c r="Q129" s="247"/>
      <c r="R129" s="247"/>
      <c r="S129" s="247"/>
      <c r="T129" s="247"/>
      <c r="U129" s="247"/>
      <c r="V129" s="247"/>
      <c r="W129" s="247"/>
      <c r="X129" s="247"/>
    </row>
    <row r="130">
      <c r="A130" s="273">
        <v>45535.0</v>
      </c>
      <c r="B130" s="274"/>
      <c r="C130" s="275" t="s">
        <v>1106</v>
      </c>
      <c r="D130" s="276">
        <v>23057.0</v>
      </c>
      <c r="E130" s="275" t="s">
        <v>1017</v>
      </c>
      <c r="F130" s="277" t="s">
        <v>1059</v>
      </c>
      <c r="G130" s="278" t="str">
        <f>IFNA(IF(VLOOKUP(RC_OUT[BLOCK],RC_IN[[BLOCK]:[BLOCK LOC]],2,FALSE)=0,"",VLOOKUP(RC_OUT[BLOCK],RC_IN[[BLOCK]:[BLOCK LOC]],2,FALSE)),"")</f>
        <v/>
      </c>
      <c r="I130" s="263" t="str">
        <f>IFERROR(AVERAGEIFS(RC_IN[MC],RC_IN[BLOCK],RC_OUT[BLOCK]),"")</f>
        <v/>
      </c>
      <c r="J130" s="264">
        <f t="shared" si="1"/>
        <v>0</v>
      </c>
      <c r="K130" s="246"/>
      <c r="L130" s="246"/>
      <c r="M130" s="249" t="str">
        <f t="shared" si="2"/>
        <v/>
      </c>
      <c r="N130" s="266">
        <f t="shared" si="3"/>
        <v>0</v>
      </c>
      <c r="O130" s="247"/>
      <c r="P130" s="247"/>
      <c r="Q130" s="247"/>
      <c r="R130" s="247"/>
      <c r="S130" s="247"/>
      <c r="T130" s="247"/>
      <c r="U130" s="247"/>
      <c r="V130" s="247"/>
      <c r="W130" s="247"/>
      <c r="X130" s="247"/>
    </row>
    <row r="131">
      <c r="A131" s="273">
        <v>45535.0</v>
      </c>
      <c r="B131" s="274"/>
      <c r="C131" s="275" t="s">
        <v>1107</v>
      </c>
      <c r="D131" s="276">
        <v>14695.0</v>
      </c>
      <c r="E131" s="275" t="s">
        <v>1017</v>
      </c>
      <c r="F131" s="279"/>
      <c r="G131" s="278" t="str">
        <f>IFNA(IF(VLOOKUP(RC_OUT[BLOCK],RC_IN[[BLOCK]:[BLOCK LOC]],2,FALSE)=0,"",VLOOKUP(RC_OUT[BLOCK],RC_IN[[BLOCK]:[BLOCK LOC]],2,FALSE)),"")</f>
        <v/>
      </c>
      <c r="I131" s="263" t="str">
        <f>IFERROR(AVERAGEIFS(RC_IN[MC],RC_IN[BLOCK],RC_OUT[BLOCK]),"")</f>
        <v/>
      </c>
      <c r="J131" s="264">
        <f t="shared" si="1"/>
        <v>0</v>
      </c>
      <c r="K131" s="246"/>
      <c r="L131" s="246"/>
      <c r="M131" s="249" t="str">
        <f t="shared" si="2"/>
        <v/>
      </c>
      <c r="N131" s="266">
        <f t="shared" si="3"/>
        <v>0</v>
      </c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</row>
    <row r="132">
      <c r="A132" s="273">
        <v>45535.0</v>
      </c>
      <c r="B132" s="274"/>
      <c r="C132" s="275" t="s">
        <v>1108</v>
      </c>
      <c r="D132" s="276">
        <v>60663.0</v>
      </c>
      <c r="E132" s="275" t="s">
        <v>1017</v>
      </c>
      <c r="F132" s="277" t="s">
        <v>1059</v>
      </c>
      <c r="G132" s="278" t="str">
        <f>IFNA(IF(VLOOKUP(RC_OUT[BLOCK],RC_IN[[BLOCK]:[BLOCK LOC]],2,FALSE)=0,"",VLOOKUP(RC_OUT[BLOCK],RC_IN[[BLOCK]:[BLOCK LOC]],2,FALSE)),"")</f>
        <v/>
      </c>
      <c r="I132" s="263" t="str">
        <f>IFERROR(AVERAGEIFS(RC_IN[MC],RC_IN[BLOCK],RC_OUT[BLOCK]),"")</f>
        <v/>
      </c>
      <c r="J132" s="264">
        <f t="shared" si="1"/>
        <v>0</v>
      </c>
      <c r="K132" s="246"/>
      <c r="L132" s="246"/>
      <c r="M132" s="249" t="str">
        <f t="shared" si="2"/>
        <v/>
      </c>
      <c r="N132" s="266">
        <f t="shared" si="3"/>
        <v>0</v>
      </c>
      <c r="O132" s="247"/>
      <c r="P132" s="247"/>
      <c r="Q132" s="247"/>
      <c r="R132" s="247"/>
      <c r="S132" s="247"/>
      <c r="T132" s="247"/>
      <c r="U132" s="247"/>
      <c r="V132" s="247"/>
      <c r="W132" s="247"/>
      <c r="X132" s="247"/>
    </row>
    <row r="133">
      <c r="A133" s="273">
        <v>45535.0</v>
      </c>
      <c r="B133" s="274"/>
      <c r="C133" s="275" t="s">
        <v>1109</v>
      </c>
      <c r="D133" s="276">
        <v>60615.0</v>
      </c>
      <c r="E133" s="275" t="s">
        <v>1017</v>
      </c>
      <c r="F133" s="277" t="s">
        <v>1059</v>
      </c>
      <c r="G133" s="278" t="str">
        <f>IFNA(IF(VLOOKUP(RC_OUT[BLOCK],RC_IN[[BLOCK]:[BLOCK LOC]],2,FALSE)=0,"",VLOOKUP(RC_OUT[BLOCK],RC_IN[[BLOCK]:[BLOCK LOC]],2,FALSE)),"")</f>
        <v/>
      </c>
      <c r="I133" s="263" t="str">
        <f>IFERROR(AVERAGEIFS(RC_IN[MC],RC_IN[BLOCK],RC_OUT[BLOCK]),"")</f>
        <v/>
      </c>
      <c r="J133" s="264">
        <f t="shared" si="1"/>
        <v>0</v>
      </c>
      <c r="K133" s="246"/>
      <c r="L133" s="246"/>
      <c r="M133" s="249" t="str">
        <f t="shared" si="2"/>
        <v/>
      </c>
      <c r="N133" s="266">
        <f t="shared" si="3"/>
        <v>0</v>
      </c>
      <c r="O133" s="247"/>
      <c r="P133" s="247"/>
      <c r="Q133" s="247"/>
      <c r="R133" s="247"/>
      <c r="S133" s="247"/>
      <c r="T133" s="247"/>
      <c r="U133" s="247"/>
      <c r="V133" s="247"/>
      <c r="W133" s="247"/>
      <c r="X133" s="247"/>
    </row>
    <row r="134">
      <c r="A134" s="273">
        <v>45535.0</v>
      </c>
      <c r="B134" s="274"/>
      <c r="C134" s="275" t="s">
        <v>1110</v>
      </c>
      <c r="D134" s="276">
        <v>64916.0</v>
      </c>
      <c r="E134" s="275" t="s">
        <v>1017</v>
      </c>
      <c r="F134" s="277" t="s">
        <v>1059</v>
      </c>
      <c r="G134" s="278" t="str">
        <f>IFNA(IF(VLOOKUP(RC_OUT[BLOCK],RC_IN[[BLOCK]:[BLOCK LOC]],2,FALSE)=0,"",VLOOKUP(RC_OUT[BLOCK],RC_IN[[BLOCK]:[BLOCK LOC]],2,FALSE)),"")</f>
        <v/>
      </c>
      <c r="I134" s="263" t="str">
        <f>IFERROR(AVERAGEIFS(RC_IN[MC],RC_IN[BLOCK],RC_OUT[BLOCK]),"")</f>
        <v/>
      </c>
      <c r="J134" s="264">
        <f t="shared" si="1"/>
        <v>0</v>
      </c>
      <c r="K134" s="246"/>
      <c r="L134" s="246"/>
      <c r="M134" s="249" t="str">
        <f t="shared" si="2"/>
        <v/>
      </c>
      <c r="N134" s="266">
        <f t="shared" si="3"/>
        <v>0</v>
      </c>
      <c r="O134" s="247"/>
      <c r="P134" s="247"/>
      <c r="Q134" s="247"/>
      <c r="R134" s="247"/>
      <c r="S134" s="247"/>
      <c r="T134" s="247"/>
      <c r="U134" s="247"/>
      <c r="V134" s="247"/>
      <c r="W134" s="247"/>
      <c r="X134" s="247"/>
    </row>
    <row r="135">
      <c r="A135" s="273">
        <v>45545.0</v>
      </c>
      <c r="B135" s="274"/>
      <c r="C135" s="275" t="s">
        <v>1111</v>
      </c>
      <c r="D135" s="276">
        <v>17110.0</v>
      </c>
      <c r="E135" s="275" t="s">
        <v>1017</v>
      </c>
      <c r="F135" s="279"/>
      <c r="G135" s="278" t="str">
        <f>IFNA(IF(VLOOKUP(RC_OUT[BLOCK],RC_IN[[BLOCK]:[BLOCK LOC]],2,FALSE)=0,"",VLOOKUP(RC_OUT[BLOCK],RC_IN[[BLOCK]:[BLOCK LOC]],2,FALSE)),"")</f>
        <v/>
      </c>
      <c r="I135" s="263" t="str">
        <f>IFERROR(AVERAGEIFS(RC_IN[MC],RC_IN[BLOCK],RC_OUT[BLOCK]),"")</f>
        <v/>
      </c>
      <c r="J135" s="264">
        <f t="shared" si="1"/>
        <v>0</v>
      </c>
      <c r="K135" s="246"/>
      <c r="L135" s="246"/>
      <c r="M135" s="249" t="str">
        <f t="shared" si="2"/>
        <v/>
      </c>
      <c r="N135" s="266">
        <f t="shared" si="3"/>
        <v>0</v>
      </c>
      <c r="O135" s="247"/>
      <c r="P135" s="247"/>
      <c r="Q135" s="247"/>
      <c r="R135" s="247"/>
      <c r="S135" s="247"/>
      <c r="T135" s="247"/>
      <c r="U135" s="247"/>
      <c r="V135" s="247"/>
      <c r="W135" s="247"/>
      <c r="X135" s="247"/>
    </row>
    <row r="136">
      <c r="A136" s="273">
        <v>45545.0</v>
      </c>
      <c r="B136" s="274"/>
      <c r="C136" s="275" t="s">
        <v>1102</v>
      </c>
      <c r="D136" s="276">
        <v>7040.0</v>
      </c>
      <c r="E136" s="275" t="s">
        <v>1017</v>
      </c>
      <c r="F136" s="277" t="s">
        <v>1059</v>
      </c>
      <c r="G136" s="278" t="str">
        <f>IFNA(IF(VLOOKUP(RC_OUT[BLOCK],RC_IN[[BLOCK]:[BLOCK LOC]],2,FALSE)=0,"",VLOOKUP(RC_OUT[BLOCK],RC_IN[[BLOCK]:[BLOCK LOC]],2,FALSE)),"")</f>
        <v/>
      </c>
      <c r="I136" s="263" t="str">
        <f>IFERROR(AVERAGEIFS(RC_IN[MC],RC_IN[BLOCK],RC_OUT[BLOCK]),"")</f>
        <v/>
      </c>
      <c r="J136" s="264">
        <f t="shared" si="1"/>
        <v>0</v>
      </c>
      <c r="K136" s="246"/>
      <c r="L136" s="246"/>
      <c r="M136" s="249" t="str">
        <f t="shared" si="2"/>
        <v/>
      </c>
      <c r="N136" s="266">
        <f t="shared" si="3"/>
        <v>0</v>
      </c>
      <c r="O136" s="247"/>
      <c r="P136" s="247"/>
      <c r="Q136" s="247"/>
      <c r="R136" s="247"/>
      <c r="S136" s="247"/>
      <c r="T136" s="247"/>
      <c r="U136" s="247"/>
      <c r="V136" s="247"/>
      <c r="W136" s="247"/>
      <c r="X136" s="247"/>
    </row>
    <row r="137">
      <c r="A137" s="273">
        <v>45545.0</v>
      </c>
      <c r="B137" s="274"/>
      <c r="C137" s="275" t="s">
        <v>1112</v>
      </c>
      <c r="D137" s="276">
        <v>60714.0</v>
      </c>
      <c r="E137" s="275" t="s">
        <v>1017</v>
      </c>
      <c r="F137" s="277" t="s">
        <v>1059</v>
      </c>
      <c r="G137" s="278" t="str">
        <f>IFNA(IF(VLOOKUP(RC_OUT[BLOCK],RC_IN[[BLOCK]:[BLOCK LOC]],2,FALSE)=0,"",VLOOKUP(RC_OUT[BLOCK],RC_IN[[BLOCK]:[BLOCK LOC]],2,FALSE)),"")</f>
        <v/>
      </c>
      <c r="I137" s="263" t="str">
        <f>IFERROR(AVERAGEIFS(RC_IN[MC],RC_IN[BLOCK],RC_OUT[BLOCK]),"")</f>
        <v/>
      </c>
      <c r="J137" s="264">
        <f t="shared" si="1"/>
        <v>0</v>
      </c>
      <c r="K137" s="246"/>
      <c r="L137" s="246"/>
      <c r="M137" s="249" t="str">
        <f t="shared" si="2"/>
        <v/>
      </c>
      <c r="N137" s="266">
        <f t="shared" si="3"/>
        <v>0</v>
      </c>
      <c r="O137" s="247"/>
      <c r="P137" s="247"/>
      <c r="Q137" s="247"/>
      <c r="R137" s="247"/>
      <c r="S137" s="247"/>
      <c r="T137" s="247"/>
      <c r="U137" s="247"/>
      <c r="V137" s="247"/>
      <c r="W137" s="247"/>
      <c r="X137" s="247"/>
    </row>
    <row r="138">
      <c r="A138" s="273">
        <v>45545.0</v>
      </c>
      <c r="B138" s="274"/>
      <c r="C138" s="275" t="s">
        <v>1113</v>
      </c>
      <c r="D138" s="276">
        <v>65285.0</v>
      </c>
      <c r="E138" s="275" t="s">
        <v>1017</v>
      </c>
      <c r="F138" s="277" t="s">
        <v>1059</v>
      </c>
      <c r="G138" s="278" t="str">
        <f>IFNA(IF(VLOOKUP(RC_OUT[BLOCK],RC_IN[[BLOCK]:[BLOCK LOC]],2,FALSE)=0,"",VLOOKUP(RC_OUT[BLOCK],RC_IN[[BLOCK]:[BLOCK LOC]],2,FALSE)),"")</f>
        <v/>
      </c>
      <c r="I138" s="263" t="str">
        <f>IFERROR(AVERAGEIFS(RC_IN[MC],RC_IN[BLOCK],RC_OUT[BLOCK]),"")</f>
        <v/>
      </c>
      <c r="J138" s="264">
        <f t="shared" si="1"/>
        <v>0</v>
      </c>
      <c r="K138" s="246"/>
      <c r="L138" s="246"/>
      <c r="M138" s="249" t="str">
        <f t="shared" si="2"/>
        <v/>
      </c>
      <c r="N138" s="266">
        <f t="shared" si="3"/>
        <v>0</v>
      </c>
      <c r="O138" s="247"/>
      <c r="P138" s="247"/>
      <c r="Q138" s="247"/>
      <c r="R138" s="247"/>
      <c r="S138" s="247"/>
      <c r="T138" s="247"/>
      <c r="U138" s="247"/>
      <c r="V138" s="247"/>
      <c r="W138" s="247"/>
      <c r="X138" s="247"/>
    </row>
    <row r="139">
      <c r="A139" s="273">
        <v>45545.0</v>
      </c>
      <c r="B139" s="274"/>
      <c r="C139" s="275" t="s">
        <v>1104</v>
      </c>
      <c r="D139" s="276">
        <v>53777.0</v>
      </c>
      <c r="E139" s="275" t="s">
        <v>1017</v>
      </c>
      <c r="F139" s="277" t="s">
        <v>1059</v>
      </c>
      <c r="G139" s="278" t="str">
        <f>IFNA(IF(VLOOKUP(RC_OUT[BLOCK],RC_IN[[BLOCK]:[BLOCK LOC]],2,FALSE)=0,"",VLOOKUP(RC_OUT[BLOCK],RC_IN[[BLOCK]:[BLOCK LOC]],2,FALSE)),"")</f>
        <v/>
      </c>
      <c r="I139" s="263" t="str">
        <f>IFERROR(AVERAGEIFS(RC_IN[MC],RC_IN[BLOCK],RC_OUT[BLOCK]),"")</f>
        <v/>
      </c>
      <c r="J139" s="264">
        <f t="shared" si="1"/>
        <v>0</v>
      </c>
      <c r="K139" s="246"/>
      <c r="L139" s="246"/>
      <c r="M139" s="249" t="str">
        <f t="shared" si="2"/>
        <v/>
      </c>
      <c r="N139" s="266">
        <f t="shared" si="3"/>
        <v>0</v>
      </c>
      <c r="O139" s="247"/>
      <c r="P139" s="247"/>
      <c r="Q139" s="247"/>
      <c r="R139" s="247"/>
      <c r="S139" s="247"/>
      <c r="T139" s="247"/>
      <c r="U139" s="247"/>
      <c r="V139" s="247"/>
      <c r="W139" s="247"/>
      <c r="X139" s="247"/>
    </row>
    <row r="140">
      <c r="A140" s="273">
        <v>45545.0</v>
      </c>
      <c r="B140" s="274"/>
      <c r="C140" s="275" t="s">
        <v>1114</v>
      </c>
      <c r="D140" s="276">
        <v>40244.0</v>
      </c>
      <c r="E140" s="275" t="s">
        <v>1017</v>
      </c>
      <c r="F140" s="277" t="s">
        <v>1059</v>
      </c>
      <c r="G140" s="278" t="str">
        <f>IFNA(IF(VLOOKUP(RC_OUT[BLOCK],RC_IN[[BLOCK]:[BLOCK LOC]],2,FALSE)=0,"",VLOOKUP(RC_OUT[BLOCK],RC_IN[[BLOCK]:[BLOCK LOC]],2,FALSE)),"")</f>
        <v/>
      </c>
      <c r="I140" s="263" t="str">
        <f>IFERROR(AVERAGEIFS(RC_IN[MC],RC_IN[BLOCK],RC_OUT[BLOCK]),"")</f>
        <v/>
      </c>
      <c r="J140" s="264">
        <f t="shared" si="1"/>
        <v>0</v>
      </c>
      <c r="K140" s="246"/>
      <c r="L140" s="246"/>
      <c r="M140" s="249" t="str">
        <f t="shared" si="2"/>
        <v/>
      </c>
      <c r="N140" s="266">
        <f t="shared" si="3"/>
        <v>0</v>
      </c>
      <c r="O140" s="247"/>
      <c r="P140" s="247"/>
      <c r="Q140" s="247"/>
      <c r="R140" s="247"/>
      <c r="S140" s="247"/>
      <c r="T140" s="247"/>
      <c r="U140" s="247"/>
      <c r="V140" s="247"/>
      <c r="W140" s="247"/>
      <c r="X140" s="247"/>
    </row>
    <row r="141">
      <c r="A141" s="273">
        <v>45545.0</v>
      </c>
      <c r="B141" s="274"/>
      <c r="C141" s="275" t="s">
        <v>1115</v>
      </c>
      <c r="D141" s="276">
        <v>19814.0</v>
      </c>
      <c r="E141" s="275" t="s">
        <v>1017</v>
      </c>
      <c r="F141" s="279"/>
      <c r="G141" s="278" t="str">
        <f>IFNA(IF(VLOOKUP(RC_OUT[BLOCK],RC_IN[[BLOCK]:[BLOCK LOC]],2,FALSE)=0,"",VLOOKUP(RC_OUT[BLOCK],RC_IN[[BLOCK]:[BLOCK LOC]],2,FALSE)),"")</f>
        <v/>
      </c>
      <c r="I141" s="263" t="str">
        <f>IFERROR(AVERAGEIFS(RC_IN[MC],RC_IN[BLOCK],RC_OUT[BLOCK]),"")</f>
        <v/>
      </c>
      <c r="J141" s="264">
        <f t="shared" si="1"/>
        <v>0</v>
      </c>
      <c r="K141" s="246"/>
      <c r="L141" s="246"/>
      <c r="M141" s="249" t="str">
        <f t="shared" si="2"/>
        <v/>
      </c>
      <c r="N141" s="266">
        <f t="shared" si="3"/>
        <v>0</v>
      </c>
      <c r="O141" s="247"/>
      <c r="P141" s="247"/>
      <c r="Q141" s="247"/>
      <c r="R141" s="247"/>
      <c r="S141" s="247"/>
      <c r="T141" s="247"/>
      <c r="U141" s="247"/>
      <c r="V141" s="247"/>
      <c r="W141" s="247"/>
      <c r="X141" s="247"/>
    </row>
    <row r="142">
      <c r="A142" s="273">
        <v>45545.0</v>
      </c>
      <c r="B142" s="274"/>
      <c r="C142" s="275" t="s">
        <v>1116</v>
      </c>
      <c r="D142" s="276">
        <v>17266.0</v>
      </c>
      <c r="E142" s="275" t="s">
        <v>1017</v>
      </c>
      <c r="F142" s="279"/>
      <c r="G142" s="278" t="str">
        <f>IFNA(IF(VLOOKUP(RC_OUT[BLOCK],RC_IN[[BLOCK]:[BLOCK LOC]],2,FALSE)=0,"",VLOOKUP(RC_OUT[BLOCK],RC_IN[[BLOCK]:[BLOCK LOC]],2,FALSE)),"")</f>
        <v/>
      </c>
      <c r="I142" s="263" t="str">
        <f>IFERROR(AVERAGEIFS(RC_IN[MC],RC_IN[BLOCK],RC_OUT[BLOCK]),"")</f>
        <v/>
      </c>
      <c r="J142" s="264">
        <f t="shared" si="1"/>
        <v>0</v>
      </c>
      <c r="K142" s="246"/>
      <c r="L142" s="246"/>
      <c r="M142" s="249" t="str">
        <f t="shared" si="2"/>
        <v/>
      </c>
      <c r="N142" s="266">
        <f t="shared" si="3"/>
        <v>0</v>
      </c>
      <c r="O142" s="247"/>
      <c r="P142" s="247"/>
      <c r="Q142" s="247"/>
      <c r="R142" s="247"/>
      <c r="S142" s="247"/>
      <c r="T142" s="247"/>
      <c r="U142" s="247"/>
      <c r="V142" s="247"/>
      <c r="W142" s="247"/>
      <c r="X142" s="247"/>
    </row>
    <row r="143">
      <c r="A143" s="273">
        <v>45545.0</v>
      </c>
      <c r="B143" s="274"/>
      <c r="C143" s="275" t="s">
        <v>1107</v>
      </c>
      <c r="D143" s="276">
        <v>14399.0</v>
      </c>
      <c r="E143" s="275" t="s">
        <v>1017</v>
      </c>
      <c r="F143" s="277" t="s">
        <v>1059</v>
      </c>
      <c r="G143" s="278" t="str">
        <f>IFNA(IF(VLOOKUP(RC_OUT[BLOCK],RC_IN[[BLOCK]:[BLOCK LOC]],2,FALSE)=0,"",VLOOKUP(RC_OUT[BLOCK],RC_IN[[BLOCK]:[BLOCK LOC]],2,FALSE)),"")</f>
        <v/>
      </c>
      <c r="I143" s="263" t="str">
        <f>IFERROR(AVERAGEIFS(RC_IN[MC],RC_IN[BLOCK],RC_OUT[BLOCK]),"")</f>
        <v/>
      </c>
      <c r="J143" s="264">
        <f t="shared" si="1"/>
        <v>0</v>
      </c>
      <c r="K143" s="246"/>
      <c r="L143" s="246"/>
      <c r="M143" s="249" t="str">
        <f t="shared" si="2"/>
        <v/>
      </c>
      <c r="N143" s="266">
        <f t="shared" si="3"/>
        <v>0</v>
      </c>
      <c r="O143" s="247"/>
      <c r="P143" s="247"/>
      <c r="Q143" s="247"/>
      <c r="R143" s="247"/>
      <c r="S143" s="247"/>
      <c r="T143" s="247"/>
      <c r="U143" s="247"/>
      <c r="V143" s="247"/>
      <c r="W143" s="247"/>
      <c r="X143" s="247"/>
    </row>
    <row r="144">
      <c r="A144" s="273">
        <v>45546.0</v>
      </c>
      <c r="B144" s="274"/>
      <c r="C144" s="275" t="s">
        <v>1117</v>
      </c>
      <c r="D144" s="276">
        <v>13688.0</v>
      </c>
      <c r="E144" s="275" t="s">
        <v>1017</v>
      </c>
      <c r="F144" s="279"/>
      <c r="G144" s="278" t="str">
        <f>IFNA(IF(VLOOKUP(RC_OUT[BLOCK],RC_IN[[BLOCK]:[BLOCK LOC]],2,FALSE)=0,"",VLOOKUP(RC_OUT[BLOCK],RC_IN[[BLOCK]:[BLOCK LOC]],2,FALSE)),"")</f>
        <v/>
      </c>
      <c r="I144" s="263" t="str">
        <f>IFERROR(AVERAGEIFS(RC_IN[MC],RC_IN[BLOCK],RC_OUT[BLOCK]),"")</f>
        <v/>
      </c>
      <c r="J144" s="264">
        <f t="shared" si="1"/>
        <v>0</v>
      </c>
      <c r="K144" s="246"/>
      <c r="L144" s="246"/>
      <c r="M144" s="249" t="str">
        <f t="shared" si="2"/>
        <v/>
      </c>
      <c r="N144" s="266">
        <f t="shared" si="3"/>
        <v>0</v>
      </c>
      <c r="O144" s="247"/>
      <c r="P144" s="247"/>
      <c r="Q144" s="247"/>
      <c r="R144" s="247"/>
      <c r="S144" s="247"/>
      <c r="T144" s="247"/>
      <c r="U144" s="247"/>
      <c r="V144" s="247"/>
      <c r="W144" s="247"/>
      <c r="X144" s="247"/>
    </row>
    <row r="145">
      <c r="A145" s="273">
        <v>45546.0</v>
      </c>
      <c r="B145" s="274"/>
      <c r="C145" s="275" t="s">
        <v>1111</v>
      </c>
      <c r="D145" s="276">
        <v>1491.0</v>
      </c>
      <c r="E145" s="275" t="s">
        <v>1017</v>
      </c>
      <c r="F145" s="277" t="s">
        <v>1059</v>
      </c>
      <c r="G145" s="278" t="str">
        <f>IFNA(IF(VLOOKUP(RC_OUT[BLOCK],RC_IN[[BLOCK]:[BLOCK LOC]],2,FALSE)=0,"",VLOOKUP(RC_OUT[BLOCK],RC_IN[[BLOCK]:[BLOCK LOC]],2,FALSE)),"")</f>
        <v/>
      </c>
      <c r="I145" s="263" t="str">
        <f>IFERROR(AVERAGEIFS(RC_IN[MC],RC_IN[BLOCK],RC_OUT[BLOCK]),"")</f>
        <v/>
      </c>
      <c r="J145" s="264">
        <f t="shared" si="1"/>
        <v>0</v>
      </c>
      <c r="K145" s="246"/>
      <c r="L145" s="246"/>
      <c r="M145" s="249" t="str">
        <f t="shared" si="2"/>
        <v/>
      </c>
      <c r="N145" s="266">
        <f t="shared" si="3"/>
        <v>0</v>
      </c>
      <c r="O145" s="247"/>
      <c r="P145" s="247"/>
      <c r="Q145" s="247"/>
      <c r="R145" s="247"/>
      <c r="S145" s="247"/>
      <c r="T145" s="247"/>
      <c r="U145" s="247"/>
      <c r="V145" s="247"/>
      <c r="W145" s="247"/>
      <c r="X145" s="247"/>
    </row>
    <row r="146">
      <c r="A146" s="273">
        <v>45546.0</v>
      </c>
      <c r="B146" s="274"/>
      <c r="C146" s="275" t="s">
        <v>1115</v>
      </c>
      <c r="D146" s="276">
        <v>11614.0</v>
      </c>
      <c r="E146" s="275" t="s">
        <v>1017</v>
      </c>
      <c r="F146" s="279"/>
      <c r="G146" s="278" t="str">
        <f>IFNA(IF(VLOOKUP(RC_OUT[BLOCK],RC_IN[[BLOCK]:[BLOCK LOC]],2,FALSE)=0,"",VLOOKUP(RC_OUT[BLOCK],RC_IN[[BLOCK]:[BLOCK LOC]],2,FALSE)),"")</f>
        <v/>
      </c>
      <c r="I146" s="263" t="str">
        <f>IFERROR(AVERAGEIFS(RC_IN[MC],RC_IN[BLOCK],RC_OUT[BLOCK]),"")</f>
        <v/>
      </c>
      <c r="J146" s="264">
        <f t="shared" si="1"/>
        <v>0</v>
      </c>
      <c r="K146" s="246"/>
      <c r="L146" s="246"/>
      <c r="M146" s="249" t="str">
        <f t="shared" si="2"/>
        <v/>
      </c>
      <c r="N146" s="266">
        <f t="shared" si="3"/>
        <v>0</v>
      </c>
      <c r="O146" s="247"/>
      <c r="P146" s="247"/>
      <c r="Q146" s="247"/>
      <c r="R146" s="247"/>
      <c r="S146" s="247"/>
      <c r="T146" s="247"/>
      <c r="U146" s="247"/>
      <c r="V146" s="247"/>
      <c r="W146" s="247"/>
      <c r="X146" s="247"/>
    </row>
    <row r="147">
      <c r="A147" s="273">
        <v>45546.0</v>
      </c>
      <c r="B147" s="274"/>
      <c r="C147" s="275" t="s">
        <v>1116</v>
      </c>
      <c r="D147" s="276">
        <v>3095.0</v>
      </c>
      <c r="E147" s="275" t="s">
        <v>1017</v>
      </c>
      <c r="F147" s="279"/>
      <c r="G147" s="278" t="str">
        <f>IFNA(IF(VLOOKUP(RC_OUT[BLOCK],RC_IN[[BLOCK]:[BLOCK LOC]],2,FALSE)=0,"",VLOOKUP(RC_OUT[BLOCK],RC_IN[[BLOCK]:[BLOCK LOC]],2,FALSE)),"")</f>
        <v/>
      </c>
      <c r="I147" s="263" t="str">
        <f>IFERROR(AVERAGEIFS(RC_IN[MC],RC_IN[BLOCK],RC_OUT[BLOCK]),"")</f>
        <v/>
      </c>
      <c r="J147" s="264">
        <f t="shared" si="1"/>
        <v>0</v>
      </c>
      <c r="K147" s="246"/>
      <c r="L147" s="246"/>
      <c r="M147" s="249" t="str">
        <f t="shared" si="2"/>
        <v/>
      </c>
      <c r="N147" s="266">
        <f t="shared" si="3"/>
        <v>0</v>
      </c>
      <c r="O147" s="247"/>
      <c r="P147" s="247"/>
      <c r="Q147" s="247"/>
      <c r="R147" s="247"/>
      <c r="S147" s="247"/>
      <c r="T147" s="247"/>
      <c r="U147" s="247"/>
      <c r="V147" s="247"/>
      <c r="W147" s="247"/>
      <c r="X147" s="247"/>
    </row>
    <row r="148">
      <c r="A148" s="273">
        <v>45547.0</v>
      </c>
      <c r="B148" s="274"/>
      <c r="C148" s="275" t="s">
        <v>1117</v>
      </c>
      <c r="D148" s="276">
        <v>10860.0</v>
      </c>
      <c r="E148" s="275" t="s">
        <v>1017</v>
      </c>
      <c r="F148" s="279"/>
      <c r="G148" s="278" t="str">
        <f>IFNA(IF(VLOOKUP(RC_OUT[BLOCK],RC_IN[[BLOCK]:[BLOCK LOC]],2,FALSE)=0,"",VLOOKUP(RC_OUT[BLOCK],RC_IN[[BLOCK]:[BLOCK LOC]],2,FALSE)),"")</f>
        <v/>
      </c>
      <c r="I148" s="263" t="str">
        <f>IFERROR(AVERAGEIFS(RC_IN[MC],RC_IN[BLOCK],RC_OUT[BLOCK]),"")</f>
        <v/>
      </c>
      <c r="J148" s="264">
        <f t="shared" si="1"/>
        <v>0</v>
      </c>
      <c r="K148" s="246"/>
      <c r="L148" s="246"/>
      <c r="M148" s="249" t="str">
        <f t="shared" si="2"/>
        <v/>
      </c>
      <c r="N148" s="266">
        <f t="shared" si="3"/>
        <v>0</v>
      </c>
      <c r="O148" s="247"/>
      <c r="P148" s="247"/>
      <c r="Q148" s="247"/>
      <c r="R148" s="247"/>
      <c r="S148" s="247"/>
      <c r="T148" s="247"/>
      <c r="U148" s="247"/>
      <c r="V148" s="247"/>
      <c r="W148" s="247"/>
      <c r="X148" s="247"/>
    </row>
    <row r="149">
      <c r="A149" s="273">
        <v>45547.0</v>
      </c>
      <c r="B149" s="274"/>
      <c r="C149" s="275" t="s">
        <v>1115</v>
      </c>
      <c r="D149" s="276">
        <v>7192.0</v>
      </c>
      <c r="E149" s="275" t="s">
        <v>1017</v>
      </c>
      <c r="F149" s="279"/>
      <c r="G149" s="278" t="str">
        <f>IFNA(IF(VLOOKUP(RC_OUT[BLOCK],RC_IN[[BLOCK]:[BLOCK LOC]],2,FALSE)=0,"",VLOOKUP(RC_OUT[BLOCK],RC_IN[[BLOCK]:[BLOCK LOC]],2,FALSE)),"")</f>
        <v/>
      </c>
      <c r="I149" s="263" t="str">
        <f>IFERROR(AVERAGEIFS(RC_IN[MC],RC_IN[BLOCK],RC_OUT[BLOCK]),"")</f>
        <v/>
      </c>
      <c r="J149" s="264">
        <f t="shared" si="1"/>
        <v>0</v>
      </c>
      <c r="K149" s="246"/>
      <c r="L149" s="246"/>
      <c r="M149" s="249" t="str">
        <f t="shared" si="2"/>
        <v/>
      </c>
      <c r="N149" s="266">
        <f t="shared" si="3"/>
        <v>0</v>
      </c>
      <c r="O149" s="247"/>
      <c r="P149" s="247"/>
      <c r="Q149" s="247"/>
      <c r="R149" s="247"/>
      <c r="S149" s="247"/>
      <c r="T149" s="247"/>
      <c r="U149" s="247"/>
      <c r="V149" s="247"/>
      <c r="W149" s="247"/>
      <c r="X149" s="247"/>
    </row>
    <row r="150">
      <c r="A150" s="273">
        <v>45547.0</v>
      </c>
      <c r="B150" s="274"/>
      <c r="C150" s="275" t="s">
        <v>1116</v>
      </c>
      <c r="D150" s="276">
        <v>2011.0</v>
      </c>
      <c r="E150" s="275" t="s">
        <v>1017</v>
      </c>
      <c r="F150" s="279"/>
      <c r="G150" s="278" t="str">
        <f>IFNA(IF(VLOOKUP(RC_OUT[BLOCK],RC_IN[[BLOCK]:[BLOCK LOC]],2,FALSE)=0,"",VLOOKUP(RC_OUT[BLOCK],RC_IN[[BLOCK]:[BLOCK LOC]],2,FALSE)),"")</f>
        <v/>
      </c>
      <c r="I150" s="263" t="str">
        <f>IFERROR(AVERAGEIFS(RC_IN[MC],RC_IN[BLOCK],RC_OUT[BLOCK]),"")</f>
        <v/>
      </c>
      <c r="J150" s="264">
        <f t="shared" si="1"/>
        <v>0</v>
      </c>
      <c r="K150" s="246"/>
      <c r="L150" s="246"/>
      <c r="M150" s="249" t="str">
        <f t="shared" si="2"/>
        <v/>
      </c>
      <c r="N150" s="266">
        <f t="shared" si="3"/>
        <v>0</v>
      </c>
      <c r="O150" s="247"/>
      <c r="P150" s="247"/>
      <c r="Q150" s="247"/>
      <c r="R150" s="247"/>
      <c r="S150" s="247"/>
      <c r="T150" s="247"/>
      <c r="U150" s="247"/>
      <c r="V150" s="247"/>
      <c r="W150" s="247"/>
      <c r="X150" s="247"/>
    </row>
    <row r="151">
      <c r="A151" s="273">
        <v>45548.0</v>
      </c>
      <c r="B151" s="274"/>
      <c r="C151" s="275" t="s">
        <v>1117</v>
      </c>
      <c r="D151" s="276">
        <v>20260.0</v>
      </c>
      <c r="E151" s="275" t="s">
        <v>1017</v>
      </c>
      <c r="F151" s="279"/>
      <c r="G151" s="278" t="str">
        <f>IFNA(IF(VLOOKUP(RC_OUT[BLOCK],RC_IN[[BLOCK]:[BLOCK LOC]],2,FALSE)=0,"",VLOOKUP(RC_OUT[BLOCK],RC_IN[[BLOCK]:[BLOCK LOC]],2,FALSE)),"")</f>
        <v/>
      </c>
      <c r="I151" s="263" t="str">
        <f>IFERROR(AVERAGEIFS(RC_IN[MC],RC_IN[BLOCK],RC_OUT[BLOCK]),"")</f>
        <v/>
      </c>
      <c r="J151" s="264">
        <f t="shared" si="1"/>
        <v>0</v>
      </c>
      <c r="K151" s="246"/>
      <c r="L151" s="246"/>
      <c r="M151" s="249" t="str">
        <f t="shared" si="2"/>
        <v/>
      </c>
      <c r="N151" s="266">
        <f t="shared" si="3"/>
        <v>0</v>
      </c>
      <c r="O151" s="247"/>
      <c r="P151" s="247"/>
      <c r="Q151" s="247"/>
      <c r="R151" s="247"/>
      <c r="S151" s="247"/>
      <c r="T151" s="247"/>
      <c r="U151" s="247"/>
      <c r="V151" s="247"/>
      <c r="W151" s="247"/>
      <c r="X151" s="247"/>
    </row>
    <row r="152">
      <c r="A152" s="273">
        <v>45548.0</v>
      </c>
      <c r="B152" s="274"/>
      <c r="C152" s="275" t="s">
        <v>1115</v>
      </c>
      <c r="D152" s="276">
        <v>10046.0</v>
      </c>
      <c r="E152" s="275" t="s">
        <v>1017</v>
      </c>
      <c r="F152" s="277" t="s">
        <v>1059</v>
      </c>
      <c r="G152" s="278" t="str">
        <f>IFNA(IF(VLOOKUP(RC_OUT[BLOCK],RC_IN[[BLOCK]:[BLOCK LOC]],2,FALSE)=0,"",VLOOKUP(RC_OUT[BLOCK],RC_IN[[BLOCK]:[BLOCK LOC]],2,FALSE)),"")</f>
        <v/>
      </c>
      <c r="I152" s="263" t="str">
        <f>IFERROR(AVERAGEIFS(RC_IN[MC],RC_IN[BLOCK],RC_OUT[BLOCK]),"")</f>
        <v/>
      </c>
      <c r="J152" s="264">
        <f t="shared" si="1"/>
        <v>0</v>
      </c>
      <c r="K152" s="246"/>
      <c r="L152" s="246"/>
      <c r="M152" s="249" t="str">
        <f t="shared" si="2"/>
        <v/>
      </c>
      <c r="N152" s="266">
        <f t="shared" si="3"/>
        <v>0</v>
      </c>
      <c r="O152" s="247"/>
      <c r="P152" s="247"/>
      <c r="Q152" s="247"/>
      <c r="R152" s="247"/>
      <c r="S152" s="247"/>
      <c r="T152" s="247"/>
      <c r="U152" s="247"/>
      <c r="V152" s="247"/>
      <c r="W152" s="247"/>
      <c r="X152" s="247"/>
    </row>
    <row r="153">
      <c r="A153" s="273">
        <v>45548.0</v>
      </c>
      <c r="B153" s="274"/>
      <c r="C153" s="275" t="s">
        <v>1118</v>
      </c>
      <c r="D153" s="276">
        <v>5686.0</v>
      </c>
      <c r="E153" s="275" t="s">
        <v>1017</v>
      </c>
      <c r="F153" s="279"/>
      <c r="G153" s="278" t="str">
        <f>IFNA(IF(VLOOKUP(RC_OUT[BLOCK],RC_IN[[BLOCK]:[BLOCK LOC]],2,FALSE)=0,"",VLOOKUP(RC_OUT[BLOCK],RC_IN[[BLOCK]:[BLOCK LOC]],2,FALSE)),"")</f>
        <v/>
      </c>
      <c r="I153" s="263" t="str">
        <f>IFERROR(AVERAGEIFS(RC_IN[MC],RC_IN[BLOCK],RC_OUT[BLOCK]),"")</f>
        <v/>
      </c>
      <c r="J153" s="264">
        <f t="shared" si="1"/>
        <v>0</v>
      </c>
      <c r="K153" s="246"/>
      <c r="L153" s="246"/>
      <c r="M153" s="249" t="str">
        <f t="shared" si="2"/>
        <v/>
      </c>
      <c r="N153" s="266">
        <f t="shared" si="3"/>
        <v>0</v>
      </c>
      <c r="O153" s="247"/>
      <c r="P153" s="247"/>
      <c r="Q153" s="247"/>
      <c r="R153" s="247"/>
      <c r="S153" s="247"/>
      <c r="T153" s="247"/>
      <c r="U153" s="247"/>
      <c r="V153" s="247"/>
      <c r="W153" s="247"/>
      <c r="X153" s="247"/>
    </row>
    <row r="154">
      <c r="A154" s="273">
        <v>45548.0</v>
      </c>
      <c r="B154" s="274"/>
      <c r="C154" s="275" t="s">
        <v>1116</v>
      </c>
      <c r="D154" s="276">
        <v>4114.0</v>
      </c>
      <c r="E154" s="275" t="s">
        <v>1017</v>
      </c>
      <c r="F154" s="279"/>
      <c r="G154" s="278" t="str">
        <f>IFNA(IF(VLOOKUP(RC_OUT[BLOCK],RC_IN[[BLOCK]:[BLOCK LOC]],2,FALSE)=0,"",VLOOKUP(RC_OUT[BLOCK],RC_IN[[BLOCK]:[BLOCK LOC]],2,FALSE)),"")</f>
        <v/>
      </c>
      <c r="I154" s="263" t="str">
        <f>IFERROR(AVERAGEIFS(RC_IN[MC],RC_IN[BLOCK],RC_OUT[BLOCK]),"")</f>
        <v/>
      </c>
      <c r="J154" s="264">
        <f t="shared" si="1"/>
        <v>0</v>
      </c>
      <c r="K154" s="246"/>
      <c r="L154" s="246"/>
      <c r="M154" s="249" t="str">
        <f t="shared" si="2"/>
        <v/>
      </c>
      <c r="N154" s="266">
        <f t="shared" si="3"/>
        <v>0</v>
      </c>
      <c r="O154" s="247"/>
      <c r="P154" s="247"/>
      <c r="Q154" s="247"/>
      <c r="R154" s="247"/>
      <c r="S154" s="247"/>
      <c r="T154" s="247"/>
      <c r="U154" s="247"/>
      <c r="V154" s="247"/>
      <c r="W154" s="247"/>
      <c r="X154" s="247"/>
    </row>
    <row r="155">
      <c r="A155" s="273">
        <v>45549.0</v>
      </c>
      <c r="B155" s="274"/>
      <c r="C155" s="275" t="s">
        <v>1117</v>
      </c>
      <c r="D155" s="276">
        <v>12774.0</v>
      </c>
      <c r="E155" s="275" t="s">
        <v>1017</v>
      </c>
      <c r="F155" s="277" t="s">
        <v>1059</v>
      </c>
      <c r="G155" s="278" t="str">
        <f>IFNA(IF(VLOOKUP(RC_OUT[BLOCK],RC_IN[[BLOCK]:[BLOCK LOC]],2,FALSE)=0,"",VLOOKUP(RC_OUT[BLOCK],RC_IN[[BLOCK]:[BLOCK LOC]],2,FALSE)),"")</f>
        <v/>
      </c>
      <c r="I155" s="263" t="str">
        <f>IFERROR(AVERAGEIFS(RC_IN[MC],RC_IN[BLOCK],RC_OUT[BLOCK]),"")</f>
        <v/>
      </c>
      <c r="J155" s="264">
        <f t="shared" si="1"/>
        <v>0</v>
      </c>
      <c r="K155" s="246"/>
      <c r="L155" s="246"/>
      <c r="M155" s="249" t="str">
        <f t="shared" si="2"/>
        <v/>
      </c>
      <c r="N155" s="266">
        <f t="shared" si="3"/>
        <v>0</v>
      </c>
      <c r="O155" s="247"/>
      <c r="P155" s="247"/>
      <c r="Q155" s="247"/>
      <c r="R155" s="247"/>
      <c r="S155" s="247"/>
      <c r="T155" s="247"/>
      <c r="U155" s="247"/>
      <c r="V155" s="247"/>
      <c r="W155" s="247"/>
      <c r="X155" s="247"/>
    </row>
    <row r="156">
      <c r="A156" s="273">
        <v>45549.0</v>
      </c>
      <c r="B156" s="274"/>
      <c r="C156" s="275" t="s">
        <v>1118</v>
      </c>
      <c r="D156" s="276">
        <v>15069.0</v>
      </c>
      <c r="E156" s="275" t="s">
        <v>1017</v>
      </c>
      <c r="F156" s="279"/>
      <c r="G156" s="278" t="str">
        <f>IFNA(IF(VLOOKUP(RC_OUT[BLOCK],RC_IN[[BLOCK]:[BLOCK LOC]],2,FALSE)=0,"",VLOOKUP(RC_OUT[BLOCK],RC_IN[[BLOCK]:[BLOCK LOC]],2,FALSE)),"")</f>
        <v/>
      </c>
      <c r="I156" s="263" t="str">
        <f>IFERROR(AVERAGEIFS(RC_IN[MC],RC_IN[BLOCK],RC_OUT[BLOCK]),"")</f>
        <v/>
      </c>
      <c r="J156" s="264">
        <f t="shared" si="1"/>
        <v>0</v>
      </c>
      <c r="K156" s="246"/>
      <c r="L156" s="246"/>
      <c r="M156" s="249" t="str">
        <f t="shared" si="2"/>
        <v/>
      </c>
      <c r="N156" s="266">
        <f t="shared" si="3"/>
        <v>0</v>
      </c>
      <c r="O156" s="247"/>
      <c r="P156" s="247"/>
      <c r="Q156" s="247"/>
      <c r="R156" s="247"/>
      <c r="S156" s="247"/>
      <c r="T156" s="247"/>
      <c r="U156" s="247"/>
      <c r="V156" s="247"/>
      <c r="W156" s="247"/>
      <c r="X156" s="247"/>
    </row>
    <row r="157">
      <c r="A157" s="273">
        <v>45549.0</v>
      </c>
      <c r="B157" s="274"/>
      <c r="C157" s="275" t="s">
        <v>1116</v>
      </c>
      <c r="D157" s="276">
        <v>4072.0</v>
      </c>
      <c r="E157" s="275" t="s">
        <v>1017</v>
      </c>
      <c r="F157" s="277" t="s">
        <v>1059</v>
      </c>
      <c r="G157" s="278" t="str">
        <f>IFNA(IF(VLOOKUP(RC_OUT[BLOCK],RC_IN[[BLOCK]:[BLOCK LOC]],2,FALSE)=0,"",VLOOKUP(RC_OUT[BLOCK],RC_IN[[BLOCK]:[BLOCK LOC]],2,FALSE)),"")</f>
        <v/>
      </c>
      <c r="I157" s="263" t="str">
        <f>IFERROR(AVERAGEIFS(RC_IN[MC],RC_IN[BLOCK],RC_OUT[BLOCK]),"")</f>
        <v/>
      </c>
      <c r="J157" s="264">
        <f t="shared" si="1"/>
        <v>0</v>
      </c>
      <c r="K157" s="246"/>
      <c r="L157" s="246"/>
      <c r="M157" s="249" t="str">
        <f t="shared" si="2"/>
        <v/>
      </c>
      <c r="N157" s="266">
        <f t="shared" si="3"/>
        <v>0</v>
      </c>
      <c r="O157" s="247"/>
      <c r="P157" s="247"/>
      <c r="Q157" s="247"/>
      <c r="R157" s="247"/>
      <c r="S157" s="247"/>
      <c r="T157" s="247"/>
      <c r="U157" s="247"/>
      <c r="V157" s="247"/>
      <c r="W157" s="247"/>
      <c r="X157" s="247"/>
    </row>
    <row r="158">
      <c r="A158" s="273">
        <v>45551.0</v>
      </c>
      <c r="B158" s="274"/>
      <c r="C158" s="275" t="s">
        <v>1118</v>
      </c>
      <c r="D158" s="276">
        <v>21116.0</v>
      </c>
      <c r="E158" s="275" t="s">
        <v>1017</v>
      </c>
      <c r="F158" s="279"/>
      <c r="G158" s="278" t="str">
        <f>IFNA(IF(VLOOKUP(RC_OUT[BLOCK],RC_IN[[BLOCK]:[BLOCK LOC]],2,FALSE)=0,"",VLOOKUP(RC_OUT[BLOCK],RC_IN[[BLOCK]:[BLOCK LOC]],2,FALSE)),"")</f>
        <v/>
      </c>
      <c r="I158" s="263" t="str">
        <f>IFERROR(AVERAGEIFS(RC_IN[MC],RC_IN[BLOCK],RC_OUT[BLOCK]),"")</f>
        <v/>
      </c>
      <c r="J158" s="264">
        <f t="shared" si="1"/>
        <v>0</v>
      </c>
      <c r="K158" s="246"/>
      <c r="L158" s="246"/>
      <c r="M158" s="249" t="str">
        <f t="shared" si="2"/>
        <v/>
      </c>
      <c r="N158" s="266">
        <f t="shared" si="3"/>
        <v>0</v>
      </c>
      <c r="O158" s="247"/>
      <c r="P158" s="247"/>
      <c r="Q158" s="247"/>
      <c r="R158" s="247"/>
      <c r="S158" s="247"/>
      <c r="T158" s="247"/>
      <c r="U158" s="247"/>
      <c r="V158" s="247"/>
      <c r="W158" s="247"/>
      <c r="X158" s="247"/>
    </row>
    <row r="159">
      <c r="A159" s="273">
        <v>45551.0</v>
      </c>
      <c r="B159" s="274"/>
      <c r="C159" s="275" t="s">
        <v>1119</v>
      </c>
      <c r="D159" s="276">
        <v>9696.0</v>
      </c>
      <c r="E159" s="275" t="s">
        <v>1017</v>
      </c>
      <c r="F159" s="279"/>
      <c r="G159" s="278" t="str">
        <f>IFNA(IF(VLOOKUP(RC_OUT[BLOCK],RC_IN[[BLOCK]:[BLOCK LOC]],2,FALSE)=0,"",VLOOKUP(RC_OUT[BLOCK],RC_IN[[BLOCK]:[BLOCK LOC]],2,FALSE)),"")</f>
        <v/>
      </c>
      <c r="I159" s="263" t="str">
        <f>IFERROR(AVERAGEIFS(RC_IN[MC],RC_IN[BLOCK],RC_OUT[BLOCK]),"")</f>
        <v/>
      </c>
      <c r="J159" s="264">
        <f t="shared" si="1"/>
        <v>0</v>
      </c>
      <c r="K159" s="246"/>
      <c r="L159" s="246"/>
      <c r="M159" s="249" t="str">
        <f t="shared" si="2"/>
        <v/>
      </c>
      <c r="N159" s="266">
        <f t="shared" si="3"/>
        <v>0</v>
      </c>
      <c r="O159" s="247"/>
      <c r="P159" s="247"/>
      <c r="Q159" s="247"/>
      <c r="R159" s="247"/>
      <c r="S159" s="247"/>
      <c r="T159" s="247"/>
      <c r="U159" s="247"/>
      <c r="V159" s="247"/>
      <c r="W159" s="247"/>
      <c r="X159" s="247"/>
    </row>
    <row r="160">
      <c r="A160" s="273">
        <v>45552.0</v>
      </c>
      <c r="B160" s="274"/>
      <c r="C160" s="275" t="s">
        <v>1118</v>
      </c>
      <c r="D160" s="276">
        <v>11593.0</v>
      </c>
      <c r="E160" s="275" t="s">
        <v>1017</v>
      </c>
      <c r="F160" s="277" t="s">
        <v>1059</v>
      </c>
      <c r="G160" s="278" t="str">
        <f>IFNA(IF(VLOOKUP(RC_OUT[BLOCK],RC_IN[[BLOCK]:[BLOCK LOC]],2,FALSE)=0,"",VLOOKUP(RC_OUT[BLOCK],RC_IN[[BLOCK]:[BLOCK LOC]],2,FALSE)),"")</f>
        <v/>
      </c>
      <c r="I160" s="263" t="str">
        <f>IFERROR(AVERAGEIFS(RC_IN[MC],RC_IN[BLOCK],RC_OUT[BLOCK]),"")</f>
        <v/>
      </c>
      <c r="J160" s="264">
        <f t="shared" si="1"/>
        <v>0</v>
      </c>
      <c r="K160" s="246"/>
      <c r="L160" s="246"/>
      <c r="M160" s="249" t="str">
        <f t="shared" si="2"/>
        <v/>
      </c>
      <c r="N160" s="266">
        <f t="shared" si="3"/>
        <v>0</v>
      </c>
      <c r="O160" s="247"/>
      <c r="P160" s="247"/>
      <c r="Q160" s="247"/>
      <c r="R160" s="247"/>
      <c r="S160" s="247"/>
      <c r="T160" s="247"/>
      <c r="U160" s="247"/>
      <c r="V160" s="247"/>
      <c r="W160" s="247"/>
      <c r="X160" s="247"/>
    </row>
    <row r="161">
      <c r="A161" s="273">
        <v>45552.0</v>
      </c>
      <c r="B161" s="274"/>
      <c r="C161" s="275" t="s">
        <v>1120</v>
      </c>
      <c r="D161" s="276">
        <v>9704.0</v>
      </c>
      <c r="E161" s="275" t="s">
        <v>1017</v>
      </c>
      <c r="F161" s="279"/>
      <c r="G161" s="278" t="str">
        <f>IFNA(IF(VLOOKUP(RC_OUT[BLOCK],RC_IN[[BLOCK]:[BLOCK LOC]],2,FALSE)=0,"",VLOOKUP(RC_OUT[BLOCK],RC_IN[[BLOCK]:[BLOCK LOC]],2,FALSE)),"")</f>
        <v/>
      </c>
      <c r="I161" s="263" t="str">
        <f>IFERROR(AVERAGEIFS(RC_IN[MC],RC_IN[BLOCK],RC_OUT[BLOCK]),"")</f>
        <v/>
      </c>
      <c r="J161" s="264">
        <f t="shared" si="1"/>
        <v>0</v>
      </c>
      <c r="K161" s="246"/>
      <c r="L161" s="246"/>
      <c r="M161" s="249" t="str">
        <f t="shared" si="2"/>
        <v/>
      </c>
      <c r="N161" s="266">
        <f t="shared" si="3"/>
        <v>0</v>
      </c>
      <c r="O161" s="247"/>
      <c r="P161" s="247"/>
      <c r="Q161" s="247"/>
      <c r="R161" s="247"/>
      <c r="S161" s="247"/>
      <c r="T161" s="247"/>
      <c r="U161" s="247"/>
      <c r="V161" s="247"/>
      <c r="W161" s="247"/>
      <c r="X161" s="247"/>
    </row>
    <row r="162">
      <c r="A162" s="273">
        <v>45552.0</v>
      </c>
      <c r="B162" s="274"/>
      <c r="C162" s="275" t="s">
        <v>1119</v>
      </c>
      <c r="D162" s="276">
        <v>8386.0</v>
      </c>
      <c r="E162" s="275" t="s">
        <v>1017</v>
      </c>
      <c r="F162" s="279"/>
      <c r="G162" s="278" t="str">
        <f>IFNA(IF(VLOOKUP(RC_OUT[BLOCK],RC_IN[[BLOCK]:[BLOCK LOC]],2,FALSE)=0,"",VLOOKUP(RC_OUT[BLOCK],RC_IN[[BLOCK]:[BLOCK LOC]],2,FALSE)),"")</f>
        <v/>
      </c>
      <c r="I162" s="263" t="str">
        <f>IFERROR(AVERAGEIFS(RC_IN[MC],RC_IN[BLOCK],RC_OUT[BLOCK]),"")</f>
        <v/>
      </c>
      <c r="J162" s="264">
        <f t="shared" si="1"/>
        <v>0</v>
      </c>
      <c r="K162" s="246"/>
      <c r="L162" s="246"/>
      <c r="M162" s="249" t="str">
        <f t="shared" si="2"/>
        <v/>
      </c>
      <c r="N162" s="266">
        <f t="shared" si="3"/>
        <v>0</v>
      </c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</row>
    <row r="163">
      <c r="A163" s="273">
        <v>45553.0</v>
      </c>
      <c r="B163" s="274"/>
      <c r="C163" s="275" t="s">
        <v>1120</v>
      </c>
      <c r="D163" s="276">
        <v>19129.0</v>
      </c>
      <c r="E163" s="275" t="s">
        <v>1017</v>
      </c>
      <c r="F163" s="279"/>
      <c r="G163" s="278" t="str">
        <f>IFNA(IF(VLOOKUP(RC_OUT[BLOCK],RC_IN[[BLOCK]:[BLOCK LOC]],2,FALSE)=0,"",VLOOKUP(RC_OUT[BLOCK],RC_IN[[BLOCK]:[BLOCK LOC]],2,FALSE)),"")</f>
        <v/>
      </c>
      <c r="I163" s="263" t="str">
        <f>IFERROR(AVERAGEIFS(RC_IN[MC],RC_IN[BLOCK],RC_OUT[BLOCK]),"")</f>
        <v/>
      </c>
      <c r="J163" s="264">
        <f t="shared" si="1"/>
        <v>0</v>
      </c>
      <c r="K163" s="246"/>
      <c r="L163" s="246"/>
      <c r="M163" s="249" t="str">
        <f t="shared" si="2"/>
        <v/>
      </c>
      <c r="N163" s="266">
        <f t="shared" si="3"/>
        <v>0</v>
      </c>
      <c r="O163" s="247"/>
      <c r="P163" s="247"/>
      <c r="Q163" s="247"/>
      <c r="R163" s="247"/>
      <c r="S163" s="247"/>
      <c r="T163" s="247"/>
      <c r="U163" s="247"/>
      <c r="V163" s="247"/>
      <c r="W163" s="247"/>
      <c r="X163" s="247"/>
    </row>
    <row r="164">
      <c r="A164" s="273">
        <v>45553.0</v>
      </c>
      <c r="B164" s="274"/>
      <c r="C164" s="275" t="s">
        <v>1119</v>
      </c>
      <c r="D164" s="276">
        <v>8172.0</v>
      </c>
      <c r="E164" s="275" t="s">
        <v>1017</v>
      </c>
      <c r="F164" s="279"/>
      <c r="G164" s="278" t="str">
        <f>IFNA(IF(VLOOKUP(RC_OUT[BLOCK],RC_IN[[BLOCK]:[BLOCK LOC]],2,FALSE)=0,"",VLOOKUP(RC_OUT[BLOCK],RC_IN[[BLOCK]:[BLOCK LOC]],2,FALSE)),"")</f>
        <v/>
      </c>
      <c r="I164" s="263" t="str">
        <f>IFERROR(AVERAGEIFS(RC_IN[MC],RC_IN[BLOCK],RC_OUT[BLOCK]),"")</f>
        <v/>
      </c>
      <c r="J164" s="264">
        <f t="shared" si="1"/>
        <v>0</v>
      </c>
      <c r="K164" s="246"/>
      <c r="L164" s="246"/>
      <c r="M164" s="249" t="str">
        <f t="shared" si="2"/>
        <v/>
      </c>
      <c r="N164" s="266">
        <f t="shared" si="3"/>
        <v>0</v>
      </c>
      <c r="O164" s="247"/>
      <c r="P164" s="247"/>
      <c r="Q164" s="247"/>
      <c r="R164" s="247"/>
      <c r="S164" s="247"/>
      <c r="T164" s="247"/>
      <c r="U164" s="247"/>
      <c r="V164" s="247"/>
      <c r="W164" s="247"/>
      <c r="X164" s="247"/>
    </row>
    <row r="165">
      <c r="A165" s="273">
        <v>45554.0</v>
      </c>
      <c r="B165" s="274"/>
      <c r="C165" s="275" t="s">
        <v>1120</v>
      </c>
      <c r="D165" s="276">
        <v>13493.0</v>
      </c>
      <c r="E165" s="275" t="s">
        <v>1017</v>
      </c>
      <c r="F165" s="277" t="s">
        <v>1059</v>
      </c>
      <c r="G165" s="278" t="str">
        <f>IFNA(IF(VLOOKUP(RC_OUT[BLOCK],RC_IN[[BLOCK]:[BLOCK LOC]],2,FALSE)=0,"",VLOOKUP(RC_OUT[BLOCK],RC_IN[[BLOCK]:[BLOCK LOC]],2,FALSE)),"")</f>
        <v/>
      </c>
      <c r="I165" s="263" t="str">
        <f>IFERROR(AVERAGEIFS(RC_IN[MC],RC_IN[BLOCK],RC_OUT[BLOCK]),"")</f>
        <v/>
      </c>
      <c r="J165" s="264">
        <f t="shared" si="1"/>
        <v>0</v>
      </c>
      <c r="K165" s="246"/>
      <c r="L165" s="246"/>
      <c r="M165" s="249" t="str">
        <f t="shared" si="2"/>
        <v/>
      </c>
      <c r="N165" s="266">
        <f t="shared" si="3"/>
        <v>0</v>
      </c>
      <c r="O165" s="247"/>
      <c r="P165" s="247"/>
      <c r="Q165" s="247"/>
      <c r="R165" s="247"/>
      <c r="S165" s="247"/>
      <c r="T165" s="247"/>
      <c r="U165" s="247"/>
      <c r="V165" s="247"/>
      <c r="W165" s="247"/>
      <c r="X165" s="247"/>
    </row>
    <row r="166">
      <c r="A166" s="273">
        <v>45554.0</v>
      </c>
      <c r="B166" s="274"/>
      <c r="C166" s="275" t="s">
        <v>1121</v>
      </c>
      <c r="D166" s="276">
        <v>6088.0</v>
      </c>
      <c r="E166" s="275" t="s">
        <v>1017</v>
      </c>
      <c r="F166" s="279"/>
      <c r="G166" s="278" t="str">
        <f>IFNA(IF(VLOOKUP(RC_OUT[BLOCK],RC_IN[[BLOCK]:[BLOCK LOC]],2,FALSE)=0,"",VLOOKUP(RC_OUT[BLOCK],RC_IN[[BLOCK]:[BLOCK LOC]],2,FALSE)),"")</f>
        <v/>
      </c>
      <c r="I166" s="263" t="str">
        <f>IFERROR(AVERAGEIFS(RC_IN[MC],RC_IN[BLOCK],RC_OUT[BLOCK]),"")</f>
        <v/>
      </c>
      <c r="J166" s="264">
        <f t="shared" si="1"/>
        <v>0</v>
      </c>
      <c r="K166" s="246"/>
      <c r="L166" s="246"/>
      <c r="M166" s="249" t="str">
        <f t="shared" si="2"/>
        <v/>
      </c>
      <c r="N166" s="266">
        <f t="shared" si="3"/>
        <v>0</v>
      </c>
      <c r="O166" s="247"/>
      <c r="P166" s="247"/>
      <c r="Q166" s="247"/>
      <c r="R166" s="247"/>
      <c r="S166" s="247"/>
      <c r="T166" s="247"/>
      <c r="U166" s="247"/>
      <c r="V166" s="247"/>
      <c r="W166" s="247"/>
      <c r="X166" s="247"/>
    </row>
    <row r="167">
      <c r="A167" s="273">
        <v>45554.0</v>
      </c>
      <c r="B167" s="274"/>
      <c r="C167" s="275" t="s">
        <v>1119</v>
      </c>
      <c r="D167" s="276">
        <v>8496.0</v>
      </c>
      <c r="E167" s="275" t="s">
        <v>1017</v>
      </c>
      <c r="F167" s="279"/>
      <c r="G167" s="278" t="str">
        <f>IFNA(IF(VLOOKUP(RC_OUT[BLOCK],RC_IN[[BLOCK]:[BLOCK LOC]],2,FALSE)=0,"",VLOOKUP(RC_OUT[BLOCK],RC_IN[[BLOCK]:[BLOCK LOC]],2,FALSE)),"")</f>
        <v/>
      </c>
      <c r="I167" s="263" t="str">
        <f>IFERROR(AVERAGEIFS(RC_IN[MC],RC_IN[BLOCK],RC_OUT[BLOCK]),"")</f>
        <v/>
      </c>
      <c r="J167" s="264">
        <f t="shared" si="1"/>
        <v>0</v>
      </c>
      <c r="K167" s="246"/>
      <c r="L167" s="246"/>
      <c r="M167" s="249" t="str">
        <f t="shared" si="2"/>
        <v/>
      </c>
      <c r="N167" s="266">
        <f t="shared" si="3"/>
        <v>0</v>
      </c>
      <c r="O167" s="247"/>
      <c r="P167" s="247"/>
      <c r="Q167" s="247"/>
      <c r="R167" s="247"/>
      <c r="S167" s="247"/>
      <c r="T167" s="247"/>
      <c r="U167" s="247"/>
      <c r="V167" s="247"/>
      <c r="W167" s="247"/>
      <c r="X167" s="247"/>
    </row>
    <row r="168">
      <c r="A168" s="273">
        <v>45555.0</v>
      </c>
      <c r="B168" s="274"/>
      <c r="C168" s="275" t="s">
        <v>1121</v>
      </c>
      <c r="D168" s="276">
        <v>19743.0</v>
      </c>
      <c r="E168" s="275" t="s">
        <v>1017</v>
      </c>
      <c r="F168" s="279"/>
      <c r="G168" s="278" t="str">
        <f>IFNA(IF(VLOOKUP(RC_OUT[BLOCK],RC_IN[[BLOCK]:[BLOCK LOC]],2,FALSE)=0,"",VLOOKUP(RC_OUT[BLOCK],RC_IN[[BLOCK]:[BLOCK LOC]],2,FALSE)),"")</f>
        <v/>
      </c>
      <c r="I168" s="263" t="str">
        <f>IFERROR(AVERAGEIFS(RC_IN[MC],RC_IN[BLOCK],RC_OUT[BLOCK]),"")</f>
        <v/>
      </c>
      <c r="J168" s="264">
        <f t="shared" si="1"/>
        <v>0</v>
      </c>
      <c r="K168" s="246"/>
      <c r="L168" s="246"/>
      <c r="M168" s="249" t="str">
        <f t="shared" si="2"/>
        <v/>
      </c>
      <c r="N168" s="266">
        <f t="shared" si="3"/>
        <v>0</v>
      </c>
      <c r="O168" s="247"/>
      <c r="P168" s="247"/>
      <c r="Q168" s="247"/>
      <c r="R168" s="247"/>
      <c r="S168" s="247"/>
      <c r="T168" s="247"/>
      <c r="U168" s="247"/>
      <c r="V168" s="247"/>
      <c r="W168" s="247"/>
      <c r="X168" s="247"/>
    </row>
    <row r="169">
      <c r="A169" s="273">
        <v>45555.0</v>
      </c>
      <c r="B169" s="274"/>
      <c r="C169" s="275" t="s">
        <v>1119</v>
      </c>
      <c r="D169" s="276">
        <v>8125.0</v>
      </c>
      <c r="E169" s="275" t="s">
        <v>1017</v>
      </c>
      <c r="F169" s="279"/>
      <c r="G169" s="278" t="str">
        <f>IFNA(IF(VLOOKUP(RC_OUT[BLOCK],RC_IN[[BLOCK]:[BLOCK LOC]],2,FALSE)=0,"",VLOOKUP(RC_OUT[BLOCK],RC_IN[[BLOCK]:[BLOCK LOC]],2,FALSE)),"")</f>
        <v/>
      </c>
      <c r="I169" s="263" t="str">
        <f>IFERROR(AVERAGEIFS(RC_IN[MC],RC_IN[BLOCK],RC_OUT[BLOCK]),"")</f>
        <v/>
      </c>
      <c r="J169" s="264">
        <f t="shared" si="1"/>
        <v>0</v>
      </c>
      <c r="K169" s="246"/>
      <c r="L169" s="246"/>
      <c r="M169" s="249" t="str">
        <f t="shared" si="2"/>
        <v/>
      </c>
      <c r="N169" s="266">
        <f t="shared" si="3"/>
        <v>0</v>
      </c>
      <c r="O169" s="247"/>
      <c r="P169" s="247"/>
      <c r="Q169" s="247"/>
      <c r="R169" s="247"/>
      <c r="S169" s="247"/>
      <c r="T169" s="247"/>
      <c r="U169" s="247"/>
      <c r="V169" s="247"/>
      <c r="W169" s="247"/>
      <c r="X169" s="247"/>
    </row>
    <row r="170">
      <c r="A170" s="273">
        <v>45556.0</v>
      </c>
      <c r="B170" s="274"/>
      <c r="C170" s="275" t="s">
        <v>1121</v>
      </c>
      <c r="D170" s="276">
        <v>17964.0</v>
      </c>
      <c r="E170" s="275" t="s">
        <v>1017</v>
      </c>
      <c r="F170" s="279"/>
      <c r="G170" s="278" t="str">
        <f>IFNA(IF(VLOOKUP(RC_OUT[BLOCK],RC_IN[[BLOCK]:[BLOCK LOC]],2,FALSE)=0,"",VLOOKUP(RC_OUT[BLOCK],RC_IN[[BLOCK]:[BLOCK LOC]],2,FALSE)),"")</f>
        <v/>
      </c>
      <c r="I170" s="263" t="str">
        <f>IFERROR(AVERAGEIFS(RC_IN[MC],RC_IN[BLOCK],RC_OUT[BLOCK]),"")</f>
        <v/>
      </c>
      <c r="J170" s="264">
        <f t="shared" si="1"/>
        <v>0</v>
      </c>
      <c r="K170" s="246"/>
      <c r="L170" s="246"/>
      <c r="M170" s="249" t="str">
        <f t="shared" si="2"/>
        <v/>
      </c>
      <c r="N170" s="266">
        <f t="shared" si="3"/>
        <v>0</v>
      </c>
      <c r="O170" s="247"/>
      <c r="P170" s="247"/>
      <c r="Q170" s="247"/>
      <c r="R170" s="247"/>
      <c r="S170" s="247"/>
      <c r="T170" s="247"/>
      <c r="U170" s="247"/>
      <c r="V170" s="247"/>
      <c r="W170" s="247"/>
      <c r="X170" s="247"/>
    </row>
    <row r="171">
      <c r="A171" s="273">
        <v>45556.0</v>
      </c>
      <c r="B171" s="274"/>
      <c r="C171" s="275" t="s">
        <v>1122</v>
      </c>
      <c r="D171" s="276">
        <v>3845.0</v>
      </c>
      <c r="E171" s="275" t="s">
        <v>1017</v>
      </c>
      <c r="F171" s="279"/>
      <c r="G171" s="278" t="str">
        <f>IFNA(IF(VLOOKUP(RC_OUT[BLOCK],RC_IN[[BLOCK]:[BLOCK LOC]],2,FALSE)=0,"",VLOOKUP(RC_OUT[BLOCK],RC_IN[[BLOCK]:[BLOCK LOC]],2,FALSE)),"")</f>
        <v/>
      </c>
      <c r="I171" s="263" t="str">
        <f>IFERROR(AVERAGEIFS(RC_IN[MC],RC_IN[BLOCK],RC_OUT[BLOCK]),"")</f>
        <v/>
      </c>
      <c r="J171" s="264">
        <f t="shared" si="1"/>
        <v>0</v>
      </c>
      <c r="K171" s="246"/>
      <c r="L171" s="246"/>
      <c r="M171" s="249" t="str">
        <f t="shared" si="2"/>
        <v/>
      </c>
      <c r="N171" s="266">
        <f t="shared" si="3"/>
        <v>0</v>
      </c>
      <c r="O171" s="247"/>
      <c r="P171" s="247"/>
      <c r="Q171" s="247"/>
      <c r="R171" s="247"/>
      <c r="S171" s="247"/>
      <c r="T171" s="247"/>
      <c r="U171" s="247"/>
      <c r="V171" s="247"/>
      <c r="W171" s="247"/>
      <c r="X171" s="247"/>
    </row>
    <row r="172">
      <c r="A172" s="273">
        <v>45556.0</v>
      </c>
      <c r="B172" s="274"/>
      <c r="C172" s="275" t="s">
        <v>1119</v>
      </c>
      <c r="D172" s="276">
        <v>5124.0</v>
      </c>
      <c r="E172" s="275" t="s">
        <v>1017</v>
      </c>
      <c r="F172" s="277" t="s">
        <v>1059</v>
      </c>
      <c r="G172" s="278" t="str">
        <f>IFNA(IF(VLOOKUP(RC_OUT[BLOCK],RC_IN[[BLOCK]:[BLOCK LOC]],2,FALSE)=0,"",VLOOKUP(RC_OUT[BLOCK],RC_IN[[BLOCK]:[BLOCK LOC]],2,FALSE)),"")</f>
        <v/>
      </c>
      <c r="I172" s="263" t="str">
        <f>IFERROR(AVERAGEIFS(RC_IN[MC],RC_IN[BLOCK],RC_OUT[BLOCK]),"")</f>
        <v/>
      </c>
      <c r="J172" s="264">
        <f t="shared" si="1"/>
        <v>0</v>
      </c>
      <c r="K172" s="246"/>
      <c r="L172" s="246"/>
      <c r="M172" s="249" t="str">
        <f t="shared" si="2"/>
        <v/>
      </c>
      <c r="N172" s="266">
        <f t="shared" si="3"/>
        <v>0</v>
      </c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</row>
    <row r="173">
      <c r="A173" s="273">
        <v>45558.0</v>
      </c>
      <c r="B173" s="274"/>
      <c r="C173" s="275" t="s">
        <v>1121</v>
      </c>
      <c r="D173" s="276">
        <v>2331.0</v>
      </c>
      <c r="E173" s="275" t="s">
        <v>1017</v>
      </c>
      <c r="F173" s="277" t="s">
        <v>1059</v>
      </c>
      <c r="G173" s="278" t="str">
        <f>IFNA(IF(VLOOKUP(RC_OUT[BLOCK],RC_IN[[BLOCK]:[BLOCK LOC]],2,FALSE)=0,"",VLOOKUP(RC_OUT[BLOCK],RC_IN[[BLOCK]:[BLOCK LOC]],2,FALSE)),"")</f>
        <v/>
      </c>
      <c r="I173" s="263" t="str">
        <f>IFERROR(AVERAGEIFS(RC_IN[MC],RC_IN[BLOCK],RC_OUT[BLOCK]),"")</f>
        <v/>
      </c>
      <c r="J173" s="264">
        <f t="shared" si="1"/>
        <v>0</v>
      </c>
      <c r="K173" s="246"/>
      <c r="L173" s="246"/>
      <c r="M173" s="249" t="str">
        <f t="shared" si="2"/>
        <v/>
      </c>
      <c r="N173" s="266">
        <f t="shared" si="3"/>
        <v>0</v>
      </c>
      <c r="O173" s="247"/>
      <c r="P173" s="247"/>
      <c r="Q173" s="247"/>
      <c r="R173" s="247"/>
      <c r="S173" s="247"/>
      <c r="T173" s="247"/>
      <c r="U173" s="247"/>
      <c r="V173" s="247"/>
      <c r="W173" s="247"/>
      <c r="X173" s="247"/>
    </row>
    <row r="174">
      <c r="A174" s="273">
        <v>45558.0</v>
      </c>
      <c r="B174" s="274"/>
      <c r="C174" s="275" t="s">
        <v>1123</v>
      </c>
      <c r="D174" s="276">
        <v>4038.0</v>
      </c>
      <c r="E174" s="275" t="s">
        <v>1017</v>
      </c>
      <c r="F174" s="279"/>
      <c r="G174" s="278" t="str">
        <f>IFNA(IF(VLOOKUP(RC_OUT[BLOCK],RC_IN[[BLOCK]:[BLOCK LOC]],2,FALSE)=0,"",VLOOKUP(RC_OUT[BLOCK],RC_IN[[BLOCK]:[BLOCK LOC]],2,FALSE)),"")</f>
        <v/>
      </c>
      <c r="I174" s="263" t="str">
        <f>IFERROR(AVERAGEIFS(RC_IN[MC],RC_IN[BLOCK],RC_OUT[BLOCK]),"")</f>
        <v/>
      </c>
      <c r="J174" s="264">
        <f t="shared" si="1"/>
        <v>0</v>
      </c>
      <c r="K174" s="246"/>
      <c r="L174" s="246"/>
      <c r="M174" s="249" t="str">
        <f t="shared" si="2"/>
        <v/>
      </c>
      <c r="N174" s="266">
        <f t="shared" si="3"/>
        <v>0</v>
      </c>
      <c r="O174" s="247"/>
      <c r="P174" s="247"/>
      <c r="Q174" s="247"/>
      <c r="R174" s="247"/>
      <c r="S174" s="247"/>
      <c r="T174" s="247"/>
      <c r="U174" s="247"/>
      <c r="V174" s="247"/>
      <c r="W174" s="247"/>
      <c r="X174" s="247"/>
    </row>
    <row r="175">
      <c r="A175" s="273">
        <v>45558.0</v>
      </c>
      <c r="B175" s="274"/>
      <c r="C175" s="275" t="s">
        <v>1122</v>
      </c>
      <c r="D175" s="276">
        <v>3097.0</v>
      </c>
      <c r="E175" s="275" t="s">
        <v>1017</v>
      </c>
      <c r="F175" s="279"/>
      <c r="G175" s="278" t="str">
        <f>IFNA(IF(VLOOKUP(RC_OUT[BLOCK],RC_IN[[BLOCK]:[BLOCK LOC]],2,FALSE)=0,"",VLOOKUP(RC_OUT[BLOCK],RC_IN[[BLOCK]:[BLOCK LOC]],2,FALSE)),"")</f>
        <v/>
      </c>
      <c r="I175" s="263" t="str">
        <f>IFERROR(AVERAGEIFS(RC_IN[MC],RC_IN[BLOCK],RC_OUT[BLOCK]),"")</f>
        <v/>
      </c>
      <c r="J175" s="264">
        <f t="shared" si="1"/>
        <v>0</v>
      </c>
      <c r="K175" s="246"/>
      <c r="L175" s="246"/>
      <c r="M175" s="249" t="str">
        <f t="shared" si="2"/>
        <v/>
      </c>
      <c r="N175" s="266">
        <f t="shared" si="3"/>
        <v>0</v>
      </c>
      <c r="O175" s="247"/>
      <c r="P175" s="247"/>
      <c r="Q175" s="247"/>
      <c r="R175" s="247"/>
      <c r="S175" s="247"/>
      <c r="T175" s="247"/>
      <c r="U175" s="247"/>
      <c r="V175" s="247"/>
      <c r="W175" s="247"/>
      <c r="X175" s="247"/>
    </row>
    <row r="176">
      <c r="A176" s="273">
        <v>45561.0</v>
      </c>
      <c r="B176" s="274"/>
      <c r="C176" s="275" t="s">
        <v>1123</v>
      </c>
      <c r="D176" s="276">
        <v>14578.0</v>
      </c>
      <c r="E176" s="275" t="s">
        <v>1017</v>
      </c>
      <c r="F176" s="279"/>
      <c r="G176" s="278" t="str">
        <f>IFNA(IF(VLOOKUP(RC_OUT[BLOCK],RC_IN[[BLOCK]:[BLOCK LOC]],2,FALSE)=0,"",VLOOKUP(RC_OUT[BLOCK],RC_IN[[BLOCK]:[BLOCK LOC]],2,FALSE)),"")</f>
        <v/>
      </c>
      <c r="I176" s="263" t="str">
        <f>IFERROR(AVERAGEIFS(RC_IN[MC],RC_IN[BLOCK],RC_OUT[BLOCK]),"")</f>
        <v/>
      </c>
      <c r="J176" s="264">
        <f t="shared" si="1"/>
        <v>0</v>
      </c>
      <c r="K176" s="246"/>
      <c r="L176" s="246"/>
      <c r="M176" s="249" t="str">
        <f t="shared" si="2"/>
        <v/>
      </c>
      <c r="N176" s="266">
        <f t="shared" si="3"/>
        <v>0</v>
      </c>
      <c r="O176" s="247"/>
      <c r="P176" s="247"/>
      <c r="Q176" s="247"/>
      <c r="R176" s="247"/>
      <c r="S176" s="247"/>
      <c r="T176" s="247"/>
      <c r="U176" s="247"/>
      <c r="V176" s="247"/>
      <c r="W176" s="247"/>
      <c r="X176" s="247"/>
    </row>
    <row r="177">
      <c r="A177" s="273">
        <v>45561.0</v>
      </c>
      <c r="B177" s="274"/>
      <c r="C177" s="275" t="s">
        <v>1122</v>
      </c>
      <c r="D177" s="276">
        <v>6195.0</v>
      </c>
      <c r="E177" s="275" t="s">
        <v>1017</v>
      </c>
      <c r="F177" s="279"/>
      <c r="G177" s="278" t="str">
        <f>IFNA(IF(VLOOKUP(RC_OUT[BLOCK],RC_IN[[BLOCK]:[BLOCK LOC]],2,FALSE)=0,"",VLOOKUP(RC_OUT[BLOCK],RC_IN[[BLOCK]:[BLOCK LOC]],2,FALSE)),"")</f>
        <v/>
      </c>
      <c r="I177" s="263" t="str">
        <f>IFERROR(AVERAGEIFS(RC_IN[MC],RC_IN[BLOCK],RC_OUT[BLOCK]),"")</f>
        <v/>
      </c>
      <c r="J177" s="264">
        <f t="shared" si="1"/>
        <v>0</v>
      </c>
      <c r="K177" s="246"/>
      <c r="L177" s="246"/>
      <c r="M177" s="249" t="str">
        <f t="shared" si="2"/>
        <v/>
      </c>
      <c r="N177" s="266">
        <f t="shared" si="3"/>
        <v>0</v>
      </c>
      <c r="O177" s="247"/>
      <c r="P177" s="247"/>
      <c r="Q177" s="247"/>
      <c r="R177" s="247"/>
      <c r="S177" s="247"/>
      <c r="T177" s="247"/>
      <c r="U177" s="247"/>
      <c r="V177" s="247"/>
      <c r="W177" s="247"/>
      <c r="X177" s="247"/>
    </row>
    <row r="178">
      <c r="A178" s="273">
        <v>45562.0</v>
      </c>
      <c r="B178" s="274"/>
      <c r="C178" s="275" t="s">
        <v>1123</v>
      </c>
      <c r="D178" s="276">
        <v>20809.0</v>
      </c>
      <c r="E178" s="275" t="s">
        <v>1017</v>
      </c>
      <c r="F178" s="279"/>
      <c r="G178" s="278" t="str">
        <f>IFNA(IF(VLOOKUP(RC_OUT[BLOCK],RC_IN[[BLOCK]:[BLOCK LOC]],2,FALSE)=0,"",VLOOKUP(RC_OUT[BLOCK],RC_IN[[BLOCK]:[BLOCK LOC]],2,FALSE)),"")</f>
        <v/>
      </c>
      <c r="I178" s="263" t="str">
        <f>IFERROR(AVERAGEIFS(RC_IN[MC],RC_IN[BLOCK],RC_OUT[BLOCK]),"")</f>
        <v/>
      </c>
      <c r="J178" s="264">
        <f t="shared" si="1"/>
        <v>0</v>
      </c>
      <c r="K178" s="246"/>
      <c r="L178" s="246"/>
      <c r="M178" s="249" t="str">
        <f t="shared" si="2"/>
        <v/>
      </c>
      <c r="N178" s="266">
        <f t="shared" si="3"/>
        <v>0</v>
      </c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</row>
    <row r="179">
      <c r="A179" s="273">
        <v>45562.0</v>
      </c>
      <c r="B179" s="274"/>
      <c r="C179" s="275" t="s">
        <v>1122</v>
      </c>
      <c r="D179" s="276">
        <v>8075.0</v>
      </c>
      <c r="E179" s="275" t="s">
        <v>1017</v>
      </c>
      <c r="F179" s="279"/>
      <c r="G179" s="278" t="str">
        <f>IFNA(IF(VLOOKUP(RC_OUT[BLOCK],RC_IN[[BLOCK]:[BLOCK LOC]],2,FALSE)=0,"",VLOOKUP(RC_OUT[BLOCK],RC_IN[[BLOCK]:[BLOCK LOC]],2,FALSE)),"")</f>
        <v/>
      </c>
      <c r="I179" s="263" t="str">
        <f>IFERROR(AVERAGEIFS(RC_IN[MC],RC_IN[BLOCK],RC_OUT[BLOCK]),"")</f>
        <v/>
      </c>
      <c r="J179" s="264">
        <f t="shared" si="1"/>
        <v>0</v>
      </c>
      <c r="K179" s="246"/>
      <c r="L179" s="246"/>
      <c r="M179" s="249" t="str">
        <f t="shared" si="2"/>
        <v/>
      </c>
      <c r="N179" s="266">
        <f t="shared" si="3"/>
        <v>0</v>
      </c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</row>
    <row r="180">
      <c r="A180" s="273">
        <v>45563.0</v>
      </c>
      <c r="B180" s="274"/>
      <c r="C180" s="275" t="s">
        <v>1123</v>
      </c>
      <c r="D180" s="276">
        <v>6590.0</v>
      </c>
      <c r="E180" s="275" t="s">
        <v>1017</v>
      </c>
      <c r="F180" s="277" t="s">
        <v>1059</v>
      </c>
      <c r="G180" s="278" t="str">
        <f>IFNA(IF(VLOOKUP(RC_OUT[BLOCK],RC_IN[[BLOCK]:[BLOCK LOC]],2,FALSE)=0,"",VLOOKUP(RC_OUT[BLOCK],RC_IN[[BLOCK]:[BLOCK LOC]],2,FALSE)),"")</f>
        <v/>
      </c>
      <c r="I180" s="263" t="str">
        <f>IFERROR(AVERAGEIFS(RC_IN[MC],RC_IN[BLOCK],RC_OUT[BLOCK]),"")</f>
        <v/>
      </c>
      <c r="J180" s="264">
        <f t="shared" si="1"/>
        <v>0</v>
      </c>
      <c r="K180" s="246"/>
      <c r="L180" s="246"/>
      <c r="M180" s="249" t="str">
        <f t="shared" si="2"/>
        <v/>
      </c>
      <c r="N180" s="266">
        <f t="shared" si="3"/>
        <v>0</v>
      </c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</row>
    <row r="181">
      <c r="A181" s="273">
        <v>45563.0</v>
      </c>
      <c r="B181" s="274"/>
      <c r="C181" s="275" t="s">
        <v>1124</v>
      </c>
      <c r="D181" s="276">
        <v>7164.0</v>
      </c>
      <c r="E181" s="275" t="s">
        <v>1017</v>
      </c>
      <c r="F181" s="279"/>
      <c r="G181" s="278" t="str">
        <f>IFNA(IF(VLOOKUP(RC_OUT[BLOCK],RC_IN[[BLOCK]:[BLOCK LOC]],2,FALSE)=0,"",VLOOKUP(RC_OUT[BLOCK],RC_IN[[BLOCK]:[BLOCK LOC]],2,FALSE)),"")</f>
        <v/>
      </c>
      <c r="I181" s="263" t="str">
        <f>IFERROR(AVERAGEIFS(RC_IN[MC],RC_IN[BLOCK],RC_OUT[BLOCK]),"")</f>
        <v/>
      </c>
      <c r="J181" s="264">
        <f t="shared" si="1"/>
        <v>0</v>
      </c>
      <c r="K181" s="246"/>
      <c r="L181" s="246"/>
      <c r="M181" s="249" t="str">
        <f t="shared" si="2"/>
        <v/>
      </c>
      <c r="N181" s="266">
        <f t="shared" si="3"/>
        <v>0</v>
      </c>
      <c r="O181" s="247"/>
      <c r="P181" s="247"/>
      <c r="Q181" s="247"/>
      <c r="R181" s="247"/>
      <c r="S181" s="247"/>
      <c r="T181" s="247"/>
      <c r="U181" s="247"/>
      <c r="V181" s="247"/>
      <c r="W181" s="247"/>
      <c r="X181" s="247"/>
    </row>
    <row r="182">
      <c r="A182" s="273">
        <v>45563.0</v>
      </c>
      <c r="B182" s="274"/>
      <c r="C182" s="275" t="s">
        <v>1122</v>
      </c>
      <c r="D182" s="276">
        <v>6112.0</v>
      </c>
      <c r="E182" s="275" t="s">
        <v>1017</v>
      </c>
      <c r="F182" s="277" t="s">
        <v>1059</v>
      </c>
      <c r="G182" s="278" t="str">
        <f>IFNA(IF(VLOOKUP(RC_OUT[BLOCK],RC_IN[[BLOCK]:[BLOCK LOC]],2,FALSE)=0,"",VLOOKUP(RC_OUT[BLOCK],RC_IN[[BLOCK]:[BLOCK LOC]],2,FALSE)),"")</f>
        <v/>
      </c>
      <c r="I182" s="263" t="str">
        <f>IFERROR(AVERAGEIFS(RC_IN[MC],RC_IN[BLOCK],RC_OUT[BLOCK]),"")</f>
        <v/>
      </c>
      <c r="J182" s="264">
        <f t="shared" si="1"/>
        <v>0</v>
      </c>
      <c r="K182" s="246"/>
      <c r="L182" s="246"/>
      <c r="M182" s="249" t="str">
        <f t="shared" si="2"/>
        <v/>
      </c>
      <c r="N182" s="266">
        <f t="shared" si="3"/>
        <v>0</v>
      </c>
      <c r="O182" s="247"/>
      <c r="P182" s="247"/>
      <c r="Q182" s="247"/>
      <c r="R182" s="247"/>
      <c r="S182" s="247"/>
      <c r="T182" s="247"/>
      <c r="U182" s="247"/>
      <c r="V182" s="247"/>
      <c r="W182" s="247"/>
      <c r="X182" s="247"/>
    </row>
    <row r="183">
      <c r="A183" s="273">
        <v>45565.0</v>
      </c>
      <c r="B183" s="275" t="s">
        <v>1125</v>
      </c>
      <c r="C183" s="275" t="s">
        <v>1126</v>
      </c>
      <c r="D183" s="276">
        <v>1898.0</v>
      </c>
      <c r="E183" s="275" t="s">
        <v>1017</v>
      </c>
      <c r="F183" s="277" t="s">
        <v>1127</v>
      </c>
      <c r="G183" s="278" t="str">
        <f>IFNA(IF(VLOOKUP(RC_OUT[BLOCK],RC_IN[[BLOCK]:[BLOCK LOC]],2,FALSE)=0,"",VLOOKUP(RC_OUT[BLOCK],RC_IN[[BLOCK]:[BLOCK LOC]],2,FALSE)),"")</f>
        <v/>
      </c>
      <c r="I183" s="263" t="str">
        <f>IFERROR(AVERAGEIFS(RC_IN[MC],RC_IN[BLOCK],RC_OUT[BLOCK]),"")</f>
        <v/>
      </c>
      <c r="J183" s="264">
        <f t="shared" si="1"/>
        <v>0</v>
      </c>
      <c r="K183" s="246"/>
      <c r="L183" s="246"/>
      <c r="M183" s="249" t="str">
        <f t="shared" si="2"/>
        <v/>
      </c>
      <c r="N183" s="266">
        <f t="shared" si="3"/>
        <v>0</v>
      </c>
      <c r="O183" s="247"/>
      <c r="P183" s="247"/>
      <c r="Q183" s="247"/>
      <c r="R183" s="247"/>
      <c r="S183" s="247"/>
      <c r="T183" s="247"/>
      <c r="U183" s="247"/>
      <c r="V183" s="247"/>
      <c r="W183" s="247"/>
      <c r="X183" s="247"/>
    </row>
    <row r="184">
      <c r="A184" s="273">
        <v>45565.0</v>
      </c>
      <c r="B184" s="275" t="s">
        <v>1125</v>
      </c>
      <c r="C184" s="275" t="s">
        <v>1124</v>
      </c>
      <c r="D184" s="276">
        <v>12678.0</v>
      </c>
      <c r="E184" s="275" t="s">
        <v>1017</v>
      </c>
      <c r="F184" s="279"/>
      <c r="G184" s="278" t="str">
        <f>IFNA(IF(VLOOKUP(RC_OUT[BLOCK],RC_IN[[BLOCK]:[BLOCK LOC]],2,FALSE)=0,"",VLOOKUP(RC_OUT[BLOCK],RC_IN[[BLOCK]:[BLOCK LOC]],2,FALSE)),"")</f>
        <v/>
      </c>
      <c r="I184" s="263" t="str">
        <f>IFERROR(AVERAGEIFS(RC_IN[MC],RC_IN[BLOCK],RC_OUT[BLOCK]),"")</f>
        <v/>
      </c>
      <c r="J184" s="264">
        <f t="shared" si="1"/>
        <v>0</v>
      </c>
      <c r="K184" s="280">
        <f t="shared" ref="K184:L184" si="4">A184</f>
        <v>45565</v>
      </c>
      <c r="L184" s="246" t="str">
        <f t="shared" si="4"/>
        <v>OCTOBER</v>
      </c>
      <c r="M184" s="281">
        <f t="shared" si="2"/>
        <v>0</v>
      </c>
      <c r="N184" s="266">
        <f t="shared" si="3"/>
        <v>19105</v>
      </c>
      <c r="O184" s="247"/>
      <c r="P184" s="247"/>
      <c r="Q184" s="247"/>
      <c r="R184" s="247"/>
      <c r="S184" s="247"/>
      <c r="T184" s="247"/>
      <c r="U184" s="247"/>
      <c r="V184" s="247"/>
      <c r="W184" s="247"/>
      <c r="X184" s="247"/>
    </row>
    <row r="185">
      <c r="A185" s="273">
        <v>45565.0</v>
      </c>
      <c r="B185" s="275" t="s">
        <v>1125</v>
      </c>
      <c r="C185" s="275" t="s">
        <v>1128</v>
      </c>
      <c r="D185" s="276">
        <v>4529.0</v>
      </c>
      <c r="E185" s="275" t="s">
        <v>1017</v>
      </c>
      <c r="F185" s="279"/>
      <c r="G185" s="278" t="str">
        <f>IFNA(IF(VLOOKUP(RC_OUT[BLOCK],RC_IN[[BLOCK]:[BLOCK LOC]],2,FALSE)=0,"",VLOOKUP(RC_OUT[BLOCK],RC_IN[[BLOCK]:[BLOCK LOC]],2,FALSE)),"")</f>
        <v/>
      </c>
      <c r="I185" s="263" t="str">
        <f>IFERROR(AVERAGEIFS(RC_IN[MC],RC_IN[BLOCK],RC_OUT[BLOCK]),"")</f>
        <v/>
      </c>
      <c r="J185" s="264">
        <f t="shared" si="1"/>
        <v>0</v>
      </c>
      <c r="K185" s="246"/>
      <c r="L185" s="246"/>
      <c r="M185" s="249" t="str">
        <f t="shared" si="2"/>
        <v/>
      </c>
      <c r="N185" s="266">
        <f t="shared" si="3"/>
        <v>0</v>
      </c>
      <c r="O185" s="247"/>
      <c r="P185" s="247"/>
      <c r="Q185" s="247"/>
      <c r="R185" s="247"/>
      <c r="S185" s="247"/>
      <c r="T185" s="247"/>
      <c r="U185" s="247"/>
      <c r="V185" s="247"/>
      <c r="W185" s="247"/>
      <c r="X185" s="247"/>
    </row>
    <row r="186">
      <c r="A186" s="273">
        <v>45566.0</v>
      </c>
      <c r="B186" s="275" t="s">
        <v>1125</v>
      </c>
      <c r="C186" s="275" t="s">
        <v>1126</v>
      </c>
      <c r="D186" s="276">
        <v>1654.0</v>
      </c>
      <c r="E186" s="275" t="s">
        <v>1017</v>
      </c>
      <c r="F186" s="277" t="s">
        <v>1127</v>
      </c>
      <c r="G186" s="278" t="str">
        <f>IFNA(IF(VLOOKUP(RC_OUT[BLOCK],RC_IN[[BLOCK]:[BLOCK LOC]],2,FALSE)=0,"",VLOOKUP(RC_OUT[BLOCK],RC_IN[[BLOCK]:[BLOCK LOC]],2,FALSE)),"")</f>
        <v/>
      </c>
      <c r="I186" s="263" t="str">
        <f>IFERROR(AVERAGEIFS(RC_IN[MC],RC_IN[BLOCK],RC_OUT[BLOCK]),"")</f>
        <v/>
      </c>
      <c r="J186" s="264">
        <f t="shared" si="1"/>
        <v>0</v>
      </c>
      <c r="K186" s="246"/>
      <c r="L186" s="246"/>
      <c r="M186" s="249" t="str">
        <f t="shared" si="2"/>
        <v/>
      </c>
      <c r="N186" s="266">
        <f t="shared" si="3"/>
        <v>0</v>
      </c>
      <c r="O186" s="247"/>
      <c r="P186" s="247"/>
      <c r="Q186" s="247"/>
      <c r="R186" s="247"/>
      <c r="S186" s="247"/>
      <c r="T186" s="247"/>
      <c r="U186" s="247"/>
      <c r="V186" s="247"/>
      <c r="W186" s="247"/>
      <c r="X186" s="247"/>
    </row>
    <row r="187">
      <c r="A187" s="273">
        <v>45566.0</v>
      </c>
      <c r="B187" s="275" t="s">
        <v>1125</v>
      </c>
      <c r="C187" s="275" t="s">
        <v>1124</v>
      </c>
      <c r="D187" s="276">
        <v>19505.0</v>
      </c>
      <c r="E187" s="275" t="s">
        <v>1017</v>
      </c>
      <c r="F187" s="279"/>
      <c r="G187" s="278" t="str">
        <f>IFNA(IF(VLOOKUP(RC_OUT[BLOCK],RC_IN[[BLOCK]:[BLOCK LOC]],2,FALSE)=0,"",VLOOKUP(RC_OUT[BLOCK],RC_IN[[BLOCK]:[BLOCK LOC]],2,FALSE)),"")</f>
        <v/>
      </c>
      <c r="I187" s="263" t="str">
        <f>IFERROR(AVERAGEIFS(RC_IN[MC],RC_IN[BLOCK],RC_OUT[BLOCK]),"")</f>
        <v/>
      </c>
      <c r="J187" s="264">
        <f t="shared" si="1"/>
        <v>0</v>
      </c>
      <c r="K187" s="246"/>
      <c r="L187" s="246"/>
      <c r="M187" s="249" t="str">
        <f t="shared" si="2"/>
        <v/>
      </c>
      <c r="N187" s="266">
        <f t="shared" si="3"/>
        <v>0</v>
      </c>
      <c r="O187" s="247"/>
      <c r="P187" s="247"/>
      <c r="Q187" s="247"/>
      <c r="R187" s="247"/>
      <c r="S187" s="247"/>
      <c r="T187" s="247"/>
      <c r="U187" s="247"/>
      <c r="V187" s="247"/>
      <c r="W187" s="247"/>
      <c r="X187" s="247"/>
    </row>
    <row r="188">
      <c r="A188" s="273">
        <v>45566.0</v>
      </c>
      <c r="B188" s="275" t="s">
        <v>1125</v>
      </c>
      <c r="C188" s="275" t="s">
        <v>1128</v>
      </c>
      <c r="D188" s="276">
        <v>8423.0</v>
      </c>
      <c r="E188" s="275" t="s">
        <v>1017</v>
      </c>
      <c r="F188" s="279"/>
      <c r="G188" s="278" t="str">
        <f>IFNA(IF(VLOOKUP(RC_OUT[BLOCK],RC_IN[[BLOCK]:[BLOCK LOC]],2,FALSE)=0,"",VLOOKUP(RC_OUT[BLOCK],RC_IN[[BLOCK]:[BLOCK LOC]],2,FALSE)),"")</f>
        <v/>
      </c>
      <c r="I188" s="263" t="str">
        <f>IFERROR(AVERAGEIFS(RC_IN[MC],RC_IN[BLOCK],RC_OUT[BLOCK]),"")</f>
        <v/>
      </c>
      <c r="J188" s="264">
        <f t="shared" si="1"/>
        <v>0</v>
      </c>
      <c r="K188" s="246"/>
      <c r="L188" s="246"/>
      <c r="M188" s="249" t="str">
        <f t="shared" si="2"/>
        <v/>
      </c>
      <c r="N188" s="266">
        <f t="shared" si="3"/>
        <v>0</v>
      </c>
      <c r="O188" s="247"/>
      <c r="P188" s="247"/>
      <c r="Q188" s="247"/>
      <c r="R188" s="247"/>
      <c r="S188" s="247"/>
      <c r="T188" s="247"/>
      <c r="U188" s="247"/>
      <c r="V188" s="247"/>
      <c r="W188" s="247"/>
      <c r="X188" s="247"/>
    </row>
    <row r="189">
      <c r="A189" s="273">
        <v>45567.0</v>
      </c>
      <c r="B189" s="275" t="s">
        <v>1125</v>
      </c>
      <c r="C189" s="275" t="s">
        <v>1124</v>
      </c>
      <c r="D189" s="276">
        <v>6705.0</v>
      </c>
      <c r="E189" s="275" t="s">
        <v>1017</v>
      </c>
      <c r="F189" s="277" t="s">
        <v>1059</v>
      </c>
      <c r="G189" s="278" t="str">
        <f>IFNA(IF(VLOOKUP(RC_OUT[BLOCK],RC_IN[[BLOCK]:[BLOCK LOC]],2,FALSE)=0,"",VLOOKUP(RC_OUT[BLOCK],RC_IN[[BLOCK]:[BLOCK LOC]],2,FALSE)),"")</f>
        <v/>
      </c>
      <c r="I189" s="263" t="str">
        <f>IFERROR(AVERAGEIFS(RC_IN[MC],RC_IN[BLOCK],RC_OUT[BLOCK]),"")</f>
        <v/>
      </c>
      <c r="J189" s="264">
        <f t="shared" si="1"/>
        <v>0</v>
      </c>
      <c r="K189" s="246"/>
      <c r="L189" s="246"/>
      <c r="M189" s="249" t="str">
        <f t="shared" si="2"/>
        <v/>
      </c>
      <c r="N189" s="266">
        <f t="shared" si="3"/>
        <v>0</v>
      </c>
      <c r="O189" s="247"/>
      <c r="P189" s="247"/>
      <c r="Q189" s="247"/>
      <c r="R189" s="247"/>
      <c r="S189" s="247"/>
      <c r="T189" s="247"/>
      <c r="U189" s="247"/>
      <c r="V189" s="247"/>
      <c r="W189" s="247"/>
      <c r="X189" s="247"/>
    </row>
    <row r="190">
      <c r="A190" s="273">
        <v>45567.0</v>
      </c>
      <c r="B190" s="275" t="s">
        <v>1125</v>
      </c>
      <c r="C190" s="275" t="s">
        <v>1129</v>
      </c>
      <c r="D190" s="276">
        <v>18442.0</v>
      </c>
      <c r="E190" s="275" t="s">
        <v>1017</v>
      </c>
      <c r="F190" s="279"/>
      <c r="G190" s="278" t="str">
        <f>IFNA(IF(VLOOKUP(RC_OUT[BLOCK],RC_IN[[BLOCK]:[BLOCK LOC]],2,FALSE)=0,"",VLOOKUP(RC_OUT[BLOCK],RC_IN[[BLOCK]:[BLOCK LOC]],2,FALSE)),"")</f>
        <v/>
      </c>
      <c r="I190" s="263" t="str">
        <f>IFERROR(AVERAGEIFS(RC_IN[MC],RC_IN[BLOCK],RC_OUT[BLOCK]),"")</f>
        <v/>
      </c>
      <c r="J190" s="264">
        <f t="shared" si="1"/>
        <v>0</v>
      </c>
      <c r="K190" s="246"/>
      <c r="L190" s="246"/>
      <c r="M190" s="249" t="str">
        <f t="shared" si="2"/>
        <v/>
      </c>
      <c r="N190" s="266">
        <f t="shared" si="3"/>
        <v>0</v>
      </c>
      <c r="O190" s="247"/>
      <c r="P190" s="247"/>
      <c r="Q190" s="247"/>
      <c r="R190" s="247"/>
      <c r="S190" s="247"/>
      <c r="T190" s="247"/>
      <c r="U190" s="247"/>
      <c r="V190" s="247"/>
      <c r="W190" s="247"/>
      <c r="X190" s="247"/>
    </row>
    <row r="191">
      <c r="A191" s="273">
        <v>45567.0</v>
      </c>
      <c r="B191" s="275" t="s">
        <v>1125</v>
      </c>
      <c r="C191" s="275" t="s">
        <v>1130</v>
      </c>
      <c r="D191" s="276">
        <v>2429.0</v>
      </c>
      <c r="E191" s="275" t="s">
        <v>1017</v>
      </c>
      <c r="F191" s="279"/>
      <c r="G191" s="278" t="str">
        <f>IFNA(IF(VLOOKUP(RC_OUT[BLOCK],RC_IN[[BLOCK]:[BLOCK LOC]],2,FALSE)=0,"",VLOOKUP(RC_OUT[BLOCK],RC_IN[[BLOCK]:[BLOCK LOC]],2,FALSE)),"")</f>
        <v/>
      </c>
      <c r="I191" s="263" t="str">
        <f>IFERROR(AVERAGEIFS(RC_IN[MC],RC_IN[BLOCK],RC_OUT[BLOCK]),"")</f>
        <v/>
      </c>
      <c r="J191" s="264">
        <f t="shared" si="1"/>
        <v>0</v>
      </c>
      <c r="K191" s="246"/>
      <c r="L191" s="246"/>
      <c r="M191" s="249" t="str">
        <f t="shared" si="2"/>
        <v/>
      </c>
      <c r="N191" s="266">
        <f t="shared" si="3"/>
        <v>0</v>
      </c>
      <c r="O191" s="247"/>
      <c r="P191" s="247"/>
      <c r="Q191" s="247"/>
      <c r="R191" s="247"/>
      <c r="S191" s="247"/>
      <c r="T191" s="247"/>
      <c r="U191" s="247"/>
      <c r="V191" s="247"/>
      <c r="W191" s="247"/>
      <c r="X191" s="247"/>
    </row>
    <row r="192">
      <c r="A192" s="273">
        <v>45567.0</v>
      </c>
      <c r="B192" s="275" t="s">
        <v>1125</v>
      </c>
      <c r="C192" s="275" t="s">
        <v>1128</v>
      </c>
      <c r="D192" s="276">
        <v>9015.0</v>
      </c>
      <c r="E192" s="275" t="s">
        <v>1017</v>
      </c>
      <c r="F192" s="277" t="s">
        <v>1059</v>
      </c>
      <c r="G192" s="278" t="str">
        <f>IFNA(IF(VLOOKUP(RC_OUT[BLOCK],RC_IN[[BLOCK]:[BLOCK LOC]],2,FALSE)=0,"",VLOOKUP(RC_OUT[BLOCK],RC_IN[[BLOCK]:[BLOCK LOC]],2,FALSE)),"")</f>
        <v/>
      </c>
      <c r="I192" s="263" t="str">
        <f>IFERROR(AVERAGEIFS(RC_IN[MC],RC_IN[BLOCK],RC_OUT[BLOCK]),"")</f>
        <v/>
      </c>
      <c r="J192" s="264">
        <f t="shared" si="1"/>
        <v>0</v>
      </c>
      <c r="K192" s="246"/>
      <c r="L192" s="246"/>
      <c r="M192" s="249" t="str">
        <f t="shared" si="2"/>
        <v/>
      </c>
      <c r="N192" s="266">
        <f t="shared" si="3"/>
        <v>0</v>
      </c>
      <c r="O192" s="247"/>
      <c r="P192" s="247"/>
      <c r="Q192" s="247"/>
      <c r="R192" s="247"/>
      <c r="S192" s="247"/>
      <c r="T192" s="247"/>
      <c r="U192" s="247"/>
      <c r="V192" s="247"/>
      <c r="W192" s="247"/>
      <c r="X192" s="247"/>
    </row>
    <row r="193">
      <c r="A193" s="273">
        <v>45568.0</v>
      </c>
      <c r="B193" s="275" t="s">
        <v>1125</v>
      </c>
      <c r="C193" s="275" t="s">
        <v>1129</v>
      </c>
      <c r="D193" s="276">
        <v>18087.0</v>
      </c>
      <c r="E193" s="275" t="s">
        <v>1017</v>
      </c>
      <c r="F193" s="279"/>
      <c r="G193" s="278" t="str">
        <f>IFNA(IF(VLOOKUP(RC_OUT[BLOCK],RC_IN[[BLOCK]:[BLOCK LOC]],2,FALSE)=0,"",VLOOKUP(RC_OUT[BLOCK],RC_IN[[BLOCK]:[BLOCK LOC]],2,FALSE)),"")</f>
        <v/>
      </c>
      <c r="I193" s="263" t="str">
        <f>IFERROR(AVERAGEIFS(RC_IN[MC],RC_IN[BLOCK],RC_OUT[BLOCK]),"")</f>
        <v/>
      </c>
      <c r="J193" s="264">
        <f t="shared" si="1"/>
        <v>0</v>
      </c>
      <c r="K193" s="246"/>
      <c r="L193" s="246"/>
      <c r="M193" s="249" t="str">
        <f t="shared" si="2"/>
        <v/>
      </c>
      <c r="N193" s="266">
        <f t="shared" si="3"/>
        <v>0</v>
      </c>
      <c r="O193" s="247"/>
      <c r="P193" s="247"/>
      <c r="Q193" s="247"/>
      <c r="R193" s="247"/>
      <c r="S193" s="247"/>
      <c r="T193" s="247"/>
      <c r="U193" s="247"/>
      <c r="V193" s="247"/>
      <c r="W193" s="247"/>
      <c r="X193" s="247"/>
    </row>
    <row r="194">
      <c r="A194" s="273">
        <v>45568.0</v>
      </c>
      <c r="B194" s="275" t="s">
        <v>1125</v>
      </c>
      <c r="C194" s="275" t="s">
        <v>1130</v>
      </c>
      <c r="D194" s="276">
        <v>8284.0</v>
      </c>
      <c r="E194" s="275" t="s">
        <v>1017</v>
      </c>
      <c r="F194" s="279"/>
      <c r="G194" s="278" t="str">
        <f>IFNA(IF(VLOOKUP(RC_OUT[BLOCK],RC_IN[[BLOCK]:[BLOCK LOC]],2,FALSE)=0,"",VLOOKUP(RC_OUT[BLOCK],RC_IN[[BLOCK]:[BLOCK LOC]],2,FALSE)),"")</f>
        <v/>
      </c>
      <c r="I194" s="263" t="str">
        <f>IFERROR(AVERAGEIFS(RC_IN[MC],RC_IN[BLOCK],RC_OUT[BLOCK]),"")</f>
        <v/>
      </c>
      <c r="J194" s="264">
        <f t="shared" si="1"/>
        <v>0</v>
      </c>
      <c r="K194" s="246"/>
      <c r="L194" s="246"/>
      <c r="M194" s="249" t="str">
        <f t="shared" si="2"/>
        <v/>
      </c>
      <c r="N194" s="266">
        <f t="shared" si="3"/>
        <v>0</v>
      </c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</row>
    <row r="195">
      <c r="A195" s="273">
        <v>45569.0</v>
      </c>
      <c r="B195" s="275" t="s">
        <v>1125</v>
      </c>
      <c r="C195" s="275" t="s">
        <v>1131</v>
      </c>
      <c r="D195" s="276">
        <v>10323.0</v>
      </c>
      <c r="E195" s="275" t="s">
        <v>1017</v>
      </c>
      <c r="F195" s="279"/>
      <c r="G195" s="278" t="str">
        <f>IFNA(IF(VLOOKUP(RC_OUT[BLOCK],RC_IN[[BLOCK]:[BLOCK LOC]],2,FALSE)=0,"",VLOOKUP(RC_OUT[BLOCK],RC_IN[[BLOCK]:[BLOCK LOC]],2,FALSE)),"")</f>
        <v/>
      </c>
      <c r="I195" s="263" t="str">
        <f>IFERROR(AVERAGEIFS(RC_IN[MC],RC_IN[BLOCK],RC_OUT[BLOCK]),"")</f>
        <v/>
      </c>
      <c r="J195" s="264">
        <f t="shared" si="1"/>
        <v>0</v>
      </c>
      <c r="K195" s="246"/>
      <c r="L195" s="246"/>
      <c r="M195" s="249" t="str">
        <f t="shared" si="2"/>
        <v/>
      </c>
      <c r="N195" s="266">
        <f t="shared" si="3"/>
        <v>0</v>
      </c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</row>
    <row r="196">
      <c r="A196" s="273">
        <v>45569.0</v>
      </c>
      <c r="B196" s="275" t="s">
        <v>1125</v>
      </c>
      <c r="C196" s="275" t="s">
        <v>1129</v>
      </c>
      <c r="D196" s="276">
        <v>10803.0</v>
      </c>
      <c r="E196" s="275" t="s">
        <v>1017</v>
      </c>
      <c r="F196" s="277" t="s">
        <v>1059</v>
      </c>
      <c r="G196" s="278" t="str">
        <f>IFNA(IF(VLOOKUP(RC_OUT[BLOCK],RC_IN[[BLOCK]:[BLOCK LOC]],2,FALSE)=0,"",VLOOKUP(RC_OUT[BLOCK],RC_IN[[BLOCK]:[BLOCK LOC]],2,FALSE)),"")</f>
        <v/>
      </c>
      <c r="I196" s="263" t="str">
        <f>IFERROR(AVERAGEIFS(RC_IN[MC],RC_IN[BLOCK],RC_OUT[BLOCK]),"")</f>
        <v/>
      </c>
      <c r="J196" s="264">
        <f t="shared" si="1"/>
        <v>0</v>
      </c>
      <c r="K196" s="246"/>
      <c r="L196" s="246"/>
      <c r="M196" s="249" t="str">
        <f t="shared" si="2"/>
        <v/>
      </c>
      <c r="N196" s="266">
        <f t="shared" si="3"/>
        <v>0</v>
      </c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</row>
    <row r="197">
      <c r="A197" s="273">
        <v>45569.0</v>
      </c>
      <c r="B197" s="275" t="s">
        <v>1125</v>
      </c>
      <c r="C197" s="275" t="s">
        <v>1130</v>
      </c>
      <c r="D197" s="276">
        <v>8576.0</v>
      </c>
      <c r="E197" s="275" t="s">
        <v>1017</v>
      </c>
      <c r="F197" s="279"/>
      <c r="G197" s="278" t="str">
        <f>IFNA(IF(VLOOKUP(RC_OUT[BLOCK],RC_IN[[BLOCK]:[BLOCK LOC]],2,FALSE)=0,"",VLOOKUP(RC_OUT[BLOCK],RC_IN[[BLOCK]:[BLOCK LOC]],2,FALSE)),"")</f>
        <v/>
      </c>
      <c r="I197" s="263" t="str">
        <f>IFERROR(AVERAGEIFS(RC_IN[MC],RC_IN[BLOCK],RC_OUT[BLOCK]),"")</f>
        <v/>
      </c>
      <c r="J197" s="264">
        <f t="shared" si="1"/>
        <v>0</v>
      </c>
      <c r="K197" s="246"/>
      <c r="L197" s="246"/>
      <c r="M197" s="249" t="str">
        <f t="shared" si="2"/>
        <v/>
      </c>
      <c r="N197" s="266">
        <f t="shared" si="3"/>
        <v>0</v>
      </c>
      <c r="O197" s="247"/>
      <c r="P197" s="247"/>
      <c r="Q197" s="247"/>
      <c r="R197" s="247"/>
      <c r="S197" s="247"/>
      <c r="T197" s="247"/>
      <c r="U197" s="247"/>
      <c r="V197" s="247"/>
      <c r="W197" s="247"/>
      <c r="X197" s="247"/>
    </row>
    <row r="198">
      <c r="A198" s="273">
        <v>45570.0</v>
      </c>
      <c r="B198" s="275" t="s">
        <v>1125</v>
      </c>
      <c r="C198" s="275" t="s">
        <v>1131</v>
      </c>
      <c r="D198" s="276">
        <v>19984.0</v>
      </c>
      <c r="E198" s="275" t="s">
        <v>1017</v>
      </c>
      <c r="F198" s="279"/>
      <c r="G198" s="278" t="str">
        <f>IFNA(IF(VLOOKUP(RC_OUT[BLOCK],RC_IN[[BLOCK]:[BLOCK LOC]],2,FALSE)=0,"",VLOOKUP(RC_OUT[BLOCK],RC_IN[[BLOCK]:[BLOCK LOC]],2,FALSE)),"")</f>
        <v/>
      </c>
      <c r="I198" s="263" t="str">
        <f>IFERROR(AVERAGEIFS(RC_IN[MC],RC_IN[BLOCK],RC_OUT[BLOCK]),"")</f>
        <v/>
      </c>
      <c r="J198" s="264">
        <f t="shared" si="1"/>
        <v>0</v>
      </c>
      <c r="K198" s="246"/>
      <c r="L198" s="246"/>
      <c r="M198" s="249" t="str">
        <f t="shared" si="2"/>
        <v/>
      </c>
      <c r="N198" s="266">
        <f t="shared" si="3"/>
        <v>0</v>
      </c>
      <c r="O198" s="247"/>
      <c r="P198" s="247"/>
      <c r="Q198" s="247"/>
      <c r="R198" s="247"/>
      <c r="S198" s="247"/>
      <c r="T198" s="247"/>
      <c r="U198" s="247"/>
      <c r="V198" s="247"/>
      <c r="W198" s="247"/>
      <c r="X198" s="247"/>
    </row>
    <row r="199">
      <c r="A199" s="273">
        <v>45570.0</v>
      </c>
      <c r="B199" s="275" t="s">
        <v>1125</v>
      </c>
      <c r="C199" s="275" t="s">
        <v>1130</v>
      </c>
      <c r="D199" s="276">
        <v>9996.0</v>
      </c>
      <c r="E199" s="275" t="s">
        <v>1017</v>
      </c>
      <c r="F199" s="277" t="s">
        <v>1059</v>
      </c>
      <c r="G199" s="278" t="str">
        <f>IFNA(IF(VLOOKUP(RC_OUT[BLOCK],RC_IN[[BLOCK]:[BLOCK LOC]],2,FALSE)=0,"",VLOOKUP(RC_OUT[BLOCK],RC_IN[[BLOCK]:[BLOCK LOC]],2,FALSE)),"")</f>
        <v/>
      </c>
      <c r="I199" s="263" t="str">
        <f>IFERROR(AVERAGEIFS(RC_IN[MC],RC_IN[BLOCK],RC_OUT[BLOCK]),"")</f>
        <v/>
      </c>
      <c r="J199" s="264">
        <f t="shared" si="1"/>
        <v>0</v>
      </c>
      <c r="K199" s="246"/>
      <c r="L199" s="246"/>
      <c r="M199" s="249" t="str">
        <f t="shared" si="2"/>
        <v/>
      </c>
      <c r="N199" s="266">
        <f t="shared" si="3"/>
        <v>0</v>
      </c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</row>
    <row r="200">
      <c r="A200" s="273">
        <v>45572.0</v>
      </c>
      <c r="B200" s="275" t="s">
        <v>1125</v>
      </c>
      <c r="C200" s="275" t="s">
        <v>1132</v>
      </c>
      <c r="D200" s="276">
        <v>13079.0</v>
      </c>
      <c r="E200" s="275" t="s">
        <v>1017</v>
      </c>
      <c r="F200" s="279"/>
      <c r="G200" s="278" t="str">
        <f>IFNA(IF(VLOOKUP(RC_OUT[BLOCK],RC_IN[[BLOCK]:[BLOCK LOC]],2,FALSE)=0,"",VLOOKUP(RC_OUT[BLOCK],RC_IN[[BLOCK]:[BLOCK LOC]],2,FALSE)),"")</f>
        <v/>
      </c>
      <c r="I200" s="263" t="str">
        <f>IFERROR(AVERAGEIFS(RC_IN[MC],RC_IN[BLOCK],RC_OUT[BLOCK]),"")</f>
        <v/>
      </c>
      <c r="J200" s="264">
        <f t="shared" si="1"/>
        <v>0</v>
      </c>
      <c r="K200" s="246"/>
      <c r="L200" s="246"/>
      <c r="M200" s="249" t="str">
        <f t="shared" si="2"/>
        <v/>
      </c>
      <c r="N200" s="266">
        <f t="shared" si="3"/>
        <v>0</v>
      </c>
      <c r="O200" s="247"/>
      <c r="P200" s="247"/>
      <c r="Q200" s="247"/>
      <c r="R200" s="247"/>
      <c r="S200" s="247"/>
      <c r="T200" s="247"/>
      <c r="U200" s="247"/>
      <c r="V200" s="247"/>
      <c r="W200" s="247"/>
      <c r="X200" s="247"/>
    </row>
    <row r="201">
      <c r="A201" s="273">
        <v>45572.0</v>
      </c>
      <c r="B201" s="275" t="s">
        <v>1125</v>
      </c>
      <c r="C201" s="275" t="s">
        <v>1057</v>
      </c>
      <c r="D201" s="276">
        <v>18725.0</v>
      </c>
      <c r="E201" s="275" t="s">
        <v>1017</v>
      </c>
      <c r="F201" s="277" t="s">
        <v>1059</v>
      </c>
      <c r="G201" s="278" t="str">
        <f>IFNA(IF(VLOOKUP(RC_OUT[BLOCK],RC_IN[[BLOCK]:[BLOCK LOC]],2,FALSE)=0,"",VLOOKUP(RC_OUT[BLOCK],RC_IN[[BLOCK]:[BLOCK LOC]],2,FALSE)),"")</f>
        <v/>
      </c>
      <c r="I201" s="263" t="str">
        <f>IFERROR(AVERAGEIFS(RC_IN[MC],RC_IN[BLOCK],RC_OUT[BLOCK]),"")</f>
        <v/>
      </c>
      <c r="J201" s="264">
        <f t="shared" si="1"/>
        <v>0</v>
      </c>
      <c r="K201" s="246"/>
      <c r="L201" s="246"/>
      <c r="M201" s="249" t="str">
        <f t="shared" si="2"/>
        <v/>
      </c>
      <c r="N201" s="266">
        <f t="shared" si="3"/>
        <v>0</v>
      </c>
      <c r="O201" s="247"/>
      <c r="P201" s="247"/>
      <c r="Q201" s="247"/>
      <c r="R201" s="247"/>
      <c r="S201" s="247"/>
      <c r="T201" s="247"/>
      <c r="U201" s="247"/>
      <c r="V201" s="247"/>
      <c r="W201" s="247"/>
      <c r="X201" s="247"/>
    </row>
    <row r="202">
      <c r="A202" s="273">
        <v>45572.0</v>
      </c>
      <c r="B202" s="275" t="s">
        <v>1125</v>
      </c>
      <c r="C202" s="275" t="s">
        <v>1131</v>
      </c>
      <c r="D202" s="276">
        <v>6965.0</v>
      </c>
      <c r="E202" s="275" t="s">
        <v>1017</v>
      </c>
      <c r="F202" s="279"/>
      <c r="G202" s="278" t="str">
        <f>IFNA(IF(VLOOKUP(RC_OUT[BLOCK],RC_IN[[BLOCK]:[BLOCK LOC]],2,FALSE)=0,"",VLOOKUP(RC_OUT[BLOCK],RC_IN[[BLOCK]:[BLOCK LOC]],2,FALSE)),"")</f>
        <v/>
      </c>
      <c r="I202" s="263" t="str">
        <f>IFERROR(AVERAGEIFS(RC_IN[MC],RC_IN[BLOCK],RC_OUT[BLOCK]),"")</f>
        <v/>
      </c>
      <c r="J202" s="264">
        <f t="shared" si="1"/>
        <v>0</v>
      </c>
      <c r="K202" s="246"/>
      <c r="L202" s="246"/>
      <c r="M202" s="249" t="str">
        <f t="shared" si="2"/>
        <v/>
      </c>
      <c r="N202" s="266">
        <f t="shared" si="3"/>
        <v>0</v>
      </c>
      <c r="O202" s="247"/>
      <c r="P202" s="247"/>
      <c r="Q202" s="247"/>
      <c r="R202" s="247"/>
      <c r="S202" s="247"/>
      <c r="T202" s="247"/>
      <c r="U202" s="247"/>
      <c r="V202" s="247"/>
      <c r="W202" s="247"/>
      <c r="X202" s="247"/>
    </row>
    <row r="203">
      <c r="A203" s="273">
        <v>45573.0</v>
      </c>
      <c r="B203" s="275" t="s">
        <v>1125</v>
      </c>
      <c r="C203" s="275" t="s">
        <v>1132</v>
      </c>
      <c r="D203" s="276">
        <v>11929.0</v>
      </c>
      <c r="E203" s="275" t="s">
        <v>1017</v>
      </c>
      <c r="F203" s="279"/>
      <c r="G203" s="278" t="str">
        <f>IFNA(IF(VLOOKUP(RC_OUT[BLOCK],RC_IN[[BLOCK]:[BLOCK LOC]],2,FALSE)=0,"",VLOOKUP(RC_OUT[BLOCK],RC_IN[[BLOCK]:[BLOCK LOC]],2,FALSE)),"")</f>
        <v/>
      </c>
      <c r="I203" s="263" t="str">
        <f>IFERROR(AVERAGEIFS(RC_IN[MC],RC_IN[BLOCK],RC_OUT[BLOCK]),"")</f>
        <v/>
      </c>
      <c r="J203" s="264">
        <f t="shared" si="1"/>
        <v>0</v>
      </c>
      <c r="K203" s="246"/>
      <c r="L203" s="246"/>
      <c r="M203" s="249" t="str">
        <f t="shared" si="2"/>
        <v/>
      </c>
      <c r="N203" s="266">
        <f t="shared" si="3"/>
        <v>0</v>
      </c>
      <c r="O203" s="247"/>
      <c r="P203" s="247"/>
      <c r="Q203" s="247"/>
      <c r="R203" s="247"/>
      <c r="S203" s="247"/>
      <c r="T203" s="247"/>
      <c r="U203" s="247"/>
      <c r="V203" s="247"/>
      <c r="W203" s="247"/>
      <c r="X203" s="247"/>
    </row>
    <row r="204">
      <c r="A204" s="273">
        <v>45573.0</v>
      </c>
      <c r="B204" s="275" t="s">
        <v>1125</v>
      </c>
      <c r="C204" s="275" t="s">
        <v>1133</v>
      </c>
      <c r="D204" s="276">
        <v>10172.0</v>
      </c>
      <c r="E204" s="275" t="s">
        <v>1017</v>
      </c>
      <c r="F204" s="279"/>
      <c r="G204" s="278" t="str">
        <f>IFNA(IF(VLOOKUP(RC_OUT[BLOCK],RC_IN[[BLOCK]:[BLOCK LOC]],2,FALSE)=0,"",VLOOKUP(RC_OUT[BLOCK],RC_IN[[BLOCK]:[BLOCK LOC]],2,FALSE)),"")</f>
        <v/>
      </c>
      <c r="I204" s="263" t="str">
        <f>IFERROR(AVERAGEIFS(RC_IN[MC],RC_IN[BLOCK],RC_OUT[BLOCK]),"")</f>
        <v/>
      </c>
      <c r="J204" s="264">
        <f t="shared" si="1"/>
        <v>0</v>
      </c>
      <c r="K204" s="246"/>
      <c r="L204" s="246"/>
      <c r="M204" s="249" t="str">
        <f t="shared" si="2"/>
        <v/>
      </c>
      <c r="N204" s="266">
        <f t="shared" si="3"/>
        <v>0</v>
      </c>
      <c r="O204" s="247"/>
      <c r="P204" s="247"/>
      <c r="Q204" s="247"/>
      <c r="R204" s="247"/>
      <c r="S204" s="247"/>
      <c r="T204" s="247"/>
      <c r="U204" s="247"/>
      <c r="V204" s="247"/>
      <c r="W204" s="247"/>
      <c r="X204" s="247"/>
    </row>
    <row r="205">
      <c r="A205" s="273">
        <v>45573.0</v>
      </c>
      <c r="B205" s="275" t="s">
        <v>1125</v>
      </c>
      <c r="C205" s="275" t="s">
        <v>1131</v>
      </c>
      <c r="D205" s="276">
        <v>16815.0</v>
      </c>
      <c r="E205" s="275" t="s">
        <v>1017</v>
      </c>
      <c r="F205" s="277" t="s">
        <v>1059</v>
      </c>
      <c r="G205" s="278" t="str">
        <f>IFNA(IF(VLOOKUP(RC_OUT[BLOCK],RC_IN[[BLOCK]:[BLOCK LOC]],2,FALSE)=0,"",VLOOKUP(RC_OUT[BLOCK],RC_IN[[BLOCK]:[BLOCK LOC]],2,FALSE)),"")</f>
        <v/>
      </c>
      <c r="I205" s="263" t="str">
        <f>IFERROR(AVERAGEIFS(RC_IN[MC],RC_IN[BLOCK],RC_OUT[BLOCK]),"")</f>
        <v/>
      </c>
      <c r="J205" s="264">
        <f t="shared" si="1"/>
        <v>0</v>
      </c>
      <c r="K205" s="246"/>
      <c r="L205" s="246"/>
      <c r="M205" s="249" t="str">
        <f t="shared" si="2"/>
        <v/>
      </c>
      <c r="N205" s="266">
        <f t="shared" si="3"/>
        <v>0</v>
      </c>
      <c r="O205" s="247"/>
      <c r="P205" s="247"/>
      <c r="Q205" s="247"/>
      <c r="R205" s="247"/>
      <c r="S205" s="247"/>
      <c r="T205" s="247"/>
      <c r="U205" s="247"/>
      <c r="V205" s="247"/>
      <c r="W205" s="247"/>
      <c r="X205" s="247"/>
    </row>
    <row r="206">
      <c r="A206" s="273">
        <v>45574.0</v>
      </c>
      <c r="B206" s="275" t="s">
        <v>1125</v>
      </c>
      <c r="C206" s="275" t="s">
        <v>1132</v>
      </c>
      <c r="D206" s="276">
        <v>9695.0</v>
      </c>
      <c r="E206" s="275" t="s">
        <v>1017</v>
      </c>
      <c r="F206" s="279"/>
      <c r="G206" s="278" t="str">
        <f>IFNA(IF(VLOOKUP(RC_OUT[BLOCK],RC_IN[[BLOCK]:[BLOCK LOC]],2,FALSE)=0,"",VLOOKUP(RC_OUT[BLOCK],RC_IN[[BLOCK]:[BLOCK LOC]],2,FALSE)),"")</f>
        <v/>
      </c>
      <c r="I206" s="263" t="str">
        <f>IFERROR(AVERAGEIFS(RC_IN[MC],RC_IN[BLOCK],RC_OUT[BLOCK]),"")</f>
        <v/>
      </c>
      <c r="J206" s="264">
        <f t="shared" si="1"/>
        <v>0</v>
      </c>
      <c r="K206" s="246"/>
      <c r="L206" s="246"/>
      <c r="M206" s="249" t="str">
        <f t="shared" si="2"/>
        <v/>
      </c>
      <c r="N206" s="266">
        <f t="shared" si="3"/>
        <v>0</v>
      </c>
      <c r="O206" s="247"/>
      <c r="P206" s="247"/>
      <c r="Q206" s="247"/>
      <c r="R206" s="247"/>
      <c r="S206" s="247"/>
      <c r="T206" s="247"/>
      <c r="U206" s="247"/>
      <c r="V206" s="247"/>
      <c r="W206" s="247"/>
      <c r="X206" s="247"/>
    </row>
    <row r="207">
      <c r="A207" s="273">
        <v>45574.0</v>
      </c>
      <c r="B207" s="275" t="s">
        <v>1125</v>
      </c>
      <c r="C207" s="275" t="s">
        <v>1133</v>
      </c>
      <c r="D207" s="276">
        <v>23357.0</v>
      </c>
      <c r="E207" s="275" t="s">
        <v>1017</v>
      </c>
      <c r="F207" s="279"/>
      <c r="G207" s="278" t="str">
        <f>IFNA(IF(VLOOKUP(RC_OUT[BLOCK],RC_IN[[BLOCK]:[BLOCK LOC]],2,FALSE)=0,"",VLOOKUP(RC_OUT[BLOCK],RC_IN[[BLOCK]:[BLOCK LOC]],2,FALSE)),"")</f>
        <v/>
      </c>
      <c r="I207" s="263" t="str">
        <f>IFERROR(AVERAGEIFS(RC_IN[MC],RC_IN[BLOCK],RC_OUT[BLOCK]),"")</f>
        <v/>
      </c>
      <c r="J207" s="264">
        <f t="shared" si="1"/>
        <v>0</v>
      </c>
      <c r="K207" s="246"/>
      <c r="L207" s="246"/>
      <c r="M207" s="249" t="str">
        <f t="shared" si="2"/>
        <v/>
      </c>
      <c r="N207" s="266">
        <f t="shared" si="3"/>
        <v>0</v>
      </c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</row>
    <row r="208">
      <c r="A208" s="282">
        <v>45575.0</v>
      </c>
      <c r="B208" s="275" t="s">
        <v>1125</v>
      </c>
      <c r="C208" s="275" t="s">
        <v>1132</v>
      </c>
      <c r="D208" s="276">
        <v>9668.0</v>
      </c>
      <c r="E208" s="275" t="s">
        <v>1017</v>
      </c>
      <c r="F208" s="279"/>
      <c r="G208" s="278" t="str">
        <f>IFNA(IF(VLOOKUP(RC_OUT[BLOCK],RC_IN[[BLOCK]:[BLOCK LOC]],2,FALSE)=0,"",VLOOKUP(RC_OUT[BLOCK],RC_IN[[BLOCK]:[BLOCK LOC]],2,FALSE)),"")</f>
        <v/>
      </c>
      <c r="I208" s="263" t="str">
        <f>IFERROR(AVERAGEIFS(RC_IN[MC],RC_IN[BLOCK],RC_OUT[BLOCK]),"")</f>
        <v/>
      </c>
      <c r="J208" s="264">
        <f t="shared" si="1"/>
        <v>0</v>
      </c>
      <c r="K208" s="246"/>
      <c r="L208" s="246"/>
      <c r="M208" s="249" t="str">
        <f t="shared" si="2"/>
        <v/>
      </c>
      <c r="N208" s="266">
        <f t="shared" si="3"/>
        <v>0</v>
      </c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</row>
    <row r="209">
      <c r="A209" s="282">
        <v>45575.0</v>
      </c>
      <c r="B209" s="275" t="s">
        <v>1125</v>
      </c>
      <c r="C209" s="275" t="s">
        <v>1133</v>
      </c>
      <c r="D209" s="276">
        <v>22582.0</v>
      </c>
      <c r="E209" s="275" t="s">
        <v>1017</v>
      </c>
      <c r="F209" s="279"/>
      <c r="G209" s="278" t="str">
        <f>IFNA(IF(VLOOKUP(RC_OUT[BLOCK],RC_IN[[BLOCK]:[BLOCK LOC]],2,FALSE)=0,"",VLOOKUP(RC_OUT[BLOCK],RC_IN[[BLOCK]:[BLOCK LOC]],2,FALSE)),"")</f>
        <v/>
      </c>
      <c r="I209" s="263" t="str">
        <f>IFERROR(AVERAGEIFS(RC_IN[MC],RC_IN[BLOCK],RC_OUT[BLOCK]),"")</f>
        <v/>
      </c>
      <c r="J209" s="264">
        <f t="shared" si="1"/>
        <v>0</v>
      </c>
      <c r="K209" s="246"/>
      <c r="L209" s="246"/>
      <c r="M209" s="249" t="str">
        <f t="shared" si="2"/>
        <v/>
      </c>
      <c r="N209" s="266">
        <f t="shared" si="3"/>
        <v>0</v>
      </c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</row>
    <row r="210">
      <c r="A210" s="282">
        <v>45576.0</v>
      </c>
      <c r="B210" s="275" t="s">
        <v>1125</v>
      </c>
      <c r="C210" s="275" t="s">
        <v>1132</v>
      </c>
      <c r="D210" s="276">
        <v>9518.0</v>
      </c>
      <c r="E210" s="275" t="s">
        <v>1017</v>
      </c>
      <c r="F210" s="279"/>
      <c r="G210" s="278" t="str">
        <f>IFNA(IF(VLOOKUP(RC_OUT[BLOCK],RC_IN[[BLOCK]:[BLOCK LOC]],2,FALSE)=0,"",VLOOKUP(RC_OUT[BLOCK],RC_IN[[BLOCK]:[BLOCK LOC]],2,FALSE)),"")</f>
        <v/>
      </c>
      <c r="I210" s="263" t="str">
        <f>IFERROR(AVERAGEIFS(RC_IN[MC],RC_IN[BLOCK],RC_OUT[BLOCK]),"")</f>
        <v/>
      </c>
      <c r="J210" s="264">
        <f t="shared" si="1"/>
        <v>0</v>
      </c>
      <c r="K210" s="246"/>
      <c r="L210" s="246"/>
      <c r="M210" s="249" t="str">
        <f t="shared" si="2"/>
        <v/>
      </c>
      <c r="N210" s="266">
        <f t="shared" si="3"/>
        <v>0</v>
      </c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</row>
    <row r="211">
      <c r="A211" s="282">
        <v>45576.0</v>
      </c>
      <c r="B211" s="275" t="s">
        <v>1125</v>
      </c>
      <c r="C211" s="275" t="s">
        <v>1134</v>
      </c>
      <c r="D211" s="276">
        <v>4103.0</v>
      </c>
      <c r="E211" s="275" t="s">
        <v>1017</v>
      </c>
      <c r="F211" s="279"/>
      <c r="G211" s="278" t="str">
        <f>IFNA(IF(VLOOKUP(RC_OUT[BLOCK],RC_IN[[BLOCK]:[BLOCK LOC]],2,FALSE)=0,"",VLOOKUP(RC_OUT[BLOCK],RC_IN[[BLOCK]:[BLOCK LOC]],2,FALSE)),"")</f>
        <v/>
      </c>
      <c r="I211" s="263" t="str">
        <f>IFERROR(AVERAGEIFS(RC_IN[MC],RC_IN[BLOCK],RC_OUT[BLOCK]),"")</f>
        <v/>
      </c>
      <c r="J211" s="264">
        <f t="shared" si="1"/>
        <v>0</v>
      </c>
      <c r="K211" s="246"/>
      <c r="L211" s="246"/>
      <c r="M211" s="249" t="str">
        <f t="shared" si="2"/>
        <v/>
      </c>
      <c r="N211" s="266">
        <f t="shared" si="3"/>
        <v>0</v>
      </c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</row>
    <row r="212">
      <c r="A212" s="282">
        <v>45576.0</v>
      </c>
      <c r="B212" s="275" t="s">
        <v>1125</v>
      </c>
      <c r="C212" s="275" t="s">
        <v>1133</v>
      </c>
      <c r="D212" s="276">
        <v>9129.0</v>
      </c>
      <c r="E212" s="275" t="s">
        <v>1017</v>
      </c>
      <c r="F212" s="277" t="s">
        <v>1059</v>
      </c>
      <c r="G212" s="278" t="str">
        <f>IFNA(IF(VLOOKUP(RC_OUT[BLOCK],RC_IN[[BLOCK]:[BLOCK LOC]],2,FALSE)=0,"",VLOOKUP(RC_OUT[BLOCK],RC_IN[[BLOCK]:[BLOCK LOC]],2,FALSE)),"")</f>
        <v/>
      </c>
      <c r="I212" s="263" t="str">
        <f>IFERROR(AVERAGEIFS(RC_IN[MC],RC_IN[BLOCK],RC_OUT[BLOCK]),"")</f>
        <v/>
      </c>
      <c r="J212" s="264">
        <f t="shared" si="1"/>
        <v>0</v>
      </c>
      <c r="K212" s="246"/>
      <c r="L212" s="246"/>
      <c r="M212" s="249" t="str">
        <f t="shared" si="2"/>
        <v/>
      </c>
      <c r="N212" s="266">
        <f t="shared" si="3"/>
        <v>0</v>
      </c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</row>
    <row r="213">
      <c r="A213" s="282">
        <v>45576.0</v>
      </c>
      <c r="B213" s="275" t="s">
        <v>1125</v>
      </c>
      <c r="C213" s="275" t="s">
        <v>1135</v>
      </c>
      <c r="D213" s="276">
        <v>11195.0</v>
      </c>
      <c r="E213" s="275" t="s">
        <v>1017</v>
      </c>
      <c r="F213" s="279"/>
      <c r="G213" s="278" t="str">
        <f>IFNA(IF(VLOOKUP(RC_OUT[BLOCK],RC_IN[[BLOCK]:[BLOCK LOC]],2,FALSE)=0,"",VLOOKUP(RC_OUT[BLOCK],RC_IN[[BLOCK]:[BLOCK LOC]],2,FALSE)),"")</f>
        <v/>
      </c>
      <c r="I213" s="263" t="str">
        <f>IFERROR(AVERAGEIFS(RC_IN[MC],RC_IN[BLOCK],RC_OUT[BLOCK]),"")</f>
        <v/>
      </c>
      <c r="J213" s="264">
        <f t="shared" si="1"/>
        <v>0</v>
      </c>
      <c r="K213" s="246"/>
      <c r="L213" s="246"/>
      <c r="M213" s="249" t="str">
        <f t="shared" si="2"/>
        <v/>
      </c>
      <c r="N213" s="266">
        <f t="shared" si="3"/>
        <v>0</v>
      </c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</row>
    <row r="214">
      <c r="A214" s="282">
        <v>45579.0</v>
      </c>
      <c r="B214" s="275" t="s">
        <v>1125</v>
      </c>
      <c r="C214" s="275" t="s">
        <v>1132</v>
      </c>
      <c r="D214" s="276">
        <v>14448.0</v>
      </c>
      <c r="E214" s="275" t="s">
        <v>1017</v>
      </c>
      <c r="F214" s="279"/>
      <c r="G214" s="278" t="str">
        <f>IFNA(IF(VLOOKUP(RC_OUT[BLOCK],RC_IN[[BLOCK]:[BLOCK LOC]],2,FALSE)=0,"",VLOOKUP(RC_OUT[BLOCK],RC_IN[[BLOCK]:[BLOCK LOC]],2,FALSE)),"")</f>
        <v/>
      </c>
      <c r="I214" s="263" t="str">
        <f>IFERROR(AVERAGEIFS(RC_IN[MC],RC_IN[BLOCK],RC_OUT[BLOCK]),"")</f>
        <v/>
      </c>
      <c r="J214" s="264">
        <f t="shared" si="1"/>
        <v>0</v>
      </c>
      <c r="K214" s="246"/>
      <c r="L214" s="246"/>
      <c r="M214" s="249" t="str">
        <f t="shared" si="2"/>
        <v/>
      </c>
      <c r="N214" s="266">
        <f t="shared" si="3"/>
        <v>0</v>
      </c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</row>
    <row r="215">
      <c r="A215" s="282">
        <v>45579.0</v>
      </c>
      <c r="B215" s="275" t="s">
        <v>1125</v>
      </c>
      <c r="C215" s="275" t="s">
        <v>1134</v>
      </c>
      <c r="D215" s="276">
        <v>4586.0</v>
      </c>
      <c r="E215" s="275" t="s">
        <v>1017</v>
      </c>
      <c r="F215" s="279"/>
      <c r="G215" s="278" t="str">
        <f>IFNA(IF(VLOOKUP(RC_OUT[BLOCK],RC_IN[[BLOCK]:[BLOCK LOC]],2,FALSE)=0,"",VLOOKUP(RC_OUT[BLOCK],RC_IN[[BLOCK]:[BLOCK LOC]],2,FALSE)),"")</f>
        <v/>
      </c>
      <c r="I215" s="263" t="str">
        <f>IFERROR(AVERAGEIFS(RC_IN[MC],RC_IN[BLOCK],RC_OUT[BLOCK]),"")</f>
        <v/>
      </c>
      <c r="J215" s="264">
        <f t="shared" si="1"/>
        <v>0</v>
      </c>
      <c r="K215" s="246"/>
      <c r="L215" s="246"/>
      <c r="M215" s="249" t="str">
        <f t="shared" si="2"/>
        <v/>
      </c>
      <c r="N215" s="266">
        <f t="shared" si="3"/>
        <v>0</v>
      </c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</row>
    <row r="216">
      <c r="A216" s="282">
        <v>45579.0</v>
      </c>
      <c r="B216" s="275" t="s">
        <v>1125</v>
      </c>
      <c r="C216" s="275" t="s">
        <v>1057</v>
      </c>
      <c r="D216" s="276">
        <v>9040.0</v>
      </c>
      <c r="E216" s="275" t="s">
        <v>1017</v>
      </c>
      <c r="F216" s="279"/>
      <c r="G216" s="278" t="str">
        <f>IFNA(IF(VLOOKUP(RC_OUT[BLOCK],RC_IN[[BLOCK]:[BLOCK LOC]],2,FALSE)=0,"",VLOOKUP(RC_OUT[BLOCK],RC_IN[[BLOCK]:[BLOCK LOC]],2,FALSE)),"")</f>
        <v/>
      </c>
      <c r="I216" s="263" t="str">
        <f>IFERROR(AVERAGEIFS(RC_IN[MC],RC_IN[BLOCK],RC_OUT[BLOCK]),"")</f>
        <v/>
      </c>
      <c r="J216" s="264">
        <f t="shared" si="1"/>
        <v>0</v>
      </c>
      <c r="K216" s="246"/>
      <c r="L216" s="246"/>
      <c r="M216" s="249" t="str">
        <f t="shared" si="2"/>
        <v/>
      </c>
      <c r="N216" s="266">
        <f t="shared" si="3"/>
        <v>0</v>
      </c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</row>
    <row r="217">
      <c r="A217" s="282">
        <v>45579.0</v>
      </c>
      <c r="B217" s="275" t="s">
        <v>1125</v>
      </c>
      <c r="C217" s="275" t="s">
        <v>1135</v>
      </c>
      <c r="D217" s="276">
        <v>9690.0</v>
      </c>
      <c r="E217" s="275" t="s">
        <v>1017</v>
      </c>
      <c r="F217" s="279"/>
      <c r="G217" s="278" t="str">
        <f>IFNA(IF(VLOOKUP(RC_OUT[BLOCK],RC_IN[[BLOCK]:[BLOCK LOC]],2,FALSE)=0,"",VLOOKUP(RC_OUT[BLOCK],RC_IN[[BLOCK]:[BLOCK LOC]],2,FALSE)),"")</f>
        <v/>
      </c>
      <c r="I217" s="263" t="str">
        <f>IFERROR(AVERAGEIFS(RC_IN[MC],RC_IN[BLOCK],RC_OUT[BLOCK]),"")</f>
        <v/>
      </c>
      <c r="J217" s="264">
        <f t="shared" si="1"/>
        <v>0</v>
      </c>
      <c r="K217" s="246"/>
      <c r="L217" s="246"/>
      <c r="M217" s="249" t="str">
        <f t="shared" si="2"/>
        <v/>
      </c>
      <c r="N217" s="266">
        <f t="shared" si="3"/>
        <v>0</v>
      </c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</row>
    <row r="218">
      <c r="A218" s="282">
        <v>45580.0</v>
      </c>
      <c r="B218" s="275" t="s">
        <v>1125</v>
      </c>
      <c r="C218" s="275" t="s">
        <v>1132</v>
      </c>
      <c r="D218" s="276">
        <v>4586.0</v>
      </c>
      <c r="E218" s="275" t="s">
        <v>1017</v>
      </c>
      <c r="F218" s="277" t="s">
        <v>1059</v>
      </c>
      <c r="G218" s="278" t="str">
        <f>IFNA(IF(VLOOKUP(RC_OUT[BLOCK],RC_IN[[BLOCK]:[BLOCK LOC]],2,FALSE)=0,"",VLOOKUP(RC_OUT[BLOCK],RC_IN[[BLOCK]:[BLOCK LOC]],2,FALSE)),"")</f>
        <v/>
      </c>
      <c r="I218" s="263" t="str">
        <f>IFERROR(AVERAGEIFS(RC_IN[MC],RC_IN[BLOCK],RC_OUT[BLOCK]),"")</f>
        <v/>
      </c>
      <c r="J218" s="264">
        <f t="shared" si="1"/>
        <v>0</v>
      </c>
      <c r="K218" s="246"/>
      <c r="L218" s="246"/>
      <c r="M218" s="249" t="str">
        <f t="shared" si="2"/>
        <v/>
      </c>
      <c r="N218" s="266">
        <f t="shared" si="3"/>
        <v>0</v>
      </c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</row>
    <row r="219">
      <c r="A219" s="282">
        <v>45580.0</v>
      </c>
      <c r="B219" s="275" t="s">
        <v>1125</v>
      </c>
      <c r="C219" s="275" t="s">
        <v>1134</v>
      </c>
      <c r="D219" s="276">
        <v>5920.0</v>
      </c>
      <c r="E219" s="275" t="s">
        <v>1017</v>
      </c>
      <c r="F219" s="279"/>
      <c r="G219" s="278" t="str">
        <f>IFNA(IF(VLOOKUP(RC_OUT[BLOCK],RC_IN[[BLOCK]:[BLOCK LOC]],2,FALSE)=0,"",VLOOKUP(RC_OUT[BLOCK],RC_IN[[BLOCK]:[BLOCK LOC]],2,FALSE)),"")</f>
        <v/>
      </c>
      <c r="I219" s="263" t="str">
        <f>IFERROR(AVERAGEIFS(RC_IN[MC],RC_IN[BLOCK],RC_OUT[BLOCK]),"")</f>
        <v/>
      </c>
      <c r="J219" s="264">
        <f t="shared" si="1"/>
        <v>0</v>
      </c>
      <c r="K219" s="246"/>
      <c r="L219" s="246"/>
      <c r="M219" s="249" t="str">
        <f t="shared" si="2"/>
        <v/>
      </c>
      <c r="N219" s="266">
        <f t="shared" si="3"/>
        <v>0</v>
      </c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</row>
    <row r="220">
      <c r="A220" s="282">
        <v>45580.0</v>
      </c>
      <c r="B220" s="275" t="s">
        <v>1125</v>
      </c>
      <c r="C220" s="275" t="s">
        <v>1057</v>
      </c>
      <c r="D220" s="276">
        <v>9040.0</v>
      </c>
      <c r="E220" s="275" t="s">
        <v>1017</v>
      </c>
      <c r="F220" s="279"/>
      <c r="G220" s="278" t="str">
        <f>IFNA(IF(VLOOKUP(RC_OUT[BLOCK],RC_IN[[BLOCK]:[BLOCK LOC]],2,FALSE)=0,"",VLOOKUP(RC_OUT[BLOCK],RC_IN[[BLOCK]:[BLOCK LOC]],2,FALSE)),"")</f>
        <v/>
      </c>
      <c r="I220" s="263" t="str">
        <f>IFERROR(AVERAGEIFS(RC_IN[MC],RC_IN[BLOCK],RC_OUT[BLOCK]),"")</f>
        <v/>
      </c>
      <c r="J220" s="264">
        <f t="shared" si="1"/>
        <v>0</v>
      </c>
      <c r="K220" s="246"/>
      <c r="L220" s="246"/>
      <c r="M220" s="249" t="str">
        <f t="shared" si="2"/>
        <v/>
      </c>
      <c r="N220" s="266">
        <f t="shared" si="3"/>
        <v>0</v>
      </c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</row>
    <row r="221">
      <c r="A221" s="282">
        <v>45580.0</v>
      </c>
      <c r="B221" s="275" t="s">
        <v>1125</v>
      </c>
      <c r="C221" s="275" t="s">
        <v>1135</v>
      </c>
      <c r="D221" s="276">
        <v>22362.0</v>
      </c>
      <c r="E221" s="275" t="s">
        <v>1017</v>
      </c>
      <c r="F221" s="279"/>
      <c r="G221" s="278" t="str">
        <f>IFNA(IF(VLOOKUP(RC_OUT[BLOCK],RC_IN[[BLOCK]:[BLOCK LOC]],2,FALSE)=0,"",VLOOKUP(RC_OUT[BLOCK],RC_IN[[BLOCK]:[BLOCK LOC]],2,FALSE)),"")</f>
        <v/>
      </c>
      <c r="I221" s="263" t="str">
        <f>IFERROR(AVERAGEIFS(RC_IN[MC],RC_IN[BLOCK],RC_OUT[BLOCK]),"")</f>
        <v/>
      </c>
      <c r="J221" s="264">
        <f t="shared" si="1"/>
        <v>0</v>
      </c>
      <c r="K221" s="246"/>
      <c r="L221" s="246"/>
      <c r="M221" s="249" t="str">
        <f t="shared" si="2"/>
        <v/>
      </c>
      <c r="N221" s="266">
        <f t="shared" si="3"/>
        <v>0</v>
      </c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</row>
    <row r="222">
      <c r="A222" s="282">
        <v>45581.0</v>
      </c>
      <c r="B222" s="275" t="s">
        <v>1125</v>
      </c>
      <c r="C222" s="275" t="s">
        <v>1134</v>
      </c>
      <c r="D222" s="276">
        <v>6715.0</v>
      </c>
      <c r="E222" s="275" t="s">
        <v>1017</v>
      </c>
      <c r="F222" s="279"/>
      <c r="G222" s="278" t="str">
        <f>IFNA(IF(VLOOKUP(RC_OUT[BLOCK],RC_IN[[BLOCK]:[BLOCK LOC]],2,FALSE)=0,"",VLOOKUP(RC_OUT[BLOCK],RC_IN[[BLOCK]:[BLOCK LOC]],2,FALSE)),"")</f>
        <v/>
      </c>
      <c r="I222" s="263" t="str">
        <f>IFERROR(AVERAGEIFS(RC_IN[MC],RC_IN[BLOCK],RC_OUT[BLOCK]),"")</f>
        <v/>
      </c>
      <c r="J222" s="264">
        <f t="shared" si="1"/>
        <v>0</v>
      </c>
      <c r="K222" s="246"/>
      <c r="L222" s="246"/>
      <c r="M222" s="249" t="str">
        <f t="shared" si="2"/>
        <v/>
      </c>
      <c r="N222" s="266">
        <f t="shared" si="3"/>
        <v>0</v>
      </c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</row>
    <row r="223">
      <c r="A223" s="282">
        <v>45581.0</v>
      </c>
      <c r="B223" s="275" t="s">
        <v>1125</v>
      </c>
      <c r="C223" s="275" t="s">
        <v>1136</v>
      </c>
      <c r="D223" s="276">
        <v>3228.0</v>
      </c>
      <c r="E223" s="275" t="s">
        <v>1017</v>
      </c>
      <c r="F223" s="279"/>
      <c r="G223" s="278" t="str">
        <f>IFNA(IF(VLOOKUP(RC_OUT[BLOCK],RC_IN[[BLOCK]:[BLOCK LOC]],2,FALSE)=0,"",VLOOKUP(RC_OUT[BLOCK],RC_IN[[BLOCK]:[BLOCK LOC]],2,FALSE)),"")</f>
        <v/>
      </c>
      <c r="I223" s="263" t="str">
        <f>IFERROR(AVERAGEIFS(RC_IN[MC],RC_IN[BLOCK],RC_OUT[BLOCK]),"")</f>
        <v/>
      </c>
      <c r="J223" s="264">
        <f t="shared" si="1"/>
        <v>0</v>
      </c>
      <c r="K223" s="246"/>
      <c r="L223" s="246"/>
      <c r="M223" s="249" t="str">
        <f t="shared" si="2"/>
        <v/>
      </c>
      <c r="N223" s="266">
        <f t="shared" si="3"/>
        <v>0</v>
      </c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</row>
    <row r="224">
      <c r="A224" s="282">
        <v>45581.0</v>
      </c>
      <c r="B224" s="275" t="s">
        <v>1125</v>
      </c>
      <c r="C224" s="275" t="s">
        <v>1135</v>
      </c>
      <c r="D224" s="276">
        <v>21528.0</v>
      </c>
      <c r="E224" s="275" t="s">
        <v>1017</v>
      </c>
      <c r="F224" s="277" t="s">
        <v>1059</v>
      </c>
      <c r="G224" s="278" t="str">
        <f>IFNA(IF(VLOOKUP(RC_OUT[BLOCK],RC_IN[[BLOCK]:[BLOCK LOC]],2,FALSE)=0,"",VLOOKUP(RC_OUT[BLOCK],RC_IN[[BLOCK]:[BLOCK LOC]],2,FALSE)),"")</f>
        <v/>
      </c>
      <c r="I224" s="263" t="str">
        <f>IFERROR(AVERAGEIFS(RC_IN[MC],RC_IN[BLOCK],RC_OUT[BLOCK]),"")</f>
        <v/>
      </c>
      <c r="J224" s="264">
        <f t="shared" si="1"/>
        <v>0</v>
      </c>
      <c r="K224" s="246"/>
      <c r="L224" s="246"/>
      <c r="M224" s="249" t="str">
        <f t="shared" si="2"/>
        <v/>
      </c>
      <c r="N224" s="266">
        <f t="shared" si="3"/>
        <v>0</v>
      </c>
      <c r="O224" s="247"/>
      <c r="P224" s="247"/>
      <c r="Q224" s="247"/>
      <c r="R224" s="247"/>
      <c r="S224" s="247"/>
      <c r="T224" s="247"/>
      <c r="U224" s="247"/>
      <c r="V224" s="247"/>
      <c r="W224" s="247"/>
      <c r="X224" s="247"/>
    </row>
    <row r="225">
      <c r="A225" s="282">
        <v>45582.0</v>
      </c>
      <c r="B225" s="275" t="s">
        <v>1125</v>
      </c>
      <c r="C225" s="275" t="s">
        <v>1134</v>
      </c>
      <c r="D225" s="276">
        <v>6025.0</v>
      </c>
      <c r="E225" s="275" t="s">
        <v>1017</v>
      </c>
      <c r="F225" s="279"/>
      <c r="G225" s="278" t="str">
        <f>IFNA(IF(VLOOKUP(RC_OUT[BLOCK],RC_IN[[BLOCK]:[BLOCK LOC]],2,FALSE)=0,"",VLOOKUP(RC_OUT[BLOCK],RC_IN[[BLOCK]:[BLOCK LOC]],2,FALSE)),"")</f>
        <v/>
      </c>
      <c r="I225" s="263" t="str">
        <f>IFERROR(AVERAGEIFS(RC_IN[MC],RC_IN[BLOCK],RC_OUT[BLOCK]),"")</f>
        <v/>
      </c>
      <c r="J225" s="264">
        <f t="shared" si="1"/>
        <v>0</v>
      </c>
      <c r="K225" s="246"/>
      <c r="L225" s="246"/>
      <c r="M225" s="249" t="str">
        <f t="shared" si="2"/>
        <v/>
      </c>
      <c r="N225" s="266">
        <f t="shared" si="3"/>
        <v>0</v>
      </c>
      <c r="O225" s="247"/>
      <c r="P225" s="247"/>
      <c r="Q225" s="247"/>
      <c r="R225" s="247"/>
      <c r="S225" s="247"/>
      <c r="T225" s="247"/>
      <c r="U225" s="247"/>
      <c r="V225" s="247"/>
      <c r="W225" s="247"/>
      <c r="X225" s="247"/>
    </row>
    <row r="226">
      <c r="A226" s="282">
        <v>45582.0</v>
      </c>
      <c r="B226" s="275" t="s">
        <v>1125</v>
      </c>
      <c r="C226" s="275" t="s">
        <v>1136</v>
      </c>
      <c r="D226" s="276">
        <v>12649.0</v>
      </c>
      <c r="E226" s="275" t="s">
        <v>1017</v>
      </c>
      <c r="F226" s="279"/>
      <c r="G226" s="278" t="str">
        <f>IFNA(IF(VLOOKUP(RC_OUT[BLOCK],RC_IN[[BLOCK]:[BLOCK LOC]],2,FALSE)=0,"",VLOOKUP(RC_OUT[BLOCK],RC_IN[[BLOCK]:[BLOCK LOC]],2,FALSE)),"")</f>
        <v/>
      </c>
      <c r="I226" s="263" t="str">
        <f>IFERROR(AVERAGEIFS(RC_IN[MC],RC_IN[BLOCK],RC_OUT[BLOCK]),"")</f>
        <v/>
      </c>
      <c r="J226" s="264">
        <f t="shared" si="1"/>
        <v>0</v>
      </c>
      <c r="K226" s="246"/>
      <c r="L226" s="246"/>
      <c r="M226" s="249" t="str">
        <f t="shared" si="2"/>
        <v/>
      </c>
      <c r="N226" s="266">
        <f t="shared" si="3"/>
        <v>0</v>
      </c>
      <c r="O226" s="247"/>
      <c r="P226" s="247"/>
      <c r="Q226" s="247"/>
      <c r="R226" s="247"/>
      <c r="S226" s="247"/>
      <c r="T226" s="247"/>
      <c r="U226" s="247"/>
      <c r="V226" s="247"/>
      <c r="W226" s="247"/>
      <c r="X226" s="247"/>
    </row>
    <row r="227">
      <c r="A227" s="282">
        <v>45582.0</v>
      </c>
      <c r="B227" s="275" t="s">
        <v>1125</v>
      </c>
      <c r="C227" s="275" t="s">
        <v>1137</v>
      </c>
      <c r="D227" s="276">
        <v>15238.0</v>
      </c>
      <c r="E227" s="275" t="s">
        <v>1017</v>
      </c>
      <c r="F227" s="279"/>
      <c r="G227" s="278" t="str">
        <f>IFNA(IF(VLOOKUP(RC_OUT[BLOCK],RC_IN[[BLOCK]:[BLOCK LOC]],2,FALSE)=0,"",VLOOKUP(RC_OUT[BLOCK],RC_IN[[BLOCK]:[BLOCK LOC]],2,FALSE)),"")</f>
        <v/>
      </c>
      <c r="I227" s="263" t="str">
        <f>IFERROR(AVERAGEIFS(RC_IN[MC],RC_IN[BLOCK],RC_OUT[BLOCK]),"")</f>
        <v/>
      </c>
      <c r="J227" s="264">
        <f t="shared" si="1"/>
        <v>0</v>
      </c>
      <c r="K227" s="246"/>
      <c r="L227" s="246"/>
      <c r="M227" s="249" t="str">
        <f t="shared" si="2"/>
        <v/>
      </c>
      <c r="N227" s="266">
        <f t="shared" si="3"/>
        <v>0</v>
      </c>
      <c r="O227" s="247"/>
      <c r="P227" s="247"/>
      <c r="Q227" s="247"/>
      <c r="R227" s="247"/>
      <c r="S227" s="247"/>
      <c r="T227" s="247"/>
      <c r="U227" s="247"/>
      <c r="V227" s="247"/>
      <c r="W227" s="247"/>
      <c r="X227" s="247"/>
    </row>
    <row r="228">
      <c r="A228" s="282">
        <v>45583.0</v>
      </c>
      <c r="B228" s="275" t="s">
        <v>1125</v>
      </c>
      <c r="C228" s="275" t="s">
        <v>1138</v>
      </c>
      <c r="D228" s="276">
        <v>2931.0</v>
      </c>
      <c r="E228" s="275" t="s">
        <v>1017</v>
      </c>
      <c r="F228" s="279"/>
      <c r="G228" s="278" t="str">
        <f>IFNA(IF(VLOOKUP(RC_OUT[BLOCK],RC_IN[[BLOCK]:[BLOCK LOC]],2,FALSE)=0,"",VLOOKUP(RC_OUT[BLOCK],RC_IN[[BLOCK]:[BLOCK LOC]],2,FALSE)),"")</f>
        <v/>
      </c>
      <c r="I228" s="263" t="str">
        <f>IFERROR(AVERAGEIFS(RC_IN[MC],RC_IN[BLOCK],RC_OUT[BLOCK]),"")</f>
        <v/>
      </c>
      <c r="J228" s="264">
        <f t="shared" si="1"/>
        <v>0</v>
      </c>
      <c r="K228" s="246"/>
      <c r="L228" s="246"/>
      <c r="M228" s="249" t="str">
        <f t="shared" si="2"/>
        <v/>
      </c>
      <c r="N228" s="266">
        <f t="shared" si="3"/>
        <v>0</v>
      </c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</row>
    <row r="229">
      <c r="A229" s="282">
        <v>45583.0</v>
      </c>
      <c r="B229" s="275" t="s">
        <v>1125</v>
      </c>
      <c r="C229" s="275" t="s">
        <v>1134</v>
      </c>
      <c r="D229" s="276">
        <v>1659.0</v>
      </c>
      <c r="E229" s="275" t="s">
        <v>1017</v>
      </c>
      <c r="F229" s="277" t="s">
        <v>1059</v>
      </c>
      <c r="G229" s="278" t="str">
        <f>IFNA(IF(VLOOKUP(RC_OUT[BLOCK],RC_IN[[BLOCK]:[BLOCK LOC]],2,FALSE)=0,"",VLOOKUP(RC_OUT[BLOCK],RC_IN[[BLOCK]:[BLOCK LOC]],2,FALSE)),"")</f>
        <v/>
      </c>
      <c r="I229" s="263" t="str">
        <f>IFERROR(AVERAGEIFS(RC_IN[MC],RC_IN[BLOCK],RC_OUT[BLOCK]),"")</f>
        <v/>
      </c>
      <c r="J229" s="264">
        <f t="shared" si="1"/>
        <v>0</v>
      </c>
      <c r="K229" s="246"/>
      <c r="L229" s="246"/>
      <c r="M229" s="249" t="str">
        <f t="shared" si="2"/>
        <v/>
      </c>
      <c r="N229" s="266">
        <f t="shared" si="3"/>
        <v>0</v>
      </c>
      <c r="O229" s="247"/>
      <c r="P229" s="247"/>
      <c r="Q229" s="247"/>
      <c r="R229" s="247"/>
      <c r="S229" s="247"/>
      <c r="T229" s="247"/>
      <c r="U229" s="247"/>
      <c r="V229" s="247"/>
      <c r="W229" s="247"/>
      <c r="X229" s="247"/>
    </row>
    <row r="230">
      <c r="A230" s="282">
        <v>45583.0</v>
      </c>
      <c r="B230" s="275" t="s">
        <v>1125</v>
      </c>
      <c r="C230" s="275" t="s">
        <v>1057</v>
      </c>
      <c r="D230" s="276">
        <v>9150.0</v>
      </c>
      <c r="E230" s="275" t="s">
        <v>1017</v>
      </c>
      <c r="F230" s="279"/>
      <c r="G230" s="278" t="str">
        <f>IFNA(IF(VLOOKUP(RC_OUT[BLOCK],RC_IN[[BLOCK]:[BLOCK LOC]],2,FALSE)=0,"",VLOOKUP(RC_OUT[BLOCK],RC_IN[[BLOCK]:[BLOCK LOC]],2,FALSE)),"")</f>
        <v/>
      </c>
      <c r="I230" s="263" t="str">
        <f>IFERROR(AVERAGEIFS(RC_IN[MC],RC_IN[BLOCK],RC_OUT[BLOCK]),"")</f>
        <v/>
      </c>
      <c r="J230" s="264">
        <f t="shared" si="1"/>
        <v>0</v>
      </c>
      <c r="K230" s="246"/>
      <c r="L230" s="246"/>
      <c r="M230" s="249" t="str">
        <f t="shared" si="2"/>
        <v/>
      </c>
      <c r="N230" s="266">
        <f t="shared" si="3"/>
        <v>0</v>
      </c>
      <c r="O230" s="247"/>
      <c r="P230" s="247"/>
      <c r="Q230" s="247"/>
      <c r="R230" s="247"/>
      <c r="S230" s="247"/>
      <c r="T230" s="247"/>
      <c r="U230" s="247"/>
      <c r="V230" s="247"/>
      <c r="W230" s="247"/>
      <c r="X230" s="247"/>
    </row>
    <row r="231">
      <c r="A231" s="282">
        <v>45583.0</v>
      </c>
      <c r="B231" s="275" t="s">
        <v>1125</v>
      </c>
      <c r="C231" s="275" t="s">
        <v>1136</v>
      </c>
      <c r="D231" s="276">
        <v>8387.0</v>
      </c>
      <c r="E231" s="275" t="s">
        <v>1017</v>
      </c>
      <c r="F231" s="279"/>
      <c r="G231" s="278" t="str">
        <f>IFNA(IF(VLOOKUP(RC_OUT[BLOCK],RC_IN[[BLOCK]:[BLOCK LOC]],2,FALSE)=0,"",VLOOKUP(RC_OUT[BLOCK],RC_IN[[BLOCK]:[BLOCK LOC]],2,FALSE)),"")</f>
        <v/>
      </c>
      <c r="I231" s="263" t="str">
        <f>IFERROR(AVERAGEIFS(RC_IN[MC],RC_IN[BLOCK],RC_OUT[BLOCK]),"")</f>
        <v/>
      </c>
      <c r="J231" s="264">
        <f t="shared" si="1"/>
        <v>0</v>
      </c>
      <c r="K231" s="246"/>
      <c r="L231" s="246"/>
      <c r="M231" s="249" t="str">
        <f t="shared" si="2"/>
        <v/>
      </c>
      <c r="N231" s="266">
        <f t="shared" si="3"/>
        <v>0</v>
      </c>
      <c r="O231" s="247"/>
      <c r="P231" s="247"/>
      <c r="Q231" s="247"/>
      <c r="R231" s="247"/>
      <c r="S231" s="247"/>
      <c r="T231" s="247"/>
      <c r="U231" s="247"/>
      <c r="V231" s="247"/>
      <c r="W231" s="247"/>
      <c r="X231" s="247"/>
    </row>
    <row r="232">
      <c r="A232" s="282">
        <v>45583.0</v>
      </c>
      <c r="B232" s="275" t="s">
        <v>1125</v>
      </c>
      <c r="C232" s="275" t="s">
        <v>1137</v>
      </c>
      <c r="D232" s="276">
        <v>8771.0</v>
      </c>
      <c r="E232" s="275" t="s">
        <v>1017</v>
      </c>
      <c r="F232" s="279"/>
      <c r="G232" s="278" t="str">
        <f>IFNA(IF(VLOOKUP(RC_OUT[BLOCK],RC_IN[[BLOCK]:[BLOCK LOC]],2,FALSE)=0,"",VLOOKUP(RC_OUT[BLOCK],RC_IN[[BLOCK]:[BLOCK LOC]],2,FALSE)),"")</f>
        <v/>
      </c>
      <c r="I232" s="263" t="str">
        <f>IFERROR(AVERAGEIFS(RC_IN[MC],RC_IN[BLOCK],RC_OUT[BLOCK]),"")</f>
        <v/>
      </c>
      <c r="J232" s="264">
        <f t="shared" si="1"/>
        <v>0</v>
      </c>
      <c r="K232" s="246"/>
      <c r="L232" s="246"/>
      <c r="M232" s="249" t="str">
        <f t="shared" si="2"/>
        <v/>
      </c>
      <c r="N232" s="266">
        <f t="shared" si="3"/>
        <v>0</v>
      </c>
      <c r="O232" s="247"/>
      <c r="P232" s="247"/>
      <c r="Q232" s="247"/>
      <c r="R232" s="247"/>
      <c r="S232" s="247"/>
      <c r="T232" s="247"/>
      <c r="U232" s="247"/>
      <c r="V232" s="247"/>
      <c r="W232" s="247"/>
      <c r="X232" s="247"/>
    </row>
    <row r="233">
      <c r="A233" s="282">
        <v>45586.0</v>
      </c>
      <c r="B233" s="275" t="s">
        <v>1125</v>
      </c>
      <c r="C233" s="275" t="s">
        <v>1057</v>
      </c>
      <c r="D233" s="276">
        <v>9150.0</v>
      </c>
      <c r="E233" s="275" t="s">
        <v>1017</v>
      </c>
      <c r="F233" s="279"/>
      <c r="G233" s="278" t="str">
        <f>IFNA(IF(VLOOKUP(RC_OUT[BLOCK],RC_IN[[BLOCK]:[BLOCK LOC]],2,FALSE)=0,"",VLOOKUP(RC_OUT[BLOCK],RC_IN[[BLOCK]:[BLOCK LOC]],2,FALSE)),"")</f>
        <v/>
      </c>
      <c r="I233" s="263" t="str">
        <f>IFERROR(AVERAGEIFS(RC_IN[MC],RC_IN[BLOCK],RC_OUT[BLOCK]),"")</f>
        <v/>
      </c>
      <c r="J233" s="264">
        <f t="shared" si="1"/>
        <v>0</v>
      </c>
      <c r="K233" s="246"/>
      <c r="L233" s="246"/>
      <c r="M233" s="249" t="str">
        <f t="shared" si="2"/>
        <v/>
      </c>
      <c r="N233" s="266">
        <f t="shared" si="3"/>
        <v>0</v>
      </c>
      <c r="O233" s="247"/>
      <c r="P233" s="247"/>
      <c r="Q233" s="247"/>
      <c r="R233" s="247"/>
      <c r="S233" s="247"/>
      <c r="T233" s="247"/>
      <c r="U233" s="247"/>
      <c r="V233" s="247"/>
      <c r="W233" s="247"/>
      <c r="X233" s="247"/>
    </row>
    <row r="234">
      <c r="A234" s="282">
        <v>45586.0</v>
      </c>
      <c r="B234" s="275" t="s">
        <v>1125</v>
      </c>
      <c r="C234" s="275" t="s">
        <v>1136</v>
      </c>
      <c r="D234" s="276">
        <v>11499.0</v>
      </c>
      <c r="E234" s="275" t="s">
        <v>1017</v>
      </c>
      <c r="F234" s="279"/>
      <c r="G234" s="278" t="str">
        <f>IFNA(IF(VLOOKUP(RC_OUT[BLOCK],RC_IN[[BLOCK]:[BLOCK LOC]],2,FALSE)=0,"",VLOOKUP(RC_OUT[BLOCK],RC_IN[[BLOCK]:[BLOCK LOC]],2,FALSE)),"")</f>
        <v/>
      </c>
      <c r="I234" s="263" t="str">
        <f>IFERROR(AVERAGEIFS(RC_IN[MC],RC_IN[BLOCK],RC_OUT[BLOCK]),"")</f>
        <v/>
      </c>
      <c r="J234" s="264">
        <f t="shared" si="1"/>
        <v>0</v>
      </c>
      <c r="K234" s="246"/>
      <c r="L234" s="246"/>
      <c r="M234" s="249" t="str">
        <f t="shared" si="2"/>
        <v/>
      </c>
      <c r="N234" s="266">
        <f t="shared" si="3"/>
        <v>0</v>
      </c>
      <c r="O234" s="247"/>
      <c r="P234" s="247"/>
      <c r="Q234" s="247"/>
      <c r="R234" s="247"/>
      <c r="S234" s="247"/>
      <c r="T234" s="247"/>
      <c r="U234" s="247"/>
      <c r="V234" s="247"/>
      <c r="W234" s="247"/>
      <c r="X234" s="247"/>
    </row>
    <row r="235">
      <c r="A235" s="282">
        <v>45586.0</v>
      </c>
      <c r="B235" s="275" t="s">
        <v>1125</v>
      </c>
      <c r="C235" s="275" t="s">
        <v>1137</v>
      </c>
      <c r="D235" s="276">
        <v>10628.0</v>
      </c>
      <c r="E235" s="275" t="s">
        <v>1017</v>
      </c>
      <c r="F235" s="279"/>
      <c r="G235" s="278" t="str">
        <f>IFNA(IF(VLOOKUP(RC_OUT[BLOCK],RC_IN[[BLOCK]:[BLOCK LOC]],2,FALSE)=0,"",VLOOKUP(RC_OUT[BLOCK],RC_IN[[BLOCK]:[BLOCK LOC]],2,FALSE)),"")</f>
        <v/>
      </c>
      <c r="I235" s="263" t="str">
        <f>IFERROR(AVERAGEIFS(RC_IN[MC],RC_IN[BLOCK],RC_OUT[BLOCK]),"")</f>
        <v/>
      </c>
      <c r="J235" s="264">
        <f t="shared" si="1"/>
        <v>0</v>
      </c>
      <c r="K235" s="246"/>
      <c r="L235" s="246"/>
      <c r="M235" s="249" t="str">
        <f t="shared" si="2"/>
        <v/>
      </c>
      <c r="N235" s="266">
        <f t="shared" si="3"/>
        <v>0</v>
      </c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</row>
    <row r="236">
      <c r="A236" s="282">
        <v>45587.0</v>
      </c>
      <c r="B236" s="275" t="s">
        <v>1125</v>
      </c>
      <c r="C236" s="275" t="s">
        <v>1057</v>
      </c>
      <c r="D236" s="276">
        <v>8538.0</v>
      </c>
      <c r="E236" s="275" t="s">
        <v>1017</v>
      </c>
      <c r="F236" s="279"/>
      <c r="G236" s="278" t="str">
        <f>IFNA(IF(VLOOKUP(RC_OUT[BLOCK],RC_IN[[BLOCK]:[BLOCK LOC]],2,FALSE)=0,"",VLOOKUP(RC_OUT[BLOCK],RC_IN[[BLOCK]:[BLOCK LOC]],2,FALSE)),"")</f>
        <v/>
      </c>
      <c r="I236" s="263" t="str">
        <f>IFERROR(AVERAGEIFS(RC_IN[MC],RC_IN[BLOCK],RC_OUT[BLOCK]),"")</f>
        <v/>
      </c>
      <c r="J236" s="264">
        <f t="shared" si="1"/>
        <v>0</v>
      </c>
      <c r="K236" s="246"/>
      <c r="L236" s="246"/>
      <c r="M236" s="249" t="str">
        <f t="shared" si="2"/>
        <v/>
      </c>
      <c r="N236" s="266">
        <f t="shared" si="3"/>
        <v>0</v>
      </c>
      <c r="O236" s="247"/>
      <c r="P236" s="247"/>
      <c r="Q236" s="247"/>
      <c r="R236" s="247"/>
      <c r="S236" s="247"/>
      <c r="T236" s="247"/>
      <c r="U236" s="247"/>
      <c r="V236" s="247"/>
      <c r="W236" s="247"/>
      <c r="X236" s="247"/>
    </row>
    <row r="237">
      <c r="A237" s="282">
        <v>45587.0</v>
      </c>
      <c r="B237" s="275" t="s">
        <v>1125</v>
      </c>
      <c r="C237" s="275" t="s">
        <v>1136</v>
      </c>
      <c r="D237" s="276">
        <v>16758.0</v>
      </c>
      <c r="E237" s="275" t="s">
        <v>1017</v>
      </c>
      <c r="F237" s="279"/>
      <c r="G237" s="278" t="str">
        <f>IFNA(IF(VLOOKUP(RC_OUT[BLOCK],RC_IN[[BLOCK]:[BLOCK LOC]],2,FALSE)=0,"",VLOOKUP(RC_OUT[BLOCK],RC_IN[[BLOCK]:[BLOCK LOC]],2,FALSE)),"")</f>
        <v/>
      </c>
      <c r="I237" s="263" t="str">
        <f>IFERROR(AVERAGEIFS(RC_IN[MC],RC_IN[BLOCK],RC_OUT[BLOCK]),"")</f>
        <v/>
      </c>
      <c r="J237" s="264">
        <f t="shared" si="1"/>
        <v>0</v>
      </c>
      <c r="K237" s="246"/>
      <c r="L237" s="246"/>
      <c r="M237" s="249" t="str">
        <f t="shared" si="2"/>
        <v/>
      </c>
      <c r="N237" s="266">
        <f t="shared" si="3"/>
        <v>0</v>
      </c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</row>
    <row r="238">
      <c r="A238" s="282">
        <v>45587.0</v>
      </c>
      <c r="B238" s="275" t="s">
        <v>1125</v>
      </c>
      <c r="C238" s="275" t="s">
        <v>1137</v>
      </c>
      <c r="D238" s="276">
        <v>16191.0</v>
      </c>
      <c r="E238" s="275" t="s">
        <v>1017</v>
      </c>
      <c r="F238" s="279"/>
      <c r="G238" s="278" t="str">
        <f>IFNA(IF(VLOOKUP(RC_OUT[BLOCK],RC_IN[[BLOCK]:[BLOCK LOC]],2,FALSE)=0,"",VLOOKUP(RC_OUT[BLOCK],RC_IN[[BLOCK]:[BLOCK LOC]],2,FALSE)),"")</f>
        <v/>
      </c>
      <c r="I238" s="263" t="str">
        <f>IFERROR(AVERAGEIFS(RC_IN[MC],RC_IN[BLOCK],RC_OUT[BLOCK]),"")</f>
        <v/>
      </c>
      <c r="J238" s="264">
        <f t="shared" si="1"/>
        <v>0</v>
      </c>
      <c r="K238" s="246"/>
      <c r="L238" s="246"/>
      <c r="M238" s="249" t="str">
        <f t="shared" si="2"/>
        <v/>
      </c>
      <c r="N238" s="266">
        <f t="shared" si="3"/>
        <v>0</v>
      </c>
      <c r="O238" s="247"/>
      <c r="P238" s="247"/>
      <c r="Q238" s="247"/>
      <c r="R238" s="247"/>
      <c r="S238" s="247"/>
      <c r="T238" s="247"/>
      <c r="U238" s="247"/>
      <c r="V238" s="247"/>
      <c r="W238" s="247"/>
      <c r="X238" s="247"/>
    </row>
    <row r="239">
      <c r="A239" s="282">
        <v>45588.0</v>
      </c>
      <c r="B239" s="275" t="s">
        <v>1125</v>
      </c>
      <c r="C239" s="275" t="s">
        <v>1139</v>
      </c>
      <c r="D239" s="276">
        <v>6813.0</v>
      </c>
      <c r="E239" s="275" t="s">
        <v>1017</v>
      </c>
      <c r="F239" s="279"/>
      <c r="G239" s="278" t="str">
        <f>IFNA(IF(VLOOKUP(RC_OUT[BLOCK],RC_IN[[BLOCK]:[BLOCK LOC]],2,FALSE)=0,"",VLOOKUP(RC_OUT[BLOCK],RC_IN[[BLOCK]:[BLOCK LOC]],2,FALSE)),"")</f>
        <v/>
      </c>
      <c r="I239" s="263" t="str">
        <f>IFERROR(AVERAGEIFS(RC_IN[MC],RC_IN[BLOCK],RC_OUT[BLOCK]),"")</f>
        <v/>
      </c>
      <c r="J239" s="264">
        <f t="shared" si="1"/>
        <v>0</v>
      </c>
      <c r="K239" s="246"/>
      <c r="L239" s="246"/>
      <c r="M239" s="249" t="str">
        <f t="shared" si="2"/>
        <v/>
      </c>
      <c r="N239" s="266">
        <f t="shared" si="3"/>
        <v>0</v>
      </c>
      <c r="O239" s="247"/>
      <c r="P239" s="247"/>
      <c r="Q239" s="247"/>
      <c r="R239" s="247"/>
      <c r="S239" s="247"/>
      <c r="T239" s="247"/>
      <c r="U239" s="247"/>
      <c r="V239" s="247"/>
      <c r="W239" s="247"/>
      <c r="X239" s="247"/>
    </row>
    <row r="240">
      <c r="A240" s="282">
        <v>45588.0</v>
      </c>
      <c r="B240" s="275" t="s">
        <v>1125</v>
      </c>
      <c r="C240" s="275" t="s">
        <v>1057</v>
      </c>
      <c r="D240" s="276">
        <v>8537.0</v>
      </c>
      <c r="E240" s="275" t="s">
        <v>1017</v>
      </c>
      <c r="F240" s="279"/>
      <c r="G240" s="278" t="str">
        <f>IFNA(IF(VLOOKUP(RC_OUT[BLOCK],RC_IN[[BLOCK]:[BLOCK LOC]],2,FALSE)=0,"",VLOOKUP(RC_OUT[BLOCK],RC_IN[[BLOCK]:[BLOCK LOC]],2,FALSE)),"")</f>
        <v/>
      </c>
      <c r="I240" s="263" t="str">
        <f>IFERROR(AVERAGEIFS(RC_IN[MC],RC_IN[BLOCK],RC_OUT[BLOCK]),"")</f>
        <v/>
      </c>
      <c r="J240" s="264">
        <f t="shared" si="1"/>
        <v>0</v>
      </c>
      <c r="K240" s="246"/>
      <c r="L240" s="246"/>
      <c r="M240" s="249" t="str">
        <f t="shared" si="2"/>
        <v/>
      </c>
      <c r="N240" s="266">
        <f t="shared" si="3"/>
        <v>0</v>
      </c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</row>
    <row r="241">
      <c r="A241" s="282">
        <v>45588.0</v>
      </c>
      <c r="B241" s="275" t="s">
        <v>1125</v>
      </c>
      <c r="C241" s="275" t="s">
        <v>1136</v>
      </c>
      <c r="D241" s="276">
        <v>5522.0</v>
      </c>
      <c r="E241" s="275" t="s">
        <v>1017</v>
      </c>
      <c r="F241" s="277" t="s">
        <v>1059</v>
      </c>
      <c r="G241" s="278" t="str">
        <f>IFNA(IF(VLOOKUP(RC_OUT[BLOCK],RC_IN[[BLOCK]:[BLOCK LOC]],2,FALSE)=0,"",VLOOKUP(RC_OUT[BLOCK],RC_IN[[BLOCK]:[BLOCK LOC]],2,FALSE)),"")</f>
        <v/>
      </c>
      <c r="I241" s="263" t="str">
        <f>IFERROR(AVERAGEIFS(RC_IN[MC],RC_IN[BLOCK],RC_OUT[BLOCK]),"")</f>
        <v/>
      </c>
      <c r="J241" s="264">
        <f t="shared" si="1"/>
        <v>0</v>
      </c>
      <c r="K241" s="246"/>
      <c r="L241" s="246"/>
      <c r="M241" s="249" t="str">
        <f t="shared" si="2"/>
        <v/>
      </c>
      <c r="N241" s="266">
        <f t="shared" si="3"/>
        <v>0</v>
      </c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</row>
    <row r="242">
      <c r="A242" s="282">
        <v>45588.0</v>
      </c>
      <c r="B242" s="275" t="s">
        <v>1125</v>
      </c>
      <c r="C242" s="275" t="s">
        <v>1140</v>
      </c>
      <c r="D242" s="276">
        <v>5802.0</v>
      </c>
      <c r="E242" s="275" t="s">
        <v>1017</v>
      </c>
      <c r="F242" s="279"/>
      <c r="G242" s="278" t="str">
        <f>IFNA(IF(VLOOKUP(RC_OUT[BLOCK],RC_IN[[BLOCK]:[BLOCK LOC]],2,FALSE)=0,"",VLOOKUP(RC_OUT[BLOCK],RC_IN[[BLOCK]:[BLOCK LOC]],2,FALSE)),"")</f>
        <v/>
      </c>
      <c r="I242" s="263" t="str">
        <f>IFERROR(AVERAGEIFS(RC_IN[MC],RC_IN[BLOCK],RC_OUT[BLOCK]),"")</f>
        <v/>
      </c>
      <c r="J242" s="264">
        <f t="shared" si="1"/>
        <v>0</v>
      </c>
      <c r="K242" s="246"/>
      <c r="L242" s="246"/>
      <c r="M242" s="249" t="str">
        <f t="shared" si="2"/>
        <v/>
      </c>
      <c r="N242" s="266">
        <f t="shared" si="3"/>
        <v>0</v>
      </c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</row>
    <row r="243">
      <c r="A243" s="282">
        <v>45588.0</v>
      </c>
      <c r="B243" s="275" t="s">
        <v>1125</v>
      </c>
      <c r="C243" s="275" t="s">
        <v>1137</v>
      </c>
      <c r="D243" s="276">
        <v>4226.0</v>
      </c>
      <c r="E243" s="275" t="s">
        <v>1017</v>
      </c>
      <c r="F243" s="279"/>
      <c r="G243" s="278" t="str">
        <f>IFNA(IF(VLOOKUP(RC_OUT[BLOCK],RC_IN[[BLOCK]:[BLOCK LOC]],2,FALSE)=0,"",VLOOKUP(RC_OUT[BLOCK],RC_IN[[BLOCK]:[BLOCK LOC]],2,FALSE)),"")</f>
        <v/>
      </c>
      <c r="I243" s="263" t="str">
        <f>IFERROR(AVERAGEIFS(RC_IN[MC],RC_IN[BLOCK],RC_OUT[BLOCK]),"")</f>
        <v/>
      </c>
      <c r="J243" s="264">
        <f t="shared" si="1"/>
        <v>0</v>
      </c>
      <c r="K243" s="246"/>
      <c r="L243" s="246"/>
      <c r="M243" s="249" t="str">
        <f t="shared" si="2"/>
        <v/>
      </c>
      <c r="N243" s="266">
        <f t="shared" si="3"/>
        <v>0</v>
      </c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</row>
    <row r="244">
      <c r="A244" s="282">
        <v>45589.0</v>
      </c>
      <c r="B244" s="275" t="s">
        <v>1125</v>
      </c>
      <c r="C244" s="275" t="s">
        <v>1139</v>
      </c>
      <c r="D244" s="276">
        <v>11595.0</v>
      </c>
      <c r="E244" s="275" t="s">
        <v>1017</v>
      </c>
      <c r="F244" s="279"/>
      <c r="G244" s="278" t="str">
        <f>IFNA(IF(VLOOKUP(RC_OUT[BLOCK],RC_IN[[BLOCK]:[BLOCK LOC]],2,FALSE)=0,"",VLOOKUP(RC_OUT[BLOCK],RC_IN[[BLOCK]:[BLOCK LOC]],2,FALSE)),"")</f>
        <v/>
      </c>
      <c r="I244" s="263" t="str">
        <f>IFERROR(AVERAGEIFS(RC_IN[MC],RC_IN[BLOCK],RC_OUT[BLOCK]),"")</f>
        <v/>
      </c>
      <c r="J244" s="264">
        <f t="shared" si="1"/>
        <v>0</v>
      </c>
      <c r="K244" s="246"/>
      <c r="L244" s="246"/>
      <c r="M244" s="249" t="str">
        <f t="shared" si="2"/>
        <v/>
      </c>
      <c r="N244" s="266">
        <f t="shared" si="3"/>
        <v>0</v>
      </c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</row>
    <row r="245">
      <c r="A245" s="282">
        <v>45589.0</v>
      </c>
      <c r="B245" s="275" t="s">
        <v>1125</v>
      </c>
      <c r="C245" s="275" t="s">
        <v>1057</v>
      </c>
      <c r="D245" s="276">
        <v>5950.0</v>
      </c>
      <c r="E245" s="275" t="s">
        <v>1017</v>
      </c>
      <c r="F245" s="279"/>
      <c r="G245" s="278" t="str">
        <f>IFNA(IF(VLOOKUP(RC_OUT[BLOCK],RC_IN[[BLOCK]:[BLOCK LOC]],2,FALSE)=0,"",VLOOKUP(RC_OUT[BLOCK],RC_IN[[BLOCK]:[BLOCK LOC]],2,FALSE)),"")</f>
        <v/>
      </c>
      <c r="I245" s="263" t="str">
        <f>IFERROR(AVERAGEIFS(RC_IN[MC],RC_IN[BLOCK],RC_OUT[BLOCK]),"")</f>
        <v/>
      </c>
      <c r="J245" s="264">
        <f t="shared" si="1"/>
        <v>0</v>
      </c>
      <c r="K245" s="246"/>
      <c r="L245" s="246"/>
      <c r="M245" s="249" t="str">
        <f t="shared" si="2"/>
        <v/>
      </c>
      <c r="N245" s="266">
        <f t="shared" si="3"/>
        <v>0</v>
      </c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</row>
    <row r="246">
      <c r="A246" s="282">
        <v>45589.0</v>
      </c>
      <c r="B246" s="275" t="s">
        <v>1125</v>
      </c>
      <c r="C246" s="275" t="s">
        <v>1140</v>
      </c>
      <c r="D246" s="276">
        <v>7336.0</v>
      </c>
      <c r="E246" s="275" t="s">
        <v>1017</v>
      </c>
      <c r="F246" s="279"/>
      <c r="G246" s="278" t="str">
        <f>IFNA(IF(VLOOKUP(RC_OUT[BLOCK],RC_IN[[BLOCK]:[BLOCK LOC]],2,FALSE)=0,"",VLOOKUP(RC_OUT[BLOCK],RC_IN[[BLOCK]:[BLOCK LOC]],2,FALSE)),"")</f>
        <v/>
      </c>
      <c r="I246" s="263" t="str">
        <f>IFERROR(AVERAGEIFS(RC_IN[MC],RC_IN[BLOCK],RC_OUT[BLOCK]),"")</f>
        <v/>
      </c>
      <c r="J246" s="264">
        <f t="shared" si="1"/>
        <v>0</v>
      </c>
      <c r="K246" s="246"/>
      <c r="L246" s="246"/>
      <c r="M246" s="249" t="str">
        <f t="shared" si="2"/>
        <v/>
      </c>
      <c r="N246" s="266">
        <f t="shared" si="3"/>
        <v>0</v>
      </c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</row>
    <row r="247">
      <c r="A247" s="282">
        <v>45589.0</v>
      </c>
      <c r="B247" s="275" t="s">
        <v>1125</v>
      </c>
      <c r="C247" s="275" t="s">
        <v>1137</v>
      </c>
      <c r="D247" s="276">
        <v>4730.0</v>
      </c>
      <c r="E247" s="275" t="s">
        <v>1017</v>
      </c>
      <c r="F247" s="277" t="s">
        <v>1059</v>
      </c>
      <c r="G247" s="278" t="str">
        <f>IFNA(IF(VLOOKUP(RC_OUT[BLOCK],RC_IN[[BLOCK]:[BLOCK LOC]],2,FALSE)=0,"",VLOOKUP(RC_OUT[BLOCK],RC_IN[[BLOCK]:[BLOCK LOC]],2,FALSE)),"")</f>
        <v/>
      </c>
      <c r="I247" s="263" t="str">
        <f>IFERROR(AVERAGEIFS(RC_IN[MC],RC_IN[BLOCK],RC_OUT[BLOCK]),"")</f>
        <v/>
      </c>
      <c r="J247" s="264">
        <f t="shared" si="1"/>
        <v>0</v>
      </c>
      <c r="K247" s="246"/>
      <c r="L247" s="246"/>
      <c r="M247" s="249" t="str">
        <f t="shared" si="2"/>
        <v/>
      </c>
      <c r="N247" s="266">
        <f t="shared" si="3"/>
        <v>0</v>
      </c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</row>
    <row r="248">
      <c r="A248" s="282">
        <v>45590.0</v>
      </c>
      <c r="B248" s="275" t="s">
        <v>1125</v>
      </c>
      <c r="C248" s="275" t="s">
        <v>1139</v>
      </c>
      <c r="D248" s="276">
        <v>10734.0</v>
      </c>
      <c r="E248" s="275" t="s">
        <v>1017</v>
      </c>
      <c r="F248" s="279"/>
      <c r="G248" s="278" t="str">
        <f>IFNA(IF(VLOOKUP(RC_OUT[BLOCK],RC_IN[[BLOCK]:[BLOCK LOC]],2,FALSE)=0,"",VLOOKUP(RC_OUT[BLOCK],RC_IN[[BLOCK]:[BLOCK LOC]],2,FALSE)),"")</f>
        <v/>
      </c>
      <c r="I248" s="263" t="str">
        <f>IFERROR(AVERAGEIFS(RC_IN[MC],RC_IN[BLOCK],RC_OUT[BLOCK]),"")</f>
        <v/>
      </c>
      <c r="J248" s="264">
        <f t="shared" si="1"/>
        <v>0</v>
      </c>
      <c r="K248" s="246"/>
      <c r="L248" s="246"/>
      <c r="M248" s="249" t="str">
        <f t="shared" si="2"/>
        <v/>
      </c>
      <c r="N248" s="266">
        <f t="shared" si="3"/>
        <v>0</v>
      </c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</row>
    <row r="249">
      <c r="A249" s="282">
        <v>45590.0</v>
      </c>
      <c r="B249" s="275" t="s">
        <v>1125</v>
      </c>
      <c r="C249" s="275" t="s">
        <v>1057</v>
      </c>
      <c r="D249" s="276">
        <v>5950.0</v>
      </c>
      <c r="E249" s="275" t="s">
        <v>1017</v>
      </c>
      <c r="F249" s="279"/>
      <c r="G249" s="278" t="str">
        <f>IFNA(IF(VLOOKUP(RC_OUT[BLOCK],RC_IN[[BLOCK]:[BLOCK LOC]],2,FALSE)=0,"",VLOOKUP(RC_OUT[BLOCK],RC_IN[[BLOCK]:[BLOCK LOC]],2,FALSE)),"")</f>
        <v/>
      </c>
      <c r="I249" s="263" t="str">
        <f>IFERROR(AVERAGEIFS(RC_IN[MC],RC_IN[BLOCK],RC_OUT[BLOCK]),"")</f>
        <v/>
      </c>
      <c r="J249" s="264">
        <f t="shared" si="1"/>
        <v>0</v>
      </c>
      <c r="K249" s="246"/>
      <c r="L249" s="246"/>
      <c r="M249" s="249" t="str">
        <f t="shared" si="2"/>
        <v/>
      </c>
      <c r="N249" s="266">
        <f t="shared" si="3"/>
        <v>0</v>
      </c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</row>
    <row r="250">
      <c r="A250" s="282">
        <v>45590.0</v>
      </c>
      <c r="B250" s="275" t="s">
        <v>1125</v>
      </c>
      <c r="C250" s="275" t="s">
        <v>1140</v>
      </c>
      <c r="D250" s="276">
        <v>4231.0</v>
      </c>
      <c r="E250" s="275" t="s">
        <v>1017</v>
      </c>
      <c r="F250" s="279"/>
      <c r="G250" s="278" t="str">
        <f>IFNA(IF(VLOOKUP(RC_OUT[BLOCK],RC_IN[[BLOCK]:[BLOCK LOC]],2,FALSE)=0,"",VLOOKUP(RC_OUT[BLOCK],RC_IN[[BLOCK]:[BLOCK LOC]],2,FALSE)),"")</f>
        <v/>
      </c>
      <c r="I250" s="263" t="str">
        <f>IFERROR(AVERAGEIFS(RC_IN[MC],RC_IN[BLOCK],RC_OUT[BLOCK]),"")</f>
        <v/>
      </c>
      <c r="J250" s="264">
        <f t="shared" si="1"/>
        <v>0</v>
      </c>
      <c r="K250" s="246"/>
      <c r="L250" s="246"/>
      <c r="M250" s="249" t="str">
        <f t="shared" si="2"/>
        <v/>
      </c>
      <c r="N250" s="266">
        <f t="shared" si="3"/>
        <v>0</v>
      </c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</row>
    <row r="251">
      <c r="A251" s="282">
        <v>45593.0</v>
      </c>
      <c r="B251" s="275" t="s">
        <v>1125</v>
      </c>
      <c r="C251" s="275" t="s">
        <v>1139</v>
      </c>
      <c r="D251" s="276">
        <v>18135.0</v>
      </c>
      <c r="E251" s="275" t="s">
        <v>1017</v>
      </c>
      <c r="F251" s="279"/>
      <c r="G251" s="278" t="str">
        <f>IFNA(IF(VLOOKUP(RC_OUT[BLOCK],RC_IN[[BLOCK]:[BLOCK LOC]],2,FALSE)=0,"",VLOOKUP(RC_OUT[BLOCK],RC_IN[[BLOCK]:[BLOCK LOC]],2,FALSE)),"")</f>
        <v/>
      </c>
      <c r="I251" s="263" t="str">
        <f>IFERROR(AVERAGEIFS(RC_IN[MC],RC_IN[BLOCK],RC_OUT[BLOCK]),"")</f>
        <v/>
      </c>
      <c r="J251" s="264">
        <f t="shared" si="1"/>
        <v>0</v>
      </c>
      <c r="K251" s="246"/>
      <c r="L251" s="246"/>
      <c r="M251" s="249" t="str">
        <f t="shared" si="2"/>
        <v/>
      </c>
      <c r="N251" s="266">
        <f t="shared" si="3"/>
        <v>0</v>
      </c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</row>
    <row r="252">
      <c r="A252" s="282">
        <v>45593.0</v>
      </c>
      <c r="B252" s="275" t="s">
        <v>1125</v>
      </c>
      <c r="C252" s="275" t="s">
        <v>1057</v>
      </c>
      <c r="D252" s="276">
        <v>5950.0</v>
      </c>
      <c r="E252" s="275" t="s">
        <v>1017</v>
      </c>
      <c r="F252" s="279"/>
      <c r="G252" s="278" t="str">
        <f>IFNA(IF(VLOOKUP(RC_OUT[BLOCK],RC_IN[[BLOCK]:[BLOCK LOC]],2,FALSE)=0,"",VLOOKUP(RC_OUT[BLOCK],RC_IN[[BLOCK]:[BLOCK LOC]],2,FALSE)),"")</f>
        <v/>
      </c>
      <c r="I252" s="263" t="str">
        <f>IFERROR(AVERAGEIFS(RC_IN[MC],RC_IN[BLOCK],RC_OUT[BLOCK]),"")</f>
        <v/>
      </c>
      <c r="J252" s="264">
        <f t="shared" si="1"/>
        <v>0</v>
      </c>
      <c r="K252" s="246"/>
      <c r="L252" s="246"/>
      <c r="M252" s="249" t="str">
        <f t="shared" si="2"/>
        <v/>
      </c>
      <c r="N252" s="266">
        <f t="shared" si="3"/>
        <v>0</v>
      </c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</row>
    <row r="253">
      <c r="A253" s="282">
        <v>45593.0</v>
      </c>
      <c r="B253" s="275" t="s">
        <v>1125</v>
      </c>
      <c r="C253" s="275" t="s">
        <v>1140</v>
      </c>
      <c r="D253" s="276">
        <v>4401.0</v>
      </c>
      <c r="E253" s="275" t="s">
        <v>1017</v>
      </c>
      <c r="F253" s="279"/>
      <c r="G253" s="278" t="str">
        <f>IFNA(IF(VLOOKUP(RC_OUT[BLOCK],RC_IN[[BLOCK]:[BLOCK LOC]],2,FALSE)=0,"",VLOOKUP(RC_OUT[BLOCK],RC_IN[[BLOCK]:[BLOCK LOC]],2,FALSE)),"")</f>
        <v/>
      </c>
      <c r="I253" s="263" t="str">
        <f>IFERROR(AVERAGEIFS(RC_IN[MC],RC_IN[BLOCK],RC_OUT[BLOCK]),"")</f>
        <v/>
      </c>
      <c r="J253" s="264">
        <f t="shared" si="1"/>
        <v>0</v>
      </c>
      <c r="K253" s="246"/>
      <c r="L253" s="246"/>
      <c r="M253" s="249" t="str">
        <f t="shared" si="2"/>
        <v/>
      </c>
      <c r="N253" s="266">
        <f t="shared" si="3"/>
        <v>0</v>
      </c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</row>
    <row r="254">
      <c r="A254" s="282">
        <v>45594.0</v>
      </c>
      <c r="B254" s="275" t="s">
        <v>1125</v>
      </c>
      <c r="C254" s="275" t="s">
        <v>1139</v>
      </c>
      <c r="D254" s="276">
        <v>8414.0</v>
      </c>
      <c r="E254" s="275" t="s">
        <v>1017</v>
      </c>
      <c r="F254" s="279"/>
      <c r="G254" s="278" t="str">
        <f>IFNA(IF(VLOOKUP(RC_OUT[BLOCK],RC_IN[[BLOCK]:[BLOCK LOC]],2,FALSE)=0,"",VLOOKUP(RC_OUT[BLOCK],RC_IN[[BLOCK]:[BLOCK LOC]],2,FALSE)),"")</f>
        <v/>
      </c>
      <c r="I254" s="263" t="str">
        <f>IFERROR(AVERAGEIFS(RC_IN[MC],RC_IN[BLOCK],RC_OUT[BLOCK]),"")</f>
        <v/>
      </c>
      <c r="J254" s="264">
        <f t="shared" si="1"/>
        <v>0</v>
      </c>
      <c r="K254" s="246"/>
      <c r="L254" s="246"/>
      <c r="M254" s="249" t="str">
        <f t="shared" si="2"/>
        <v/>
      </c>
      <c r="N254" s="266">
        <f t="shared" si="3"/>
        <v>0</v>
      </c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</row>
    <row r="255">
      <c r="A255" s="282">
        <v>45594.0</v>
      </c>
      <c r="B255" s="275" t="s">
        <v>1125</v>
      </c>
      <c r="C255" s="275" t="s">
        <v>1141</v>
      </c>
      <c r="D255" s="276">
        <v>3874.0</v>
      </c>
      <c r="E255" s="275" t="s">
        <v>1017</v>
      </c>
      <c r="F255" s="279"/>
      <c r="G255" s="278" t="str">
        <f>IFNA(IF(VLOOKUP(RC_OUT[BLOCK],RC_IN[[BLOCK]:[BLOCK LOC]],2,FALSE)=0,"",VLOOKUP(RC_OUT[BLOCK],RC_IN[[BLOCK]:[BLOCK LOC]],2,FALSE)),"")</f>
        <v/>
      </c>
      <c r="I255" s="263" t="str">
        <f>IFERROR(AVERAGEIFS(RC_IN[MC],RC_IN[BLOCK],RC_OUT[BLOCK]),"")</f>
        <v/>
      </c>
      <c r="J255" s="264">
        <f t="shared" si="1"/>
        <v>0</v>
      </c>
      <c r="K255" s="246"/>
      <c r="L255" s="246"/>
      <c r="M255" s="249" t="str">
        <f t="shared" si="2"/>
        <v/>
      </c>
      <c r="N255" s="266">
        <f t="shared" si="3"/>
        <v>0</v>
      </c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</row>
    <row r="256">
      <c r="A256" s="282">
        <v>45594.0</v>
      </c>
      <c r="B256" s="275" t="s">
        <v>1125</v>
      </c>
      <c r="C256" s="275" t="s">
        <v>1057</v>
      </c>
      <c r="D256" s="276">
        <v>6216.0</v>
      </c>
      <c r="E256" s="275" t="s">
        <v>1017</v>
      </c>
      <c r="F256" s="279"/>
      <c r="G256" s="278" t="str">
        <f>IFNA(IF(VLOOKUP(RC_OUT[BLOCK],RC_IN[[BLOCK]:[BLOCK LOC]],2,FALSE)=0,"",VLOOKUP(RC_OUT[BLOCK],RC_IN[[BLOCK]:[BLOCK LOC]],2,FALSE)),"")</f>
        <v/>
      </c>
      <c r="I256" s="263" t="str">
        <f>IFERROR(AVERAGEIFS(RC_IN[MC],RC_IN[BLOCK],RC_OUT[BLOCK]),"")</f>
        <v/>
      </c>
      <c r="J256" s="264">
        <f t="shared" si="1"/>
        <v>0</v>
      </c>
      <c r="K256" s="246"/>
      <c r="L256" s="246"/>
      <c r="M256" s="249" t="str">
        <f t="shared" si="2"/>
        <v/>
      </c>
      <c r="N256" s="266">
        <f t="shared" si="3"/>
        <v>0</v>
      </c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</row>
    <row r="257">
      <c r="A257" s="282">
        <v>45594.0</v>
      </c>
      <c r="B257" s="275" t="s">
        <v>1125</v>
      </c>
      <c r="C257" s="275" t="s">
        <v>1140</v>
      </c>
      <c r="D257" s="276">
        <v>3383.0</v>
      </c>
      <c r="E257" s="275" t="s">
        <v>1017</v>
      </c>
      <c r="F257" s="279"/>
      <c r="G257" s="278" t="str">
        <f>IFNA(IF(VLOOKUP(RC_OUT[BLOCK],RC_IN[[BLOCK]:[BLOCK LOC]],2,FALSE)=0,"",VLOOKUP(RC_OUT[BLOCK],RC_IN[[BLOCK]:[BLOCK LOC]],2,FALSE)),"")</f>
        <v/>
      </c>
      <c r="I257" s="263" t="str">
        <f>IFERROR(AVERAGEIFS(RC_IN[MC],RC_IN[BLOCK],RC_OUT[BLOCK]),"")</f>
        <v/>
      </c>
      <c r="J257" s="264">
        <f t="shared" si="1"/>
        <v>0</v>
      </c>
      <c r="K257" s="246"/>
      <c r="L257" s="246"/>
      <c r="M257" s="249" t="str">
        <f t="shared" si="2"/>
        <v/>
      </c>
      <c r="N257" s="266">
        <f t="shared" si="3"/>
        <v>0</v>
      </c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</row>
    <row r="258">
      <c r="A258" s="282">
        <v>45595.0</v>
      </c>
      <c r="B258" s="275" t="s">
        <v>1125</v>
      </c>
      <c r="C258" s="275" t="s">
        <v>1139</v>
      </c>
      <c r="D258" s="276">
        <v>4241.0</v>
      </c>
      <c r="E258" s="275" t="s">
        <v>1017</v>
      </c>
      <c r="F258" s="277" t="s">
        <v>1059</v>
      </c>
      <c r="G258" s="278" t="str">
        <f>IFNA(IF(VLOOKUP(RC_OUT[BLOCK],RC_IN[[BLOCK]:[BLOCK LOC]],2,FALSE)=0,"",VLOOKUP(RC_OUT[BLOCK],RC_IN[[BLOCK]:[BLOCK LOC]],2,FALSE)),"")</f>
        <v/>
      </c>
      <c r="I258" s="263" t="str">
        <f>IFERROR(AVERAGEIFS(RC_IN[MC],RC_IN[BLOCK],RC_OUT[BLOCK]),"")</f>
        <v/>
      </c>
      <c r="J258" s="264">
        <f t="shared" si="1"/>
        <v>0</v>
      </c>
      <c r="K258" s="246"/>
      <c r="L258" s="246"/>
      <c r="M258" s="249" t="str">
        <f t="shared" si="2"/>
        <v/>
      </c>
      <c r="N258" s="266">
        <f t="shared" si="3"/>
        <v>0</v>
      </c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</row>
    <row r="259">
      <c r="A259" s="282">
        <v>45595.0</v>
      </c>
      <c r="B259" s="275" t="s">
        <v>1125</v>
      </c>
      <c r="C259" s="275" t="s">
        <v>1141</v>
      </c>
      <c r="D259" s="276">
        <v>18419.0</v>
      </c>
      <c r="E259" s="275" t="s">
        <v>1017</v>
      </c>
      <c r="F259" s="279"/>
      <c r="G259" s="278" t="str">
        <f>IFNA(IF(VLOOKUP(RC_OUT[BLOCK],RC_IN[[BLOCK]:[BLOCK LOC]],2,FALSE)=0,"",VLOOKUP(RC_OUT[BLOCK],RC_IN[[BLOCK]:[BLOCK LOC]],2,FALSE)),"")</f>
        <v/>
      </c>
      <c r="I259" s="263" t="str">
        <f>IFERROR(AVERAGEIFS(RC_IN[MC],RC_IN[BLOCK],RC_OUT[BLOCK]),"")</f>
        <v/>
      </c>
      <c r="J259" s="264">
        <f t="shared" si="1"/>
        <v>0</v>
      </c>
      <c r="K259" s="246"/>
      <c r="L259" s="246"/>
      <c r="M259" s="249" t="str">
        <f t="shared" si="2"/>
        <v/>
      </c>
      <c r="N259" s="266">
        <f t="shared" si="3"/>
        <v>0</v>
      </c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</row>
    <row r="260">
      <c r="A260" s="282">
        <v>45595.0</v>
      </c>
      <c r="B260" s="275" t="s">
        <v>1125</v>
      </c>
      <c r="C260" s="275" t="s">
        <v>1057</v>
      </c>
      <c r="D260" s="276">
        <v>12434.0</v>
      </c>
      <c r="E260" s="275" t="s">
        <v>1017</v>
      </c>
      <c r="F260" s="279"/>
      <c r="G260" s="278" t="str">
        <f>IFNA(IF(VLOOKUP(RC_OUT[BLOCK],RC_IN[[BLOCK]:[BLOCK LOC]],2,FALSE)=0,"",VLOOKUP(RC_OUT[BLOCK],RC_IN[[BLOCK]:[BLOCK LOC]],2,FALSE)),"")</f>
        <v/>
      </c>
      <c r="I260" s="263" t="str">
        <f>IFERROR(AVERAGEIFS(RC_IN[MC],RC_IN[BLOCK],RC_OUT[BLOCK]),"")</f>
        <v/>
      </c>
      <c r="J260" s="264">
        <f t="shared" si="1"/>
        <v>0</v>
      </c>
      <c r="K260" s="246"/>
      <c r="L260" s="246"/>
      <c r="M260" s="249" t="str">
        <f t="shared" si="2"/>
        <v/>
      </c>
      <c r="N260" s="266">
        <f t="shared" si="3"/>
        <v>0</v>
      </c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</row>
    <row r="261">
      <c r="A261" s="282">
        <v>45595.0</v>
      </c>
      <c r="B261" s="275" t="s">
        <v>1125</v>
      </c>
      <c r="C261" s="275" t="s">
        <v>1140</v>
      </c>
      <c r="D261" s="276">
        <v>5477.0</v>
      </c>
      <c r="E261" s="275" t="s">
        <v>1017</v>
      </c>
      <c r="F261" s="279"/>
      <c r="G261" s="278" t="str">
        <f>IFNA(IF(VLOOKUP(RC_OUT[BLOCK],RC_IN[[BLOCK]:[BLOCK LOC]],2,FALSE)=0,"",VLOOKUP(RC_OUT[BLOCK],RC_IN[[BLOCK]:[BLOCK LOC]],2,FALSE)),"")</f>
        <v/>
      </c>
      <c r="I261" s="263" t="str">
        <f>IFERROR(AVERAGEIFS(RC_IN[MC],RC_IN[BLOCK],RC_OUT[BLOCK]),"")</f>
        <v/>
      </c>
      <c r="J261" s="264">
        <f t="shared" si="1"/>
        <v>0</v>
      </c>
      <c r="K261" s="246"/>
      <c r="L261" s="246"/>
      <c r="M261" s="249" t="str">
        <f t="shared" si="2"/>
        <v/>
      </c>
      <c r="N261" s="266">
        <f t="shared" si="3"/>
        <v>0</v>
      </c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</row>
    <row r="262">
      <c r="A262" s="273">
        <v>45600.0</v>
      </c>
      <c r="B262" s="275" t="s">
        <v>1142</v>
      </c>
      <c r="C262" s="275" t="s">
        <v>1141</v>
      </c>
      <c r="D262" s="276">
        <v>19671.0</v>
      </c>
      <c r="E262" s="275" t="s">
        <v>1017</v>
      </c>
      <c r="F262" s="279"/>
      <c r="G262" s="278" t="str">
        <f>IFNA(IF(VLOOKUP(RC_OUT[BLOCK],RC_IN[[BLOCK]:[BLOCK LOC]],2,FALSE)=0,"",VLOOKUP(RC_OUT[BLOCK],RC_IN[[BLOCK]:[BLOCK LOC]],2,FALSE)),"")</f>
        <v/>
      </c>
      <c r="I262" s="263" t="str">
        <f>IFERROR(AVERAGEIFS(RC_IN[MC],RC_IN[BLOCK],RC_OUT[BLOCK]),"")</f>
        <v/>
      </c>
      <c r="J262" s="264">
        <f t="shared" si="1"/>
        <v>0</v>
      </c>
      <c r="K262" s="246"/>
      <c r="L262" s="246"/>
      <c r="M262" s="249" t="str">
        <f t="shared" si="2"/>
        <v/>
      </c>
      <c r="N262" s="266">
        <f t="shared" si="3"/>
        <v>0</v>
      </c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</row>
    <row r="263">
      <c r="A263" s="273">
        <v>45600.0</v>
      </c>
      <c r="B263" s="275" t="s">
        <v>1142</v>
      </c>
      <c r="C263" s="275" t="s">
        <v>1057</v>
      </c>
      <c r="D263" s="276">
        <v>6093.0</v>
      </c>
      <c r="E263" s="275" t="s">
        <v>1017</v>
      </c>
      <c r="F263" s="279"/>
      <c r="G263" s="278" t="str">
        <f>IFNA(IF(VLOOKUP(RC_OUT[BLOCK],RC_IN[[BLOCK]:[BLOCK LOC]],2,FALSE)=0,"",VLOOKUP(RC_OUT[BLOCK],RC_IN[[BLOCK]:[BLOCK LOC]],2,FALSE)),"")</f>
        <v/>
      </c>
      <c r="I263" s="263" t="str">
        <f>IFERROR(AVERAGEIFS(RC_IN[MC],RC_IN[BLOCK],RC_OUT[BLOCK]),"")</f>
        <v/>
      </c>
      <c r="J263" s="264">
        <f t="shared" si="1"/>
        <v>0</v>
      </c>
      <c r="K263" s="246"/>
      <c r="L263" s="246"/>
      <c r="M263" s="249" t="str">
        <f t="shared" si="2"/>
        <v/>
      </c>
      <c r="N263" s="266">
        <f t="shared" si="3"/>
        <v>0</v>
      </c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</row>
    <row r="264">
      <c r="A264" s="273">
        <v>45600.0</v>
      </c>
      <c r="B264" s="275" t="s">
        <v>1142</v>
      </c>
      <c r="C264" s="275" t="s">
        <v>1140</v>
      </c>
      <c r="D264" s="276">
        <v>4744.0</v>
      </c>
      <c r="E264" s="275" t="s">
        <v>1017</v>
      </c>
      <c r="F264" s="279"/>
      <c r="G264" s="278" t="str">
        <f>IFNA(IF(VLOOKUP(RC_OUT[BLOCK],RC_IN[[BLOCK]:[BLOCK LOC]],2,FALSE)=0,"",VLOOKUP(RC_OUT[BLOCK],RC_IN[[BLOCK]:[BLOCK LOC]],2,FALSE)),"")</f>
        <v/>
      </c>
      <c r="I264" s="263" t="str">
        <f>IFERROR(AVERAGEIFS(RC_IN[MC],RC_IN[BLOCK],RC_OUT[BLOCK]),"")</f>
        <v/>
      </c>
      <c r="J264" s="264">
        <f t="shared" si="1"/>
        <v>0</v>
      </c>
      <c r="K264" s="246"/>
      <c r="L264" s="246"/>
      <c r="M264" s="249" t="str">
        <f t="shared" si="2"/>
        <v/>
      </c>
      <c r="N264" s="266">
        <f t="shared" si="3"/>
        <v>0</v>
      </c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</row>
    <row r="265">
      <c r="A265" s="273">
        <v>45601.0</v>
      </c>
      <c r="B265" s="275" t="s">
        <v>1142</v>
      </c>
      <c r="C265" s="275" t="s">
        <v>1143</v>
      </c>
      <c r="D265" s="276">
        <v>10740.0</v>
      </c>
      <c r="E265" s="275" t="s">
        <v>1017</v>
      </c>
      <c r="F265" s="279"/>
      <c r="G265" s="278" t="str">
        <f>IFNA(IF(VLOOKUP(RC_OUT[BLOCK],RC_IN[[BLOCK]:[BLOCK LOC]],2,FALSE)=0,"",VLOOKUP(RC_OUT[BLOCK],RC_IN[[BLOCK]:[BLOCK LOC]],2,FALSE)),"")</f>
        <v/>
      </c>
      <c r="I265" s="263" t="str">
        <f>IFERROR(AVERAGEIFS(RC_IN[MC],RC_IN[BLOCK],RC_OUT[BLOCK]),"")</f>
        <v/>
      </c>
      <c r="J265" s="264">
        <f t="shared" si="1"/>
        <v>0</v>
      </c>
      <c r="K265" s="246"/>
      <c r="L265" s="246"/>
      <c r="M265" s="249" t="str">
        <f t="shared" si="2"/>
        <v/>
      </c>
      <c r="N265" s="266">
        <f t="shared" si="3"/>
        <v>0</v>
      </c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</row>
    <row r="266">
      <c r="A266" s="273">
        <v>45601.0</v>
      </c>
      <c r="B266" s="275" t="s">
        <v>1142</v>
      </c>
      <c r="C266" s="275" t="s">
        <v>1141</v>
      </c>
      <c r="D266" s="276">
        <v>14180.0</v>
      </c>
      <c r="E266" s="275" t="s">
        <v>1017</v>
      </c>
      <c r="F266" s="277" t="s">
        <v>1059</v>
      </c>
      <c r="G266" s="278" t="str">
        <f>IFNA(IF(VLOOKUP(RC_OUT[BLOCK],RC_IN[[BLOCK]:[BLOCK LOC]],2,FALSE)=0,"",VLOOKUP(RC_OUT[BLOCK],RC_IN[[BLOCK]:[BLOCK LOC]],2,FALSE)),"")</f>
        <v/>
      </c>
      <c r="I266" s="263" t="str">
        <f>IFERROR(AVERAGEIFS(RC_IN[MC],RC_IN[BLOCK],RC_OUT[BLOCK]),"")</f>
        <v/>
      </c>
      <c r="J266" s="264">
        <f t="shared" si="1"/>
        <v>0</v>
      </c>
      <c r="K266" s="246"/>
      <c r="L266" s="246"/>
      <c r="M266" s="249" t="str">
        <f t="shared" si="2"/>
        <v/>
      </c>
      <c r="N266" s="266">
        <f t="shared" si="3"/>
        <v>0</v>
      </c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</row>
    <row r="267">
      <c r="A267" s="273">
        <v>45601.0</v>
      </c>
      <c r="B267" s="275" t="s">
        <v>1142</v>
      </c>
      <c r="C267" s="275" t="s">
        <v>1057</v>
      </c>
      <c r="D267" s="276">
        <v>6093.0</v>
      </c>
      <c r="E267" s="275" t="s">
        <v>1017</v>
      </c>
      <c r="F267" s="279"/>
      <c r="G267" s="278" t="str">
        <f>IFNA(IF(VLOOKUP(RC_OUT[BLOCK],RC_IN[[BLOCK]:[BLOCK LOC]],2,FALSE)=0,"",VLOOKUP(RC_OUT[BLOCK],RC_IN[[BLOCK]:[BLOCK LOC]],2,FALSE)),"")</f>
        <v/>
      </c>
      <c r="I267" s="263" t="str">
        <f>IFERROR(AVERAGEIFS(RC_IN[MC],RC_IN[BLOCK],RC_OUT[BLOCK]),"")</f>
        <v/>
      </c>
      <c r="J267" s="264">
        <f t="shared" si="1"/>
        <v>0</v>
      </c>
      <c r="K267" s="246"/>
      <c r="L267" s="246"/>
      <c r="M267" s="249" t="str">
        <f t="shared" si="2"/>
        <v/>
      </c>
      <c r="N267" s="266">
        <f t="shared" si="3"/>
        <v>0</v>
      </c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</row>
    <row r="268">
      <c r="A268" s="273">
        <v>45602.0</v>
      </c>
      <c r="B268" s="275" t="s">
        <v>1142</v>
      </c>
      <c r="C268" s="275" t="s">
        <v>1143</v>
      </c>
      <c r="D268" s="276">
        <v>33705.0</v>
      </c>
      <c r="E268" s="275" t="s">
        <v>1017</v>
      </c>
      <c r="F268" s="279"/>
      <c r="G268" s="278" t="str">
        <f>IFNA(IF(VLOOKUP(RC_OUT[BLOCK],RC_IN[[BLOCK]:[BLOCK LOC]],2,FALSE)=0,"",VLOOKUP(RC_OUT[BLOCK],RC_IN[[BLOCK]:[BLOCK LOC]],2,FALSE)),"")</f>
        <v/>
      </c>
      <c r="I268" s="263" t="str">
        <f>IFERROR(AVERAGEIFS(RC_IN[MC],RC_IN[BLOCK],RC_OUT[BLOCK]),"")</f>
        <v/>
      </c>
      <c r="J268" s="264">
        <f t="shared" si="1"/>
        <v>0</v>
      </c>
      <c r="K268" s="246"/>
      <c r="L268" s="246"/>
      <c r="M268" s="249" t="str">
        <f t="shared" si="2"/>
        <v/>
      </c>
      <c r="N268" s="266">
        <f t="shared" si="3"/>
        <v>0</v>
      </c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</row>
    <row r="269">
      <c r="A269" s="273">
        <v>45602.0</v>
      </c>
      <c r="B269" s="275" t="s">
        <v>1142</v>
      </c>
      <c r="C269" s="275" t="s">
        <v>1057</v>
      </c>
      <c r="D269" s="276">
        <v>6094.0</v>
      </c>
      <c r="E269" s="275" t="s">
        <v>1017</v>
      </c>
      <c r="F269" s="279"/>
      <c r="G269" s="278" t="str">
        <f>IFNA(IF(VLOOKUP(RC_OUT[BLOCK],RC_IN[[BLOCK]:[BLOCK LOC]],2,FALSE)=0,"",VLOOKUP(RC_OUT[BLOCK],RC_IN[[BLOCK]:[BLOCK LOC]],2,FALSE)),"")</f>
        <v/>
      </c>
      <c r="I269" s="263" t="str">
        <f>IFERROR(AVERAGEIFS(RC_IN[MC],RC_IN[BLOCK],RC_OUT[BLOCK]),"")</f>
        <v/>
      </c>
      <c r="J269" s="264">
        <f t="shared" si="1"/>
        <v>0</v>
      </c>
      <c r="K269" s="246"/>
      <c r="L269" s="246"/>
      <c r="M269" s="249" t="str">
        <f t="shared" si="2"/>
        <v/>
      </c>
      <c r="N269" s="266">
        <f t="shared" si="3"/>
        <v>0</v>
      </c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</row>
    <row r="270">
      <c r="A270" s="273">
        <v>45603.0</v>
      </c>
      <c r="B270" s="275" t="s">
        <v>1142</v>
      </c>
      <c r="C270" s="275" t="s">
        <v>1143</v>
      </c>
      <c r="D270" s="276">
        <v>9453.0</v>
      </c>
      <c r="E270" s="275" t="s">
        <v>1017</v>
      </c>
      <c r="F270" s="277" t="s">
        <v>1059</v>
      </c>
      <c r="G270" s="278" t="str">
        <f>IFNA(IF(VLOOKUP(RC_OUT[BLOCK],RC_IN[[BLOCK]:[BLOCK LOC]],2,FALSE)=0,"",VLOOKUP(RC_OUT[BLOCK],RC_IN[[BLOCK]:[BLOCK LOC]],2,FALSE)),"")</f>
        <v/>
      </c>
      <c r="I270" s="263" t="str">
        <f>IFERROR(AVERAGEIFS(RC_IN[MC],RC_IN[BLOCK],RC_OUT[BLOCK]),"")</f>
        <v/>
      </c>
      <c r="J270" s="264">
        <f t="shared" si="1"/>
        <v>0</v>
      </c>
      <c r="K270" s="246"/>
      <c r="L270" s="246"/>
      <c r="M270" s="249" t="str">
        <f t="shared" si="2"/>
        <v/>
      </c>
      <c r="N270" s="266">
        <f t="shared" si="3"/>
        <v>0</v>
      </c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</row>
    <row r="271">
      <c r="A271" s="273">
        <v>45603.0</v>
      </c>
      <c r="B271" s="275" t="s">
        <v>1142</v>
      </c>
      <c r="C271" s="275" t="s">
        <v>1144</v>
      </c>
      <c r="D271" s="276">
        <v>21294.0</v>
      </c>
      <c r="E271" s="275" t="s">
        <v>1017</v>
      </c>
      <c r="F271" s="279"/>
      <c r="G271" s="278" t="str">
        <f>IFNA(IF(VLOOKUP(RC_OUT[BLOCK],RC_IN[[BLOCK]:[BLOCK LOC]],2,FALSE)=0,"",VLOOKUP(RC_OUT[BLOCK],RC_IN[[BLOCK]:[BLOCK LOC]],2,FALSE)),"")</f>
        <v/>
      </c>
      <c r="I271" s="263" t="str">
        <f>IFERROR(AVERAGEIFS(RC_IN[MC],RC_IN[BLOCK],RC_OUT[BLOCK]),"")</f>
        <v/>
      </c>
      <c r="J271" s="264">
        <f t="shared" si="1"/>
        <v>0</v>
      </c>
      <c r="K271" s="246"/>
      <c r="L271" s="246"/>
      <c r="M271" s="249" t="str">
        <f t="shared" si="2"/>
        <v/>
      </c>
      <c r="N271" s="266">
        <f t="shared" si="3"/>
        <v>0</v>
      </c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</row>
    <row r="272">
      <c r="A272" s="273">
        <v>45604.0</v>
      </c>
      <c r="B272" s="275" t="s">
        <v>1142</v>
      </c>
      <c r="C272" s="275" t="s">
        <v>1144</v>
      </c>
      <c r="D272" s="276">
        <v>34148.0</v>
      </c>
      <c r="E272" s="275" t="s">
        <v>1017</v>
      </c>
      <c r="F272" s="279"/>
      <c r="G272" s="278" t="str">
        <f>IFNA(IF(VLOOKUP(RC_OUT[BLOCK],RC_IN[[BLOCK]:[BLOCK LOC]],2,FALSE)=0,"",VLOOKUP(RC_OUT[BLOCK],RC_IN[[BLOCK]:[BLOCK LOC]],2,FALSE)),"")</f>
        <v/>
      </c>
      <c r="I272" s="263" t="str">
        <f>IFERROR(AVERAGEIFS(RC_IN[MC],RC_IN[BLOCK],RC_OUT[BLOCK]),"")</f>
        <v/>
      </c>
      <c r="J272" s="264">
        <f t="shared" si="1"/>
        <v>0</v>
      </c>
      <c r="K272" s="246"/>
      <c r="L272" s="246"/>
      <c r="M272" s="249" t="str">
        <f t="shared" si="2"/>
        <v/>
      </c>
      <c r="N272" s="266">
        <f t="shared" si="3"/>
        <v>0</v>
      </c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</row>
    <row r="273">
      <c r="A273" s="273">
        <v>45604.0</v>
      </c>
      <c r="B273" s="275" t="s">
        <v>1142</v>
      </c>
      <c r="C273" s="275" t="s">
        <v>1057</v>
      </c>
      <c r="D273" s="276">
        <v>4323.0</v>
      </c>
      <c r="E273" s="275" t="s">
        <v>1017</v>
      </c>
      <c r="F273" s="279"/>
      <c r="G273" s="278" t="str">
        <f>IFNA(IF(VLOOKUP(RC_OUT[BLOCK],RC_IN[[BLOCK]:[BLOCK LOC]],2,FALSE)=0,"",VLOOKUP(RC_OUT[BLOCK],RC_IN[[BLOCK]:[BLOCK LOC]],2,FALSE)),"")</f>
        <v/>
      </c>
      <c r="I273" s="263" t="str">
        <f>IFERROR(AVERAGEIFS(RC_IN[MC],RC_IN[BLOCK],RC_OUT[BLOCK]),"")</f>
        <v/>
      </c>
      <c r="J273" s="264">
        <f t="shared" si="1"/>
        <v>0</v>
      </c>
      <c r="K273" s="246"/>
      <c r="L273" s="246"/>
      <c r="M273" s="249" t="str">
        <f t="shared" si="2"/>
        <v/>
      </c>
      <c r="N273" s="266">
        <f t="shared" si="3"/>
        <v>0</v>
      </c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</row>
    <row r="274">
      <c r="A274" s="273">
        <v>45605.0</v>
      </c>
      <c r="B274" s="275" t="s">
        <v>1142</v>
      </c>
      <c r="C274" s="275" t="s">
        <v>1145</v>
      </c>
      <c r="D274" s="276">
        <v>14819.0</v>
      </c>
      <c r="E274" s="275" t="s">
        <v>1017</v>
      </c>
      <c r="F274" s="279"/>
      <c r="G274" s="278" t="str">
        <f>IFNA(IF(VLOOKUP(RC_OUT[BLOCK],RC_IN[[BLOCK]:[BLOCK LOC]],2,FALSE)=0,"",VLOOKUP(RC_OUT[BLOCK],RC_IN[[BLOCK]:[BLOCK LOC]],2,FALSE)),"")</f>
        <v/>
      </c>
      <c r="I274" s="263" t="str">
        <f>IFERROR(AVERAGEIFS(RC_IN[MC],RC_IN[BLOCK],RC_OUT[BLOCK]),"")</f>
        <v/>
      </c>
      <c r="J274" s="264">
        <f t="shared" si="1"/>
        <v>0</v>
      </c>
      <c r="K274" s="246"/>
      <c r="L274" s="246"/>
      <c r="M274" s="249" t="str">
        <f t="shared" si="2"/>
        <v/>
      </c>
      <c r="N274" s="266">
        <f t="shared" si="3"/>
        <v>0</v>
      </c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</row>
    <row r="275">
      <c r="A275" s="273">
        <v>45605.0</v>
      </c>
      <c r="B275" s="275" t="s">
        <v>1142</v>
      </c>
      <c r="C275" s="275" t="s">
        <v>1144</v>
      </c>
      <c r="D275" s="276">
        <v>16184.0</v>
      </c>
      <c r="E275" s="275" t="s">
        <v>1017</v>
      </c>
      <c r="F275" s="277" t="s">
        <v>1059</v>
      </c>
      <c r="G275" s="278" t="str">
        <f>IFNA(IF(VLOOKUP(RC_OUT[BLOCK],RC_IN[[BLOCK]:[BLOCK LOC]],2,FALSE)=0,"",VLOOKUP(RC_OUT[BLOCK],RC_IN[[BLOCK]:[BLOCK LOC]],2,FALSE)),"")</f>
        <v/>
      </c>
      <c r="I275" s="263" t="str">
        <f>IFERROR(AVERAGEIFS(RC_IN[MC],RC_IN[BLOCK],RC_OUT[BLOCK]),"")</f>
        <v/>
      </c>
      <c r="J275" s="264">
        <f t="shared" si="1"/>
        <v>0</v>
      </c>
      <c r="K275" s="246"/>
      <c r="L275" s="246"/>
      <c r="M275" s="249" t="str">
        <f t="shared" si="2"/>
        <v/>
      </c>
      <c r="N275" s="266">
        <f t="shared" si="3"/>
        <v>0</v>
      </c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</row>
    <row r="276">
      <c r="A276" s="273">
        <v>45605.0</v>
      </c>
      <c r="B276" s="275" t="s">
        <v>1142</v>
      </c>
      <c r="C276" s="275" t="s">
        <v>1057</v>
      </c>
      <c r="D276" s="276">
        <v>3323.0</v>
      </c>
      <c r="E276" s="275" t="s">
        <v>1017</v>
      </c>
      <c r="F276" s="279"/>
      <c r="G276" s="278" t="str">
        <f>IFNA(IF(VLOOKUP(RC_OUT[BLOCK],RC_IN[[BLOCK]:[BLOCK LOC]],2,FALSE)=0,"",VLOOKUP(RC_OUT[BLOCK],RC_IN[[BLOCK]:[BLOCK LOC]],2,FALSE)),"")</f>
        <v/>
      </c>
      <c r="I276" s="263" t="str">
        <f>IFERROR(AVERAGEIFS(RC_IN[MC],RC_IN[BLOCK],RC_OUT[BLOCK]),"")</f>
        <v/>
      </c>
      <c r="J276" s="264">
        <f t="shared" si="1"/>
        <v>0</v>
      </c>
      <c r="K276" s="246"/>
      <c r="L276" s="246"/>
      <c r="M276" s="249" t="str">
        <f t="shared" si="2"/>
        <v/>
      </c>
      <c r="N276" s="266">
        <f t="shared" si="3"/>
        <v>0</v>
      </c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</row>
    <row r="277">
      <c r="A277" s="282">
        <v>45607.0</v>
      </c>
      <c r="B277" s="275" t="s">
        <v>1142</v>
      </c>
      <c r="C277" s="275" t="s">
        <v>1145</v>
      </c>
      <c r="D277" s="276">
        <v>34359.0</v>
      </c>
      <c r="E277" s="275" t="s">
        <v>1017</v>
      </c>
      <c r="F277" s="279"/>
      <c r="G277" s="278" t="str">
        <f>IFNA(IF(VLOOKUP(RC_OUT[BLOCK],RC_IN[[BLOCK]:[BLOCK LOC]],2,FALSE)=0,"",VLOOKUP(RC_OUT[BLOCK],RC_IN[[BLOCK]:[BLOCK LOC]],2,FALSE)),"")</f>
        <v/>
      </c>
      <c r="I277" s="263" t="str">
        <f>IFERROR(AVERAGEIFS(RC_IN[MC],RC_IN[BLOCK],RC_OUT[BLOCK]),"")</f>
        <v/>
      </c>
      <c r="J277" s="264">
        <f t="shared" si="1"/>
        <v>0</v>
      </c>
      <c r="K277" s="246"/>
      <c r="L277" s="246"/>
      <c r="M277" s="249" t="str">
        <f t="shared" si="2"/>
        <v/>
      </c>
      <c r="N277" s="266">
        <f t="shared" si="3"/>
        <v>0</v>
      </c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</row>
    <row r="278">
      <c r="A278" s="282">
        <v>45607.0</v>
      </c>
      <c r="B278" s="275" t="s">
        <v>1142</v>
      </c>
      <c r="C278" s="275" t="s">
        <v>1057</v>
      </c>
      <c r="D278" s="276">
        <v>3323.0</v>
      </c>
      <c r="E278" s="275" t="s">
        <v>1017</v>
      </c>
      <c r="F278" s="279"/>
      <c r="G278" s="278" t="str">
        <f>IFNA(IF(VLOOKUP(RC_OUT[BLOCK],RC_IN[[BLOCK]:[BLOCK LOC]],2,FALSE)=0,"",VLOOKUP(RC_OUT[BLOCK],RC_IN[[BLOCK]:[BLOCK LOC]],2,FALSE)),"")</f>
        <v/>
      </c>
      <c r="I278" s="263" t="str">
        <f>IFERROR(AVERAGEIFS(RC_IN[MC],RC_IN[BLOCK],RC_OUT[BLOCK]),"")</f>
        <v/>
      </c>
      <c r="J278" s="264">
        <f t="shared" si="1"/>
        <v>0</v>
      </c>
      <c r="K278" s="246"/>
      <c r="L278" s="246"/>
      <c r="M278" s="249" t="str">
        <f t="shared" si="2"/>
        <v/>
      </c>
      <c r="N278" s="266">
        <f t="shared" si="3"/>
        <v>0</v>
      </c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</row>
    <row r="279">
      <c r="A279" s="282">
        <v>45608.0</v>
      </c>
      <c r="B279" s="275" t="s">
        <v>1142</v>
      </c>
      <c r="C279" s="275" t="s">
        <v>1145</v>
      </c>
      <c r="D279" s="276">
        <v>16884.0</v>
      </c>
      <c r="E279" s="275" t="s">
        <v>1017</v>
      </c>
      <c r="F279" s="279"/>
      <c r="G279" s="278" t="str">
        <f>IFNA(IF(VLOOKUP(RC_OUT[BLOCK],RC_IN[[BLOCK]:[BLOCK LOC]],2,FALSE)=0,"",VLOOKUP(RC_OUT[BLOCK],RC_IN[[BLOCK]:[BLOCK LOC]],2,FALSE)),"")</f>
        <v/>
      </c>
      <c r="I279" s="263" t="str">
        <f>IFERROR(AVERAGEIFS(RC_IN[MC],RC_IN[BLOCK],RC_OUT[BLOCK]),"")</f>
        <v/>
      </c>
      <c r="J279" s="264">
        <f t="shared" si="1"/>
        <v>0</v>
      </c>
      <c r="K279" s="246"/>
      <c r="L279" s="246"/>
      <c r="M279" s="249" t="str">
        <f t="shared" si="2"/>
        <v/>
      </c>
      <c r="N279" s="266">
        <f t="shared" si="3"/>
        <v>0</v>
      </c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</row>
    <row r="280">
      <c r="A280" s="282">
        <v>45608.0</v>
      </c>
      <c r="B280" s="275" t="s">
        <v>1142</v>
      </c>
      <c r="C280" s="275" t="s">
        <v>1057</v>
      </c>
      <c r="D280" s="276">
        <v>3323.0</v>
      </c>
      <c r="E280" s="275" t="s">
        <v>1017</v>
      </c>
      <c r="F280" s="279"/>
      <c r="G280" s="278" t="str">
        <f>IFNA(IF(VLOOKUP(RC_OUT[BLOCK],RC_IN[[BLOCK]:[BLOCK LOC]],2,FALSE)=0,"",VLOOKUP(RC_OUT[BLOCK],RC_IN[[BLOCK]:[BLOCK LOC]],2,FALSE)),"")</f>
        <v/>
      </c>
      <c r="I280" s="263" t="str">
        <f>IFERROR(AVERAGEIFS(RC_IN[MC],RC_IN[BLOCK],RC_OUT[BLOCK]),"")</f>
        <v/>
      </c>
      <c r="J280" s="264">
        <f t="shared" si="1"/>
        <v>0</v>
      </c>
      <c r="K280" s="246"/>
      <c r="L280" s="246"/>
      <c r="M280" s="249" t="str">
        <f t="shared" si="2"/>
        <v/>
      </c>
      <c r="N280" s="266">
        <f t="shared" si="3"/>
        <v>0</v>
      </c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</row>
    <row r="281">
      <c r="A281" s="282">
        <v>45608.0</v>
      </c>
      <c r="B281" s="275" t="s">
        <v>1142</v>
      </c>
      <c r="C281" s="275" t="s">
        <v>1140</v>
      </c>
      <c r="D281" s="276">
        <v>12372.0</v>
      </c>
      <c r="E281" s="275" t="s">
        <v>1017</v>
      </c>
      <c r="F281" s="279"/>
      <c r="G281" s="278" t="str">
        <f>IFNA(IF(VLOOKUP(RC_OUT[BLOCK],RC_IN[[BLOCK]:[BLOCK LOC]],2,FALSE)=0,"",VLOOKUP(RC_OUT[BLOCK],RC_IN[[BLOCK]:[BLOCK LOC]],2,FALSE)),"")</f>
        <v/>
      </c>
      <c r="I281" s="263" t="str">
        <f>IFERROR(AVERAGEIFS(RC_IN[MC],RC_IN[BLOCK],RC_OUT[BLOCK]),"")</f>
        <v/>
      </c>
      <c r="J281" s="264">
        <f t="shared" si="1"/>
        <v>0</v>
      </c>
      <c r="K281" s="246"/>
      <c r="L281" s="246"/>
      <c r="M281" s="249" t="str">
        <f t="shared" si="2"/>
        <v/>
      </c>
      <c r="N281" s="266">
        <f t="shared" si="3"/>
        <v>0</v>
      </c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</row>
    <row r="282">
      <c r="A282" s="282">
        <v>45609.0</v>
      </c>
      <c r="B282" s="275" t="s">
        <v>1142</v>
      </c>
      <c r="C282" s="275" t="s">
        <v>1145</v>
      </c>
      <c r="D282" s="276">
        <v>2505.0</v>
      </c>
      <c r="E282" s="275" t="s">
        <v>1017</v>
      </c>
      <c r="F282" s="279"/>
      <c r="G282" s="278" t="str">
        <f>IFNA(IF(VLOOKUP(RC_OUT[BLOCK],RC_IN[[BLOCK]:[BLOCK LOC]],2,FALSE)=0,"",VLOOKUP(RC_OUT[BLOCK],RC_IN[[BLOCK]:[BLOCK LOC]],2,FALSE)),"")</f>
        <v/>
      </c>
      <c r="I282" s="263" t="str">
        <f>IFERROR(AVERAGEIFS(RC_IN[MC],RC_IN[BLOCK],RC_OUT[BLOCK]),"")</f>
        <v/>
      </c>
      <c r="J282" s="264">
        <f t="shared" si="1"/>
        <v>0</v>
      </c>
      <c r="K282" s="246"/>
      <c r="L282" s="246"/>
      <c r="M282" s="249" t="str">
        <f t="shared" si="2"/>
        <v/>
      </c>
      <c r="N282" s="266">
        <f t="shared" si="3"/>
        <v>0</v>
      </c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</row>
    <row r="283">
      <c r="A283" s="282">
        <v>45609.0</v>
      </c>
      <c r="B283" s="275" t="s">
        <v>1142</v>
      </c>
      <c r="C283" s="275" t="s">
        <v>1146</v>
      </c>
      <c r="D283" s="276">
        <v>13909.0</v>
      </c>
      <c r="E283" s="275" t="s">
        <v>1017</v>
      </c>
      <c r="F283" s="279"/>
      <c r="G283" s="278" t="str">
        <f>IFNA(IF(VLOOKUP(RC_OUT[BLOCK],RC_IN[[BLOCK]:[BLOCK LOC]],2,FALSE)=0,"",VLOOKUP(RC_OUT[BLOCK],RC_IN[[BLOCK]:[BLOCK LOC]],2,FALSE)),"")</f>
        <v/>
      </c>
      <c r="I283" s="263" t="str">
        <f>IFERROR(AVERAGEIFS(RC_IN[MC],RC_IN[BLOCK],RC_OUT[BLOCK]),"")</f>
        <v/>
      </c>
      <c r="J283" s="264">
        <f t="shared" si="1"/>
        <v>0</v>
      </c>
      <c r="K283" s="246"/>
      <c r="L283" s="246"/>
      <c r="M283" s="249" t="str">
        <f t="shared" si="2"/>
        <v/>
      </c>
      <c r="N283" s="266">
        <f t="shared" si="3"/>
        <v>0</v>
      </c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</row>
    <row r="284">
      <c r="A284" s="282">
        <v>45609.0</v>
      </c>
      <c r="B284" s="275" t="s">
        <v>1142</v>
      </c>
      <c r="C284" s="275" t="s">
        <v>1057</v>
      </c>
      <c r="D284" s="276">
        <v>2956.0</v>
      </c>
      <c r="E284" s="275" t="s">
        <v>1017</v>
      </c>
      <c r="F284" s="279"/>
      <c r="G284" s="278" t="str">
        <f>IFNA(IF(VLOOKUP(RC_OUT[BLOCK],RC_IN[[BLOCK]:[BLOCK LOC]],2,FALSE)=0,"",VLOOKUP(RC_OUT[BLOCK],RC_IN[[BLOCK]:[BLOCK LOC]],2,FALSE)),"")</f>
        <v/>
      </c>
      <c r="I284" s="263" t="str">
        <f>IFERROR(AVERAGEIFS(RC_IN[MC],RC_IN[BLOCK],RC_OUT[BLOCK]),"")</f>
        <v/>
      </c>
      <c r="J284" s="264">
        <f t="shared" si="1"/>
        <v>0</v>
      </c>
      <c r="K284" s="246"/>
      <c r="L284" s="246"/>
      <c r="M284" s="249" t="str">
        <f t="shared" si="2"/>
        <v/>
      </c>
      <c r="N284" s="266">
        <f t="shared" si="3"/>
        <v>0</v>
      </c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</row>
    <row r="285">
      <c r="A285" s="282">
        <v>45609.0</v>
      </c>
      <c r="B285" s="275" t="s">
        <v>1142</v>
      </c>
      <c r="C285" s="275" t="s">
        <v>1140</v>
      </c>
      <c r="D285" s="276">
        <v>6844.0</v>
      </c>
      <c r="E285" s="275" t="s">
        <v>1017</v>
      </c>
      <c r="F285" s="277" t="s">
        <v>1059</v>
      </c>
      <c r="G285" s="278" t="str">
        <f>IFNA(IF(VLOOKUP(RC_OUT[BLOCK],RC_IN[[BLOCK]:[BLOCK LOC]],2,FALSE)=0,"",VLOOKUP(RC_OUT[BLOCK],RC_IN[[BLOCK]:[BLOCK LOC]],2,FALSE)),"")</f>
        <v/>
      </c>
      <c r="I285" s="263" t="str">
        <f>IFERROR(AVERAGEIFS(RC_IN[MC],RC_IN[BLOCK],RC_OUT[BLOCK]),"")</f>
        <v/>
      </c>
      <c r="J285" s="264">
        <f t="shared" si="1"/>
        <v>0</v>
      </c>
      <c r="K285" s="246"/>
      <c r="L285" s="246"/>
      <c r="M285" s="249" t="str">
        <f t="shared" si="2"/>
        <v/>
      </c>
      <c r="N285" s="266">
        <f t="shared" si="3"/>
        <v>0</v>
      </c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</row>
    <row r="286">
      <c r="A286" s="282">
        <v>45610.0</v>
      </c>
      <c r="B286" s="275" t="s">
        <v>1142</v>
      </c>
      <c r="C286" s="275" t="s">
        <v>1145</v>
      </c>
      <c r="D286" s="276">
        <v>3890.0</v>
      </c>
      <c r="E286" s="275" t="s">
        <v>1017</v>
      </c>
      <c r="F286" s="277" t="s">
        <v>1059</v>
      </c>
      <c r="G286" s="278" t="str">
        <f>IFNA(IF(VLOOKUP(RC_OUT[BLOCK],RC_IN[[BLOCK]:[BLOCK LOC]],2,FALSE)=0,"",VLOOKUP(RC_OUT[BLOCK],RC_IN[[BLOCK]:[BLOCK LOC]],2,FALSE)),"")</f>
        <v/>
      </c>
      <c r="I286" s="263" t="str">
        <f>IFERROR(AVERAGEIFS(RC_IN[MC],RC_IN[BLOCK],RC_OUT[BLOCK]),"")</f>
        <v/>
      </c>
      <c r="J286" s="264">
        <f t="shared" si="1"/>
        <v>0</v>
      </c>
      <c r="K286" s="246"/>
      <c r="L286" s="246"/>
      <c r="M286" s="249" t="str">
        <f t="shared" si="2"/>
        <v/>
      </c>
      <c r="N286" s="266">
        <f t="shared" si="3"/>
        <v>0</v>
      </c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</row>
    <row r="287">
      <c r="A287" s="282">
        <v>45610.0</v>
      </c>
      <c r="B287" s="275" t="s">
        <v>1142</v>
      </c>
      <c r="C287" s="275" t="s">
        <v>1146</v>
      </c>
      <c r="D287" s="276">
        <v>9276.0</v>
      </c>
      <c r="E287" s="275" t="s">
        <v>1017</v>
      </c>
      <c r="F287" s="279"/>
      <c r="G287" s="278" t="str">
        <f>IFNA(IF(VLOOKUP(RC_OUT[BLOCK],RC_IN[[BLOCK]:[BLOCK LOC]],2,FALSE)=0,"",VLOOKUP(RC_OUT[BLOCK],RC_IN[[BLOCK]:[BLOCK LOC]],2,FALSE)),"")</f>
        <v/>
      </c>
      <c r="I287" s="263" t="str">
        <f>IFERROR(AVERAGEIFS(RC_IN[MC],RC_IN[BLOCK],RC_OUT[BLOCK]),"")</f>
        <v/>
      </c>
      <c r="J287" s="264">
        <f t="shared" si="1"/>
        <v>0</v>
      </c>
      <c r="K287" s="246"/>
      <c r="L287" s="246"/>
      <c r="M287" s="249" t="str">
        <f t="shared" si="2"/>
        <v/>
      </c>
      <c r="N287" s="266">
        <f t="shared" si="3"/>
        <v>0</v>
      </c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</row>
    <row r="288">
      <c r="A288" s="282">
        <v>45611.0</v>
      </c>
      <c r="B288" s="275" t="s">
        <v>1142</v>
      </c>
      <c r="C288" s="275" t="s">
        <v>1146</v>
      </c>
      <c r="D288" s="276">
        <v>9942.0</v>
      </c>
      <c r="E288" s="275" t="s">
        <v>1017</v>
      </c>
      <c r="F288" s="279"/>
      <c r="G288" s="278" t="str">
        <f>IFNA(IF(VLOOKUP(RC_OUT[BLOCK],RC_IN[[BLOCK]:[BLOCK LOC]],2,FALSE)=0,"",VLOOKUP(RC_OUT[BLOCK],RC_IN[[BLOCK]:[BLOCK LOC]],2,FALSE)),"")</f>
        <v/>
      </c>
      <c r="I288" s="263" t="str">
        <f>IFERROR(AVERAGEIFS(RC_IN[MC],RC_IN[BLOCK],RC_OUT[BLOCK]),"")</f>
        <v/>
      </c>
      <c r="J288" s="264">
        <f t="shared" si="1"/>
        <v>0</v>
      </c>
      <c r="K288" s="246"/>
      <c r="L288" s="246"/>
      <c r="M288" s="249" t="str">
        <f t="shared" si="2"/>
        <v/>
      </c>
      <c r="N288" s="266">
        <f t="shared" si="3"/>
        <v>0</v>
      </c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</row>
    <row r="289">
      <c r="A289" s="273">
        <v>45659.0</v>
      </c>
      <c r="B289" s="275" t="s">
        <v>1147</v>
      </c>
      <c r="C289" s="275" t="s">
        <v>1146</v>
      </c>
      <c r="D289" s="276">
        <v>17600.0</v>
      </c>
      <c r="E289" s="275" t="s">
        <v>1017</v>
      </c>
      <c r="F289" s="277" t="s">
        <v>1059</v>
      </c>
      <c r="G289" s="278" t="str">
        <f>IFNA(IF(VLOOKUP(RC_OUT[BLOCK],RC_IN[[BLOCK]:[BLOCK LOC]],2,FALSE)=0,"",VLOOKUP(RC_OUT[BLOCK],RC_IN[[BLOCK]:[BLOCK LOC]],2,FALSE)),"")</f>
        <v/>
      </c>
      <c r="I289" s="263" t="str">
        <f>IFERROR(AVERAGEIFS(RC_IN[MC],RC_IN[BLOCK],RC_OUT[BLOCK]),"")</f>
        <v/>
      </c>
      <c r="J289" s="264">
        <f t="shared" si="1"/>
        <v>0</v>
      </c>
      <c r="K289" s="246"/>
      <c r="L289" s="246"/>
      <c r="M289" s="249" t="str">
        <f t="shared" si="2"/>
        <v/>
      </c>
      <c r="N289" s="266">
        <f t="shared" si="3"/>
        <v>0</v>
      </c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</row>
    <row r="290">
      <c r="A290" s="273">
        <v>45659.0</v>
      </c>
      <c r="B290" s="275" t="s">
        <v>1147</v>
      </c>
      <c r="C290" s="275" t="s">
        <v>1057</v>
      </c>
      <c r="D290" s="276">
        <v>9220.0</v>
      </c>
      <c r="E290" s="275" t="s">
        <v>1017</v>
      </c>
      <c r="F290" s="279"/>
      <c r="G290" s="278" t="str">
        <f>IFNA(IF(VLOOKUP(RC_OUT[BLOCK],RC_IN[[BLOCK]:[BLOCK LOC]],2,FALSE)=0,"",VLOOKUP(RC_OUT[BLOCK],RC_IN[[BLOCK]:[BLOCK LOC]],2,FALSE)),"")</f>
        <v/>
      </c>
      <c r="I290" s="263" t="str">
        <f>IFERROR(AVERAGEIFS(RC_IN[MC],RC_IN[BLOCK],RC_OUT[BLOCK]),"")</f>
        <v/>
      </c>
      <c r="J290" s="264">
        <f t="shared" si="1"/>
        <v>0</v>
      </c>
      <c r="K290" s="246"/>
      <c r="L290" s="246"/>
      <c r="M290" s="249" t="str">
        <f t="shared" si="2"/>
        <v/>
      </c>
      <c r="N290" s="266">
        <f t="shared" si="3"/>
        <v>0</v>
      </c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</row>
    <row r="291">
      <c r="A291" s="273">
        <v>45659.0</v>
      </c>
      <c r="B291" s="275" t="s">
        <v>1147</v>
      </c>
      <c r="C291" s="275" t="s">
        <v>1148</v>
      </c>
      <c r="D291" s="276">
        <v>3250.0</v>
      </c>
      <c r="E291" s="275" t="s">
        <v>1017</v>
      </c>
      <c r="F291" s="279"/>
      <c r="G291" s="278" t="str">
        <f>IFNA(IF(VLOOKUP(RC_OUT[BLOCK],RC_IN[[BLOCK]:[BLOCK LOC]],2,FALSE)=0,"",VLOOKUP(RC_OUT[BLOCK],RC_IN[[BLOCK]:[BLOCK LOC]],2,FALSE)),"")</f>
        <v/>
      </c>
      <c r="I291" s="263" t="str">
        <f>IFERROR(AVERAGEIFS(RC_IN[MC],RC_IN[BLOCK],RC_OUT[BLOCK]),"")</f>
        <v/>
      </c>
      <c r="J291" s="264">
        <f t="shared" si="1"/>
        <v>0</v>
      </c>
      <c r="K291" s="246"/>
      <c r="L291" s="246"/>
      <c r="M291" s="249" t="str">
        <f t="shared" si="2"/>
        <v/>
      </c>
      <c r="N291" s="266">
        <f t="shared" si="3"/>
        <v>0</v>
      </c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</row>
    <row r="292">
      <c r="A292" s="273">
        <v>45659.0</v>
      </c>
      <c r="B292" s="275" t="s">
        <v>1147</v>
      </c>
      <c r="C292" s="275" t="s">
        <v>1149</v>
      </c>
      <c r="D292" s="276">
        <v>3647.0</v>
      </c>
      <c r="E292" s="275" t="s">
        <v>1017</v>
      </c>
      <c r="F292" s="279"/>
      <c r="G292" s="278" t="str">
        <f>IFNA(IF(VLOOKUP(RC_OUT[BLOCK],RC_IN[[BLOCK]:[BLOCK LOC]],2,FALSE)=0,"",VLOOKUP(RC_OUT[BLOCK],RC_IN[[BLOCK]:[BLOCK LOC]],2,FALSE)),"")</f>
        <v/>
      </c>
      <c r="I292" s="263" t="str">
        <f>IFERROR(AVERAGEIFS(RC_IN[MC],RC_IN[BLOCK],RC_OUT[BLOCK]),"")</f>
        <v/>
      </c>
      <c r="J292" s="264">
        <f t="shared" si="1"/>
        <v>0</v>
      </c>
      <c r="K292" s="246"/>
      <c r="L292" s="246"/>
      <c r="M292" s="249" t="str">
        <f t="shared" si="2"/>
        <v/>
      </c>
      <c r="N292" s="266">
        <f t="shared" si="3"/>
        <v>0</v>
      </c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</row>
    <row r="293">
      <c r="A293" s="273">
        <v>45660.0</v>
      </c>
      <c r="B293" s="275" t="s">
        <v>1147</v>
      </c>
      <c r="C293" s="275" t="s">
        <v>1057</v>
      </c>
      <c r="D293" s="276">
        <v>9220.0</v>
      </c>
      <c r="E293" s="275" t="s">
        <v>1017</v>
      </c>
      <c r="F293" s="279"/>
      <c r="G293" s="278" t="str">
        <f>IFNA(IF(VLOOKUP(RC_OUT[BLOCK],RC_IN[[BLOCK]:[BLOCK LOC]],2,FALSE)=0,"",VLOOKUP(RC_OUT[BLOCK],RC_IN[[BLOCK]:[BLOCK LOC]],2,FALSE)),"")</f>
        <v/>
      </c>
      <c r="I293" s="263" t="str">
        <f>IFERROR(AVERAGEIFS(RC_IN[MC],RC_IN[BLOCK],RC_OUT[BLOCK]),"")</f>
        <v/>
      </c>
      <c r="J293" s="264">
        <f t="shared" si="1"/>
        <v>0</v>
      </c>
      <c r="K293" s="246"/>
      <c r="L293" s="246"/>
      <c r="M293" s="249" t="str">
        <f t="shared" si="2"/>
        <v/>
      </c>
      <c r="N293" s="266">
        <f t="shared" si="3"/>
        <v>0</v>
      </c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</row>
    <row r="294">
      <c r="A294" s="273">
        <v>45660.0</v>
      </c>
      <c r="B294" s="275" t="s">
        <v>1147</v>
      </c>
      <c r="C294" s="275" t="s">
        <v>1148</v>
      </c>
      <c r="D294" s="276">
        <v>12055.0</v>
      </c>
      <c r="E294" s="275" t="s">
        <v>1017</v>
      </c>
      <c r="F294" s="279"/>
      <c r="G294" s="278" t="str">
        <f>IFNA(IF(VLOOKUP(RC_OUT[BLOCK],RC_IN[[BLOCK]:[BLOCK LOC]],2,FALSE)=0,"",VLOOKUP(RC_OUT[BLOCK],RC_IN[[BLOCK]:[BLOCK LOC]],2,FALSE)),"")</f>
        <v/>
      </c>
      <c r="I294" s="263" t="str">
        <f>IFERROR(AVERAGEIFS(RC_IN[MC],RC_IN[BLOCK],RC_OUT[BLOCK]),"")</f>
        <v/>
      </c>
      <c r="J294" s="264">
        <f t="shared" si="1"/>
        <v>0</v>
      </c>
      <c r="K294" s="246"/>
      <c r="L294" s="246"/>
      <c r="M294" s="249" t="str">
        <f t="shared" si="2"/>
        <v/>
      </c>
      <c r="N294" s="266">
        <f t="shared" si="3"/>
        <v>0</v>
      </c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</row>
    <row r="295">
      <c r="A295" s="273">
        <v>45660.0</v>
      </c>
      <c r="B295" s="275" t="s">
        <v>1147</v>
      </c>
      <c r="C295" s="275" t="s">
        <v>1149</v>
      </c>
      <c r="D295" s="276">
        <v>2592.0</v>
      </c>
      <c r="E295" s="275" t="s">
        <v>1017</v>
      </c>
      <c r="F295" s="279"/>
      <c r="G295" s="278" t="str">
        <f>IFNA(IF(VLOOKUP(RC_OUT[BLOCK],RC_IN[[BLOCK]:[BLOCK LOC]],2,FALSE)=0,"",VLOOKUP(RC_OUT[BLOCK],RC_IN[[BLOCK]:[BLOCK LOC]],2,FALSE)),"")</f>
        <v/>
      </c>
      <c r="I295" s="263" t="str">
        <f>IFERROR(AVERAGEIFS(RC_IN[MC],RC_IN[BLOCK],RC_OUT[BLOCK]),"")</f>
        <v/>
      </c>
      <c r="J295" s="264">
        <f t="shared" si="1"/>
        <v>0</v>
      </c>
      <c r="K295" s="246"/>
      <c r="L295" s="246"/>
      <c r="M295" s="249" t="str">
        <f t="shared" si="2"/>
        <v/>
      </c>
      <c r="N295" s="266">
        <f t="shared" si="3"/>
        <v>0</v>
      </c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</row>
    <row r="296">
      <c r="A296" s="273">
        <v>45660.0</v>
      </c>
      <c r="B296" s="275" t="s">
        <v>1147</v>
      </c>
      <c r="C296" s="275" t="s">
        <v>1150</v>
      </c>
      <c r="D296" s="276">
        <v>3160.0</v>
      </c>
      <c r="E296" s="275" t="s">
        <v>1017</v>
      </c>
      <c r="F296" s="279"/>
      <c r="G296" s="278" t="str">
        <f>IFNA(IF(VLOOKUP(RC_OUT[BLOCK],RC_IN[[BLOCK]:[BLOCK LOC]],2,FALSE)=0,"",VLOOKUP(RC_OUT[BLOCK],RC_IN[[BLOCK]:[BLOCK LOC]],2,FALSE)),"")</f>
        <v/>
      </c>
      <c r="I296" s="263" t="str">
        <f>IFERROR(AVERAGEIFS(RC_IN[MC],RC_IN[BLOCK],RC_OUT[BLOCK]),"")</f>
        <v/>
      </c>
      <c r="J296" s="264">
        <f t="shared" si="1"/>
        <v>0</v>
      </c>
      <c r="K296" s="246"/>
      <c r="L296" s="246"/>
      <c r="M296" s="249" t="str">
        <f t="shared" si="2"/>
        <v/>
      </c>
      <c r="N296" s="266">
        <f t="shared" si="3"/>
        <v>0</v>
      </c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</row>
    <row r="297">
      <c r="A297" s="273">
        <v>45661.0</v>
      </c>
      <c r="B297" s="275" t="s">
        <v>1147</v>
      </c>
      <c r="C297" s="275" t="s">
        <v>1148</v>
      </c>
      <c r="D297" s="276">
        <v>11196.0</v>
      </c>
      <c r="E297" s="275" t="s">
        <v>1017</v>
      </c>
      <c r="F297" s="279"/>
      <c r="G297" s="278" t="str">
        <f>IFNA(IF(VLOOKUP(RC_OUT[BLOCK],RC_IN[[BLOCK]:[BLOCK LOC]],2,FALSE)=0,"",VLOOKUP(RC_OUT[BLOCK],RC_IN[[BLOCK]:[BLOCK LOC]],2,FALSE)),"")</f>
        <v/>
      </c>
      <c r="I297" s="263" t="str">
        <f>IFERROR(AVERAGEIFS(RC_IN[MC],RC_IN[BLOCK],RC_OUT[BLOCK]),"")</f>
        <v/>
      </c>
      <c r="J297" s="264">
        <f t="shared" si="1"/>
        <v>0</v>
      </c>
      <c r="K297" s="246"/>
      <c r="L297" s="246"/>
      <c r="M297" s="249" t="str">
        <f t="shared" si="2"/>
        <v/>
      </c>
      <c r="N297" s="266">
        <f t="shared" si="3"/>
        <v>0</v>
      </c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</row>
    <row r="298">
      <c r="A298" s="273">
        <v>45661.0</v>
      </c>
      <c r="B298" s="275" t="s">
        <v>1147</v>
      </c>
      <c r="C298" s="275" t="s">
        <v>1149</v>
      </c>
      <c r="D298" s="276">
        <v>3100.0</v>
      </c>
      <c r="E298" s="275" t="s">
        <v>1017</v>
      </c>
      <c r="F298" s="279"/>
      <c r="G298" s="278" t="str">
        <f>IFNA(IF(VLOOKUP(RC_OUT[BLOCK],RC_IN[[BLOCK]:[BLOCK LOC]],2,FALSE)=0,"",VLOOKUP(RC_OUT[BLOCK],RC_IN[[BLOCK]:[BLOCK LOC]],2,FALSE)),"")</f>
        <v/>
      </c>
      <c r="I298" s="263" t="str">
        <f>IFERROR(AVERAGEIFS(RC_IN[MC],RC_IN[BLOCK],RC_OUT[BLOCK]),"")</f>
        <v/>
      </c>
      <c r="J298" s="264">
        <f t="shared" si="1"/>
        <v>0</v>
      </c>
      <c r="K298" s="246"/>
      <c r="L298" s="246"/>
      <c r="M298" s="249" t="str">
        <f t="shared" si="2"/>
        <v/>
      </c>
      <c r="N298" s="266">
        <f t="shared" si="3"/>
        <v>0</v>
      </c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</row>
    <row r="299">
      <c r="A299" s="273">
        <v>45661.0</v>
      </c>
      <c r="B299" s="275" t="s">
        <v>1147</v>
      </c>
      <c r="C299" s="275" t="s">
        <v>1150</v>
      </c>
      <c r="D299" s="276">
        <v>14100.0</v>
      </c>
      <c r="E299" s="275" t="s">
        <v>1017</v>
      </c>
      <c r="F299" s="277" t="s">
        <v>1059</v>
      </c>
      <c r="G299" s="278" t="str">
        <f>IFNA(IF(VLOOKUP(RC_OUT[BLOCK],RC_IN[[BLOCK]:[BLOCK LOC]],2,FALSE)=0,"",VLOOKUP(RC_OUT[BLOCK],RC_IN[[BLOCK]:[BLOCK LOC]],2,FALSE)),"")</f>
        <v/>
      </c>
      <c r="I299" s="263" t="str">
        <f>IFERROR(AVERAGEIFS(RC_IN[MC],RC_IN[BLOCK],RC_OUT[BLOCK]),"")</f>
        <v/>
      </c>
      <c r="J299" s="264">
        <f t="shared" si="1"/>
        <v>0</v>
      </c>
      <c r="K299" s="246"/>
      <c r="L299" s="246"/>
      <c r="M299" s="249" t="str">
        <f t="shared" si="2"/>
        <v/>
      </c>
      <c r="N299" s="266">
        <f t="shared" si="3"/>
        <v>0</v>
      </c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</row>
    <row r="300">
      <c r="A300" s="273">
        <v>45661.0</v>
      </c>
      <c r="B300" s="275" t="s">
        <v>1147</v>
      </c>
      <c r="C300" s="275" t="s">
        <v>1151</v>
      </c>
      <c r="D300" s="276">
        <v>1060.0</v>
      </c>
      <c r="E300" s="275" t="s">
        <v>1017</v>
      </c>
      <c r="F300" s="279"/>
      <c r="G300" s="278" t="str">
        <f>IFNA(IF(VLOOKUP(RC_OUT[BLOCK],RC_IN[[BLOCK]:[BLOCK LOC]],2,FALSE)=0,"",VLOOKUP(RC_OUT[BLOCK],RC_IN[[BLOCK]:[BLOCK LOC]],2,FALSE)),"")</f>
        <v/>
      </c>
      <c r="I300" s="263" t="str">
        <f>IFERROR(AVERAGEIFS(RC_IN[MC],RC_IN[BLOCK],RC_OUT[BLOCK]),"")</f>
        <v/>
      </c>
      <c r="J300" s="264">
        <f t="shared" si="1"/>
        <v>0</v>
      </c>
      <c r="K300" s="246"/>
      <c r="L300" s="246"/>
      <c r="M300" s="249" t="str">
        <f t="shared" si="2"/>
        <v/>
      </c>
      <c r="N300" s="266">
        <f t="shared" si="3"/>
        <v>0</v>
      </c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</row>
    <row r="301">
      <c r="A301" s="273">
        <v>45663.0</v>
      </c>
      <c r="B301" s="275" t="s">
        <v>1147</v>
      </c>
      <c r="C301" s="275" t="s">
        <v>1148</v>
      </c>
      <c r="D301" s="276">
        <v>14855.0</v>
      </c>
      <c r="E301" s="275" t="s">
        <v>1017</v>
      </c>
      <c r="F301" s="279"/>
      <c r="G301" s="278" t="str">
        <f>IFNA(IF(VLOOKUP(RC_OUT[BLOCK],RC_IN[[BLOCK]:[BLOCK LOC]],2,FALSE)=0,"",VLOOKUP(RC_OUT[BLOCK],RC_IN[[BLOCK]:[BLOCK LOC]],2,FALSE)),"")</f>
        <v/>
      </c>
      <c r="I301" s="263" t="str">
        <f>IFERROR(AVERAGEIFS(RC_IN[MC],RC_IN[BLOCK],RC_OUT[BLOCK]),"")</f>
        <v/>
      </c>
      <c r="J301" s="264">
        <f t="shared" si="1"/>
        <v>0</v>
      </c>
      <c r="K301" s="246"/>
      <c r="L301" s="246"/>
      <c r="M301" s="249" t="str">
        <f t="shared" si="2"/>
        <v/>
      </c>
      <c r="N301" s="266">
        <f t="shared" si="3"/>
        <v>0</v>
      </c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</row>
    <row r="302">
      <c r="A302" s="273">
        <v>45663.0</v>
      </c>
      <c r="B302" s="275" t="s">
        <v>1147</v>
      </c>
      <c r="C302" s="275" t="s">
        <v>1149</v>
      </c>
      <c r="D302" s="276">
        <v>3857.0</v>
      </c>
      <c r="E302" s="275" t="s">
        <v>1017</v>
      </c>
      <c r="F302" s="279"/>
      <c r="G302" s="278" t="str">
        <f>IFNA(IF(VLOOKUP(RC_OUT[BLOCK],RC_IN[[BLOCK]:[BLOCK LOC]],2,FALSE)=0,"",VLOOKUP(RC_OUT[BLOCK],RC_IN[[BLOCK]:[BLOCK LOC]],2,FALSE)),"")</f>
        <v/>
      </c>
      <c r="I302" s="263" t="str">
        <f>IFERROR(AVERAGEIFS(RC_IN[MC],RC_IN[BLOCK],RC_OUT[BLOCK]),"")</f>
        <v/>
      </c>
      <c r="J302" s="264">
        <f t="shared" si="1"/>
        <v>0</v>
      </c>
      <c r="K302" s="246"/>
      <c r="L302" s="246"/>
      <c r="M302" s="249" t="str">
        <f t="shared" si="2"/>
        <v/>
      </c>
      <c r="N302" s="266">
        <f t="shared" si="3"/>
        <v>0</v>
      </c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</row>
    <row r="303">
      <c r="A303" s="273">
        <v>45663.0</v>
      </c>
      <c r="B303" s="275" t="s">
        <v>1147</v>
      </c>
      <c r="C303" s="275" t="s">
        <v>1151</v>
      </c>
      <c r="D303" s="276">
        <v>21565.0</v>
      </c>
      <c r="E303" s="275" t="s">
        <v>1017</v>
      </c>
      <c r="F303" s="279"/>
      <c r="G303" s="278" t="str">
        <f>IFNA(IF(VLOOKUP(RC_OUT[BLOCK],RC_IN[[BLOCK]:[BLOCK LOC]],2,FALSE)=0,"",VLOOKUP(RC_OUT[BLOCK],RC_IN[[BLOCK]:[BLOCK LOC]],2,FALSE)),"")</f>
        <v/>
      </c>
      <c r="I303" s="263" t="str">
        <f>IFERROR(AVERAGEIFS(RC_IN[MC],RC_IN[BLOCK],RC_OUT[BLOCK]),"")</f>
        <v/>
      </c>
      <c r="J303" s="264">
        <f t="shared" si="1"/>
        <v>0</v>
      </c>
      <c r="K303" s="246"/>
      <c r="L303" s="246"/>
      <c r="M303" s="249" t="str">
        <f t="shared" si="2"/>
        <v/>
      </c>
      <c r="N303" s="266">
        <f t="shared" si="3"/>
        <v>0</v>
      </c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</row>
    <row r="304">
      <c r="A304" s="273">
        <v>45664.0</v>
      </c>
      <c r="B304" s="275" t="s">
        <v>1147</v>
      </c>
      <c r="C304" s="275" t="s">
        <v>1057</v>
      </c>
      <c r="D304" s="276">
        <v>8802.0</v>
      </c>
      <c r="E304" s="275" t="s">
        <v>1017</v>
      </c>
      <c r="F304" s="279"/>
      <c r="G304" s="278" t="str">
        <f>IFNA(IF(VLOOKUP(RC_OUT[BLOCK],RC_IN[[BLOCK]:[BLOCK LOC]],2,FALSE)=0,"",VLOOKUP(RC_OUT[BLOCK],RC_IN[[BLOCK]:[BLOCK LOC]],2,FALSE)),"")</f>
        <v/>
      </c>
      <c r="I304" s="263" t="str">
        <f>IFERROR(AVERAGEIFS(RC_IN[MC],RC_IN[BLOCK],RC_OUT[BLOCK]),"")</f>
        <v/>
      </c>
      <c r="J304" s="264">
        <f t="shared" si="1"/>
        <v>0</v>
      </c>
      <c r="K304" s="246"/>
      <c r="L304" s="246"/>
      <c r="M304" s="249" t="str">
        <f t="shared" si="2"/>
        <v/>
      </c>
      <c r="N304" s="266">
        <f t="shared" si="3"/>
        <v>0</v>
      </c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</row>
    <row r="305">
      <c r="A305" s="273">
        <v>45664.0</v>
      </c>
      <c r="B305" s="275" t="s">
        <v>1147</v>
      </c>
      <c r="C305" s="275" t="s">
        <v>1151</v>
      </c>
      <c r="D305" s="276">
        <v>17239.0</v>
      </c>
      <c r="E305" s="275" t="s">
        <v>1017</v>
      </c>
      <c r="F305" s="279"/>
      <c r="G305" s="278" t="str">
        <f>IFNA(IF(VLOOKUP(RC_OUT[BLOCK],RC_IN[[BLOCK]:[BLOCK LOC]],2,FALSE)=0,"",VLOOKUP(RC_OUT[BLOCK],RC_IN[[BLOCK]:[BLOCK LOC]],2,FALSE)),"")</f>
        <v/>
      </c>
      <c r="I305" s="263" t="str">
        <f>IFERROR(AVERAGEIFS(RC_IN[MC],RC_IN[BLOCK],RC_OUT[BLOCK]),"")</f>
        <v/>
      </c>
      <c r="J305" s="264">
        <f t="shared" si="1"/>
        <v>0</v>
      </c>
      <c r="K305" s="246"/>
      <c r="L305" s="246"/>
      <c r="M305" s="249" t="str">
        <f t="shared" si="2"/>
        <v/>
      </c>
      <c r="N305" s="266">
        <f t="shared" si="3"/>
        <v>0</v>
      </c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</row>
    <row r="306">
      <c r="A306" s="273">
        <v>45665.0</v>
      </c>
      <c r="B306" s="275" t="s">
        <v>1147</v>
      </c>
      <c r="C306" s="275" t="s">
        <v>1057</v>
      </c>
      <c r="D306" s="276">
        <v>8771.0</v>
      </c>
      <c r="E306" s="275" t="s">
        <v>1017</v>
      </c>
      <c r="F306" s="279"/>
      <c r="G306" s="278" t="str">
        <f>IFNA(IF(VLOOKUP(RC_OUT[BLOCK],RC_IN[[BLOCK]:[BLOCK LOC]],2,FALSE)=0,"",VLOOKUP(RC_OUT[BLOCK],RC_IN[[BLOCK]:[BLOCK LOC]],2,FALSE)),"")</f>
        <v/>
      </c>
      <c r="I306" s="263" t="str">
        <f>IFERROR(AVERAGEIFS(RC_IN[MC],RC_IN[BLOCK],RC_OUT[BLOCK]),"")</f>
        <v/>
      </c>
      <c r="J306" s="264">
        <f t="shared" si="1"/>
        <v>0</v>
      </c>
      <c r="K306" s="246"/>
      <c r="L306" s="246"/>
      <c r="M306" s="249" t="str">
        <f t="shared" si="2"/>
        <v/>
      </c>
      <c r="N306" s="266">
        <f t="shared" si="3"/>
        <v>0</v>
      </c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</row>
    <row r="307">
      <c r="A307" s="273">
        <v>45665.0</v>
      </c>
      <c r="B307" s="275" t="s">
        <v>1147</v>
      </c>
      <c r="C307" s="275" t="s">
        <v>1148</v>
      </c>
      <c r="D307" s="276">
        <v>12454.0</v>
      </c>
      <c r="E307" s="275" t="s">
        <v>1017</v>
      </c>
      <c r="F307" s="279"/>
      <c r="G307" s="278" t="str">
        <f>IFNA(IF(VLOOKUP(RC_OUT[BLOCK],RC_IN[[BLOCK]:[BLOCK LOC]],2,FALSE)=0,"",VLOOKUP(RC_OUT[BLOCK],RC_IN[[BLOCK]:[BLOCK LOC]],2,FALSE)),"")</f>
        <v/>
      </c>
      <c r="I307" s="263" t="str">
        <f>IFERROR(AVERAGEIFS(RC_IN[MC],RC_IN[BLOCK],RC_OUT[BLOCK]),"")</f>
        <v/>
      </c>
      <c r="J307" s="264">
        <f t="shared" si="1"/>
        <v>0</v>
      </c>
      <c r="K307" s="246"/>
      <c r="L307" s="246"/>
      <c r="M307" s="249" t="str">
        <f t="shared" si="2"/>
        <v/>
      </c>
      <c r="N307" s="266">
        <f t="shared" si="3"/>
        <v>0</v>
      </c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</row>
    <row r="308">
      <c r="A308" s="273">
        <v>45665.0</v>
      </c>
      <c r="B308" s="275" t="s">
        <v>1147</v>
      </c>
      <c r="C308" s="275" t="s">
        <v>1149</v>
      </c>
      <c r="D308" s="276">
        <v>2929.0</v>
      </c>
      <c r="E308" s="275" t="s">
        <v>1017</v>
      </c>
      <c r="F308" s="279"/>
      <c r="G308" s="278" t="str">
        <f>IFNA(IF(VLOOKUP(RC_OUT[BLOCK],RC_IN[[BLOCK]:[BLOCK LOC]],2,FALSE)=0,"",VLOOKUP(RC_OUT[BLOCK],RC_IN[[BLOCK]:[BLOCK LOC]],2,FALSE)),"")</f>
        <v/>
      </c>
      <c r="I308" s="263" t="str">
        <f>IFERROR(AVERAGEIFS(RC_IN[MC],RC_IN[BLOCK],RC_OUT[BLOCK]),"")</f>
        <v/>
      </c>
      <c r="J308" s="264">
        <f t="shared" si="1"/>
        <v>0</v>
      </c>
      <c r="K308" s="246"/>
      <c r="L308" s="246"/>
      <c r="M308" s="249" t="str">
        <f t="shared" si="2"/>
        <v/>
      </c>
      <c r="N308" s="266">
        <f t="shared" si="3"/>
        <v>0</v>
      </c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</row>
    <row r="309">
      <c r="A309" s="273">
        <v>45665.0</v>
      </c>
      <c r="B309" s="275" t="s">
        <v>1147</v>
      </c>
      <c r="C309" s="275" t="s">
        <v>1151</v>
      </c>
      <c r="D309" s="276">
        <v>6709.0</v>
      </c>
      <c r="E309" s="275" t="s">
        <v>1017</v>
      </c>
      <c r="F309" s="277" t="s">
        <v>1059</v>
      </c>
      <c r="G309" s="278" t="str">
        <f>IFNA(IF(VLOOKUP(RC_OUT[BLOCK],RC_IN[[BLOCK]:[BLOCK LOC]],2,FALSE)=0,"",VLOOKUP(RC_OUT[BLOCK],RC_IN[[BLOCK]:[BLOCK LOC]],2,FALSE)),"")</f>
        <v/>
      </c>
      <c r="I309" s="263" t="str">
        <f>IFERROR(AVERAGEIFS(RC_IN[MC],RC_IN[BLOCK],RC_OUT[BLOCK]),"")</f>
        <v/>
      </c>
      <c r="J309" s="264">
        <f t="shared" si="1"/>
        <v>0</v>
      </c>
      <c r="K309" s="246"/>
      <c r="L309" s="246"/>
      <c r="M309" s="249" t="str">
        <f t="shared" si="2"/>
        <v/>
      </c>
      <c r="N309" s="266">
        <f t="shared" si="3"/>
        <v>0</v>
      </c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</row>
    <row r="310">
      <c r="A310" s="273">
        <v>45665.0</v>
      </c>
      <c r="B310" s="275" t="s">
        <v>1147</v>
      </c>
      <c r="C310" s="275" t="s">
        <v>1152</v>
      </c>
      <c r="D310" s="276">
        <v>6529.0</v>
      </c>
      <c r="E310" s="275" t="s">
        <v>1017</v>
      </c>
      <c r="F310" s="279"/>
      <c r="G310" s="278" t="str">
        <f>IFNA(IF(VLOOKUP(RC_OUT[BLOCK],RC_IN[[BLOCK]:[BLOCK LOC]],2,FALSE)=0,"",VLOOKUP(RC_OUT[BLOCK],RC_IN[[BLOCK]:[BLOCK LOC]],2,FALSE)),"")</f>
        <v/>
      </c>
      <c r="I310" s="263" t="str">
        <f>IFERROR(AVERAGEIFS(RC_IN[MC],RC_IN[BLOCK],RC_OUT[BLOCK]),"")</f>
        <v/>
      </c>
      <c r="J310" s="264">
        <f t="shared" si="1"/>
        <v>0</v>
      </c>
      <c r="K310" s="246"/>
      <c r="L310" s="246"/>
      <c r="M310" s="249" t="str">
        <f t="shared" si="2"/>
        <v/>
      </c>
      <c r="N310" s="266">
        <f t="shared" si="3"/>
        <v>0</v>
      </c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</row>
    <row r="311">
      <c r="A311" s="273">
        <v>45666.0</v>
      </c>
      <c r="B311" s="275" t="s">
        <v>1147</v>
      </c>
      <c r="C311" s="275" t="s">
        <v>1148</v>
      </c>
      <c r="D311" s="276">
        <v>5922.0</v>
      </c>
      <c r="E311" s="275" t="s">
        <v>1017</v>
      </c>
      <c r="F311" s="277" t="s">
        <v>1059</v>
      </c>
      <c r="G311" s="278" t="str">
        <f>IFNA(IF(VLOOKUP(RC_OUT[BLOCK],RC_IN[[BLOCK]:[BLOCK LOC]],2,FALSE)=0,"",VLOOKUP(RC_OUT[BLOCK],RC_IN[[BLOCK]:[BLOCK LOC]],2,FALSE)),"")</f>
        <v/>
      </c>
      <c r="I311" s="263" t="str">
        <f>IFERROR(AVERAGEIFS(RC_IN[MC],RC_IN[BLOCK],RC_OUT[BLOCK]),"")</f>
        <v/>
      </c>
      <c r="J311" s="264">
        <f t="shared" si="1"/>
        <v>0</v>
      </c>
      <c r="K311" s="246"/>
      <c r="L311" s="246"/>
      <c r="M311" s="249" t="str">
        <f t="shared" si="2"/>
        <v/>
      </c>
      <c r="N311" s="266">
        <f t="shared" si="3"/>
        <v>0</v>
      </c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</row>
    <row r="312">
      <c r="A312" s="273">
        <v>45666.0</v>
      </c>
      <c r="B312" s="275" t="s">
        <v>1147</v>
      </c>
      <c r="C312" s="275" t="s">
        <v>1149</v>
      </c>
      <c r="D312" s="276">
        <v>3182.0</v>
      </c>
      <c r="E312" s="275" t="s">
        <v>1017</v>
      </c>
      <c r="F312" s="279"/>
      <c r="G312" s="278" t="str">
        <f>IFNA(IF(VLOOKUP(RC_OUT[BLOCK],RC_IN[[BLOCK]:[BLOCK LOC]],2,FALSE)=0,"",VLOOKUP(RC_OUT[BLOCK],RC_IN[[BLOCK]:[BLOCK LOC]],2,FALSE)),"")</f>
        <v/>
      </c>
      <c r="I312" s="263" t="str">
        <f>IFERROR(AVERAGEIFS(RC_IN[MC],RC_IN[BLOCK],RC_OUT[BLOCK]),"")</f>
        <v/>
      </c>
      <c r="J312" s="264">
        <f t="shared" si="1"/>
        <v>0</v>
      </c>
      <c r="K312" s="246"/>
      <c r="L312" s="246"/>
      <c r="M312" s="249" t="str">
        <f t="shared" si="2"/>
        <v/>
      </c>
      <c r="N312" s="266">
        <f t="shared" si="3"/>
        <v>0</v>
      </c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</row>
    <row r="313">
      <c r="A313" s="273">
        <v>45666.0</v>
      </c>
      <c r="B313" s="275" t="s">
        <v>1147</v>
      </c>
      <c r="C313" s="275" t="s">
        <v>1152</v>
      </c>
      <c r="D313" s="276">
        <v>21891.0</v>
      </c>
      <c r="E313" s="275" t="s">
        <v>1017</v>
      </c>
      <c r="F313" s="279"/>
      <c r="G313" s="278" t="str">
        <f>IFNA(IF(VLOOKUP(RC_OUT[BLOCK],RC_IN[[BLOCK]:[BLOCK LOC]],2,FALSE)=0,"",VLOOKUP(RC_OUT[BLOCK],RC_IN[[BLOCK]:[BLOCK LOC]],2,FALSE)),"")</f>
        <v/>
      </c>
      <c r="I313" s="263" t="str">
        <f>IFERROR(AVERAGEIFS(RC_IN[MC],RC_IN[BLOCK],RC_OUT[BLOCK]),"")</f>
        <v/>
      </c>
      <c r="J313" s="264">
        <f t="shared" si="1"/>
        <v>0</v>
      </c>
      <c r="K313" s="246"/>
      <c r="L313" s="246"/>
      <c r="M313" s="249" t="str">
        <f t="shared" si="2"/>
        <v/>
      </c>
      <c r="N313" s="266">
        <f t="shared" si="3"/>
        <v>0</v>
      </c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</row>
    <row r="314">
      <c r="A314" s="273">
        <v>45666.0</v>
      </c>
      <c r="B314" s="275" t="s">
        <v>1147</v>
      </c>
      <c r="C314" s="275" t="s">
        <v>1153</v>
      </c>
      <c r="D314" s="276">
        <v>2055.0</v>
      </c>
      <c r="E314" s="275" t="s">
        <v>1017</v>
      </c>
      <c r="F314" s="279"/>
      <c r="G314" s="278" t="str">
        <f>IFNA(IF(VLOOKUP(RC_OUT[BLOCK],RC_IN[[BLOCK]:[BLOCK LOC]],2,FALSE)=0,"",VLOOKUP(RC_OUT[BLOCK],RC_IN[[BLOCK]:[BLOCK LOC]],2,FALSE)),"")</f>
        <v/>
      </c>
      <c r="I314" s="263" t="str">
        <f>IFERROR(AVERAGEIFS(RC_IN[MC],RC_IN[BLOCK],RC_OUT[BLOCK]),"")</f>
        <v/>
      </c>
      <c r="J314" s="264">
        <f t="shared" si="1"/>
        <v>0</v>
      </c>
      <c r="K314" s="246"/>
      <c r="L314" s="246"/>
      <c r="M314" s="249" t="str">
        <f t="shared" si="2"/>
        <v/>
      </c>
      <c r="N314" s="266">
        <f t="shared" si="3"/>
        <v>0</v>
      </c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</row>
    <row r="315">
      <c r="A315" s="273">
        <v>45667.0</v>
      </c>
      <c r="B315" s="275" t="s">
        <v>1147</v>
      </c>
      <c r="C315" s="275" t="s">
        <v>1154</v>
      </c>
      <c r="D315" s="276">
        <v>2290.0</v>
      </c>
      <c r="E315" s="275" t="s">
        <v>1017</v>
      </c>
      <c r="F315" s="279"/>
      <c r="G315" s="278" t="str">
        <f>IFNA(IF(VLOOKUP(RC_OUT[BLOCK],RC_IN[[BLOCK]:[BLOCK LOC]],2,FALSE)=0,"",VLOOKUP(RC_OUT[BLOCK],RC_IN[[BLOCK]:[BLOCK LOC]],2,FALSE)),"")</f>
        <v/>
      </c>
      <c r="I315" s="263" t="str">
        <f>IFERROR(AVERAGEIFS(RC_IN[MC],RC_IN[BLOCK],RC_OUT[BLOCK]),"")</f>
        <v/>
      </c>
      <c r="J315" s="264">
        <f t="shared" si="1"/>
        <v>0</v>
      </c>
      <c r="K315" s="246"/>
      <c r="L315" s="246"/>
      <c r="M315" s="249" t="str">
        <f t="shared" si="2"/>
        <v/>
      </c>
      <c r="N315" s="266">
        <f t="shared" si="3"/>
        <v>0</v>
      </c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</row>
    <row r="316">
      <c r="A316" s="273">
        <v>45667.0</v>
      </c>
      <c r="B316" s="275" t="s">
        <v>1147</v>
      </c>
      <c r="C316" s="275" t="s">
        <v>1149</v>
      </c>
      <c r="D316" s="276">
        <v>6257.0</v>
      </c>
      <c r="E316" s="275" t="s">
        <v>1017</v>
      </c>
      <c r="F316" s="279"/>
      <c r="G316" s="278" t="str">
        <f>IFNA(IF(VLOOKUP(RC_OUT[BLOCK],RC_IN[[BLOCK]:[BLOCK LOC]],2,FALSE)=0,"",VLOOKUP(RC_OUT[BLOCK],RC_IN[[BLOCK]:[BLOCK LOC]],2,FALSE)),"")</f>
        <v/>
      </c>
      <c r="I316" s="263" t="str">
        <f>IFERROR(AVERAGEIFS(RC_IN[MC],RC_IN[BLOCK],RC_OUT[BLOCK]),"")</f>
        <v/>
      </c>
      <c r="J316" s="264">
        <f t="shared" si="1"/>
        <v>0</v>
      </c>
      <c r="K316" s="246"/>
      <c r="L316" s="246"/>
      <c r="M316" s="249" t="str">
        <f t="shared" si="2"/>
        <v/>
      </c>
      <c r="N316" s="266">
        <f t="shared" si="3"/>
        <v>0</v>
      </c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</row>
    <row r="317">
      <c r="A317" s="273">
        <v>45667.0</v>
      </c>
      <c r="B317" s="275" t="s">
        <v>1147</v>
      </c>
      <c r="C317" s="275" t="s">
        <v>1152</v>
      </c>
      <c r="D317" s="276">
        <v>29700.0</v>
      </c>
      <c r="E317" s="275" t="s">
        <v>1017</v>
      </c>
      <c r="F317" s="277" t="s">
        <v>1059</v>
      </c>
      <c r="G317" s="278" t="str">
        <f>IFNA(IF(VLOOKUP(RC_OUT[BLOCK],RC_IN[[BLOCK]:[BLOCK LOC]],2,FALSE)=0,"",VLOOKUP(RC_OUT[BLOCK],RC_IN[[BLOCK]:[BLOCK LOC]],2,FALSE)),"")</f>
        <v/>
      </c>
      <c r="I317" s="263" t="str">
        <f>IFERROR(AVERAGEIFS(RC_IN[MC],RC_IN[BLOCK],RC_OUT[BLOCK]),"")</f>
        <v/>
      </c>
      <c r="J317" s="264">
        <f t="shared" si="1"/>
        <v>0</v>
      </c>
      <c r="K317" s="246"/>
      <c r="L317" s="246"/>
      <c r="M317" s="249" t="str">
        <f t="shared" si="2"/>
        <v/>
      </c>
      <c r="N317" s="266">
        <f t="shared" si="3"/>
        <v>0</v>
      </c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</row>
    <row r="318">
      <c r="A318" s="273">
        <v>45667.0</v>
      </c>
      <c r="B318" s="275" t="s">
        <v>1147</v>
      </c>
      <c r="C318" s="275" t="s">
        <v>1153</v>
      </c>
      <c r="D318" s="276">
        <v>6687.0</v>
      </c>
      <c r="E318" s="275" t="s">
        <v>1017</v>
      </c>
      <c r="F318" s="279"/>
      <c r="G318" s="278" t="str">
        <f>IFNA(IF(VLOOKUP(RC_OUT[BLOCK],RC_IN[[BLOCK]:[BLOCK LOC]],2,FALSE)=0,"",VLOOKUP(RC_OUT[BLOCK],RC_IN[[BLOCK]:[BLOCK LOC]],2,FALSE)),"")</f>
        <v/>
      </c>
      <c r="I318" s="263" t="str">
        <f>IFERROR(AVERAGEIFS(RC_IN[MC],RC_IN[BLOCK],RC_OUT[BLOCK]),"")</f>
        <v/>
      </c>
      <c r="J318" s="264">
        <f t="shared" si="1"/>
        <v>0</v>
      </c>
      <c r="K318" s="246"/>
      <c r="L318" s="246"/>
      <c r="M318" s="249" t="str">
        <f t="shared" si="2"/>
        <v/>
      </c>
      <c r="N318" s="266">
        <f t="shared" si="3"/>
        <v>0</v>
      </c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</row>
    <row r="319">
      <c r="A319" s="273">
        <v>45668.0</v>
      </c>
      <c r="B319" s="275" t="s">
        <v>1147</v>
      </c>
      <c r="C319" s="275" t="s">
        <v>1154</v>
      </c>
      <c r="D319" s="276">
        <v>4548.0</v>
      </c>
      <c r="E319" s="275" t="s">
        <v>1017</v>
      </c>
      <c r="F319" s="279"/>
      <c r="G319" s="278" t="str">
        <f>IFNA(IF(VLOOKUP(RC_OUT[BLOCK],RC_IN[[BLOCK]:[BLOCK LOC]],2,FALSE)=0,"",VLOOKUP(RC_OUT[BLOCK],RC_IN[[BLOCK]:[BLOCK LOC]],2,FALSE)),"")</f>
        <v/>
      </c>
      <c r="I319" s="263" t="str">
        <f>IFERROR(AVERAGEIFS(RC_IN[MC],RC_IN[BLOCK],RC_OUT[BLOCK]),"")</f>
        <v/>
      </c>
      <c r="J319" s="264">
        <f t="shared" si="1"/>
        <v>0</v>
      </c>
      <c r="K319" s="246"/>
      <c r="L319" s="246"/>
      <c r="M319" s="249" t="str">
        <f t="shared" si="2"/>
        <v/>
      </c>
      <c r="N319" s="266">
        <f t="shared" si="3"/>
        <v>0</v>
      </c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</row>
    <row r="320">
      <c r="A320" s="273">
        <v>45668.0</v>
      </c>
      <c r="B320" s="275" t="s">
        <v>1147</v>
      </c>
      <c r="C320" s="275" t="s">
        <v>1057</v>
      </c>
      <c r="D320" s="276">
        <v>3599.0</v>
      </c>
      <c r="E320" s="275" t="s">
        <v>1017</v>
      </c>
      <c r="F320" s="279"/>
      <c r="G320" s="278" t="str">
        <f>IFNA(IF(VLOOKUP(RC_OUT[BLOCK],RC_IN[[BLOCK]:[BLOCK LOC]],2,FALSE)=0,"",VLOOKUP(RC_OUT[BLOCK],RC_IN[[BLOCK]:[BLOCK LOC]],2,FALSE)),"")</f>
        <v/>
      </c>
      <c r="I320" s="263" t="str">
        <f>IFERROR(AVERAGEIFS(RC_IN[MC],RC_IN[BLOCK],RC_OUT[BLOCK]),"")</f>
        <v/>
      </c>
      <c r="J320" s="264">
        <f t="shared" si="1"/>
        <v>0</v>
      </c>
      <c r="K320" s="246"/>
      <c r="L320" s="246"/>
      <c r="M320" s="249" t="str">
        <f t="shared" si="2"/>
        <v/>
      </c>
      <c r="N320" s="266">
        <f t="shared" si="3"/>
        <v>0</v>
      </c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</row>
    <row r="321">
      <c r="A321" s="273">
        <v>45668.0</v>
      </c>
      <c r="B321" s="275" t="s">
        <v>1147</v>
      </c>
      <c r="C321" s="275" t="s">
        <v>1155</v>
      </c>
      <c r="D321" s="276">
        <v>20046.0</v>
      </c>
      <c r="E321" s="275" t="s">
        <v>1017</v>
      </c>
      <c r="F321" s="279"/>
      <c r="G321" s="278" t="str">
        <f>IFNA(IF(VLOOKUP(RC_OUT[BLOCK],RC_IN[[BLOCK]:[BLOCK LOC]],2,FALSE)=0,"",VLOOKUP(RC_OUT[BLOCK],RC_IN[[BLOCK]:[BLOCK LOC]],2,FALSE)),"")</f>
        <v/>
      </c>
      <c r="I321" s="263" t="str">
        <f>IFERROR(AVERAGEIFS(RC_IN[MC],RC_IN[BLOCK],RC_OUT[BLOCK]),"")</f>
        <v/>
      </c>
      <c r="J321" s="264">
        <f t="shared" si="1"/>
        <v>0</v>
      </c>
      <c r="K321" s="246"/>
      <c r="L321" s="246"/>
      <c r="M321" s="249" t="str">
        <f t="shared" si="2"/>
        <v/>
      </c>
      <c r="N321" s="266">
        <f t="shared" si="3"/>
        <v>0</v>
      </c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</row>
    <row r="322">
      <c r="A322" s="273">
        <v>45668.0</v>
      </c>
      <c r="B322" s="275" t="s">
        <v>1147</v>
      </c>
      <c r="C322" s="275" t="s">
        <v>1149</v>
      </c>
      <c r="D322" s="276">
        <v>3401.0</v>
      </c>
      <c r="E322" s="275" t="s">
        <v>1017</v>
      </c>
      <c r="F322" s="277" t="s">
        <v>1059</v>
      </c>
      <c r="G322" s="278" t="str">
        <f>IFNA(IF(VLOOKUP(RC_OUT[BLOCK],RC_IN[[BLOCK]:[BLOCK LOC]],2,FALSE)=0,"",VLOOKUP(RC_OUT[BLOCK],RC_IN[[BLOCK]:[BLOCK LOC]],2,FALSE)),"")</f>
        <v/>
      </c>
      <c r="I322" s="263" t="str">
        <f>IFERROR(AVERAGEIFS(RC_IN[MC],RC_IN[BLOCK],RC_OUT[BLOCK]),"")</f>
        <v/>
      </c>
      <c r="J322" s="264">
        <f t="shared" si="1"/>
        <v>0</v>
      </c>
      <c r="K322" s="246"/>
      <c r="L322" s="246"/>
      <c r="M322" s="249" t="str">
        <f t="shared" si="2"/>
        <v/>
      </c>
      <c r="N322" s="266">
        <f t="shared" si="3"/>
        <v>0</v>
      </c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</row>
    <row r="323">
      <c r="A323" s="273">
        <v>45668.0</v>
      </c>
      <c r="B323" s="275" t="s">
        <v>1147</v>
      </c>
      <c r="C323" s="275" t="s">
        <v>1153</v>
      </c>
      <c r="D323" s="276">
        <v>2171.0</v>
      </c>
      <c r="E323" s="275" t="s">
        <v>1017</v>
      </c>
      <c r="F323" s="279"/>
      <c r="G323" s="278" t="str">
        <f>IFNA(IF(VLOOKUP(RC_OUT[BLOCK],RC_IN[[BLOCK]:[BLOCK LOC]],2,FALSE)=0,"",VLOOKUP(RC_OUT[BLOCK],RC_IN[[BLOCK]:[BLOCK LOC]],2,FALSE)),"")</f>
        <v/>
      </c>
      <c r="I323" s="263" t="str">
        <f>IFERROR(AVERAGEIFS(RC_IN[MC],RC_IN[BLOCK],RC_OUT[BLOCK]),"")</f>
        <v/>
      </c>
      <c r="J323" s="264">
        <f t="shared" si="1"/>
        <v>0</v>
      </c>
      <c r="K323" s="246"/>
      <c r="L323" s="246"/>
      <c r="M323" s="249" t="str">
        <f t="shared" si="2"/>
        <v/>
      </c>
      <c r="N323" s="266">
        <f t="shared" si="3"/>
        <v>0</v>
      </c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</row>
    <row r="324">
      <c r="A324" s="273">
        <v>45670.0</v>
      </c>
      <c r="B324" s="275" t="s">
        <v>1147</v>
      </c>
      <c r="C324" s="275" t="s">
        <v>1154</v>
      </c>
      <c r="D324" s="276">
        <v>3777.0</v>
      </c>
      <c r="E324" s="275" t="s">
        <v>1017</v>
      </c>
      <c r="F324" s="279"/>
      <c r="G324" s="278" t="str">
        <f>IFNA(IF(VLOOKUP(RC_OUT[BLOCK],RC_IN[[BLOCK]:[BLOCK LOC]],2,FALSE)=0,"",VLOOKUP(RC_OUT[BLOCK],RC_IN[[BLOCK]:[BLOCK LOC]],2,FALSE)),"")</f>
        <v/>
      </c>
      <c r="I324" s="263" t="str">
        <f>IFERROR(AVERAGEIFS(RC_IN[MC],RC_IN[BLOCK],RC_OUT[BLOCK]),"")</f>
        <v/>
      </c>
      <c r="J324" s="264">
        <f t="shared" si="1"/>
        <v>0</v>
      </c>
      <c r="K324" s="246"/>
      <c r="L324" s="246"/>
      <c r="M324" s="249" t="str">
        <f t="shared" si="2"/>
        <v/>
      </c>
      <c r="N324" s="266">
        <f t="shared" si="3"/>
        <v>0</v>
      </c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</row>
    <row r="325">
      <c r="A325" s="273">
        <v>45670.0</v>
      </c>
      <c r="B325" s="275" t="s">
        <v>1147</v>
      </c>
      <c r="C325" s="275" t="s">
        <v>1057</v>
      </c>
      <c r="D325" s="276">
        <v>3599.0</v>
      </c>
      <c r="E325" s="275" t="s">
        <v>1017</v>
      </c>
      <c r="F325" s="279"/>
      <c r="G325" s="278" t="str">
        <f>IFNA(IF(VLOOKUP(RC_OUT[BLOCK],RC_IN[[BLOCK]:[BLOCK LOC]],2,FALSE)=0,"",VLOOKUP(RC_OUT[BLOCK],RC_IN[[BLOCK]:[BLOCK LOC]],2,FALSE)),"")</f>
        <v/>
      </c>
      <c r="I325" s="263" t="str">
        <f>IFERROR(AVERAGEIFS(RC_IN[MC],RC_IN[BLOCK],RC_OUT[BLOCK]),"")</f>
        <v/>
      </c>
      <c r="J325" s="264">
        <f t="shared" si="1"/>
        <v>0</v>
      </c>
      <c r="K325" s="246"/>
      <c r="L325" s="246"/>
      <c r="M325" s="249" t="str">
        <f t="shared" si="2"/>
        <v/>
      </c>
      <c r="N325" s="266">
        <f t="shared" si="3"/>
        <v>0</v>
      </c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</row>
    <row r="326">
      <c r="A326" s="273">
        <v>45670.0</v>
      </c>
      <c r="B326" s="275" t="s">
        <v>1147</v>
      </c>
      <c r="C326" s="275" t="s">
        <v>1155</v>
      </c>
      <c r="D326" s="276">
        <v>15025.0</v>
      </c>
      <c r="E326" s="275" t="s">
        <v>1017</v>
      </c>
      <c r="F326" s="279"/>
      <c r="G326" s="278" t="str">
        <f>IFNA(IF(VLOOKUP(RC_OUT[BLOCK],RC_IN[[BLOCK]:[BLOCK LOC]],2,FALSE)=0,"",VLOOKUP(RC_OUT[BLOCK],RC_IN[[BLOCK]:[BLOCK LOC]],2,FALSE)),"")</f>
        <v/>
      </c>
      <c r="I326" s="263" t="str">
        <f>IFERROR(AVERAGEIFS(RC_IN[MC],RC_IN[BLOCK],RC_OUT[BLOCK]),"")</f>
        <v/>
      </c>
      <c r="J326" s="264">
        <f t="shared" si="1"/>
        <v>0</v>
      </c>
      <c r="K326" s="246"/>
      <c r="L326" s="246"/>
      <c r="M326" s="249" t="str">
        <f t="shared" si="2"/>
        <v/>
      </c>
      <c r="N326" s="266">
        <f t="shared" si="3"/>
        <v>0</v>
      </c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</row>
    <row r="327">
      <c r="A327" s="273">
        <v>45670.0</v>
      </c>
      <c r="B327" s="275" t="s">
        <v>1147</v>
      </c>
      <c r="C327" s="275" t="s">
        <v>1156</v>
      </c>
      <c r="D327" s="276">
        <v>3753.0</v>
      </c>
      <c r="E327" s="275" t="s">
        <v>1017</v>
      </c>
      <c r="F327" s="279"/>
      <c r="G327" s="278" t="str">
        <f>IFNA(IF(VLOOKUP(RC_OUT[BLOCK],RC_IN[[BLOCK]:[BLOCK LOC]],2,FALSE)=0,"",VLOOKUP(RC_OUT[BLOCK],RC_IN[[BLOCK]:[BLOCK LOC]],2,FALSE)),"")</f>
        <v/>
      </c>
      <c r="I327" s="263" t="str">
        <f>IFERROR(AVERAGEIFS(RC_IN[MC],RC_IN[BLOCK],RC_OUT[BLOCK]),"")</f>
        <v/>
      </c>
      <c r="J327" s="264">
        <f t="shared" si="1"/>
        <v>0</v>
      </c>
      <c r="K327" s="246"/>
      <c r="L327" s="246"/>
      <c r="M327" s="249" t="str">
        <f t="shared" si="2"/>
        <v/>
      </c>
      <c r="N327" s="266">
        <f t="shared" si="3"/>
        <v>0</v>
      </c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</row>
    <row r="328">
      <c r="A328" s="273">
        <v>45671.0</v>
      </c>
      <c r="B328" s="275" t="s">
        <v>1147</v>
      </c>
      <c r="C328" s="275" t="s">
        <v>1154</v>
      </c>
      <c r="D328" s="276">
        <v>3435.0</v>
      </c>
      <c r="E328" s="275" t="s">
        <v>1017</v>
      </c>
      <c r="F328" s="279"/>
      <c r="G328" s="278" t="str">
        <f>IFNA(IF(VLOOKUP(RC_OUT[BLOCK],RC_IN[[BLOCK]:[BLOCK LOC]],2,FALSE)=0,"",VLOOKUP(RC_OUT[BLOCK],RC_IN[[BLOCK]:[BLOCK LOC]],2,FALSE)),"")</f>
        <v/>
      </c>
      <c r="I328" s="263" t="str">
        <f>IFERROR(AVERAGEIFS(RC_IN[MC],RC_IN[BLOCK],RC_OUT[BLOCK]),"")</f>
        <v/>
      </c>
      <c r="J328" s="264">
        <f t="shared" si="1"/>
        <v>0</v>
      </c>
      <c r="K328" s="246"/>
      <c r="L328" s="246"/>
      <c r="M328" s="249" t="str">
        <f t="shared" si="2"/>
        <v/>
      </c>
      <c r="N328" s="266">
        <f t="shared" si="3"/>
        <v>0</v>
      </c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</row>
    <row r="329">
      <c r="A329" s="273">
        <v>45671.0</v>
      </c>
      <c r="B329" s="275" t="s">
        <v>1147</v>
      </c>
      <c r="C329" s="275" t="s">
        <v>1057</v>
      </c>
      <c r="D329" s="276">
        <v>3599.0</v>
      </c>
      <c r="E329" s="275" t="s">
        <v>1017</v>
      </c>
      <c r="F329" s="279"/>
      <c r="G329" s="278" t="str">
        <f>IFNA(IF(VLOOKUP(RC_OUT[BLOCK],RC_IN[[BLOCK]:[BLOCK LOC]],2,FALSE)=0,"",VLOOKUP(RC_OUT[BLOCK],RC_IN[[BLOCK]:[BLOCK LOC]],2,FALSE)),"")</f>
        <v/>
      </c>
      <c r="I329" s="263" t="str">
        <f>IFERROR(AVERAGEIFS(RC_IN[MC],RC_IN[BLOCK],RC_OUT[BLOCK]),"")</f>
        <v/>
      </c>
      <c r="J329" s="264">
        <f t="shared" si="1"/>
        <v>0</v>
      </c>
      <c r="K329" s="246"/>
      <c r="L329" s="246"/>
      <c r="M329" s="249" t="str">
        <f t="shared" si="2"/>
        <v/>
      </c>
      <c r="N329" s="266">
        <f t="shared" si="3"/>
        <v>0</v>
      </c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</row>
    <row r="330">
      <c r="A330" s="273">
        <v>45671.0</v>
      </c>
      <c r="B330" s="275" t="s">
        <v>1147</v>
      </c>
      <c r="C330" s="275" t="s">
        <v>1155</v>
      </c>
      <c r="D330" s="276">
        <v>5131.0</v>
      </c>
      <c r="E330" s="275" t="s">
        <v>1017</v>
      </c>
      <c r="F330" s="279"/>
      <c r="G330" s="278" t="str">
        <f>IFNA(IF(VLOOKUP(RC_OUT[BLOCK],RC_IN[[BLOCK]:[BLOCK LOC]],2,FALSE)=0,"",VLOOKUP(RC_OUT[BLOCK],RC_IN[[BLOCK]:[BLOCK LOC]],2,FALSE)),"")</f>
        <v/>
      </c>
      <c r="I330" s="263" t="str">
        <f>IFERROR(AVERAGEIFS(RC_IN[MC],RC_IN[BLOCK],RC_OUT[BLOCK]),"")</f>
        <v/>
      </c>
      <c r="J330" s="264">
        <f t="shared" si="1"/>
        <v>0</v>
      </c>
      <c r="K330" s="246"/>
      <c r="L330" s="246"/>
      <c r="M330" s="249" t="str">
        <f t="shared" si="2"/>
        <v/>
      </c>
      <c r="N330" s="266">
        <f t="shared" si="3"/>
        <v>0</v>
      </c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</row>
    <row r="331">
      <c r="A331" s="273">
        <v>45671.0</v>
      </c>
      <c r="B331" s="275" t="s">
        <v>1147</v>
      </c>
      <c r="C331" s="275" t="s">
        <v>1156</v>
      </c>
      <c r="D331" s="276">
        <v>6343.0</v>
      </c>
      <c r="E331" s="275" t="s">
        <v>1017</v>
      </c>
      <c r="F331" s="279"/>
      <c r="G331" s="278" t="str">
        <f>IFNA(IF(VLOOKUP(RC_OUT[BLOCK],RC_IN[[BLOCK]:[BLOCK LOC]],2,FALSE)=0,"",VLOOKUP(RC_OUT[BLOCK],RC_IN[[BLOCK]:[BLOCK LOC]],2,FALSE)),"")</f>
        <v/>
      </c>
      <c r="I331" s="263" t="str">
        <f>IFERROR(AVERAGEIFS(RC_IN[MC],RC_IN[BLOCK],RC_OUT[BLOCK]),"")</f>
        <v/>
      </c>
      <c r="J331" s="264">
        <f t="shared" si="1"/>
        <v>0</v>
      </c>
      <c r="K331" s="246"/>
      <c r="L331" s="246"/>
      <c r="M331" s="249" t="str">
        <f t="shared" si="2"/>
        <v/>
      </c>
      <c r="N331" s="266">
        <f t="shared" si="3"/>
        <v>0</v>
      </c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</row>
    <row r="332">
      <c r="A332" s="273">
        <v>45671.0</v>
      </c>
      <c r="B332" s="275" t="s">
        <v>1147</v>
      </c>
      <c r="C332" s="275" t="s">
        <v>1153</v>
      </c>
      <c r="D332" s="276">
        <v>2051.0</v>
      </c>
      <c r="E332" s="275" t="s">
        <v>1017</v>
      </c>
      <c r="F332" s="277" t="s">
        <v>1059</v>
      </c>
      <c r="G332" s="278" t="str">
        <f>IFNA(IF(VLOOKUP(RC_OUT[BLOCK],RC_IN[[BLOCK]:[BLOCK LOC]],2,FALSE)=0,"",VLOOKUP(RC_OUT[BLOCK],RC_IN[[BLOCK]:[BLOCK LOC]],2,FALSE)),"")</f>
        <v/>
      </c>
      <c r="I332" s="263" t="str">
        <f>IFERROR(AVERAGEIFS(RC_IN[MC],RC_IN[BLOCK],RC_OUT[BLOCK]),"")</f>
        <v/>
      </c>
      <c r="J332" s="264">
        <f t="shared" si="1"/>
        <v>0</v>
      </c>
      <c r="K332" s="246"/>
      <c r="L332" s="246"/>
      <c r="M332" s="249" t="str">
        <f t="shared" si="2"/>
        <v/>
      </c>
      <c r="N332" s="266">
        <f t="shared" si="3"/>
        <v>0</v>
      </c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</row>
    <row r="333">
      <c r="A333" s="273">
        <v>45671.0</v>
      </c>
      <c r="B333" s="275" t="s">
        <v>1147</v>
      </c>
      <c r="C333" s="275" t="s">
        <v>1157</v>
      </c>
      <c r="D333" s="276">
        <v>1438.0</v>
      </c>
      <c r="E333" s="275" t="s">
        <v>1017</v>
      </c>
      <c r="F333" s="279"/>
      <c r="G333" s="278" t="str">
        <f>IFNA(IF(VLOOKUP(RC_OUT[BLOCK],RC_IN[[BLOCK]:[BLOCK LOC]],2,FALSE)=0,"",VLOOKUP(RC_OUT[BLOCK],RC_IN[[BLOCK]:[BLOCK LOC]],2,FALSE)),"")</f>
        <v/>
      </c>
      <c r="I333" s="263" t="str">
        <f>IFERROR(AVERAGEIFS(RC_IN[MC],RC_IN[BLOCK],RC_OUT[BLOCK]),"")</f>
        <v/>
      </c>
      <c r="J333" s="264">
        <f t="shared" si="1"/>
        <v>0</v>
      </c>
      <c r="K333" s="246"/>
      <c r="L333" s="246"/>
      <c r="M333" s="249" t="str">
        <f t="shared" si="2"/>
        <v/>
      </c>
      <c r="N333" s="266">
        <f t="shared" si="3"/>
        <v>0</v>
      </c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</row>
    <row r="334">
      <c r="A334" s="273">
        <v>45673.0</v>
      </c>
      <c r="B334" s="275" t="s">
        <v>1147</v>
      </c>
      <c r="C334" s="275" t="s">
        <v>1154</v>
      </c>
      <c r="D334" s="276">
        <v>4523.0</v>
      </c>
      <c r="E334" s="275" t="s">
        <v>1017</v>
      </c>
      <c r="F334" s="279"/>
      <c r="G334" s="278" t="str">
        <f>IFNA(IF(VLOOKUP(RC_OUT[BLOCK],RC_IN[[BLOCK]:[BLOCK LOC]],2,FALSE)=0,"",VLOOKUP(RC_OUT[BLOCK],RC_IN[[BLOCK]:[BLOCK LOC]],2,FALSE)),"")</f>
        <v/>
      </c>
      <c r="I334" s="263" t="str">
        <f>IFERROR(AVERAGEIFS(RC_IN[MC],RC_IN[BLOCK],RC_OUT[BLOCK]),"")</f>
        <v/>
      </c>
      <c r="J334" s="264">
        <f t="shared" si="1"/>
        <v>0</v>
      </c>
      <c r="K334" s="246"/>
      <c r="L334" s="246"/>
      <c r="M334" s="249" t="str">
        <f t="shared" si="2"/>
        <v/>
      </c>
      <c r="N334" s="266">
        <f t="shared" si="3"/>
        <v>0</v>
      </c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</row>
    <row r="335">
      <c r="A335" s="273">
        <v>45673.0</v>
      </c>
      <c r="B335" s="275" t="s">
        <v>1147</v>
      </c>
      <c r="C335" s="275" t="s">
        <v>1057</v>
      </c>
      <c r="D335" s="276">
        <v>3599.0</v>
      </c>
      <c r="E335" s="275" t="s">
        <v>1017</v>
      </c>
      <c r="F335" s="279"/>
      <c r="G335" s="278" t="str">
        <f>IFNA(IF(VLOOKUP(RC_OUT[BLOCK],RC_IN[[BLOCK]:[BLOCK LOC]],2,FALSE)=0,"",VLOOKUP(RC_OUT[BLOCK],RC_IN[[BLOCK]:[BLOCK LOC]],2,FALSE)),"")</f>
        <v/>
      </c>
      <c r="I335" s="263" t="str">
        <f>IFERROR(AVERAGEIFS(RC_IN[MC],RC_IN[BLOCK],RC_OUT[BLOCK]),"")</f>
        <v/>
      </c>
      <c r="J335" s="264">
        <f t="shared" si="1"/>
        <v>0</v>
      </c>
      <c r="K335" s="246"/>
      <c r="L335" s="246"/>
      <c r="M335" s="249" t="str">
        <f t="shared" si="2"/>
        <v/>
      </c>
      <c r="N335" s="266">
        <f t="shared" si="3"/>
        <v>0</v>
      </c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</row>
    <row r="336">
      <c r="A336" s="273">
        <v>45673.0</v>
      </c>
      <c r="B336" s="275" t="s">
        <v>1147</v>
      </c>
      <c r="C336" s="275" t="s">
        <v>1155</v>
      </c>
      <c r="D336" s="276">
        <v>3669.0</v>
      </c>
      <c r="E336" s="275" t="s">
        <v>1017</v>
      </c>
      <c r="F336" s="279"/>
      <c r="G336" s="278" t="str">
        <f>IFNA(IF(VLOOKUP(RC_OUT[BLOCK],RC_IN[[BLOCK]:[BLOCK LOC]],2,FALSE)=0,"",VLOOKUP(RC_OUT[BLOCK],RC_IN[[BLOCK]:[BLOCK LOC]],2,FALSE)),"")</f>
        <v/>
      </c>
      <c r="I336" s="263" t="str">
        <f>IFERROR(AVERAGEIFS(RC_IN[MC],RC_IN[BLOCK],RC_OUT[BLOCK]),"")</f>
        <v/>
      </c>
      <c r="J336" s="264">
        <f t="shared" si="1"/>
        <v>0</v>
      </c>
      <c r="K336" s="246"/>
      <c r="L336" s="246"/>
      <c r="M336" s="249" t="str">
        <f t="shared" si="2"/>
        <v/>
      </c>
      <c r="N336" s="266">
        <f t="shared" si="3"/>
        <v>0</v>
      </c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</row>
    <row r="337">
      <c r="A337" s="273">
        <v>45673.0</v>
      </c>
      <c r="B337" s="275" t="s">
        <v>1147</v>
      </c>
      <c r="C337" s="275" t="s">
        <v>1156</v>
      </c>
      <c r="D337" s="276">
        <v>4888.0</v>
      </c>
      <c r="E337" s="275" t="s">
        <v>1017</v>
      </c>
      <c r="F337" s="279"/>
      <c r="G337" s="278" t="str">
        <f>IFNA(IF(VLOOKUP(RC_OUT[BLOCK],RC_IN[[BLOCK]:[BLOCK LOC]],2,FALSE)=0,"",VLOOKUP(RC_OUT[BLOCK],RC_IN[[BLOCK]:[BLOCK LOC]],2,FALSE)),"")</f>
        <v/>
      </c>
      <c r="I337" s="263" t="str">
        <f>IFERROR(AVERAGEIFS(RC_IN[MC],RC_IN[BLOCK],RC_OUT[BLOCK]),"")</f>
        <v/>
      </c>
      <c r="J337" s="264">
        <f t="shared" si="1"/>
        <v>0</v>
      </c>
      <c r="K337" s="246"/>
      <c r="L337" s="246"/>
      <c r="M337" s="249" t="str">
        <f t="shared" si="2"/>
        <v/>
      </c>
      <c r="N337" s="266">
        <f t="shared" si="3"/>
        <v>0</v>
      </c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</row>
    <row r="338">
      <c r="A338" s="273">
        <v>45673.0</v>
      </c>
      <c r="B338" s="275" t="s">
        <v>1147</v>
      </c>
      <c r="C338" s="275" t="s">
        <v>1157</v>
      </c>
      <c r="D338" s="276">
        <v>14616.0</v>
      </c>
      <c r="E338" s="275" t="s">
        <v>1017</v>
      </c>
      <c r="F338" s="279"/>
      <c r="G338" s="278" t="str">
        <f>IFNA(IF(VLOOKUP(RC_OUT[BLOCK],RC_IN[[BLOCK]:[BLOCK LOC]],2,FALSE)=0,"",VLOOKUP(RC_OUT[BLOCK],RC_IN[[BLOCK]:[BLOCK LOC]],2,FALSE)),"")</f>
        <v/>
      </c>
      <c r="I338" s="263" t="str">
        <f>IFERROR(AVERAGEIFS(RC_IN[MC],RC_IN[BLOCK],RC_OUT[BLOCK]),"")</f>
        <v/>
      </c>
      <c r="J338" s="264">
        <f t="shared" si="1"/>
        <v>0</v>
      </c>
      <c r="K338" s="246"/>
      <c r="L338" s="246"/>
      <c r="M338" s="249" t="str">
        <f t="shared" si="2"/>
        <v/>
      </c>
      <c r="N338" s="266">
        <f t="shared" si="3"/>
        <v>0</v>
      </c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</row>
    <row r="339">
      <c r="A339" s="273">
        <v>45674.0</v>
      </c>
      <c r="B339" s="275" t="s">
        <v>1147</v>
      </c>
      <c r="C339" s="275" t="s">
        <v>1154</v>
      </c>
      <c r="D339" s="276">
        <v>2981.0</v>
      </c>
      <c r="E339" s="275" t="s">
        <v>1017</v>
      </c>
      <c r="F339" s="279"/>
      <c r="G339" s="278" t="str">
        <f>IFNA(IF(VLOOKUP(RC_OUT[BLOCK],RC_IN[[BLOCK]:[BLOCK LOC]],2,FALSE)=0,"",VLOOKUP(RC_OUT[BLOCK],RC_IN[[BLOCK]:[BLOCK LOC]],2,FALSE)),"")</f>
        <v/>
      </c>
      <c r="I339" s="263" t="str">
        <f>IFERROR(AVERAGEIFS(RC_IN[MC],RC_IN[BLOCK],RC_OUT[BLOCK]),"")</f>
        <v/>
      </c>
      <c r="J339" s="264">
        <f t="shared" si="1"/>
        <v>0</v>
      </c>
      <c r="K339" s="246"/>
      <c r="L339" s="246"/>
      <c r="M339" s="249" t="str">
        <f t="shared" si="2"/>
        <v/>
      </c>
      <c r="N339" s="266">
        <f t="shared" si="3"/>
        <v>0</v>
      </c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</row>
    <row r="340">
      <c r="A340" s="273">
        <v>45674.0</v>
      </c>
      <c r="B340" s="275" t="s">
        <v>1147</v>
      </c>
      <c r="C340" s="275" t="s">
        <v>1057</v>
      </c>
      <c r="D340" s="276">
        <v>3599.0</v>
      </c>
      <c r="E340" s="275" t="s">
        <v>1017</v>
      </c>
      <c r="F340" s="279"/>
      <c r="G340" s="278" t="str">
        <f>IFNA(IF(VLOOKUP(RC_OUT[BLOCK],RC_IN[[BLOCK]:[BLOCK LOC]],2,FALSE)=0,"",VLOOKUP(RC_OUT[BLOCK],RC_IN[[BLOCK]:[BLOCK LOC]],2,FALSE)),"")</f>
        <v/>
      </c>
      <c r="I340" s="263" t="str">
        <f>IFERROR(AVERAGEIFS(RC_IN[MC],RC_IN[BLOCK],RC_OUT[BLOCK]),"")</f>
        <v/>
      </c>
      <c r="J340" s="264">
        <f t="shared" si="1"/>
        <v>0</v>
      </c>
      <c r="K340" s="246"/>
      <c r="L340" s="246"/>
      <c r="M340" s="249" t="str">
        <f t="shared" si="2"/>
        <v/>
      </c>
      <c r="N340" s="266">
        <f t="shared" si="3"/>
        <v>0</v>
      </c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</row>
    <row r="341">
      <c r="A341" s="273">
        <v>45674.0</v>
      </c>
      <c r="B341" s="275" t="s">
        <v>1147</v>
      </c>
      <c r="C341" s="275" t="s">
        <v>1156</v>
      </c>
      <c r="D341" s="276">
        <v>3543.0</v>
      </c>
      <c r="E341" s="275" t="s">
        <v>1017</v>
      </c>
      <c r="F341" s="279"/>
      <c r="G341" s="278" t="str">
        <f>IFNA(IF(VLOOKUP(RC_OUT[BLOCK],RC_IN[[BLOCK]:[BLOCK LOC]],2,FALSE)=0,"",VLOOKUP(RC_OUT[BLOCK],RC_IN[[BLOCK]:[BLOCK LOC]],2,FALSE)),"")</f>
        <v/>
      </c>
      <c r="I341" s="263" t="str">
        <f>IFERROR(AVERAGEIFS(RC_IN[MC],RC_IN[BLOCK],RC_OUT[BLOCK]),"")</f>
        <v/>
      </c>
      <c r="J341" s="264">
        <f t="shared" si="1"/>
        <v>0</v>
      </c>
      <c r="K341" s="246"/>
      <c r="L341" s="246"/>
      <c r="M341" s="249" t="str">
        <f t="shared" si="2"/>
        <v/>
      </c>
      <c r="N341" s="266">
        <f t="shared" si="3"/>
        <v>0</v>
      </c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</row>
    <row r="342">
      <c r="A342" s="273">
        <v>45674.0</v>
      </c>
      <c r="B342" s="275" t="s">
        <v>1147</v>
      </c>
      <c r="C342" s="275" t="s">
        <v>1157</v>
      </c>
      <c r="D342" s="276">
        <v>15499.0</v>
      </c>
      <c r="E342" s="275" t="s">
        <v>1017</v>
      </c>
      <c r="F342" s="279"/>
      <c r="G342" s="278" t="str">
        <f>IFNA(IF(VLOOKUP(RC_OUT[BLOCK],RC_IN[[BLOCK]:[BLOCK LOC]],2,FALSE)=0,"",VLOOKUP(RC_OUT[BLOCK],RC_IN[[BLOCK]:[BLOCK LOC]],2,FALSE)),"")</f>
        <v/>
      </c>
      <c r="I342" s="263" t="str">
        <f>IFERROR(AVERAGEIFS(RC_IN[MC],RC_IN[BLOCK],RC_OUT[BLOCK]),"")</f>
        <v/>
      </c>
      <c r="J342" s="264">
        <f t="shared" si="1"/>
        <v>0</v>
      </c>
      <c r="K342" s="246"/>
      <c r="L342" s="246"/>
      <c r="M342" s="249" t="str">
        <f t="shared" si="2"/>
        <v/>
      </c>
      <c r="N342" s="266">
        <f t="shared" si="3"/>
        <v>0</v>
      </c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</row>
    <row r="343">
      <c r="A343" s="273">
        <v>45677.0</v>
      </c>
      <c r="B343" s="275" t="s">
        <v>1147</v>
      </c>
      <c r="C343" s="275" t="s">
        <v>1154</v>
      </c>
      <c r="D343" s="276">
        <v>5964.0</v>
      </c>
      <c r="E343" s="275" t="s">
        <v>1017</v>
      </c>
      <c r="F343" s="279"/>
      <c r="G343" s="278" t="str">
        <f>IFNA(IF(VLOOKUP(RC_OUT[BLOCK],RC_IN[[BLOCK]:[BLOCK LOC]],2,FALSE)=0,"",VLOOKUP(RC_OUT[BLOCK],RC_IN[[BLOCK]:[BLOCK LOC]],2,FALSE)),"")</f>
        <v/>
      </c>
      <c r="I343" s="263" t="str">
        <f>IFERROR(AVERAGEIFS(RC_IN[MC],RC_IN[BLOCK],RC_OUT[BLOCK]),"")</f>
        <v/>
      </c>
      <c r="J343" s="264">
        <f t="shared" si="1"/>
        <v>0</v>
      </c>
      <c r="K343" s="246"/>
      <c r="L343" s="246"/>
      <c r="M343" s="249" t="str">
        <f t="shared" si="2"/>
        <v/>
      </c>
      <c r="N343" s="266">
        <f t="shared" si="3"/>
        <v>0</v>
      </c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</row>
    <row r="344">
      <c r="A344" s="273">
        <v>45677.0</v>
      </c>
      <c r="B344" s="275" t="s">
        <v>1147</v>
      </c>
      <c r="C344" s="275" t="s">
        <v>1057</v>
      </c>
      <c r="D344" s="276">
        <v>9220.0</v>
      </c>
      <c r="E344" s="275" t="s">
        <v>1017</v>
      </c>
      <c r="F344" s="279"/>
      <c r="G344" s="278" t="str">
        <f>IFNA(IF(VLOOKUP(RC_OUT[BLOCK],RC_IN[[BLOCK]:[BLOCK LOC]],2,FALSE)=0,"",VLOOKUP(RC_OUT[BLOCK],RC_IN[[BLOCK]:[BLOCK LOC]],2,FALSE)),"")</f>
        <v/>
      </c>
      <c r="I344" s="263" t="str">
        <f>IFERROR(AVERAGEIFS(RC_IN[MC],RC_IN[BLOCK],RC_OUT[BLOCK]),"")</f>
        <v/>
      </c>
      <c r="J344" s="264">
        <f t="shared" si="1"/>
        <v>0</v>
      </c>
      <c r="K344" s="246"/>
      <c r="L344" s="246"/>
      <c r="M344" s="249" t="str">
        <f t="shared" si="2"/>
        <v/>
      </c>
      <c r="N344" s="266">
        <f t="shared" si="3"/>
        <v>0</v>
      </c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</row>
    <row r="345">
      <c r="A345" s="273">
        <v>45677.0</v>
      </c>
      <c r="B345" s="275" t="s">
        <v>1147</v>
      </c>
      <c r="C345" s="275" t="s">
        <v>1156</v>
      </c>
      <c r="D345" s="276">
        <v>5583.0</v>
      </c>
      <c r="E345" s="275" t="s">
        <v>1017</v>
      </c>
      <c r="F345" s="279"/>
      <c r="G345" s="278" t="str">
        <f>IFNA(IF(VLOOKUP(RC_OUT[BLOCK],RC_IN[[BLOCK]:[BLOCK LOC]],2,FALSE)=0,"",VLOOKUP(RC_OUT[BLOCK],RC_IN[[BLOCK]:[BLOCK LOC]],2,FALSE)),"")</f>
        <v/>
      </c>
      <c r="I345" s="263" t="str">
        <f>IFERROR(AVERAGEIFS(RC_IN[MC],RC_IN[BLOCK],RC_OUT[BLOCK]),"")</f>
        <v/>
      </c>
      <c r="J345" s="264">
        <f t="shared" si="1"/>
        <v>0</v>
      </c>
      <c r="K345" s="246"/>
      <c r="L345" s="246"/>
      <c r="M345" s="249" t="str">
        <f t="shared" si="2"/>
        <v/>
      </c>
      <c r="N345" s="266">
        <f t="shared" si="3"/>
        <v>0</v>
      </c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</row>
    <row r="346">
      <c r="A346" s="273">
        <v>45677.0</v>
      </c>
      <c r="B346" s="275" t="s">
        <v>1147</v>
      </c>
      <c r="C346" s="275" t="s">
        <v>1158</v>
      </c>
      <c r="D346" s="276">
        <v>4216.0</v>
      </c>
      <c r="E346" s="275" t="s">
        <v>1017</v>
      </c>
      <c r="F346" s="279"/>
      <c r="G346" s="278" t="str">
        <f>IFNA(IF(VLOOKUP(RC_OUT[BLOCK],RC_IN[[BLOCK]:[BLOCK LOC]],2,FALSE)=0,"",VLOOKUP(RC_OUT[BLOCK],RC_IN[[BLOCK]:[BLOCK LOC]],2,FALSE)),"")</f>
        <v/>
      </c>
      <c r="I346" s="263" t="str">
        <f>IFERROR(AVERAGEIFS(RC_IN[MC],RC_IN[BLOCK],RC_OUT[BLOCK]),"")</f>
        <v/>
      </c>
      <c r="J346" s="264">
        <f t="shared" si="1"/>
        <v>0</v>
      </c>
      <c r="K346" s="246"/>
      <c r="L346" s="246"/>
      <c r="M346" s="249" t="str">
        <f t="shared" si="2"/>
        <v/>
      </c>
      <c r="N346" s="266">
        <f t="shared" si="3"/>
        <v>0</v>
      </c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</row>
    <row r="347">
      <c r="A347" s="273">
        <v>45677.0</v>
      </c>
      <c r="B347" s="275" t="s">
        <v>1147</v>
      </c>
      <c r="C347" s="275" t="s">
        <v>1157</v>
      </c>
      <c r="D347" s="276">
        <v>18768.0</v>
      </c>
      <c r="E347" s="275" t="s">
        <v>1017</v>
      </c>
      <c r="F347" s="277" t="s">
        <v>1059</v>
      </c>
      <c r="G347" s="278" t="str">
        <f>IFNA(IF(VLOOKUP(RC_OUT[BLOCK],RC_IN[[BLOCK]:[BLOCK LOC]],2,FALSE)=0,"",VLOOKUP(RC_OUT[BLOCK],RC_IN[[BLOCK]:[BLOCK LOC]],2,FALSE)),"")</f>
        <v/>
      </c>
      <c r="I347" s="263" t="str">
        <f>IFERROR(AVERAGEIFS(RC_IN[MC],RC_IN[BLOCK],RC_OUT[BLOCK]),"")</f>
        <v/>
      </c>
      <c r="J347" s="264">
        <f t="shared" si="1"/>
        <v>0</v>
      </c>
      <c r="K347" s="246"/>
      <c r="L347" s="246"/>
      <c r="M347" s="249" t="str">
        <f t="shared" si="2"/>
        <v/>
      </c>
      <c r="N347" s="266">
        <f t="shared" si="3"/>
        <v>0</v>
      </c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</row>
    <row r="348">
      <c r="A348" s="273">
        <v>45678.0</v>
      </c>
      <c r="B348" s="275" t="s">
        <v>1147</v>
      </c>
      <c r="C348" s="275" t="s">
        <v>1154</v>
      </c>
      <c r="D348" s="276">
        <v>4946.0</v>
      </c>
      <c r="E348" s="275" t="s">
        <v>1017</v>
      </c>
      <c r="F348" s="279"/>
      <c r="G348" s="278" t="str">
        <f>IFNA(IF(VLOOKUP(RC_OUT[BLOCK],RC_IN[[BLOCK]:[BLOCK LOC]],2,FALSE)=0,"",VLOOKUP(RC_OUT[BLOCK],RC_IN[[BLOCK]:[BLOCK LOC]],2,FALSE)),"")</f>
        <v/>
      </c>
      <c r="I348" s="263" t="str">
        <f>IFERROR(AVERAGEIFS(RC_IN[MC],RC_IN[BLOCK],RC_OUT[BLOCK]),"")</f>
        <v/>
      </c>
      <c r="J348" s="264">
        <f t="shared" si="1"/>
        <v>0</v>
      </c>
      <c r="K348" s="246"/>
      <c r="L348" s="246"/>
      <c r="M348" s="249" t="str">
        <f t="shared" si="2"/>
        <v/>
      </c>
      <c r="N348" s="266">
        <f t="shared" si="3"/>
        <v>0</v>
      </c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</row>
    <row r="349">
      <c r="A349" s="273">
        <v>45678.0</v>
      </c>
      <c r="B349" s="275" t="s">
        <v>1147</v>
      </c>
      <c r="C349" s="275" t="s">
        <v>1057</v>
      </c>
      <c r="D349" s="276">
        <v>9220.0</v>
      </c>
      <c r="E349" s="275" t="s">
        <v>1017</v>
      </c>
      <c r="F349" s="279"/>
      <c r="G349" s="278" t="str">
        <f>IFNA(IF(VLOOKUP(RC_OUT[BLOCK],RC_IN[[BLOCK]:[BLOCK LOC]],2,FALSE)=0,"",VLOOKUP(RC_OUT[BLOCK],RC_IN[[BLOCK]:[BLOCK LOC]],2,FALSE)),"")</f>
        <v/>
      </c>
      <c r="I349" s="263" t="str">
        <f>IFERROR(AVERAGEIFS(RC_IN[MC],RC_IN[BLOCK],RC_OUT[BLOCK]),"")</f>
        <v/>
      </c>
      <c r="J349" s="264">
        <f t="shared" si="1"/>
        <v>0</v>
      </c>
      <c r="K349" s="246"/>
      <c r="L349" s="246"/>
      <c r="M349" s="249" t="str">
        <f t="shared" si="2"/>
        <v/>
      </c>
      <c r="N349" s="266">
        <f t="shared" si="3"/>
        <v>0</v>
      </c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</row>
    <row r="350">
      <c r="A350" s="273">
        <v>45678.0</v>
      </c>
      <c r="B350" s="275" t="s">
        <v>1147</v>
      </c>
      <c r="C350" s="275" t="s">
        <v>1156</v>
      </c>
      <c r="D350" s="276">
        <v>4640.0</v>
      </c>
      <c r="E350" s="275" t="s">
        <v>1017</v>
      </c>
      <c r="F350" s="279"/>
      <c r="G350" s="278" t="str">
        <f>IFNA(IF(VLOOKUP(RC_OUT[BLOCK],RC_IN[[BLOCK]:[BLOCK LOC]],2,FALSE)=0,"",VLOOKUP(RC_OUT[BLOCK],RC_IN[[BLOCK]:[BLOCK LOC]],2,FALSE)),"")</f>
        <v/>
      </c>
      <c r="I350" s="263" t="str">
        <f>IFERROR(AVERAGEIFS(RC_IN[MC],RC_IN[BLOCK],RC_OUT[BLOCK]),"")</f>
        <v/>
      </c>
      <c r="J350" s="264">
        <f t="shared" si="1"/>
        <v>0</v>
      </c>
      <c r="K350" s="246"/>
      <c r="L350" s="246"/>
      <c r="M350" s="249" t="str">
        <f t="shared" si="2"/>
        <v/>
      </c>
      <c r="N350" s="266">
        <f t="shared" si="3"/>
        <v>0</v>
      </c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</row>
    <row r="351">
      <c r="A351" s="273">
        <v>45678.0</v>
      </c>
      <c r="B351" s="275" t="s">
        <v>1147</v>
      </c>
      <c r="C351" s="275" t="s">
        <v>1158</v>
      </c>
      <c r="D351" s="276">
        <v>21438.0</v>
      </c>
      <c r="E351" s="275" t="s">
        <v>1017</v>
      </c>
      <c r="F351" s="279"/>
      <c r="G351" s="278" t="str">
        <f>IFNA(IF(VLOOKUP(RC_OUT[BLOCK],RC_IN[[BLOCK]:[BLOCK LOC]],2,FALSE)=0,"",VLOOKUP(RC_OUT[BLOCK],RC_IN[[BLOCK]:[BLOCK LOC]],2,FALSE)),"")</f>
        <v/>
      </c>
      <c r="I351" s="263" t="str">
        <f>IFERROR(AVERAGEIFS(RC_IN[MC],RC_IN[BLOCK],RC_OUT[BLOCK]),"")</f>
        <v/>
      </c>
      <c r="J351" s="264">
        <f t="shared" si="1"/>
        <v>0</v>
      </c>
      <c r="K351" s="246"/>
      <c r="L351" s="246"/>
      <c r="M351" s="249" t="str">
        <f t="shared" si="2"/>
        <v/>
      </c>
      <c r="N351" s="266">
        <f t="shared" si="3"/>
        <v>0</v>
      </c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</row>
    <row r="352">
      <c r="A352" s="273">
        <v>45679.0</v>
      </c>
      <c r="B352" s="275" t="s">
        <v>1147</v>
      </c>
      <c r="C352" s="275" t="s">
        <v>1154</v>
      </c>
      <c r="D352" s="276">
        <v>4799.0</v>
      </c>
      <c r="E352" s="275" t="s">
        <v>1017</v>
      </c>
      <c r="F352" s="279"/>
      <c r="G352" s="278" t="str">
        <f>IFNA(IF(VLOOKUP(RC_OUT[BLOCK],RC_IN[[BLOCK]:[BLOCK LOC]],2,FALSE)=0,"",VLOOKUP(RC_OUT[BLOCK],RC_IN[[BLOCK]:[BLOCK LOC]],2,FALSE)),"")</f>
        <v/>
      </c>
      <c r="I352" s="263" t="str">
        <f>IFERROR(AVERAGEIFS(RC_IN[MC],RC_IN[BLOCK],RC_OUT[BLOCK]),"")</f>
        <v/>
      </c>
      <c r="J352" s="264">
        <f t="shared" si="1"/>
        <v>0</v>
      </c>
      <c r="K352" s="246"/>
      <c r="L352" s="246"/>
      <c r="M352" s="249" t="str">
        <f t="shared" si="2"/>
        <v/>
      </c>
      <c r="N352" s="266">
        <f t="shared" si="3"/>
        <v>0</v>
      </c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</row>
    <row r="353">
      <c r="A353" s="273">
        <v>45679.0</v>
      </c>
      <c r="B353" s="275" t="s">
        <v>1147</v>
      </c>
      <c r="C353" s="275" t="s">
        <v>1155</v>
      </c>
      <c r="D353" s="276">
        <v>4516.0</v>
      </c>
      <c r="E353" s="275" t="s">
        <v>1017</v>
      </c>
      <c r="F353" s="277" t="s">
        <v>1059</v>
      </c>
      <c r="G353" s="278" t="str">
        <f>IFNA(IF(VLOOKUP(RC_OUT[BLOCK],RC_IN[[BLOCK]:[BLOCK LOC]],2,FALSE)=0,"",VLOOKUP(RC_OUT[BLOCK],RC_IN[[BLOCK]:[BLOCK LOC]],2,FALSE)),"")</f>
        <v/>
      </c>
      <c r="I353" s="263" t="str">
        <f>IFERROR(AVERAGEIFS(RC_IN[MC],RC_IN[BLOCK],RC_OUT[BLOCK]),"")</f>
        <v/>
      </c>
      <c r="J353" s="264">
        <f t="shared" si="1"/>
        <v>0</v>
      </c>
      <c r="K353" s="246"/>
      <c r="L353" s="246"/>
      <c r="M353" s="249" t="str">
        <f t="shared" si="2"/>
        <v/>
      </c>
      <c r="N353" s="266">
        <f t="shared" si="3"/>
        <v>0</v>
      </c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</row>
    <row r="354">
      <c r="A354" s="273">
        <v>45679.0</v>
      </c>
      <c r="B354" s="275" t="s">
        <v>1147</v>
      </c>
      <c r="C354" s="275" t="s">
        <v>1156</v>
      </c>
      <c r="D354" s="276">
        <v>7773.0</v>
      </c>
      <c r="E354" s="275" t="s">
        <v>1017</v>
      </c>
      <c r="F354" s="279"/>
      <c r="G354" s="278" t="str">
        <f>IFNA(IF(VLOOKUP(RC_OUT[BLOCK],RC_IN[[BLOCK]:[BLOCK LOC]],2,FALSE)=0,"",VLOOKUP(RC_OUT[BLOCK],RC_IN[[BLOCK]:[BLOCK LOC]],2,FALSE)),"")</f>
        <v/>
      </c>
      <c r="I354" s="263" t="str">
        <f>IFERROR(AVERAGEIFS(RC_IN[MC],RC_IN[BLOCK],RC_OUT[BLOCK]),"")</f>
        <v/>
      </c>
      <c r="J354" s="264">
        <f t="shared" si="1"/>
        <v>0</v>
      </c>
      <c r="K354" s="246"/>
      <c r="L354" s="246"/>
      <c r="M354" s="249" t="str">
        <f t="shared" si="2"/>
        <v/>
      </c>
      <c r="N354" s="266">
        <f t="shared" si="3"/>
        <v>0</v>
      </c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</row>
    <row r="355">
      <c r="A355" s="273">
        <v>45679.0</v>
      </c>
      <c r="B355" s="275" t="s">
        <v>1147</v>
      </c>
      <c r="C355" s="275" t="s">
        <v>1158</v>
      </c>
      <c r="D355" s="276">
        <v>19813.0</v>
      </c>
      <c r="E355" s="275" t="s">
        <v>1017</v>
      </c>
      <c r="F355" s="279"/>
      <c r="G355" s="278" t="str">
        <f>IFNA(IF(VLOOKUP(RC_OUT[BLOCK],RC_IN[[BLOCK]:[BLOCK LOC]],2,FALSE)=0,"",VLOOKUP(RC_OUT[BLOCK],RC_IN[[BLOCK]:[BLOCK LOC]],2,FALSE)),"")</f>
        <v/>
      </c>
      <c r="I355" s="263" t="str">
        <f>IFERROR(AVERAGEIFS(RC_IN[MC],RC_IN[BLOCK],RC_OUT[BLOCK]),"")</f>
        <v/>
      </c>
      <c r="J355" s="264">
        <f t="shared" si="1"/>
        <v>0</v>
      </c>
      <c r="K355" s="246"/>
      <c r="L355" s="246"/>
      <c r="M355" s="249" t="str">
        <f t="shared" si="2"/>
        <v/>
      </c>
      <c r="N355" s="266">
        <f t="shared" si="3"/>
        <v>0</v>
      </c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</row>
    <row r="356">
      <c r="A356" s="273">
        <v>45680.0</v>
      </c>
      <c r="B356" s="275" t="s">
        <v>1147</v>
      </c>
      <c r="C356" s="275" t="s">
        <v>1154</v>
      </c>
      <c r="D356" s="276">
        <v>3616.0</v>
      </c>
      <c r="E356" s="275" t="s">
        <v>1017</v>
      </c>
      <c r="F356" s="279"/>
      <c r="G356" s="278" t="str">
        <f>IFNA(IF(VLOOKUP(RC_OUT[BLOCK],RC_IN[[BLOCK]:[BLOCK LOC]],2,FALSE)=0,"",VLOOKUP(RC_OUT[BLOCK],RC_IN[[BLOCK]:[BLOCK LOC]],2,FALSE)),"")</f>
        <v/>
      </c>
      <c r="I356" s="263" t="str">
        <f>IFERROR(AVERAGEIFS(RC_IN[MC],RC_IN[BLOCK],RC_OUT[BLOCK]),"")</f>
        <v/>
      </c>
      <c r="J356" s="264">
        <f t="shared" si="1"/>
        <v>0</v>
      </c>
      <c r="K356" s="246"/>
      <c r="L356" s="246"/>
      <c r="M356" s="249" t="str">
        <f t="shared" si="2"/>
        <v/>
      </c>
      <c r="N356" s="266">
        <f t="shared" si="3"/>
        <v>0</v>
      </c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</row>
    <row r="357">
      <c r="A357" s="273">
        <v>45680.0</v>
      </c>
      <c r="B357" s="275" t="s">
        <v>1147</v>
      </c>
      <c r="C357" s="275" t="s">
        <v>1057</v>
      </c>
      <c r="D357" s="276">
        <v>8687.0</v>
      </c>
      <c r="E357" s="275" t="s">
        <v>1017</v>
      </c>
      <c r="F357" s="279"/>
      <c r="G357" s="278" t="str">
        <f>IFNA(IF(VLOOKUP(RC_OUT[BLOCK],RC_IN[[BLOCK]:[BLOCK LOC]],2,FALSE)=0,"",VLOOKUP(RC_OUT[BLOCK],RC_IN[[BLOCK]:[BLOCK LOC]],2,FALSE)),"")</f>
        <v/>
      </c>
      <c r="I357" s="263" t="str">
        <f>IFERROR(AVERAGEIFS(RC_IN[MC],RC_IN[BLOCK],RC_OUT[BLOCK]),"")</f>
        <v/>
      </c>
      <c r="J357" s="264">
        <f t="shared" si="1"/>
        <v>0</v>
      </c>
      <c r="K357" s="246"/>
      <c r="L357" s="246"/>
      <c r="M357" s="249" t="str">
        <f t="shared" si="2"/>
        <v/>
      </c>
      <c r="N357" s="266">
        <f t="shared" si="3"/>
        <v>0</v>
      </c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</row>
    <row r="358">
      <c r="A358" s="273">
        <v>45680.0</v>
      </c>
      <c r="B358" s="275" t="s">
        <v>1147</v>
      </c>
      <c r="C358" s="275" t="s">
        <v>1156</v>
      </c>
      <c r="D358" s="276">
        <v>3583.0</v>
      </c>
      <c r="E358" s="275" t="s">
        <v>1017</v>
      </c>
      <c r="F358" s="279"/>
      <c r="G358" s="278" t="str">
        <f>IFNA(IF(VLOOKUP(RC_OUT[BLOCK],RC_IN[[BLOCK]:[BLOCK LOC]],2,FALSE)=0,"",VLOOKUP(RC_OUT[BLOCK],RC_IN[[BLOCK]:[BLOCK LOC]],2,FALSE)),"")</f>
        <v/>
      </c>
      <c r="I358" s="263" t="str">
        <f>IFERROR(AVERAGEIFS(RC_IN[MC],RC_IN[BLOCK],RC_OUT[BLOCK]),"")</f>
        <v/>
      </c>
      <c r="J358" s="264">
        <f t="shared" si="1"/>
        <v>0</v>
      </c>
      <c r="K358" s="246"/>
      <c r="L358" s="246"/>
      <c r="M358" s="249" t="str">
        <f t="shared" si="2"/>
        <v/>
      </c>
      <c r="N358" s="266">
        <f t="shared" si="3"/>
        <v>0</v>
      </c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</row>
    <row r="359">
      <c r="A359" s="273">
        <v>45680.0</v>
      </c>
      <c r="B359" s="275" t="s">
        <v>1147</v>
      </c>
      <c r="C359" s="275" t="s">
        <v>1159</v>
      </c>
      <c r="D359" s="276">
        <v>8599.0</v>
      </c>
      <c r="E359" s="275" t="s">
        <v>1017</v>
      </c>
      <c r="F359" s="279"/>
      <c r="G359" s="278" t="str">
        <f>IFNA(IF(VLOOKUP(RC_OUT[BLOCK],RC_IN[[BLOCK]:[BLOCK LOC]],2,FALSE)=0,"",VLOOKUP(RC_OUT[BLOCK],RC_IN[[BLOCK]:[BLOCK LOC]],2,FALSE)),"")</f>
        <v/>
      </c>
      <c r="I359" s="263" t="str">
        <f>IFERROR(AVERAGEIFS(RC_IN[MC],RC_IN[BLOCK],RC_OUT[BLOCK]),"")</f>
        <v/>
      </c>
      <c r="J359" s="264">
        <f t="shared" si="1"/>
        <v>0</v>
      </c>
      <c r="K359" s="246"/>
      <c r="L359" s="246"/>
      <c r="M359" s="249" t="str">
        <f t="shared" si="2"/>
        <v/>
      </c>
      <c r="N359" s="266">
        <f t="shared" si="3"/>
        <v>0</v>
      </c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</row>
    <row r="360">
      <c r="A360" s="273">
        <v>45680.0</v>
      </c>
      <c r="B360" s="275" t="s">
        <v>1147</v>
      </c>
      <c r="C360" s="275" t="s">
        <v>1158</v>
      </c>
      <c r="D360" s="276">
        <v>6911.0</v>
      </c>
      <c r="E360" s="275" t="s">
        <v>1017</v>
      </c>
      <c r="F360" s="277" t="s">
        <v>1059</v>
      </c>
      <c r="G360" s="278" t="str">
        <f>IFNA(IF(VLOOKUP(RC_OUT[BLOCK],RC_IN[[BLOCK]:[BLOCK LOC]],2,FALSE)=0,"",VLOOKUP(RC_OUT[BLOCK],RC_IN[[BLOCK]:[BLOCK LOC]],2,FALSE)),"")</f>
        <v/>
      </c>
      <c r="I360" s="263" t="str">
        <f>IFERROR(AVERAGEIFS(RC_IN[MC],RC_IN[BLOCK],RC_OUT[BLOCK]),"")</f>
        <v/>
      </c>
      <c r="J360" s="264">
        <f t="shared" si="1"/>
        <v>0</v>
      </c>
      <c r="K360" s="246"/>
      <c r="L360" s="246"/>
      <c r="M360" s="249" t="str">
        <f t="shared" si="2"/>
        <v/>
      </c>
      <c r="N360" s="266">
        <f t="shared" si="3"/>
        <v>0</v>
      </c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</row>
    <row r="361">
      <c r="A361" s="273">
        <v>45681.0</v>
      </c>
      <c r="B361" s="275" t="s">
        <v>1147</v>
      </c>
      <c r="C361" s="275" t="s">
        <v>1154</v>
      </c>
      <c r="D361" s="276">
        <v>2277.0</v>
      </c>
      <c r="E361" s="275" t="s">
        <v>1017</v>
      </c>
      <c r="F361" s="279"/>
      <c r="G361" s="278" t="str">
        <f>IFNA(IF(VLOOKUP(RC_OUT[BLOCK],RC_IN[[BLOCK]:[BLOCK LOC]],2,FALSE)=0,"",VLOOKUP(RC_OUT[BLOCK],RC_IN[[BLOCK]:[BLOCK LOC]],2,FALSE)),"")</f>
        <v/>
      </c>
      <c r="I361" s="263" t="str">
        <f>IFERROR(AVERAGEIFS(RC_IN[MC],RC_IN[BLOCK],RC_OUT[BLOCK]),"")</f>
        <v/>
      </c>
      <c r="J361" s="264">
        <f t="shared" si="1"/>
        <v>0</v>
      </c>
      <c r="K361" s="246"/>
      <c r="L361" s="246"/>
      <c r="M361" s="249" t="str">
        <f t="shared" si="2"/>
        <v/>
      </c>
      <c r="N361" s="266">
        <f t="shared" si="3"/>
        <v>0</v>
      </c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</row>
    <row r="362">
      <c r="A362" s="273">
        <v>45681.0</v>
      </c>
      <c r="B362" s="275" t="s">
        <v>1147</v>
      </c>
      <c r="C362" s="275" t="s">
        <v>1057</v>
      </c>
      <c r="D362" s="276">
        <v>4344.0</v>
      </c>
      <c r="E362" s="275" t="s">
        <v>1017</v>
      </c>
      <c r="F362" s="279"/>
      <c r="G362" s="278" t="str">
        <f>IFNA(IF(VLOOKUP(RC_OUT[BLOCK],RC_IN[[BLOCK]:[BLOCK LOC]],2,FALSE)=0,"",VLOOKUP(RC_OUT[BLOCK],RC_IN[[BLOCK]:[BLOCK LOC]],2,FALSE)),"")</f>
        <v/>
      </c>
      <c r="I362" s="263" t="str">
        <f>IFERROR(AVERAGEIFS(RC_IN[MC],RC_IN[BLOCK],RC_OUT[BLOCK]),"")</f>
        <v/>
      </c>
      <c r="J362" s="264">
        <f t="shared" si="1"/>
        <v>0</v>
      </c>
      <c r="K362" s="246"/>
      <c r="L362" s="246"/>
      <c r="M362" s="249" t="str">
        <f t="shared" si="2"/>
        <v/>
      </c>
      <c r="N362" s="266">
        <f t="shared" si="3"/>
        <v>0</v>
      </c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</row>
    <row r="363">
      <c r="A363" s="273">
        <v>45681.0</v>
      </c>
      <c r="B363" s="275" t="s">
        <v>1147</v>
      </c>
      <c r="C363" s="275" t="s">
        <v>1156</v>
      </c>
      <c r="D363" s="276">
        <v>2314.0</v>
      </c>
      <c r="E363" s="275" t="s">
        <v>1017</v>
      </c>
      <c r="F363" s="279"/>
      <c r="G363" s="278" t="str">
        <f>IFNA(IF(VLOOKUP(RC_OUT[BLOCK],RC_IN[[BLOCK]:[BLOCK LOC]],2,FALSE)=0,"",VLOOKUP(RC_OUT[BLOCK],RC_IN[[BLOCK]:[BLOCK LOC]],2,FALSE)),"")</f>
        <v/>
      </c>
      <c r="I363" s="263" t="str">
        <f>IFERROR(AVERAGEIFS(RC_IN[MC],RC_IN[BLOCK],RC_OUT[BLOCK]),"")</f>
        <v/>
      </c>
      <c r="J363" s="264">
        <f t="shared" si="1"/>
        <v>0</v>
      </c>
      <c r="K363" s="246"/>
      <c r="L363" s="246"/>
      <c r="M363" s="249" t="str">
        <f t="shared" si="2"/>
        <v/>
      </c>
      <c r="N363" s="266">
        <f t="shared" si="3"/>
        <v>0</v>
      </c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</row>
    <row r="364">
      <c r="A364" s="273">
        <v>45681.0</v>
      </c>
      <c r="B364" s="275" t="s">
        <v>1147</v>
      </c>
      <c r="C364" s="275" t="s">
        <v>1159</v>
      </c>
      <c r="D364" s="276">
        <v>9823.0</v>
      </c>
      <c r="E364" s="275" t="s">
        <v>1017</v>
      </c>
      <c r="F364" s="279"/>
      <c r="G364" s="278" t="str">
        <f>IFNA(IF(VLOOKUP(RC_OUT[BLOCK],RC_IN[[BLOCK]:[BLOCK LOC]],2,FALSE)=0,"",VLOOKUP(RC_OUT[BLOCK],RC_IN[[BLOCK]:[BLOCK LOC]],2,FALSE)),"")</f>
        <v/>
      </c>
      <c r="I364" s="263" t="str">
        <f>IFERROR(AVERAGEIFS(RC_IN[MC],RC_IN[BLOCK],RC_OUT[BLOCK]),"")</f>
        <v/>
      </c>
      <c r="J364" s="264">
        <f t="shared" si="1"/>
        <v>0</v>
      </c>
      <c r="K364" s="246"/>
      <c r="L364" s="246"/>
      <c r="M364" s="249" t="str">
        <f t="shared" si="2"/>
        <v/>
      </c>
      <c r="N364" s="266">
        <f t="shared" si="3"/>
        <v>0</v>
      </c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</row>
    <row r="365">
      <c r="A365" s="273">
        <v>45684.0</v>
      </c>
      <c r="B365" s="275" t="s">
        <v>1147</v>
      </c>
      <c r="C365" s="275" t="s">
        <v>1154</v>
      </c>
      <c r="D365" s="276">
        <v>2093.0</v>
      </c>
      <c r="E365" s="275" t="s">
        <v>1017</v>
      </c>
      <c r="F365" s="279"/>
      <c r="G365" s="278" t="str">
        <f>IFNA(IF(VLOOKUP(RC_OUT[BLOCK],RC_IN[[BLOCK]:[BLOCK LOC]],2,FALSE)=0,"",VLOOKUP(RC_OUT[BLOCK],RC_IN[[BLOCK]:[BLOCK LOC]],2,FALSE)),"")</f>
        <v/>
      </c>
      <c r="I365" s="263" t="str">
        <f>IFERROR(AVERAGEIFS(RC_IN[MC],RC_IN[BLOCK],RC_OUT[BLOCK]),"")</f>
        <v/>
      </c>
      <c r="J365" s="264">
        <f t="shared" si="1"/>
        <v>0</v>
      </c>
      <c r="K365" s="246"/>
      <c r="L365" s="246"/>
      <c r="M365" s="249" t="str">
        <f t="shared" si="2"/>
        <v/>
      </c>
      <c r="N365" s="266">
        <f t="shared" si="3"/>
        <v>0</v>
      </c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</row>
    <row r="366">
      <c r="A366" s="273">
        <v>45684.0</v>
      </c>
      <c r="B366" s="275" t="s">
        <v>1147</v>
      </c>
      <c r="C366" s="275" t="s">
        <v>1057</v>
      </c>
      <c r="D366" s="276">
        <v>2172.0</v>
      </c>
      <c r="E366" s="275" t="s">
        <v>1017</v>
      </c>
      <c r="F366" s="279"/>
      <c r="G366" s="278" t="str">
        <f>IFNA(IF(VLOOKUP(RC_OUT[BLOCK],RC_IN[[BLOCK]:[BLOCK LOC]],2,FALSE)=0,"",VLOOKUP(RC_OUT[BLOCK],RC_IN[[BLOCK]:[BLOCK LOC]],2,FALSE)),"")</f>
        <v/>
      </c>
      <c r="I366" s="263" t="str">
        <f>IFERROR(AVERAGEIFS(RC_IN[MC],RC_IN[BLOCK],RC_OUT[BLOCK]),"")</f>
        <v/>
      </c>
      <c r="J366" s="264">
        <f t="shared" si="1"/>
        <v>0</v>
      </c>
      <c r="K366" s="246"/>
      <c r="L366" s="246"/>
      <c r="M366" s="249" t="str">
        <f t="shared" si="2"/>
        <v/>
      </c>
      <c r="N366" s="266">
        <f t="shared" si="3"/>
        <v>0</v>
      </c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</row>
    <row r="367">
      <c r="A367" s="273">
        <v>45684.0</v>
      </c>
      <c r="B367" s="275" t="s">
        <v>1147</v>
      </c>
      <c r="C367" s="275" t="s">
        <v>1156</v>
      </c>
      <c r="D367" s="276">
        <v>2315.0</v>
      </c>
      <c r="E367" s="275" t="s">
        <v>1017</v>
      </c>
      <c r="F367" s="279"/>
      <c r="G367" s="278" t="str">
        <f>IFNA(IF(VLOOKUP(RC_OUT[BLOCK],RC_IN[[BLOCK]:[BLOCK LOC]],2,FALSE)=0,"",VLOOKUP(RC_OUT[BLOCK],RC_IN[[BLOCK]:[BLOCK LOC]],2,FALSE)),"")</f>
        <v/>
      </c>
      <c r="I367" s="263" t="str">
        <f>IFERROR(AVERAGEIFS(RC_IN[MC],RC_IN[BLOCK],RC_OUT[BLOCK]),"")</f>
        <v/>
      </c>
      <c r="J367" s="264">
        <f t="shared" si="1"/>
        <v>0</v>
      </c>
      <c r="K367" s="246"/>
      <c r="L367" s="246"/>
      <c r="M367" s="249" t="str">
        <f t="shared" si="2"/>
        <v/>
      </c>
      <c r="N367" s="266">
        <f t="shared" si="3"/>
        <v>0</v>
      </c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</row>
    <row r="368">
      <c r="A368" s="273">
        <v>45684.0</v>
      </c>
      <c r="B368" s="275" t="s">
        <v>1147</v>
      </c>
      <c r="C368" s="275" t="s">
        <v>1159</v>
      </c>
      <c r="D368" s="276">
        <v>9698.0</v>
      </c>
      <c r="E368" s="275" t="s">
        <v>1017</v>
      </c>
      <c r="F368" s="279"/>
      <c r="G368" s="278" t="str">
        <f>IFNA(IF(VLOOKUP(RC_OUT[BLOCK],RC_IN[[BLOCK]:[BLOCK LOC]],2,FALSE)=0,"",VLOOKUP(RC_OUT[BLOCK],RC_IN[[BLOCK]:[BLOCK LOC]],2,FALSE)),"")</f>
        <v/>
      </c>
      <c r="I368" s="263" t="str">
        <f>IFERROR(AVERAGEIFS(RC_IN[MC],RC_IN[BLOCK],RC_OUT[BLOCK]),"")</f>
        <v/>
      </c>
      <c r="J368" s="264">
        <f t="shared" si="1"/>
        <v>0</v>
      </c>
      <c r="K368" s="246"/>
      <c r="L368" s="246"/>
      <c r="M368" s="249" t="str">
        <f t="shared" si="2"/>
        <v/>
      </c>
      <c r="N368" s="266">
        <f t="shared" si="3"/>
        <v>0</v>
      </c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</row>
    <row r="369">
      <c r="A369" s="273">
        <v>45685.0</v>
      </c>
      <c r="B369" s="275" t="s">
        <v>1147</v>
      </c>
      <c r="C369" s="275" t="s">
        <v>1154</v>
      </c>
      <c r="D369" s="276">
        <v>2765.0</v>
      </c>
      <c r="E369" s="275" t="s">
        <v>1017</v>
      </c>
      <c r="F369" s="279"/>
      <c r="G369" s="278" t="str">
        <f>IFNA(IF(VLOOKUP(RC_OUT[BLOCK],RC_IN[[BLOCK]:[BLOCK LOC]],2,FALSE)=0,"",VLOOKUP(RC_OUT[BLOCK],RC_IN[[BLOCK]:[BLOCK LOC]],2,FALSE)),"")</f>
        <v/>
      </c>
      <c r="I369" s="263" t="str">
        <f>IFERROR(AVERAGEIFS(RC_IN[MC],RC_IN[BLOCK],RC_OUT[BLOCK]),"")</f>
        <v/>
      </c>
      <c r="J369" s="264">
        <f t="shared" si="1"/>
        <v>0</v>
      </c>
      <c r="K369" s="246"/>
      <c r="L369" s="246"/>
      <c r="M369" s="249" t="str">
        <f t="shared" si="2"/>
        <v/>
      </c>
      <c r="N369" s="266">
        <f t="shared" si="3"/>
        <v>0</v>
      </c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</row>
    <row r="370">
      <c r="A370" s="273">
        <v>45685.0</v>
      </c>
      <c r="B370" s="275" t="s">
        <v>1147</v>
      </c>
      <c r="C370" s="275" t="s">
        <v>1057</v>
      </c>
      <c r="D370" s="276">
        <v>2172.0</v>
      </c>
      <c r="E370" s="275" t="s">
        <v>1017</v>
      </c>
      <c r="F370" s="279"/>
      <c r="G370" s="278" t="str">
        <f>IFNA(IF(VLOOKUP(RC_OUT[BLOCK],RC_IN[[BLOCK]:[BLOCK LOC]],2,FALSE)=0,"",VLOOKUP(RC_OUT[BLOCK],RC_IN[[BLOCK]:[BLOCK LOC]],2,FALSE)),"")</f>
        <v/>
      </c>
      <c r="I370" s="263" t="str">
        <f>IFERROR(AVERAGEIFS(RC_IN[MC],RC_IN[BLOCK],RC_OUT[BLOCK]),"")</f>
        <v/>
      </c>
      <c r="J370" s="264">
        <f t="shared" si="1"/>
        <v>0</v>
      </c>
      <c r="K370" s="246"/>
      <c r="L370" s="246"/>
      <c r="M370" s="249" t="str">
        <f t="shared" si="2"/>
        <v/>
      </c>
      <c r="N370" s="266">
        <f t="shared" si="3"/>
        <v>0</v>
      </c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</row>
    <row r="371">
      <c r="A371" s="273">
        <v>45685.0</v>
      </c>
      <c r="B371" s="275" t="s">
        <v>1147</v>
      </c>
      <c r="C371" s="275" t="s">
        <v>1156</v>
      </c>
      <c r="D371" s="276">
        <v>9429.0</v>
      </c>
      <c r="E371" s="275" t="s">
        <v>1017</v>
      </c>
      <c r="F371" s="279"/>
      <c r="G371" s="278" t="str">
        <f>IFNA(IF(VLOOKUP(RC_OUT[BLOCK],RC_IN[[BLOCK]:[BLOCK LOC]],2,FALSE)=0,"",VLOOKUP(RC_OUT[BLOCK],RC_IN[[BLOCK]:[BLOCK LOC]],2,FALSE)),"")</f>
        <v/>
      </c>
      <c r="I371" s="263" t="str">
        <f>IFERROR(AVERAGEIFS(RC_IN[MC],RC_IN[BLOCK],RC_OUT[BLOCK]),"")</f>
        <v/>
      </c>
      <c r="J371" s="264">
        <f t="shared" si="1"/>
        <v>0</v>
      </c>
      <c r="K371" s="246"/>
      <c r="L371" s="246"/>
      <c r="M371" s="249" t="str">
        <f t="shared" si="2"/>
        <v/>
      </c>
      <c r="N371" s="266">
        <f t="shared" si="3"/>
        <v>0</v>
      </c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</row>
    <row r="372">
      <c r="A372" s="273">
        <v>45685.0</v>
      </c>
      <c r="B372" s="275" t="s">
        <v>1147</v>
      </c>
      <c r="C372" s="275" t="s">
        <v>1159</v>
      </c>
      <c r="D372" s="276">
        <v>13450.0</v>
      </c>
      <c r="E372" s="275" t="s">
        <v>1017</v>
      </c>
      <c r="F372" s="279"/>
      <c r="G372" s="278" t="str">
        <f>IFNA(IF(VLOOKUP(RC_OUT[BLOCK],RC_IN[[BLOCK]:[BLOCK LOC]],2,FALSE)=0,"",VLOOKUP(RC_OUT[BLOCK],RC_IN[[BLOCK]:[BLOCK LOC]],2,FALSE)),"")</f>
        <v/>
      </c>
      <c r="I372" s="263" t="str">
        <f>IFERROR(AVERAGEIFS(RC_IN[MC],RC_IN[BLOCK],RC_OUT[BLOCK]),"")</f>
        <v/>
      </c>
      <c r="J372" s="264">
        <f t="shared" si="1"/>
        <v>0</v>
      </c>
      <c r="K372" s="246"/>
      <c r="L372" s="246"/>
      <c r="M372" s="249" t="str">
        <f t="shared" si="2"/>
        <v/>
      </c>
      <c r="N372" s="266">
        <f t="shared" si="3"/>
        <v>0</v>
      </c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</row>
    <row r="373">
      <c r="A373" s="273">
        <v>45687.0</v>
      </c>
      <c r="B373" s="275" t="s">
        <v>1147</v>
      </c>
      <c r="C373" s="275" t="s">
        <v>1154</v>
      </c>
      <c r="D373" s="276">
        <v>3776.0</v>
      </c>
      <c r="E373" s="275" t="s">
        <v>1017</v>
      </c>
      <c r="F373" s="279"/>
      <c r="G373" s="278" t="str">
        <f>IFNA(IF(VLOOKUP(RC_OUT[BLOCK],RC_IN[[BLOCK]:[BLOCK LOC]],2,FALSE)=0,"",VLOOKUP(RC_OUT[BLOCK],RC_IN[[BLOCK]:[BLOCK LOC]],2,FALSE)),"")</f>
        <v/>
      </c>
      <c r="I373" s="263" t="str">
        <f>IFERROR(AVERAGEIFS(RC_IN[MC],RC_IN[BLOCK],RC_OUT[BLOCK]),"")</f>
        <v/>
      </c>
      <c r="J373" s="264">
        <f t="shared" si="1"/>
        <v>0</v>
      </c>
      <c r="K373" s="246"/>
      <c r="L373" s="246"/>
      <c r="M373" s="249" t="str">
        <f t="shared" si="2"/>
        <v/>
      </c>
      <c r="N373" s="266">
        <f t="shared" si="3"/>
        <v>0</v>
      </c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</row>
    <row r="374">
      <c r="A374" s="273">
        <v>45687.0</v>
      </c>
      <c r="B374" s="275" t="s">
        <v>1147</v>
      </c>
      <c r="C374" s="275" t="s">
        <v>1160</v>
      </c>
      <c r="D374" s="276">
        <v>10064.0</v>
      </c>
      <c r="E374" s="275" t="s">
        <v>1017</v>
      </c>
      <c r="F374" s="279"/>
      <c r="G374" s="278" t="str">
        <f>IFNA(IF(VLOOKUP(RC_OUT[BLOCK],RC_IN[[BLOCK]:[BLOCK LOC]],2,FALSE)=0,"",VLOOKUP(RC_OUT[BLOCK],RC_IN[[BLOCK]:[BLOCK LOC]],2,FALSE)),"")</f>
        <v/>
      </c>
      <c r="I374" s="263" t="str">
        <f>IFERROR(AVERAGEIFS(RC_IN[MC],RC_IN[BLOCK],RC_OUT[BLOCK]),"")</f>
        <v/>
      </c>
      <c r="J374" s="264">
        <f t="shared" si="1"/>
        <v>0</v>
      </c>
      <c r="K374" s="246"/>
      <c r="L374" s="246"/>
      <c r="M374" s="249" t="str">
        <f t="shared" si="2"/>
        <v/>
      </c>
      <c r="N374" s="266">
        <f t="shared" si="3"/>
        <v>0</v>
      </c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</row>
    <row r="375">
      <c r="A375" s="273">
        <v>45687.0</v>
      </c>
      <c r="B375" s="275" t="s">
        <v>1147</v>
      </c>
      <c r="C375" s="275" t="s">
        <v>1156</v>
      </c>
      <c r="D375" s="276">
        <v>7418.0</v>
      </c>
      <c r="E375" s="275" t="s">
        <v>1017</v>
      </c>
      <c r="F375" s="277" t="s">
        <v>1059</v>
      </c>
      <c r="G375" s="278" t="str">
        <f>IFNA(IF(VLOOKUP(RC_OUT[BLOCK],RC_IN[[BLOCK]:[BLOCK LOC]],2,FALSE)=0,"",VLOOKUP(RC_OUT[BLOCK],RC_IN[[BLOCK]:[BLOCK LOC]],2,FALSE)),"")</f>
        <v/>
      </c>
      <c r="I375" s="263" t="str">
        <f>IFERROR(AVERAGEIFS(RC_IN[MC],RC_IN[BLOCK],RC_OUT[BLOCK]),"")</f>
        <v/>
      </c>
      <c r="J375" s="264">
        <f t="shared" si="1"/>
        <v>0</v>
      </c>
      <c r="K375" s="246"/>
      <c r="L375" s="246"/>
      <c r="M375" s="249" t="str">
        <f t="shared" si="2"/>
        <v/>
      </c>
      <c r="N375" s="266">
        <f t="shared" si="3"/>
        <v>0</v>
      </c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</row>
    <row r="376">
      <c r="A376" s="273">
        <v>45687.0</v>
      </c>
      <c r="B376" s="275" t="s">
        <v>1147</v>
      </c>
      <c r="C376" s="275" t="s">
        <v>1159</v>
      </c>
      <c r="D376" s="276">
        <v>12084.0</v>
      </c>
      <c r="E376" s="275" t="s">
        <v>1017</v>
      </c>
      <c r="F376" s="277" t="s">
        <v>1059</v>
      </c>
      <c r="G376" s="278" t="str">
        <f>IFNA(IF(VLOOKUP(RC_OUT[BLOCK],RC_IN[[BLOCK]:[BLOCK LOC]],2,FALSE)=0,"",VLOOKUP(RC_OUT[BLOCK],RC_IN[[BLOCK]:[BLOCK LOC]],2,FALSE)),"")</f>
        <v/>
      </c>
      <c r="I376" s="263" t="str">
        <f>IFERROR(AVERAGEIFS(RC_IN[MC],RC_IN[BLOCK],RC_OUT[BLOCK]),"")</f>
        <v/>
      </c>
      <c r="J376" s="264">
        <f t="shared" si="1"/>
        <v>0</v>
      </c>
      <c r="K376" s="246"/>
      <c r="L376" s="246"/>
      <c r="M376" s="249" t="str">
        <f t="shared" si="2"/>
        <v/>
      </c>
      <c r="N376" s="266">
        <f t="shared" si="3"/>
        <v>0</v>
      </c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</row>
    <row r="377">
      <c r="A377" s="273">
        <v>45687.0</v>
      </c>
      <c r="B377" s="275" t="s">
        <v>1147</v>
      </c>
      <c r="C377" s="275" t="s">
        <v>1161</v>
      </c>
      <c r="D377" s="276">
        <v>6762.0</v>
      </c>
      <c r="E377" s="275" t="s">
        <v>1017</v>
      </c>
      <c r="F377" s="279"/>
      <c r="G377" s="278" t="str">
        <f>IFNA(IF(VLOOKUP(RC_OUT[BLOCK],RC_IN[[BLOCK]:[BLOCK LOC]],2,FALSE)=0,"",VLOOKUP(RC_OUT[BLOCK],RC_IN[[BLOCK]:[BLOCK LOC]],2,FALSE)),"")</f>
        <v/>
      </c>
      <c r="I377" s="263" t="str">
        <f>IFERROR(AVERAGEIFS(RC_IN[MC],RC_IN[BLOCK],RC_OUT[BLOCK]),"")</f>
        <v/>
      </c>
      <c r="J377" s="264">
        <f t="shared" si="1"/>
        <v>0</v>
      </c>
      <c r="K377" s="246"/>
      <c r="L377" s="246"/>
      <c r="M377" s="249" t="str">
        <f t="shared" si="2"/>
        <v/>
      </c>
      <c r="N377" s="266">
        <f t="shared" si="3"/>
        <v>0</v>
      </c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</row>
    <row r="378">
      <c r="A378" s="273">
        <v>45688.0</v>
      </c>
      <c r="B378" s="275" t="s">
        <v>1162</v>
      </c>
      <c r="C378" s="275" t="s">
        <v>1154</v>
      </c>
      <c r="D378" s="276">
        <v>1915.0</v>
      </c>
      <c r="E378" s="275" t="s">
        <v>1017</v>
      </c>
      <c r="F378" s="279"/>
      <c r="G378" s="278" t="str">
        <f>IFNA(IF(VLOOKUP(RC_OUT[BLOCK],RC_IN[[BLOCK]:[BLOCK LOC]],2,FALSE)=0,"",VLOOKUP(RC_OUT[BLOCK],RC_IN[[BLOCK]:[BLOCK LOC]],2,FALSE)),"")</f>
        <v/>
      </c>
      <c r="I378" s="263" t="str">
        <f>IFERROR(AVERAGEIFS(RC_IN[MC],RC_IN[BLOCK],RC_OUT[BLOCK]),"")</f>
        <v/>
      </c>
      <c r="J378" s="264">
        <f t="shared" si="1"/>
        <v>0</v>
      </c>
      <c r="K378" s="246"/>
      <c r="L378" s="246"/>
      <c r="M378" s="249" t="str">
        <f t="shared" si="2"/>
        <v/>
      </c>
      <c r="N378" s="266">
        <f t="shared" si="3"/>
        <v>0</v>
      </c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</row>
    <row r="379">
      <c r="A379" s="273">
        <v>45688.0</v>
      </c>
      <c r="B379" s="275" t="s">
        <v>1162</v>
      </c>
      <c r="C379" s="275" t="s">
        <v>1160</v>
      </c>
      <c r="D379" s="276">
        <v>8547.0</v>
      </c>
      <c r="E379" s="275" t="s">
        <v>1017</v>
      </c>
      <c r="F379" s="279"/>
      <c r="G379" s="278" t="str">
        <f>IFNA(IF(VLOOKUP(RC_OUT[BLOCK],RC_IN[[BLOCK]:[BLOCK LOC]],2,FALSE)=0,"",VLOOKUP(RC_OUT[BLOCK],RC_IN[[BLOCK]:[BLOCK LOC]],2,FALSE)),"")</f>
        <v/>
      </c>
      <c r="I379" s="263" t="str">
        <f>IFERROR(AVERAGEIFS(RC_IN[MC],RC_IN[BLOCK],RC_OUT[BLOCK]),"")</f>
        <v/>
      </c>
      <c r="J379" s="264">
        <f t="shared" si="1"/>
        <v>0</v>
      </c>
      <c r="K379" s="246"/>
      <c r="L379" s="246"/>
      <c r="M379" s="249" t="str">
        <f t="shared" si="2"/>
        <v/>
      </c>
      <c r="N379" s="266">
        <f t="shared" si="3"/>
        <v>0</v>
      </c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</row>
    <row r="380">
      <c r="A380" s="273">
        <v>45688.0</v>
      </c>
      <c r="B380" s="275" t="s">
        <v>1162</v>
      </c>
      <c r="C380" s="275" t="s">
        <v>1161</v>
      </c>
      <c r="D380" s="276">
        <v>10336.0</v>
      </c>
      <c r="E380" s="275" t="s">
        <v>1017</v>
      </c>
      <c r="F380" s="279"/>
      <c r="G380" s="278" t="str">
        <f>IFNA(IF(VLOOKUP(RC_OUT[BLOCK],RC_IN[[BLOCK]:[BLOCK LOC]],2,FALSE)=0,"",VLOOKUP(RC_OUT[BLOCK],RC_IN[[BLOCK]:[BLOCK LOC]],2,FALSE)),"")</f>
        <v/>
      </c>
      <c r="I380" s="263" t="str">
        <f>IFERROR(AVERAGEIFS(RC_IN[MC],RC_IN[BLOCK],RC_OUT[BLOCK]),"")</f>
        <v/>
      </c>
      <c r="J380" s="264">
        <f t="shared" si="1"/>
        <v>0</v>
      </c>
      <c r="K380" s="246"/>
      <c r="L380" s="246"/>
      <c r="M380" s="249" t="str">
        <f t="shared" si="2"/>
        <v/>
      </c>
      <c r="N380" s="266">
        <f t="shared" si="3"/>
        <v>0</v>
      </c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</row>
    <row r="381">
      <c r="A381" s="273">
        <v>45689.0</v>
      </c>
      <c r="B381" s="275" t="s">
        <v>1162</v>
      </c>
      <c r="C381" s="275" t="s">
        <v>1154</v>
      </c>
      <c r="D381" s="276">
        <v>7499.0</v>
      </c>
      <c r="E381" s="275" t="s">
        <v>1017</v>
      </c>
      <c r="F381" s="279"/>
      <c r="G381" s="278" t="str">
        <f>IFNA(IF(VLOOKUP(RC_OUT[BLOCK],RC_IN[[BLOCK]:[BLOCK LOC]],2,FALSE)=0,"",VLOOKUP(RC_OUT[BLOCK],RC_IN[[BLOCK]:[BLOCK LOC]],2,FALSE)),"")</f>
        <v/>
      </c>
      <c r="I381" s="263" t="str">
        <f>IFERROR(AVERAGEIFS(RC_IN[MC],RC_IN[BLOCK],RC_OUT[BLOCK]),"")</f>
        <v/>
      </c>
      <c r="J381" s="264">
        <f t="shared" si="1"/>
        <v>0</v>
      </c>
      <c r="K381" s="246"/>
      <c r="L381" s="246"/>
      <c r="M381" s="249" t="str">
        <f t="shared" si="2"/>
        <v/>
      </c>
      <c r="N381" s="266">
        <f t="shared" si="3"/>
        <v>0</v>
      </c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</row>
    <row r="382">
      <c r="A382" s="273">
        <v>45689.0</v>
      </c>
      <c r="B382" s="275" t="s">
        <v>1162</v>
      </c>
      <c r="C382" s="275" t="s">
        <v>1160</v>
      </c>
      <c r="D382" s="276">
        <v>25106.0</v>
      </c>
      <c r="E382" s="275" t="s">
        <v>1017</v>
      </c>
      <c r="F382" s="279"/>
      <c r="G382" s="278" t="str">
        <f>IFNA(IF(VLOOKUP(RC_OUT[BLOCK],RC_IN[[BLOCK]:[BLOCK LOC]],2,FALSE)=0,"",VLOOKUP(RC_OUT[BLOCK],RC_IN[[BLOCK]:[BLOCK LOC]],2,FALSE)),"")</f>
        <v/>
      </c>
      <c r="I382" s="263" t="str">
        <f>IFERROR(AVERAGEIFS(RC_IN[MC],RC_IN[BLOCK],RC_OUT[BLOCK]),"")</f>
        <v/>
      </c>
      <c r="J382" s="264">
        <f t="shared" si="1"/>
        <v>0</v>
      </c>
      <c r="K382" s="246"/>
      <c r="L382" s="246"/>
      <c r="M382" s="249" t="str">
        <f t="shared" si="2"/>
        <v/>
      </c>
      <c r="N382" s="266">
        <f t="shared" si="3"/>
        <v>0</v>
      </c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</row>
    <row r="383">
      <c r="A383" s="273">
        <v>45689.0</v>
      </c>
      <c r="B383" s="275" t="s">
        <v>1162</v>
      </c>
      <c r="C383" s="275" t="s">
        <v>1161</v>
      </c>
      <c r="D383" s="276">
        <v>6985.0</v>
      </c>
      <c r="E383" s="275" t="s">
        <v>1017</v>
      </c>
      <c r="F383" s="279"/>
      <c r="G383" s="278" t="str">
        <f>IFNA(IF(VLOOKUP(RC_OUT[BLOCK],RC_IN[[BLOCK]:[BLOCK LOC]],2,FALSE)=0,"",VLOOKUP(RC_OUT[BLOCK],RC_IN[[BLOCK]:[BLOCK LOC]],2,FALSE)),"")</f>
        <v/>
      </c>
      <c r="I383" s="263" t="str">
        <f>IFERROR(AVERAGEIFS(RC_IN[MC],RC_IN[BLOCK],RC_OUT[BLOCK]),"")</f>
        <v/>
      </c>
      <c r="J383" s="264">
        <f t="shared" si="1"/>
        <v>0</v>
      </c>
      <c r="K383" s="246"/>
      <c r="L383" s="246"/>
      <c r="M383" s="249" t="str">
        <f t="shared" si="2"/>
        <v/>
      </c>
      <c r="N383" s="266">
        <f t="shared" si="3"/>
        <v>0</v>
      </c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</row>
    <row r="384">
      <c r="A384" s="273">
        <v>45691.0</v>
      </c>
      <c r="B384" s="275" t="s">
        <v>1162</v>
      </c>
      <c r="C384" s="275" t="s">
        <v>1154</v>
      </c>
      <c r="D384" s="276">
        <v>3329.0</v>
      </c>
      <c r="E384" s="275" t="s">
        <v>1017</v>
      </c>
      <c r="F384" s="277" t="s">
        <v>1059</v>
      </c>
      <c r="G384" s="278" t="str">
        <f>IFNA(IF(VLOOKUP(RC_OUT[BLOCK],RC_IN[[BLOCK]:[BLOCK LOC]],2,FALSE)=0,"",VLOOKUP(RC_OUT[BLOCK],RC_IN[[BLOCK]:[BLOCK LOC]],2,FALSE)),"")</f>
        <v/>
      </c>
      <c r="I384" s="263" t="str">
        <f>IFERROR(AVERAGEIFS(RC_IN[MC],RC_IN[BLOCK],RC_OUT[BLOCK]),"")</f>
        <v/>
      </c>
      <c r="J384" s="264">
        <f t="shared" si="1"/>
        <v>0</v>
      </c>
      <c r="K384" s="246"/>
      <c r="L384" s="246"/>
      <c r="M384" s="249" t="str">
        <f t="shared" si="2"/>
        <v/>
      </c>
      <c r="N384" s="266">
        <f t="shared" si="3"/>
        <v>0</v>
      </c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</row>
    <row r="385">
      <c r="A385" s="273">
        <v>45691.0</v>
      </c>
      <c r="B385" s="275" t="s">
        <v>1162</v>
      </c>
      <c r="C385" s="275" t="s">
        <v>1163</v>
      </c>
      <c r="D385" s="276">
        <v>4834.0</v>
      </c>
      <c r="E385" s="275" t="s">
        <v>1017</v>
      </c>
      <c r="F385" s="279"/>
      <c r="G385" s="278" t="str">
        <f>IFNA(IF(VLOOKUP(RC_OUT[BLOCK],RC_IN[[BLOCK]:[BLOCK LOC]],2,FALSE)=0,"",VLOOKUP(RC_OUT[BLOCK],RC_IN[[BLOCK]:[BLOCK LOC]],2,FALSE)),"")</f>
        <v/>
      </c>
      <c r="I385" s="263" t="str">
        <f>IFERROR(AVERAGEIFS(RC_IN[MC],RC_IN[BLOCK],RC_OUT[BLOCK]),"")</f>
        <v/>
      </c>
      <c r="J385" s="264">
        <f t="shared" si="1"/>
        <v>0</v>
      </c>
      <c r="K385" s="246"/>
      <c r="L385" s="246"/>
      <c r="M385" s="249" t="str">
        <f t="shared" si="2"/>
        <v/>
      </c>
      <c r="N385" s="266">
        <f t="shared" si="3"/>
        <v>0</v>
      </c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</row>
    <row r="386">
      <c r="A386" s="273">
        <v>45691.0</v>
      </c>
      <c r="B386" s="275" t="s">
        <v>1162</v>
      </c>
      <c r="C386" s="275" t="s">
        <v>1164</v>
      </c>
      <c r="D386" s="276">
        <v>3587.0</v>
      </c>
      <c r="E386" s="275" t="s">
        <v>1017</v>
      </c>
      <c r="F386" s="279"/>
      <c r="G386" s="278" t="str">
        <f>IFNA(IF(VLOOKUP(RC_OUT[BLOCK],RC_IN[[BLOCK]:[BLOCK LOC]],2,FALSE)=0,"",VLOOKUP(RC_OUT[BLOCK],RC_IN[[BLOCK]:[BLOCK LOC]],2,FALSE)),"")</f>
        <v/>
      </c>
      <c r="I386" s="263" t="str">
        <f>IFERROR(AVERAGEIFS(RC_IN[MC],RC_IN[BLOCK],RC_OUT[BLOCK]),"")</f>
        <v/>
      </c>
      <c r="J386" s="264">
        <f t="shared" si="1"/>
        <v>0</v>
      </c>
      <c r="K386" s="246"/>
      <c r="L386" s="246"/>
      <c r="M386" s="249" t="str">
        <f t="shared" si="2"/>
        <v/>
      </c>
      <c r="N386" s="266">
        <f t="shared" si="3"/>
        <v>0</v>
      </c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</row>
    <row r="387">
      <c r="A387" s="273">
        <v>45691.0</v>
      </c>
      <c r="B387" s="275" t="s">
        <v>1162</v>
      </c>
      <c r="C387" s="275" t="s">
        <v>1160</v>
      </c>
      <c r="D387" s="276">
        <v>19299.0</v>
      </c>
      <c r="E387" s="275" t="s">
        <v>1017</v>
      </c>
      <c r="F387" s="277" t="s">
        <v>1059</v>
      </c>
      <c r="G387" s="278" t="str">
        <f>IFNA(IF(VLOOKUP(RC_OUT[BLOCK],RC_IN[[BLOCK]:[BLOCK LOC]],2,FALSE)=0,"",VLOOKUP(RC_OUT[BLOCK],RC_IN[[BLOCK]:[BLOCK LOC]],2,FALSE)),"")</f>
        <v/>
      </c>
      <c r="I387" s="263" t="str">
        <f>IFERROR(AVERAGEIFS(RC_IN[MC],RC_IN[BLOCK],RC_OUT[BLOCK]),"")</f>
        <v/>
      </c>
      <c r="J387" s="264">
        <f t="shared" si="1"/>
        <v>0</v>
      </c>
      <c r="K387" s="246"/>
      <c r="L387" s="246"/>
      <c r="M387" s="249" t="str">
        <f t="shared" si="2"/>
        <v/>
      </c>
      <c r="N387" s="266">
        <f t="shared" si="3"/>
        <v>0</v>
      </c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</row>
    <row r="388">
      <c r="A388" s="273">
        <v>45691.0</v>
      </c>
      <c r="B388" s="275" t="s">
        <v>1162</v>
      </c>
      <c r="C388" s="275" t="s">
        <v>1161</v>
      </c>
      <c r="D388" s="276">
        <v>3665.0</v>
      </c>
      <c r="E388" s="275" t="s">
        <v>1017</v>
      </c>
      <c r="F388" s="279"/>
      <c r="G388" s="278" t="str">
        <f>IFNA(IF(VLOOKUP(RC_OUT[BLOCK],RC_IN[[BLOCK]:[BLOCK LOC]],2,FALSE)=0,"",VLOOKUP(RC_OUT[BLOCK],RC_IN[[BLOCK]:[BLOCK LOC]],2,FALSE)),"")</f>
        <v/>
      </c>
      <c r="I388" s="263" t="str">
        <f>IFERROR(AVERAGEIFS(RC_IN[MC],RC_IN[BLOCK],RC_OUT[BLOCK]),"")</f>
        <v/>
      </c>
      <c r="J388" s="264">
        <f t="shared" si="1"/>
        <v>0</v>
      </c>
      <c r="K388" s="246"/>
      <c r="L388" s="246"/>
      <c r="M388" s="249" t="str">
        <f t="shared" si="2"/>
        <v/>
      </c>
      <c r="N388" s="266">
        <f t="shared" si="3"/>
        <v>0</v>
      </c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</row>
    <row r="389">
      <c r="A389" s="273">
        <v>45692.0</v>
      </c>
      <c r="B389" s="275" t="s">
        <v>1162</v>
      </c>
      <c r="C389" s="275" t="s">
        <v>1163</v>
      </c>
      <c r="D389" s="276">
        <v>13894.0</v>
      </c>
      <c r="E389" s="275" t="s">
        <v>1017</v>
      </c>
      <c r="F389" s="279"/>
      <c r="G389" s="278" t="str">
        <f>IFNA(IF(VLOOKUP(RC_OUT[BLOCK],RC_IN[[BLOCK]:[BLOCK LOC]],2,FALSE)=0,"",VLOOKUP(RC_OUT[BLOCK],RC_IN[[BLOCK]:[BLOCK LOC]],2,FALSE)),"")</f>
        <v/>
      </c>
      <c r="I389" s="263" t="str">
        <f>IFERROR(AVERAGEIFS(RC_IN[MC],RC_IN[BLOCK],RC_OUT[BLOCK]),"")</f>
        <v/>
      </c>
      <c r="J389" s="264">
        <f t="shared" si="1"/>
        <v>0</v>
      </c>
      <c r="K389" s="246"/>
      <c r="L389" s="246"/>
      <c r="M389" s="249" t="str">
        <f t="shared" si="2"/>
        <v/>
      </c>
      <c r="N389" s="266">
        <f t="shared" si="3"/>
        <v>0</v>
      </c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</row>
    <row r="390">
      <c r="A390" s="273">
        <v>45692.0</v>
      </c>
      <c r="B390" s="275" t="s">
        <v>1162</v>
      </c>
      <c r="C390" s="275" t="s">
        <v>1164</v>
      </c>
      <c r="D390" s="276">
        <v>3587.0</v>
      </c>
      <c r="E390" s="275" t="s">
        <v>1017</v>
      </c>
      <c r="F390" s="279"/>
      <c r="G390" s="278" t="str">
        <f>IFNA(IF(VLOOKUP(RC_OUT[BLOCK],RC_IN[[BLOCK]:[BLOCK LOC]],2,FALSE)=0,"",VLOOKUP(RC_OUT[BLOCK],RC_IN[[BLOCK]:[BLOCK LOC]],2,FALSE)),"")</f>
        <v/>
      </c>
      <c r="I390" s="263" t="str">
        <f>IFERROR(AVERAGEIFS(RC_IN[MC],RC_IN[BLOCK],RC_OUT[BLOCK]),"")</f>
        <v/>
      </c>
      <c r="J390" s="264">
        <f t="shared" si="1"/>
        <v>0</v>
      </c>
      <c r="K390" s="246"/>
      <c r="L390" s="246"/>
      <c r="M390" s="249" t="str">
        <f t="shared" si="2"/>
        <v/>
      </c>
      <c r="N390" s="266">
        <f t="shared" si="3"/>
        <v>0</v>
      </c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</row>
    <row r="391">
      <c r="A391" s="273">
        <v>45692.0</v>
      </c>
      <c r="B391" s="275" t="s">
        <v>1162</v>
      </c>
      <c r="C391" s="275" t="s">
        <v>1165</v>
      </c>
      <c r="D391" s="276">
        <v>23161.0</v>
      </c>
      <c r="E391" s="275" t="s">
        <v>1017</v>
      </c>
      <c r="F391" s="279"/>
      <c r="G391" s="278" t="str">
        <f>IFNA(IF(VLOOKUP(RC_OUT[BLOCK],RC_IN[[BLOCK]:[BLOCK LOC]],2,FALSE)=0,"",VLOOKUP(RC_OUT[BLOCK],RC_IN[[BLOCK]:[BLOCK LOC]],2,FALSE)),"")</f>
        <v/>
      </c>
      <c r="I391" s="263" t="str">
        <f>IFERROR(AVERAGEIFS(RC_IN[MC],RC_IN[BLOCK],RC_OUT[BLOCK]),"")</f>
        <v/>
      </c>
      <c r="J391" s="264">
        <f t="shared" si="1"/>
        <v>0</v>
      </c>
      <c r="K391" s="246"/>
      <c r="L391" s="246"/>
      <c r="M391" s="249" t="str">
        <f t="shared" si="2"/>
        <v/>
      </c>
      <c r="N391" s="266">
        <f t="shared" si="3"/>
        <v>0</v>
      </c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</row>
    <row r="392">
      <c r="A392" s="273">
        <v>45693.0</v>
      </c>
      <c r="B392" s="275" t="s">
        <v>1162</v>
      </c>
      <c r="C392" s="275" t="s">
        <v>1163</v>
      </c>
      <c r="D392" s="276">
        <v>12638.0</v>
      </c>
      <c r="E392" s="275" t="s">
        <v>1017</v>
      </c>
      <c r="F392" s="279"/>
      <c r="G392" s="278" t="str">
        <f>IFNA(IF(VLOOKUP(RC_OUT[BLOCK],RC_IN[[BLOCK]:[BLOCK LOC]],2,FALSE)=0,"",VLOOKUP(RC_OUT[BLOCK],RC_IN[[BLOCK]:[BLOCK LOC]],2,FALSE)),"")</f>
        <v/>
      </c>
      <c r="I392" s="263" t="str">
        <f>IFERROR(AVERAGEIFS(RC_IN[MC],RC_IN[BLOCK],RC_OUT[BLOCK]),"")</f>
        <v/>
      </c>
      <c r="J392" s="264">
        <f t="shared" si="1"/>
        <v>0</v>
      </c>
      <c r="K392" s="246"/>
      <c r="L392" s="246"/>
      <c r="M392" s="249" t="str">
        <f t="shared" si="2"/>
        <v/>
      </c>
      <c r="N392" s="266">
        <f t="shared" si="3"/>
        <v>0</v>
      </c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</row>
    <row r="393">
      <c r="A393" s="273">
        <v>45693.0</v>
      </c>
      <c r="B393" s="275" t="s">
        <v>1162</v>
      </c>
      <c r="C393" s="275" t="s">
        <v>1164</v>
      </c>
      <c r="D393" s="276">
        <v>5380.0</v>
      </c>
      <c r="E393" s="275" t="s">
        <v>1017</v>
      </c>
      <c r="F393" s="279"/>
      <c r="G393" s="278" t="str">
        <f>IFNA(IF(VLOOKUP(RC_OUT[BLOCK],RC_IN[[BLOCK]:[BLOCK LOC]],2,FALSE)=0,"",VLOOKUP(RC_OUT[BLOCK],RC_IN[[BLOCK]:[BLOCK LOC]],2,FALSE)),"")</f>
        <v/>
      </c>
      <c r="I393" s="263" t="str">
        <f>IFERROR(AVERAGEIFS(RC_IN[MC],RC_IN[BLOCK],RC_OUT[BLOCK]),"")</f>
        <v/>
      </c>
      <c r="J393" s="264">
        <f t="shared" si="1"/>
        <v>0</v>
      </c>
      <c r="K393" s="246"/>
      <c r="L393" s="246"/>
      <c r="M393" s="249" t="str">
        <f t="shared" si="2"/>
        <v/>
      </c>
      <c r="N393" s="266">
        <f t="shared" si="3"/>
        <v>0</v>
      </c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</row>
    <row r="394">
      <c r="A394" s="273">
        <v>45693.0</v>
      </c>
      <c r="B394" s="275" t="s">
        <v>1162</v>
      </c>
      <c r="C394" s="275" t="s">
        <v>1165</v>
      </c>
      <c r="D394" s="276">
        <v>21306.0</v>
      </c>
      <c r="E394" s="275" t="s">
        <v>1017</v>
      </c>
      <c r="F394" s="279"/>
      <c r="G394" s="278" t="str">
        <f>IFNA(IF(VLOOKUP(RC_OUT[BLOCK],RC_IN[[BLOCK]:[BLOCK LOC]],2,FALSE)=0,"",VLOOKUP(RC_OUT[BLOCK],RC_IN[[BLOCK]:[BLOCK LOC]],2,FALSE)),"")</f>
        <v/>
      </c>
      <c r="I394" s="263" t="str">
        <f>IFERROR(AVERAGEIFS(RC_IN[MC],RC_IN[BLOCK],RC_OUT[BLOCK]),"")</f>
        <v/>
      </c>
      <c r="J394" s="264">
        <f t="shared" si="1"/>
        <v>0</v>
      </c>
      <c r="K394" s="246"/>
      <c r="L394" s="246"/>
      <c r="M394" s="249" t="str">
        <f t="shared" si="2"/>
        <v/>
      </c>
      <c r="N394" s="266">
        <f t="shared" si="3"/>
        <v>0</v>
      </c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</row>
    <row r="395">
      <c r="A395" s="273">
        <v>45694.0</v>
      </c>
      <c r="B395" s="275" t="s">
        <v>1162</v>
      </c>
      <c r="C395" s="275" t="s">
        <v>1138</v>
      </c>
      <c r="D395" s="276">
        <v>25034.0</v>
      </c>
      <c r="E395" s="275" t="s">
        <v>1017</v>
      </c>
      <c r="F395" s="279"/>
      <c r="G395" s="278" t="str">
        <f>IFNA(IF(VLOOKUP(RC_OUT[BLOCK],RC_IN[[BLOCK]:[BLOCK LOC]],2,FALSE)=0,"",VLOOKUP(RC_OUT[BLOCK],RC_IN[[BLOCK]:[BLOCK LOC]],2,FALSE)),"")</f>
        <v/>
      </c>
      <c r="I395" s="263" t="str">
        <f>IFERROR(AVERAGEIFS(RC_IN[MC],RC_IN[BLOCK],RC_OUT[BLOCK]),"")</f>
        <v/>
      </c>
      <c r="J395" s="264">
        <f t="shared" si="1"/>
        <v>0</v>
      </c>
      <c r="K395" s="246"/>
      <c r="L395" s="246"/>
      <c r="M395" s="249" t="str">
        <f t="shared" si="2"/>
        <v/>
      </c>
      <c r="N395" s="266">
        <f t="shared" si="3"/>
        <v>0</v>
      </c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</row>
    <row r="396">
      <c r="A396" s="273">
        <v>45694.0</v>
      </c>
      <c r="B396" s="275" t="s">
        <v>1162</v>
      </c>
      <c r="C396" s="275" t="s">
        <v>1163</v>
      </c>
      <c r="D396" s="276">
        <v>9305.0</v>
      </c>
      <c r="E396" s="275" t="s">
        <v>1017</v>
      </c>
      <c r="F396" s="279"/>
      <c r="G396" s="278" t="str">
        <f>IFNA(IF(VLOOKUP(RC_OUT[BLOCK],RC_IN[[BLOCK]:[BLOCK LOC]],2,FALSE)=0,"",VLOOKUP(RC_OUT[BLOCK],RC_IN[[BLOCK]:[BLOCK LOC]],2,FALSE)),"")</f>
        <v/>
      </c>
      <c r="I396" s="263" t="str">
        <f>IFERROR(AVERAGEIFS(RC_IN[MC],RC_IN[BLOCK],RC_OUT[BLOCK]),"")</f>
        <v/>
      </c>
      <c r="J396" s="264">
        <f t="shared" si="1"/>
        <v>0</v>
      </c>
      <c r="K396" s="246"/>
      <c r="L396" s="246"/>
      <c r="M396" s="249" t="str">
        <f t="shared" si="2"/>
        <v/>
      </c>
      <c r="N396" s="266">
        <f t="shared" si="3"/>
        <v>0</v>
      </c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</row>
    <row r="397">
      <c r="A397" s="273">
        <v>45694.0</v>
      </c>
      <c r="B397" s="275" t="s">
        <v>1162</v>
      </c>
      <c r="C397" s="275" t="s">
        <v>1164</v>
      </c>
      <c r="D397" s="276">
        <v>5381.0</v>
      </c>
      <c r="E397" s="275" t="s">
        <v>1017</v>
      </c>
      <c r="F397" s="277" t="s">
        <v>1059</v>
      </c>
      <c r="G397" s="278" t="str">
        <f>IFNA(IF(VLOOKUP(RC_OUT[BLOCK],RC_IN[[BLOCK]:[BLOCK LOC]],2,FALSE)=0,"",VLOOKUP(RC_OUT[BLOCK],RC_IN[[BLOCK]:[BLOCK LOC]],2,FALSE)),"")</f>
        <v/>
      </c>
      <c r="I397" s="263" t="str">
        <f>IFERROR(AVERAGEIFS(RC_IN[MC],RC_IN[BLOCK],RC_OUT[BLOCK]),"")</f>
        <v/>
      </c>
      <c r="J397" s="264">
        <f t="shared" si="1"/>
        <v>0</v>
      </c>
      <c r="K397" s="246"/>
      <c r="L397" s="246"/>
      <c r="M397" s="249" t="str">
        <f t="shared" si="2"/>
        <v/>
      </c>
      <c r="N397" s="266">
        <f t="shared" si="3"/>
        <v>0</v>
      </c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</row>
    <row r="398">
      <c r="A398" s="273">
        <v>45694.0</v>
      </c>
      <c r="B398" s="275" t="s">
        <v>1162</v>
      </c>
      <c r="C398" s="275" t="s">
        <v>1165</v>
      </c>
      <c r="D398" s="276">
        <v>14097.0</v>
      </c>
      <c r="E398" s="275" t="s">
        <v>1017</v>
      </c>
      <c r="F398" s="279"/>
      <c r="G398" s="278" t="str">
        <f>IFNA(IF(VLOOKUP(RC_OUT[BLOCK],RC_IN[[BLOCK]:[BLOCK LOC]],2,FALSE)=0,"",VLOOKUP(RC_OUT[BLOCK],RC_IN[[BLOCK]:[BLOCK LOC]],2,FALSE)),"")</f>
        <v/>
      </c>
      <c r="I398" s="263" t="str">
        <f>IFERROR(AVERAGEIFS(RC_IN[MC],RC_IN[BLOCK],RC_OUT[BLOCK]),"")</f>
        <v/>
      </c>
      <c r="J398" s="264">
        <f t="shared" si="1"/>
        <v>0</v>
      </c>
      <c r="K398" s="246"/>
      <c r="L398" s="246"/>
      <c r="M398" s="249" t="str">
        <f t="shared" si="2"/>
        <v/>
      </c>
      <c r="N398" s="266">
        <f t="shared" si="3"/>
        <v>0</v>
      </c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</row>
    <row r="399">
      <c r="A399" s="273">
        <v>45695.0</v>
      </c>
      <c r="B399" s="275" t="s">
        <v>1162</v>
      </c>
      <c r="C399" s="275" t="s">
        <v>1138</v>
      </c>
      <c r="D399" s="276">
        <v>18273.0</v>
      </c>
      <c r="E399" s="275" t="s">
        <v>1017</v>
      </c>
      <c r="F399" s="279"/>
      <c r="G399" s="278" t="str">
        <f>IFNA(IF(VLOOKUP(RC_OUT[BLOCK],RC_IN[[BLOCK]:[BLOCK LOC]],2,FALSE)=0,"",VLOOKUP(RC_OUT[BLOCK],RC_IN[[BLOCK]:[BLOCK LOC]],2,FALSE)),"")</f>
        <v/>
      </c>
      <c r="I399" s="263" t="str">
        <f>IFERROR(AVERAGEIFS(RC_IN[MC],RC_IN[BLOCK],RC_OUT[BLOCK]),"")</f>
        <v/>
      </c>
      <c r="J399" s="264">
        <f t="shared" si="1"/>
        <v>0</v>
      </c>
      <c r="K399" s="246"/>
      <c r="L399" s="246"/>
      <c r="M399" s="249" t="str">
        <f t="shared" si="2"/>
        <v/>
      </c>
      <c r="N399" s="266">
        <f t="shared" si="3"/>
        <v>0</v>
      </c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</row>
    <row r="400">
      <c r="A400" s="273">
        <v>45695.0</v>
      </c>
      <c r="B400" s="275" t="s">
        <v>1162</v>
      </c>
      <c r="C400" s="275" t="s">
        <v>1163</v>
      </c>
      <c r="D400" s="276">
        <v>6526.0</v>
      </c>
      <c r="E400" s="275" t="s">
        <v>1017</v>
      </c>
      <c r="F400" s="279"/>
      <c r="G400" s="278" t="str">
        <f>IFNA(IF(VLOOKUP(RC_OUT[BLOCK],RC_IN[[BLOCK]:[BLOCK LOC]],2,FALSE)=0,"",VLOOKUP(RC_OUT[BLOCK],RC_IN[[BLOCK]:[BLOCK LOC]],2,FALSE)),"")</f>
        <v/>
      </c>
      <c r="I400" s="263" t="str">
        <f>IFERROR(AVERAGEIFS(RC_IN[MC],RC_IN[BLOCK],RC_OUT[BLOCK]),"")</f>
        <v/>
      </c>
      <c r="J400" s="264">
        <f t="shared" si="1"/>
        <v>0</v>
      </c>
      <c r="K400" s="246"/>
      <c r="L400" s="246"/>
      <c r="M400" s="249" t="str">
        <f t="shared" si="2"/>
        <v/>
      </c>
      <c r="N400" s="266">
        <f t="shared" si="3"/>
        <v>0</v>
      </c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</row>
    <row r="401">
      <c r="A401" s="273">
        <v>45695.0</v>
      </c>
      <c r="B401" s="275" t="s">
        <v>1162</v>
      </c>
      <c r="C401" s="275" t="s">
        <v>1166</v>
      </c>
      <c r="D401" s="276">
        <v>8542.0</v>
      </c>
      <c r="E401" s="275" t="s">
        <v>1017</v>
      </c>
      <c r="F401" s="279"/>
      <c r="G401" s="278" t="str">
        <f>IFNA(IF(VLOOKUP(RC_OUT[BLOCK],RC_IN[[BLOCK]:[BLOCK LOC]],2,FALSE)=0,"",VLOOKUP(RC_OUT[BLOCK],RC_IN[[BLOCK]:[BLOCK LOC]],2,FALSE)),"")</f>
        <v/>
      </c>
      <c r="I401" s="263" t="str">
        <f>IFERROR(AVERAGEIFS(RC_IN[MC],RC_IN[BLOCK],RC_OUT[BLOCK]),"")</f>
        <v/>
      </c>
      <c r="J401" s="264">
        <f t="shared" si="1"/>
        <v>0</v>
      </c>
      <c r="K401" s="246"/>
      <c r="L401" s="246"/>
      <c r="M401" s="249" t="str">
        <f t="shared" si="2"/>
        <v/>
      </c>
      <c r="N401" s="266">
        <f t="shared" si="3"/>
        <v>0</v>
      </c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</row>
    <row r="402">
      <c r="A402" s="273">
        <v>45695.0</v>
      </c>
      <c r="B402" s="275" t="s">
        <v>1162</v>
      </c>
      <c r="C402" s="275" t="s">
        <v>1165</v>
      </c>
      <c r="D402" s="276">
        <v>1943.0</v>
      </c>
      <c r="E402" s="275" t="s">
        <v>1017</v>
      </c>
      <c r="F402" s="277" t="s">
        <v>1059</v>
      </c>
      <c r="G402" s="278" t="str">
        <f>IFNA(IF(VLOOKUP(RC_OUT[BLOCK],RC_IN[[BLOCK]:[BLOCK LOC]],2,FALSE)=0,"",VLOOKUP(RC_OUT[BLOCK],RC_IN[[BLOCK]:[BLOCK LOC]],2,FALSE)),"")</f>
        <v/>
      </c>
      <c r="I402" s="263" t="str">
        <f>IFERROR(AVERAGEIFS(RC_IN[MC],RC_IN[BLOCK],RC_OUT[BLOCK]),"")</f>
        <v/>
      </c>
      <c r="J402" s="264">
        <f t="shared" si="1"/>
        <v>0</v>
      </c>
      <c r="K402" s="246"/>
      <c r="L402" s="246"/>
      <c r="M402" s="249" t="str">
        <f t="shared" si="2"/>
        <v/>
      </c>
      <c r="N402" s="266">
        <f t="shared" si="3"/>
        <v>0</v>
      </c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</row>
    <row r="403">
      <c r="A403" s="273">
        <v>45698.0</v>
      </c>
      <c r="B403" s="275" t="s">
        <v>1162</v>
      </c>
      <c r="C403" s="275" t="s">
        <v>1138</v>
      </c>
      <c r="D403" s="276">
        <v>17663.0</v>
      </c>
      <c r="E403" s="275" t="s">
        <v>1017</v>
      </c>
      <c r="F403" s="277" t="s">
        <v>1059</v>
      </c>
      <c r="G403" s="278" t="str">
        <f>IFNA(IF(VLOOKUP(RC_OUT[BLOCK],RC_IN[[BLOCK]:[BLOCK LOC]],2,FALSE)=0,"",VLOOKUP(RC_OUT[BLOCK],RC_IN[[BLOCK]:[BLOCK LOC]],2,FALSE)),"")</f>
        <v/>
      </c>
      <c r="I403" s="263" t="str">
        <f>IFERROR(AVERAGEIFS(RC_IN[MC],RC_IN[BLOCK],RC_OUT[BLOCK]),"")</f>
        <v/>
      </c>
      <c r="J403" s="264">
        <f t="shared" si="1"/>
        <v>0</v>
      </c>
      <c r="K403" s="246"/>
      <c r="L403" s="246"/>
      <c r="M403" s="249" t="str">
        <f t="shared" si="2"/>
        <v/>
      </c>
      <c r="N403" s="266">
        <f t="shared" si="3"/>
        <v>0</v>
      </c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</row>
    <row r="404">
      <c r="A404" s="273">
        <v>45698.0</v>
      </c>
      <c r="B404" s="275" t="s">
        <v>1162</v>
      </c>
      <c r="C404" s="275" t="s">
        <v>1163</v>
      </c>
      <c r="D404" s="276">
        <v>6775.0</v>
      </c>
      <c r="E404" s="275" t="s">
        <v>1017</v>
      </c>
      <c r="F404" s="279"/>
      <c r="G404" s="278" t="str">
        <f>IFNA(IF(VLOOKUP(RC_OUT[BLOCK],RC_IN[[BLOCK]:[BLOCK LOC]],2,FALSE)=0,"",VLOOKUP(RC_OUT[BLOCK],RC_IN[[BLOCK]:[BLOCK LOC]],2,FALSE)),"")</f>
        <v/>
      </c>
      <c r="I404" s="263" t="str">
        <f>IFERROR(AVERAGEIFS(RC_IN[MC],RC_IN[BLOCK],RC_OUT[BLOCK]),"")</f>
        <v/>
      </c>
      <c r="J404" s="264">
        <f t="shared" si="1"/>
        <v>0</v>
      </c>
      <c r="K404" s="246"/>
      <c r="L404" s="246"/>
      <c r="M404" s="249" t="str">
        <f t="shared" si="2"/>
        <v/>
      </c>
      <c r="N404" s="266">
        <f t="shared" si="3"/>
        <v>0</v>
      </c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</row>
    <row r="405">
      <c r="A405" s="273">
        <v>45698.0</v>
      </c>
      <c r="B405" s="275" t="s">
        <v>1162</v>
      </c>
      <c r="C405" s="275" t="s">
        <v>1166</v>
      </c>
      <c r="D405" s="276">
        <v>10765.0</v>
      </c>
      <c r="E405" s="275" t="s">
        <v>1017</v>
      </c>
      <c r="F405" s="279"/>
      <c r="G405" s="278" t="str">
        <f>IFNA(IF(VLOOKUP(RC_OUT[BLOCK],RC_IN[[BLOCK]:[BLOCK LOC]],2,FALSE)=0,"",VLOOKUP(RC_OUT[BLOCK],RC_IN[[BLOCK]:[BLOCK LOC]],2,FALSE)),"")</f>
        <v/>
      </c>
      <c r="I405" s="263" t="str">
        <f>IFERROR(AVERAGEIFS(RC_IN[MC],RC_IN[BLOCK],RC_OUT[BLOCK]),"")</f>
        <v/>
      </c>
      <c r="J405" s="264">
        <f t="shared" si="1"/>
        <v>0</v>
      </c>
      <c r="K405" s="246"/>
      <c r="L405" s="246"/>
      <c r="M405" s="249" t="str">
        <f t="shared" si="2"/>
        <v/>
      </c>
      <c r="N405" s="266">
        <f t="shared" si="3"/>
        <v>0</v>
      </c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</row>
    <row r="406">
      <c r="A406" s="273">
        <v>45699.0</v>
      </c>
      <c r="B406" s="275" t="s">
        <v>1162</v>
      </c>
      <c r="C406" s="275" t="s">
        <v>1163</v>
      </c>
      <c r="D406" s="276">
        <v>5500.0</v>
      </c>
      <c r="E406" s="275" t="s">
        <v>1017</v>
      </c>
      <c r="F406" s="277" t="s">
        <v>1059</v>
      </c>
      <c r="G406" s="278" t="str">
        <f>IFNA(IF(VLOOKUP(RC_OUT[BLOCK],RC_IN[[BLOCK]:[BLOCK LOC]],2,FALSE)=0,"",VLOOKUP(RC_OUT[BLOCK],RC_IN[[BLOCK]:[BLOCK LOC]],2,FALSE)),"")</f>
        <v/>
      </c>
      <c r="I406" s="263" t="str">
        <f>IFERROR(AVERAGEIFS(RC_IN[MC],RC_IN[BLOCK],RC_OUT[BLOCK]),"")</f>
        <v/>
      </c>
      <c r="J406" s="264">
        <f t="shared" si="1"/>
        <v>0</v>
      </c>
      <c r="K406" s="246"/>
      <c r="L406" s="246"/>
      <c r="M406" s="249" t="str">
        <f t="shared" si="2"/>
        <v/>
      </c>
      <c r="N406" s="266">
        <f t="shared" si="3"/>
        <v>0</v>
      </c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</row>
    <row r="407">
      <c r="A407" s="273">
        <v>45699.0</v>
      </c>
      <c r="B407" s="275" t="s">
        <v>1162</v>
      </c>
      <c r="C407" s="275" t="s">
        <v>1167</v>
      </c>
      <c r="D407" s="276">
        <v>4242.0</v>
      </c>
      <c r="E407" s="275" t="s">
        <v>1017</v>
      </c>
      <c r="F407" s="279"/>
      <c r="G407" s="278" t="str">
        <f>IFNA(IF(VLOOKUP(RC_OUT[BLOCK],RC_IN[[BLOCK]:[BLOCK LOC]],2,FALSE)=0,"",VLOOKUP(RC_OUT[BLOCK],RC_IN[[BLOCK]:[BLOCK LOC]],2,FALSE)),"")</f>
        <v/>
      </c>
      <c r="I407" s="263" t="str">
        <f>IFERROR(AVERAGEIFS(RC_IN[MC],RC_IN[BLOCK],RC_OUT[BLOCK]),"")</f>
        <v/>
      </c>
      <c r="J407" s="264">
        <f t="shared" si="1"/>
        <v>0</v>
      </c>
      <c r="K407" s="246"/>
      <c r="L407" s="246"/>
      <c r="M407" s="249" t="str">
        <f t="shared" si="2"/>
        <v/>
      </c>
      <c r="N407" s="266">
        <f t="shared" si="3"/>
        <v>0</v>
      </c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</row>
    <row r="408">
      <c r="A408" s="273">
        <v>45699.0</v>
      </c>
      <c r="B408" s="275" t="s">
        <v>1162</v>
      </c>
      <c r="C408" s="275" t="s">
        <v>1166</v>
      </c>
      <c r="D408" s="276">
        <v>11260.0</v>
      </c>
      <c r="E408" s="275" t="s">
        <v>1017</v>
      </c>
      <c r="F408" s="279"/>
      <c r="G408" s="278" t="str">
        <f>IFNA(IF(VLOOKUP(RC_OUT[BLOCK],RC_IN[[BLOCK]:[BLOCK LOC]],2,FALSE)=0,"",VLOOKUP(RC_OUT[BLOCK],RC_IN[[BLOCK]:[BLOCK LOC]],2,FALSE)),"")</f>
        <v/>
      </c>
      <c r="I408" s="263" t="str">
        <f>IFERROR(AVERAGEIFS(RC_IN[MC],RC_IN[BLOCK],RC_OUT[BLOCK]),"")</f>
        <v/>
      </c>
      <c r="J408" s="264">
        <f t="shared" si="1"/>
        <v>0</v>
      </c>
      <c r="K408" s="246"/>
      <c r="L408" s="246"/>
      <c r="M408" s="249" t="str">
        <f t="shared" si="2"/>
        <v/>
      </c>
      <c r="N408" s="266">
        <f t="shared" si="3"/>
        <v>0</v>
      </c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</row>
    <row r="409">
      <c r="A409" s="273">
        <v>45699.0</v>
      </c>
      <c r="B409" s="275" t="s">
        <v>1162</v>
      </c>
      <c r="C409" s="275" t="s">
        <v>1161</v>
      </c>
      <c r="D409" s="276">
        <v>7838.0</v>
      </c>
      <c r="E409" s="275" t="s">
        <v>1017</v>
      </c>
      <c r="F409" s="279"/>
      <c r="G409" s="278" t="str">
        <f>IFNA(IF(VLOOKUP(RC_OUT[BLOCK],RC_IN[[BLOCK]:[BLOCK LOC]],2,FALSE)=0,"",VLOOKUP(RC_OUT[BLOCK],RC_IN[[BLOCK]:[BLOCK LOC]],2,FALSE)),"")</f>
        <v/>
      </c>
      <c r="I409" s="263" t="str">
        <f>IFERROR(AVERAGEIFS(RC_IN[MC],RC_IN[BLOCK],RC_OUT[BLOCK]),"")</f>
        <v/>
      </c>
      <c r="J409" s="264">
        <f t="shared" si="1"/>
        <v>0</v>
      </c>
      <c r="K409" s="246"/>
      <c r="L409" s="246"/>
      <c r="M409" s="249" t="str">
        <f t="shared" si="2"/>
        <v/>
      </c>
      <c r="N409" s="266">
        <f t="shared" si="3"/>
        <v>0</v>
      </c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</row>
    <row r="410">
      <c r="A410" s="273">
        <v>45700.0</v>
      </c>
      <c r="B410" s="275" t="s">
        <v>1162</v>
      </c>
      <c r="C410" s="275" t="s">
        <v>1168</v>
      </c>
      <c r="D410" s="276">
        <v>8955.0</v>
      </c>
      <c r="E410" s="275" t="s">
        <v>1017</v>
      </c>
      <c r="F410" s="279"/>
      <c r="G410" s="278" t="str">
        <f>IFNA(IF(VLOOKUP(RC_OUT[BLOCK],RC_IN[[BLOCK]:[BLOCK LOC]],2,FALSE)=0,"",VLOOKUP(RC_OUT[BLOCK],RC_IN[[BLOCK]:[BLOCK LOC]],2,FALSE)),"")</f>
        <v/>
      </c>
      <c r="I410" s="263" t="str">
        <f>IFERROR(AVERAGEIFS(RC_IN[MC],RC_IN[BLOCK],RC_OUT[BLOCK]),"")</f>
        <v/>
      </c>
      <c r="J410" s="264">
        <f t="shared" si="1"/>
        <v>0</v>
      </c>
      <c r="K410" s="246"/>
      <c r="L410" s="246"/>
      <c r="M410" s="249" t="str">
        <f t="shared" si="2"/>
        <v/>
      </c>
      <c r="N410" s="266">
        <f t="shared" si="3"/>
        <v>0</v>
      </c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</row>
    <row r="411">
      <c r="A411" s="273">
        <v>45700.0</v>
      </c>
      <c r="B411" s="275" t="s">
        <v>1162</v>
      </c>
      <c r="C411" s="275" t="s">
        <v>1167</v>
      </c>
      <c r="D411" s="276">
        <v>4242.0</v>
      </c>
      <c r="E411" s="275" t="s">
        <v>1017</v>
      </c>
      <c r="F411" s="279"/>
      <c r="G411" s="278" t="str">
        <f>IFNA(IF(VLOOKUP(RC_OUT[BLOCK],RC_IN[[BLOCK]:[BLOCK LOC]],2,FALSE)=0,"",VLOOKUP(RC_OUT[BLOCK],RC_IN[[BLOCK]:[BLOCK LOC]],2,FALSE)),"")</f>
        <v/>
      </c>
      <c r="I411" s="263" t="str">
        <f>IFERROR(AVERAGEIFS(RC_IN[MC],RC_IN[BLOCK],RC_OUT[BLOCK]),"")</f>
        <v/>
      </c>
      <c r="J411" s="264">
        <f t="shared" si="1"/>
        <v>0</v>
      </c>
      <c r="K411" s="246"/>
      <c r="L411" s="246"/>
      <c r="M411" s="249" t="str">
        <f t="shared" si="2"/>
        <v/>
      </c>
      <c r="N411" s="266">
        <f t="shared" si="3"/>
        <v>0</v>
      </c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</row>
    <row r="412">
      <c r="A412" s="273">
        <v>45700.0</v>
      </c>
      <c r="B412" s="275" t="s">
        <v>1162</v>
      </c>
      <c r="C412" s="275" t="s">
        <v>1166</v>
      </c>
      <c r="D412" s="276">
        <v>15762.0</v>
      </c>
      <c r="E412" s="275" t="s">
        <v>1017</v>
      </c>
      <c r="F412" s="279"/>
      <c r="G412" s="278" t="str">
        <f>IFNA(IF(VLOOKUP(RC_OUT[BLOCK],RC_IN[[BLOCK]:[BLOCK LOC]],2,FALSE)=0,"",VLOOKUP(RC_OUT[BLOCK],RC_IN[[BLOCK]:[BLOCK LOC]],2,FALSE)),"")</f>
        <v/>
      </c>
      <c r="I412" s="263" t="str">
        <f>IFERROR(AVERAGEIFS(RC_IN[MC],RC_IN[BLOCK],RC_OUT[BLOCK]),"")</f>
        <v/>
      </c>
      <c r="J412" s="264">
        <f t="shared" si="1"/>
        <v>0</v>
      </c>
      <c r="K412" s="246"/>
      <c r="L412" s="246"/>
      <c r="M412" s="249" t="str">
        <f t="shared" si="2"/>
        <v/>
      </c>
      <c r="N412" s="266">
        <f t="shared" si="3"/>
        <v>0</v>
      </c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</row>
    <row r="413">
      <c r="A413" s="273">
        <v>45700.0</v>
      </c>
      <c r="B413" s="275" t="s">
        <v>1162</v>
      </c>
      <c r="C413" s="275" t="s">
        <v>1161</v>
      </c>
      <c r="D413" s="276">
        <v>12791.0</v>
      </c>
      <c r="E413" s="275" t="s">
        <v>1017</v>
      </c>
      <c r="F413" s="279"/>
      <c r="G413" s="278" t="str">
        <f>IFNA(IF(VLOOKUP(RC_OUT[BLOCK],RC_IN[[BLOCK]:[BLOCK LOC]],2,FALSE)=0,"",VLOOKUP(RC_OUT[BLOCK],RC_IN[[BLOCK]:[BLOCK LOC]],2,FALSE)),"")</f>
        <v/>
      </c>
      <c r="I413" s="263" t="str">
        <f>IFERROR(AVERAGEIFS(RC_IN[MC],RC_IN[BLOCK],RC_OUT[BLOCK]),"")</f>
        <v/>
      </c>
      <c r="J413" s="264">
        <f t="shared" si="1"/>
        <v>0</v>
      </c>
      <c r="K413" s="246"/>
      <c r="L413" s="246"/>
      <c r="M413" s="249" t="str">
        <f t="shared" si="2"/>
        <v/>
      </c>
      <c r="N413" s="266">
        <f t="shared" si="3"/>
        <v>0</v>
      </c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</row>
    <row r="414">
      <c r="A414" s="273">
        <v>45701.0</v>
      </c>
      <c r="B414" s="275" t="s">
        <v>1162</v>
      </c>
      <c r="C414" s="275" t="s">
        <v>1168</v>
      </c>
      <c r="D414" s="276">
        <v>7012.0</v>
      </c>
      <c r="E414" s="275" t="s">
        <v>1017</v>
      </c>
      <c r="F414" s="279"/>
      <c r="G414" s="278" t="str">
        <f>IFNA(IF(VLOOKUP(RC_OUT[BLOCK],RC_IN[[BLOCK]:[BLOCK LOC]],2,FALSE)=0,"",VLOOKUP(RC_OUT[BLOCK],RC_IN[[BLOCK]:[BLOCK LOC]],2,FALSE)),"")</f>
        <v/>
      </c>
      <c r="I414" s="263" t="str">
        <f>IFERROR(AVERAGEIFS(RC_IN[MC],RC_IN[BLOCK],RC_OUT[BLOCK]),"")</f>
        <v/>
      </c>
      <c r="J414" s="264">
        <f t="shared" si="1"/>
        <v>0</v>
      </c>
      <c r="K414" s="246"/>
      <c r="L414" s="246"/>
      <c r="M414" s="249" t="str">
        <f t="shared" si="2"/>
        <v/>
      </c>
      <c r="N414" s="266">
        <f t="shared" si="3"/>
        <v>0</v>
      </c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</row>
    <row r="415">
      <c r="A415" s="273">
        <v>45701.0</v>
      </c>
      <c r="B415" s="275" t="s">
        <v>1162</v>
      </c>
      <c r="C415" s="275" t="s">
        <v>1167</v>
      </c>
      <c r="D415" s="276">
        <v>4242.0</v>
      </c>
      <c r="E415" s="275" t="s">
        <v>1017</v>
      </c>
      <c r="F415" s="279"/>
      <c r="G415" s="278" t="str">
        <f>IFNA(IF(VLOOKUP(RC_OUT[BLOCK],RC_IN[[BLOCK]:[BLOCK LOC]],2,FALSE)=0,"",VLOOKUP(RC_OUT[BLOCK],RC_IN[[BLOCK]:[BLOCK LOC]],2,FALSE)),"")</f>
        <v/>
      </c>
      <c r="I415" s="263" t="str">
        <f>IFERROR(AVERAGEIFS(RC_IN[MC],RC_IN[BLOCK],RC_OUT[BLOCK]),"")</f>
        <v/>
      </c>
      <c r="J415" s="264">
        <f t="shared" si="1"/>
        <v>0</v>
      </c>
      <c r="K415" s="246"/>
      <c r="L415" s="246"/>
      <c r="M415" s="249" t="str">
        <f t="shared" si="2"/>
        <v/>
      </c>
      <c r="N415" s="266">
        <f t="shared" si="3"/>
        <v>0</v>
      </c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</row>
    <row r="416">
      <c r="A416" s="273">
        <v>45701.0</v>
      </c>
      <c r="B416" s="275" t="s">
        <v>1162</v>
      </c>
      <c r="C416" s="275" t="s">
        <v>1166</v>
      </c>
      <c r="D416" s="276">
        <v>14076.0</v>
      </c>
      <c r="E416" s="275" t="s">
        <v>1017</v>
      </c>
      <c r="F416" s="277" t="s">
        <v>1059</v>
      </c>
      <c r="G416" s="278" t="str">
        <f>IFNA(IF(VLOOKUP(RC_OUT[BLOCK],RC_IN[[BLOCK]:[BLOCK LOC]],2,FALSE)=0,"",VLOOKUP(RC_OUT[BLOCK],RC_IN[[BLOCK]:[BLOCK LOC]],2,FALSE)),"")</f>
        <v/>
      </c>
      <c r="I416" s="263" t="str">
        <f>IFERROR(AVERAGEIFS(RC_IN[MC],RC_IN[BLOCK],RC_OUT[BLOCK]),"")</f>
        <v/>
      </c>
      <c r="J416" s="264">
        <f t="shared" si="1"/>
        <v>0</v>
      </c>
      <c r="K416" s="246"/>
      <c r="L416" s="246"/>
      <c r="M416" s="249" t="str">
        <f t="shared" si="2"/>
        <v/>
      </c>
      <c r="N416" s="266">
        <f t="shared" si="3"/>
        <v>0</v>
      </c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</row>
    <row r="417">
      <c r="A417" s="273">
        <v>45701.0</v>
      </c>
      <c r="B417" s="275" t="s">
        <v>1162</v>
      </c>
      <c r="C417" s="275" t="s">
        <v>1169</v>
      </c>
      <c r="D417" s="276">
        <v>11312.0</v>
      </c>
      <c r="E417" s="275" t="s">
        <v>1017</v>
      </c>
      <c r="F417" s="279"/>
      <c r="G417" s="278" t="str">
        <f>IFNA(IF(VLOOKUP(RC_OUT[BLOCK],RC_IN[[BLOCK]:[BLOCK LOC]],2,FALSE)=0,"",VLOOKUP(RC_OUT[BLOCK],RC_IN[[BLOCK]:[BLOCK LOC]],2,FALSE)),"")</f>
        <v/>
      </c>
      <c r="I417" s="263" t="str">
        <f>IFERROR(AVERAGEIFS(RC_IN[MC],RC_IN[BLOCK],RC_OUT[BLOCK]),"")</f>
        <v/>
      </c>
      <c r="J417" s="264">
        <f t="shared" si="1"/>
        <v>0</v>
      </c>
      <c r="K417" s="246"/>
      <c r="L417" s="246"/>
      <c r="M417" s="249" t="str">
        <f t="shared" si="2"/>
        <v/>
      </c>
      <c r="N417" s="266">
        <f t="shared" si="3"/>
        <v>0</v>
      </c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</row>
    <row r="418">
      <c r="A418" s="273">
        <v>45701.0</v>
      </c>
      <c r="B418" s="275" t="s">
        <v>1162</v>
      </c>
      <c r="C418" s="275" t="s">
        <v>1161</v>
      </c>
      <c r="D418" s="276">
        <v>2478.0</v>
      </c>
      <c r="E418" s="275" t="s">
        <v>1017</v>
      </c>
      <c r="F418" s="277" t="s">
        <v>1059</v>
      </c>
      <c r="G418" s="278" t="str">
        <f>IFNA(IF(VLOOKUP(RC_OUT[BLOCK],RC_IN[[BLOCK]:[BLOCK LOC]],2,FALSE)=0,"",VLOOKUP(RC_OUT[BLOCK],RC_IN[[BLOCK]:[BLOCK LOC]],2,FALSE)),"")</f>
        <v/>
      </c>
      <c r="I418" s="263" t="str">
        <f>IFERROR(AVERAGEIFS(RC_IN[MC],RC_IN[BLOCK],RC_OUT[BLOCK]),"")</f>
        <v/>
      </c>
      <c r="J418" s="264">
        <f t="shared" si="1"/>
        <v>0</v>
      </c>
      <c r="K418" s="246"/>
      <c r="L418" s="246"/>
      <c r="M418" s="249" t="str">
        <f t="shared" si="2"/>
        <v/>
      </c>
      <c r="N418" s="266">
        <f t="shared" si="3"/>
        <v>0</v>
      </c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</row>
    <row r="419">
      <c r="A419" s="273">
        <v>45702.0</v>
      </c>
      <c r="B419" s="275" t="s">
        <v>1162</v>
      </c>
      <c r="C419" s="275" t="s">
        <v>1168</v>
      </c>
      <c r="D419" s="276">
        <v>5950.0</v>
      </c>
      <c r="E419" s="275" t="s">
        <v>1017</v>
      </c>
      <c r="F419" s="279"/>
      <c r="G419" s="278" t="str">
        <f>IFNA(IF(VLOOKUP(RC_OUT[BLOCK],RC_IN[[BLOCK]:[BLOCK LOC]],2,FALSE)=0,"",VLOOKUP(RC_OUT[BLOCK],RC_IN[[BLOCK]:[BLOCK LOC]],2,FALSE)),"")</f>
        <v/>
      </c>
      <c r="I419" s="263" t="str">
        <f>IFERROR(AVERAGEIFS(RC_IN[MC],RC_IN[BLOCK],RC_OUT[BLOCK]),"")</f>
        <v/>
      </c>
      <c r="J419" s="264">
        <f t="shared" si="1"/>
        <v>0</v>
      </c>
      <c r="K419" s="246"/>
      <c r="L419" s="246"/>
      <c r="M419" s="249" t="str">
        <f t="shared" si="2"/>
        <v/>
      </c>
      <c r="N419" s="266">
        <f t="shared" si="3"/>
        <v>0</v>
      </c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</row>
    <row r="420">
      <c r="A420" s="273">
        <v>45702.0</v>
      </c>
      <c r="B420" s="275" t="s">
        <v>1162</v>
      </c>
      <c r="C420" s="275" t="s">
        <v>1167</v>
      </c>
      <c r="D420" s="276">
        <v>4232.0</v>
      </c>
      <c r="E420" s="275" t="s">
        <v>1017</v>
      </c>
      <c r="F420" s="277" t="s">
        <v>1059</v>
      </c>
      <c r="G420" s="278" t="str">
        <f>IFNA(IF(VLOOKUP(RC_OUT[BLOCK],RC_IN[[BLOCK]:[BLOCK LOC]],2,FALSE)=0,"",VLOOKUP(RC_OUT[BLOCK],RC_IN[[BLOCK]:[BLOCK LOC]],2,FALSE)),"")</f>
        <v/>
      </c>
      <c r="I420" s="263" t="str">
        <f>IFERROR(AVERAGEIFS(RC_IN[MC],RC_IN[BLOCK],RC_OUT[BLOCK]),"")</f>
        <v/>
      </c>
      <c r="J420" s="264">
        <f t="shared" si="1"/>
        <v>0</v>
      </c>
      <c r="K420" s="246"/>
      <c r="L420" s="246"/>
      <c r="M420" s="249" t="str">
        <f t="shared" si="2"/>
        <v/>
      </c>
      <c r="N420" s="266">
        <f t="shared" si="3"/>
        <v>0</v>
      </c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</row>
    <row r="421">
      <c r="A421" s="273">
        <v>45702.0</v>
      </c>
      <c r="B421" s="275" t="s">
        <v>1162</v>
      </c>
      <c r="C421" s="275" t="s">
        <v>1170</v>
      </c>
      <c r="D421" s="276">
        <v>13620.0</v>
      </c>
      <c r="E421" s="275" t="s">
        <v>1017</v>
      </c>
      <c r="F421" s="279"/>
      <c r="G421" s="278" t="str">
        <f>IFNA(IF(VLOOKUP(RC_OUT[BLOCK],RC_IN[[BLOCK]:[BLOCK LOC]],2,FALSE)=0,"",VLOOKUP(RC_OUT[BLOCK],RC_IN[[BLOCK]:[BLOCK LOC]],2,FALSE)),"")</f>
        <v/>
      </c>
      <c r="I421" s="263" t="str">
        <f>IFERROR(AVERAGEIFS(RC_IN[MC],RC_IN[BLOCK],RC_OUT[BLOCK]),"")</f>
        <v/>
      </c>
      <c r="J421" s="264">
        <f t="shared" si="1"/>
        <v>0</v>
      </c>
      <c r="K421" s="246"/>
      <c r="L421" s="246"/>
      <c r="M421" s="249" t="str">
        <f t="shared" si="2"/>
        <v/>
      </c>
      <c r="N421" s="266">
        <f t="shared" si="3"/>
        <v>0</v>
      </c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</row>
    <row r="422">
      <c r="A422" s="273">
        <v>45702.0</v>
      </c>
      <c r="B422" s="275" t="s">
        <v>1162</v>
      </c>
      <c r="C422" s="275" t="s">
        <v>1169</v>
      </c>
      <c r="D422" s="276">
        <v>10199.0</v>
      </c>
      <c r="E422" s="275" t="s">
        <v>1017</v>
      </c>
      <c r="F422" s="279"/>
      <c r="G422" s="278" t="str">
        <f>IFNA(IF(VLOOKUP(RC_OUT[BLOCK],RC_IN[[BLOCK]:[BLOCK LOC]],2,FALSE)=0,"",VLOOKUP(RC_OUT[BLOCK],RC_IN[[BLOCK]:[BLOCK LOC]],2,FALSE)),"")</f>
        <v/>
      </c>
      <c r="I422" s="263" t="str">
        <f>IFERROR(AVERAGEIFS(RC_IN[MC],RC_IN[BLOCK],RC_OUT[BLOCK]),"")</f>
        <v/>
      </c>
      <c r="J422" s="264">
        <f t="shared" si="1"/>
        <v>0</v>
      </c>
      <c r="K422" s="246"/>
      <c r="L422" s="246"/>
      <c r="M422" s="249" t="str">
        <f t="shared" si="2"/>
        <v/>
      </c>
      <c r="N422" s="266">
        <f t="shared" si="3"/>
        <v>0</v>
      </c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</row>
    <row r="423">
      <c r="A423" s="273">
        <v>45703.0</v>
      </c>
      <c r="B423" s="275" t="s">
        <v>1162</v>
      </c>
      <c r="C423" s="275" t="s">
        <v>1168</v>
      </c>
      <c r="D423" s="276">
        <v>2311.0</v>
      </c>
      <c r="E423" s="275" t="s">
        <v>1017</v>
      </c>
      <c r="F423" s="279"/>
      <c r="G423" s="278" t="str">
        <f>IFNA(IF(VLOOKUP(RC_OUT[BLOCK],RC_IN[[BLOCK]:[BLOCK LOC]],2,FALSE)=0,"",VLOOKUP(RC_OUT[BLOCK],RC_IN[[BLOCK]:[BLOCK LOC]],2,FALSE)),"")</f>
        <v/>
      </c>
      <c r="I423" s="263" t="str">
        <f>IFERROR(AVERAGEIFS(RC_IN[MC],RC_IN[BLOCK],RC_OUT[BLOCK]),"")</f>
        <v/>
      </c>
      <c r="J423" s="264">
        <f t="shared" si="1"/>
        <v>0</v>
      </c>
      <c r="K423" s="246"/>
      <c r="L423" s="246"/>
      <c r="M423" s="249" t="str">
        <f t="shared" si="2"/>
        <v/>
      </c>
      <c r="N423" s="266">
        <f t="shared" si="3"/>
        <v>0</v>
      </c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</row>
    <row r="424">
      <c r="A424" s="273">
        <v>45703.0</v>
      </c>
      <c r="B424" s="275" t="s">
        <v>1162</v>
      </c>
      <c r="C424" s="275" t="s">
        <v>1171</v>
      </c>
      <c r="D424" s="276">
        <v>3720.0</v>
      </c>
      <c r="E424" s="275" t="s">
        <v>1017</v>
      </c>
      <c r="F424" s="279"/>
      <c r="G424" s="278" t="str">
        <f>IFNA(IF(VLOOKUP(RC_OUT[BLOCK],RC_IN[[BLOCK]:[BLOCK LOC]],2,FALSE)=0,"",VLOOKUP(RC_OUT[BLOCK],RC_IN[[BLOCK]:[BLOCK LOC]],2,FALSE)),"")</f>
        <v/>
      </c>
      <c r="I424" s="263" t="str">
        <f>IFERROR(AVERAGEIFS(RC_IN[MC],RC_IN[BLOCK],RC_OUT[BLOCK]),"")</f>
        <v/>
      </c>
      <c r="J424" s="264">
        <f t="shared" si="1"/>
        <v>0</v>
      </c>
      <c r="K424" s="246"/>
      <c r="L424" s="246"/>
      <c r="M424" s="249" t="str">
        <f t="shared" si="2"/>
        <v/>
      </c>
      <c r="N424" s="266">
        <f t="shared" si="3"/>
        <v>0</v>
      </c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</row>
    <row r="425">
      <c r="A425" s="273">
        <v>45703.0</v>
      </c>
      <c r="B425" s="275" t="s">
        <v>1162</v>
      </c>
      <c r="C425" s="275" t="s">
        <v>1170</v>
      </c>
      <c r="D425" s="276">
        <v>2456.0</v>
      </c>
      <c r="E425" s="275" t="s">
        <v>1017</v>
      </c>
      <c r="F425" s="279"/>
      <c r="G425" s="278" t="str">
        <f>IFNA(IF(VLOOKUP(RC_OUT[BLOCK],RC_IN[[BLOCK]:[BLOCK LOC]],2,FALSE)=0,"",VLOOKUP(RC_OUT[BLOCK],RC_IN[[BLOCK]:[BLOCK LOC]],2,FALSE)),"")</f>
        <v/>
      </c>
      <c r="I425" s="263" t="str">
        <f>IFERROR(AVERAGEIFS(RC_IN[MC],RC_IN[BLOCK],RC_OUT[BLOCK]),"")</f>
        <v/>
      </c>
      <c r="J425" s="264">
        <f t="shared" si="1"/>
        <v>0</v>
      </c>
      <c r="K425" s="246"/>
      <c r="L425" s="246"/>
      <c r="M425" s="249" t="str">
        <f t="shared" si="2"/>
        <v/>
      </c>
      <c r="N425" s="266">
        <f t="shared" si="3"/>
        <v>0</v>
      </c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</row>
    <row r="426">
      <c r="A426" s="273">
        <v>45703.0</v>
      </c>
      <c r="B426" s="275" t="s">
        <v>1162</v>
      </c>
      <c r="C426" s="275" t="s">
        <v>1169</v>
      </c>
      <c r="D426" s="276">
        <v>27531.0</v>
      </c>
      <c r="E426" s="275" t="s">
        <v>1017</v>
      </c>
      <c r="F426" s="279"/>
      <c r="G426" s="278" t="str">
        <f>IFNA(IF(VLOOKUP(RC_OUT[BLOCK],RC_IN[[BLOCK]:[BLOCK LOC]],2,FALSE)=0,"",VLOOKUP(RC_OUT[BLOCK],RC_IN[[BLOCK]:[BLOCK LOC]],2,FALSE)),"")</f>
        <v/>
      </c>
      <c r="I426" s="263" t="str">
        <f>IFERROR(AVERAGEIFS(RC_IN[MC],RC_IN[BLOCK],RC_OUT[BLOCK]),"")</f>
        <v/>
      </c>
      <c r="J426" s="264">
        <f t="shared" si="1"/>
        <v>0</v>
      </c>
      <c r="K426" s="246"/>
      <c r="L426" s="246"/>
      <c r="M426" s="249" t="str">
        <f t="shared" si="2"/>
        <v/>
      </c>
      <c r="N426" s="266">
        <f t="shared" si="3"/>
        <v>0</v>
      </c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</row>
    <row r="427">
      <c r="A427" s="273">
        <v>45705.0</v>
      </c>
      <c r="B427" s="275" t="s">
        <v>1162</v>
      </c>
      <c r="C427" s="275" t="s">
        <v>1168</v>
      </c>
      <c r="D427" s="276">
        <v>1214.0</v>
      </c>
      <c r="E427" s="275" t="s">
        <v>1017</v>
      </c>
      <c r="F427" s="279"/>
      <c r="G427" s="278" t="str">
        <f>IFNA(IF(VLOOKUP(RC_OUT[BLOCK],RC_IN[[BLOCK]:[BLOCK LOC]],2,FALSE)=0,"",VLOOKUP(RC_OUT[BLOCK],RC_IN[[BLOCK]:[BLOCK LOC]],2,FALSE)),"")</f>
        <v/>
      </c>
      <c r="I427" s="263" t="str">
        <f>IFERROR(AVERAGEIFS(RC_IN[MC],RC_IN[BLOCK],RC_OUT[BLOCK]),"")</f>
        <v/>
      </c>
      <c r="J427" s="264">
        <f t="shared" si="1"/>
        <v>0</v>
      </c>
      <c r="K427" s="246"/>
      <c r="L427" s="246"/>
      <c r="M427" s="249" t="str">
        <f t="shared" si="2"/>
        <v/>
      </c>
      <c r="N427" s="266">
        <f t="shared" si="3"/>
        <v>0</v>
      </c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</row>
    <row r="428">
      <c r="A428" s="273">
        <v>45705.0</v>
      </c>
      <c r="B428" s="275" t="s">
        <v>1162</v>
      </c>
      <c r="C428" s="275" t="s">
        <v>1171</v>
      </c>
      <c r="D428" s="276">
        <v>3700.0</v>
      </c>
      <c r="E428" s="275" t="s">
        <v>1017</v>
      </c>
      <c r="F428" s="279"/>
      <c r="G428" s="278" t="str">
        <f>IFNA(IF(VLOOKUP(RC_OUT[BLOCK],RC_IN[[BLOCK]:[BLOCK LOC]],2,FALSE)=0,"",VLOOKUP(RC_OUT[BLOCK],RC_IN[[BLOCK]:[BLOCK LOC]],2,FALSE)),"")</f>
        <v/>
      </c>
      <c r="I428" s="263" t="str">
        <f>IFERROR(AVERAGEIFS(RC_IN[MC],RC_IN[BLOCK],RC_OUT[BLOCK]),"")</f>
        <v/>
      </c>
      <c r="J428" s="264">
        <f t="shared" si="1"/>
        <v>0</v>
      </c>
      <c r="K428" s="246"/>
      <c r="L428" s="246"/>
      <c r="M428" s="249" t="str">
        <f t="shared" si="2"/>
        <v/>
      </c>
      <c r="N428" s="266">
        <f t="shared" si="3"/>
        <v>0</v>
      </c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</row>
    <row r="429">
      <c r="A429" s="273">
        <v>45705.0</v>
      </c>
      <c r="B429" s="275" t="s">
        <v>1162</v>
      </c>
      <c r="C429" s="275" t="s">
        <v>1170</v>
      </c>
      <c r="D429" s="276">
        <v>2386.0</v>
      </c>
      <c r="E429" s="275" t="s">
        <v>1017</v>
      </c>
      <c r="F429" s="279"/>
      <c r="G429" s="278" t="str">
        <f>IFNA(IF(VLOOKUP(RC_OUT[BLOCK],RC_IN[[BLOCK]:[BLOCK LOC]],2,FALSE)=0,"",VLOOKUP(RC_OUT[BLOCK],RC_IN[[BLOCK]:[BLOCK LOC]],2,FALSE)),"")</f>
        <v/>
      </c>
      <c r="I429" s="263" t="str">
        <f>IFERROR(AVERAGEIFS(RC_IN[MC],RC_IN[BLOCK],RC_OUT[BLOCK]),"")</f>
        <v/>
      </c>
      <c r="J429" s="264">
        <f t="shared" si="1"/>
        <v>0</v>
      </c>
      <c r="K429" s="246"/>
      <c r="L429" s="246"/>
      <c r="M429" s="249" t="str">
        <f t="shared" si="2"/>
        <v/>
      </c>
      <c r="N429" s="266">
        <f t="shared" si="3"/>
        <v>0</v>
      </c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</row>
    <row r="430">
      <c r="A430" s="273">
        <v>45705.0</v>
      </c>
      <c r="B430" s="275" t="s">
        <v>1162</v>
      </c>
      <c r="C430" s="275" t="s">
        <v>1172</v>
      </c>
      <c r="D430" s="276">
        <v>15112.0</v>
      </c>
      <c r="E430" s="275" t="s">
        <v>1017</v>
      </c>
      <c r="F430" s="279"/>
      <c r="G430" s="278" t="str">
        <f>IFNA(IF(VLOOKUP(RC_OUT[BLOCK],RC_IN[[BLOCK]:[BLOCK LOC]],2,FALSE)=0,"",VLOOKUP(RC_OUT[BLOCK],RC_IN[[BLOCK]:[BLOCK LOC]],2,FALSE)),"")</f>
        <v/>
      </c>
      <c r="I430" s="263" t="str">
        <f>IFERROR(AVERAGEIFS(RC_IN[MC],RC_IN[BLOCK],RC_OUT[BLOCK]),"")</f>
        <v/>
      </c>
      <c r="J430" s="264">
        <f t="shared" si="1"/>
        <v>0</v>
      </c>
      <c r="K430" s="246"/>
      <c r="L430" s="246"/>
      <c r="M430" s="249" t="str">
        <f t="shared" si="2"/>
        <v/>
      </c>
      <c r="N430" s="266">
        <f t="shared" si="3"/>
        <v>0</v>
      </c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</row>
    <row r="431">
      <c r="A431" s="273">
        <v>45705.0</v>
      </c>
      <c r="B431" s="275" t="s">
        <v>1162</v>
      </c>
      <c r="C431" s="275" t="s">
        <v>1169</v>
      </c>
      <c r="D431" s="276">
        <v>6292.0</v>
      </c>
      <c r="E431" s="275" t="s">
        <v>1017</v>
      </c>
      <c r="F431" s="277" t="s">
        <v>1059</v>
      </c>
      <c r="G431" s="278" t="str">
        <f>IFNA(IF(VLOOKUP(RC_OUT[BLOCK],RC_IN[[BLOCK]:[BLOCK LOC]],2,FALSE)=0,"",VLOOKUP(RC_OUT[BLOCK],RC_IN[[BLOCK]:[BLOCK LOC]],2,FALSE)),"")</f>
        <v/>
      </c>
      <c r="I431" s="263" t="str">
        <f>IFERROR(AVERAGEIFS(RC_IN[MC],RC_IN[BLOCK],RC_OUT[BLOCK]),"")</f>
        <v/>
      </c>
      <c r="J431" s="264">
        <f t="shared" si="1"/>
        <v>0</v>
      </c>
      <c r="K431" s="246"/>
      <c r="L431" s="246"/>
      <c r="M431" s="249" t="str">
        <f t="shared" si="2"/>
        <v/>
      </c>
      <c r="N431" s="266">
        <f t="shared" si="3"/>
        <v>0</v>
      </c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</row>
    <row r="432">
      <c r="A432" s="273">
        <v>45706.0</v>
      </c>
      <c r="B432" s="275" t="s">
        <v>1162</v>
      </c>
      <c r="C432" s="275" t="s">
        <v>1168</v>
      </c>
      <c r="D432" s="276">
        <v>2254.0</v>
      </c>
      <c r="E432" s="275" t="s">
        <v>1017</v>
      </c>
      <c r="F432" s="279"/>
      <c r="G432" s="278" t="str">
        <f>IFNA(IF(VLOOKUP(RC_OUT[BLOCK],RC_IN[[BLOCK]:[BLOCK LOC]],2,FALSE)=0,"",VLOOKUP(RC_OUT[BLOCK],RC_IN[[BLOCK]:[BLOCK LOC]],2,FALSE)),"")</f>
        <v/>
      </c>
      <c r="I432" s="263" t="str">
        <f>IFERROR(AVERAGEIFS(RC_IN[MC],RC_IN[BLOCK],RC_OUT[BLOCK]),"")</f>
        <v/>
      </c>
      <c r="J432" s="264">
        <f t="shared" si="1"/>
        <v>0</v>
      </c>
      <c r="K432" s="246"/>
      <c r="L432" s="246"/>
      <c r="M432" s="249" t="str">
        <f t="shared" si="2"/>
        <v/>
      </c>
      <c r="N432" s="266">
        <f t="shared" si="3"/>
        <v>0</v>
      </c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</row>
    <row r="433">
      <c r="A433" s="273">
        <v>45706.0</v>
      </c>
      <c r="B433" s="275" t="s">
        <v>1162</v>
      </c>
      <c r="C433" s="275" t="s">
        <v>1171</v>
      </c>
      <c r="D433" s="276">
        <v>3439.0</v>
      </c>
      <c r="E433" s="275" t="s">
        <v>1017</v>
      </c>
      <c r="F433" s="279"/>
      <c r="G433" s="278" t="str">
        <f>IFNA(IF(VLOOKUP(RC_OUT[BLOCK],RC_IN[[BLOCK]:[BLOCK LOC]],2,FALSE)=0,"",VLOOKUP(RC_OUT[BLOCK],RC_IN[[BLOCK]:[BLOCK LOC]],2,FALSE)),"")</f>
        <v/>
      </c>
      <c r="I433" s="263" t="str">
        <f>IFERROR(AVERAGEIFS(RC_IN[MC],RC_IN[BLOCK],RC_OUT[BLOCK]),"")</f>
        <v/>
      </c>
      <c r="J433" s="264">
        <f t="shared" si="1"/>
        <v>0</v>
      </c>
      <c r="K433" s="246"/>
      <c r="L433" s="246"/>
      <c r="M433" s="249" t="str">
        <f t="shared" si="2"/>
        <v/>
      </c>
      <c r="N433" s="266">
        <f t="shared" si="3"/>
        <v>0</v>
      </c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</row>
    <row r="434">
      <c r="A434" s="273">
        <v>45706.0</v>
      </c>
      <c r="B434" s="275" t="s">
        <v>1162</v>
      </c>
      <c r="C434" s="275" t="s">
        <v>1173</v>
      </c>
      <c r="D434" s="276">
        <v>17939.0</v>
      </c>
      <c r="E434" s="275" t="s">
        <v>1017</v>
      </c>
      <c r="F434" s="279"/>
      <c r="G434" s="278" t="str">
        <f>IFNA(IF(VLOOKUP(RC_OUT[BLOCK],RC_IN[[BLOCK]:[BLOCK LOC]],2,FALSE)=0,"",VLOOKUP(RC_OUT[BLOCK],RC_IN[[BLOCK]:[BLOCK LOC]],2,FALSE)),"")</f>
        <v/>
      </c>
      <c r="I434" s="263" t="str">
        <f>IFERROR(AVERAGEIFS(RC_IN[MC],RC_IN[BLOCK],RC_OUT[BLOCK]),"")</f>
        <v/>
      </c>
      <c r="J434" s="264">
        <f t="shared" si="1"/>
        <v>0</v>
      </c>
      <c r="K434" s="246"/>
      <c r="L434" s="246"/>
      <c r="M434" s="249" t="str">
        <f t="shared" si="2"/>
        <v/>
      </c>
      <c r="N434" s="266">
        <f t="shared" si="3"/>
        <v>0</v>
      </c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</row>
    <row r="435">
      <c r="A435" s="273">
        <v>45706.0</v>
      </c>
      <c r="B435" s="275" t="s">
        <v>1162</v>
      </c>
      <c r="C435" s="275" t="s">
        <v>1170</v>
      </c>
      <c r="D435" s="276">
        <v>2468.0</v>
      </c>
      <c r="E435" s="275" t="s">
        <v>1017</v>
      </c>
      <c r="F435" s="279"/>
      <c r="G435" s="278" t="str">
        <f>IFNA(IF(VLOOKUP(RC_OUT[BLOCK],RC_IN[[BLOCK]:[BLOCK LOC]],2,FALSE)=0,"",VLOOKUP(RC_OUT[BLOCK],RC_IN[[BLOCK]:[BLOCK LOC]],2,FALSE)),"")</f>
        <v/>
      </c>
      <c r="I435" s="263" t="str">
        <f>IFERROR(AVERAGEIFS(RC_IN[MC],RC_IN[BLOCK],RC_OUT[BLOCK]),"")</f>
        <v/>
      </c>
      <c r="J435" s="264">
        <f t="shared" si="1"/>
        <v>0</v>
      </c>
      <c r="K435" s="246"/>
      <c r="L435" s="246"/>
      <c r="M435" s="249" t="str">
        <f t="shared" si="2"/>
        <v/>
      </c>
      <c r="N435" s="266">
        <f t="shared" si="3"/>
        <v>0</v>
      </c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</row>
    <row r="436">
      <c r="A436" s="273">
        <v>45706.0</v>
      </c>
      <c r="B436" s="275" t="s">
        <v>1162</v>
      </c>
      <c r="C436" s="275" t="s">
        <v>1172</v>
      </c>
      <c r="D436" s="276">
        <v>1374.0</v>
      </c>
      <c r="E436" s="275" t="s">
        <v>1017</v>
      </c>
      <c r="F436" s="277" t="s">
        <v>1059</v>
      </c>
      <c r="G436" s="278" t="str">
        <f>IFNA(IF(VLOOKUP(RC_OUT[BLOCK],RC_IN[[BLOCK]:[BLOCK LOC]],2,FALSE)=0,"",VLOOKUP(RC_OUT[BLOCK],RC_IN[[BLOCK]:[BLOCK LOC]],2,FALSE)),"")</f>
        <v/>
      </c>
      <c r="I436" s="263" t="str">
        <f>IFERROR(AVERAGEIFS(RC_IN[MC],RC_IN[BLOCK],RC_OUT[BLOCK]),"")</f>
        <v/>
      </c>
      <c r="J436" s="264">
        <f t="shared" si="1"/>
        <v>0</v>
      </c>
      <c r="K436" s="246"/>
      <c r="L436" s="246"/>
      <c r="M436" s="249" t="str">
        <f t="shared" si="2"/>
        <v/>
      </c>
      <c r="N436" s="266">
        <f t="shared" si="3"/>
        <v>0</v>
      </c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</row>
    <row r="437">
      <c r="A437" s="273">
        <v>45707.0</v>
      </c>
      <c r="B437" s="275" t="s">
        <v>1162</v>
      </c>
      <c r="C437" s="275" t="s">
        <v>1171</v>
      </c>
      <c r="D437" s="276">
        <v>1250.0</v>
      </c>
      <c r="E437" s="275" t="s">
        <v>1017</v>
      </c>
      <c r="F437" s="279"/>
      <c r="G437" s="278" t="str">
        <f>IFNA(IF(VLOOKUP(RC_OUT[BLOCK],RC_IN[[BLOCK]:[BLOCK LOC]],2,FALSE)=0,"",VLOOKUP(RC_OUT[BLOCK],RC_IN[[BLOCK]:[BLOCK LOC]],2,FALSE)),"")</f>
        <v/>
      </c>
      <c r="I437" s="263" t="str">
        <f>IFERROR(AVERAGEIFS(RC_IN[MC],RC_IN[BLOCK],RC_OUT[BLOCK]),"")</f>
        <v/>
      </c>
      <c r="J437" s="264">
        <f t="shared" si="1"/>
        <v>0</v>
      </c>
      <c r="K437" s="246"/>
      <c r="L437" s="246"/>
      <c r="M437" s="249" t="str">
        <f t="shared" si="2"/>
        <v/>
      </c>
      <c r="N437" s="266">
        <f t="shared" si="3"/>
        <v>0</v>
      </c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</row>
    <row r="438">
      <c r="A438" s="273">
        <v>45707.0</v>
      </c>
      <c r="B438" s="275" t="s">
        <v>1162</v>
      </c>
      <c r="C438" s="275" t="s">
        <v>1173</v>
      </c>
      <c r="D438" s="276">
        <v>28857.0</v>
      </c>
      <c r="E438" s="275" t="s">
        <v>1017</v>
      </c>
      <c r="F438" s="277" t="s">
        <v>1059</v>
      </c>
      <c r="G438" s="278" t="str">
        <f>IFNA(IF(VLOOKUP(RC_OUT[BLOCK],RC_IN[[BLOCK]:[BLOCK LOC]],2,FALSE)=0,"",VLOOKUP(RC_OUT[BLOCK],RC_IN[[BLOCK]:[BLOCK LOC]],2,FALSE)),"")</f>
        <v/>
      </c>
      <c r="I438" s="263" t="str">
        <f>IFERROR(AVERAGEIFS(RC_IN[MC],RC_IN[BLOCK],RC_OUT[BLOCK]),"")</f>
        <v/>
      </c>
      <c r="J438" s="264">
        <f t="shared" si="1"/>
        <v>0</v>
      </c>
      <c r="K438" s="246"/>
      <c r="L438" s="246"/>
      <c r="M438" s="249" t="str">
        <f t="shared" si="2"/>
        <v/>
      </c>
      <c r="N438" s="266">
        <f t="shared" si="3"/>
        <v>0</v>
      </c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</row>
    <row r="439">
      <c r="A439" s="273">
        <v>45708.0</v>
      </c>
      <c r="B439" s="275" t="s">
        <v>1162</v>
      </c>
      <c r="C439" s="275" t="s">
        <v>1171</v>
      </c>
      <c r="D439" s="276">
        <v>1250.0</v>
      </c>
      <c r="E439" s="275" t="s">
        <v>1017</v>
      </c>
      <c r="F439" s="279"/>
      <c r="G439" s="278" t="str">
        <f>IFNA(IF(VLOOKUP(RC_OUT[BLOCK],RC_IN[[BLOCK]:[BLOCK LOC]],2,FALSE)=0,"",VLOOKUP(RC_OUT[BLOCK],RC_IN[[BLOCK]:[BLOCK LOC]],2,FALSE)),"")</f>
        <v/>
      </c>
      <c r="I439" s="263" t="str">
        <f>IFERROR(AVERAGEIFS(RC_IN[MC],RC_IN[BLOCK],RC_OUT[BLOCK]),"")</f>
        <v/>
      </c>
      <c r="J439" s="264">
        <f t="shared" si="1"/>
        <v>0</v>
      </c>
      <c r="K439" s="246"/>
      <c r="L439" s="246"/>
      <c r="M439" s="249" t="str">
        <f t="shared" si="2"/>
        <v/>
      </c>
      <c r="N439" s="266">
        <f t="shared" si="3"/>
        <v>0</v>
      </c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</row>
    <row r="440">
      <c r="A440" s="273">
        <v>45708.0</v>
      </c>
      <c r="B440" s="275" t="s">
        <v>1162</v>
      </c>
      <c r="C440" s="275" t="s">
        <v>1174</v>
      </c>
      <c r="D440" s="276">
        <v>28834.0</v>
      </c>
      <c r="E440" s="275" t="s">
        <v>1017</v>
      </c>
      <c r="F440" s="279"/>
      <c r="G440" s="278" t="str">
        <f>IFNA(IF(VLOOKUP(RC_OUT[BLOCK],RC_IN[[BLOCK]:[BLOCK LOC]],2,FALSE)=0,"",VLOOKUP(RC_OUT[BLOCK],RC_IN[[BLOCK]:[BLOCK LOC]],2,FALSE)),"")</f>
        <v/>
      </c>
      <c r="I440" s="263" t="str">
        <f>IFERROR(AVERAGEIFS(RC_IN[MC],RC_IN[BLOCK],RC_OUT[BLOCK]),"")</f>
        <v/>
      </c>
      <c r="J440" s="264">
        <f t="shared" si="1"/>
        <v>0</v>
      </c>
      <c r="K440" s="246"/>
      <c r="L440" s="246"/>
      <c r="M440" s="249" t="str">
        <f t="shared" si="2"/>
        <v/>
      </c>
      <c r="N440" s="266">
        <f t="shared" si="3"/>
        <v>0</v>
      </c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</row>
    <row r="441">
      <c r="A441" s="273">
        <v>45709.0</v>
      </c>
      <c r="B441" s="275" t="s">
        <v>1162</v>
      </c>
      <c r="C441" s="275" t="s">
        <v>1168</v>
      </c>
      <c r="D441" s="276">
        <v>2851.0</v>
      </c>
      <c r="E441" s="275" t="s">
        <v>1017</v>
      </c>
      <c r="F441" s="279"/>
      <c r="G441" s="278" t="str">
        <f>IFNA(IF(VLOOKUP(RC_OUT[BLOCK],RC_IN[[BLOCK]:[BLOCK LOC]],2,FALSE)=0,"",VLOOKUP(RC_OUT[BLOCK],RC_IN[[BLOCK]:[BLOCK LOC]],2,FALSE)),"")</f>
        <v/>
      </c>
      <c r="I441" s="263" t="str">
        <f>IFERROR(AVERAGEIFS(RC_IN[MC],RC_IN[BLOCK],RC_OUT[BLOCK]),"")</f>
        <v/>
      </c>
      <c r="J441" s="264">
        <f t="shared" si="1"/>
        <v>0</v>
      </c>
      <c r="K441" s="246"/>
      <c r="L441" s="246"/>
      <c r="M441" s="249" t="str">
        <f t="shared" si="2"/>
        <v/>
      </c>
      <c r="N441" s="266">
        <f t="shared" si="3"/>
        <v>0</v>
      </c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</row>
    <row r="442">
      <c r="A442" s="273">
        <v>45709.0</v>
      </c>
      <c r="B442" s="275" t="s">
        <v>1162</v>
      </c>
      <c r="C442" s="275" t="s">
        <v>1171</v>
      </c>
      <c r="D442" s="276">
        <v>1500.0</v>
      </c>
      <c r="E442" s="275" t="s">
        <v>1017</v>
      </c>
      <c r="F442" s="277" t="s">
        <v>1059</v>
      </c>
      <c r="G442" s="278" t="str">
        <f>IFNA(IF(VLOOKUP(RC_OUT[BLOCK],RC_IN[[BLOCK]:[BLOCK LOC]],2,FALSE)=0,"",VLOOKUP(RC_OUT[BLOCK],RC_IN[[BLOCK]:[BLOCK LOC]],2,FALSE)),"")</f>
        <v/>
      </c>
      <c r="I442" s="263" t="str">
        <f>IFERROR(AVERAGEIFS(RC_IN[MC],RC_IN[BLOCK],RC_OUT[BLOCK]),"")</f>
        <v/>
      </c>
      <c r="J442" s="264">
        <f t="shared" si="1"/>
        <v>0</v>
      </c>
      <c r="K442" s="246"/>
      <c r="L442" s="246"/>
      <c r="M442" s="249" t="str">
        <f t="shared" si="2"/>
        <v/>
      </c>
      <c r="N442" s="266">
        <f t="shared" si="3"/>
        <v>0</v>
      </c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</row>
    <row r="443">
      <c r="A443" s="273">
        <v>45709.0</v>
      </c>
      <c r="B443" s="275" t="s">
        <v>1162</v>
      </c>
      <c r="C443" s="275" t="s">
        <v>1175</v>
      </c>
      <c r="D443" s="276">
        <v>8565.0</v>
      </c>
      <c r="E443" s="275" t="s">
        <v>1017</v>
      </c>
      <c r="F443" s="279"/>
      <c r="G443" s="278" t="str">
        <f>IFNA(IF(VLOOKUP(RC_OUT[BLOCK],RC_IN[[BLOCK]:[BLOCK LOC]],2,FALSE)=0,"",VLOOKUP(RC_OUT[BLOCK],RC_IN[[BLOCK]:[BLOCK LOC]],2,FALSE)),"")</f>
        <v/>
      </c>
      <c r="I443" s="263" t="str">
        <f>IFERROR(AVERAGEIFS(RC_IN[MC],RC_IN[BLOCK],RC_OUT[BLOCK]),"")</f>
        <v/>
      </c>
      <c r="J443" s="264">
        <f t="shared" si="1"/>
        <v>0</v>
      </c>
      <c r="K443" s="246"/>
      <c r="L443" s="246"/>
      <c r="M443" s="249" t="str">
        <f t="shared" si="2"/>
        <v/>
      </c>
      <c r="N443" s="266">
        <f t="shared" si="3"/>
        <v>0</v>
      </c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</row>
    <row r="444">
      <c r="A444" s="273">
        <v>45709.0</v>
      </c>
      <c r="B444" s="275" t="s">
        <v>1162</v>
      </c>
      <c r="C444" s="275" t="s">
        <v>1174</v>
      </c>
      <c r="D444" s="276">
        <v>14976.0</v>
      </c>
      <c r="E444" s="275" t="s">
        <v>1017</v>
      </c>
      <c r="F444" s="277" t="s">
        <v>1059</v>
      </c>
      <c r="G444" s="278" t="str">
        <f>IFNA(IF(VLOOKUP(RC_OUT[BLOCK],RC_IN[[BLOCK]:[BLOCK LOC]],2,FALSE)=0,"",VLOOKUP(RC_OUT[BLOCK],RC_IN[[BLOCK]:[BLOCK LOC]],2,FALSE)),"")</f>
        <v/>
      </c>
      <c r="I444" s="263" t="str">
        <f>IFERROR(AVERAGEIFS(RC_IN[MC],RC_IN[BLOCK],RC_OUT[BLOCK]),"")</f>
        <v/>
      </c>
      <c r="J444" s="264">
        <f t="shared" si="1"/>
        <v>0</v>
      </c>
      <c r="K444" s="246"/>
      <c r="L444" s="246"/>
      <c r="M444" s="249" t="str">
        <f t="shared" si="2"/>
        <v/>
      </c>
      <c r="N444" s="266">
        <f t="shared" si="3"/>
        <v>0</v>
      </c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</row>
    <row r="445">
      <c r="A445" s="273">
        <v>45709.0</v>
      </c>
      <c r="B445" s="275" t="s">
        <v>1162</v>
      </c>
      <c r="C445" s="275" t="s">
        <v>1170</v>
      </c>
      <c r="D445" s="276">
        <v>4234.0</v>
      </c>
      <c r="E445" s="275" t="s">
        <v>1017</v>
      </c>
      <c r="F445" s="279"/>
      <c r="G445" s="278" t="str">
        <f>IFNA(IF(VLOOKUP(RC_OUT[BLOCK],RC_IN[[BLOCK]:[BLOCK LOC]],2,FALSE)=0,"",VLOOKUP(RC_OUT[BLOCK],RC_IN[[BLOCK]:[BLOCK LOC]],2,FALSE)),"")</f>
        <v/>
      </c>
      <c r="I445" s="263" t="str">
        <f>IFERROR(AVERAGEIFS(RC_IN[MC],RC_IN[BLOCK],RC_OUT[BLOCK]),"")</f>
        <v/>
      </c>
      <c r="J445" s="264">
        <f t="shared" si="1"/>
        <v>0</v>
      </c>
      <c r="K445" s="246"/>
      <c r="L445" s="246"/>
      <c r="M445" s="249" t="str">
        <f t="shared" si="2"/>
        <v/>
      </c>
      <c r="N445" s="266">
        <f t="shared" si="3"/>
        <v>0</v>
      </c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</row>
    <row r="446">
      <c r="A446" s="273">
        <v>45710.0</v>
      </c>
      <c r="B446" s="275" t="s">
        <v>1162</v>
      </c>
      <c r="C446" s="275" t="s">
        <v>1168</v>
      </c>
      <c r="D446" s="276">
        <v>3625.0</v>
      </c>
      <c r="E446" s="275" t="s">
        <v>1017</v>
      </c>
      <c r="F446" s="279"/>
      <c r="G446" s="278" t="str">
        <f>IFNA(IF(VLOOKUP(RC_OUT[BLOCK],RC_IN[[BLOCK]:[BLOCK LOC]],2,FALSE)=0,"",VLOOKUP(RC_OUT[BLOCK],RC_IN[[BLOCK]:[BLOCK LOC]],2,FALSE)),"")</f>
        <v/>
      </c>
      <c r="I446" s="263" t="str">
        <f>IFERROR(AVERAGEIFS(RC_IN[MC],RC_IN[BLOCK],RC_OUT[BLOCK]),"")</f>
        <v/>
      </c>
      <c r="J446" s="264">
        <f t="shared" si="1"/>
        <v>0</v>
      </c>
      <c r="K446" s="246"/>
      <c r="L446" s="246"/>
      <c r="M446" s="249" t="str">
        <f t="shared" si="2"/>
        <v/>
      </c>
      <c r="N446" s="266">
        <f t="shared" si="3"/>
        <v>0</v>
      </c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</row>
    <row r="447">
      <c r="A447" s="273">
        <v>45710.0</v>
      </c>
      <c r="B447" s="275" t="s">
        <v>1162</v>
      </c>
      <c r="C447" s="275" t="s">
        <v>1175</v>
      </c>
      <c r="D447" s="276">
        <v>23526.0</v>
      </c>
      <c r="E447" s="275" t="s">
        <v>1017</v>
      </c>
      <c r="F447" s="279"/>
      <c r="G447" s="278" t="str">
        <f>IFNA(IF(VLOOKUP(RC_OUT[BLOCK],RC_IN[[BLOCK]:[BLOCK LOC]],2,FALSE)=0,"",VLOOKUP(RC_OUT[BLOCK],RC_IN[[BLOCK]:[BLOCK LOC]],2,FALSE)),"")</f>
        <v/>
      </c>
      <c r="I447" s="263" t="str">
        <f>IFERROR(AVERAGEIFS(RC_IN[MC],RC_IN[BLOCK],RC_OUT[BLOCK]),"")</f>
        <v/>
      </c>
      <c r="J447" s="264">
        <f t="shared" si="1"/>
        <v>0</v>
      </c>
      <c r="K447" s="246"/>
      <c r="L447" s="246"/>
      <c r="M447" s="249" t="str">
        <f t="shared" si="2"/>
        <v/>
      </c>
      <c r="N447" s="266">
        <f t="shared" si="3"/>
        <v>0</v>
      </c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</row>
    <row r="448">
      <c r="A448" s="273">
        <v>45710.0</v>
      </c>
      <c r="B448" s="275" t="s">
        <v>1162</v>
      </c>
      <c r="C448" s="275" t="s">
        <v>1170</v>
      </c>
      <c r="D448" s="276">
        <v>6322.0</v>
      </c>
      <c r="E448" s="275" t="s">
        <v>1017</v>
      </c>
      <c r="F448" s="279"/>
      <c r="G448" s="278" t="str">
        <f>IFNA(IF(VLOOKUP(RC_OUT[BLOCK],RC_IN[[BLOCK]:[BLOCK LOC]],2,FALSE)=0,"",VLOOKUP(RC_OUT[BLOCK],RC_IN[[BLOCK]:[BLOCK LOC]],2,FALSE)),"")</f>
        <v/>
      </c>
      <c r="I448" s="263" t="str">
        <f>IFERROR(AVERAGEIFS(RC_IN[MC],RC_IN[BLOCK],RC_OUT[BLOCK]),"")</f>
        <v/>
      </c>
      <c r="J448" s="264">
        <f t="shared" si="1"/>
        <v>0</v>
      </c>
      <c r="K448" s="246"/>
      <c r="L448" s="246"/>
      <c r="M448" s="249" t="str">
        <f t="shared" si="2"/>
        <v/>
      </c>
      <c r="N448" s="266">
        <f t="shared" si="3"/>
        <v>0</v>
      </c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</row>
    <row r="449">
      <c r="A449" s="273">
        <v>45712.0</v>
      </c>
      <c r="B449" s="275" t="s">
        <v>1162</v>
      </c>
      <c r="C449" s="275" t="s">
        <v>1168</v>
      </c>
      <c r="D449" s="276">
        <v>3830.0</v>
      </c>
      <c r="E449" s="275" t="s">
        <v>1017</v>
      </c>
      <c r="F449" s="279"/>
      <c r="G449" s="278" t="str">
        <f>IFNA(IF(VLOOKUP(RC_OUT[BLOCK],RC_IN[[BLOCK]:[BLOCK LOC]],2,FALSE)=0,"",VLOOKUP(RC_OUT[BLOCK],RC_IN[[BLOCK]:[BLOCK LOC]],2,FALSE)),"")</f>
        <v/>
      </c>
      <c r="I449" s="263" t="str">
        <f>IFERROR(AVERAGEIFS(RC_IN[MC],RC_IN[BLOCK],RC_OUT[BLOCK]),"")</f>
        <v/>
      </c>
      <c r="J449" s="264">
        <f t="shared" si="1"/>
        <v>0</v>
      </c>
      <c r="K449" s="246"/>
      <c r="L449" s="246"/>
      <c r="M449" s="249" t="str">
        <f t="shared" si="2"/>
        <v/>
      </c>
      <c r="N449" s="266">
        <f t="shared" si="3"/>
        <v>0</v>
      </c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</row>
    <row r="450">
      <c r="A450" s="273">
        <v>45712.0</v>
      </c>
      <c r="B450" s="275" t="s">
        <v>1162</v>
      </c>
      <c r="C450" s="275" t="s">
        <v>1175</v>
      </c>
      <c r="D450" s="276">
        <v>17684.0</v>
      </c>
      <c r="E450" s="275" t="s">
        <v>1017</v>
      </c>
      <c r="F450" s="279"/>
      <c r="G450" s="278" t="str">
        <f>IFNA(IF(VLOOKUP(RC_OUT[BLOCK],RC_IN[[BLOCK]:[BLOCK LOC]],2,FALSE)=0,"",VLOOKUP(RC_OUT[BLOCK],RC_IN[[BLOCK]:[BLOCK LOC]],2,FALSE)),"")</f>
        <v/>
      </c>
      <c r="I450" s="263" t="str">
        <f>IFERROR(AVERAGEIFS(RC_IN[MC],RC_IN[BLOCK],RC_OUT[BLOCK]),"")</f>
        <v/>
      </c>
      <c r="J450" s="264">
        <f t="shared" si="1"/>
        <v>0</v>
      </c>
      <c r="K450" s="246"/>
      <c r="L450" s="246"/>
      <c r="M450" s="249" t="str">
        <f t="shared" si="2"/>
        <v/>
      </c>
      <c r="N450" s="266">
        <f t="shared" si="3"/>
        <v>0</v>
      </c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</row>
    <row r="451">
      <c r="A451" s="273">
        <v>45712.0</v>
      </c>
      <c r="B451" s="275" t="s">
        <v>1162</v>
      </c>
      <c r="C451" s="275" t="s">
        <v>1170</v>
      </c>
      <c r="D451" s="276">
        <v>5711.0</v>
      </c>
      <c r="E451" s="275" t="s">
        <v>1017</v>
      </c>
      <c r="F451" s="279"/>
      <c r="G451" s="278" t="str">
        <f>IFNA(IF(VLOOKUP(RC_OUT[BLOCK],RC_IN[[BLOCK]:[BLOCK LOC]],2,FALSE)=0,"",VLOOKUP(RC_OUT[BLOCK],RC_IN[[BLOCK]:[BLOCK LOC]],2,FALSE)),"")</f>
        <v/>
      </c>
      <c r="I451" s="263" t="str">
        <f>IFERROR(AVERAGEIFS(RC_IN[MC],RC_IN[BLOCK],RC_OUT[BLOCK]),"")</f>
        <v/>
      </c>
      <c r="J451" s="264">
        <f t="shared" si="1"/>
        <v>0</v>
      </c>
      <c r="K451" s="246"/>
      <c r="L451" s="246"/>
      <c r="M451" s="249" t="str">
        <f t="shared" si="2"/>
        <v/>
      </c>
      <c r="N451" s="266">
        <f t="shared" si="3"/>
        <v>0</v>
      </c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</row>
    <row r="452">
      <c r="A452" s="273">
        <v>45713.0</v>
      </c>
      <c r="B452" s="275" t="s">
        <v>1162</v>
      </c>
      <c r="C452" s="275" t="s">
        <v>1168</v>
      </c>
      <c r="D452" s="276">
        <v>1673.0</v>
      </c>
      <c r="E452" s="275" t="s">
        <v>1017</v>
      </c>
      <c r="F452" s="279"/>
      <c r="G452" s="278" t="str">
        <f>IFNA(IF(VLOOKUP(RC_OUT[BLOCK],RC_IN[[BLOCK]:[BLOCK LOC]],2,FALSE)=0,"",VLOOKUP(RC_OUT[BLOCK],RC_IN[[BLOCK]:[BLOCK LOC]],2,FALSE)),"")</f>
        <v/>
      </c>
      <c r="I452" s="263" t="str">
        <f>IFERROR(AVERAGEIFS(RC_IN[MC],RC_IN[BLOCK],RC_OUT[BLOCK]),"")</f>
        <v/>
      </c>
      <c r="J452" s="264">
        <f t="shared" si="1"/>
        <v>0</v>
      </c>
      <c r="K452" s="246"/>
      <c r="L452" s="246"/>
      <c r="M452" s="249" t="str">
        <f t="shared" si="2"/>
        <v/>
      </c>
      <c r="N452" s="266">
        <f t="shared" si="3"/>
        <v>0</v>
      </c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</row>
    <row r="453">
      <c r="A453" s="273">
        <v>45713.0</v>
      </c>
      <c r="B453" s="275" t="s">
        <v>1162</v>
      </c>
      <c r="C453" s="275" t="s">
        <v>1176</v>
      </c>
      <c r="D453" s="276">
        <v>4313.0</v>
      </c>
      <c r="E453" s="275" t="s">
        <v>1017</v>
      </c>
      <c r="F453" s="279"/>
      <c r="G453" s="278" t="str">
        <f>IFNA(IF(VLOOKUP(RC_OUT[BLOCK],RC_IN[[BLOCK]:[BLOCK LOC]],2,FALSE)=0,"",VLOOKUP(RC_OUT[BLOCK],RC_IN[[BLOCK]:[BLOCK LOC]],2,FALSE)),"")</f>
        <v/>
      </c>
      <c r="I453" s="263" t="str">
        <f>IFERROR(AVERAGEIFS(RC_IN[MC],RC_IN[BLOCK],RC_OUT[BLOCK]),"")</f>
        <v/>
      </c>
      <c r="J453" s="264">
        <f t="shared" si="1"/>
        <v>0</v>
      </c>
      <c r="K453" s="246"/>
      <c r="L453" s="246"/>
      <c r="M453" s="249" t="str">
        <f t="shared" si="2"/>
        <v/>
      </c>
      <c r="N453" s="266">
        <f t="shared" si="3"/>
        <v>0</v>
      </c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</row>
    <row r="454">
      <c r="A454" s="273">
        <v>45713.0</v>
      </c>
      <c r="B454" s="275" t="s">
        <v>1162</v>
      </c>
      <c r="C454" s="275" t="s">
        <v>1177</v>
      </c>
      <c r="D454" s="276">
        <v>14904.0</v>
      </c>
      <c r="E454" s="275" t="s">
        <v>1017</v>
      </c>
      <c r="F454" s="279"/>
      <c r="G454" s="278" t="str">
        <f>IFNA(IF(VLOOKUP(RC_OUT[BLOCK],RC_IN[[BLOCK]:[BLOCK LOC]],2,FALSE)=0,"",VLOOKUP(RC_OUT[BLOCK],RC_IN[[BLOCK]:[BLOCK LOC]],2,FALSE)),"")</f>
        <v/>
      </c>
      <c r="I454" s="263" t="str">
        <f>IFERROR(AVERAGEIFS(RC_IN[MC],RC_IN[BLOCK],RC_OUT[BLOCK]),"")</f>
        <v/>
      </c>
      <c r="J454" s="264">
        <f t="shared" si="1"/>
        <v>0</v>
      </c>
      <c r="K454" s="246"/>
      <c r="L454" s="246"/>
      <c r="M454" s="249" t="str">
        <f t="shared" si="2"/>
        <v/>
      </c>
      <c r="N454" s="266">
        <f t="shared" si="3"/>
        <v>0</v>
      </c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</row>
    <row r="455">
      <c r="A455" s="273">
        <v>45713.0</v>
      </c>
      <c r="B455" s="275" t="s">
        <v>1162</v>
      </c>
      <c r="C455" s="275" t="s">
        <v>1175</v>
      </c>
      <c r="D455" s="276">
        <v>2082.0</v>
      </c>
      <c r="E455" s="275" t="s">
        <v>1017</v>
      </c>
      <c r="F455" s="277" t="s">
        <v>1059</v>
      </c>
      <c r="G455" s="278" t="str">
        <f>IFNA(IF(VLOOKUP(RC_OUT[BLOCK],RC_IN[[BLOCK]:[BLOCK LOC]],2,FALSE)=0,"",VLOOKUP(RC_OUT[BLOCK],RC_IN[[BLOCK]:[BLOCK LOC]],2,FALSE)),"")</f>
        <v/>
      </c>
      <c r="I455" s="263" t="str">
        <f>IFERROR(AVERAGEIFS(RC_IN[MC],RC_IN[BLOCK],RC_OUT[BLOCK]),"")</f>
        <v/>
      </c>
      <c r="J455" s="264">
        <f t="shared" si="1"/>
        <v>0</v>
      </c>
      <c r="K455" s="246"/>
      <c r="L455" s="246"/>
      <c r="M455" s="249" t="str">
        <f t="shared" si="2"/>
        <v/>
      </c>
      <c r="N455" s="266">
        <f t="shared" si="3"/>
        <v>0</v>
      </c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</row>
    <row r="456">
      <c r="A456" s="273">
        <v>45713.0</v>
      </c>
      <c r="B456" s="275" t="s">
        <v>1162</v>
      </c>
      <c r="C456" s="275" t="s">
        <v>1170</v>
      </c>
      <c r="D456" s="276">
        <v>3044.0</v>
      </c>
      <c r="E456" s="275" t="s">
        <v>1017</v>
      </c>
      <c r="F456" s="279"/>
      <c r="G456" s="278" t="str">
        <f>IFNA(IF(VLOOKUP(RC_OUT[BLOCK],RC_IN[[BLOCK]:[BLOCK LOC]],2,FALSE)=0,"",VLOOKUP(RC_OUT[BLOCK],RC_IN[[BLOCK]:[BLOCK LOC]],2,FALSE)),"")</f>
        <v/>
      </c>
      <c r="I456" s="263" t="str">
        <f>IFERROR(AVERAGEIFS(RC_IN[MC],RC_IN[BLOCK],RC_OUT[BLOCK]),"")</f>
        <v/>
      </c>
      <c r="J456" s="264">
        <f t="shared" si="1"/>
        <v>0</v>
      </c>
      <c r="K456" s="246"/>
      <c r="L456" s="246"/>
      <c r="M456" s="249" t="str">
        <f t="shared" si="2"/>
        <v/>
      </c>
      <c r="N456" s="266">
        <f t="shared" si="3"/>
        <v>0</v>
      </c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</row>
    <row r="457">
      <c r="A457" s="273">
        <v>45714.0</v>
      </c>
      <c r="B457" s="275" t="s">
        <v>1162</v>
      </c>
      <c r="C457" s="275" t="s">
        <v>1168</v>
      </c>
      <c r="D457" s="276">
        <v>1840.0</v>
      </c>
      <c r="E457" s="275" t="s">
        <v>1017</v>
      </c>
      <c r="F457" s="279"/>
      <c r="G457" s="278" t="str">
        <f>IFNA(IF(VLOOKUP(RC_OUT[BLOCK],RC_IN[[BLOCK]:[BLOCK LOC]],2,FALSE)=0,"",VLOOKUP(RC_OUT[BLOCK],RC_IN[[BLOCK]:[BLOCK LOC]],2,FALSE)),"")</f>
        <v/>
      </c>
      <c r="I457" s="263" t="str">
        <f>IFERROR(AVERAGEIFS(RC_IN[MC],RC_IN[BLOCK],RC_OUT[BLOCK]),"")</f>
        <v/>
      </c>
      <c r="J457" s="264">
        <f t="shared" si="1"/>
        <v>0</v>
      </c>
      <c r="K457" s="246"/>
      <c r="L457" s="246"/>
      <c r="M457" s="249" t="str">
        <f t="shared" si="2"/>
        <v/>
      </c>
      <c r="N457" s="266">
        <f t="shared" si="3"/>
        <v>0</v>
      </c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</row>
    <row r="458">
      <c r="A458" s="273">
        <v>45714.0</v>
      </c>
      <c r="B458" s="275" t="s">
        <v>1162</v>
      </c>
      <c r="C458" s="275" t="s">
        <v>1176</v>
      </c>
      <c r="D458" s="276">
        <v>4313.0</v>
      </c>
      <c r="E458" s="275" t="s">
        <v>1017</v>
      </c>
      <c r="F458" s="279"/>
      <c r="G458" s="278" t="str">
        <f>IFNA(IF(VLOOKUP(RC_OUT[BLOCK],RC_IN[[BLOCK]:[BLOCK LOC]],2,FALSE)=0,"",VLOOKUP(RC_OUT[BLOCK],RC_IN[[BLOCK]:[BLOCK LOC]],2,FALSE)),"")</f>
        <v/>
      </c>
      <c r="I458" s="263" t="str">
        <f>IFERROR(AVERAGEIFS(RC_IN[MC],RC_IN[BLOCK],RC_OUT[BLOCK]),"")</f>
        <v/>
      </c>
      <c r="J458" s="264">
        <f t="shared" si="1"/>
        <v>0</v>
      </c>
      <c r="K458" s="246"/>
      <c r="L458" s="246"/>
      <c r="M458" s="249" t="str">
        <f t="shared" si="2"/>
        <v/>
      </c>
      <c r="N458" s="266">
        <f t="shared" si="3"/>
        <v>0</v>
      </c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</row>
    <row r="459">
      <c r="A459" s="273">
        <v>45714.0</v>
      </c>
      <c r="B459" s="275" t="s">
        <v>1162</v>
      </c>
      <c r="C459" s="275" t="s">
        <v>1177</v>
      </c>
      <c r="D459" s="276">
        <v>8443.0</v>
      </c>
      <c r="E459" s="275" t="s">
        <v>1017</v>
      </c>
      <c r="F459" s="279"/>
      <c r="G459" s="278" t="str">
        <f>IFNA(IF(VLOOKUP(RC_OUT[BLOCK],RC_IN[[BLOCK]:[BLOCK LOC]],2,FALSE)=0,"",VLOOKUP(RC_OUT[BLOCK],RC_IN[[BLOCK]:[BLOCK LOC]],2,FALSE)),"")</f>
        <v/>
      </c>
      <c r="I459" s="263" t="str">
        <f>IFERROR(AVERAGEIFS(RC_IN[MC],RC_IN[BLOCK],RC_OUT[BLOCK]),"")</f>
        <v/>
      </c>
      <c r="J459" s="264">
        <f t="shared" si="1"/>
        <v>0</v>
      </c>
      <c r="K459" s="246"/>
      <c r="L459" s="246"/>
      <c r="M459" s="249" t="str">
        <f t="shared" si="2"/>
        <v/>
      </c>
      <c r="N459" s="266">
        <f t="shared" si="3"/>
        <v>0</v>
      </c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</row>
    <row r="460">
      <c r="A460" s="273">
        <v>45714.0</v>
      </c>
      <c r="B460" s="275" t="s">
        <v>1162</v>
      </c>
      <c r="C460" s="275" t="s">
        <v>1170</v>
      </c>
      <c r="D460" s="276">
        <v>2738.0</v>
      </c>
      <c r="E460" s="275" t="s">
        <v>1017</v>
      </c>
      <c r="F460" s="279"/>
      <c r="G460" s="278" t="str">
        <f>IFNA(IF(VLOOKUP(RC_OUT[BLOCK],RC_IN[[BLOCK]:[BLOCK LOC]],2,FALSE)=0,"",VLOOKUP(RC_OUT[BLOCK],RC_IN[[BLOCK]:[BLOCK LOC]],2,FALSE)),"")</f>
        <v/>
      </c>
      <c r="I460" s="263" t="str">
        <f>IFERROR(AVERAGEIFS(RC_IN[MC],RC_IN[BLOCK],RC_OUT[BLOCK]),"")</f>
        <v/>
      </c>
      <c r="J460" s="264">
        <f t="shared" si="1"/>
        <v>0</v>
      </c>
      <c r="K460" s="246"/>
      <c r="L460" s="246"/>
      <c r="M460" s="249" t="str">
        <f t="shared" si="2"/>
        <v/>
      </c>
      <c r="N460" s="266">
        <f t="shared" si="3"/>
        <v>0</v>
      </c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</row>
    <row r="461">
      <c r="A461" s="273">
        <v>45715.0</v>
      </c>
      <c r="B461" s="275" t="s">
        <v>1162</v>
      </c>
      <c r="C461" s="275" t="s">
        <v>1168</v>
      </c>
      <c r="D461" s="276">
        <v>3596.0</v>
      </c>
      <c r="E461" s="275" t="s">
        <v>1017</v>
      </c>
      <c r="F461" s="279"/>
      <c r="G461" s="278" t="str">
        <f>IFNA(IF(VLOOKUP(RC_OUT[BLOCK],RC_IN[[BLOCK]:[BLOCK LOC]],2,FALSE)=0,"",VLOOKUP(RC_OUT[BLOCK],RC_IN[[BLOCK]:[BLOCK LOC]],2,FALSE)),"")</f>
        <v/>
      </c>
      <c r="I461" s="263" t="str">
        <f>IFERROR(AVERAGEIFS(RC_IN[MC],RC_IN[BLOCK],RC_OUT[BLOCK]),"")</f>
        <v/>
      </c>
      <c r="J461" s="264">
        <f t="shared" si="1"/>
        <v>0</v>
      </c>
      <c r="K461" s="246"/>
      <c r="L461" s="246"/>
      <c r="M461" s="249" t="str">
        <f t="shared" si="2"/>
        <v/>
      </c>
      <c r="N461" s="266">
        <f t="shared" si="3"/>
        <v>0</v>
      </c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</row>
    <row r="462">
      <c r="A462" s="273">
        <v>45715.0</v>
      </c>
      <c r="B462" s="275" t="s">
        <v>1162</v>
      </c>
      <c r="C462" s="275" t="s">
        <v>1176</v>
      </c>
      <c r="D462" s="276">
        <v>3229.0</v>
      </c>
      <c r="E462" s="275" t="s">
        <v>1017</v>
      </c>
      <c r="F462" s="279"/>
      <c r="G462" s="278" t="str">
        <f>IFNA(IF(VLOOKUP(RC_OUT[BLOCK],RC_IN[[BLOCK]:[BLOCK LOC]],2,FALSE)=0,"",VLOOKUP(RC_OUT[BLOCK],RC_IN[[BLOCK]:[BLOCK LOC]],2,FALSE)),"")</f>
        <v/>
      </c>
      <c r="I462" s="263" t="str">
        <f>IFERROR(AVERAGEIFS(RC_IN[MC],RC_IN[BLOCK],RC_OUT[BLOCK]),"")</f>
        <v/>
      </c>
      <c r="J462" s="264">
        <f t="shared" si="1"/>
        <v>0</v>
      </c>
      <c r="K462" s="246"/>
      <c r="L462" s="246"/>
      <c r="M462" s="249" t="str">
        <f t="shared" si="2"/>
        <v/>
      </c>
      <c r="N462" s="266">
        <f t="shared" si="3"/>
        <v>0</v>
      </c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</row>
    <row r="463">
      <c r="A463" s="273">
        <v>45715.0</v>
      </c>
      <c r="B463" s="275" t="s">
        <v>1162</v>
      </c>
      <c r="C463" s="275" t="s">
        <v>1177</v>
      </c>
      <c r="D463" s="276">
        <v>21545.0</v>
      </c>
      <c r="E463" s="275" t="s">
        <v>1017</v>
      </c>
      <c r="F463" s="279"/>
      <c r="G463" s="278" t="str">
        <f>IFNA(IF(VLOOKUP(RC_OUT[BLOCK],RC_IN[[BLOCK]:[BLOCK LOC]],2,FALSE)=0,"",VLOOKUP(RC_OUT[BLOCK],RC_IN[[BLOCK]:[BLOCK LOC]],2,FALSE)),"")</f>
        <v/>
      </c>
      <c r="I463" s="263" t="str">
        <f>IFERROR(AVERAGEIFS(RC_IN[MC],RC_IN[BLOCK],RC_OUT[BLOCK]),"")</f>
        <v/>
      </c>
      <c r="J463" s="264">
        <f t="shared" si="1"/>
        <v>0</v>
      </c>
      <c r="K463" s="246"/>
      <c r="L463" s="246"/>
      <c r="M463" s="249" t="str">
        <f t="shared" si="2"/>
        <v/>
      </c>
      <c r="N463" s="266">
        <f t="shared" si="3"/>
        <v>0</v>
      </c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</row>
    <row r="464">
      <c r="A464" s="273">
        <v>45715.0</v>
      </c>
      <c r="B464" s="275" t="s">
        <v>1162</v>
      </c>
      <c r="C464" s="275" t="s">
        <v>1170</v>
      </c>
      <c r="D464" s="276">
        <v>6084.0</v>
      </c>
      <c r="E464" s="275" t="s">
        <v>1017</v>
      </c>
      <c r="F464" s="279"/>
      <c r="G464" s="278" t="str">
        <f>IFNA(IF(VLOOKUP(RC_OUT[BLOCK],RC_IN[[BLOCK]:[BLOCK LOC]],2,FALSE)=0,"",VLOOKUP(RC_OUT[BLOCK],RC_IN[[BLOCK]:[BLOCK LOC]],2,FALSE)),"")</f>
        <v/>
      </c>
      <c r="I464" s="263" t="str">
        <f>IFERROR(AVERAGEIFS(RC_IN[MC],RC_IN[BLOCK],RC_OUT[BLOCK]),"")</f>
        <v/>
      </c>
      <c r="J464" s="264">
        <f t="shared" si="1"/>
        <v>0</v>
      </c>
      <c r="K464" s="246"/>
      <c r="L464" s="246"/>
      <c r="M464" s="249" t="str">
        <f t="shared" si="2"/>
        <v/>
      </c>
      <c r="N464" s="266">
        <f t="shared" si="3"/>
        <v>0</v>
      </c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</row>
    <row r="465">
      <c r="A465" s="273">
        <v>45716.0</v>
      </c>
      <c r="B465" s="275" t="s">
        <v>1178</v>
      </c>
      <c r="C465" s="275" t="s">
        <v>1168</v>
      </c>
      <c r="D465" s="276">
        <v>3434.0</v>
      </c>
      <c r="E465" s="275" t="s">
        <v>1017</v>
      </c>
      <c r="F465" s="279"/>
      <c r="G465" s="278" t="str">
        <f>IFNA(IF(VLOOKUP(RC_OUT[BLOCK],RC_IN[[BLOCK]:[BLOCK LOC]],2,FALSE)=0,"",VLOOKUP(RC_OUT[BLOCK],RC_IN[[BLOCK]:[BLOCK LOC]],2,FALSE)),"")</f>
        <v/>
      </c>
      <c r="I465" s="263" t="str">
        <f>IFERROR(AVERAGEIFS(RC_IN[MC],RC_IN[BLOCK],RC_OUT[BLOCK]),"")</f>
        <v/>
      </c>
      <c r="J465" s="264">
        <f t="shared" si="1"/>
        <v>0</v>
      </c>
      <c r="K465" s="246"/>
      <c r="L465" s="246"/>
      <c r="M465" s="249" t="str">
        <f t="shared" si="2"/>
        <v/>
      </c>
      <c r="N465" s="266">
        <f t="shared" si="3"/>
        <v>0</v>
      </c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</row>
    <row r="466">
      <c r="A466" s="273">
        <v>45716.0</v>
      </c>
      <c r="B466" s="275" t="s">
        <v>1178</v>
      </c>
      <c r="C466" s="275" t="s">
        <v>1176</v>
      </c>
      <c r="D466" s="276">
        <v>2200.0</v>
      </c>
      <c r="E466" s="275" t="s">
        <v>1017</v>
      </c>
      <c r="F466" s="279"/>
      <c r="G466" s="278" t="str">
        <f>IFNA(IF(VLOOKUP(RC_OUT[BLOCK],RC_IN[[BLOCK]:[BLOCK LOC]],2,FALSE)=0,"",VLOOKUP(RC_OUT[BLOCK],RC_IN[[BLOCK]:[BLOCK LOC]],2,FALSE)),"")</f>
        <v/>
      </c>
      <c r="I466" s="263" t="str">
        <f>IFERROR(AVERAGEIFS(RC_IN[MC],RC_IN[BLOCK],RC_OUT[BLOCK]),"")</f>
        <v/>
      </c>
      <c r="J466" s="264">
        <f t="shared" si="1"/>
        <v>0</v>
      </c>
      <c r="K466" s="246"/>
      <c r="L466" s="246"/>
      <c r="M466" s="249" t="str">
        <f t="shared" si="2"/>
        <v/>
      </c>
      <c r="N466" s="266">
        <f t="shared" si="3"/>
        <v>0</v>
      </c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</row>
    <row r="467">
      <c r="A467" s="273">
        <v>45716.0</v>
      </c>
      <c r="B467" s="275" t="s">
        <v>1162</v>
      </c>
      <c r="C467" s="275" t="s">
        <v>1177</v>
      </c>
      <c r="D467" s="276">
        <v>3694.0</v>
      </c>
      <c r="E467" s="275" t="s">
        <v>1017</v>
      </c>
      <c r="F467" s="277" t="s">
        <v>1059</v>
      </c>
      <c r="G467" s="278" t="str">
        <f>IFNA(IF(VLOOKUP(RC_OUT[BLOCK],RC_IN[[BLOCK]:[BLOCK LOC]],2,FALSE)=0,"",VLOOKUP(RC_OUT[BLOCK],RC_IN[[BLOCK]:[BLOCK LOC]],2,FALSE)),"")</f>
        <v/>
      </c>
      <c r="I467" s="263" t="str">
        <f>IFERROR(AVERAGEIFS(RC_IN[MC],RC_IN[BLOCK],RC_OUT[BLOCK]),"")</f>
        <v/>
      </c>
      <c r="J467" s="264">
        <f t="shared" si="1"/>
        <v>0</v>
      </c>
      <c r="K467" s="246"/>
      <c r="L467" s="246"/>
      <c r="M467" s="249" t="str">
        <f t="shared" si="2"/>
        <v/>
      </c>
      <c r="N467" s="266">
        <f t="shared" si="3"/>
        <v>0</v>
      </c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</row>
    <row r="468">
      <c r="A468" s="273">
        <v>45716.0</v>
      </c>
      <c r="B468" s="275" t="s">
        <v>1178</v>
      </c>
      <c r="C468" s="275" t="s">
        <v>1170</v>
      </c>
      <c r="D468" s="276">
        <v>5754.0</v>
      </c>
      <c r="E468" s="275" t="s">
        <v>1017</v>
      </c>
      <c r="F468" s="279"/>
      <c r="G468" s="278" t="str">
        <f>IFNA(IF(VLOOKUP(RC_OUT[BLOCK],RC_IN[[BLOCK]:[BLOCK LOC]],2,FALSE)=0,"",VLOOKUP(RC_OUT[BLOCK],RC_IN[[BLOCK]:[BLOCK LOC]],2,FALSE)),"")</f>
        <v/>
      </c>
      <c r="I468" s="263" t="str">
        <f>IFERROR(AVERAGEIFS(RC_IN[MC],RC_IN[BLOCK],RC_OUT[BLOCK]),"")</f>
        <v/>
      </c>
      <c r="J468" s="264">
        <f t="shared" si="1"/>
        <v>0</v>
      </c>
      <c r="K468" s="246"/>
      <c r="L468" s="246"/>
      <c r="M468" s="249" t="str">
        <f t="shared" si="2"/>
        <v/>
      </c>
      <c r="N468" s="266">
        <f t="shared" si="3"/>
        <v>0</v>
      </c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</row>
    <row r="469">
      <c r="A469" s="273">
        <v>45719.0</v>
      </c>
      <c r="B469" s="275" t="s">
        <v>1178</v>
      </c>
      <c r="C469" s="275" t="s">
        <v>1168</v>
      </c>
      <c r="D469" s="276">
        <v>9910.0</v>
      </c>
      <c r="E469" s="275" t="s">
        <v>1017</v>
      </c>
      <c r="F469" s="279"/>
      <c r="G469" s="278" t="str">
        <f>IFNA(IF(VLOOKUP(RC_OUT[BLOCK],RC_IN[[BLOCK]:[BLOCK LOC]],2,FALSE)=0,"",VLOOKUP(RC_OUT[BLOCK],RC_IN[[BLOCK]:[BLOCK LOC]],2,FALSE)),"")</f>
        <v/>
      </c>
      <c r="I469" s="263" t="str">
        <f>IFERROR(AVERAGEIFS(RC_IN[MC],RC_IN[BLOCK],RC_OUT[BLOCK]),"")</f>
        <v/>
      </c>
      <c r="J469" s="264">
        <f t="shared" si="1"/>
        <v>0</v>
      </c>
      <c r="K469" s="246"/>
      <c r="L469" s="246"/>
      <c r="M469" s="249" t="str">
        <f t="shared" si="2"/>
        <v/>
      </c>
      <c r="N469" s="266">
        <f t="shared" si="3"/>
        <v>0</v>
      </c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</row>
    <row r="470">
      <c r="A470" s="273">
        <v>45719.0</v>
      </c>
      <c r="B470" s="275" t="s">
        <v>1178</v>
      </c>
      <c r="C470" s="275" t="s">
        <v>1176</v>
      </c>
      <c r="D470" s="276">
        <v>1200.0</v>
      </c>
      <c r="E470" s="275" t="s">
        <v>1017</v>
      </c>
      <c r="F470" s="279"/>
      <c r="G470" s="278" t="str">
        <f>IFNA(IF(VLOOKUP(RC_OUT[BLOCK],RC_IN[[BLOCK]:[BLOCK LOC]],2,FALSE)=0,"",VLOOKUP(RC_OUT[BLOCK],RC_IN[[BLOCK]:[BLOCK LOC]],2,FALSE)),"")</f>
        <v/>
      </c>
      <c r="I470" s="263" t="str">
        <f>IFERROR(AVERAGEIFS(RC_IN[MC],RC_IN[BLOCK],RC_OUT[BLOCK]),"")</f>
        <v/>
      </c>
      <c r="J470" s="264">
        <f t="shared" si="1"/>
        <v>0</v>
      </c>
      <c r="K470" s="246"/>
      <c r="L470" s="246"/>
      <c r="M470" s="249" t="str">
        <f t="shared" si="2"/>
        <v/>
      </c>
      <c r="N470" s="266">
        <f t="shared" si="3"/>
        <v>0</v>
      </c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</row>
    <row r="471">
      <c r="A471" s="273">
        <v>45719.0</v>
      </c>
      <c r="B471" s="275" t="s">
        <v>1178</v>
      </c>
      <c r="C471" s="275" t="s">
        <v>1170</v>
      </c>
      <c r="D471" s="276">
        <v>5737.0</v>
      </c>
      <c r="E471" s="275" t="s">
        <v>1017</v>
      </c>
      <c r="F471" s="277" t="s">
        <v>1059</v>
      </c>
      <c r="G471" s="278" t="str">
        <f>IFNA(IF(VLOOKUP(RC_OUT[BLOCK],RC_IN[[BLOCK]:[BLOCK LOC]],2,FALSE)=0,"",VLOOKUP(RC_OUT[BLOCK],RC_IN[[BLOCK]:[BLOCK LOC]],2,FALSE)),"")</f>
        <v/>
      </c>
      <c r="I471" s="263" t="str">
        <f>IFERROR(AVERAGEIFS(RC_IN[MC],RC_IN[BLOCK],RC_OUT[BLOCK]),"")</f>
        <v/>
      </c>
      <c r="J471" s="264">
        <f t="shared" si="1"/>
        <v>0</v>
      </c>
      <c r="K471" s="246"/>
      <c r="L471" s="246"/>
      <c r="M471" s="249" t="str">
        <f t="shared" si="2"/>
        <v/>
      </c>
      <c r="N471" s="266">
        <f t="shared" si="3"/>
        <v>0</v>
      </c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</row>
    <row r="472">
      <c r="A472" s="273">
        <v>45719.0</v>
      </c>
      <c r="B472" s="275" t="s">
        <v>1178</v>
      </c>
      <c r="C472" s="275" t="s">
        <v>1179</v>
      </c>
      <c r="D472" s="276">
        <v>10922.0</v>
      </c>
      <c r="E472" s="275" t="s">
        <v>1017</v>
      </c>
      <c r="F472" s="277" t="s">
        <v>1180</v>
      </c>
      <c r="G472" s="278" t="str">
        <f>IFNA(IF(VLOOKUP(RC_OUT[BLOCK],RC_IN[[BLOCK]:[BLOCK LOC]],2,FALSE)=0,"",VLOOKUP(RC_OUT[BLOCK],RC_IN[[BLOCK]:[BLOCK LOC]],2,FALSE)),"")</f>
        <v/>
      </c>
      <c r="I472" s="263" t="str">
        <f>IFERROR(AVERAGEIFS(RC_IN[MC],RC_IN[BLOCK],RC_OUT[BLOCK]),"")</f>
        <v/>
      </c>
      <c r="J472" s="264">
        <f t="shared" si="1"/>
        <v>0</v>
      </c>
      <c r="K472" s="246"/>
      <c r="L472" s="246"/>
      <c r="M472" s="249" t="str">
        <f t="shared" si="2"/>
        <v/>
      </c>
      <c r="N472" s="266">
        <f t="shared" si="3"/>
        <v>0</v>
      </c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</row>
    <row r="473">
      <c r="A473" s="273">
        <v>45720.0</v>
      </c>
      <c r="B473" s="275" t="s">
        <v>1178</v>
      </c>
      <c r="C473" s="275" t="s">
        <v>1181</v>
      </c>
      <c r="D473" s="276">
        <v>7118.0</v>
      </c>
      <c r="E473" s="275" t="s">
        <v>1017</v>
      </c>
      <c r="F473" s="279"/>
      <c r="G473" s="278" t="str">
        <f>IFNA(IF(VLOOKUP(RC_OUT[BLOCK],RC_IN[[BLOCK]:[BLOCK LOC]],2,FALSE)=0,"",VLOOKUP(RC_OUT[BLOCK],RC_IN[[BLOCK]:[BLOCK LOC]],2,FALSE)),"")</f>
        <v/>
      </c>
      <c r="I473" s="263" t="str">
        <f>IFERROR(AVERAGEIFS(RC_IN[MC],RC_IN[BLOCK],RC_OUT[BLOCK]),"")</f>
        <v/>
      </c>
      <c r="J473" s="264">
        <f t="shared" si="1"/>
        <v>0</v>
      </c>
      <c r="K473" s="246"/>
      <c r="L473" s="246"/>
      <c r="M473" s="249" t="str">
        <f t="shared" si="2"/>
        <v/>
      </c>
      <c r="N473" s="266">
        <f t="shared" si="3"/>
        <v>0</v>
      </c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</row>
    <row r="474">
      <c r="A474" s="273">
        <v>45720.0</v>
      </c>
      <c r="B474" s="275" t="s">
        <v>1178</v>
      </c>
      <c r="C474" s="275" t="s">
        <v>1168</v>
      </c>
      <c r="D474" s="276">
        <v>4865.0</v>
      </c>
      <c r="E474" s="275" t="s">
        <v>1017</v>
      </c>
      <c r="F474" s="277" t="s">
        <v>1059</v>
      </c>
      <c r="G474" s="278" t="str">
        <f>IFNA(IF(VLOOKUP(RC_OUT[BLOCK],RC_IN[[BLOCK]:[BLOCK LOC]],2,FALSE)=0,"",VLOOKUP(RC_OUT[BLOCK],RC_IN[[BLOCK]:[BLOCK LOC]],2,FALSE)),"")</f>
        <v/>
      </c>
      <c r="I474" s="263" t="str">
        <f>IFERROR(AVERAGEIFS(RC_IN[MC],RC_IN[BLOCK],RC_OUT[BLOCK]),"")</f>
        <v/>
      </c>
      <c r="J474" s="264">
        <f t="shared" si="1"/>
        <v>0</v>
      </c>
      <c r="K474" s="246"/>
      <c r="L474" s="246"/>
      <c r="M474" s="249" t="str">
        <f t="shared" si="2"/>
        <v/>
      </c>
      <c r="N474" s="266">
        <f t="shared" si="3"/>
        <v>0</v>
      </c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</row>
    <row r="475">
      <c r="A475" s="273">
        <v>45720.0</v>
      </c>
      <c r="B475" s="275" t="s">
        <v>1178</v>
      </c>
      <c r="C475" s="275" t="s">
        <v>1176</v>
      </c>
      <c r="D475" s="276">
        <v>600.0</v>
      </c>
      <c r="E475" s="275" t="s">
        <v>1017</v>
      </c>
      <c r="F475" s="279"/>
      <c r="G475" s="278" t="str">
        <f>IFNA(IF(VLOOKUP(RC_OUT[BLOCK],RC_IN[[BLOCK]:[BLOCK LOC]],2,FALSE)=0,"",VLOOKUP(RC_OUT[BLOCK],RC_IN[[BLOCK]:[BLOCK LOC]],2,FALSE)),"")</f>
        <v/>
      </c>
      <c r="I475" s="263" t="str">
        <f>IFERROR(AVERAGEIFS(RC_IN[MC],RC_IN[BLOCK],RC_OUT[BLOCK]),"")</f>
        <v/>
      </c>
      <c r="J475" s="264">
        <f t="shared" si="1"/>
        <v>0</v>
      </c>
      <c r="K475" s="246"/>
      <c r="L475" s="246"/>
      <c r="M475" s="249" t="str">
        <f t="shared" si="2"/>
        <v/>
      </c>
      <c r="N475" s="266">
        <f t="shared" si="3"/>
        <v>0</v>
      </c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</row>
    <row r="476">
      <c r="A476" s="273">
        <v>45720.0</v>
      </c>
      <c r="B476" s="275" t="s">
        <v>1178</v>
      </c>
      <c r="C476" s="275" t="s">
        <v>1179</v>
      </c>
      <c r="D476" s="276">
        <v>21208.0</v>
      </c>
      <c r="E476" s="275" t="s">
        <v>1017</v>
      </c>
      <c r="F476" s="279"/>
      <c r="G476" s="278" t="str">
        <f>IFNA(IF(VLOOKUP(RC_OUT[BLOCK],RC_IN[[BLOCK]:[BLOCK LOC]],2,FALSE)=0,"",VLOOKUP(RC_OUT[BLOCK],RC_IN[[BLOCK]:[BLOCK LOC]],2,FALSE)),"")</f>
        <v/>
      </c>
      <c r="I476" s="263" t="str">
        <f>IFERROR(AVERAGEIFS(RC_IN[MC],RC_IN[BLOCK],RC_OUT[BLOCK]),"")</f>
        <v/>
      </c>
      <c r="J476" s="264">
        <f t="shared" si="1"/>
        <v>0</v>
      </c>
      <c r="K476" s="246"/>
      <c r="L476" s="246"/>
      <c r="M476" s="249" t="str">
        <f t="shared" si="2"/>
        <v/>
      </c>
      <c r="N476" s="266">
        <f t="shared" si="3"/>
        <v>0</v>
      </c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</row>
    <row r="477">
      <c r="A477" s="273">
        <v>45721.0</v>
      </c>
      <c r="B477" s="275" t="s">
        <v>1178</v>
      </c>
      <c r="C477" s="275" t="s">
        <v>1181</v>
      </c>
      <c r="D477" s="276">
        <v>10710.0</v>
      </c>
      <c r="E477" s="275" t="s">
        <v>1017</v>
      </c>
      <c r="F477" s="279"/>
      <c r="G477" s="278" t="str">
        <f>IFNA(IF(VLOOKUP(RC_OUT[BLOCK],RC_IN[[BLOCK]:[BLOCK LOC]],2,FALSE)=0,"",VLOOKUP(RC_OUT[BLOCK],RC_IN[[BLOCK]:[BLOCK LOC]],2,FALSE)),"")</f>
        <v/>
      </c>
      <c r="I477" s="263" t="str">
        <f>IFERROR(AVERAGEIFS(RC_IN[MC],RC_IN[BLOCK],RC_OUT[BLOCK]),"")</f>
        <v/>
      </c>
      <c r="J477" s="264">
        <f t="shared" si="1"/>
        <v>0</v>
      </c>
      <c r="K477" s="246"/>
      <c r="L477" s="246"/>
      <c r="M477" s="249" t="str">
        <f t="shared" si="2"/>
        <v/>
      </c>
      <c r="N477" s="266">
        <f t="shared" si="3"/>
        <v>0</v>
      </c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</row>
    <row r="478">
      <c r="A478" s="273">
        <v>45721.0</v>
      </c>
      <c r="B478" s="275" t="s">
        <v>1178</v>
      </c>
      <c r="C478" s="275" t="s">
        <v>1176</v>
      </c>
      <c r="D478" s="276">
        <v>1400.0</v>
      </c>
      <c r="E478" s="275" t="s">
        <v>1182</v>
      </c>
      <c r="F478" s="277" t="s">
        <v>1059</v>
      </c>
      <c r="G478" s="278" t="str">
        <f>IFNA(IF(VLOOKUP(RC_OUT[BLOCK],RC_IN[[BLOCK]:[BLOCK LOC]],2,FALSE)=0,"",VLOOKUP(RC_OUT[BLOCK],RC_IN[[BLOCK]:[BLOCK LOC]],2,FALSE)),"")</f>
        <v/>
      </c>
      <c r="I478" s="263" t="str">
        <f>IFERROR(AVERAGEIFS(RC_IN[MC],RC_IN[BLOCK],RC_OUT[BLOCK]),"")</f>
        <v/>
      </c>
      <c r="J478" s="264">
        <f t="shared" si="1"/>
        <v>0</v>
      </c>
      <c r="K478" s="246"/>
      <c r="L478" s="246"/>
      <c r="M478" s="249" t="str">
        <f t="shared" si="2"/>
        <v/>
      </c>
      <c r="N478" s="266">
        <f t="shared" si="3"/>
        <v>0</v>
      </c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</row>
    <row r="479">
      <c r="A479" s="273">
        <v>45721.0</v>
      </c>
      <c r="B479" s="275" t="s">
        <v>1178</v>
      </c>
      <c r="C479" s="275" t="s">
        <v>1179</v>
      </c>
      <c r="D479" s="276">
        <v>10369.0</v>
      </c>
      <c r="E479" s="275" t="s">
        <v>1017</v>
      </c>
      <c r="F479" s="279"/>
      <c r="G479" s="278" t="str">
        <f>IFNA(IF(VLOOKUP(RC_OUT[BLOCK],RC_IN[[BLOCK]:[BLOCK LOC]],2,FALSE)=0,"",VLOOKUP(RC_OUT[BLOCK],RC_IN[[BLOCK]:[BLOCK LOC]],2,FALSE)),"")</f>
        <v/>
      </c>
      <c r="I479" s="263" t="str">
        <f>IFERROR(AVERAGEIFS(RC_IN[MC],RC_IN[BLOCK],RC_OUT[BLOCK]),"")</f>
        <v/>
      </c>
      <c r="J479" s="264">
        <f t="shared" si="1"/>
        <v>0</v>
      </c>
      <c r="K479" s="246"/>
      <c r="L479" s="246"/>
      <c r="M479" s="249" t="str">
        <f t="shared" si="2"/>
        <v/>
      </c>
      <c r="N479" s="266">
        <f t="shared" si="3"/>
        <v>0</v>
      </c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</row>
    <row r="480">
      <c r="A480" s="273">
        <v>45722.0</v>
      </c>
      <c r="B480" s="275" t="s">
        <v>1178</v>
      </c>
      <c r="C480" s="275" t="s">
        <v>1181</v>
      </c>
      <c r="D480" s="276">
        <v>12486.0</v>
      </c>
      <c r="E480" s="275" t="s">
        <v>1017</v>
      </c>
      <c r="F480" s="279"/>
      <c r="G480" s="278" t="str">
        <f>IFNA(IF(VLOOKUP(RC_OUT[BLOCK],RC_IN[[BLOCK]:[BLOCK LOC]],2,FALSE)=0,"",VLOOKUP(RC_OUT[BLOCK],RC_IN[[BLOCK]:[BLOCK LOC]],2,FALSE)),"")</f>
        <v/>
      </c>
      <c r="I480" s="263" t="str">
        <f>IFERROR(AVERAGEIFS(RC_IN[MC],RC_IN[BLOCK],RC_OUT[BLOCK]),"")</f>
        <v/>
      </c>
      <c r="J480" s="264">
        <f t="shared" si="1"/>
        <v>0</v>
      </c>
      <c r="K480" s="246"/>
      <c r="L480" s="246"/>
      <c r="M480" s="249" t="str">
        <f t="shared" si="2"/>
        <v/>
      </c>
      <c r="N480" s="266">
        <f t="shared" si="3"/>
        <v>0</v>
      </c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</row>
    <row r="481">
      <c r="A481" s="273">
        <v>45722.0</v>
      </c>
      <c r="B481" s="275" t="s">
        <v>1178</v>
      </c>
      <c r="C481" s="275" t="s">
        <v>1183</v>
      </c>
      <c r="D481" s="276">
        <v>11037.0</v>
      </c>
      <c r="E481" s="275" t="s">
        <v>1017</v>
      </c>
      <c r="F481" s="279"/>
      <c r="G481" s="278" t="str">
        <f>IFNA(IF(VLOOKUP(RC_OUT[BLOCK],RC_IN[[BLOCK]:[BLOCK LOC]],2,FALSE)=0,"",VLOOKUP(RC_OUT[BLOCK],RC_IN[[BLOCK]:[BLOCK LOC]],2,FALSE)),"")</f>
        <v/>
      </c>
      <c r="I481" s="263" t="str">
        <f>IFERROR(AVERAGEIFS(RC_IN[MC],RC_IN[BLOCK],RC_OUT[BLOCK]),"")</f>
        <v/>
      </c>
      <c r="J481" s="264">
        <f t="shared" si="1"/>
        <v>0</v>
      </c>
      <c r="K481" s="246"/>
      <c r="L481" s="246"/>
      <c r="M481" s="249" t="str">
        <f t="shared" si="2"/>
        <v/>
      </c>
      <c r="N481" s="266">
        <f t="shared" si="3"/>
        <v>0</v>
      </c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</row>
    <row r="482">
      <c r="A482" s="273">
        <v>45722.0</v>
      </c>
      <c r="B482" s="275" t="s">
        <v>1178</v>
      </c>
      <c r="C482" s="275" t="s">
        <v>1179</v>
      </c>
      <c r="D482" s="276">
        <v>9100.0</v>
      </c>
      <c r="E482" s="275" t="s">
        <v>1017</v>
      </c>
      <c r="F482" s="277" t="s">
        <v>1059</v>
      </c>
      <c r="G482" s="278" t="str">
        <f>IFNA(IF(VLOOKUP(RC_OUT[BLOCK],RC_IN[[BLOCK]:[BLOCK LOC]],2,FALSE)=0,"",VLOOKUP(RC_OUT[BLOCK],RC_IN[[BLOCK]:[BLOCK LOC]],2,FALSE)),"")</f>
        <v/>
      </c>
      <c r="I482" s="263" t="str">
        <f>IFERROR(AVERAGEIFS(RC_IN[MC],RC_IN[BLOCK],RC_OUT[BLOCK]),"")</f>
        <v/>
      </c>
      <c r="J482" s="264">
        <f t="shared" si="1"/>
        <v>0</v>
      </c>
      <c r="K482" s="246"/>
      <c r="L482" s="246"/>
      <c r="M482" s="249" t="str">
        <f t="shared" si="2"/>
        <v/>
      </c>
      <c r="N482" s="266">
        <f t="shared" si="3"/>
        <v>0</v>
      </c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</row>
    <row r="483">
      <c r="A483" s="273">
        <v>45723.0</v>
      </c>
      <c r="B483" s="275" t="s">
        <v>1178</v>
      </c>
      <c r="C483" s="275" t="s">
        <v>1184</v>
      </c>
      <c r="D483" s="276">
        <v>4197.0</v>
      </c>
      <c r="E483" s="275" t="s">
        <v>1017</v>
      </c>
      <c r="F483" s="279"/>
      <c r="G483" s="278" t="str">
        <f>IFNA(IF(VLOOKUP(RC_OUT[BLOCK],RC_IN[[BLOCK]:[BLOCK LOC]],2,FALSE)=0,"",VLOOKUP(RC_OUT[BLOCK],RC_IN[[BLOCK]:[BLOCK LOC]],2,FALSE)),"")</f>
        <v/>
      </c>
      <c r="I483" s="263" t="str">
        <f>IFERROR(AVERAGEIFS(RC_IN[MC],RC_IN[BLOCK],RC_OUT[BLOCK]),"")</f>
        <v/>
      </c>
      <c r="J483" s="264">
        <f t="shared" si="1"/>
        <v>0</v>
      </c>
      <c r="K483" s="246"/>
      <c r="L483" s="246"/>
      <c r="M483" s="249" t="str">
        <f t="shared" si="2"/>
        <v/>
      </c>
      <c r="N483" s="266">
        <f t="shared" si="3"/>
        <v>0</v>
      </c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</row>
    <row r="484">
      <c r="A484" s="273">
        <v>45723.0</v>
      </c>
      <c r="B484" s="275" t="s">
        <v>1178</v>
      </c>
      <c r="C484" s="275" t="s">
        <v>1183</v>
      </c>
      <c r="D484" s="276">
        <v>17640.0</v>
      </c>
      <c r="E484" s="275" t="s">
        <v>1017</v>
      </c>
      <c r="F484" s="279"/>
      <c r="G484" s="278" t="str">
        <f>IFNA(IF(VLOOKUP(RC_OUT[BLOCK],RC_IN[[BLOCK]:[BLOCK LOC]],2,FALSE)=0,"",VLOOKUP(RC_OUT[BLOCK],RC_IN[[BLOCK]:[BLOCK LOC]],2,FALSE)),"")</f>
        <v/>
      </c>
      <c r="I484" s="263" t="str">
        <f>IFERROR(AVERAGEIFS(RC_IN[MC],RC_IN[BLOCK],RC_OUT[BLOCK]),"")</f>
        <v/>
      </c>
      <c r="J484" s="264">
        <f t="shared" si="1"/>
        <v>0</v>
      </c>
      <c r="K484" s="246"/>
      <c r="L484" s="246"/>
      <c r="M484" s="249" t="str">
        <f t="shared" si="2"/>
        <v/>
      </c>
      <c r="N484" s="266">
        <f t="shared" si="3"/>
        <v>0</v>
      </c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</row>
    <row r="485">
      <c r="A485" s="273">
        <v>45726.0</v>
      </c>
      <c r="B485" s="275" t="s">
        <v>1178</v>
      </c>
      <c r="C485" s="275" t="s">
        <v>1184</v>
      </c>
      <c r="D485" s="276">
        <v>12593.0</v>
      </c>
      <c r="E485" s="275" t="s">
        <v>1017</v>
      </c>
      <c r="F485" s="277" t="s">
        <v>1059</v>
      </c>
      <c r="G485" s="278" t="str">
        <f>IFNA(IF(VLOOKUP(RC_OUT[BLOCK],RC_IN[[BLOCK]:[BLOCK LOC]],2,FALSE)=0,"",VLOOKUP(RC_OUT[BLOCK],RC_IN[[BLOCK]:[BLOCK LOC]],2,FALSE)),"")</f>
        <v/>
      </c>
      <c r="I485" s="263" t="str">
        <f>IFERROR(AVERAGEIFS(RC_IN[MC],RC_IN[BLOCK],RC_OUT[BLOCK]),"")</f>
        <v/>
      </c>
      <c r="J485" s="264">
        <f t="shared" si="1"/>
        <v>0</v>
      </c>
      <c r="K485" s="246"/>
      <c r="L485" s="246"/>
      <c r="M485" s="249" t="str">
        <f t="shared" si="2"/>
        <v/>
      </c>
      <c r="N485" s="266">
        <f t="shared" si="3"/>
        <v>0</v>
      </c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</row>
    <row r="486">
      <c r="A486" s="273">
        <v>45726.0</v>
      </c>
      <c r="B486" s="275" t="s">
        <v>1178</v>
      </c>
      <c r="C486" s="275" t="s">
        <v>1183</v>
      </c>
      <c r="D486" s="276">
        <v>28781.0</v>
      </c>
      <c r="E486" s="275" t="s">
        <v>1017</v>
      </c>
      <c r="F486" s="279"/>
      <c r="G486" s="278" t="str">
        <f>IFNA(IF(VLOOKUP(RC_OUT[BLOCK],RC_IN[[BLOCK]:[BLOCK LOC]],2,FALSE)=0,"",VLOOKUP(RC_OUT[BLOCK],RC_IN[[BLOCK]:[BLOCK LOC]],2,FALSE)),"")</f>
        <v/>
      </c>
      <c r="I486" s="263" t="str">
        <f>IFERROR(AVERAGEIFS(RC_IN[MC],RC_IN[BLOCK],RC_OUT[BLOCK]),"")</f>
        <v/>
      </c>
      <c r="J486" s="264">
        <f t="shared" si="1"/>
        <v>0</v>
      </c>
      <c r="K486" s="246"/>
      <c r="L486" s="246"/>
      <c r="M486" s="249" t="str">
        <f t="shared" si="2"/>
        <v/>
      </c>
      <c r="N486" s="266">
        <f t="shared" si="3"/>
        <v>0</v>
      </c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</row>
    <row r="487">
      <c r="A487" s="273">
        <v>45727.0</v>
      </c>
      <c r="B487" s="275" t="s">
        <v>1178</v>
      </c>
      <c r="C487" s="275" t="s">
        <v>1181</v>
      </c>
      <c r="D487" s="276">
        <v>6281.0</v>
      </c>
      <c r="E487" s="275" t="s">
        <v>1017</v>
      </c>
      <c r="F487" s="279"/>
      <c r="G487" s="278" t="str">
        <f>IFNA(IF(VLOOKUP(RC_OUT[BLOCK],RC_IN[[BLOCK]:[BLOCK LOC]],2,FALSE)=0,"",VLOOKUP(RC_OUT[BLOCK],RC_IN[[BLOCK]:[BLOCK LOC]],2,FALSE)),"")</f>
        <v/>
      </c>
      <c r="I487" s="263" t="str">
        <f>IFERROR(AVERAGEIFS(RC_IN[MC],RC_IN[BLOCK],RC_OUT[BLOCK]),"")</f>
        <v/>
      </c>
      <c r="J487" s="264">
        <f t="shared" si="1"/>
        <v>0</v>
      </c>
      <c r="K487" s="246"/>
      <c r="L487" s="246"/>
      <c r="M487" s="249" t="str">
        <f t="shared" si="2"/>
        <v/>
      </c>
      <c r="N487" s="266">
        <f t="shared" si="3"/>
        <v>0</v>
      </c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</row>
    <row r="488">
      <c r="A488" s="273">
        <v>45727.0</v>
      </c>
      <c r="B488" s="275" t="s">
        <v>1178</v>
      </c>
      <c r="C488" s="275" t="s">
        <v>1185</v>
      </c>
      <c r="D488" s="276">
        <v>16034.0</v>
      </c>
      <c r="E488" s="275" t="s">
        <v>1017</v>
      </c>
      <c r="F488" s="279"/>
      <c r="G488" s="278" t="str">
        <f>IFNA(IF(VLOOKUP(RC_OUT[BLOCK],RC_IN[[BLOCK]:[BLOCK LOC]],2,FALSE)=0,"",VLOOKUP(RC_OUT[BLOCK],RC_IN[[BLOCK]:[BLOCK LOC]],2,FALSE)),"")</f>
        <v/>
      </c>
      <c r="I488" s="263" t="str">
        <f>IFERROR(AVERAGEIFS(RC_IN[MC],RC_IN[BLOCK],RC_OUT[BLOCK]),"")</f>
        <v/>
      </c>
      <c r="J488" s="264">
        <f t="shared" si="1"/>
        <v>0</v>
      </c>
      <c r="K488" s="246"/>
      <c r="L488" s="246"/>
      <c r="M488" s="249" t="str">
        <f t="shared" si="2"/>
        <v/>
      </c>
      <c r="N488" s="266">
        <f t="shared" si="3"/>
        <v>0</v>
      </c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</row>
    <row r="489">
      <c r="A489" s="273">
        <v>45727.0</v>
      </c>
      <c r="B489" s="275" t="s">
        <v>1178</v>
      </c>
      <c r="C489" s="275" t="s">
        <v>1186</v>
      </c>
      <c r="D489" s="276">
        <v>18799.0</v>
      </c>
      <c r="E489" s="275" t="s">
        <v>1017</v>
      </c>
      <c r="F489" s="279"/>
      <c r="G489" s="278" t="str">
        <f>IFNA(IF(VLOOKUP(RC_OUT[BLOCK],RC_IN[[BLOCK]:[BLOCK LOC]],2,FALSE)=0,"",VLOOKUP(RC_OUT[BLOCK],RC_IN[[BLOCK]:[BLOCK LOC]],2,FALSE)),"")</f>
        <v/>
      </c>
      <c r="I489" s="263" t="str">
        <f>IFERROR(AVERAGEIFS(RC_IN[MC],RC_IN[BLOCK],RC_OUT[BLOCK]),"")</f>
        <v/>
      </c>
      <c r="J489" s="264">
        <f t="shared" si="1"/>
        <v>0</v>
      </c>
      <c r="K489" s="246"/>
      <c r="L489" s="246"/>
      <c r="M489" s="249" t="str">
        <f t="shared" si="2"/>
        <v/>
      </c>
      <c r="N489" s="266">
        <f t="shared" si="3"/>
        <v>0</v>
      </c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</row>
    <row r="490">
      <c r="A490" s="273">
        <v>45727.0</v>
      </c>
      <c r="B490" s="275" t="s">
        <v>1178</v>
      </c>
      <c r="C490" s="275" t="s">
        <v>1183</v>
      </c>
      <c r="D490" s="276">
        <v>4769.0</v>
      </c>
      <c r="E490" s="275" t="s">
        <v>1017</v>
      </c>
      <c r="F490" s="277" t="s">
        <v>1059</v>
      </c>
      <c r="G490" s="278" t="str">
        <f>IFNA(IF(VLOOKUP(RC_OUT[BLOCK],RC_IN[[BLOCK]:[BLOCK LOC]],2,FALSE)=0,"",VLOOKUP(RC_OUT[BLOCK],RC_IN[[BLOCK]:[BLOCK LOC]],2,FALSE)),"")</f>
        <v/>
      </c>
      <c r="I490" s="263" t="str">
        <f>IFERROR(AVERAGEIFS(RC_IN[MC],RC_IN[BLOCK],RC_OUT[BLOCK]),"")</f>
        <v/>
      </c>
      <c r="J490" s="264">
        <f t="shared" si="1"/>
        <v>0</v>
      </c>
      <c r="K490" s="246"/>
      <c r="L490" s="246"/>
      <c r="M490" s="249" t="str">
        <f t="shared" si="2"/>
        <v/>
      </c>
      <c r="N490" s="266">
        <f t="shared" si="3"/>
        <v>0</v>
      </c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</row>
    <row r="491">
      <c r="A491" s="273">
        <v>45728.0</v>
      </c>
      <c r="B491" s="275" t="s">
        <v>1178</v>
      </c>
      <c r="C491" s="275" t="s">
        <v>1181</v>
      </c>
      <c r="D491" s="276">
        <v>3259.0</v>
      </c>
      <c r="E491" s="275" t="s">
        <v>1017</v>
      </c>
      <c r="F491" s="279"/>
      <c r="G491" s="278" t="str">
        <f>IFNA(IF(VLOOKUP(RC_OUT[BLOCK],RC_IN[[BLOCK]:[BLOCK LOC]],2,FALSE)=0,"",VLOOKUP(RC_OUT[BLOCK],RC_IN[[BLOCK]:[BLOCK LOC]],2,FALSE)),"")</f>
        <v/>
      </c>
      <c r="I491" s="263" t="str">
        <f>IFERROR(AVERAGEIFS(RC_IN[MC],RC_IN[BLOCK],RC_OUT[BLOCK]),"")</f>
        <v/>
      </c>
      <c r="J491" s="264">
        <f t="shared" si="1"/>
        <v>0</v>
      </c>
      <c r="K491" s="246"/>
      <c r="L491" s="246"/>
      <c r="M491" s="249" t="str">
        <f t="shared" si="2"/>
        <v/>
      </c>
      <c r="N491" s="266">
        <f t="shared" si="3"/>
        <v>0</v>
      </c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</row>
    <row r="492">
      <c r="A492" s="273">
        <v>45728.0</v>
      </c>
      <c r="B492" s="275" t="s">
        <v>1178</v>
      </c>
      <c r="C492" s="275" t="s">
        <v>1185</v>
      </c>
      <c r="D492" s="276">
        <v>14636.0</v>
      </c>
      <c r="E492" s="275" t="s">
        <v>1017</v>
      </c>
      <c r="F492" s="279"/>
      <c r="G492" s="278" t="str">
        <f>IFNA(IF(VLOOKUP(RC_OUT[BLOCK],RC_IN[[BLOCK]:[BLOCK LOC]],2,FALSE)=0,"",VLOOKUP(RC_OUT[BLOCK],RC_IN[[BLOCK]:[BLOCK LOC]],2,FALSE)),"")</f>
        <v/>
      </c>
      <c r="I492" s="263" t="str">
        <f>IFERROR(AVERAGEIFS(RC_IN[MC],RC_IN[BLOCK],RC_OUT[BLOCK]),"")</f>
        <v/>
      </c>
      <c r="J492" s="264">
        <f t="shared" si="1"/>
        <v>0</v>
      </c>
      <c r="K492" s="246"/>
      <c r="L492" s="246"/>
      <c r="M492" s="249" t="str">
        <f t="shared" si="2"/>
        <v/>
      </c>
      <c r="N492" s="266">
        <f t="shared" si="3"/>
        <v>0</v>
      </c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</row>
    <row r="493">
      <c r="A493" s="273">
        <v>45728.0</v>
      </c>
      <c r="B493" s="275" t="s">
        <v>1178</v>
      </c>
      <c r="C493" s="275" t="s">
        <v>1186</v>
      </c>
      <c r="D493" s="276">
        <v>13640.0</v>
      </c>
      <c r="E493" s="275" t="s">
        <v>1017</v>
      </c>
      <c r="F493" s="279"/>
      <c r="G493" s="278" t="str">
        <f>IFNA(IF(VLOOKUP(RC_OUT[BLOCK],RC_IN[[BLOCK]:[BLOCK LOC]],2,FALSE)=0,"",VLOOKUP(RC_OUT[BLOCK],RC_IN[[BLOCK]:[BLOCK LOC]],2,FALSE)),"")</f>
        <v/>
      </c>
      <c r="I493" s="263" t="str">
        <f>IFERROR(AVERAGEIFS(RC_IN[MC],RC_IN[BLOCK],RC_OUT[BLOCK]),"")</f>
        <v/>
      </c>
      <c r="J493" s="264">
        <f t="shared" si="1"/>
        <v>0</v>
      </c>
      <c r="K493" s="246"/>
      <c r="L493" s="246"/>
      <c r="M493" s="249" t="str">
        <f t="shared" si="2"/>
        <v/>
      </c>
      <c r="N493" s="266">
        <f t="shared" si="3"/>
        <v>0</v>
      </c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</row>
    <row r="494">
      <c r="A494" s="273">
        <v>45729.0</v>
      </c>
      <c r="B494" s="275" t="s">
        <v>1178</v>
      </c>
      <c r="C494" s="275" t="s">
        <v>1181</v>
      </c>
      <c r="D494" s="276">
        <v>2772.0</v>
      </c>
      <c r="E494" s="275" t="s">
        <v>1017</v>
      </c>
      <c r="F494" s="279"/>
      <c r="G494" s="278" t="str">
        <f>IFNA(IF(VLOOKUP(RC_OUT[BLOCK],RC_IN[[BLOCK]:[BLOCK LOC]],2,FALSE)=0,"",VLOOKUP(RC_OUT[BLOCK],RC_IN[[BLOCK]:[BLOCK LOC]],2,FALSE)),"")</f>
        <v/>
      </c>
      <c r="I494" s="263" t="str">
        <f>IFERROR(AVERAGEIFS(RC_IN[MC],RC_IN[BLOCK],RC_OUT[BLOCK]),"")</f>
        <v/>
      </c>
      <c r="J494" s="264">
        <f t="shared" si="1"/>
        <v>0</v>
      </c>
      <c r="K494" s="246"/>
      <c r="L494" s="246"/>
      <c r="M494" s="249" t="str">
        <f t="shared" si="2"/>
        <v/>
      </c>
      <c r="N494" s="266">
        <f t="shared" si="3"/>
        <v>0</v>
      </c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</row>
    <row r="495">
      <c r="A495" s="273">
        <v>45729.0</v>
      </c>
      <c r="B495" s="275" t="s">
        <v>1178</v>
      </c>
      <c r="C495" s="275" t="s">
        <v>1185</v>
      </c>
      <c r="D495" s="276">
        <v>3101.0</v>
      </c>
      <c r="E495" s="275" t="s">
        <v>1017</v>
      </c>
      <c r="F495" s="279"/>
      <c r="G495" s="278" t="str">
        <f>IFNA(IF(VLOOKUP(RC_OUT[BLOCK],RC_IN[[BLOCK]:[BLOCK LOC]],2,FALSE)=0,"",VLOOKUP(RC_OUT[BLOCK],RC_IN[[BLOCK]:[BLOCK LOC]],2,FALSE)),"")</f>
        <v/>
      </c>
      <c r="I495" s="263" t="str">
        <f>IFERROR(AVERAGEIFS(RC_IN[MC],RC_IN[BLOCK],RC_OUT[BLOCK]),"")</f>
        <v/>
      </c>
      <c r="J495" s="264">
        <f t="shared" si="1"/>
        <v>0</v>
      </c>
      <c r="K495" s="246"/>
      <c r="L495" s="246"/>
      <c r="M495" s="249" t="str">
        <f t="shared" si="2"/>
        <v/>
      </c>
      <c r="N495" s="266">
        <f t="shared" si="3"/>
        <v>0</v>
      </c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</row>
    <row r="496">
      <c r="A496" s="273">
        <v>45729.0</v>
      </c>
      <c r="B496" s="275" t="s">
        <v>1178</v>
      </c>
      <c r="C496" s="275" t="s">
        <v>1187</v>
      </c>
      <c r="D496" s="276">
        <v>5326.0</v>
      </c>
      <c r="E496" s="275" t="s">
        <v>1017</v>
      </c>
      <c r="F496" s="279"/>
      <c r="G496" s="278" t="str">
        <f>IFNA(IF(VLOOKUP(RC_OUT[BLOCK],RC_IN[[BLOCK]:[BLOCK LOC]],2,FALSE)=0,"",VLOOKUP(RC_OUT[BLOCK],RC_IN[[BLOCK]:[BLOCK LOC]],2,FALSE)),"")</f>
        <v/>
      </c>
      <c r="I496" s="263" t="str">
        <f>IFERROR(AVERAGEIFS(RC_IN[MC],RC_IN[BLOCK],RC_OUT[BLOCK]),"")</f>
        <v/>
      </c>
      <c r="J496" s="264">
        <f t="shared" si="1"/>
        <v>0</v>
      </c>
      <c r="K496" s="246"/>
      <c r="L496" s="246"/>
      <c r="M496" s="249" t="str">
        <f t="shared" si="2"/>
        <v/>
      </c>
      <c r="N496" s="266">
        <f t="shared" si="3"/>
        <v>0</v>
      </c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</row>
    <row r="497">
      <c r="A497" s="273">
        <v>45729.0</v>
      </c>
      <c r="B497" s="275" t="s">
        <v>1178</v>
      </c>
      <c r="C497" s="275" t="s">
        <v>1186</v>
      </c>
      <c r="D497" s="276">
        <v>28085.0</v>
      </c>
      <c r="E497" s="275" t="s">
        <v>1017</v>
      </c>
      <c r="F497" s="277" t="s">
        <v>1059</v>
      </c>
      <c r="G497" s="278" t="str">
        <f>IFNA(IF(VLOOKUP(RC_OUT[BLOCK],RC_IN[[BLOCK]:[BLOCK LOC]],2,FALSE)=0,"",VLOOKUP(RC_OUT[BLOCK],RC_IN[[BLOCK]:[BLOCK LOC]],2,FALSE)),"")</f>
        <v/>
      </c>
      <c r="I497" s="263" t="str">
        <f>IFERROR(AVERAGEIFS(RC_IN[MC],RC_IN[BLOCK],RC_OUT[BLOCK]),"")</f>
        <v/>
      </c>
      <c r="J497" s="264">
        <f t="shared" si="1"/>
        <v>0</v>
      </c>
      <c r="K497" s="246"/>
      <c r="L497" s="246"/>
      <c r="M497" s="249" t="str">
        <f t="shared" si="2"/>
        <v/>
      </c>
      <c r="N497" s="266">
        <f t="shared" si="3"/>
        <v>0</v>
      </c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</row>
    <row r="498">
      <c r="A498" s="273">
        <v>45730.0</v>
      </c>
      <c r="B498" s="275" t="s">
        <v>1178</v>
      </c>
      <c r="C498" s="275" t="s">
        <v>1181</v>
      </c>
      <c r="D498" s="276">
        <v>1743.0</v>
      </c>
      <c r="E498" s="275" t="s">
        <v>1017</v>
      </c>
      <c r="F498" s="279"/>
      <c r="G498" s="278" t="str">
        <f>IFNA(IF(VLOOKUP(RC_OUT[BLOCK],RC_IN[[BLOCK]:[BLOCK LOC]],2,FALSE)=0,"",VLOOKUP(RC_OUT[BLOCK],RC_IN[[BLOCK]:[BLOCK LOC]],2,FALSE)),"")</f>
        <v/>
      </c>
      <c r="I498" s="263" t="str">
        <f>IFERROR(AVERAGEIFS(RC_IN[MC],RC_IN[BLOCK],RC_OUT[BLOCK]),"")</f>
        <v/>
      </c>
      <c r="J498" s="264">
        <f t="shared" si="1"/>
        <v>0</v>
      </c>
      <c r="K498" s="246"/>
      <c r="L498" s="246"/>
      <c r="M498" s="249" t="str">
        <f t="shared" si="2"/>
        <v/>
      </c>
      <c r="N498" s="266">
        <f t="shared" si="3"/>
        <v>0</v>
      </c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</row>
    <row r="499">
      <c r="A499" s="273">
        <v>45730.0</v>
      </c>
      <c r="B499" s="275" t="s">
        <v>1178</v>
      </c>
      <c r="C499" s="275" t="s">
        <v>1185</v>
      </c>
      <c r="D499" s="276">
        <v>1630.0</v>
      </c>
      <c r="E499" s="275" t="s">
        <v>1017</v>
      </c>
      <c r="F499" s="279"/>
      <c r="G499" s="278" t="str">
        <f>IFNA(IF(VLOOKUP(RC_OUT[BLOCK],RC_IN[[BLOCK]:[BLOCK LOC]],2,FALSE)=0,"",VLOOKUP(RC_OUT[BLOCK],RC_IN[[BLOCK]:[BLOCK LOC]],2,FALSE)),"")</f>
        <v/>
      </c>
      <c r="I499" s="263" t="str">
        <f>IFERROR(AVERAGEIFS(RC_IN[MC],RC_IN[BLOCK],RC_OUT[BLOCK]),"")</f>
        <v/>
      </c>
      <c r="J499" s="264">
        <f t="shared" si="1"/>
        <v>0</v>
      </c>
      <c r="K499" s="246"/>
      <c r="L499" s="246"/>
      <c r="M499" s="249" t="str">
        <f t="shared" si="2"/>
        <v/>
      </c>
      <c r="N499" s="266">
        <f t="shared" si="3"/>
        <v>0</v>
      </c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</row>
    <row r="500">
      <c r="A500" s="273">
        <v>45730.0</v>
      </c>
      <c r="B500" s="275" t="s">
        <v>1178</v>
      </c>
      <c r="C500" s="275" t="s">
        <v>1187</v>
      </c>
      <c r="D500" s="276">
        <v>10813.0</v>
      </c>
      <c r="E500" s="275" t="s">
        <v>1017</v>
      </c>
      <c r="F500" s="279"/>
      <c r="G500" s="278" t="str">
        <f>IFNA(IF(VLOOKUP(RC_OUT[BLOCK],RC_IN[[BLOCK]:[BLOCK LOC]],2,FALSE)=0,"",VLOOKUP(RC_OUT[BLOCK],RC_IN[[BLOCK]:[BLOCK LOC]],2,FALSE)),"")</f>
        <v/>
      </c>
      <c r="I500" s="263" t="str">
        <f>IFERROR(AVERAGEIFS(RC_IN[MC],RC_IN[BLOCK],RC_OUT[BLOCK]),"")</f>
        <v/>
      </c>
      <c r="J500" s="264">
        <f t="shared" si="1"/>
        <v>0</v>
      </c>
      <c r="K500" s="246"/>
      <c r="L500" s="246"/>
      <c r="M500" s="249" t="str">
        <f t="shared" si="2"/>
        <v/>
      </c>
      <c r="N500" s="266">
        <f t="shared" si="3"/>
        <v>0</v>
      </c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</row>
    <row r="501">
      <c r="A501" s="273">
        <v>45730.0</v>
      </c>
      <c r="B501" s="275" t="s">
        <v>1178</v>
      </c>
      <c r="C501" s="275" t="s">
        <v>1188</v>
      </c>
      <c r="D501" s="276">
        <v>19728.0</v>
      </c>
      <c r="E501" s="275" t="s">
        <v>1017</v>
      </c>
      <c r="F501" s="279"/>
      <c r="G501" s="278" t="str">
        <f>IFNA(IF(VLOOKUP(RC_OUT[BLOCK],RC_IN[[BLOCK]:[BLOCK LOC]],2,FALSE)=0,"",VLOOKUP(RC_OUT[BLOCK],RC_IN[[BLOCK]:[BLOCK LOC]],2,FALSE)),"")</f>
        <v/>
      </c>
      <c r="I501" s="263" t="str">
        <f>IFERROR(AVERAGEIFS(RC_IN[MC],RC_IN[BLOCK],RC_OUT[BLOCK]),"")</f>
        <v/>
      </c>
      <c r="J501" s="264">
        <f t="shared" si="1"/>
        <v>0</v>
      </c>
      <c r="K501" s="246"/>
      <c r="L501" s="246"/>
      <c r="M501" s="249" t="str">
        <f t="shared" si="2"/>
        <v/>
      </c>
      <c r="N501" s="266">
        <f t="shared" si="3"/>
        <v>0</v>
      </c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</row>
    <row r="502">
      <c r="A502" s="273">
        <v>45731.0</v>
      </c>
      <c r="B502" s="275" t="s">
        <v>1178</v>
      </c>
      <c r="C502" s="275" t="s">
        <v>1181</v>
      </c>
      <c r="D502" s="276">
        <v>913.0</v>
      </c>
      <c r="E502" s="275" t="s">
        <v>1017</v>
      </c>
      <c r="F502" s="279"/>
      <c r="G502" s="278" t="str">
        <f>IFNA(IF(VLOOKUP(RC_OUT[BLOCK],RC_IN[[BLOCK]:[BLOCK LOC]],2,FALSE)=0,"",VLOOKUP(RC_OUT[BLOCK],RC_IN[[BLOCK]:[BLOCK LOC]],2,FALSE)),"")</f>
        <v/>
      </c>
      <c r="I502" s="263" t="str">
        <f>IFERROR(AVERAGEIFS(RC_IN[MC],RC_IN[BLOCK],RC_OUT[BLOCK]),"")</f>
        <v/>
      </c>
      <c r="J502" s="264">
        <f t="shared" si="1"/>
        <v>0</v>
      </c>
      <c r="K502" s="246"/>
      <c r="L502" s="246"/>
      <c r="M502" s="249" t="str">
        <f t="shared" si="2"/>
        <v/>
      </c>
      <c r="N502" s="266">
        <f t="shared" si="3"/>
        <v>0</v>
      </c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</row>
    <row r="503">
      <c r="A503" s="273">
        <v>45731.0</v>
      </c>
      <c r="B503" s="275" t="s">
        <v>1178</v>
      </c>
      <c r="C503" s="275" t="s">
        <v>1185</v>
      </c>
      <c r="D503" s="276">
        <v>1351.0</v>
      </c>
      <c r="E503" s="275" t="s">
        <v>1017</v>
      </c>
      <c r="F503" s="279"/>
      <c r="G503" s="278" t="str">
        <f>IFNA(IF(VLOOKUP(RC_OUT[BLOCK],RC_IN[[BLOCK]:[BLOCK LOC]],2,FALSE)=0,"",VLOOKUP(RC_OUT[BLOCK],RC_IN[[BLOCK]:[BLOCK LOC]],2,FALSE)),"")</f>
        <v/>
      </c>
      <c r="I503" s="263" t="str">
        <f>IFERROR(AVERAGEIFS(RC_IN[MC],RC_IN[BLOCK],RC_OUT[BLOCK]),"")</f>
        <v/>
      </c>
      <c r="J503" s="264">
        <f t="shared" si="1"/>
        <v>0</v>
      </c>
      <c r="K503" s="246"/>
      <c r="L503" s="246"/>
      <c r="M503" s="249" t="str">
        <f t="shared" si="2"/>
        <v/>
      </c>
      <c r="N503" s="266">
        <f t="shared" si="3"/>
        <v>0</v>
      </c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</row>
    <row r="504">
      <c r="A504" s="273">
        <v>45731.0</v>
      </c>
      <c r="B504" s="275" t="s">
        <v>1178</v>
      </c>
      <c r="C504" s="275" t="s">
        <v>1187</v>
      </c>
      <c r="D504" s="276">
        <v>5433.0</v>
      </c>
      <c r="E504" s="275" t="s">
        <v>1189</v>
      </c>
      <c r="F504" s="279"/>
      <c r="G504" s="278" t="str">
        <f>IFNA(IF(VLOOKUP(RC_OUT[BLOCK],RC_IN[[BLOCK]:[BLOCK LOC]],2,FALSE)=0,"",VLOOKUP(RC_OUT[BLOCK],RC_IN[[BLOCK]:[BLOCK LOC]],2,FALSE)),"")</f>
        <v/>
      </c>
      <c r="I504" s="263" t="str">
        <f>IFERROR(AVERAGEIFS(RC_IN[MC],RC_IN[BLOCK],RC_OUT[BLOCK]),"")</f>
        <v/>
      </c>
      <c r="J504" s="264">
        <f t="shared" si="1"/>
        <v>0</v>
      </c>
      <c r="K504" s="246"/>
      <c r="L504" s="246"/>
      <c r="M504" s="249" t="str">
        <f t="shared" si="2"/>
        <v/>
      </c>
      <c r="N504" s="266">
        <f t="shared" si="3"/>
        <v>0</v>
      </c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</row>
    <row r="505">
      <c r="A505" s="273">
        <v>45731.0</v>
      </c>
      <c r="B505" s="275" t="s">
        <v>1178</v>
      </c>
      <c r="C505" s="275" t="s">
        <v>1190</v>
      </c>
      <c r="D505" s="276">
        <v>500.0</v>
      </c>
      <c r="E505" s="275" t="s">
        <v>1017</v>
      </c>
      <c r="F505" s="279"/>
      <c r="G505" s="278" t="str">
        <f>IFNA(IF(VLOOKUP(RC_OUT[BLOCK],RC_IN[[BLOCK]:[BLOCK LOC]],2,FALSE)=0,"",VLOOKUP(RC_OUT[BLOCK],RC_IN[[BLOCK]:[BLOCK LOC]],2,FALSE)),"")</f>
        <v/>
      </c>
      <c r="I505" s="263" t="str">
        <f>IFERROR(AVERAGEIFS(RC_IN[MC],RC_IN[BLOCK],RC_OUT[BLOCK]),"")</f>
        <v/>
      </c>
      <c r="J505" s="264">
        <f t="shared" si="1"/>
        <v>0</v>
      </c>
      <c r="K505" s="246"/>
      <c r="L505" s="246"/>
      <c r="M505" s="249" t="str">
        <f t="shared" si="2"/>
        <v/>
      </c>
      <c r="N505" s="266">
        <f t="shared" si="3"/>
        <v>0</v>
      </c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</row>
    <row r="506">
      <c r="A506" s="273">
        <v>45731.0</v>
      </c>
      <c r="B506" s="275" t="s">
        <v>1178</v>
      </c>
      <c r="C506" s="275" t="s">
        <v>1188</v>
      </c>
      <c r="D506" s="276">
        <v>9922.0</v>
      </c>
      <c r="E506" s="275" t="s">
        <v>1017</v>
      </c>
      <c r="F506" s="279"/>
      <c r="G506" s="278" t="str">
        <f>IFNA(IF(VLOOKUP(RC_OUT[BLOCK],RC_IN[[BLOCK]:[BLOCK LOC]],2,FALSE)=0,"",VLOOKUP(RC_OUT[BLOCK],RC_IN[[BLOCK]:[BLOCK LOC]],2,FALSE)),"")</f>
        <v/>
      </c>
      <c r="I506" s="263" t="str">
        <f>IFERROR(AVERAGEIFS(RC_IN[MC],RC_IN[BLOCK],RC_OUT[BLOCK]),"")</f>
        <v/>
      </c>
      <c r="J506" s="264">
        <f t="shared" si="1"/>
        <v>0</v>
      </c>
      <c r="K506" s="246"/>
      <c r="L506" s="246"/>
      <c r="M506" s="249" t="str">
        <f t="shared" si="2"/>
        <v/>
      </c>
      <c r="N506" s="266">
        <f t="shared" si="3"/>
        <v>0</v>
      </c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</row>
    <row r="507">
      <c r="A507" s="273">
        <v>45734.0</v>
      </c>
      <c r="B507" s="275" t="s">
        <v>1178</v>
      </c>
      <c r="C507" s="275" t="s">
        <v>1181</v>
      </c>
      <c r="D507" s="276">
        <v>2751.0</v>
      </c>
      <c r="E507" s="275" t="s">
        <v>1017</v>
      </c>
      <c r="F507" s="279"/>
      <c r="G507" s="278" t="str">
        <f>IFNA(IF(VLOOKUP(RC_OUT[BLOCK],RC_IN[[BLOCK]:[BLOCK LOC]],2,FALSE)=0,"",VLOOKUP(RC_OUT[BLOCK],RC_IN[[BLOCK]:[BLOCK LOC]],2,FALSE)),"")</f>
        <v/>
      </c>
      <c r="I507" s="263" t="str">
        <f>IFERROR(AVERAGEIFS(RC_IN[MC],RC_IN[BLOCK],RC_OUT[BLOCK]),"")</f>
        <v/>
      </c>
      <c r="J507" s="264">
        <f t="shared" si="1"/>
        <v>0</v>
      </c>
      <c r="K507" s="246"/>
      <c r="L507" s="246"/>
      <c r="M507" s="249" t="str">
        <f t="shared" si="2"/>
        <v/>
      </c>
      <c r="N507" s="266">
        <f t="shared" si="3"/>
        <v>0</v>
      </c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</row>
    <row r="508">
      <c r="A508" s="273">
        <v>45734.0</v>
      </c>
      <c r="B508" s="275" t="s">
        <v>1178</v>
      </c>
      <c r="C508" s="275" t="s">
        <v>1185</v>
      </c>
      <c r="D508" s="276">
        <v>3184.0</v>
      </c>
      <c r="E508" s="275" t="s">
        <v>1017</v>
      </c>
      <c r="F508" s="279"/>
      <c r="G508" s="278" t="str">
        <f>IFNA(IF(VLOOKUP(RC_OUT[BLOCK],RC_IN[[BLOCK]:[BLOCK LOC]],2,FALSE)=0,"",VLOOKUP(RC_OUT[BLOCK],RC_IN[[BLOCK]:[BLOCK LOC]],2,FALSE)),"")</f>
        <v/>
      </c>
      <c r="I508" s="263" t="str">
        <f>IFERROR(AVERAGEIFS(RC_IN[MC],RC_IN[BLOCK],RC_OUT[BLOCK]),"")</f>
        <v/>
      </c>
      <c r="J508" s="264">
        <f t="shared" si="1"/>
        <v>0</v>
      </c>
      <c r="K508" s="246"/>
      <c r="L508" s="246"/>
      <c r="M508" s="249" t="str">
        <f t="shared" si="2"/>
        <v/>
      </c>
      <c r="N508" s="266">
        <f t="shared" si="3"/>
        <v>0</v>
      </c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</row>
    <row r="509">
      <c r="A509" s="273">
        <v>45734.0</v>
      </c>
      <c r="B509" s="275" t="s">
        <v>1178</v>
      </c>
      <c r="C509" s="275" t="s">
        <v>1187</v>
      </c>
      <c r="D509" s="276">
        <v>14845.0</v>
      </c>
      <c r="E509" s="275" t="s">
        <v>1017</v>
      </c>
      <c r="F509" s="279"/>
      <c r="G509" s="278" t="str">
        <f>IFNA(IF(VLOOKUP(RC_OUT[BLOCK],RC_IN[[BLOCK]:[BLOCK LOC]],2,FALSE)=0,"",VLOOKUP(RC_OUT[BLOCK],RC_IN[[BLOCK]:[BLOCK LOC]],2,FALSE)),"")</f>
        <v/>
      </c>
      <c r="I509" s="263" t="str">
        <f>IFERROR(AVERAGEIFS(RC_IN[MC],RC_IN[BLOCK],RC_OUT[BLOCK]),"")</f>
        <v/>
      </c>
      <c r="J509" s="264">
        <f t="shared" si="1"/>
        <v>0</v>
      </c>
      <c r="K509" s="246"/>
      <c r="L509" s="246"/>
      <c r="M509" s="249" t="str">
        <f t="shared" si="2"/>
        <v/>
      </c>
      <c r="N509" s="266">
        <f t="shared" si="3"/>
        <v>0</v>
      </c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</row>
    <row r="510">
      <c r="A510" s="273">
        <v>45734.0</v>
      </c>
      <c r="B510" s="275" t="s">
        <v>1178</v>
      </c>
      <c r="C510" s="275" t="s">
        <v>1190</v>
      </c>
      <c r="D510" s="276">
        <v>500.0</v>
      </c>
      <c r="E510" s="275" t="s">
        <v>1017</v>
      </c>
      <c r="F510" s="279"/>
      <c r="G510" s="278" t="str">
        <f>IFNA(IF(VLOOKUP(RC_OUT[BLOCK],RC_IN[[BLOCK]:[BLOCK LOC]],2,FALSE)=0,"",VLOOKUP(RC_OUT[BLOCK],RC_IN[[BLOCK]:[BLOCK LOC]],2,FALSE)),"")</f>
        <v/>
      </c>
      <c r="I510" s="263" t="str">
        <f>IFERROR(AVERAGEIFS(RC_IN[MC],RC_IN[BLOCK],RC_OUT[BLOCK]),"")</f>
        <v/>
      </c>
      <c r="J510" s="264">
        <f t="shared" si="1"/>
        <v>0</v>
      </c>
      <c r="K510" s="246"/>
      <c r="L510" s="246"/>
      <c r="M510" s="249" t="str">
        <f t="shared" si="2"/>
        <v/>
      </c>
      <c r="N510" s="266">
        <f t="shared" si="3"/>
        <v>0</v>
      </c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</row>
    <row r="511">
      <c r="A511" s="273">
        <v>45734.0</v>
      </c>
      <c r="B511" s="275" t="s">
        <v>1178</v>
      </c>
      <c r="C511" s="275" t="s">
        <v>1188</v>
      </c>
      <c r="D511" s="276">
        <v>26429.0</v>
      </c>
      <c r="E511" s="275" t="s">
        <v>1017</v>
      </c>
      <c r="F511" s="279"/>
      <c r="G511" s="278" t="str">
        <f>IFNA(IF(VLOOKUP(RC_OUT[BLOCK],RC_IN[[BLOCK]:[BLOCK LOC]],2,FALSE)=0,"",VLOOKUP(RC_OUT[BLOCK],RC_IN[[BLOCK]:[BLOCK LOC]],2,FALSE)),"")</f>
        <v/>
      </c>
      <c r="I511" s="263" t="str">
        <f>IFERROR(AVERAGEIFS(RC_IN[MC],RC_IN[BLOCK],RC_OUT[BLOCK]),"")</f>
        <v/>
      </c>
      <c r="J511" s="264">
        <f t="shared" si="1"/>
        <v>0</v>
      </c>
      <c r="K511" s="246"/>
      <c r="L511" s="246"/>
      <c r="M511" s="249" t="str">
        <f t="shared" si="2"/>
        <v/>
      </c>
      <c r="N511" s="266">
        <f t="shared" si="3"/>
        <v>0</v>
      </c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</row>
    <row r="512">
      <c r="A512" s="273">
        <v>45735.0</v>
      </c>
      <c r="B512" s="275" t="s">
        <v>1178</v>
      </c>
      <c r="C512" s="275" t="s">
        <v>1181</v>
      </c>
      <c r="D512" s="276">
        <v>2169.0</v>
      </c>
      <c r="E512" s="275" t="s">
        <v>1017</v>
      </c>
      <c r="F512" s="279"/>
      <c r="G512" s="278" t="str">
        <f>IFNA(IF(VLOOKUP(RC_OUT[BLOCK],RC_IN[[BLOCK]:[BLOCK LOC]],2,FALSE)=0,"",VLOOKUP(RC_OUT[BLOCK],RC_IN[[BLOCK]:[BLOCK LOC]],2,FALSE)),"")</f>
        <v/>
      </c>
      <c r="I512" s="263" t="str">
        <f>IFERROR(AVERAGEIFS(RC_IN[MC],RC_IN[BLOCK],RC_OUT[BLOCK]),"")</f>
        <v/>
      </c>
      <c r="J512" s="264">
        <f t="shared" si="1"/>
        <v>0</v>
      </c>
      <c r="K512" s="246"/>
      <c r="L512" s="246"/>
      <c r="M512" s="249" t="str">
        <f t="shared" si="2"/>
        <v/>
      </c>
      <c r="N512" s="266">
        <f t="shared" si="3"/>
        <v>0</v>
      </c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</row>
    <row r="513">
      <c r="A513" s="273">
        <v>45735.0</v>
      </c>
      <c r="B513" s="275" t="s">
        <v>1178</v>
      </c>
      <c r="C513" s="275" t="s">
        <v>1185</v>
      </c>
      <c r="D513" s="276">
        <v>2400.0</v>
      </c>
      <c r="E513" s="275" t="s">
        <v>1017</v>
      </c>
      <c r="F513" s="279"/>
      <c r="G513" s="278" t="str">
        <f>IFNA(IF(VLOOKUP(RC_OUT[BLOCK],RC_IN[[BLOCK]:[BLOCK LOC]],2,FALSE)=0,"",VLOOKUP(RC_OUT[BLOCK],RC_IN[[BLOCK]:[BLOCK LOC]],2,FALSE)),"")</f>
        <v/>
      </c>
      <c r="I513" s="263" t="str">
        <f>IFERROR(AVERAGEIFS(RC_IN[MC],RC_IN[BLOCK],RC_OUT[BLOCK]),"")</f>
        <v/>
      </c>
      <c r="J513" s="264">
        <f t="shared" si="1"/>
        <v>0</v>
      </c>
      <c r="K513" s="246"/>
      <c r="L513" s="246"/>
      <c r="M513" s="249" t="str">
        <f t="shared" si="2"/>
        <v/>
      </c>
      <c r="N513" s="266">
        <f t="shared" si="3"/>
        <v>0</v>
      </c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</row>
    <row r="514">
      <c r="A514" s="273">
        <v>45735.0</v>
      </c>
      <c r="B514" s="275" t="s">
        <v>1178</v>
      </c>
      <c r="C514" s="275" t="s">
        <v>1187</v>
      </c>
      <c r="D514" s="276">
        <v>10576.0</v>
      </c>
      <c r="E514" s="275" t="s">
        <v>1017</v>
      </c>
      <c r="F514" s="279"/>
      <c r="G514" s="278" t="str">
        <f>IFNA(IF(VLOOKUP(RC_OUT[BLOCK],RC_IN[[BLOCK]:[BLOCK LOC]],2,FALSE)=0,"",VLOOKUP(RC_OUT[BLOCK],RC_IN[[BLOCK]:[BLOCK LOC]],2,FALSE)),"")</f>
        <v/>
      </c>
      <c r="I514" s="263" t="str">
        <f>IFERROR(AVERAGEIFS(RC_IN[MC],RC_IN[BLOCK],RC_OUT[BLOCK]),"")</f>
        <v/>
      </c>
      <c r="J514" s="264">
        <f t="shared" si="1"/>
        <v>0</v>
      </c>
      <c r="K514" s="246"/>
      <c r="L514" s="246"/>
      <c r="M514" s="249" t="str">
        <f t="shared" si="2"/>
        <v/>
      </c>
      <c r="N514" s="266">
        <f t="shared" si="3"/>
        <v>0</v>
      </c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</row>
    <row r="515">
      <c r="A515" s="273">
        <v>45735.0</v>
      </c>
      <c r="B515" s="275" t="s">
        <v>1178</v>
      </c>
      <c r="C515" s="275" t="s">
        <v>1190</v>
      </c>
      <c r="D515" s="276">
        <v>500.0</v>
      </c>
      <c r="E515" s="275" t="s">
        <v>1017</v>
      </c>
      <c r="F515" s="279"/>
      <c r="G515" s="278" t="str">
        <f>IFNA(IF(VLOOKUP(RC_OUT[BLOCK],RC_IN[[BLOCK]:[BLOCK LOC]],2,FALSE)=0,"",VLOOKUP(RC_OUT[BLOCK],RC_IN[[BLOCK]:[BLOCK LOC]],2,FALSE)),"")</f>
        <v/>
      </c>
      <c r="I515" s="263" t="str">
        <f>IFERROR(AVERAGEIFS(RC_IN[MC],RC_IN[BLOCK],RC_OUT[BLOCK]),"")</f>
        <v/>
      </c>
      <c r="J515" s="264">
        <f t="shared" si="1"/>
        <v>0</v>
      </c>
      <c r="K515" s="246"/>
      <c r="L515" s="246"/>
      <c r="M515" s="249" t="str">
        <f t="shared" si="2"/>
        <v/>
      </c>
      <c r="N515" s="266">
        <f t="shared" si="3"/>
        <v>0</v>
      </c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</row>
    <row r="516">
      <c r="A516" s="273">
        <v>45735.0</v>
      </c>
      <c r="B516" s="275" t="s">
        <v>1178</v>
      </c>
      <c r="C516" s="275" t="s">
        <v>1188</v>
      </c>
      <c r="D516" s="276">
        <v>5083.0</v>
      </c>
      <c r="E516" s="275" t="s">
        <v>1017</v>
      </c>
      <c r="F516" s="277" t="s">
        <v>1059</v>
      </c>
      <c r="G516" s="278" t="str">
        <f>IFNA(IF(VLOOKUP(RC_OUT[BLOCK],RC_IN[[BLOCK]:[BLOCK LOC]],2,FALSE)=0,"",VLOOKUP(RC_OUT[BLOCK],RC_IN[[BLOCK]:[BLOCK LOC]],2,FALSE)),"")</f>
        <v/>
      </c>
      <c r="I516" s="263" t="str">
        <f>IFERROR(AVERAGEIFS(RC_IN[MC],RC_IN[BLOCK],RC_OUT[BLOCK]),"")</f>
        <v/>
      </c>
      <c r="J516" s="264">
        <f t="shared" si="1"/>
        <v>0</v>
      </c>
      <c r="K516" s="246"/>
      <c r="L516" s="246"/>
      <c r="M516" s="249" t="str">
        <f t="shared" si="2"/>
        <v/>
      </c>
      <c r="N516" s="266">
        <f t="shared" si="3"/>
        <v>0</v>
      </c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</row>
    <row r="517">
      <c r="A517" s="273">
        <v>45735.0</v>
      </c>
      <c r="B517" s="275" t="s">
        <v>1178</v>
      </c>
      <c r="C517" s="275" t="s">
        <v>1191</v>
      </c>
      <c r="D517" s="276">
        <v>12011.0</v>
      </c>
      <c r="E517" s="275" t="s">
        <v>1017</v>
      </c>
      <c r="F517" s="279"/>
      <c r="G517" s="278" t="str">
        <f>IFNA(IF(VLOOKUP(RC_OUT[BLOCK],RC_IN[[BLOCK]:[BLOCK LOC]],2,FALSE)=0,"",VLOOKUP(RC_OUT[BLOCK],RC_IN[[BLOCK]:[BLOCK LOC]],2,FALSE)),"")</f>
        <v/>
      </c>
      <c r="I517" s="263" t="str">
        <f>IFERROR(AVERAGEIFS(RC_IN[MC],RC_IN[BLOCK],RC_OUT[BLOCK]),"")</f>
        <v/>
      </c>
      <c r="J517" s="264">
        <f t="shared" si="1"/>
        <v>0</v>
      </c>
      <c r="K517" s="246"/>
      <c r="L517" s="246"/>
      <c r="M517" s="249" t="str">
        <f t="shared" si="2"/>
        <v/>
      </c>
      <c r="N517" s="266">
        <f t="shared" si="3"/>
        <v>0</v>
      </c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</row>
    <row r="518">
      <c r="A518" s="273">
        <v>45736.0</v>
      </c>
      <c r="B518" s="275" t="s">
        <v>1178</v>
      </c>
      <c r="C518" s="275" t="s">
        <v>1181</v>
      </c>
      <c r="D518" s="276">
        <v>1945.0</v>
      </c>
      <c r="E518" s="275" t="s">
        <v>1017</v>
      </c>
      <c r="F518" s="279"/>
      <c r="G518" s="278" t="str">
        <f>IFNA(IF(VLOOKUP(RC_OUT[BLOCK],RC_IN[[BLOCK]:[BLOCK LOC]],2,FALSE)=0,"",VLOOKUP(RC_OUT[BLOCK],RC_IN[[BLOCK]:[BLOCK LOC]],2,FALSE)),"")</f>
        <v/>
      </c>
      <c r="I518" s="263" t="str">
        <f>IFERROR(AVERAGEIFS(RC_IN[MC],RC_IN[BLOCK],RC_OUT[BLOCK]),"")</f>
        <v/>
      </c>
      <c r="J518" s="264">
        <f t="shared" si="1"/>
        <v>0</v>
      </c>
      <c r="K518" s="246"/>
      <c r="L518" s="246"/>
      <c r="M518" s="249" t="str">
        <f t="shared" si="2"/>
        <v/>
      </c>
      <c r="N518" s="266">
        <f t="shared" si="3"/>
        <v>0</v>
      </c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</row>
    <row r="519">
      <c r="A519" s="273">
        <v>45736.0</v>
      </c>
      <c r="B519" s="275" t="s">
        <v>1178</v>
      </c>
      <c r="C519" s="275" t="s">
        <v>1185</v>
      </c>
      <c r="D519" s="276">
        <v>1865.0</v>
      </c>
      <c r="E519" s="275" t="s">
        <v>1017</v>
      </c>
      <c r="F519" s="279"/>
      <c r="G519" s="278" t="str">
        <f>IFNA(IF(VLOOKUP(RC_OUT[BLOCK],RC_IN[[BLOCK]:[BLOCK LOC]],2,FALSE)=0,"",VLOOKUP(RC_OUT[BLOCK],RC_IN[[BLOCK]:[BLOCK LOC]],2,FALSE)),"")</f>
        <v/>
      </c>
      <c r="I519" s="263" t="str">
        <f>IFERROR(AVERAGEIFS(RC_IN[MC],RC_IN[BLOCK],RC_OUT[BLOCK]),"")</f>
        <v/>
      </c>
      <c r="J519" s="264">
        <f t="shared" si="1"/>
        <v>0</v>
      </c>
      <c r="K519" s="246"/>
      <c r="L519" s="246"/>
      <c r="M519" s="249" t="str">
        <f t="shared" si="2"/>
        <v/>
      </c>
      <c r="N519" s="266">
        <f t="shared" si="3"/>
        <v>0</v>
      </c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</row>
    <row r="520">
      <c r="A520" s="273">
        <v>45736.0</v>
      </c>
      <c r="B520" s="275" t="s">
        <v>1178</v>
      </c>
      <c r="C520" s="275" t="s">
        <v>1192</v>
      </c>
      <c r="D520" s="276">
        <v>7842.0</v>
      </c>
      <c r="E520" s="275" t="s">
        <v>1017</v>
      </c>
      <c r="F520" s="279"/>
      <c r="G520" s="278" t="str">
        <f>IFNA(IF(VLOOKUP(RC_OUT[BLOCK],RC_IN[[BLOCK]:[BLOCK LOC]],2,FALSE)=0,"",VLOOKUP(RC_OUT[BLOCK],RC_IN[[BLOCK]:[BLOCK LOC]],2,FALSE)),"")</f>
        <v/>
      </c>
      <c r="I520" s="263" t="str">
        <f>IFERROR(AVERAGEIFS(RC_IN[MC],RC_IN[BLOCK],RC_OUT[BLOCK]),"")</f>
        <v/>
      </c>
      <c r="J520" s="264">
        <f t="shared" si="1"/>
        <v>0</v>
      </c>
      <c r="K520" s="246"/>
      <c r="L520" s="246"/>
      <c r="M520" s="249" t="str">
        <f t="shared" si="2"/>
        <v/>
      </c>
      <c r="N520" s="266">
        <f t="shared" si="3"/>
        <v>0</v>
      </c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</row>
    <row r="521">
      <c r="A521" s="273">
        <v>45736.0</v>
      </c>
      <c r="B521" s="275" t="s">
        <v>1178</v>
      </c>
      <c r="C521" s="275" t="s">
        <v>1187</v>
      </c>
      <c r="D521" s="276">
        <v>2578.0</v>
      </c>
      <c r="E521" s="275" t="s">
        <v>1017</v>
      </c>
      <c r="F521" s="277" t="s">
        <v>1059</v>
      </c>
      <c r="G521" s="278" t="str">
        <f>IFNA(IF(VLOOKUP(RC_OUT[BLOCK],RC_IN[[BLOCK]:[BLOCK LOC]],2,FALSE)=0,"",VLOOKUP(RC_OUT[BLOCK],RC_IN[[BLOCK]:[BLOCK LOC]],2,FALSE)),"")</f>
        <v/>
      </c>
      <c r="I521" s="263" t="str">
        <f>IFERROR(AVERAGEIFS(RC_IN[MC],RC_IN[BLOCK],RC_OUT[BLOCK]),"")</f>
        <v/>
      </c>
      <c r="J521" s="264">
        <f t="shared" si="1"/>
        <v>0</v>
      </c>
      <c r="K521" s="246"/>
      <c r="L521" s="246"/>
      <c r="M521" s="249" t="str">
        <f t="shared" si="2"/>
        <v/>
      </c>
      <c r="N521" s="266">
        <f t="shared" si="3"/>
        <v>0</v>
      </c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</row>
    <row r="522">
      <c r="A522" s="273">
        <v>45736.0</v>
      </c>
      <c r="B522" s="275" t="s">
        <v>1178</v>
      </c>
      <c r="C522" s="275" t="s">
        <v>1190</v>
      </c>
      <c r="D522" s="276">
        <v>500.0</v>
      </c>
      <c r="E522" s="275" t="s">
        <v>1017</v>
      </c>
      <c r="F522" s="279"/>
      <c r="G522" s="278" t="str">
        <f>IFNA(IF(VLOOKUP(RC_OUT[BLOCK],RC_IN[[BLOCK]:[BLOCK LOC]],2,FALSE)=0,"",VLOOKUP(RC_OUT[BLOCK],RC_IN[[BLOCK]:[BLOCK LOC]],2,FALSE)),"")</f>
        <v/>
      </c>
      <c r="I522" s="263" t="str">
        <f>IFERROR(AVERAGEIFS(RC_IN[MC],RC_IN[BLOCK],RC_OUT[BLOCK]),"")</f>
        <v/>
      </c>
      <c r="J522" s="264">
        <f t="shared" si="1"/>
        <v>0</v>
      </c>
      <c r="K522" s="246"/>
      <c r="L522" s="246"/>
      <c r="M522" s="249" t="str">
        <f t="shared" si="2"/>
        <v/>
      </c>
      <c r="N522" s="266">
        <f t="shared" si="3"/>
        <v>0</v>
      </c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</row>
    <row r="523">
      <c r="A523" s="273">
        <v>45736.0</v>
      </c>
      <c r="B523" s="275" t="s">
        <v>1178</v>
      </c>
      <c r="C523" s="275" t="s">
        <v>1191</v>
      </c>
      <c r="D523" s="276">
        <v>16667.0</v>
      </c>
      <c r="E523" s="275" t="s">
        <v>1017</v>
      </c>
      <c r="F523" s="279"/>
      <c r="G523" s="278" t="str">
        <f>IFNA(IF(VLOOKUP(RC_OUT[BLOCK],RC_IN[[BLOCK]:[BLOCK LOC]],2,FALSE)=0,"",VLOOKUP(RC_OUT[BLOCK],RC_IN[[BLOCK]:[BLOCK LOC]],2,FALSE)),"")</f>
        <v/>
      </c>
      <c r="I523" s="263" t="str">
        <f>IFERROR(AVERAGEIFS(RC_IN[MC],RC_IN[BLOCK],RC_OUT[BLOCK]),"")</f>
        <v/>
      </c>
      <c r="J523" s="264">
        <f t="shared" si="1"/>
        <v>0</v>
      </c>
      <c r="K523" s="246"/>
      <c r="L523" s="246"/>
      <c r="M523" s="249" t="str">
        <f t="shared" si="2"/>
        <v/>
      </c>
      <c r="N523" s="266">
        <f t="shared" si="3"/>
        <v>0</v>
      </c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</row>
    <row r="524">
      <c r="A524" s="273">
        <v>45737.0</v>
      </c>
      <c r="B524" s="275" t="s">
        <v>1178</v>
      </c>
      <c r="C524" s="275" t="s">
        <v>1181</v>
      </c>
      <c r="D524" s="276">
        <v>1873.0</v>
      </c>
      <c r="E524" s="275" t="s">
        <v>1017</v>
      </c>
      <c r="F524" s="279"/>
      <c r="G524" s="278" t="str">
        <f>IFNA(IF(VLOOKUP(RC_OUT[BLOCK],RC_IN[[BLOCK]:[BLOCK LOC]],2,FALSE)=0,"",VLOOKUP(RC_OUT[BLOCK],RC_IN[[BLOCK]:[BLOCK LOC]],2,FALSE)),"")</f>
        <v/>
      </c>
      <c r="I524" s="263" t="str">
        <f>IFERROR(AVERAGEIFS(RC_IN[MC],RC_IN[BLOCK],RC_OUT[BLOCK]),"")</f>
        <v/>
      </c>
      <c r="J524" s="264">
        <f t="shared" si="1"/>
        <v>0</v>
      </c>
      <c r="K524" s="246"/>
      <c r="L524" s="246"/>
      <c r="M524" s="249" t="str">
        <f t="shared" si="2"/>
        <v/>
      </c>
      <c r="N524" s="266">
        <f t="shared" si="3"/>
        <v>0</v>
      </c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</row>
    <row r="525">
      <c r="A525" s="273">
        <v>45737.0</v>
      </c>
      <c r="B525" s="275" t="s">
        <v>1178</v>
      </c>
      <c r="C525" s="275" t="s">
        <v>1185</v>
      </c>
      <c r="D525" s="276">
        <v>2164.0</v>
      </c>
      <c r="E525" s="275" t="s">
        <v>1017</v>
      </c>
      <c r="F525" s="279"/>
      <c r="G525" s="278" t="str">
        <f>IFNA(IF(VLOOKUP(RC_OUT[BLOCK],RC_IN[[BLOCK]:[BLOCK LOC]],2,FALSE)=0,"",VLOOKUP(RC_OUT[BLOCK],RC_IN[[BLOCK]:[BLOCK LOC]],2,FALSE)),"")</f>
        <v/>
      </c>
      <c r="I525" s="263" t="str">
        <f>IFERROR(AVERAGEIFS(RC_IN[MC],RC_IN[BLOCK],RC_OUT[BLOCK]),"")</f>
        <v/>
      </c>
      <c r="J525" s="264">
        <f t="shared" si="1"/>
        <v>0</v>
      </c>
      <c r="K525" s="246"/>
      <c r="L525" s="246"/>
      <c r="M525" s="249" t="str">
        <f t="shared" si="2"/>
        <v/>
      </c>
      <c r="N525" s="266">
        <f t="shared" si="3"/>
        <v>0</v>
      </c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</row>
    <row r="526">
      <c r="A526" s="273">
        <v>45737.0</v>
      </c>
      <c r="B526" s="275" t="s">
        <v>1178</v>
      </c>
      <c r="C526" s="275" t="s">
        <v>1192</v>
      </c>
      <c r="D526" s="276">
        <v>9880.0</v>
      </c>
      <c r="E526" s="275" t="s">
        <v>1017</v>
      </c>
      <c r="F526" s="279"/>
      <c r="G526" s="278" t="str">
        <f>IFNA(IF(VLOOKUP(RC_OUT[BLOCK],RC_IN[[BLOCK]:[BLOCK LOC]],2,FALSE)=0,"",VLOOKUP(RC_OUT[BLOCK],RC_IN[[BLOCK]:[BLOCK LOC]],2,FALSE)),"")</f>
        <v/>
      </c>
      <c r="I526" s="263" t="str">
        <f>IFERROR(AVERAGEIFS(RC_IN[MC],RC_IN[BLOCK],RC_OUT[BLOCK]),"")</f>
        <v/>
      </c>
      <c r="J526" s="264">
        <f t="shared" si="1"/>
        <v>0</v>
      </c>
      <c r="K526" s="246"/>
      <c r="L526" s="246"/>
      <c r="M526" s="249" t="str">
        <f t="shared" si="2"/>
        <v/>
      </c>
      <c r="N526" s="266">
        <f t="shared" si="3"/>
        <v>0</v>
      </c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</row>
    <row r="527">
      <c r="A527" s="273">
        <v>45737.0</v>
      </c>
      <c r="B527" s="275" t="s">
        <v>1178</v>
      </c>
      <c r="C527" s="275" t="s">
        <v>1190</v>
      </c>
      <c r="D527" s="276">
        <v>500.0</v>
      </c>
      <c r="E527" s="275" t="s">
        <v>1017</v>
      </c>
      <c r="F527" s="279"/>
      <c r="G527" s="278" t="str">
        <f>IFNA(IF(VLOOKUP(RC_OUT[BLOCK],RC_IN[[BLOCK]:[BLOCK LOC]],2,FALSE)=0,"",VLOOKUP(RC_OUT[BLOCK],RC_IN[[BLOCK]:[BLOCK LOC]],2,FALSE)),"")</f>
        <v/>
      </c>
      <c r="I527" s="263" t="str">
        <f>IFERROR(AVERAGEIFS(RC_IN[MC],RC_IN[BLOCK],RC_OUT[BLOCK]),"")</f>
        <v/>
      </c>
      <c r="J527" s="264">
        <f t="shared" si="1"/>
        <v>0</v>
      </c>
      <c r="K527" s="246"/>
      <c r="L527" s="246"/>
      <c r="M527" s="249" t="str">
        <f t="shared" si="2"/>
        <v/>
      </c>
      <c r="N527" s="266">
        <f t="shared" si="3"/>
        <v>0</v>
      </c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</row>
    <row r="528">
      <c r="A528" s="273">
        <v>45737.0</v>
      </c>
      <c r="B528" s="275" t="s">
        <v>1178</v>
      </c>
      <c r="C528" s="275" t="s">
        <v>1193</v>
      </c>
      <c r="D528" s="276">
        <v>15848.0</v>
      </c>
      <c r="E528" s="275" t="s">
        <v>1017</v>
      </c>
      <c r="F528" s="279"/>
      <c r="G528" s="278" t="str">
        <f>IFNA(IF(VLOOKUP(RC_OUT[BLOCK],RC_IN[[BLOCK]:[BLOCK LOC]],2,FALSE)=0,"",VLOOKUP(RC_OUT[BLOCK],RC_IN[[BLOCK]:[BLOCK LOC]],2,FALSE)),"")</f>
        <v/>
      </c>
      <c r="I528" s="263" t="str">
        <f>IFERROR(AVERAGEIFS(RC_IN[MC],RC_IN[BLOCK],RC_OUT[BLOCK]),"")</f>
        <v/>
      </c>
      <c r="J528" s="264">
        <f t="shared" si="1"/>
        <v>0</v>
      </c>
      <c r="K528" s="246"/>
      <c r="L528" s="246"/>
      <c r="M528" s="249" t="str">
        <f t="shared" si="2"/>
        <v/>
      </c>
      <c r="N528" s="266">
        <f t="shared" si="3"/>
        <v>0</v>
      </c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</row>
    <row r="529">
      <c r="A529" s="273">
        <v>45737.0</v>
      </c>
      <c r="B529" s="275" t="s">
        <v>1178</v>
      </c>
      <c r="C529" s="275" t="s">
        <v>1191</v>
      </c>
      <c r="D529" s="276">
        <v>2968.0</v>
      </c>
      <c r="E529" s="275" t="s">
        <v>1017</v>
      </c>
      <c r="F529" s="277" t="s">
        <v>1059</v>
      </c>
      <c r="G529" s="278" t="str">
        <f>IFNA(IF(VLOOKUP(RC_OUT[BLOCK],RC_IN[[BLOCK]:[BLOCK LOC]],2,FALSE)=0,"",VLOOKUP(RC_OUT[BLOCK],RC_IN[[BLOCK]:[BLOCK LOC]],2,FALSE)),"")</f>
        <v/>
      </c>
      <c r="I529" s="263" t="str">
        <f>IFERROR(AVERAGEIFS(RC_IN[MC],RC_IN[BLOCK],RC_OUT[BLOCK]),"")</f>
        <v/>
      </c>
      <c r="J529" s="264">
        <f t="shared" si="1"/>
        <v>0</v>
      </c>
      <c r="K529" s="246"/>
      <c r="L529" s="246"/>
      <c r="M529" s="249" t="str">
        <f t="shared" si="2"/>
        <v/>
      </c>
      <c r="N529" s="266">
        <f t="shared" si="3"/>
        <v>0</v>
      </c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</row>
    <row r="530">
      <c r="A530" s="273">
        <v>45738.0</v>
      </c>
      <c r="B530" s="275" t="s">
        <v>1178</v>
      </c>
      <c r="C530" s="275" t="s">
        <v>1181</v>
      </c>
      <c r="D530" s="276">
        <v>1785.0</v>
      </c>
      <c r="E530" s="275" t="s">
        <v>1017</v>
      </c>
      <c r="F530" s="277" t="s">
        <v>1059</v>
      </c>
      <c r="G530" s="278" t="str">
        <f>IFNA(IF(VLOOKUP(RC_OUT[BLOCK],RC_IN[[BLOCK]:[BLOCK LOC]],2,FALSE)=0,"",VLOOKUP(RC_OUT[BLOCK],RC_IN[[BLOCK]:[BLOCK LOC]],2,FALSE)),"")</f>
        <v/>
      </c>
      <c r="I530" s="263" t="str">
        <f>IFERROR(AVERAGEIFS(RC_IN[MC],RC_IN[BLOCK],RC_OUT[BLOCK]),"")</f>
        <v/>
      </c>
      <c r="J530" s="264">
        <f t="shared" si="1"/>
        <v>0</v>
      </c>
      <c r="K530" s="246"/>
      <c r="L530" s="246"/>
      <c r="M530" s="249" t="str">
        <f t="shared" si="2"/>
        <v/>
      </c>
      <c r="N530" s="266">
        <f t="shared" si="3"/>
        <v>0</v>
      </c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</row>
    <row r="531">
      <c r="A531" s="273">
        <v>45738.0</v>
      </c>
      <c r="B531" s="275" t="s">
        <v>1178</v>
      </c>
      <c r="C531" s="275" t="s">
        <v>1185</v>
      </c>
      <c r="D531" s="276">
        <v>2700.0</v>
      </c>
      <c r="E531" s="275" t="s">
        <v>1017</v>
      </c>
      <c r="F531" s="279"/>
      <c r="G531" s="278" t="str">
        <f>IFNA(IF(VLOOKUP(RC_OUT[BLOCK],RC_IN[[BLOCK]:[BLOCK LOC]],2,FALSE)=0,"",VLOOKUP(RC_OUT[BLOCK],RC_IN[[BLOCK]:[BLOCK LOC]],2,FALSE)),"")</f>
        <v/>
      </c>
      <c r="I531" s="263" t="str">
        <f>IFERROR(AVERAGEIFS(RC_IN[MC],RC_IN[BLOCK],RC_OUT[BLOCK]),"")</f>
        <v/>
      </c>
      <c r="J531" s="264">
        <f t="shared" si="1"/>
        <v>0</v>
      </c>
      <c r="K531" s="246"/>
      <c r="L531" s="246"/>
      <c r="M531" s="249" t="str">
        <f t="shared" si="2"/>
        <v/>
      </c>
      <c r="N531" s="266">
        <f t="shared" si="3"/>
        <v>0</v>
      </c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</row>
    <row r="532">
      <c r="A532" s="273">
        <v>45738.0</v>
      </c>
      <c r="B532" s="275" t="s">
        <v>1178</v>
      </c>
      <c r="C532" s="275" t="s">
        <v>1192</v>
      </c>
      <c r="D532" s="276">
        <v>14812.0</v>
      </c>
      <c r="E532" s="275" t="s">
        <v>1017</v>
      </c>
      <c r="F532" s="279"/>
      <c r="G532" s="278" t="str">
        <f>IFNA(IF(VLOOKUP(RC_OUT[BLOCK],RC_IN[[BLOCK]:[BLOCK LOC]],2,FALSE)=0,"",VLOOKUP(RC_OUT[BLOCK],RC_IN[[BLOCK]:[BLOCK LOC]],2,FALSE)),"")</f>
        <v/>
      </c>
      <c r="I532" s="263" t="str">
        <f>IFERROR(AVERAGEIFS(RC_IN[MC],RC_IN[BLOCK],RC_OUT[BLOCK]),"")</f>
        <v/>
      </c>
      <c r="J532" s="264">
        <f t="shared" si="1"/>
        <v>0</v>
      </c>
      <c r="K532" s="246"/>
      <c r="L532" s="246"/>
      <c r="M532" s="249" t="str">
        <f t="shared" si="2"/>
        <v/>
      </c>
      <c r="N532" s="266">
        <f t="shared" si="3"/>
        <v>0</v>
      </c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</row>
    <row r="533">
      <c r="A533" s="273">
        <v>45738.0</v>
      </c>
      <c r="B533" s="275" t="s">
        <v>1178</v>
      </c>
      <c r="C533" s="275" t="s">
        <v>1190</v>
      </c>
      <c r="D533" s="276">
        <v>500.0</v>
      </c>
      <c r="E533" s="275" t="s">
        <v>1017</v>
      </c>
      <c r="F533" s="279"/>
      <c r="G533" s="278" t="str">
        <f>IFNA(IF(VLOOKUP(RC_OUT[BLOCK],RC_IN[[BLOCK]:[BLOCK LOC]],2,FALSE)=0,"",VLOOKUP(RC_OUT[BLOCK],RC_IN[[BLOCK]:[BLOCK LOC]],2,FALSE)),"")</f>
        <v/>
      </c>
      <c r="I533" s="263" t="str">
        <f>IFERROR(AVERAGEIFS(RC_IN[MC],RC_IN[BLOCK],RC_OUT[BLOCK]),"")</f>
        <v/>
      </c>
      <c r="J533" s="264">
        <f t="shared" si="1"/>
        <v>0</v>
      </c>
      <c r="K533" s="246"/>
      <c r="L533" s="246"/>
      <c r="M533" s="249" t="str">
        <f t="shared" si="2"/>
        <v/>
      </c>
      <c r="N533" s="266">
        <f t="shared" si="3"/>
        <v>0</v>
      </c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</row>
    <row r="534">
      <c r="A534" s="273">
        <v>45738.0</v>
      </c>
      <c r="B534" s="275" t="s">
        <v>1178</v>
      </c>
      <c r="C534" s="275" t="s">
        <v>1193</v>
      </c>
      <c r="D534" s="276">
        <v>17032.0</v>
      </c>
      <c r="E534" s="275" t="s">
        <v>1017</v>
      </c>
      <c r="F534" s="279"/>
      <c r="G534" s="278" t="str">
        <f>IFNA(IF(VLOOKUP(RC_OUT[BLOCK],RC_IN[[BLOCK]:[BLOCK LOC]],2,FALSE)=0,"",VLOOKUP(RC_OUT[BLOCK],RC_IN[[BLOCK]:[BLOCK LOC]],2,FALSE)),"")</f>
        <v/>
      </c>
      <c r="I534" s="263" t="str">
        <f>IFERROR(AVERAGEIFS(RC_IN[MC],RC_IN[BLOCK],RC_OUT[BLOCK]),"")</f>
        <v/>
      </c>
      <c r="J534" s="264">
        <f t="shared" si="1"/>
        <v>0</v>
      </c>
      <c r="K534" s="246"/>
      <c r="L534" s="246"/>
      <c r="M534" s="249" t="str">
        <f t="shared" si="2"/>
        <v/>
      </c>
      <c r="N534" s="266">
        <f t="shared" si="3"/>
        <v>0</v>
      </c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</row>
    <row r="535">
      <c r="A535" s="273">
        <v>45740.0</v>
      </c>
      <c r="B535" s="275" t="s">
        <v>1178</v>
      </c>
      <c r="C535" s="275" t="s">
        <v>1194</v>
      </c>
      <c r="D535" s="276">
        <v>2259.0</v>
      </c>
      <c r="E535" s="275" t="s">
        <v>1017</v>
      </c>
      <c r="F535" s="279"/>
      <c r="G535" s="278" t="str">
        <f>IFNA(IF(VLOOKUP(RC_OUT[BLOCK],RC_IN[[BLOCK]:[BLOCK LOC]],2,FALSE)=0,"",VLOOKUP(RC_OUT[BLOCK],RC_IN[[BLOCK]:[BLOCK LOC]],2,FALSE)),"")</f>
        <v/>
      </c>
      <c r="I535" s="263" t="str">
        <f>IFERROR(AVERAGEIFS(RC_IN[MC],RC_IN[BLOCK],RC_OUT[BLOCK]),"")</f>
        <v/>
      </c>
      <c r="J535" s="264">
        <f t="shared" si="1"/>
        <v>0</v>
      </c>
      <c r="K535" s="246"/>
      <c r="L535" s="246"/>
      <c r="M535" s="249" t="str">
        <f t="shared" si="2"/>
        <v/>
      </c>
      <c r="N535" s="266">
        <f t="shared" si="3"/>
        <v>0</v>
      </c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</row>
    <row r="536">
      <c r="A536" s="273">
        <v>45740.0</v>
      </c>
      <c r="B536" s="275" t="s">
        <v>1178</v>
      </c>
      <c r="C536" s="275" t="s">
        <v>1185</v>
      </c>
      <c r="D536" s="276">
        <v>1872.0</v>
      </c>
      <c r="E536" s="275" t="s">
        <v>1017</v>
      </c>
      <c r="F536" s="279"/>
      <c r="G536" s="278" t="str">
        <f>IFNA(IF(VLOOKUP(RC_OUT[BLOCK],RC_IN[[BLOCK]:[BLOCK LOC]],2,FALSE)=0,"",VLOOKUP(RC_OUT[BLOCK],RC_IN[[BLOCK]:[BLOCK LOC]],2,FALSE)),"")</f>
        <v/>
      </c>
      <c r="I536" s="263" t="str">
        <f>IFERROR(AVERAGEIFS(RC_IN[MC],RC_IN[BLOCK],RC_OUT[BLOCK]),"")</f>
        <v/>
      </c>
      <c r="J536" s="264">
        <f t="shared" si="1"/>
        <v>0</v>
      </c>
      <c r="K536" s="246"/>
      <c r="L536" s="246"/>
      <c r="M536" s="249" t="str">
        <f t="shared" si="2"/>
        <v/>
      </c>
      <c r="N536" s="266">
        <f t="shared" si="3"/>
        <v>0</v>
      </c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</row>
    <row r="537">
      <c r="A537" s="273">
        <v>45740.0</v>
      </c>
      <c r="B537" s="275" t="s">
        <v>1178</v>
      </c>
      <c r="C537" s="275" t="s">
        <v>1192</v>
      </c>
      <c r="D537" s="276">
        <v>19282.0</v>
      </c>
      <c r="E537" s="275" t="s">
        <v>1017</v>
      </c>
      <c r="F537" s="277" t="s">
        <v>1059</v>
      </c>
      <c r="G537" s="278" t="str">
        <f>IFNA(IF(VLOOKUP(RC_OUT[BLOCK],RC_IN[[BLOCK]:[BLOCK LOC]],2,FALSE)=0,"",VLOOKUP(RC_OUT[BLOCK],RC_IN[[BLOCK]:[BLOCK LOC]],2,FALSE)),"")</f>
        <v/>
      </c>
      <c r="I537" s="263" t="str">
        <f>IFERROR(AVERAGEIFS(RC_IN[MC],RC_IN[BLOCK],RC_OUT[BLOCK]),"")</f>
        <v/>
      </c>
      <c r="J537" s="264">
        <f t="shared" si="1"/>
        <v>0</v>
      </c>
      <c r="K537" s="246"/>
      <c r="L537" s="246"/>
      <c r="M537" s="249" t="str">
        <f t="shared" si="2"/>
        <v/>
      </c>
      <c r="N537" s="266">
        <f t="shared" si="3"/>
        <v>0</v>
      </c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</row>
    <row r="538">
      <c r="A538" s="273">
        <v>45740.0</v>
      </c>
      <c r="B538" s="275" t="s">
        <v>1178</v>
      </c>
      <c r="C538" s="275" t="s">
        <v>1190</v>
      </c>
      <c r="D538" s="276">
        <v>500.0</v>
      </c>
      <c r="E538" s="275" t="s">
        <v>1017</v>
      </c>
      <c r="F538" s="279"/>
      <c r="G538" s="278" t="str">
        <f>IFNA(IF(VLOOKUP(RC_OUT[BLOCK],RC_IN[[BLOCK]:[BLOCK LOC]],2,FALSE)=0,"",VLOOKUP(RC_OUT[BLOCK],RC_IN[[BLOCK]:[BLOCK LOC]],2,FALSE)),"")</f>
        <v/>
      </c>
      <c r="I538" s="263" t="str">
        <f>IFERROR(AVERAGEIFS(RC_IN[MC],RC_IN[BLOCK],RC_OUT[BLOCK]),"")</f>
        <v/>
      </c>
      <c r="J538" s="264">
        <f t="shared" si="1"/>
        <v>0</v>
      </c>
      <c r="K538" s="246"/>
      <c r="L538" s="246"/>
      <c r="M538" s="249" t="str">
        <f t="shared" si="2"/>
        <v/>
      </c>
      <c r="N538" s="266">
        <f t="shared" si="3"/>
        <v>0</v>
      </c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</row>
    <row r="539">
      <c r="A539" s="273">
        <v>45740.0</v>
      </c>
      <c r="B539" s="275" t="s">
        <v>1178</v>
      </c>
      <c r="C539" s="275" t="s">
        <v>1193</v>
      </c>
      <c r="D539" s="276">
        <v>16658.0</v>
      </c>
      <c r="E539" s="275" t="s">
        <v>1017</v>
      </c>
      <c r="F539" s="279"/>
      <c r="G539" s="278" t="str">
        <f>IFNA(IF(VLOOKUP(RC_OUT[BLOCK],RC_IN[[BLOCK]:[BLOCK LOC]],2,FALSE)=0,"",VLOOKUP(RC_OUT[BLOCK],RC_IN[[BLOCK]:[BLOCK LOC]],2,FALSE)),"")</f>
        <v/>
      </c>
      <c r="I539" s="263" t="str">
        <f>IFERROR(AVERAGEIFS(RC_IN[MC],RC_IN[BLOCK],RC_OUT[BLOCK]),"")</f>
        <v/>
      </c>
      <c r="J539" s="264">
        <f t="shared" si="1"/>
        <v>0</v>
      </c>
      <c r="K539" s="246"/>
      <c r="L539" s="246"/>
      <c r="M539" s="249" t="str">
        <f t="shared" si="2"/>
        <v/>
      </c>
      <c r="N539" s="266">
        <f t="shared" si="3"/>
        <v>0</v>
      </c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</row>
    <row r="540">
      <c r="A540" s="273">
        <v>45741.0</v>
      </c>
      <c r="B540" s="275" t="s">
        <v>1178</v>
      </c>
      <c r="C540" s="275" t="s">
        <v>1194</v>
      </c>
      <c r="D540" s="276">
        <v>2006.0</v>
      </c>
      <c r="E540" s="275" t="s">
        <v>1017</v>
      </c>
      <c r="F540" s="279"/>
      <c r="G540" s="278" t="str">
        <f>IFNA(IF(VLOOKUP(RC_OUT[BLOCK],RC_IN[[BLOCK]:[BLOCK LOC]],2,FALSE)=0,"",VLOOKUP(RC_OUT[BLOCK],RC_IN[[BLOCK]:[BLOCK LOC]],2,FALSE)),"")</f>
        <v/>
      </c>
      <c r="I540" s="263" t="str">
        <f>IFERROR(AVERAGEIFS(RC_IN[MC],RC_IN[BLOCK],RC_OUT[BLOCK]),"")</f>
        <v/>
      </c>
      <c r="J540" s="264">
        <f t="shared" si="1"/>
        <v>0</v>
      </c>
      <c r="K540" s="246"/>
      <c r="L540" s="246"/>
      <c r="M540" s="249" t="str">
        <f t="shared" si="2"/>
        <v/>
      </c>
      <c r="N540" s="266">
        <f t="shared" si="3"/>
        <v>0</v>
      </c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</row>
    <row r="541">
      <c r="A541" s="273">
        <v>45741.0</v>
      </c>
      <c r="B541" s="275" t="s">
        <v>1178</v>
      </c>
      <c r="C541" s="275" t="s">
        <v>1185</v>
      </c>
      <c r="D541" s="276">
        <v>2040.0</v>
      </c>
      <c r="E541" s="275" t="s">
        <v>1017</v>
      </c>
      <c r="F541" s="279"/>
      <c r="G541" s="278" t="str">
        <f>IFNA(IF(VLOOKUP(RC_OUT[BLOCK],RC_IN[[BLOCK]:[BLOCK LOC]],2,FALSE)=0,"",VLOOKUP(RC_OUT[BLOCK],RC_IN[[BLOCK]:[BLOCK LOC]],2,FALSE)),"")</f>
        <v/>
      </c>
      <c r="I541" s="263" t="str">
        <f>IFERROR(AVERAGEIFS(RC_IN[MC],RC_IN[BLOCK],RC_OUT[BLOCK]),"")</f>
        <v/>
      </c>
      <c r="J541" s="264">
        <f t="shared" si="1"/>
        <v>0</v>
      </c>
      <c r="K541" s="246"/>
      <c r="L541" s="246"/>
      <c r="M541" s="249" t="str">
        <f t="shared" si="2"/>
        <v/>
      </c>
      <c r="N541" s="266">
        <f t="shared" si="3"/>
        <v>0</v>
      </c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</row>
    <row r="542">
      <c r="A542" s="273">
        <v>45741.0</v>
      </c>
      <c r="B542" s="275" t="s">
        <v>1178</v>
      </c>
      <c r="C542" s="275" t="s">
        <v>1195</v>
      </c>
      <c r="D542" s="276">
        <v>20423.0</v>
      </c>
      <c r="E542" s="275" t="s">
        <v>1017</v>
      </c>
      <c r="F542" s="279"/>
      <c r="G542" s="278" t="str">
        <f>IFNA(IF(VLOOKUP(RC_OUT[BLOCK],RC_IN[[BLOCK]:[BLOCK LOC]],2,FALSE)=0,"",VLOOKUP(RC_OUT[BLOCK],RC_IN[[BLOCK]:[BLOCK LOC]],2,FALSE)),"")</f>
        <v/>
      </c>
      <c r="I542" s="263" t="str">
        <f>IFERROR(AVERAGEIFS(RC_IN[MC],RC_IN[BLOCK],RC_OUT[BLOCK]),"")</f>
        <v/>
      </c>
      <c r="J542" s="264">
        <f t="shared" si="1"/>
        <v>0</v>
      </c>
      <c r="K542" s="246"/>
      <c r="L542" s="246"/>
      <c r="M542" s="249" t="str">
        <f t="shared" si="2"/>
        <v/>
      </c>
      <c r="N542" s="266">
        <f t="shared" si="3"/>
        <v>0</v>
      </c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</row>
    <row r="543">
      <c r="A543" s="273">
        <v>45741.0</v>
      </c>
      <c r="B543" s="275" t="s">
        <v>1178</v>
      </c>
      <c r="C543" s="275" t="s">
        <v>1190</v>
      </c>
      <c r="D543" s="276">
        <v>500.0</v>
      </c>
      <c r="E543" s="275" t="s">
        <v>1017</v>
      </c>
      <c r="F543" s="279"/>
      <c r="G543" s="278" t="str">
        <f>IFNA(IF(VLOOKUP(RC_OUT[BLOCK],RC_IN[[BLOCK]:[BLOCK LOC]],2,FALSE)=0,"",VLOOKUP(RC_OUT[BLOCK],RC_IN[[BLOCK]:[BLOCK LOC]],2,FALSE)),"")</f>
        <v/>
      </c>
      <c r="I543" s="263" t="str">
        <f>IFERROR(AVERAGEIFS(RC_IN[MC],RC_IN[BLOCK],RC_OUT[BLOCK]),"")</f>
        <v/>
      </c>
      <c r="J543" s="264">
        <f t="shared" si="1"/>
        <v>0</v>
      </c>
      <c r="K543" s="246"/>
      <c r="L543" s="246"/>
      <c r="M543" s="249" t="str">
        <f t="shared" si="2"/>
        <v/>
      </c>
      <c r="N543" s="266">
        <f t="shared" si="3"/>
        <v>0</v>
      </c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</row>
    <row r="544">
      <c r="A544" s="273">
        <v>45741.0</v>
      </c>
      <c r="B544" s="275" t="s">
        <v>1178</v>
      </c>
      <c r="C544" s="275" t="s">
        <v>1196</v>
      </c>
      <c r="D544" s="276">
        <v>6657.0</v>
      </c>
      <c r="E544" s="275" t="s">
        <v>1017</v>
      </c>
      <c r="F544" s="279"/>
      <c r="G544" s="278" t="str">
        <f>IFNA(IF(VLOOKUP(RC_OUT[BLOCK],RC_IN[[BLOCK]:[BLOCK LOC]],2,FALSE)=0,"",VLOOKUP(RC_OUT[BLOCK],RC_IN[[BLOCK]:[BLOCK LOC]],2,FALSE)),"")</f>
        <v/>
      </c>
      <c r="I544" s="263" t="str">
        <f>IFERROR(AVERAGEIFS(RC_IN[MC],RC_IN[BLOCK],RC_OUT[BLOCK]),"")</f>
        <v/>
      </c>
      <c r="J544" s="264">
        <f t="shared" si="1"/>
        <v>0</v>
      </c>
      <c r="K544" s="246"/>
      <c r="L544" s="246"/>
      <c r="M544" s="249" t="str">
        <f t="shared" si="2"/>
        <v/>
      </c>
      <c r="N544" s="266">
        <f t="shared" si="3"/>
        <v>0</v>
      </c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</row>
    <row r="545">
      <c r="A545" s="273">
        <v>45741.0</v>
      </c>
      <c r="B545" s="275" t="s">
        <v>1178</v>
      </c>
      <c r="C545" s="275" t="s">
        <v>1193</v>
      </c>
      <c r="D545" s="276">
        <v>9755.0</v>
      </c>
      <c r="E545" s="275" t="s">
        <v>1017</v>
      </c>
      <c r="F545" s="277" t="s">
        <v>1059</v>
      </c>
      <c r="G545" s="278" t="str">
        <f>IFNA(IF(VLOOKUP(RC_OUT[BLOCK],RC_IN[[BLOCK]:[BLOCK LOC]],2,FALSE)=0,"",VLOOKUP(RC_OUT[BLOCK],RC_IN[[BLOCK]:[BLOCK LOC]],2,FALSE)),"")</f>
        <v/>
      </c>
      <c r="I545" s="263" t="str">
        <f>IFERROR(AVERAGEIFS(RC_IN[MC],RC_IN[BLOCK],RC_OUT[BLOCK]),"")</f>
        <v/>
      </c>
      <c r="J545" s="264">
        <f t="shared" si="1"/>
        <v>0</v>
      </c>
      <c r="K545" s="246"/>
      <c r="L545" s="246"/>
      <c r="M545" s="249" t="str">
        <f t="shared" si="2"/>
        <v/>
      </c>
      <c r="N545" s="266">
        <f t="shared" si="3"/>
        <v>0</v>
      </c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</row>
    <row r="546">
      <c r="A546" s="273">
        <v>45742.0</v>
      </c>
      <c r="B546" s="275" t="s">
        <v>1178</v>
      </c>
      <c r="C546" s="275" t="s">
        <v>1194</v>
      </c>
      <c r="D546" s="276">
        <v>2046.0</v>
      </c>
      <c r="E546" s="275" t="s">
        <v>1017</v>
      </c>
      <c r="F546" s="279"/>
      <c r="G546" s="278" t="str">
        <f>IFNA(IF(VLOOKUP(RC_OUT[BLOCK],RC_IN[[BLOCK]:[BLOCK LOC]],2,FALSE)=0,"",VLOOKUP(RC_OUT[BLOCK],RC_IN[[BLOCK]:[BLOCK LOC]],2,FALSE)),"")</f>
        <v/>
      </c>
      <c r="I546" s="263" t="str">
        <f>IFERROR(AVERAGEIFS(RC_IN[MC],RC_IN[BLOCK],RC_OUT[BLOCK]),"")</f>
        <v/>
      </c>
      <c r="J546" s="264">
        <f t="shared" si="1"/>
        <v>0</v>
      </c>
      <c r="K546" s="246"/>
      <c r="L546" s="246"/>
      <c r="M546" s="249" t="str">
        <f t="shared" si="2"/>
        <v/>
      </c>
      <c r="N546" s="266">
        <f t="shared" si="3"/>
        <v>0</v>
      </c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</row>
    <row r="547">
      <c r="A547" s="273">
        <v>45742.0</v>
      </c>
      <c r="B547" s="275" t="s">
        <v>1178</v>
      </c>
      <c r="C547" s="275" t="s">
        <v>1185</v>
      </c>
      <c r="D547" s="276">
        <v>2019.0</v>
      </c>
      <c r="E547" s="275" t="s">
        <v>1017</v>
      </c>
      <c r="F547" s="279"/>
      <c r="G547" s="278" t="str">
        <f>IFNA(IF(VLOOKUP(RC_OUT[BLOCK],RC_IN[[BLOCK]:[BLOCK LOC]],2,FALSE)=0,"",VLOOKUP(RC_OUT[BLOCK],RC_IN[[BLOCK]:[BLOCK LOC]],2,FALSE)),"")</f>
        <v/>
      </c>
      <c r="I547" s="263" t="str">
        <f>IFERROR(AVERAGEIFS(RC_IN[MC],RC_IN[BLOCK],RC_OUT[BLOCK]),"")</f>
        <v/>
      </c>
      <c r="J547" s="264">
        <f t="shared" si="1"/>
        <v>0</v>
      </c>
      <c r="K547" s="246"/>
      <c r="L547" s="246"/>
      <c r="M547" s="249" t="str">
        <f t="shared" si="2"/>
        <v/>
      </c>
      <c r="N547" s="266">
        <f t="shared" si="3"/>
        <v>0</v>
      </c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</row>
    <row r="548">
      <c r="A548" s="273">
        <v>45742.0</v>
      </c>
      <c r="B548" s="275" t="s">
        <v>1178</v>
      </c>
      <c r="C548" s="275" t="s">
        <v>1195</v>
      </c>
      <c r="D548" s="276">
        <v>16133.0</v>
      </c>
      <c r="E548" s="275" t="s">
        <v>1017</v>
      </c>
      <c r="F548" s="279"/>
      <c r="G548" s="278" t="str">
        <f>IFNA(IF(VLOOKUP(RC_OUT[BLOCK],RC_IN[[BLOCK]:[BLOCK LOC]],2,FALSE)=0,"",VLOOKUP(RC_OUT[BLOCK],RC_IN[[BLOCK]:[BLOCK LOC]],2,FALSE)),"")</f>
        <v/>
      </c>
      <c r="I548" s="263" t="str">
        <f>IFERROR(AVERAGEIFS(RC_IN[MC],RC_IN[BLOCK],RC_OUT[BLOCK]),"")</f>
        <v/>
      </c>
      <c r="J548" s="264">
        <f t="shared" si="1"/>
        <v>0</v>
      </c>
      <c r="K548" s="246"/>
      <c r="L548" s="246"/>
      <c r="M548" s="249" t="str">
        <f t="shared" si="2"/>
        <v/>
      </c>
      <c r="N548" s="266">
        <f t="shared" si="3"/>
        <v>0</v>
      </c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</row>
    <row r="549">
      <c r="A549" s="273">
        <v>45742.0</v>
      </c>
      <c r="B549" s="275" t="s">
        <v>1178</v>
      </c>
      <c r="C549" s="275" t="s">
        <v>1190</v>
      </c>
      <c r="D549" s="276">
        <v>1000.0</v>
      </c>
      <c r="E549" s="275" t="s">
        <v>1017</v>
      </c>
      <c r="F549" s="279"/>
      <c r="G549" s="278" t="str">
        <f>IFNA(IF(VLOOKUP(RC_OUT[BLOCK],RC_IN[[BLOCK]:[BLOCK LOC]],2,FALSE)=0,"",VLOOKUP(RC_OUT[BLOCK],RC_IN[[BLOCK]:[BLOCK LOC]],2,FALSE)),"")</f>
        <v/>
      </c>
      <c r="I549" s="263" t="str">
        <f>IFERROR(AVERAGEIFS(RC_IN[MC],RC_IN[BLOCK],RC_OUT[BLOCK]),"")</f>
        <v/>
      </c>
      <c r="J549" s="264">
        <f t="shared" si="1"/>
        <v>0</v>
      </c>
      <c r="K549" s="246"/>
      <c r="L549" s="246"/>
      <c r="M549" s="249" t="str">
        <f t="shared" si="2"/>
        <v/>
      </c>
      <c r="N549" s="266">
        <f t="shared" si="3"/>
        <v>0</v>
      </c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</row>
    <row r="550">
      <c r="A550" s="273">
        <v>45742.0</v>
      </c>
      <c r="B550" s="275" t="s">
        <v>1178</v>
      </c>
      <c r="C550" s="275" t="s">
        <v>1196</v>
      </c>
      <c r="D550" s="276">
        <v>17075.0</v>
      </c>
      <c r="E550" s="275" t="s">
        <v>1017</v>
      </c>
      <c r="F550" s="279"/>
      <c r="G550" s="278" t="str">
        <f>IFNA(IF(VLOOKUP(RC_OUT[BLOCK],RC_IN[[BLOCK]:[BLOCK LOC]],2,FALSE)=0,"",VLOOKUP(RC_OUT[BLOCK],RC_IN[[BLOCK]:[BLOCK LOC]],2,FALSE)),"")</f>
        <v/>
      </c>
      <c r="I550" s="263" t="str">
        <f>IFERROR(AVERAGEIFS(RC_IN[MC],RC_IN[BLOCK],RC_OUT[BLOCK]),"")</f>
        <v/>
      </c>
      <c r="J550" s="264">
        <f t="shared" si="1"/>
        <v>0</v>
      </c>
      <c r="K550" s="246"/>
      <c r="L550" s="246"/>
      <c r="M550" s="249" t="str">
        <f t="shared" si="2"/>
        <v/>
      </c>
      <c r="N550" s="266">
        <f t="shared" si="3"/>
        <v>0</v>
      </c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</row>
    <row r="551">
      <c r="A551" s="273">
        <v>45743.0</v>
      </c>
      <c r="B551" s="275" t="s">
        <v>1178</v>
      </c>
      <c r="C551" s="275" t="s">
        <v>1197</v>
      </c>
      <c r="D551" s="276">
        <v>4177.0</v>
      </c>
      <c r="E551" s="275" t="s">
        <v>1017</v>
      </c>
      <c r="F551" s="279"/>
      <c r="G551" s="278" t="str">
        <f>IFNA(IF(VLOOKUP(RC_OUT[BLOCK],RC_IN[[BLOCK]:[BLOCK LOC]],2,FALSE)=0,"",VLOOKUP(RC_OUT[BLOCK],RC_IN[[BLOCK]:[BLOCK LOC]],2,FALSE)),"")</f>
        <v/>
      </c>
      <c r="I551" s="263" t="str">
        <f>IFERROR(AVERAGEIFS(RC_IN[MC],RC_IN[BLOCK],RC_OUT[BLOCK]),"")</f>
        <v/>
      </c>
      <c r="J551" s="264">
        <f t="shared" si="1"/>
        <v>0</v>
      </c>
      <c r="K551" s="246"/>
      <c r="L551" s="246"/>
      <c r="M551" s="249" t="str">
        <f t="shared" si="2"/>
        <v/>
      </c>
      <c r="N551" s="266">
        <f t="shared" si="3"/>
        <v>0</v>
      </c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</row>
    <row r="552">
      <c r="A552" s="273">
        <v>45743.0</v>
      </c>
      <c r="B552" s="275" t="s">
        <v>1178</v>
      </c>
      <c r="C552" s="275" t="s">
        <v>1194</v>
      </c>
      <c r="D552" s="276">
        <v>8652.0</v>
      </c>
      <c r="E552" s="275" t="s">
        <v>1017</v>
      </c>
      <c r="F552" s="279"/>
      <c r="G552" s="278" t="str">
        <f>IFNA(IF(VLOOKUP(RC_OUT[BLOCK],RC_IN[[BLOCK]:[BLOCK LOC]],2,FALSE)=0,"",VLOOKUP(RC_OUT[BLOCK],RC_IN[[BLOCK]:[BLOCK LOC]],2,FALSE)),"")</f>
        <v/>
      </c>
      <c r="I552" s="263" t="str">
        <f>IFERROR(AVERAGEIFS(RC_IN[MC],RC_IN[BLOCK],RC_OUT[BLOCK]),"")</f>
        <v/>
      </c>
      <c r="J552" s="264">
        <f t="shared" si="1"/>
        <v>0</v>
      </c>
      <c r="K552" s="246"/>
      <c r="L552" s="246"/>
      <c r="M552" s="249" t="str">
        <f t="shared" si="2"/>
        <v/>
      </c>
      <c r="N552" s="266">
        <f t="shared" si="3"/>
        <v>0</v>
      </c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</row>
    <row r="553">
      <c r="A553" s="273">
        <v>45743.0</v>
      </c>
      <c r="B553" s="275" t="s">
        <v>1178</v>
      </c>
      <c r="C553" s="275" t="s">
        <v>1185</v>
      </c>
      <c r="D553" s="276">
        <v>8721.0</v>
      </c>
      <c r="E553" s="275" t="s">
        <v>1017</v>
      </c>
      <c r="F553" s="279"/>
      <c r="G553" s="278" t="str">
        <f>IFNA(IF(VLOOKUP(RC_OUT[BLOCK],RC_IN[[BLOCK]:[BLOCK LOC]],2,FALSE)=0,"",VLOOKUP(RC_OUT[BLOCK],RC_IN[[BLOCK]:[BLOCK LOC]],2,FALSE)),"")</f>
        <v/>
      </c>
      <c r="I553" s="263" t="str">
        <f>IFERROR(AVERAGEIFS(RC_IN[MC],RC_IN[BLOCK],RC_OUT[BLOCK]),"")</f>
        <v/>
      </c>
      <c r="J553" s="264">
        <f t="shared" si="1"/>
        <v>0</v>
      </c>
      <c r="K553" s="246"/>
      <c r="L553" s="246"/>
      <c r="M553" s="249" t="str">
        <f t="shared" si="2"/>
        <v/>
      </c>
      <c r="N553" s="266">
        <f t="shared" si="3"/>
        <v>0</v>
      </c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</row>
    <row r="554">
      <c r="A554" s="273">
        <v>45743.0</v>
      </c>
      <c r="B554" s="275" t="s">
        <v>1178</v>
      </c>
      <c r="C554" s="275" t="s">
        <v>1190</v>
      </c>
      <c r="D554" s="276">
        <v>10000.0</v>
      </c>
      <c r="E554" s="275" t="s">
        <v>1017</v>
      </c>
      <c r="F554" s="279"/>
      <c r="G554" s="278" t="str">
        <f>IFNA(IF(VLOOKUP(RC_OUT[BLOCK],RC_IN[[BLOCK]:[BLOCK LOC]],2,FALSE)=0,"",VLOOKUP(RC_OUT[BLOCK],RC_IN[[BLOCK]:[BLOCK LOC]],2,FALSE)),"")</f>
        <v/>
      </c>
      <c r="I554" s="263" t="str">
        <f>IFERROR(AVERAGEIFS(RC_IN[MC],RC_IN[BLOCK],RC_OUT[BLOCK]),"")</f>
        <v/>
      </c>
      <c r="J554" s="264">
        <f t="shared" si="1"/>
        <v>0</v>
      </c>
      <c r="K554" s="246"/>
      <c r="L554" s="246"/>
      <c r="M554" s="249" t="str">
        <f t="shared" si="2"/>
        <v/>
      </c>
      <c r="N554" s="266">
        <f t="shared" si="3"/>
        <v>0</v>
      </c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</row>
    <row r="555">
      <c r="A555" s="273">
        <v>45743.0</v>
      </c>
      <c r="B555" s="275" t="s">
        <v>1178</v>
      </c>
      <c r="C555" s="275" t="s">
        <v>1196</v>
      </c>
      <c r="D555" s="276">
        <v>6941.0</v>
      </c>
      <c r="E555" s="275" t="s">
        <v>1017</v>
      </c>
      <c r="F555" s="277" t="s">
        <v>1059</v>
      </c>
      <c r="G555" s="278" t="str">
        <f>IFNA(IF(VLOOKUP(RC_OUT[BLOCK],RC_IN[[BLOCK]:[BLOCK LOC]],2,FALSE)=0,"",VLOOKUP(RC_OUT[BLOCK],RC_IN[[BLOCK]:[BLOCK LOC]],2,FALSE)),"")</f>
        <v/>
      </c>
      <c r="I555" s="263" t="str">
        <f>IFERROR(AVERAGEIFS(RC_IN[MC],RC_IN[BLOCK],RC_OUT[BLOCK]),"")</f>
        <v/>
      </c>
      <c r="J555" s="264">
        <f t="shared" si="1"/>
        <v>0</v>
      </c>
      <c r="K555" s="246"/>
      <c r="L555" s="246"/>
      <c r="M555" s="249" t="str">
        <f t="shared" si="2"/>
        <v/>
      </c>
      <c r="N555" s="266">
        <f t="shared" si="3"/>
        <v>0</v>
      </c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</row>
    <row r="556">
      <c r="A556" s="273">
        <v>45744.0</v>
      </c>
      <c r="B556" s="275" t="s">
        <v>1178</v>
      </c>
      <c r="C556" s="275" t="s">
        <v>1190</v>
      </c>
      <c r="D556" s="276">
        <v>2144.0</v>
      </c>
      <c r="E556" s="275" t="s">
        <v>1017</v>
      </c>
      <c r="F556" s="277" t="s">
        <v>1059</v>
      </c>
      <c r="G556" s="278" t="str">
        <f>IFNA(IF(VLOOKUP(RC_OUT[BLOCK],RC_IN[[BLOCK]:[BLOCK LOC]],2,FALSE)=0,"",VLOOKUP(RC_OUT[BLOCK],RC_IN[[BLOCK]:[BLOCK LOC]],2,FALSE)),"")</f>
        <v/>
      </c>
      <c r="I556" s="263" t="str">
        <f>IFERROR(AVERAGEIFS(RC_IN[MC],RC_IN[BLOCK],RC_OUT[BLOCK]),"")</f>
        <v/>
      </c>
      <c r="J556" s="264">
        <f t="shared" si="1"/>
        <v>0</v>
      </c>
      <c r="K556" s="246"/>
      <c r="L556" s="246"/>
      <c r="M556" s="249" t="str">
        <f t="shared" si="2"/>
        <v/>
      </c>
      <c r="N556" s="266">
        <f t="shared" si="3"/>
        <v>0</v>
      </c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</row>
    <row r="557">
      <c r="A557" s="273">
        <v>45745.0</v>
      </c>
      <c r="B557" s="275" t="s">
        <v>1178</v>
      </c>
      <c r="C557" s="275" t="s">
        <v>1197</v>
      </c>
      <c r="D557" s="276">
        <v>6354.0</v>
      </c>
      <c r="E557" s="275" t="s">
        <v>1017</v>
      </c>
      <c r="F557" s="279"/>
      <c r="G557" s="278" t="str">
        <f>IFNA(IF(VLOOKUP(RC_OUT[BLOCK],RC_IN[[BLOCK]:[BLOCK LOC]],2,FALSE)=0,"",VLOOKUP(RC_OUT[BLOCK],RC_IN[[BLOCK]:[BLOCK LOC]],2,FALSE)),"")</f>
        <v/>
      </c>
      <c r="I557" s="263" t="str">
        <f>IFERROR(AVERAGEIFS(RC_IN[MC],RC_IN[BLOCK],RC_OUT[BLOCK]),"")</f>
        <v/>
      </c>
      <c r="J557" s="264">
        <f t="shared" si="1"/>
        <v>0</v>
      </c>
      <c r="K557" s="246"/>
      <c r="L557" s="246"/>
      <c r="M557" s="249" t="str">
        <f t="shared" si="2"/>
        <v/>
      </c>
      <c r="N557" s="266">
        <f t="shared" si="3"/>
        <v>0</v>
      </c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</row>
    <row r="558">
      <c r="A558" s="273">
        <v>45745.0</v>
      </c>
      <c r="B558" s="275" t="s">
        <v>1178</v>
      </c>
      <c r="C558" s="275" t="s">
        <v>1194</v>
      </c>
      <c r="D558" s="276">
        <v>5751.0</v>
      </c>
      <c r="E558" s="275" t="s">
        <v>1017</v>
      </c>
      <c r="F558" s="279"/>
      <c r="G558" s="278" t="str">
        <f>IFNA(IF(VLOOKUP(RC_OUT[BLOCK],RC_IN[[BLOCK]:[BLOCK LOC]],2,FALSE)=0,"",VLOOKUP(RC_OUT[BLOCK],RC_IN[[BLOCK]:[BLOCK LOC]],2,FALSE)),"")</f>
        <v/>
      </c>
      <c r="I558" s="263" t="str">
        <f>IFERROR(AVERAGEIFS(RC_IN[MC],RC_IN[BLOCK],RC_OUT[BLOCK]),"")</f>
        <v/>
      </c>
      <c r="J558" s="264">
        <f t="shared" si="1"/>
        <v>0</v>
      </c>
      <c r="K558" s="246"/>
      <c r="L558" s="246"/>
      <c r="M558" s="249" t="str">
        <f t="shared" si="2"/>
        <v/>
      </c>
      <c r="N558" s="266">
        <f t="shared" si="3"/>
        <v>0</v>
      </c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</row>
    <row r="559">
      <c r="A559" s="273">
        <v>45745.0</v>
      </c>
      <c r="B559" s="275" t="s">
        <v>1178</v>
      </c>
      <c r="C559" s="275" t="s">
        <v>1185</v>
      </c>
      <c r="D559" s="276">
        <v>3089.0</v>
      </c>
      <c r="E559" s="275" t="s">
        <v>1017</v>
      </c>
      <c r="F559" s="277" t="s">
        <v>1059</v>
      </c>
      <c r="G559" s="278" t="str">
        <f>IFNA(IF(VLOOKUP(RC_OUT[BLOCK],RC_IN[[BLOCK]:[BLOCK LOC]],2,FALSE)=0,"",VLOOKUP(RC_OUT[BLOCK],RC_IN[[BLOCK]:[BLOCK LOC]],2,FALSE)),"")</f>
        <v/>
      </c>
      <c r="I559" s="263" t="str">
        <f>IFERROR(AVERAGEIFS(RC_IN[MC],RC_IN[BLOCK],RC_OUT[BLOCK]),"")</f>
        <v/>
      </c>
      <c r="J559" s="264">
        <f t="shared" si="1"/>
        <v>0</v>
      </c>
      <c r="K559" s="246"/>
      <c r="L559" s="246"/>
      <c r="M559" s="249" t="str">
        <f t="shared" si="2"/>
        <v/>
      </c>
      <c r="N559" s="266">
        <f t="shared" si="3"/>
        <v>0</v>
      </c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</row>
    <row r="560">
      <c r="A560" s="273">
        <v>45748.0</v>
      </c>
      <c r="B560" s="275" t="s">
        <v>1198</v>
      </c>
      <c r="C560" s="275" t="s">
        <v>1197</v>
      </c>
      <c r="D560" s="276">
        <v>14092.0</v>
      </c>
      <c r="E560" s="275" t="s">
        <v>1017</v>
      </c>
      <c r="F560" s="279"/>
      <c r="G560" s="278" t="str">
        <f>IFNA(IF(VLOOKUP(RC_OUT[BLOCK],RC_IN[[BLOCK]:[BLOCK LOC]],2,FALSE)=0,"",VLOOKUP(RC_OUT[BLOCK],RC_IN[[BLOCK]:[BLOCK LOC]],2,FALSE)),"")</f>
        <v/>
      </c>
      <c r="I560" s="263" t="str">
        <f>IFERROR(AVERAGEIFS(RC_IN[MC],RC_IN[BLOCK],RC_OUT[BLOCK]),"")</f>
        <v/>
      </c>
      <c r="J560" s="264">
        <f t="shared" si="1"/>
        <v>0</v>
      </c>
      <c r="K560" s="246"/>
      <c r="L560" s="246"/>
      <c r="M560" s="249" t="str">
        <f t="shared" si="2"/>
        <v/>
      </c>
      <c r="N560" s="266">
        <f t="shared" si="3"/>
        <v>0</v>
      </c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</row>
    <row r="561">
      <c r="A561" s="273">
        <v>45748.0</v>
      </c>
      <c r="B561" s="275" t="s">
        <v>1198</v>
      </c>
      <c r="C561" s="275" t="s">
        <v>1194</v>
      </c>
      <c r="D561" s="276">
        <v>8362.0</v>
      </c>
      <c r="E561" s="275" t="s">
        <v>1017</v>
      </c>
      <c r="F561" s="279"/>
      <c r="G561" s="278" t="str">
        <f>IFNA(IF(VLOOKUP(RC_OUT[BLOCK],RC_IN[[BLOCK]:[BLOCK LOC]],2,FALSE)=0,"",VLOOKUP(RC_OUT[BLOCK],RC_IN[[BLOCK]:[BLOCK LOC]],2,FALSE)),"")</f>
        <v/>
      </c>
      <c r="I561" s="263" t="str">
        <f>IFERROR(AVERAGEIFS(RC_IN[MC],RC_IN[BLOCK],RC_OUT[BLOCK]),"")</f>
        <v/>
      </c>
      <c r="J561" s="264">
        <f t="shared" si="1"/>
        <v>0</v>
      </c>
      <c r="K561" s="246"/>
      <c r="L561" s="246"/>
      <c r="M561" s="249" t="str">
        <f t="shared" si="2"/>
        <v/>
      </c>
      <c r="N561" s="266">
        <f t="shared" si="3"/>
        <v>0</v>
      </c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</row>
    <row r="562">
      <c r="A562" s="273">
        <v>45748.0</v>
      </c>
      <c r="B562" s="275" t="s">
        <v>1198</v>
      </c>
      <c r="C562" s="275" t="s">
        <v>1199</v>
      </c>
      <c r="D562" s="276">
        <v>12663.0</v>
      </c>
      <c r="E562" s="275" t="s">
        <v>1017</v>
      </c>
      <c r="F562" s="279"/>
      <c r="G562" s="278" t="str">
        <f>IFNA(IF(VLOOKUP(RC_OUT[BLOCK],RC_IN[[BLOCK]:[BLOCK LOC]],2,FALSE)=0,"",VLOOKUP(RC_OUT[BLOCK],RC_IN[[BLOCK]:[BLOCK LOC]],2,FALSE)),"")</f>
        <v/>
      </c>
      <c r="I562" s="263" t="str">
        <f>IFERROR(AVERAGEIFS(RC_IN[MC],RC_IN[BLOCK],RC_OUT[BLOCK]),"")</f>
        <v/>
      </c>
      <c r="J562" s="264">
        <f t="shared" si="1"/>
        <v>0</v>
      </c>
      <c r="K562" s="246"/>
      <c r="L562" s="246"/>
      <c r="M562" s="249" t="str">
        <f t="shared" si="2"/>
        <v/>
      </c>
      <c r="N562" s="266">
        <f t="shared" si="3"/>
        <v>0</v>
      </c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</row>
    <row r="563">
      <c r="A563" s="273">
        <v>45749.0</v>
      </c>
      <c r="B563" s="275" t="s">
        <v>1198</v>
      </c>
      <c r="C563" s="275" t="s">
        <v>1197</v>
      </c>
      <c r="D563" s="276">
        <v>11871.0</v>
      </c>
      <c r="E563" s="275" t="s">
        <v>1017</v>
      </c>
      <c r="F563" s="279"/>
      <c r="G563" s="278" t="str">
        <f>IFNA(IF(VLOOKUP(RC_OUT[BLOCK],RC_IN[[BLOCK]:[BLOCK LOC]],2,FALSE)=0,"",VLOOKUP(RC_OUT[BLOCK],RC_IN[[BLOCK]:[BLOCK LOC]],2,FALSE)),"")</f>
        <v/>
      </c>
      <c r="I563" s="263" t="str">
        <f>IFERROR(AVERAGEIFS(RC_IN[MC],RC_IN[BLOCK],RC_OUT[BLOCK]),"")</f>
        <v/>
      </c>
      <c r="J563" s="264">
        <f t="shared" si="1"/>
        <v>0</v>
      </c>
      <c r="K563" s="246"/>
      <c r="L563" s="246"/>
      <c r="M563" s="249" t="str">
        <f t="shared" si="2"/>
        <v/>
      </c>
      <c r="N563" s="266">
        <f t="shared" si="3"/>
        <v>0</v>
      </c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</row>
    <row r="564">
      <c r="A564" s="273">
        <v>45749.0</v>
      </c>
      <c r="B564" s="275" t="s">
        <v>1198</v>
      </c>
      <c r="C564" s="275" t="s">
        <v>1194</v>
      </c>
      <c r="D564" s="276">
        <v>8112.0</v>
      </c>
      <c r="E564" s="275" t="s">
        <v>1017</v>
      </c>
      <c r="F564" s="279"/>
      <c r="G564" s="278" t="str">
        <f>IFNA(IF(VLOOKUP(RC_OUT[BLOCK],RC_IN[[BLOCK]:[BLOCK LOC]],2,FALSE)=0,"",VLOOKUP(RC_OUT[BLOCK],RC_IN[[BLOCK]:[BLOCK LOC]],2,FALSE)),"")</f>
        <v/>
      </c>
      <c r="I564" s="263" t="str">
        <f>IFERROR(AVERAGEIFS(RC_IN[MC],RC_IN[BLOCK],RC_OUT[BLOCK]),"")</f>
        <v/>
      </c>
      <c r="J564" s="264">
        <f t="shared" si="1"/>
        <v>0</v>
      </c>
      <c r="K564" s="246"/>
      <c r="L564" s="246"/>
      <c r="M564" s="249" t="str">
        <f t="shared" si="2"/>
        <v/>
      </c>
      <c r="N564" s="266">
        <f t="shared" si="3"/>
        <v>0</v>
      </c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</row>
    <row r="565">
      <c r="A565" s="273">
        <v>45749.0</v>
      </c>
      <c r="B565" s="275" t="s">
        <v>1198</v>
      </c>
      <c r="C565" s="275" t="s">
        <v>1199</v>
      </c>
      <c r="D565" s="276">
        <v>9106.0</v>
      </c>
      <c r="E565" s="275" t="s">
        <v>1017</v>
      </c>
      <c r="F565" s="279"/>
      <c r="G565" s="278" t="str">
        <f>IFNA(IF(VLOOKUP(RC_OUT[BLOCK],RC_IN[[BLOCK]:[BLOCK LOC]],2,FALSE)=0,"",VLOOKUP(RC_OUT[BLOCK],RC_IN[[BLOCK]:[BLOCK LOC]],2,FALSE)),"")</f>
        <v/>
      </c>
      <c r="I565" s="263" t="str">
        <f>IFERROR(AVERAGEIFS(RC_IN[MC],RC_IN[BLOCK],RC_OUT[BLOCK]),"")</f>
        <v/>
      </c>
      <c r="J565" s="264">
        <f t="shared" si="1"/>
        <v>0</v>
      </c>
      <c r="K565" s="246"/>
      <c r="L565" s="246"/>
      <c r="M565" s="249" t="str">
        <f t="shared" si="2"/>
        <v/>
      </c>
      <c r="N565" s="266">
        <f t="shared" si="3"/>
        <v>0</v>
      </c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</row>
    <row r="566">
      <c r="A566" s="273">
        <v>45749.0</v>
      </c>
      <c r="B566" s="275" t="s">
        <v>1198</v>
      </c>
      <c r="C566" s="275" t="s">
        <v>1200</v>
      </c>
      <c r="D566" s="276">
        <v>3228.0</v>
      </c>
      <c r="E566" s="275" t="s">
        <v>1017</v>
      </c>
      <c r="F566" s="279"/>
      <c r="G566" s="278" t="str">
        <f>IFNA(IF(VLOOKUP(RC_OUT[BLOCK],RC_IN[[BLOCK]:[BLOCK LOC]],2,FALSE)=0,"",VLOOKUP(RC_OUT[BLOCK],RC_IN[[BLOCK]:[BLOCK LOC]],2,FALSE)),"")</f>
        <v/>
      </c>
      <c r="I566" s="263" t="str">
        <f>IFERROR(AVERAGEIFS(RC_IN[MC],RC_IN[BLOCK],RC_OUT[BLOCK]),"")</f>
        <v/>
      </c>
      <c r="J566" s="264">
        <f t="shared" si="1"/>
        <v>0</v>
      </c>
      <c r="K566" s="246"/>
      <c r="L566" s="246"/>
      <c r="M566" s="249" t="str">
        <f t="shared" si="2"/>
        <v/>
      </c>
      <c r="N566" s="266">
        <f t="shared" si="3"/>
        <v>0</v>
      </c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</row>
    <row r="567">
      <c r="A567" s="273">
        <v>45750.0</v>
      </c>
      <c r="B567" s="275" t="s">
        <v>1198</v>
      </c>
      <c r="C567" s="275" t="s">
        <v>1197</v>
      </c>
      <c r="D567" s="276">
        <v>16297.0</v>
      </c>
      <c r="E567" s="275" t="s">
        <v>1017</v>
      </c>
      <c r="F567" s="279"/>
      <c r="G567" s="278" t="str">
        <f>IFNA(IF(VLOOKUP(RC_OUT[BLOCK],RC_IN[[BLOCK]:[BLOCK LOC]],2,FALSE)=0,"",VLOOKUP(RC_OUT[BLOCK],RC_IN[[BLOCK]:[BLOCK LOC]],2,FALSE)),"")</f>
        <v/>
      </c>
      <c r="I567" s="263" t="str">
        <f>IFERROR(AVERAGEIFS(RC_IN[MC],RC_IN[BLOCK],RC_OUT[BLOCK]),"")</f>
        <v/>
      </c>
      <c r="J567" s="264">
        <f t="shared" si="1"/>
        <v>0</v>
      </c>
      <c r="K567" s="246"/>
      <c r="L567" s="246"/>
      <c r="M567" s="249" t="str">
        <f t="shared" si="2"/>
        <v/>
      </c>
      <c r="N567" s="266">
        <f t="shared" si="3"/>
        <v>0</v>
      </c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</row>
    <row r="568">
      <c r="A568" s="273">
        <v>45750.0</v>
      </c>
      <c r="B568" s="275" t="s">
        <v>1198</v>
      </c>
      <c r="C568" s="275" t="s">
        <v>1194</v>
      </c>
      <c r="D568" s="276">
        <v>11228.0</v>
      </c>
      <c r="E568" s="275" t="s">
        <v>1017</v>
      </c>
      <c r="F568" s="279"/>
      <c r="G568" s="278" t="str">
        <f>IFNA(IF(VLOOKUP(RC_OUT[BLOCK],RC_IN[[BLOCK]:[BLOCK LOC]],2,FALSE)=0,"",VLOOKUP(RC_OUT[BLOCK],RC_IN[[BLOCK]:[BLOCK LOC]],2,FALSE)),"")</f>
        <v/>
      </c>
      <c r="I568" s="263" t="str">
        <f>IFERROR(AVERAGEIFS(RC_IN[MC],RC_IN[BLOCK],RC_OUT[BLOCK]),"")</f>
        <v/>
      </c>
      <c r="J568" s="264">
        <f t="shared" si="1"/>
        <v>0</v>
      </c>
      <c r="K568" s="246"/>
      <c r="L568" s="246"/>
      <c r="M568" s="249" t="str">
        <f t="shared" si="2"/>
        <v/>
      </c>
      <c r="N568" s="266">
        <f t="shared" si="3"/>
        <v>0</v>
      </c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</row>
    <row r="569">
      <c r="A569" s="273">
        <v>45750.0</v>
      </c>
      <c r="B569" s="275" t="s">
        <v>1198</v>
      </c>
      <c r="C569" s="275" t="s">
        <v>1199</v>
      </c>
      <c r="D569" s="276">
        <v>13128.0</v>
      </c>
      <c r="E569" s="275" t="s">
        <v>1017</v>
      </c>
      <c r="F569" s="279"/>
      <c r="G569" s="278" t="str">
        <f>IFNA(IF(VLOOKUP(RC_OUT[BLOCK],RC_IN[[BLOCK]:[BLOCK LOC]],2,FALSE)=0,"",VLOOKUP(RC_OUT[BLOCK],RC_IN[[BLOCK]:[BLOCK LOC]],2,FALSE)),"")</f>
        <v/>
      </c>
      <c r="I569" s="263" t="str">
        <f>IFERROR(AVERAGEIFS(RC_IN[MC],RC_IN[BLOCK],RC_OUT[BLOCK]),"")</f>
        <v/>
      </c>
      <c r="J569" s="264">
        <f t="shared" si="1"/>
        <v>0</v>
      </c>
      <c r="K569" s="246"/>
      <c r="L569" s="246"/>
      <c r="M569" s="249" t="str">
        <f t="shared" si="2"/>
        <v/>
      </c>
      <c r="N569" s="266">
        <f t="shared" si="3"/>
        <v>0</v>
      </c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</row>
    <row r="570">
      <c r="A570" s="273">
        <v>45750.0</v>
      </c>
      <c r="B570" s="275" t="s">
        <v>1198</v>
      </c>
      <c r="C570" s="275" t="s">
        <v>1200</v>
      </c>
      <c r="D570" s="276">
        <v>500.0</v>
      </c>
      <c r="E570" s="275" t="s">
        <v>1017</v>
      </c>
      <c r="F570" s="279"/>
      <c r="G570" s="278" t="str">
        <f>IFNA(IF(VLOOKUP(RC_OUT[BLOCK],RC_IN[[BLOCK]:[BLOCK LOC]],2,FALSE)=0,"",VLOOKUP(RC_OUT[BLOCK],RC_IN[[BLOCK]:[BLOCK LOC]],2,FALSE)),"")</f>
        <v/>
      </c>
      <c r="I570" s="263" t="str">
        <f>IFERROR(AVERAGEIFS(RC_IN[MC],RC_IN[BLOCK],RC_OUT[BLOCK]),"")</f>
        <v/>
      </c>
      <c r="J570" s="264">
        <f t="shared" si="1"/>
        <v>0</v>
      </c>
      <c r="K570" s="246"/>
      <c r="L570" s="246"/>
      <c r="M570" s="249" t="str">
        <f t="shared" si="2"/>
        <v/>
      </c>
      <c r="N570" s="266">
        <f t="shared" si="3"/>
        <v>0</v>
      </c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</row>
    <row r="571">
      <c r="A571" s="273">
        <v>45751.0</v>
      </c>
      <c r="B571" s="275" t="s">
        <v>1198</v>
      </c>
      <c r="C571" s="275" t="s">
        <v>1197</v>
      </c>
      <c r="D571" s="276">
        <v>7923.0</v>
      </c>
      <c r="E571" s="275" t="s">
        <v>1017</v>
      </c>
      <c r="F571" s="279"/>
      <c r="G571" s="278" t="str">
        <f>IFNA(IF(VLOOKUP(RC_OUT[BLOCK],RC_IN[[BLOCK]:[BLOCK LOC]],2,FALSE)=0,"",VLOOKUP(RC_OUT[BLOCK],RC_IN[[BLOCK]:[BLOCK LOC]],2,FALSE)),"")</f>
        <v/>
      </c>
      <c r="I571" s="263" t="str">
        <f>IFERROR(AVERAGEIFS(RC_IN[MC],RC_IN[BLOCK],RC_OUT[BLOCK]),"")</f>
        <v/>
      </c>
      <c r="J571" s="264">
        <f t="shared" si="1"/>
        <v>0</v>
      </c>
      <c r="K571" s="246"/>
      <c r="L571" s="246"/>
      <c r="M571" s="249" t="str">
        <f t="shared" si="2"/>
        <v/>
      </c>
      <c r="N571" s="266">
        <f t="shared" si="3"/>
        <v>0</v>
      </c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</row>
    <row r="572">
      <c r="A572" s="273">
        <v>45751.0</v>
      </c>
      <c r="B572" s="275" t="s">
        <v>1198</v>
      </c>
      <c r="C572" s="275" t="s">
        <v>1194</v>
      </c>
      <c r="D572" s="276">
        <v>4895.0</v>
      </c>
      <c r="E572" s="275" t="s">
        <v>1017</v>
      </c>
      <c r="F572" s="277" t="s">
        <v>1059</v>
      </c>
      <c r="G572" s="278" t="str">
        <f>IFNA(IF(VLOOKUP(RC_OUT[BLOCK],RC_IN[[BLOCK]:[BLOCK LOC]],2,FALSE)=0,"",VLOOKUP(RC_OUT[BLOCK],RC_IN[[BLOCK]:[BLOCK LOC]],2,FALSE)),"")</f>
        <v/>
      </c>
      <c r="I572" s="263" t="str">
        <f>IFERROR(AVERAGEIFS(RC_IN[MC],RC_IN[BLOCK],RC_OUT[BLOCK]),"")</f>
        <v/>
      </c>
      <c r="J572" s="264">
        <f t="shared" si="1"/>
        <v>0</v>
      </c>
      <c r="K572" s="246"/>
      <c r="L572" s="246"/>
      <c r="M572" s="249" t="str">
        <f t="shared" si="2"/>
        <v/>
      </c>
      <c r="N572" s="266">
        <f t="shared" si="3"/>
        <v>0</v>
      </c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</row>
    <row r="573">
      <c r="A573" s="273">
        <v>45751.0</v>
      </c>
      <c r="B573" s="275" t="s">
        <v>1198</v>
      </c>
      <c r="C573" s="275" t="s">
        <v>1199</v>
      </c>
      <c r="D573" s="276">
        <v>6169.0</v>
      </c>
      <c r="E573" s="275" t="s">
        <v>1017</v>
      </c>
      <c r="F573" s="279"/>
      <c r="G573" s="278" t="str">
        <f>IFNA(IF(VLOOKUP(RC_OUT[BLOCK],RC_IN[[BLOCK]:[BLOCK LOC]],2,FALSE)=0,"",VLOOKUP(RC_OUT[BLOCK],RC_IN[[BLOCK]:[BLOCK LOC]],2,FALSE)),"")</f>
        <v/>
      </c>
      <c r="I573" s="263" t="str">
        <f>IFERROR(AVERAGEIFS(RC_IN[MC],RC_IN[BLOCK],RC_OUT[BLOCK]),"")</f>
        <v/>
      </c>
      <c r="J573" s="264">
        <f t="shared" si="1"/>
        <v>0</v>
      </c>
      <c r="K573" s="246"/>
      <c r="L573" s="246"/>
      <c r="M573" s="249" t="str">
        <f t="shared" si="2"/>
        <v/>
      </c>
      <c r="N573" s="266">
        <f t="shared" si="3"/>
        <v>0</v>
      </c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</row>
    <row r="574">
      <c r="A574" s="273">
        <v>45751.0</v>
      </c>
      <c r="B574" s="275" t="s">
        <v>1198</v>
      </c>
      <c r="C574" s="275" t="s">
        <v>1200</v>
      </c>
      <c r="D574" s="276">
        <v>500.0</v>
      </c>
      <c r="E574" s="275" t="s">
        <v>1017</v>
      </c>
      <c r="F574" s="279"/>
      <c r="G574" s="278" t="str">
        <f>IFNA(IF(VLOOKUP(RC_OUT[BLOCK],RC_IN[[BLOCK]:[BLOCK LOC]],2,FALSE)=0,"",VLOOKUP(RC_OUT[BLOCK],RC_IN[[BLOCK]:[BLOCK LOC]],2,FALSE)),"")</f>
        <v/>
      </c>
      <c r="I574" s="263" t="str">
        <f>IFERROR(AVERAGEIFS(RC_IN[MC],RC_IN[BLOCK],RC_OUT[BLOCK]),"")</f>
        <v/>
      </c>
      <c r="J574" s="264">
        <f t="shared" si="1"/>
        <v>0</v>
      </c>
      <c r="K574" s="246"/>
      <c r="L574" s="246"/>
      <c r="M574" s="249" t="str">
        <f t="shared" si="2"/>
        <v/>
      </c>
      <c r="N574" s="266">
        <f t="shared" si="3"/>
        <v>0</v>
      </c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</row>
    <row r="575">
      <c r="A575" s="273">
        <v>45752.0</v>
      </c>
      <c r="B575" s="275" t="s">
        <v>1198</v>
      </c>
      <c r="C575" s="275" t="s">
        <v>1201</v>
      </c>
      <c r="D575" s="276">
        <v>8820.0</v>
      </c>
      <c r="E575" s="275" t="s">
        <v>1017</v>
      </c>
      <c r="F575" s="279"/>
      <c r="G575" s="278" t="str">
        <f>IFNA(IF(VLOOKUP(RC_OUT[BLOCK],RC_IN[[BLOCK]:[BLOCK LOC]],2,FALSE)=0,"",VLOOKUP(RC_OUT[BLOCK],RC_IN[[BLOCK]:[BLOCK LOC]],2,FALSE)),"")</f>
        <v/>
      </c>
      <c r="I575" s="263" t="str">
        <f>IFERROR(AVERAGEIFS(RC_IN[MC],RC_IN[BLOCK],RC_OUT[BLOCK]),"")</f>
        <v/>
      </c>
      <c r="J575" s="264">
        <f t="shared" si="1"/>
        <v>0</v>
      </c>
      <c r="K575" s="246"/>
      <c r="L575" s="246"/>
      <c r="M575" s="249" t="str">
        <f t="shared" si="2"/>
        <v/>
      </c>
      <c r="N575" s="266">
        <f t="shared" si="3"/>
        <v>0</v>
      </c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</row>
    <row r="576">
      <c r="A576" s="273">
        <v>45752.0</v>
      </c>
      <c r="B576" s="275" t="s">
        <v>1198</v>
      </c>
      <c r="C576" s="275" t="s">
        <v>1197</v>
      </c>
      <c r="D576" s="276">
        <v>8331.0</v>
      </c>
      <c r="E576" s="275" t="s">
        <v>1017</v>
      </c>
      <c r="F576" s="277" t="s">
        <v>1059</v>
      </c>
      <c r="G576" s="278" t="str">
        <f>IFNA(IF(VLOOKUP(RC_OUT[BLOCK],RC_IN[[BLOCK]:[BLOCK LOC]],2,FALSE)=0,"",VLOOKUP(RC_OUT[BLOCK],RC_IN[[BLOCK]:[BLOCK LOC]],2,FALSE)),"")</f>
        <v/>
      </c>
      <c r="I576" s="263" t="str">
        <f>IFERROR(AVERAGEIFS(RC_IN[MC],RC_IN[BLOCK],RC_OUT[BLOCK]),"")</f>
        <v/>
      </c>
      <c r="J576" s="264">
        <f t="shared" si="1"/>
        <v>0</v>
      </c>
      <c r="K576" s="246"/>
      <c r="L576" s="246"/>
      <c r="M576" s="249" t="str">
        <f t="shared" si="2"/>
        <v/>
      </c>
      <c r="N576" s="266">
        <f t="shared" si="3"/>
        <v>0</v>
      </c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</row>
    <row r="577">
      <c r="A577" s="273">
        <v>45752.0</v>
      </c>
      <c r="B577" s="275" t="s">
        <v>1198</v>
      </c>
      <c r="C577" s="275" t="s">
        <v>1202</v>
      </c>
      <c r="D577" s="276">
        <v>12704.0</v>
      </c>
      <c r="E577" s="275" t="s">
        <v>1017</v>
      </c>
      <c r="F577" s="279"/>
      <c r="G577" s="278" t="str">
        <f>IFNA(IF(VLOOKUP(RC_OUT[BLOCK],RC_IN[[BLOCK]:[BLOCK LOC]],2,FALSE)=0,"",VLOOKUP(RC_OUT[BLOCK],RC_IN[[BLOCK]:[BLOCK LOC]],2,FALSE)),"")</f>
        <v/>
      </c>
      <c r="I577" s="263" t="str">
        <f>IFERROR(AVERAGEIFS(RC_IN[MC],RC_IN[BLOCK],RC_OUT[BLOCK]),"")</f>
        <v/>
      </c>
      <c r="J577" s="264">
        <f t="shared" si="1"/>
        <v>0</v>
      </c>
      <c r="K577" s="246"/>
      <c r="L577" s="246"/>
      <c r="M577" s="249" t="str">
        <f t="shared" si="2"/>
        <v/>
      </c>
      <c r="N577" s="266">
        <f t="shared" si="3"/>
        <v>0</v>
      </c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</row>
    <row r="578">
      <c r="A578" s="273">
        <v>45752.0</v>
      </c>
      <c r="B578" s="275" t="s">
        <v>1198</v>
      </c>
      <c r="C578" s="275" t="s">
        <v>1199</v>
      </c>
      <c r="D578" s="276">
        <v>11971.0</v>
      </c>
      <c r="E578" s="275" t="s">
        <v>1017</v>
      </c>
      <c r="F578" s="279"/>
      <c r="G578" s="278" t="str">
        <f>IFNA(IF(VLOOKUP(RC_OUT[BLOCK],RC_IN[[BLOCK]:[BLOCK LOC]],2,FALSE)=0,"",VLOOKUP(RC_OUT[BLOCK],RC_IN[[BLOCK]:[BLOCK LOC]],2,FALSE)),"")</f>
        <v/>
      </c>
      <c r="I578" s="263" t="str">
        <f>IFERROR(AVERAGEIFS(RC_IN[MC],RC_IN[BLOCK],RC_OUT[BLOCK]),"")</f>
        <v/>
      </c>
      <c r="J578" s="264">
        <f t="shared" si="1"/>
        <v>0</v>
      </c>
      <c r="K578" s="246"/>
      <c r="L578" s="246"/>
      <c r="M578" s="249" t="str">
        <f t="shared" si="2"/>
        <v/>
      </c>
      <c r="N578" s="266">
        <f t="shared" si="3"/>
        <v>0</v>
      </c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</row>
    <row r="579">
      <c r="A579" s="273">
        <v>45752.0</v>
      </c>
      <c r="B579" s="275" t="s">
        <v>1198</v>
      </c>
      <c r="C579" s="275" t="s">
        <v>1200</v>
      </c>
      <c r="D579" s="276">
        <v>500.0</v>
      </c>
      <c r="E579" s="275" t="s">
        <v>1017</v>
      </c>
      <c r="F579" s="279"/>
      <c r="G579" s="278" t="str">
        <f>IFNA(IF(VLOOKUP(RC_OUT[BLOCK],RC_IN[[BLOCK]:[BLOCK LOC]],2,FALSE)=0,"",VLOOKUP(RC_OUT[BLOCK],RC_IN[[BLOCK]:[BLOCK LOC]],2,FALSE)),"")</f>
        <v/>
      </c>
      <c r="I579" s="263" t="str">
        <f>IFERROR(AVERAGEIFS(RC_IN[MC],RC_IN[BLOCK],RC_OUT[BLOCK]),"")</f>
        <v/>
      </c>
      <c r="J579" s="264">
        <f t="shared" si="1"/>
        <v>0</v>
      </c>
      <c r="K579" s="246"/>
      <c r="L579" s="246"/>
      <c r="M579" s="249" t="str">
        <f t="shared" si="2"/>
        <v/>
      </c>
      <c r="N579" s="266">
        <f t="shared" si="3"/>
        <v>0</v>
      </c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</row>
    <row r="580">
      <c r="A580" s="273">
        <v>45754.0</v>
      </c>
      <c r="B580" s="275" t="s">
        <v>1198</v>
      </c>
      <c r="C580" s="275" t="s">
        <v>1201</v>
      </c>
      <c r="D580" s="276">
        <v>14340.0</v>
      </c>
      <c r="E580" s="275" t="s">
        <v>1017</v>
      </c>
      <c r="F580" s="279"/>
      <c r="G580" s="278" t="str">
        <f>IFNA(IF(VLOOKUP(RC_OUT[BLOCK],RC_IN[[BLOCK]:[BLOCK LOC]],2,FALSE)=0,"",VLOOKUP(RC_OUT[BLOCK],RC_IN[[BLOCK]:[BLOCK LOC]],2,FALSE)),"")</f>
        <v/>
      </c>
      <c r="I580" s="263" t="str">
        <f>IFERROR(AVERAGEIFS(RC_IN[MC],RC_IN[BLOCK],RC_OUT[BLOCK]),"")</f>
        <v/>
      </c>
      <c r="J580" s="264">
        <f t="shared" si="1"/>
        <v>0</v>
      </c>
      <c r="K580" s="246"/>
      <c r="L580" s="246"/>
      <c r="M580" s="249" t="str">
        <f t="shared" si="2"/>
        <v/>
      </c>
      <c r="N580" s="266">
        <f t="shared" si="3"/>
        <v>0</v>
      </c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</row>
    <row r="581">
      <c r="A581" s="273">
        <v>45754.0</v>
      </c>
      <c r="B581" s="275" t="s">
        <v>1198</v>
      </c>
      <c r="C581" s="275" t="s">
        <v>1202</v>
      </c>
      <c r="D581" s="276">
        <v>11374.0</v>
      </c>
      <c r="E581" s="275" t="s">
        <v>1017</v>
      </c>
      <c r="F581" s="279"/>
      <c r="G581" s="278" t="str">
        <f>IFNA(IF(VLOOKUP(RC_OUT[BLOCK],RC_IN[[BLOCK]:[BLOCK LOC]],2,FALSE)=0,"",VLOOKUP(RC_OUT[BLOCK],RC_IN[[BLOCK]:[BLOCK LOC]],2,FALSE)),"")</f>
        <v/>
      </c>
      <c r="I581" s="263" t="str">
        <f>IFERROR(AVERAGEIFS(RC_IN[MC],RC_IN[BLOCK],RC_OUT[BLOCK]),"")</f>
        <v/>
      </c>
      <c r="J581" s="264">
        <f t="shared" si="1"/>
        <v>0</v>
      </c>
      <c r="K581" s="246"/>
      <c r="L581" s="246"/>
      <c r="M581" s="249" t="str">
        <f t="shared" si="2"/>
        <v/>
      </c>
      <c r="N581" s="266">
        <f t="shared" si="3"/>
        <v>0</v>
      </c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</row>
    <row r="582">
      <c r="A582" s="273">
        <v>45754.0</v>
      </c>
      <c r="B582" s="275" t="s">
        <v>1198</v>
      </c>
      <c r="C582" s="275" t="s">
        <v>1199</v>
      </c>
      <c r="D582" s="276">
        <v>11858.0</v>
      </c>
      <c r="E582" s="275" t="s">
        <v>1017</v>
      </c>
      <c r="F582" s="279"/>
      <c r="G582" s="278" t="str">
        <f>IFNA(IF(VLOOKUP(RC_OUT[BLOCK],RC_IN[[BLOCK]:[BLOCK LOC]],2,FALSE)=0,"",VLOOKUP(RC_OUT[BLOCK],RC_IN[[BLOCK]:[BLOCK LOC]],2,FALSE)),"")</f>
        <v/>
      </c>
      <c r="I582" s="263" t="str">
        <f>IFERROR(AVERAGEIFS(RC_IN[MC],RC_IN[BLOCK],RC_OUT[BLOCK]),"")</f>
        <v/>
      </c>
      <c r="J582" s="264">
        <f t="shared" si="1"/>
        <v>0</v>
      </c>
      <c r="K582" s="246"/>
      <c r="L582" s="246"/>
      <c r="M582" s="249" t="str">
        <f t="shared" si="2"/>
        <v/>
      </c>
      <c r="N582" s="266">
        <f t="shared" si="3"/>
        <v>0</v>
      </c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</row>
    <row r="583">
      <c r="A583" s="273">
        <v>45754.0</v>
      </c>
      <c r="B583" s="275" t="s">
        <v>1198</v>
      </c>
      <c r="C583" s="275" t="s">
        <v>1200</v>
      </c>
      <c r="D583" s="276">
        <v>500.0</v>
      </c>
      <c r="E583" s="275" t="s">
        <v>1017</v>
      </c>
      <c r="F583" s="279"/>
      <c r="G583" s="278" t="str">
        <f>IFNA(IF(VLOOKUP(RC_OUT[BLOCK],RC_IN[[BLOCK]:[BLOCK LOC]],2,FALSE)=0,"",VLOOKUP(RC_OUT[BLOCK],RC_IN[[BLOCK]:[BLOCK LOC]],2,FALSE)),"")</f>
        <v/>
      </c>
      <c r="I583" s="263" t="str">
        <f>IFERROR(AVERAGEIFS(RC_IN[MC],RC_IN[BLOCK],RC_OUT[BLOCK]),"")</f>
        <v/>
      </c>
      <c r="J583" s="264">
        <f t="shared" si="1"/>
        <v>0</v>
      </c>
      <c r="K583" s="246"/>
      <c r="L583" s="246"/>
      <c r="M583" s="249" t="str">
        <f t="shared" si="2"/>
        <v/>
      </c>
      <c r="N583" s="266">
        <f t="shared" si="3"/>
        <v>0</v>
      </c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</row>
    <row r="584">
      <c r="A584" s="273">
        <v>45755.0</v>
      </c>
      <c r="B584" s="275" t="s">
        <v>1198</v>
      </c>
      <c r="C584" s="275" t="s">
        <v>1201</v>
      </c>
      <c r="D584" s="276">
        <v>10793.0</v>
      </c>
      <c r="E584" s="275" t="s">
        <v>1017</v>
      </c>
      <c r="F584" s="277" t="s">
        <v>1059</v>
      </c>
      <c r="G584" s="278" t="str">
        <f>IFNA(IF(VLOOKUP(RC_OUT[BLOCK],RC_IN[[BLOCK]:[BLOCK LOC]],2,FALSE)=0,"",VLOOKUP(RC_OUT[BLOCK],RC_IN[[BLOCK]:[BLOCK LOC]],2,FALSE)),"")</f>
        <v/>
      </c>
      <c r="I584" s="263" t="str">
        <f>IFERROR(AVERAGEIFS(RC_IN[MC],RC_IN[BLOCK],RC_OUT[BLOCK]),"")</f>
        <v/>
      </c>
      <c r="J584" s="264">
        <f t="shared" si="1"/>
        <v>0</v>
      </c>
      <c r="K584" s="246"/>
      <c r="L584" s="246"/>
      <c r="M584" s="249" t="str">
        <f t="shared" si="2"/>
        <v/>
      </c>
      <c r="N584" s="266">
        <f t="shared" si="3"/>
        <v>0</v>
      </c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</row>
    <row r="585">
      <c r="A585" s="273">
        <v>45755.0</v>
      </c>
      <c r="B585" s="275" t="s">
        <v>1198</v>
      </c>
      <c r="C585" s="275" t="s">
        <v>1202</v>
      </c>
      <c r="D585" s="276">
        <v>7757.0</v>
      </c>
      <c r="E585" s="275" t="s">
        <v>1017</v>
      </c>
      <c r="F585" s="279"/>
      <c r="G585" s="278" t="str">
        <f>IFNA(IF(VLOOKUP(RC_OUT[BLOCK],RC_IN[[BLOCK]:[BLOCK LOC]],2,FALSE)=0,"",VLOOKUP(RC_OUT[BLOCK],RC_IN[[BLOCK]:[BLOCK LOC]],2,FALSE)),"")</f>
        <v/>
      </c>
      <c r="I585" s="263" t="str">
        <f>IFERROR(AVERAGEIFS(RC_IN[MC],RC_IN[BLOCK],RC_OUT[BLOCK]),"")</f>
        <v/>
      </c>
      <c r="J585" s="264">
        <f t="shared" si="1"/>
        <v>0</v>
      </c>
      <c r="K585" s="246"/>
      <c r="L585" s="246"/>
      <c r="M585" s="249" t="str">
        <f t="shared" si="2"/>
        <v/>
      </c>
      <c r="N585" s="266">
        <f t="shared" si="3"/>
        <v>0</v>
      </c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</row>
    <row r="586">
      <c r="A586" s="273">
        <v>45755.0</v>
      </c>
      <c r="B586" s="275" t="s">
        <v>1198</v>
      </c>
      <c r="C586" s="275" t="s">
        <v>1199</v>
      </c>
      <c r="D586" s="276">
        <v>2361.0</v>
      </c>
      <c r="E586" s="275" t="s">
        <v>1017</v>
      </c>
      <c r="F586" s="277" t="s">
        <v>1059</v>
      </c>
      <c r="G586" s="278" t="str">
        <f>IFNA(IF(VLOOKUP(RC_OUT[BLOCK],RC_IN[[BLOCK]:[BLOCK LOC]],2,FALSE)=0,"",VLOOKUP(RC_OUT[BLOCK],RC_IN[[BLOCK]:[BLOCK LOC]],2,FALSE)),"")</f>
        <v/>
      </c>
      <c r="I586" s="263" t="str">
        <f>IFERROR(AVERAGEIFS(RC_IN[MC],RC_IN[BLOCK],RC_OUT[BLOCK]),"")</f>
        <v/>
      </c>
      <c r="J586" s="264">
        <f t="shared" si="1"/>
        <v>0</v>
      </c>
      <c r="K586" s="246"/>
      <c r="L586" s="246"/>
      <c r="M586" s="249" t="str">
        <f t="shared" si="2"/>
        <v/>
      </c>
      <c r="N586" s="266">
        <f t="shared" si="3"/>
        <v>0</v>
      </c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</row>
    <row r="587">
      <c r="A587" s="273">
        <v>45755.0</v>
      </c>
      <c r="B587" s="275" t="s">
        <v>1198</v>
      </c>
      <c r="C587" s="275" t="s">
        <v>1203</v>
      </c>
      <c r="D587" s="276">
        <v>4136.0</v>
      </c>
      <c r="E587" s="275" t="s">
        <v>1017</v>
      </c>
      <c r="F587" s="279"/>
      <c r="G587" s="278" t="str">
        <f>IFNA(IF(VLOOKUP(RC_OUT[BLOCK],RC_IN[[BLOCK]:[BLOCK LOC]],2,FALSE)=0,"",VLOOKUP(RC_OUT[BLOCK],RC_IN[[BLOCK]:[BLOCK LOC]],2,FALSE)),"")</f>
        <v/>
      </c>
      <c r="I587" s="263" t="str">
        <f>IFERROR(AVERAGEIFS(RC_IN[MC],RC_IN[BLOCK],RC_OUT[BLOCK]),"")</f>
        <v/>
      </c>
      <c r="J587" s="264">
        <f t="shared" si="1"/>
        <v>0</v>
      </c>
      <c r="K587" s="246"/>
      <c r="L587" s="246"/>
      <c r="M587" s="249" t="str">
        <f t="shared" si="2"/>
        <v/>
      </c>
      <c r="N587" s="266">
        <f t="shared" si="3"/>
        <v>0</v>
      </c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</row>
    <row r="588">
      <c r="A588" s="273">
        <v>45755.0</v>
      </c>
      <c r="B588" s="275" t="s">
        <v>1198</v>
      </c>
      <c r="C588" s="275" t="s">
        <v>1200</v>
      </c>
      <c r="D588" s="276">
        <v>10000.0</v>
      </c>
      <c r="E588" s="275" t="s">
        <v>1017</v>
      </c>
      <c r="F588" s="277" t="s">
        <v>1059</v>
      </c>
      <c r="G588" s="278" t="str">
        <f>IFNA(IF(VLOOKUP(RC_OUT[BLOCK],RC_IN[[BLOCK]:[BLOCK LOC]],2,FALSE)=0,"",VLOOKUP(RC_OUT[BLOCK],RC_IN[[BLOCK]:[BLOCK LOC]],2,FALSE)),"")</f>
        <v/>
      </c>
      <c r="I588" s="263" t="str">
        <f>IFERROR(AVERAGEIFS(RC_IN[MC],RC_IN[BLOCK],RC_OUT[BLOCK]),"")</f>
        <v/>
      </c>
      <c r="J588" s="264">
        <f t="shared" si="1"/>
        <v>0</v>
      </c>
      <c r="K588" s="246"/>
      <c r="L588" s="246"/>
      <c r="M588" s="249" t="str">
        <f t="shared" si="2"/>
        <v/>
      </c>
      <c r="N588" s="266">
        <f t="shared" si="3"/>
        <v>0</v>
      </c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</row>
    <row r="589">
      <c r="A589" s="273">
        <v>45756.0</v>
      </c>
      <c r="B589" s="275" t="s">
        <v>1198</v>
      </c>
      <c r="C589" s="275" t="s">
        <v>1202</v>
      </c>
      <c r="D589" s="276">
        <v>6789.0</v>
      </c>
      <c r="E589" s="275" t="s">
        <v>1017</v>
      </c>
      <c r="F589" s="279"/>
      <c r="G589" s="278" t="str">
        <f>IFNA(IF(VLOOKUP(RC_OUT[BLOCK],RC_IN[[BLOCK]:[BLOCK LOC]],2,FALSE)=0,"",VLOOKUP(RC_OUT[BLOCK],RC_IN[[BLOCK]:[BLOCK LOC]],2,FALSE)),"")</f>
        <v/>
      </c>
      <c r="I589" s="263" t="str">
        <f>IFERROR(AVERAGEIFS(RC_IN[MC],RC_IN[BLOCK],RC_OUT[BLOCK]),"")</f>
        <v/>
      </c>
      <c r="J589" s="264">
        <f t="shared" si="1"/>
        <v>0</v>
      </c>
      <c r="K589" s="246"/>
      <c r="L589" s="246"/>
      <c r="M589" s="249" t="str">
        <f t="shared" si="2"/>
        <v/>
      </c>
      <c r="N589" s="266">
        <f t="shared" si="3"/>
        <v>0</v>
      </c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</row>
    <row r="590">
      <c r="A590" s="273">
        <v>45756.0</v>
      </c>
      <c r="B590" s="275" t="s">
        <v>1198</v>
      </c>
      <c r="C590" s="275" t="s">
        <v>1203</v>
      </c>
      <c r="D590" s="276">
        <v>6297.0</v>
      </c>
      <c r="E590" s="275" t="s">
        <v>1017</v>
      </c>
      <c r="F590" s="279"/>
      <c r="G590" s="278" t="str">
        <f>IFNA(IF(VLOOKUP(RC_OUT[BLOCK],RC_IN[[BLOCK]:[BLOCK LOC]],2,FALSE)=0,"",VLOOKUP(RC_OUT[BLOCK],RC_IN[[BLOCK]:[BLOCK LOC]],2,FALSE)),"")</f>
        <v/>
      </c>
      <c r="I590" s="263" t="str">
        <f>IFERROR(AVERAGEIFS(RC_IN[MC],RC_IN[BLOCK],RC_OUT[BLOCK]),"")</f>
        <v/>
      </c>
      <c r="J590" s="264">
        <f t="shared" si="1"/>
        <v>0</v>
      </c>
      <c r="K590" s="246"/>
      <c r="L590" s="246"/>
      <c r="M590" s="249" t="str">
        <f t="shared" si="2"/>
        <v/>
      </c>
      <c r="N590" s="266">
        <f t="shared" si="3"/>
        <v>0</v>
      </c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</row>
    <row r="591">
      <c r="A591" s="273">
        <v>45756.0</v>
      </c>
      <c r="B591" s="275" t="s">
        <v>1198</v>
      </c>
      <c r="C591" s="275" t="s">
        <v>1204</v>
      </c>
      <c r="D591" s="276">
        <v>6870.0</v>
      </c>
      <c r="E591" s="275" t="s">
        <v>1017</v>
      </c>
      <c r="F591" s="279"/>
      <c r="G591" s="278" t="str">
        <f>IFNA(IF(VLOOKUP(RC_OUT[BLOCK],RC_IN[[BLOCK]:[BLOCK LOC]],2,FALSE)=0,"",VLOOKUP(RC_OUT[BLOCK],RC_IN[[BLOCK]:[BLOCK LOC]],2,FALSE)),"")</f>
        <v/>
      </c>
      <c r="I591" s="263" t="str">
        <f>IFERROR(AVERAGEIFS(RC_IN[MC],RC_IN[BLOCK],RC_OUT[BLOCK]),"")</f>
        <v/>
      </c>
      <c r="J591" s="264">
        <f t="shared" si="1"/>
        <v>0</v>
      </c>
      <c r="K591" s="246"/>
      <c r="L591" s="246"/>
      <c r="M591" s="249" t="str">
        <f t="shared" si="2"/>
        <v/>
      </c>
      <c r="N591" s="266">
        <f t="shared" si="3"/>
        <v>0</v>
      </c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</row>
    <row r="592">
      <c r="A592" s="273">
        <v>45756.0</v>
      </c>
      <c r="B592" s="275" t="s">
        <v>1198</v>
      </c>
      <c r="C592" s="275" t="s">
        <v>1205</v>
      </c>
      <c r="D592" s="276">
        <v>6893.0</v>
      </c>
      <c r="E592" s="275" t="s">
        <v>1017</v>
      </c>
      <c r="F592" s="279"/>
      <c r="G592" s="278" t="str">
        <f>IFNA(IF(VLOOKUP(RC_OUT[BLOCK],RC_IN[[BLOCK]:[BLOCK LOC]],2,FALSE)=0,"",VLOOKUP(RC_OUT[BLOCK],RC_IN[[BLOCK]:[BLOCK LOC]],2,FALSE)),"")</f>
        <v/>
      </c>
      <c r="I592" s="263" t="str">
        <f>IFERROR(AVERAGEIFS(RC_IN[MC],RC_IN[BLOCK],RC_OUT[BLOCK]),"")</f>
        <v/>
      </c>
      <c r="J592" s="264">
        <f t="shared" si="1"/>
        <v>0</v>
      </c>
      <c r="K592" s="246"/>
      <c r="L592" s="246"/>
      <c r="M592" s="249" t="str">
        <f t="shared" si="2"/>
        <v/>
      </c>
      <c r="N592" s="266">
        <f t="shared" si="3"/>
        <v>0</v>
      </c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</row>
    <row r="593">
      <c r="A593" s="273">
        <v>45757.0</v>
      </c>
      <c r="B593" s="275" t="s">
        <v>1198</v>
      </c>
      <c r="C593" s="275" t="s">
        <v>1202</v>
      </c>
      <c r="D593" s="276">
        <v>7487.0</v>
      </c>
      <c r="E593" s="275" t="s">
        <v>1017</v>
      </c>
      <c r="F593" s="279"/>
      <c r="G593" s="278" t="str">
        <f>IFNA(IF(VLOOKUP(RC_OUT[BLOCK],RC_IN[[BLOCK]:[BLOCK LOC]],2,FALSE)=0,"",VLOOKUP(RC_OUT[BLOCK],RC_IN[[BLOCK]:[BLOCK LOC]],2,FALSE)),"")</f>
        <v/>
      </c>
      <c r="I593" s="263" t="str">
        <f>IFERROR(AVERAGEIFS(RC_IN[MC],RC_IN[BLOCK],RC_OUT[BLOCK]),"")</f>
        <v/>
      </c>
      <c r="J593" s="264">
        <f t="shared" si="1"/>
        <v>0</v>
      </c>
      <c r="K593" s="246"/>
      <c r="L593" s="246"/>
      <c r="M593" s="249" t="str">
        <f t="shared" si="2"/>
        <v/>
      </c>
      <c r="N593" s="266">
        <f t="shared" si="3"/>
        <v>0</v>
      </c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</row>
    <row r="594">
      <c r="A594" s="273">
        <v>45757.0</v>
      </c>
      <c r="B594" s="275" t="s">
        <v>1198</v>
      </c>
      <c r="C594" s="275" t="s">
        <v>1203</v>
      </c>
      <c r="D594" s="276">
        <v>8122.0</v>
      </c>
      <c r="E594" s="275" t="s">
        <v>1017</v>
      </c>
      <c r="F594" s="279"/>
      <c r="G594" s="278" t="str">
        <f>IFNA(IF(VLOOKUP(RC_OUT[BLOCK],RC_IN[[BLOCK]:[BLOCK LOC]],2,FALSE)=0,"",VLOOKUP(RC_OUT[BLOCK],RC_IN[[BLOCK]:[BLOCK LOC]],2,FALSE)),"")</f>
        <v/>
      </c>
      <c r="I594" s="263" t="str">
        <f>IFERROR(AVERAGEIFS(RC_IN[MC],RC_IN[BLOCK],RC_OUT[BLOCK]),"")</f>
        <v/>
      </c>
      <c r="J594" s="264">
        <f t="shared" si="1"/>
        <v>0</v>
      </c>
      <c r="K594" s="246"/>
      <c r="L594" s="246"/>
      <c r="M594" s="249" t="str">
        <f t="shared" si="2"/>
        <v/>
      </c>
      <c r="N594" s="266">
        <f t="shared" si="3"/>
        <v>0</v>
      </c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</row>
    <row r="595">
      <c r="A595" s="273">
        <v>45757.0</v>
      </c>
      <c r="B595" s="275" t="s">
        <v>1198</v>
      </c>
      <c r="C595" s="275" t="s">
        <v>1204</v>
      </c>
      <c r="D595" s="276">
        <v>10747.0</v>
      </c>
      <c r="E595" s="275" t="s">
        <v>1017</v>
      </c>
      <c r="F595" s="279"/>
      <c r="G595" s="278" t="str">
        <f>IFNA(IF(VLOOKUP(RC_OUT[BLOCK],RC_IN[[BLOCK]:[BLOCK LOC]],2,FALSE)=0,"",VLOOKUP(RC_OUT[BLOCK],RC_IN[[BLOCK]:[BLOCK LOC]],2,FALSE)),"")</f>
        <v/>
      </c>
      <c r="I595" s="263" t="str">
        <f>IFERROR(AVERAGEIFS(RC_IN[MC],RC_IN[BLOCK],RC_OUT[BLOCK]),"")</f>
        <v/>
      </c>
      <c r="J595" s="264">
        <f t="shared" si="1"/>
        <v>0</v>
      </c>
      <c r="K595" s="246"/>
      <c r="L595" s="246"/>
      <c r="M595" s="249" t="str">
        <f t="shared" si="2"/>
        <v/>
      </c>
      <c r="N595" s="266">
        <f t="shared" si="3"/>
        <v>0</v>
      </c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</row>
    <row r="596">
      <c r="A596" s="273">
        <v>45757.0</v>
      </c>
      <c r="B596" s="275" t="s">
        <v>1198</v>
      </c>
      <c r="C596" s="275" t="s">
        <v>1205</v>
      </c>
      <c r="D596" s="276">
        <v>6893.0</v>
      </c>
      <c r="E596" s="275" t="s">
        <v>1017</v>
      </c>
      <c r="F596" s="277" t="s">
        <v>1059</v>
      </c>
      <c r="G596" s="278" t="str">
        <f>IFNA(IF(VLOOKUP(RC_OUT[BLOCK],RC_IN[[BLOCK]:[BLOCK LOC]],2,FALSE)=0,"",VLOOKUP(RC_OUT[BLOCK],RC_IN[[BLOCK]:[BLOCK LOC]],2,FALSE)),"")</f>
        <v/>
      </c>
      <c r="I596" s="263" t="str">
        <f>IFERROR(AVERAGEIFS(RC_IN[MC],RC_IN[BLOCK],RC_OUT[BLOCK]),"")</f>
        <v/>
      </c>
      <c r="J596" s="264">
        <f t="shared" si="1"/>
        <v>0</v>
      </c>
      <c r="K596" s="246"/>
      <c r="L596" s="246"/>
      <c r="M596" s="249" t="str">
        <f t="shared" si="2"/>
        <v/>
      </c>
      <c r="N596" s="266">
        <f t="shared" si="3"/>
        <v>0</v>
      </c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</row>
    <row r="597">
      <c r="A597" s="273">
        <v>45758.0</v>
      </c>
      <c r="B597" s="275" t="s">
        <v>1198</v>
      </c>
      <c r="C597" s="275" t="s">
        <v>1202</v>
      </c>
      <c r="D597" s="276">
        <v>8468.0</v>
      </c>
      <c r="E597" s="275" t="s">
        <v>1017</v>
      </c>
      <c r="F597" s="277" t="s">
        <v>1059</v>
      </c>
      <c r="G597" s="278" t="str">
        <f>IFNA(IF(VLOOKUP(RC_OUT[BLOCK],RC_IN[[BLOCK]:[BLOCK LOC]],2,FALSE)=0,"",VLOOKUP(RC_OUT[BLOCK],RC_IN[[BLOCK]:[BLOCK LOC]],2,FALSE)),"")</f>
        <v/>
      </c>
      <c r="I597" s="263" t="str">
        <f>IFERROR(AVERAGEIFS(RC_IN[MC],RC_IN[BLOCK],RC_OUT[BLOCK]),"")</f>
        <v/>
      </c>
      <c r="J597" s="264">
        <f t="shared" si="1"/>
        <v>0</v>
      </c>
      <c r="K597" s="246"/>
      <c r="L597" s="246"/>
      <c r="M597" s="249" t="str">
        <f t="shared" si="2"/>
        <v/>
      </c>
      <c r="N597" s="266">
        <f t="shared" si="3"/>
        <v>0</v>
      </c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</row>
    <row r="598">
      <c r="A598" s="273">
        <v>45758.0</v>
      </c>
      <c r="B598" s="275" t="s">
        <v>1198</v>
      </c>
      <c r="C598" s="275" t="s">
        <v>1203</v>
      </c>
      <c r="D598" s="276">
        <v>12682.0</v>
      </c>
      <c r="E598" s="275" t="s">
        <v>1017</v>
      </c>
      <c r="F598" s="279"/>
      <c r="G598" s="278" t="str">
        <f>IFNA(IF(VLOOKUP(RC_OUT[BLOCK],RC_IN[[BLOCK]:[BLOCK LOC]],2,FALSE)=0,"",VLOOKUP(RC_OUT[BLOCK],RC_IN[[BLOCK]:[BLOCK LOC]],2,FALSE)),"")</f>
        <v/>
      </c>
      <c r="I598" s="263" t="str">
        <f>IFERROR(AVERAGEIFS(RC_IN[MC],RC_IN[BLOCK],RC_OUT[BLOCK]),"")</f>
        <v/>
      </c>
      <c r="J598" s="264">
        <f t="shared" si="1"/>
        <v>0</v>
      </c>
      <c r="K598" s="246"/>
      <c r="L598" s="246"/>
      <c r="M598" s="249" t="str">
        <f t="shared" si="2"/>
        <v/>
      </c>
      <c r="N598" s="266">
        <f t="shared" si="3"/>
        <v>0</v>
      </c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</row>
    <row r="599">
      <c r="A599" s="273">
        <v>45758.0</v>
      </c>
      <c r="B599" s="275" t="s">
        <v>1198</v>
      </c>
      <c r="C599" s="275" t="s">
        <v>1204</v>
      </c>
      <c r="D599" s="276">
        <v>17114.0</v>
      </c>
      <c r="E599" s="275" t="s">
        <v>1017</v>
      </c>
      <c r="F599" s="279"/>
      <c r="G599" s="278" t="str">
        <f>IFNA(IF(VLOOKUP(RC_OUT[BLOCK],RC_IN[[BLOCK]:[BLOCK LOC]],2,FALSE)=0,"",VLOOKUP(RC_OUT[BLOCK],RC_IN[[BLOCK]:[BLOCK LOC]],2,FALSE)),"")</f>
        <v/>
      </c>
      <c r="I599" s="263" t="str">
        <f>IFERROR(AVERAGEIFS(RC_IN[MC],RC_IN[BLOCK],RC_OUT[BLOCK]),"")</f>
        <v/>
      </c>
      <c r="J599" s="264">
        <f t="shared" si="1"/>
        <v>0</v>
      </c>
      <c r="K599" s="246"/>
      <c r="L599" s="246"/>
      <c r="M599" s="249" t="str">
        <f t="shared" si="2"/>
        <v/>
      </c>
      <c r="N599" s="266">
        <f t="shared" si="3"/>
        <v>0</v>
      </c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</row>
    <row r="600">
      <c r="A600" s="273">
        <v>45758.0</v>
      </c>
      <c r="B600" s="275" t="s">
        <v>1198</v>
      </c>
      <c r="C600" s="275" t="s">
        <v>1206</v>
      </c>
      <c r="D600" s="276">
        <v>3937.0</v>
      </c>
      <c r="E600" s="275" t="s">
        <v>1017</v>
      </c>
      <c r="F600" s="279"/>
      <c r="G600" s="278" t="str">
        <f>IFNA(IF(VLOOKUP(RC_OUT[BLOCK],RC_IN[[BLOCK]:[BLOCK LOC]],2,FALSE)=0,"",VLOOKUP(RC_OUT[BLOCK],RC_IN[[BLOCK]:[BLOCK LOC]],2,FALSE)),"")</f>
        <v/>
      </c>
      <c r="I600" s="263" t="str">
        <f>IFERROR(AVERAGEIFS(RC_IN[MC],RC_IN[BLOCK],RC_OUT[BLOCK]),"")</f>
        <v/>
      </c>
      <c r="J600" s="264">
        <f t="shared" si="1"/>
        <v>0</v>
      </c>
      <c r="K600" s="246"/>
      <c r="L600" s="246"/>
      <c r="M600" s="249" t="str">
        <f t="shared" si="2"/>
        <v/>
      </c>
      <c r="N600" s="266">
        <f t="shared" si="3"/>
        <v>0</v>
      </c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</row>
    <row r="601">
      <c r="A601" s="273">
        <v>45761.0</v>
      </c>
      <c r="B601" s="275" t="s">
        <v>1198</v>
      </c>
      <c r="C601" s="275" t="s">
        <v>1203</v>
      </c>
      <c r="D601" s="276">
        <v>8499.0</v>
      </c>
      <c r="E601" s="275" t="s">
        <v>1017</v>
      </c>
      <c r="F601" s="279"/>
      <c r="G601" s="278" t="str">
        <f>IFNA(IF(VLOOKUP(RC_OUT[BLOCK],RC_IN[[BLOCK]:[BLOCK LOC]],2,FALSE)=0,"",VLOOKUP(RC_OUT[BLOCK],RC_IN[[BLOCK]:[BLOCK LOC]],2,FALSE)),"")</f>
        <v/>
      </c>
      <c r="I601" s="263" t="str">
        <f>IFERROR(AVERAGEIFS(RC_IN[MC],RC_IN[BLOCK],RC_OUT[BLOCK]),"")</f>
        <v/>
      </c>
      <c r="J601" s="264">
        <f t="shared" si="1"/>
        <v>0</v>
      </c>
      <c r="K601" s="246"/>
      <c r="L601" s="246"/>
      <c r="M601" s="249" t="str">
        <f t="shared" si="2"/>
        <v/>
      </c>
      <c r="N601" s="266">
        <f t="shared" si="3"/>
        <v>0</v>
      </c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</row>
    <row r="602">
      <c r="A602" s="273">
        <v>45761.0</v>
      </c>
      <c r="B602" s="275" t="s">
        <v>1198</v>
      </c>
      <c r="C602" s="275" t="s">
        <v>1204</v>
      </c>
      <c r="D602" s="276">
        <v>11091.0</v>
      </c>
      <c r="E602" s="275" t="s">
        <v>1017</v>
      </c>
      <c r="F602" s="279"/>
      <c r="G602" s="278" t="str">
        <f>IFNA(IF(VLOOKUP(RC_OUT[BLOCK],RC_IN[[BLOCK]:[BLOCK LOC]],2,FALSE)=0,"",VLOOKUP(RC_OUT[BLOCK],RC_IN[[BLOCK]:[BLOCK LOC]],2,FALSE)),"")</f>
        <v/>
      </c>
      <c r="I602" s="263" t="str">
        <f>IFERROR(AVERAGEIFS(RC_IN[MC],RC_IN[BLOCK],RC_OUT[BLOCK]),"")</f>
        <v/>
      </c>
      <c r="J602" s="264">
        <f t="shared" si="1"/>
        <v>0</v>
      </c>
      <c r="K602" s="246"/>
      <c r="L602" s="246"/>
      <c r="M602" s="249" t="str">
        <f t="shared" si="2"/>
        <v/>
      </c>
      <c r="N602" s="266">
        <f t="shared" si="3"/>
        <v>0</v>
      </c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</row>
    <row r="603">
      <c r="A603" s="273">
        <v>45761.0</v>
      </c>
      <c r="B603" s="275" t="s">
        <v>1198</v>
      </c>
      <c r="C603" s="275" t="s">
        <v>1207</v>
      </c>
      <c r="D603" s="276">
        <v>3790.0</v>
      </c>
      <c r="E603" s="275" t="s">
        <v>1017</v>
      </c>
      <c r="F603" s="279"/>
      <c r="G603" s="278" t="str">
        <f>IFNA(IF(VLOOKUP(RC_OUT[BLOCK],RC_IN[[BLOCK]:[BLOCK LOC]],2,FALSE)=0,"",VLOOKUP(RC_OUT[BLOCK],RC_IN[[BLOCK]:[BLOCK LOC]],2,FALSE)),"")</f>
        <v/>
      </c>
      <c r="I603" s="263" t="str">
        <f>IFERROR(AVERAGEIFS(RC_IN[MC],RC_IN[BLOCK],RC_OUT[BLOCK]),"")</f>
        <v/>
      </c>
      <c r="J603" s="264">
        <f t="shared" si="1"/>
        <v>0</v>
      </c>
      <c r="K603" s="246"/>
      <c r="L603" s="246"/>
      <c r="M603" s="249" t="str">
        <f t="shared" si="2"/>
        <v/>
      </c>
      <c r="N603" s="266">
        <f t="shared" si="3"/>
        <v>0</v>
      </c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</row>
    <row r="604">
      <c r="A604" s="273">
        <v>45761.0</v>
      </c>
      <c r="B604" s="275" t="s">
        <v>1198</v>
      </c>
      <c r="C604" s="275" t="s">
        <v>1206</v>
      </c>
      <c r="D604" s="276">
        <v>8199.0</v>
      </c>
      <c r="E604" s="275" t="s">
        <v>1017</v>
      </c>
      <c r="F604" s="279"/>
      <c r="G604" s="278" t="str">
        <f>IFNA(IF(VLOOKUP(RC_OUT[BLOCK],RC_IN[[BLOCK]:[BLOCK LOC]],2,FALSE)=0,"",VLOOKUP(RC_OUT[BLOCK],RC_IN[[BLOCK]:[BLOCK LOC]],2,FALSE)),"")</f>
        <v/>
      </c>
      <c r="I604" s="263" t="str">
        <f>IFERROR(AVERAGEIFS(RC_IN[MC],RC_IN[BLOCK],RC_OUT[BLOCK]),"")</f>
        <v/>
      </c>
      <c r="J604" s="264">
        <f t="shared" si="1"/>
        <v>0</v>
      </c>
      <c r="K604" s="246"/>
      <c r="L604" s="246"/>
      <c r="M604" s="249" t="str">
        <f t="shared" si="2"/>
        <v/>
      </c>
      <c r="N604" s="266">
        <f t="shared" si="3"/>
        <v>0</v>
      </c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</row>
    <row r="605">
      <c r="A605" s="273">
        <v>45762.0</v>
      </c>
      <c r="B605" s="275" t="s">
        <v>1198</v>
      </c>
      <c r="C605" s="275" t="s">
        <v>1203</v>
      </c>
      <c r="D605" s="276">
        <v>7216.0</v>
      </c>
      <c r="E605" s="275" t="s">
        <v>1017</v>
      </c>
      <c r="F605" s="279"/>
      <c r="G605" s="278" t="str">
        <f>IFNA(IF(VLOOKUP(RC_OUT[BLOCK],RC_IN[[BLOCK]:[BLOCK LOC]],2,FALSE)=0,"",VLOOKUP(RC_OUT[BLOCK],RC_IN[[BLOCK]:[BLOCK LOC]],2,FALSE)),"")</f>
        <v/>
      </c>
      <c r="I605" s="263" t="str">
        <f>IFERROR(AVERAGEIFS(RC_IN[MC],RC_IN[BLOCK],RC_OUT[BLOCK]),"")</f>
        <v/>
      </c>
      <c r="J605" s="264">
        <f t="shared" si="1"/>
        <v>0</v>
      </c>
      <c r="K605" s="246"/>
      <c r="L605" s="246"/>
      <c r="M605" s="249" t="str">
        <f t="shared" si="2"/>
        <v/>
      </c>
      <c r="N605" s="266">
        <f t="shared" si="3"/>
        <v>0</v>
      </c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</row>
    <row r="606">
      <c r="A606" s="273">
        <v>45762.0</v>
      </c>
      <c r="B606" s="275" t="s">
        <v>1198</v>
      </c>
      <c r="C606" s="275" t="s">
        <v>1204</v>
      </c>
      <c r="D606" s="276">
        <v>7362.0</v>
      </c>
      <c r="E606" s="275" t="s">
        <v>1017</v>
      </c>
      <c r="F606" s="277" t="s">
        <v>1059</v>
      </c>
      <c r="G606" s="278" t="str">
        <f>IFNA(IF(VLOOKUP(RC_OUT[BLOCK],RC_IN[[BLOCK]:[BLOCK LOC]],2,FALSE)=0,"",VLOOKUP(RC_OUT[BLOCK],RC_IN[[BLOCK]:[BLOCK LOC]],2,FALSE)),"")</f>
        <v/>
      </c>
      <c r="I606" s="263" t="str">
        <f>IFERROR(AVERAGEIFS(RC_IN[MC],RC_IN[BLOCK],RC_OUT[BLOCK]),"")</f>
        <v/>
      </c>
      <c r="J606" s="264">
        <f t="shared" si="1"/>
        <v>0</v>
      </c>
      <c r="K606" s="246"/>
      <c r="L606" s="246"/>
      <c r="M606" s="249" t="str">
        <f t="shared" si="2"/>
        <v/>
      </c>
      <c r="N606" s="266">
        <f t="shared" si="3"/>
        <v>0</v>
      </c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</row>
    <row r="607">
      <c r="A607" s="273">
        <v>45762.0</v>
      </c>
      <c r="B607" s="275" t="s">
        <v>1198</v>
      </c>
      <c r="C607" s="275" t="s">
        <v>1207</v>
      </c>
      <c r="D607" s="276">
        <v>6500.0</v>
      </c>
      <c r="E607" s="275" t="s">
        <v>1017</v>
      </c>
      <c r="F607" s="279"/>
      <c r="G607" s="278" t="str">
        <f>IFNA(IF(VLOOKUP(RC_OUT[BLOCK],RC_IN[[BLOCK]:[BLOCK LOC]],2,FALSE)=0,"",VLOOKUP(RC_OUT[BLOCK],RC_IN[[BLOCK]:[BLOCK LOC]],2,FALSE)),"")</f>
        <v/>
      </c>
      <c r="I607" s="263" t="str">
        <f>IFERROR(AVERAGEIFS(RC_IN[MC],RC_IN[BLOCK],RC_OUT[BLOCK]),"")</f>
        <v/>
      </c>
      <c r="J607" s="264">
        <f t="shared" si="1"/>
        <v>0</v>
      </c>
      <c r="K607" s="246"/>
      <c r="L607" s="246"/>
      <c r="M607" s="249" t="str">
        <f t="shared" si="2"/>
        <v/>
      </c>
      <c r="N607" s="266">
        <f t="shared" si="3"/>
        <v>0</v>
      </c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</row>
    <row r="608">
      <c r="A608" s="273">
        <v>45762.0</v>
      </c>
      <c r="B608" s="275" t="s">
        <v>1198</v>
      </c>
      <c r="C608" s="275" t="s">
        <v>1206</v>
      </c>
      <c r="D608" s="276">
        <v>8708.0</v>
      </c>
      <c r="E608" s="275" t="s">
        <v>1017</v>
      </c>
      <c r="F608" s="279"/>
      <c r="G608" s="278" t="str">
        <f>IFNA(IF(VLOOKUP(RC_OUT[BLOCK],RC_IN[[BLOCK]:[BLOCK LOC]],2,FALSE)=0,"",VLOOKUP(RC_OUT[BLOCK],RC_IN[[BLOCK]:[BLOCK LOC]],2,FALSE)),"")</f>
        <v/>
      </c>
      <c r="I608" s="263" t="str">
        <f>IFERROR(AVERAGEIFS(RC_IN[MC],RC_IN[BLOCK],RC_OUT[BLOCK]),"")</f>
        <v/>
      </c>
      <c r="J608" s="264">
        <f t="shared" si="1"/>
        <v>0</v>
      </c>
      <c r="K608" s="246"/>
      <c r="L608" s="246"/>
      <c r="M608" s="249" t="str">
        <f t="shared" si="2"/>
        <v/>
      </c>
      <c r="N608" s="266">
        <f t="shared" si="3"/>
        <v>0</v>
      </c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</row>
    <row r="609">
      <c r="A609" s="273">
        <v>45763.0</v>
      </c>
      <c r="B609" s="275" t="s">
        <v>1198</v>
      </c>
      <c r="C609" s="275" t="s">
        <v>1203</v>
      </c>
      <c r="D609" s="276">
        <v>5691.0</v>
      </c>
      <c r="E609" s="275" t="s">
        <v>1017</v>
      </c>
      <c r="F609" s="279"/>
      <c r="G609" s="278" t="str">
        <f>IFNA(IF(VLOOKUP(RC_OUT[BLOCK],RC_IN[[BLOCK]:[BLOCK LOC]],2,FALSE)=0,"",VLOOKUP(RC_OUT[BLOCK],RC_IN[[BLOCK]:[BLOCK LOC]],2,FALSE)),"")</f>
        <v/>
      </c>
      <c r="I609" s="263" t="str">
        <f>IFERROR(AVERAGEIFS(RC_IN[MC],RC_IN[BLOCK],RC_OUT[BLOCK]),"")</f>
        <v/>
      </c>
      <c r="J609" s="264">
        <f t="shared" si="1"/>
        <v>0</v>
      </c>
      <c r="K609" s="246"/>
      <c r="L609" s="246"/>
      <c r="M609" s="249" t="str">
        <f t="shared" si="2"/>
        <v/>
      </c>
      <c r="N609" s="266">
        <f t="shared" si="3"/>
        <v>0</v>
      </c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</row>
    <row r="610">
      <c r="A610" s="273">
        <v>45763.0</v>
      </c>
      <c r="B610" s="275" t="s">
        <v>1198</v>
      </c>
      <c r="C610" s="275" t="s">
        <v>1207</v>
      </c>
      <c r="D610" s="276">
        <v>3250.0</v>
      </c>
      <c r="E610" s="275" t="s">
        <v>1017</v>
      </c>
      <c r="F610" s="279"/>
      <c r="G610" s="278" t="str">
        <f>IFNA(IF(VLOOKUP(RC_OUT[BLOCK],RC_IN[[BLOCK]:[BLOCK LOC]],2,FALSE)=0,"",VLOOKUP(RC_OUT[BLOCK],RC_IN[[BLOCK]:[BLOCK LOC]],2,FALSE)),"")</f>
        <v/>
      </c>
      <c r="I610" s="263" t="str">
        <f>IFERROR(AVERAGEIFS(RC_IN[MC],RC_IN[BLOCK],RC_OUT[BLOCK]),"")</f>
        <v/>
      </c>
      <c r="J610" s="264">
        <f t="shared" si="1"/>
        <v>0</v>
      </c>
      <c r="K610" s="246"/>
      <c r="L610" s="246"/>
      <c r="M610" s="249" t="str">
        <f t="shared" si="2"/>
        <v/>
      </c>
      <c r="N610" s="266">
        <f t="shared" si="3"/>
        <v>0</v>
      </c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</row>
    <row r="611">
      <c r="A611" s="273">
        <v>45763.0</v>
      </c>
      <c r="B611" s="275" t="s">
        <v>1198</v>
      </c>
      <c r="C611" s="275" t="s">
        <v>1206</v>
      </c>
      <c r="D611" s="276">
        <v>5574.0</v>
      </c>
      <c r="E611" s="275" t="s">
        <v>1017</v>
      </c>
      <c r="F611" s="279"/>
      <c r="G611" s="278" t="str">
        <f>IFNA(IF(VLOOKUP(RC_OUT[BLOCK],RC_IN[[BLOCK]:[BLOCK LOC]],2,FALSE)=0,"",VLOOKUP(RC_OUT[BLOCK],RC_IN[[BLOCK]:[BLOCK LOC]],2,FALSE)),"")</f>
        <v/>
      </c>
      <c r="I611" s="263" t="str">
        <f>IFERROR(AVERAGEIFS(RC_IN[MC],RC_IN[BLOCK],RC_OUT[BLOCK]),"")</f>
        <v/>
      </c>
      <c r="J611" s="264">
        <f t="shared" si="1"/>
        <v>0</v>
      </c>
      <c r="K611" s="246"/>
      <c r="L611" s="246"/>
      <c r="M611" s="249" t="str">
        <f t="shared" si="2"/>
        <v/>
      </c>
      <c r="N611" s="266">
        <f t="shared" si="3"/>
        <v>0</v>
      </c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</row>
    <row r="612">
      <c r="A612" s="273">
        <v>45768.0</v>
      </c>
      <c r="B612" s="275" t="s">
        <v>1198</v>
      </c>
      <c r="C612" s="275" t="s">
        <v>1208</v>
      </c>
      <c r="D612" s="276">
        <v>6196.0</v>
      </c>
      <c r="E612" s="275" t="s">
        <v>1017</v>
      </c>
      <c r="F612" s="279"/>
      <c r="G612" s="278" t="str">
        <f>IFNA(IF(VLOOKUP(RC_OUT[BLOCK],RC_IN[[BLOCK]:[BLOCK LOC]],2,FALSE)=0,"",VLOOKUP(RC_OUT[BLOCK],RC_IN[[BLOCK]:[BLOCK LOC]],2,FALSE)),"")</f>
        <v/>
      </c>
      <c r="I612" s="263" t="str">
        <f>IFERROR(AVERAGEIFS(RC_IN[MC],RC_IN[BLOCK],RC_OUT[BLOCK]),"")</f>
        <v/>
      </c>
      <c r="J612" s="264">
        <f t="shared" si="1"/>
        <v>0</v>
      </c>
      <c r="K612" s="246"/>
      <c r="L612" s="246"/>
      <c r="M612" s="249" t="str">
        <f t="shared" si="2"/>
        <v/>
      </c>
      <c r="N612" s="266">
        <f t="shared" si="3"/>
        <v>0</v>
      </c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</row>
    <row r="613">
      <c r="A613" s="273">
        <v>45768.0</v>
      </c>
      <c r="B613" s="275" t="s">
        <v>1198</v>
      </c>
      <c r="C613" s="275" t="s">
        <v>1209</v>
      </c>
      <c r="D613" s="276">
        <v>5019.0</v>
      </c>
      <c r="E613" s="275" t="s">
        <v>1017</v>
      </c>
      <c r="F613" s="279"/>
      <c r="G613" s="278" t="str">
        <f>IFNA(IF(VLOOKUP(RC_OUT[BLOCK],RC_IN[[BLOCK]:[BLOCK LOC]],2,FALSE)=0,"",VLOOKUP(RC_OUT[BLOCK],RC_IN[[BLOCK]:[BLOCK LOC]],2,FALSE)),"")</f>
        <v/>
      </c>
      <c r="I613" s="263" t="str">
        <f>IFERROR(AVERAGEIFS(RC_IN[MC],RC_IN[BLOCK],RC_OUT[BLOCK]),"")</f>
        <v/>
      </c>
      <c r="J613" s="264">
        <f t="shared" si="1"/>
        <v>0</v>
      </c>
      <c r="K613" s="246"/>
      <c r="L613" s="246"/>
      <c r="M613" s="249" t="str">
        <f t="shared" si="2"/>
        <v/>
      </c>
      <c r="N613" s="266">
        <f t="shared" si="3"/>
        <v>0</v>
      </c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</row>
    <row r="614">
      <c r="A614" s="273">
        <v>45768.0</v>
      </c>
      <c r="B614" s="275" t="s">
        <v>1198</v>
      </c>
      <c r="C614" s="275" t="s">
        <v>1203</v>
      </c>
      <c r="D614" s="276">
        <v>4364.0</v>
      </c>
      <c r="E614" s="275" t="s">
        <v>1017</v>
      </c>
      <c r="F614" s="277" t="s">
        <v>1059</v>
      </c>
      <c r="G614" s="278" t="str">
        <f>IFNA(IF(VLOOKUP(RC_OUT[BLOCK],RC_IN[[BLOCK]:[BLOCK LOC]],2,FALSE)=0,"",VLOOKUP(RC_OUT[BLOCK],RC_IN[[BLOCK]:[BLOCK LOC]],2,FALSE)),"")</f>
        <v/>
      </c>
      <c r="I614" s="263" t="str">
        <f>IFERROR(AVERAGEIFS(RC_IN[MC],RC_IN[BLOCK],RC_OUT[BLOCK]),"")</f>
        <v/>
      </c>
      <c r="J614" s="264">
        <f t="shared" si="1"/>
        <v>0</v>
      </c>
      <c r="K614" s="246"/>
      <c r="L614" s="246"/>
      <c r="M614" s="249" t="str">
        <f t="shared" si="2"/>
        <v/>
      </c>
      <c r="N614" s="266">
        <f t="shared" si="3"/>
        <v>0</v>
      </c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</row>
    <row r="615">
      <c r="A615" s="273">
        <v>45768.0</v>
      </c>
      <c r="B615" s="275" t="s">
        <v>1198</v>
      </c>
      <c r="C615" s="275" t="s">
        <v>1207</v>
      </c>
      <c r="D615" s="276">
        <v>3250.0</v>
      </c>
      <c r="E615" s="275" t="s">
        <v>1017</v>
      </c>
      <c r="F615" s="277" t="s">
        <v>1059</v>
      </c>
      <c r="G615" s="278" t="str">
        <f>IFNA(IF(VLOOKUP(RC_OUT[BLOCK],RC_IN[[BLOCK]:[BLOCK LOC]],2,FALSE)=0,"",VLOOKUP(RC_OUT[BLOCK],RC_IN[[BLOCK]:[BLOCK LOC]],2,FALSE)),"")</f>
        <v/>
      </c>
      <c r="I615" s="263" t="str">
        <f>IFERROR(AVERAGEIFS(RC_IN[MC],RC_IN[BLOCK],RC_OUT[BLOCK]),"")</f>
        <v/>
      </c>
      <c r="J615" s="264">
        <f t="shared" si="1"/>
        <v>0</v>
      </c>
      <c r="K615" s="246"/>
      <c r="L615" s="246"/>
      <c r="M615" s="249" t="str">
        <f t="shared" si="2"/>
        <v/>
      </c>
      <c r="N615" s="266">
        <f t="shared" si="3"/>
        <v>0</v>
      </c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</row>
    <row r="616">
      <c r="A616" s="273">
        <v>45768.0</v>
      </c>
      <c r="B616" s="275" t="s">
        <v>1198</v>
      </c>
      <c r="C616" s="275" t="s">
        <v>1206</v>
      </c>
      <c r="D616" s="276">
        <v>24681.0</v>
      </c>
      <c r="E616" s="275" t="s">
        <v>1017</v>
      </c>
      <c r="F616" s="277" t="s">
        <v>1059</v>
      </c>
      <c r="G616" s="278" t="str">
        <f>IFNA(IF(VLOOKUP(RC_OUT[BLOCK],RC_IN[[BLOCK]:[BLOCK LOC]],2,FALSE)=0,"",VLOOKUP(RC_OUT[BLOCK],RC_IN[[BLOCK]:[BLOCK LOC]],2,FALSE)),"")</f>
        <v/>
      </c>
      <c r="I616" s="263" t="str">
        <f>IFERROR(AVERAGEIFS(RC_IN[MC],RC_IN[BLOCK],RC_OUT[BLOCK]),"")</f>
        <v/>
      </c>
      <c r="J616" s="264">
        <f t="shared" si="1"/>
        <v>0</v>
      </c>
      <c r="K616" s="246"/>
      <c r="L616" s="246"/>
      <c r="M616" s="249" t="str">
        <f t="shared" si="2"/>
        <v/>
      </c>
      <c r="N616" s="266">
        <f t="shared" si="3"/>
        <v>0</v>
      </c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</row>
    <row r="617">
      <c r="A617" s="273">
        <v>45769.0</v>
      </c>
      <c r="B617" s="275" t="s">
        <v>1198</v>
      </c>
      <c r="C617" s="275" t="s">
        <v>1208</v>
      </c>
      <c r="D617" s="276">
        <v>18376.0</v>
      </c>
      <c r="E617" s="275" t="s">
        <v>1017</v>
      </c>
      <c r="F617" s="279"/>
      <c r="G617" s="278" t="str">
        <f>IFNA(IF(VLOOKUP(RC_OUT[BLOCK],RC_IN[[BLOCK]:[BLOCK LOC]],2,FALSE)=0,"",VLOOKUP(RC_OUT[BLOCK],RC_IN[[BLOCK]:[BLOCK LOC]],2,FALSE)),"")</f>
        <v/>
      </c>
      <c r="I617" s="263" t="str">
        <f>IFERROR(AVERAGEIFS(RC_IN[MC],RC_IN[BLOCK],RC_OUT[BLOCK]),"")</f>
        <v/>
      </c>
      <c r="J617" s="264">
        <f t="shared" si="1"/>
        <v>0</v>
      </c>
      <c r="K617" s="246"/>
      <c r="L617" s="246"/>
      <c r="M617" s="249" t="str">
        <f t="shared" si="2"/>
        <v/>
      </c>
      <c r="N617" s="266">
        <f t="shared" si="3"/>
        <v>0</v>
      </c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</row>
    <row r="618">
      <c r="A618" s="273">
        <v>45769.0</v>
      </c>
      <c r="B618" s="275" t="s">
        <v>1198</v>
      </c>
      <c r="C618" s="275" t="s">
        <v>1209</v>
      </c>
      <c r="D618" s="276">
        <v>17061.0</v>
      </c>
      <c r="E618" s="275" t="s">
        <v>1017</v>
      </c>
      <c r="F618" s="279"/>
      <c r="G618" s="278" t="str">
        <f>IFNA(IF(VLOOKUP(RC_OUT[BLOCK],RC_IN[[BLOCK]:[BLOCK LOC]],2,FALSE)=0,"",VLOOKUP(RC_OUT[BLOCK],RC_IN[[BLOCK]:[BLOCK LOC]],2,FALSE)),"")</f>
        <v/>
      </c>
      <c r="I618" s="263" t="str">
        <f>IFERROR(AVERAGEIFS(RC_IN[MC],RC_IN[BLOCK],RC_OUT[BLOCK]),"")</f>
        <v/>
      </c>
      <c r="J618" s="264">
        <f t="shared" si="1"/>
        <v>0</v>
      </c>
      <c r="K618" s="246"/>
      <c r="L618" s="246"/>
      <c r="M618" s="249" t="str">
        <f t="shared" si="2"/>
        <v/>
      </c>
      <c r="N618" s="266">
        <f t="shared" si="3"/>
        <v>0</v>
      </c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</row>
    <row r="619">
      <c r="A619" s="273">
        <v>45770.0</v>
      </c>
      <c r="B619" s="275" t="s">
        <v>1198</v>
      </c>
      <c r="C619" s="275" t="s">
        <v>1208</v>
      </c>
      <c r="D619" s="276">
        <v>16768.0</v>
      </c>
      <c r="E619" s="275" t="s">
        <v>1017</v>
      </c>
      <c r="F619" s="279"/>
      <c r="G619" s="278" t="str">
        <f>IFNA(IF(VLOOKUP(RC_OUT[BLOCK],RC_IN[[BLOCK]:[BLOCK LOC]],2,FALSE)=0,"",VLOOKUP(RC_OUT[BLOCK],RC_IN[[BLOCK]:[BLOCK LOC]],2,FALSE)),"")</f>
        <v/>
      </c>
      <c r="I619" s="263" t="str">
        <f>IFERROR(AVERAGEIFS(RC_IN[MC],RC_IN[BLOCK],RC_OUT[BLOCK]),"")</f>
        <v/>
      </c>
      <c r="J619" s="264">
        <f t="shared" si="1"/>
        <v>0</v>
      </c>
      <c r="K619" s="246"/>
      <c r="L619" s="246"/>
      <c r="M619" s="249" t="str">
        <f t="shared" si="2"/>
        <v/>
      </c>
      <c r="N619" s="266">
        <f t="shared" si="3"/>
        <v>0</v>
      </c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</row>
    <row r="620">
      <c r="A620" s="273">
        <v>45770.0</v>
      </c>
      <c r="B620" s="275" t="s">
        <v>1198</v>
      </c>
      <c r="C620" s="275" t="s">
        <v>1209</v>
      </c>
      <c r="D620" s="276">
        <v>17098.0</v>
      </c>
      <c r="E620" s="275" t="s">
        <v>1017</v>
      </c>
      <c r="F620" s="279"/>
      <c r="G620" s="278" t="str">
        <f>IFNA(IF(VLOOKUP(RC_OUT[BLOCK],RC_IN[[BLOCK]:[BLOCK LOC]],2,FALSE)=0,"",VLOOKUP(RC_OUT[BLOCK],RC_IN[[BLOCK]:[BLOCK LOC]],2,FALSE)),"")</f>
        <v/>
      </c>
      <c r="I620" s="263" t="str">
        <f>IFERROR(AVERAGEIFS(RC_IN[MC],RC_IN[BLOCK],RC_OUT[BLOCK]),"")</f>
        <v/>
      </c>
      <c r="J620" s="264">
        <f t="shared" si="1"/>
        <v>0</v>
      </c>
      <c r="K620" s="246"/>
      <c r="L620" s="246"/>
      <c r="M620" s="249" t="str">
        <f t="shared" si="2"/>
        <v/>
      </c>
      <c r="N620" s="266">
        <f t="shared" si="3"/>
        <v>0</v>
      </c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</row>
    <row r="621">
      <c r="A621" s="273">
        <v>45771.0</v>
      </c>
      <c r="B621" s="275" t="s">
        <v>1198</v>
      </c>
      <c r="C621" s="275" t="s">
        <v>1208</v>
      </c>
      <c r="D621" s="276">
        <v>10791.0</v>
      </c>
      <c r="E621" s="275" t="s">
        <v>1017</v>
      </c>
      <c r="F621" s="279"/>
      <c r="G621" s="278" t="str">
        <f>IFNA(IF(VLOOKUP(RC_OUT[BLOCK],RC_IN[[BLOCK]:[BLOCK LOC]],2,FALSE)=0,"",VLOOKUP(RC_OUT[BLOCK],RC_IN[[BLOCK]:[BLOCK LOC]],2,FALSE)),"")</f>
        <v/>
      </c>
      <c r="I621" s="263" t="str">
        <f>IFERROR(AVERAGEIFS(RC_IN[MC],RC_IN[BLOCK],RC_OUT[BLOCK]),"")</f>
        <v/>
      </c>
      <c r="J621" s="264">
        <f t="shared" si="1"/>
        <v>0</v>
      </c>
      <c r="K621" s="246"/>
      <c r="L621" s="246"/>
      <c r="M621" s="249" t="str">
        <f t="shared" si="2"/>
        <v/>
      </c>
      <c r="N621" s="266">
        <f t="shared" si="3"/>
        <v>0</v>
      </c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</row>
    <row r="622">
      <c r="A622" s="273">
        <v>45771.0</v>
      </c>
      <c r="B622" s="275" t="s">
        <v>1198</v>
      </c>
      <c r="C622" s="275" t="s">
        <v>1209</v>
      </c>
      <c r="D622" s="276">
        <v>11613.0</v>
      </c>
      <c r="E622" s="275" t="s">
        <v>1017</v>
      </c>
      <c r="F622" s="279"/>
      <c r="G622" s="278" t="str">
        <f>IFNA(IF(VLOOKUP(RC_OUT[BLOCK],RC_IN[[BLOCK]:[BLOCK LOC]],2,FALSE)=0,"",VLOOKUP(RC_OUT[BLOCK],RC_IN[[BLOCK]:[BLOCK LOC]],2,FALSE)),"")</f>
        <v/>
      </c>
      <c r="I622" s="263" t="str">
        <f>IFERROR(AVERAGEIFS(RC_IN[MC],RC_IN[BLOCK],RC_OUT[BLOCK]),"")</f>
        <v/>
      </c>
      <c r="J622" s="264">
        <f t="shared" si="1"/>
        <v>0</v>
      </c>
      <c r="K622" s="246"/>
      <c r="L622" s="246"/>
      <c r="M622" s="249" t="str">
        <f t="shared" si="2"/>
        <v/>
      </c>
      <c r="N622" s="266">
        <f t="shared" si="3"/>
        <v>0</v>
      </c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</row>
    <row r="623">
      <c r="A623" s="273">
        <v>45771.0</v>
      </c>
      <c r="B623" s="275" t="s">
        <v>1198</v>
      </c>
      <c r="C623" s="275" t="s">
        <v>1210</v>
      </c>
      <c r="D623" s="276">
        <v>5000.0</v>
      </c>
      <c r="E623" s="275" t="s">
        <v>1017</v>
      </c>
      <c r="F623" s="279"/>
      <c r="G623" s="278" t="str">
        <f>IFNA(IF(VLOOKUP(RC_OUT[BLOCK],RC_IN[[BLOCK]:[BLOCK LOC]],2,FALSE)=0,"",VLOOKUP(RC_OUT[BLOCK],RC_IN[[BLOCK]:[BLOCK LOC]],2,FALSE)),"")</f>
        <v/>
      </c>
      <c r="I623" s="263" t="str">
        <f>IFERROR(AVERAGEIFS(RC_IN[MC],RC_IN[BLOCK],RC_OUT[BLOCK]),"")</f>
        <v/>
      </c>
      <c r="J623" s="264">
        <f t="shared" si="1"/>
        <v>0</v>
      </c>
      <c r="K623" s="246"/>
      <c r="L623" s="246"/>
      <c r="M623" s="249" t="str">
        <f t="shared" si="2"/>
        <v/>
      </c>
      <c r="N623" s="266">
        <f t="shared" si="3"/>
        <v>0</v>
      </c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</row>
    <row r="624">
      <c r="A624" s="273">
        <v>45771.0</v>
      </c>
      <c r="B624" s="275" t="s">
        <v>1198</v>
      </c>
      <c r="C624" s="275" t="s">
        <v>1211</v>
      </c>
      <c r="D624" s="276">
        <v>5218.0</v>
      </c>
      <c r="E624" s="275" t="s">
        <v>1017</v>
      </c>
      <c r="F624" s="279"/>
      <c r="G624" s="278" t="str">
        <f>IFNA(IF(VLOOKUP(RC_OUT[BLOCK],RC_IN[[BLOCK]:[BLOCK LOC]],2,FALSE)=0,"",VLOOKUP(RC_OUT[BLOCK],RC_IN[[BLOCK]:[BLOCK LOC]],2,FALSE)),"")</f>
        <v/>
      </c>
      <c r="I624" s="263" t="str">
        <f>IFERROR(AVERAGEIFS(RC_IN[MC],RC_IN[BLOCK],RC_OUT[BLOCK]),"")</f>
        <v/>
      </c>
      <c r="J624" s="264">
        <f t="shared" si="1"/>
        <v>0</v>
      </c>
      <c r="K624" s="246"/>
      <c r="L624" s="246"/>
      <c r="M624" s="249" t="str">
        <f t="shared" si="2"/>
        <v/>
      </c>
      <c r="N624" s="266">
        <f t="shared" si="3"/>
        <v>0</v>
      </c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</row>
    <row r="625">
      <c r="A625" s="273">
        <v>45772.0</v>
      </c>
      <c r="B625" s="275" t="s">
        <v>1198</v>
      </c>
      <c r="C625" s="275" t="s">
        <v>1208</v>
      </c>
      <c r="D625" s="276">
        <v>4193.0</v>
      </c>
      <c r="E625" s="275" t="s">
        <v>1017</v>
      </c>
      <c r="F625" s="279"/>
      <c r="G625" s="278" t="str">
        <f>IFNA(IF(VLOOKUP(RC_OUT[BLOCK],RC_IN[[BLOCK]:[BLOCK LOC]],2,FALSE)=0,"",VLOOKUP(RC_OUT[BLOCK],RC_IN[[BLOCK]:[BLOCK LOC]],2,FALSE)),"")</f>
        <v/>
      </c>
      <c r="I625" s="263" t="str">
        <f>IFERROR(AVERAGEIFS(RC_IN[MC],RC_IN[BLOCK],RC_OUT[BLOCK]),"")</f>
        <v/>
      </c>
      <c r="J625" s="264">
        <f t="shared" si="1"/>
        <v>0</v>
      </c>
      <c r="K625" s="246"/>
      <c r="L625" s="246"/>
      <c r="M625" s="249" t="str">
        <f t="shared" si="2"/>
        <v/>
      </c>
      <c r="N625" s="266">
        <f t="shared" si="3"/>
        <v>0</v>
      </c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</row>
    <row r="626">
      <c r="A626" s="273">
        <v>45772.0</v>
      </c>
      <c r="B626" s="275" t="s">
        <v>1198</v>
      </c>
      <c r="C626" s="275" t="s">
        <v>1209</v>
      </c>
      <c r="D626" s="276">
        <v>6800.0</v>
      </c>
      <c r="E626" s="275" t="s">
        <v>1017</v>
      </c>
      <c r="F626" s="277" t="s">
        <v>1059</v>
      </c>
      <c r="G626" s="278" t="str">
        <f>IFNA(IF(VLOOKUP(RC_OUT[BLOCK],RC_IN[[BLOCK]:[BLOCK LOC]],2,FALSE)=0,"",VLOOKUP(RC_OUT[BLOCK],RC_IN[[BLOCK]:[BLOCK LOC]],2,FALSE)),"")</f>
        <v/>
      </c>
      <c r="I626" s="263" t="str">
        <f>IFERROR(AVERAGEIFS(RC_IN[MC],RC_IN[BLOCK],RC_OUT[BLOCK]),"")</f>
        <v/>
      </c>
      <c r="J626" s="264">
        <f t="shared" si="1"/>
        <v>0</v>
      </c>
      <c r="K626" s="246"/>
      <c r="L626" s="246"/>
      <c r="M626" s="249" t="str">
        <f t="shared" si="2"/>
        <v/>
      </c>
      <c r="N626" s="266">
        <f t="shared" si="3"/>
        <v>0</v>
      </c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</row>
    <row r="627">
      <c r="A627" s="273">
        <v>45772.0</v>
      </c>
      <c r="B627" s="275" t="s">
        <v>1198</v>
      </c>
      <c r="C627" s="275" t="s">
        <v>1212</v>
      </c>
      <c r="D627" s="276">
        <v>2023.0</v>
      </c>
      <c r="E627" s="275" t="s">
        <v>1017</v>
      </c>
      <c r="F627" s="279"/>
      <c r="G627" s="278" t="str">
        <f>IFNA(IF(VLOOKUP(RC_OUT[BLOCK],RC_IN[[BLOCK]:[BLOCK LOC]],2,FALSE)=0,"",VLOOKUP(RC_OUT[BLOCK],RC_IN[[BLOCK]:[BLOCK LOC]],2,FALSE)),"")</f>
        <v/>
      </c>
      <c r="I627" s="263" t="str">
        <f>IFERROR(AVERAGEIFS(RC_IN[MC],RC_IN[BLOCK],RC_OUT[BLOCK]),"")</f>
        <v/>
      </c>
      <c r="J627" s="264">
        <f t="shared" si="1"/>
        <v>0</v>
      </c>
      <c r="K627" s="246"/>
      <c r="L627" s="246"/>
      <c r="M627" s="249" t="str">
        <f t="shared" si="2"/>
        <v/>
      </c>
      <c r="N627" s="266">
        <f t="shared" si="3"/>
        <v>0</v>
      </c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</row>
    <row r="628">
      <c r="A628" s="273">
        <v>45772.0</v>
      </c>
      <c r="B628" s="275" t="s">
        <v>1198</v>
      </c>
      <c r="C628" s="275" t="s">
        <v>1210</v>
      </c>
      <c r="D628" s="276">
        <v>15650.0</v>
      </c>
      <c r="E628" s="275" t="s">
        <v>1017</v>
      </c>
      <c r="F628" s="277" t="s">
        <v>1059</v>
      </c>
      <c r="G628" s="278" t="str">
        <f>IFNA(IF(VLOOKUP(RC_OUT[BLOCK],RC_IN[[BLOCK]:[BLOCK LOC]],2,FALSE)=0,"",VLOOKUP(RC_OUT[BLOCK],RC_IN[[BLOCK]:[BLOCK LOC]],2,FALSE)),"")</f>
        <v/>
      </c>
      <c r="I628" s="263" t="str">
        <f>IFERROR(AVERAGEIFS(RC_IN[MC],RC_IN[BLOCK],RC_OUT[BLOCK]),"")</f>
        <v/>
      </c>
      <c r="J628" s="264">
        <f t="shared" si="1"/>
        <v>0</v>
      </c>
      <c r="K628" s="246"/>
      <c r="L628" s="246"/>
      <c r="M628" s="249" t="str">
        <f t="shared" si="2"/>
        <v/>
      </c>
      <c r="N628" s="266">
        <f t="shared" si="3"/>
        <v>0</v>
      </c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</row>
    <row r="629">
      <c r="A629" s="273">
        <v>45772.0</v>
      </c>
      <c r="B629" s="275" t="s">
        <v>1198</v>
      </c>
      <c r="C629" s="275" t="s">
        <v>1211</v>
      </c>
      <c r="D629" s="276">
        <v>7702.0</v>
      </c>
      <c r="E629" s="275" t="s">
        <v>1017</v>
      </c>
      <c r="F629" s="279"/>
      <c r="G629" s="278" t="str">
        <f>IFNA(IF(VLOOKUP(RC_OUT[BLOCK],RC_IN[[BLOCK]:[BLOCK LOC]],2,FALSE)=0,"",VLOOKUP(RC_OUT[BLOCK],RC_IN[[BLOCK]:[BLOCK LOC]],2,FALSE)),"")</f>
        <v/>
      </c>
      <c r="I629" s="263" t="str">
        <f>IFERROR(AVERAGEIFS(RC_IN[MC],RC_IN[BLOCK],RC_OUT[BLOCK]),"")</f>
        <v/>
      </c>
      <c r="J629" s="264">
        <f t="shared" si="1"/>
        <v>0</v>
      </c>
      <c r="K629" s="246"/>
      <c r="L629" s="246"/>
      <c r="M629" s="249" t="str">
        <f t="shared" si="2"/>
        <v/>
      </c>
      <c r="N629" s="266">
        <f t="shared" si="3"/>
        <v>0</v>
      </c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</row>
    <row r="630">
      <c r="A630" s="273">
        <v>45773.0</v>
      </c>
      <c r="B630" s="275" t="s">
        <v>1198</v>
      </c>
      <c r="C630" s="275" t="s">
        <v>1208</v>
      </c>
      <c r="D630" s="276">
        <v>3374.0</v>
      </c>
      <c r="E630" s="275" t="s">
        <v>1017</v>
      </c>
      <c r="F630" s="279"/>
      <c r="G630" s="278" t="str">
        <f>IFNA(IF(VLOOKUP(RC_OUT[BLOCK],RC_IN[[BLOCK]:[BLOCK LOC]],2,FALSE)=0,"",VLOOKUP(RC_OUT[BLOCK],RC_IN[[BLOCK]:[BLOCK LOC]],2,FALSE)),"")</f>
        <v/>
      </c>
      <c r="I630" s="263" t="str">
        <f>IFERROR(AVERAGEIFS(RC_IN[MC],RC_IN[BLOCK],RC_OUT[BLOCK]),"")</f>
        <v/>
      </c>
      <c r="J630" s="264">
        <f t="shared" si="1"/>
        <v>0</v>
      </c>
      <c r="K630" s="246"/>
      <c r="L630" s="246"/>
      <c r="M630" s="249" t="str">
        <f t="shared" si="2"/>
        <v/>
      </c>
      <c r="N630" s="266">
        <f t="shared" si="3"/>
        <v>0</v>
      </c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</row>
    <row r="631">
      <c r="A631" s="273">
        <v>45773.0</v>
      </c>
      <c r="B631" s="275" t="s">
        <v>1198</v>
      </c>
      <c r="C631" s="275" t="s">
        <v>1212</v>
      </c>
      <c r="D631" s="276">
        <v>6886.0</v>
      </c>
      <c r="E631" s="275" t="s">
        <v>1017</v>
      </c>
      <c r="F631" s="279"/>
      <c r="G631" s="278" t="str">
        <f>IFNA(IF(VLOOKUP(RC_OUT[BLOCK],RC_IN[[BLOCK]:[BLOCK LOC]],2,FALSE)=0,"",VLOOKUP(RC_OUT[BLOCK],RC_IN[[BLOCK]:[BLOCK LOC]],2,FALSE)),"")</f>
        <v/>
      </c>
      <c r="I631" s="263" t="str">
        <f>IFERROR(AVERAGEIFS(RC_IN[MC],RC_IN[BLOCK],RC_OUT[BLOCK]),"")</f>
        <v/>
      </c>
      <c r="J631" s="264">
        <f t="shared" si="1"/>
        <v>0</v>
      </c>
      <c r="K631" s="246"/>
      <c r="L631" s="246"/>
      <c r="M631" s="249" t="str">
        <f t="shared" si="2"/>
        <v/>
      </c>
      <c r="N631" s="266">
        <f t="shared" si="3"/>
        <v>0</v>
      </c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</row>
    <row r="632">
      <c r="A632" s="273">
        <v>45773.0</v>
      </c>
      <c r="B632" s="275" t="s">
        <v>1198</v>
      </c>
      <c r="C632" s="275" t="s">
        <v>1213</v>
      </c>
      <c r="D632" s="276">
        <v>16190.0</v>
      </c>
      <c r="E632" s="275" t="s">
        <v>1017</v>
      </c>
      <c r="F632" s="277" t="s">
        <v>1059</v>
      </c>
      <c r="G632" s="278" t="str">
        <f>IFNA(IF(VLOOKUP(RC_OUT[BLOCK],RC_IN[[BLOCK]:[BLOCK LOC]],2,FALSE)=0,"",VLOOKUP(RC_OUT[BLOCK],RC_IN[[BLOCK]:[BLOCK LOC]],2,FALSE)),"")</f>
        <v/>
      </c>
      <c r="I632" s="263" t="str">
        <f>IFERROR(AVERAGEIFS(RC_IN[MC],RC_IN[BLOCK],RC_OUT[BLOCK]),"")</f>
        <v/>
      </c>
      <c r="J632" s="264">
        <f t="shared" si="1"/>
        <v>0</v>
      </c>
      <c r="K632" s="246"/>
      <c r="L632" s="246"/>
      <c r="M632" s="249" t="str">
        <f t="shared" si="2"/>
        <v/>
      </c>
      <c r="N632" s="266">
        <f t="shared" si="3"/>
        <v>0</v>
      </c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</row>
    <row r="633">
      <c r="A633" s="273">
        <v>45773.0</v>
      </c>
      <c r="B633" s="275" t="s">
        <v>1198</v>
      </c>
      <c r="C633" s="275" t="s">
        <v>1211</v>
      </c>
      <c r="D633" s="276">
        <v>7140.0</v>
      </c>
      <c r="E633" s="275" t="s">
        <v>1017</v>
      </c>
      <c r="F633" s="279"/>
      <c r="G633" s="278" t="str">
        <f>IFNA(IF(VLOOKUP(RC_OUT[BLOCK],RC_IN[[BLOCK]:[BLOCK LOC]],2,FALSE)=0,"",VLOOKUP(RC_OUT[BLOCK],RC_IN[[BLOCK]:[BLOCK LOC]],2,FALSE)),"")</f>
        <v/>
      </c>
      <c r="I633" s="263" t="str">
        <f>IFERROR(AVERAGEIFS(RC_IN[MC],RC_IN[BLOCK],RC_OUT[BLOCK]),"")</f>
        <v/>
      </c>
      <c r="J633" s="264">
        <f t="shared" si="1"/>
        <v>0</v>
      </c>
      <c r="K633" s="246"/>
      <c r="L633" s="246"/>
      <c r="M633" s="249" t="str">
        <f t="shared" si="2"/>
        <v/>
      </c>
      <c r="N633" s="266">
        <f t="shared" si="3"/>
        <v>0</v>
      </c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</row>
    <row r="634">
      <c r="A634" s="273">
        <v>45775.0</v>
      </c>
      <c r="B634" s="275" t="s">
        <v>1198</v>
      </c>
      <c r="C634" s="275" t="s">
        <v>1208</v>
      </c>
      <c r="D634" s="276">
        <v>5269.0</v>
      </c>
      <c r="E634" s="275" t="s">
        <v>1017</v>
      </c>
      <c r="F634" s="279"/>
      <c r="G634" s="278" t="str">
        <f>IFNA(IF(VLOOKUP(RC_OUT[BLOCK],RC_IN[[BLOCK]:[BLOCK LOC]],2,FALSE)=0,"",VLOOKUP(RC_OUT[BLOCK],RC_IN[[BLOCK]:[BLOCK LOC]],2,FALSE)),"")</f>
        <v/>
      </c>
      <c r="I634" s="263" t="str">
        <f>IFERROR(AVERAGEIFS(RC_IN[MC],RC_IN[BLOCK],RC_OUT[BLOCK]),"")</f>
        <v/>
      </c>
      <c r="J634" s="264">
        <f t="shared" si="1"/>
        <v>0</v>
      </c>
      <c r="K634" s="246"/>
      <c r="L634" s="246"/>
      <c r="M634" s="249" t="str">
        <f t="shared" si="2"/>
        <v/>
      </c>
      <c r="N634" s="266">
        <f t="shared" si="3"/>
        <v>0</v>
      </c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</row>
    <row r="635">
      <c r="A635" s="273">
        <v>45775.0</v>
      </c>
      <c r="B635" s="275" t="s">
        <v>1198</v>
      </c>
      <c r="C635" s="275" t="s">
        <v>1212</v>
      </c>
      <c r="D635" s="276">
        <v>13258.0</v>
      </c>
      <c r="E635" s="275" t="s">
        <v>1017</v>
      </c>
      <c r="F635" s="279"/>
      <c r="G635" s="278" t="str">
        <f>IFNA(IF(VLOOKUP(RC_OUT[BLOCK],RC_IN[[BLOCK]:[BLOCK LOC]],2,FALSE)=0,"",VLOOKUP(RC_OUT[BLOCK],RC_IN[[BLOCK]:[BLOCK LOC]],2,FALSE)),"")</f>
        <v/>
      </c>
      <c r="I635" s="263" t="str">
        <f>IFERROR(AVERAGEIFS(RC_IN[MC],RC_IN[BLOCK],RC_OUT[BLOCK]),"")</f>
        <v/>
      </c>
      <c r="J635" s="264">
        <f t="shared" si="1"/>
        <v>0</v>
      </c>
      <c r="K635" s="246"/>
      <c r="L635" s="246"/>
      <c r="M635" s="249" t="str">
        <f t="shared" si="2"/>
        <v/>
      </c>
      <c r="N635" s="266">
        <f t="shared" si="3"/>
        <v>0</v>
      </c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</row>
    <row r="636">
      <c r="A636" s="273">
        <v>45775.0</v>
      </c>
      <c r="B636" s="275" t="s">
        <v>1198</v>
      </c>
      <c r="C636" s="275" t="s">
        <v>1214</v>
      </c>
      <c r="D636" s="276">
        <v>3040.0</v>
      </c>
      <c r="E636" s="275" t="s">
        <v>1017</v>
      </c>
      <c r="F636" s="279"/>
      <c r="G636" s="278" t="str">
        <f>IFNA(IF(VLOOKUP(RC_OUT[BLOCK],RC_IN[[BLOCK]:[BLOCK LOC]],2,FALSE)=0,"",VLOOKUP(RC_OUT[BLOCK],RC_IN[[BLOCK]:[BLOCK LOC]],2,FALSE)),"")</f>
        <v/>
      </c>
      <c r="I636" s="263" t="str">
        <f>IFERROR(AVERAGEIFS(RC_IN[MC],RC_IN[BLOCK],RC_OUT[BLOCK]),"")</f>
        <v/>
      </c>
      <c r="J636" s="264">
        <f t="shared" si="1"/>
        <v>0</v>
      </c>
      <c r="K636" s="246"/>
      <c r="L636" s="246"/>
      <c r="M636" s="249" t="str">
        <f t="shared" si="2"/>
        <v/>
      </c>
      <c r="N636" s="266">
        <f t="shared" si="3"/>
        <v>0</v>
      </c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</row>
    <row r="637">
      <c r="A637" s="273">
        <v>45775.0</v>
      </c>
      <c r="B637" s="275" t="s">
        <v>1198</v>
      </c>
      <c r="C637" s="275" t="s">
        <v>1211</v>
      </c>
      <c r="D637" s="276">
        <v>14633.0</v>
      </c>
      <c r="E637" s="275" t="s">
        <v>1017</v>
      </c>
      <c r="F637" s="279"/>
      <c r="G637" s="278" t="str">
        <f>IFNA(IF(VLOOKUP(RC_OUT[BLOCK],RC_IN[[BLOCK]:[BLOCK LOC]],2,FALSE)=0,"",VLOOKUP(RC_OUT[BLOCK],RC_IN[[BLOCK]:[BLOCK LOC]],2,FALSE)),"")</f>
        <v/>
      </c>
      <c r="I637" s="263" t="str">
        <f>IFERROR(AVERAGEIFS(RC_IN[MC],RC_IN[BLOCK],RC_OUT[BLOCK]),"")</f>
        <v/>
      </c>
      <c r="J637" s="264">
        <f t="shared" si="1"/>
        <v>0</v>
      </c>
      <c r="K637" s="246"/>
      <c r="L637" s="246"/>
      <c r="M637" s="249" t="str">
        <f t="shared" si="2"/>
        <v/>
      </c>
      <c r="N637" s="266">
        <f t="shared" si="3"/>
        <v>0</v>
      </c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</row>
    <row r="638">
      <c r="A638" s="273">
        <v>45776.0</v>
      </c>
      <c r="B638" s="275" t="s">
        <v>1198</v>
      </c>
      <c r="C638" s="275" t="s">
        <v>1208</v>
      </c>
      <c r="D638" s="276">
        <v>4476.0</v>
      </c>
      <c r="E638" s="275" t="s">
        <v>1017</v>
      </c>
      <c r="F638" s="277" t="s">
        <v>1059</v>
      </c>
      <c r="G638" s="278" t="str">
        <f>IFNA(IF(VLOOKUP(RC_OUT[BLOCK],RC_IN[[BLOCK]:[BLOCK LOC]],2,FALSE)=0,"",VLOOKUP(RC_OUT[BLOCK],RC_IN[[BLOCK]:[BLOCK LOC]],2,FALSE)),"")</f>
        <v/>
      </c>
      <c r="I638" s="263" t="str">
        <f>IFERROR(AVERAGEIFS(RC_IN[MC],RC_IN[BLOCK],RC_OUT[BLOCK]),"")</f>
        <v/>
      </c>
      <c r="J638" s="264">
        <f t="shared" si="1"/>
        <v>0</v>
      </c>
      <c r="K638" s="246"/>
      <c r="L638" s="246"/>
      <c r="M638" s="249" t="str">
        <f t="shared" si="2"/>
        <v/>
      </c>
      <c r="N638" s="266">
        <f t="shared" si="3"/>
        <v>0</v>
      </c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</row>
    <row r="639">
      <c r="A639" s="273">
        <v>45776.0</v>
      </c>
      <c r="B639" s="275" t="s">
        <v>1198</v>
      </c>
      <c r="C639" s="275" t="s">
        <v>1212</v>
      </c>
      <c r="D639" s="276">
        <v>8963.0</v>
      </c>
      <c r="E639" s="275" t="s">
        <v>1017</v>
      </c>
      <c r="F639" s="279"/>
      <c r="G639" s="278" t="str">
        <f>IFNA(IF(VLOOKUP(RC_OUT[BLOCK],RC_IN[[BLOCK]:[BLOCK LOC]],2,FALSE)=0,"",VLOOKUP(RC_OUT[BLOCK],RC_IN[[BLOCK]:[BLOCK LOC]],2,FALSE)),"")</f>
        <v/>
      </c>
      <c r="I639" s="263" t="str">
        <f>IFERROR(AVERAGEIFS(RC_IN[MC],RC_IN[BLOCK],RC_OUT[BLOCK]),"")</f>
        <v/>
      </c>
      <c r="J639" s="264">
        <f t="shared" si="1"/>
        <v>0</v>
      </c>
      <c r="K639" s="246"/>
      <c r="L639" s="246"/>
      <c r="M639" s="249" t="str">
        <f t="shared" si="2"/>
        <v/>
      </c>
      <c r="N639" s="266">
        <f t="shared" si="3"/>
        <v>0</v>
      </c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</row>
    <row r="640">
      <c r="A640" s="273">
        <v>45776.0</v>
      </c>
      <c r="B640" s="275" t="s">
        <v>1198</v>
      </c>
      <c r="C640" s="275" t="s">
        <v>1214</v>
      </c>
      <c r="D640" s="276">
        <v>1100.0</v>
      </c>
      <c r="E640" s="275" t="s">
        <v>1017</v>
      </c>
      <c r="F640" s="279"/>
      <c r="G640" s="278" t="str">
        <f>IFNA(IF(VLOOKUP(RC_OUT[BLOCK],RC_IN[[BLOCK]:[BLOCK LOC]],2,FALSE)=0,"",VLOOKUP(RC_OUT[BLOCK],RC_IN[[BLOCK]:[BLOCK LOC]],2,FALSE)),"")</f>
        <v/>
      </c>
      <c r="I640" s="263" t="str">
        <f>IFERROR(AVERAGEIFS(RC_IN[MC],RC_IN[BLOCK],RC_OUT[BLOCK]),"")</f>
        <v/>
      </c>
      <c r="J640" s="264">
        <f t="shared" si="1"/>
        <v>0</v>
      </c>
      <c r="K640" s="246"/>
      <c r="L640" s="246"/>
      <c r="M640" s="249" t="str">
        <f t="shared" si="2"/>
        <v/>
      </c>
      <c r="N640" s="266">
        <f t="shared" si="3"/>
        <v>0</v>
      </c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</row>
    <row r="641">
      <c r="A641" s="273">
        <v>45776.0</v>
      </c>
      <c r="B641" s="275" t="s">
        <v>1198</v>
      </c>
      <c r="C641" s="275" t="s">
        <v>1211</v>
      </c>
      <c r="D641" s="276">
        <v>8154.0</v>
      </c>
      <c r="E641" s="275" t="s">
        <v>1017</v>
      </c>
      <c r="F641" s="279"/>
      <c r="G641" s="278" t="str">
        <f>IFNA(IF(VLOOKUP(RC_OUT[BLOCK],RC_IN[[BLOCK]:[BLOCK LOC]],2,FALSE)=0,"",VLOOKUP(RC_OUT[BLOCK],RC_IN[[BLOCK]:[BLOCK LOC]],2,FALSE)),"")</f>
        <v/>
      </c>
      <c r="I641" s="263" t="str">
        <f>IFERROR(AVERAGEIFS(RC_IN[MC],RC_IN[BLOCK],RC_OUT[BLOCK]),"")</f>
        <v/>
      </c>
      <c r="J641" s="264">
        <f t="shared" si="1"/>
        <v>0</v>
      </c>
      <c r="K641" s="246"/>
      <c r="L641" s="246"/>
      <c r="M641" s="249" t="str">
        <f t="shared" si="2"/>
        <v/>
      </c>
      <c r="N641" s="266">
        <f t="shared" si="3"/>
        <v>0</v>
      </c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</row>
    <row r="642">
      <c r="A642" s="273">
        <v>45777.0</v>
      </c>
      <c r="B642" s="275" t="s">
        <v>1198</v>
      </c>
      <c r="C642" s="275" t="s">
        <v>1212</v>
      </c>
      <c r="D642" s="276">
        <v>4213.0</v>
      </c>
      <c r="E642" s="275" t="s">
        <v>1017</v>
      </c>
      <c r="F642" s="279"/>
      <c r="G642" s="278" t="str">
        <f>IFNA(IF(VLOOKUP(RC_OUT[BLOCK],RC_IN[[BLOCK]:[BLOCK LOC]],2,FALSE)=0,"",VLOOKUP(RC_OUT[BLOCK],RC_IN[[BLOCK]:[BLOCK LOC]],2,FALSE)),"")</f>
        <v/>
      </c>
      <c r="I642" s="263" t="str">
        <f>IFERROR(AVERAGEIFS(RC_IN[MC],RC_IN[BLOCK],RC_OUT[BLOCK]),"")</f>
        <v/>
      </c>
      <c r="J642" s="264">
        <f t="shared" si="1"/>
        <v>0</v>
      </c>
      <c r="K642" s="246"/>
      <c r="L642" s="246"/>
      <c r="M642" s="249" t="str">
        <f t="shared" si="2"/>
        <v/>
      </c>
      <c r="N642" s="266">
        <f t="shared" si="3"/>
        <v>0</v>
      </c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</row>
    <row r="643">
      <c r="A643" s="273">
        <v>45777.0</v>
      </c>
      <c r="B643" s="275" t="s">
        <v>1215</v>
      </c>
      <c r="C643" s="275" t="s">
        <v>1212</v>
      </c>
      <c r="D643" s="276">
        <v>2936.0</v>
      </c>
      <c r="E643" s="275" t="s">
        <v>1017</v>
      </c>
      <c r="F643" s="279"/>
      <c r="G643" s="278" t="str">
        <f>IFNA(IF(VLOOKUP(RC_OUT[BLOCK],RC_IN[[BLOCK]:[BLOCK LOC]],2,FALSE)=0,"",VLOOKUP(RC_OUT[BLOCK],RC_IN[[BLOCK]:[BLOCK LOC]],2,FALSE)),"")</f>
        <v/>
      </c>
      <c r="I643" s="263" t="str">
        <f>IFERROR(AVERAGEIFS(RC_IN[MC],RC_IN[BLOCK],RC_OUT[BLOCK]),"")</f>
        <v/>
      </c>
      <c r="J643" s="264">
        <f t="shared" si="1"/>
        <v>0</v>
      </c>
      <c r="K643" s="246"/>
      <c r="L643" s="246"/>
      <c r="M643" s="249" t="str">
        <f t="shared" si="2"/>
        <v/>
      </c>
      <c r="N643" s="266">
        <f t="shared" si="3"/>
        <v>0</v>
      </c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</row>
    <row r="644">
      <c r="A644" s="273">
        <v>45777.0</v>
      </c>
      <c r="B644" s="275" t="s">
        <v>1198</v>
      </c>
      <c r="C644" s="275" t="s">
        <v>1214</v>
      </c>
      <c r="D644" s="276">
        <v>10000.0</v>
      </c>
      <c r="E644" s="275" t="s">
        <v>1017</v>
      </c>
      <c r="F644" s="277" t="s">
        <v>1059</v>
      </c>
      <c r="G644" s="278" t="str">
        <f>IFNA(IF(VLOOKUP(RC_OUT[BLOCK],RC_IN[[BLOCK]:[BLOCK LOC]],2,FALSE)=0,"",VLOOKUP(RC_OUT[BLOCK],RC_IN[[BLOCK]:[BLOCK LOC]],2,FALSE)),"")</f>
        <v/>
      </c>
      <c r="I644" s="263" t="str">
        <f>IFERROR(AVERAGEIFS(RC_IN[MC],RC_IN[BLOCK],RC_OUT[BLOCK]),"")</f>
        <v/>
      </c>
      <c r="J644" s="264">
        <f t="shared" si="1"/>
        <v>0</v>
      </c>
      <c r="K644" s="246"/>
      <c r="L644" s="246"/>
      <c r="M644" s="249" t="str">
        <f t="shared" si="2"/>
        <v/>
      </c>
      <c r="N644" s="266">
        <f t="shared" si="3"/>
        <v>0</v>
      </c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</row>
    <row r="645">
      <c r="A645" s="273">
        <v>45777.0</v>
      </c>
      <c r="B645" s="275" t="s">
        <v>1198</v>
      </c>
      <c r="C645" s="275" t="s">
        <v>1211</v>
      </c>
      <c r="D645" s="276">
        <v>7306.0</v>
      </c>
      <c r="E645" s="275" t="s">
        <v>1017</v>
      </c>
      <c r="F645" s="279"/>
      <c r="G645" s="278" t="str">
        <f>IFNA(IF(VLOOKUP(RC_OUT[BLOCK],RC_IN[[BLOCK]:[BLOCK LOC]],2,FALSE)=0,"",VLOOKUP(RC_OUT[BLOCK],RC_IN[[BLOCK]:[BLOCK LOC]],2,FALSE)),"")</f>
        <v/>
      </c>
      <c r="I645" s="263" t="str">
        <f>IFERROR(AVERAGEIFS(RC_IN[MC],RC_IN[BLOCK],RC_OUT[BLOCK]),"")</f>
        <v/>
      </c>
      <c r="J645" s="264">
        <f t="shared" si="1"/>
        <v>0</v>
      </c>
      <c r="K645" s="246"/>
      <c r="L645" s="246"/>
      <c r="M645" s="249" t="str">
        <f t="shared" si="2"/>
        <v/>
      </c>
      <c r="N645" s="266">
        <f t="shared" si="3"/>
        <v>0</v>
      </c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</row>
    <row r="646">
      <c r="A646" s="273">
        <v>45777.0</v>
      </c>
      <c r="B646" s="275" t="s">
        <v>1215</v>
      </c>
      <c r="C646" s="275" t="s">
        <v>1211</v>
      </c>
      <c r="D646" s="276">
        <v>2336.0</v>
      </c>
      <c r="E646" s="275" t="s">
        <v>1017</v>
      </c>
      <c r="F646" s="277" t="s">
        <v>1059</v>
      </c>
      <c r="G646" s="278" t="str">
        <f>IFNA(IF(VLOOKUP(RC_OUT[BLOCK],RC_IN[[BLOCK]:[BLOCK LOC]],2,FALSE)=0,"",VLOOKUP(RC_OUT[BLOCK],RC_IN[[BLOCK]:[BLOCK LOC]],2,FALSE)),"")</f>
        <v/>
      </c>
      <c r="I646" s="263" t="str">
        <f>IFERROR(AVERAGEIFS(RC_IN[MC],RC_IN[BLOCK],RC_OUT[BLOCK]),"")</f>
        <v/>
      </c>
      <c r="J646" s="264">
        <f t="shared" si="1"/>
        <v>0</v>
      </c>
      <c r="K646" s="246"/>
      <c r="L646" s="246"/>
      <c r="M646" s="249" t="str">
        <f t="shared" si="2"/>
        <v/>
      </c>
      <c r="N646" s="266">
        <f t="shared" si="3"/>
        <v>0</v>
      </c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</row>
    <row r="647">
      <c r="A647" s="273">
        <v>45779.0</v>
      </c>
      <c r="B647" s="275" t="s">
        <v>1215</v>
      </c>
      <c r="C647" s="275" t="s">
        <v>1216</v>
      </c>
      <c r="D647" s="276">
        <v>4346.0</v>
      </c>
      <c r="E647" s="275" t="s">
        <v>1017</v>
      </c>
      <c r="F647" s="279"/>
      <c r="G647" s="278" t="str">
        <f>IFNA(IF(VLOOKUP(RC_OUT[BLOCK],RC_IN[[BLOCK]:[BLOCK LOC]],2,FALSE)=0,"",VLOOKUP(RC_OUT[BLOCK],RC_IN[[BLOCK]:[BLOCK LOC]],2,FALSE)),"")</f>
        <v/>
      </c>
      <c r="I647" s="263" t="str">
        <f>IFERROR(AVERAGEIFS(RC_IN[MC],RC_IN[BLOCK],RC_OUT[BLOCK]),"")</f>
        <v/>
      </c>
      <c r="J647" s="264">
        <f t="shared" si="1"/>
        <v>0</v>
      </c>
      <c r="K647" s="246"/>
      <c r="L647" s="246"/>
      <c r="M647" s="249" t="str">
        <f t="shared" si="2"/>
        <v/>
      </c>
      <c r="N647" s="266">
        <f t="shared" si="3"/>
        <v>0</v>
      </c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</row>
    <row r="648">
      <c r="A648" s="273">
        <v>45779.0</v>
      </c>
      <c r="B648" s="275" t="s">
        <v>1215</v>
      </c>
      <c r="C648" s="275" t="s">
        <v>1217</v>
      </c>
      <c r="D648" s="276">
        <v>12798.0</v>
      </c>
      <c r="E648" s="275" t="s">
        <v>1017</v>
      </c>
      <c r="F648" s="279"/>
      <c r="G648" s="278" t="str">
        <f>IFNA(IF(VLOOKUP(RC_OUT[BLOCK],RC_IN[[BLOCK]:[BLOCK LOC]],2,FALSE)=0,"",VLOOKUP(RC_OUT[BLOCK],RC_IN[[BLOCK]:[BLOCK LOC]],2,FALSE)),"")</f>
        <v/>
      </c>
      <c r="I648" s="263" t="str">
        <f>IFERROR(AVERAGEIFS(RC_IN[MC],RC_IN[BLOCK],RC_OUT[BLOCK]),"")</f>
        <v/>
      </c>
      <c r="J648" s="264">
        <f t="shared" si="1"/>
        <v>0</v>
      </c>
      <c r="K648" s="246"/>
      <c r="L648" s="246"/>
      <c r="M648" s="249" t="str">
        <f t="shared" si="2"/>
        <v/>
      </c>
      <c r="N648" s="266">
        <f t="shared" si="3"/>
        <v>0</v>
      </c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</row>
    <row r="649">
      <c r="A649" s="273">
        <v>45779.0</v>
      </c>
      <c r="B649" s="275" t="s">
        <v>1215</v>
      </c>
      <c r="C649" s="275" t="s">
        <v>1212</v>
      </c>
      <c r="D649" s="276">
        <v>10050.0</v>
      </c>
      <c r="E649" s="275" t="s">
        <v>1017</v>
      </c>
      <c r="F649" s="279"/>
      <c r="G649" s="278" t="str">
        <f>IFNA(IF(VLOOKUP(RC_OUT[BLOCK],RC_IN[[BLOCK]:[BLOCK LOC]],2,FALSE)=0,"",VLOOKUP(RC_OUT[BLOCK],RC_IN[[BLOCK]:[BLOCK LOC]],2,FALSE)),"")</f>
        <v/>
      </c>
      <c r="I649" s="263" t="str">
        <f>IFERROR(AVERAGEIFS(RC_IN[MC],RC_IN[BLOCK],RC_OUT[BLOCK]),"")</f>
        <v/>
      </c>
      <c r="J649" s="264">
        <f t="shared" si="1"/>
        <v>0</v>
      </c>
      <c r="K649" s="246"/>
      <c r="L649" s="246"/>
      <c r="M649" s="249" t="str">
        <f t="shared" si="2"/>
        <v/>
      </c>
      <c r="N649" s="266">
        <f t="shared" si="3"/>
        <v>0</v>
      </c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</row>
    <row r="650">
      <c r="A650" s="273">
        <v>45779.0</v>
      </c>
      <c r="B650" s="275" t="s">
        <v>1215</v>
      </c>
      <c r="C650" s="275" t="s">
        <v>1218</v>
      </c>
      <c r="D650" s="276">
        <v>7644.0</v>
      </c>
      <c r="E650" s="275" t="s">
        <v>1017</v>
      </c>
      <c r="F650" s="279"/>
      <c r="G650" s="278" t="str">
        <f>IFNA(IF(VLOOKUP(RC_OUT[BLOCK],RC_IN[[BLOCK]:[BLOCK LOC]],2,FALSE)=0,"",VLOOKUP(RC_OUT[BLOCK],RC_IN[[BLOCK]:[BLOCK LOC]],2,FALSE)),"")</f>
        <v/>
      </c>
      <c r="I650" s="263" t="str">
        <f>IFERROR(AVERAGEIFS(RC_IN[MC],RC_IN[BLOCK],RC_OUT[BLOCK]),"")</f>
        <v/>
      </c>
      <c r="J650" s="264">
        <f t="shared" si="1"/>
        <v>0</v>
      </c>
      <c r="K650" s="246"/>
      <c r="L650" s="246"/>
      <c r="M650" s="249" t="str">
        <f t="shared" si="2"/>
        <v/>
      </c>
      <c r="N650" s="266">
        <f t="shared" si="3"/>
        <v>0</v>
      </c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</row>
    <row r="651">
      <c r="A651" s="273">
        <v>45780.0</v>
      </c>
      <c r="B651" s="275" t="s">
        <v>1215</v>
      </c>
      <c r="C651" s="275" t="s">
        <v>1216</v>
      </c>
      <c r="D651" s="276">
        <v>6330.0</v>
      </c>
      <c r="E651" s="275" t="s">
        <v>1017</v>
      </c>
      <c r="F651" s="279"/>
      <c r="G651" s="278" t="str">
        <f>IFNA(IF(VLOOKUP(RC_OUT[BLOCK],RC_IN[[BLOCK]:[BLOCK LOC]],2,FALSE)=0,"",VLOOKUP(RC_OUT[BLOCK],RC_IN[[BLOCK]:[BLOCK LOC]],2,FALSE)),"")</f>
        <v/>
      </c>
      <c r="I651" s="263" t="str">
        <f>IFERROR(AVERAGEIFS(RC_IN[MC],RC_IN[BLOCK],RC_OUT[BLOCK]),"")</f>
        <v/>
      </c>
      <c r="J651" s="264">
        <f t="shared" si="1"/>
        <v>0</v>
      </c>
      <c r="K651" s="246"/>
      <c r="L651" s="246"/>
      <c r="M651" s="249" t="str">
        <f t="shared" si="2"/>
        <v/>
      </c>
      <c r="N651" s="266">
        <f t="shared" si="3"/>
        <v>0</v>
      </c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</row>
    <row r="652">
      <c r="A652" s="273">
        <v>45780.0</v>
      </c>
      <c r="B652" s="275" t="s">
        <v>1215</v>
      </c>
      <c r="C652" s="275" t="s">
        <v>1217</v>
      </c>
      <c r="D652" s="276">
        <v>4138.0</v>
      </c>
      <c r="E652" s="275" t="s">
        <v>1017</v>
      </c>
      <c r="F652" s="277" t="s">
        <v>1059</v>
      </c>
      <c r="G652" s="278" t="str">
        <f>IFNA(IF(VLOOKUP(RC_OUT[BLOCK],RC_IN[[BLOCK]:[BLOCK LOC]],2,FALSE)=0,"",VLOOKUP(RC_OUT[BLOCK],RC_IN[[BLOCK]:[BLOCK LOC]],2,FALSE)),"")</f>
        <v/>
      </c>
      <c r="I652" s="263" t="str">
        <f>IFERROR(AVERAGEIFS(RC_IN[MC],RC_IN[BLOCK],RC_OUT[BLOCK]),"")</f>
        <v/>
      </c>
      <c r="J652" s="264">
        <f t="shared" si="1"/>
        <v>0</v>
      </c>
      <c r="K652" s="246"/>
      <c r="L652" s="246"/>
      <c r="M652" s="249" t="str">
        <f t="shared" si="2"/>
        <v/>
      </c>
      <c r="N652" s="266">
        <f t="shared" si="3"/>
        <v>0</v>
      </c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</row>
    <row r="653">
      <c r="A653" s="273">
        <v>45780.0</v>
      </c>
      <c r="B653" s="275" t="s">
        <v>1215</v>
      </c>
      <c r="C653" s="275" t="s">
        <v>1212</v>
      </c>
      <c r="D653" s="276">
        <v>4717.0</v>
      </c>
      <c r="E653" s="275" t="s">
        <v>1017</v>
      </c>
      <c r="F653" s="277" t="s">
        <v>1059</v>
      </c>
      <c r="G653" s="278" t="str">
        <f>IFNA(IF(VLOOKUP(RC_OUT[BLOCK],RC_IN[[BLOCK]:[BLOCK LOC]],2,FALSE)=0,"",VLOOKUP(RC_OUT[BLOCK],RC_IN[[BLOCK]:[BLOCK LOC]],2,FALSE)),"")</f>
        <v/>
      </c>
      <c r="I653" s="263" t="str">
        <f>IFERROR(AVERAGEIFS(RC_IN[MC],RC_IN[BLOCK],RC_OUT[BLOCK]),"")</f>
        <v/>
      </c>
      <c r="J653" s="264">
        <f t="shared" si="1"/>
        <v>0</v>
      </c>
      <c r="K653" s="246"/>
      <c r="L653" s="246"/>
      <c r="M653" s="249" t="str">
        <f t="shared" si="2"/>
        <v/>
      </c>
      <c r="N653" s="266">
        <f t="shared" si="3"/>
        <v>0</v>
      </c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</row>
    <row r="654">
      <c r="A654" s="273">
        <v>45780.0</v>
      </c>
      <c r="B654" s="275" t="s">
        <v>1215</v>
      </c>
      <c r="C654" s="275" t="s">
        <v>1219</v>
      </c>
      <c r="D654" s="276">
        <v>1567.0</v>
      </c>
      <c r="E654" s="275" t="s">
        <v>1017</v>
      </c>
      <c r="F654" s="279"/>
      <c r="G654" s="278" t="str">
        <f>IFNA(IF(VLOOKUP(RC_OUT[BLOCK],RC_IN[[BLOCK]:[BLOCK LOC]],2,FALSE)=0,"",VLOOKUP(RC_OUT[BLOCK],RC_IN[[BLOCK]:[BLOCK LOC]],2,FALSE)),"")</f>
        <v/>
      </c>
      <c r="I654" s="263" t="str">
        <f>IFERROR(AVERAGEIFS(RC_IN[MC],RC_IN[BLOCK],RC_OUT[BLOCK]),"")</f>
        <v/>
      </c>
      <c r="J654" s="264">
        <f t="shared" si="1"/>
        <v>0</v>
      </c>
      <c r="K654" s="246"/>
      <c r="L654" s="246"/>
      <c r="M654" s="249" t="str">
        <f t="shared" si="2"/>
        <v/>
      </c>
      <c r="N654" s="266">
        <f t="shared" si="3"/>
        <v>0</v>
      </c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</row>
    <row r="655">
      <c r="A655" s="273">
        <v>45780.0</v>
      </c>
      <c r="B655" s="275" t="s">
        <v>1215</v>
      </c>
      <c r="C655" s="275" t="s">
        <v>1195</v>
      </c>
      <c r="D655" s="276">
        <v>8447.0</v>
      </c>
      <c r="E655" s="275" t="s">
        <v>1017</v>
      </c>
      <c r="F655" s="277" t="s">
        <v>1059</v>
      </c>
      <c r="G655" s="278" t="str">
        <f>IFNA(IF(VLOOKUP(RC_OUT[BLOCK],RC_IN[[BLOCK]:[BLOCK LOC]],2,FALSE)=0,"",VLOOKUP(RC_OUT[BLOCK],RC_IN[[BLOCK]:[BLOCK LOC]],2,FALSE)),"")</f>
        <v/>
      </c>
      <c r="I655" s="263" t="str">
        <f>IFERROR(AVERAGEIFS(RC_IN[MC],RC_IN[BLOCK],RC_OUT[BLOCK]),"")</f>
        <v/>
      </c>
      <c r="J655" s="264">
        <f t="shared" si="1"/>
        <v>0</v>
      </c>
      <c r="K655" s="246"/>
      <c r="L655" s="246"/>
      <c r="M655" s="249" t="str">
        <f t="shared" si="2"/>
        <v/>
      </c>
      <c r="N655" s="266">
        <f t="shared" si="3"/>
        <v>0</v>
      </c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</row>
    <row r="656">
      <c r="A656" s="273">
        <v>45780.0</v>
      </c>
      <c r="B656" s="275" t="s">
        <v>1215</v>
      </c>
      <c r="C656" s="275" t="s">
        <v>1218</v>
      </c>
      <c r="D656" s="276">
        <v>8872.0</v>
      </c>
      <c r="E656" s="275" t="s">
        <v>1017</v>
      </c>
      <c r="F656" s="279"/>
      <c r="G656" s="278" t="str">
        <f>IFNA(IF(VLOOKUP(RC_OUT[BLOCK],RC_IN[[BLOCK]:[BLOCK LOC]],2,FALSE)=0,"",VLOOKUP(RC_OUT[BLOCK],RC_IN[[BLOCK]:[BLOCK LOC]],2,FALSE)),"")</f>
        <v/>
      </c>
      <c r="I656" s="263" t="str">
        <f>IFERROR(AVERAGEIFS(RC_IN[MC],RC_IN[BLOCK],RC_OUT[BLOCK]),"")</f>
        <v/>
      </c>
      <c r="J656" s="264">
        <f t="shared" si="1"/>
        <v>0</v>
      </c>
      <c r="K656" s="246"/>
      <c r="L656" s="246"/>
      <c r="M656" s="249" t="str">
        <f t="shared" si="2"/>
        <v/>
      </c>
      <c r="N656" s="266">
        <f t="shared" si="3"/>
        <v>0</v>
      </c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</row>
    <row r="657">
      <c r="A657" s="273">
        <v>45782.0</v>
      </c>
      <c r="B657" s="275" t="s">
        <v>1215</v>
      </c>
      <c r="C657" s="275" t="s">
        <v>1216</v>
      </c>
      <c r="D657" s="276">
        <v>7675.0</v>
      </c>
      <c r="E657" s="275" t="s">
        <v>1017</v>
      </c>
      <c r="F657" s="279"/>
      <c r="G657" s="278" t="str">
        <f>IFNA(IF(VLOOKUP(RC_OUT[BLOCK],RC_IN[[BLOCK]:[BLOCK LOC]],2,FALSE)=0,"",VLOOKUP(RC_OUT[BLOCK],RC_IN[[BLOCK]:[BLOCK LOC]],2,FALSE)),"")</f>
        <v/>
      </c>
      <c r="I657" s="263" t="str">
        <f>IFERROR(AVERAGEIFS(RC_IN[MC],RC_IN[BLOCK],RC_OUT[BLOCK]),"")</f>
        <v/>
      </c>
      <c r="J657" s="264">
        <f t="shared" si="1"/>
        <v>0</v>
      </c>
      <c r="K657" s="246"/>
      <c r="L657" s="246"/>
      <c r="M657" s="249" t="str">
        <f t="shared" si="2"/>
        <v/>
      </c>
      <c r="N657" s="266">
        <f t="shared" si="3"/>
        <v>0</v>
      </c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</row>
    <row r="658">
      <c r="A658" s="273">
        <v>45782.0</v>
      </c>
      <c r="B658" s="275" t="s">
        <v>1215</v>
      </c>
      <c r="C658" s="275" t="s">
        <v>1219</v>
      </c>
      <c r="D658" s="276">
        <v>15277.0</v>
      </c>
      <c r="E658" s="275" t="s">
        <v>1017</v>
      </c>
      <c r="F658" s="279"/>
      <c r="G658" s="278" t="str">
        <f>IFNA(IF(VLOOKUP(RC_OUT[BLOCK],RC_IN[[BLOCK]:[BLOCK LOC]],2,FALSE)=0,"",VLOOKUP(RC_OUT[BLOCK],RC_IN[[BLOCK]:[BLOCK LOC]],2,FALSE)),"")</f>
        <v/>
      </c>
      <c r="I658" s="263" t="str">
        <f>IFERROR(AVERAGEIFS(RC_IN[MC],RC_IN[BLOCK],RC_OUT[BLOCK]),"")</f>
        <v/>
      </c>
      <c r="J658" s="264">
        <f t="shared" si="1"/>
        <v>0</v>
      </c>
      <c r="K658" s="246"/>
      <c r="L658" s="246"/>
      <c r="M658" s="249" t="str">
        <f t="shared" si="2"/>
        <v/>
      </c>
      <c r="N658" s="266">
        <f t="shared" si="3"/>
        <v>0</v>
      </c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</row>
    <row r="659">
      <c r="A659" s="273">
        <v>45782.0</v>
      </c>
      <c r="B659" s="275" t="s">
        <v>1215</v>
      </c>
      <c r="C659" s="275" t="s">
        <v>1220</v>
      </c>
      <c r="D659" s="276">
        <v>1200.0</v>
      </c>
      <c r="E659" s="275" t="s">
        <v>1017</v>
      </c>
      <c r="F659" s="279"/>
      <c r="G659" s="278" t="str">
        <f>IFNA(IF(VLOOKUP(RC_OUT[BLOCK],RC_IN[[BLOCK]:[BLOCK LOC]],2,FALSE)=0,"",VLOOKUP(RC_OUT[BLOCK],RC_IN[[BLOCK]:[BLOCK LOC]],2,FALSE)),"")</f>
        <v/>
      </c>
      <c r="I659" s="263" t="str">
        <f>IFERROR(AVERAGEIFS(RC_IN[MC],RC_IN[BLOCK],RC_OUT[BLOCK]),"")</f>
        <v/>
      </c>
      <c r="J659" s="264">
        <f t="shared" si="1"/>
        <v>0</v>
      </c>
      <c r="K659" s="246"/>
      <c r="L659" s="246"/>
      <c r="M659" s="249" t="str">
        <f t="shared" si="2"/>
        <v/>
      </c>
      <c r="N659" s="266">
        <f t="shared" si="3"/>
        <v>0</v>
      </c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</row>
    <row r="660">
      <c r="A660" s="273">
        <v>45782.0</v>
      </c>
      <c r="B660" s="275" t="s">
        <v>1215</v>
      </c>
      <c r="C660" s="275" t="s">
        <v>1218</v>
      </c>
      <c r="D660" s="276">
        <v>9594.0</v>
      </c>
      <c r="E660" s="275" t="s">
        <v>1017</v>
      </c>
      <c r="F660" s="279"/>
      <c r="G660" s="278" t="str">
        <f>IFNA(IF(VLOOKUP(RC_OUT[BLOCK],RC_IN[[BLOCK]:[BLOCK LOC]],2,FALSE)=0,"",VLOOKUP(RC_OUT[BLOCK],RC_IN[[BLOCK]:[BLOCK LOC]],2,FALSE)),"")</f>
        <v/>
      </c>
      <c r="I660" s="263" t="str">
        <f>IFERROR(AVERAGEIFS(RC_IN[MC],RC_IN[BLOCK],RC_OUT[BLOCK]),"")</f>
        <v/>
      </c>
      <c r="J660" s="264">
        <f t="shared" si="1"/>
        <v>0</v>
      </c>
      <c r="K660" s="246"/>
      <c r="L660" s="246"/>
      <c r="M660" s="249" t="str">
        <f t="shared" si="2"/>
        <v/>
      </c>
      <c r="N660" s="266">
        <f t="shared" si="3"/>
        <v>0</v>
      </c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</row>
    <row r="661">
      <c r="A661" s="273">
        <v>45783.0</v>
      </c>
      <c r="B661" s="275" t="s">
        <v>1215</v>
      </c>
      <c r="C661" s="275" t="s">
        <v>1216</v>
      </c>
      <c r="D661" s="276">
        <v>6618.0</v>
      </c>
      <c r="E661" s="275" t="s">
        <v>1017</v>
      </c>
      <c r="F661" s="279"/>
      <c r="G661" s="278" t="str">
        <f>IFNA(IF(VLOOKUP(RC_OUT[BLOCK],RC_IN[[BLOCK]:[BLOCK LOC]],2,FALSE)=0,"",VLOOKUP(RC_OUT[BLOCK],RC_IN[[BLOCK]:[BLOCK LOC]],2,FALSE)),"")</f>
        <v/>
      </c>
      <c r="I661" s="263" t="str">
        <f>IFERROR(AVERAGEIFS(RC_IN[MC],RC_IN[BLOCK],RC_OUT[BLOCK]),"")</f>
        <v/>
      </c>
      <c r="J661" s="264">
        <f t="shared" si="1"/>
        <v>0</v>
      </c>
      <c r="K661" s="246"/>
      <c r="L661" s="246"/>
      <c r="M661" s="249" t="str">
        <f t="shared" si="2"/>
        <v/>
      </c>
      <c r="N661" s="266">
        <f t="shared" si="3"/>
        <v>0</v>
      </c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</row>
    <row r="662">
      <c r="A662" s="273">
        <v>45783.0</v>
      </c>
      <c r="B662" s="275" t="s">
        <v>1215</v>
      </c>
      <c r="C662" s="275" t="s">
        <v>1219</v>
      </c>
      <c r="D662" s="276">
        <v>15030.0</v>
      </c>
      <c r="E662" s="275" t="s">
        <v>1017</v>
      </c>
      <c r="F662" s="279"/>
      <c r="G662" s="278" t="str">
        <f>IFNA(IF(VLOOKUP(RC_OUT[BLOCK],RC_IN[[BLOCK]:[BLOCK LOC]],2,FALSE)=0,"",VLOOKUP(RC_OUT[BLOCK],RC_IN[[BLOCK]:[BLOCK LOC]],2,FALSE)),"")</f>
        <v/>
      </c>
      <c r="I662" s="263" t="str">
        <f>IFERROR(AVERAGEIFS(RC_IN[MC],RC_IN[BLOCK],RC_OUT[BLOCK]),"")</f>
        <v/>
      </c>
      <c r="J662" s="264">
        <f t="shared" si="1"/>
        <v>0</v>
      </c>
      <c r="K662" s="246"/>
      <c r="L662" s="246"/>
      <c r="M662" s="249" t="str">
        <f t="shared" si="2"/>
        <v/>
      </c>
      <c r="N662" s="266">
        <f t="shared" si="3"/>
        <v>0</v>
      </c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</row>
    <row r="663">
      <c r="A663" s="273">
        <v>45783.0</v>
      </c>
      <c r="B663" s="275" t="s">
        <v>1215</v>
      </c>
      <c r="C663" s="275" t="s">
        <v>1220</v>
      </c>
      <c r="D663" s="276">
        <v>1200.0</v>
      </c>
      <c r="E663" s="275" t="s">
        <v>1017</v>
      </c>
      <c r="F663" s="279"/>
      <c r="G663" s="278" t="str">
        <f>IFNA(IF(VLOOKUP(RC_OUT[BLOCK],RC_IN[[BLOCK]:[BLOCK LOC]],2,FALSE)=0,"",VLOOKUP(RC_OUT[BLOCK],RC_IN[[BLOCK]:[BLOCK LOC]],2,FALSE)),"")</f>
        <v/>
      </c>
      <c r="I663" s="263" t="str">
        <f>IFERROR(AVERAGEIFS(RC_IN[MC],RC_IN[BLOCK],RC_OUT[BLOCK]),"")</f>
        <v/>
      </c>
      <c r="J663" s="264">
        <f t="shared" si="1"/>
        <v>0</v>
      </c>
      <c r="K663" s="246"/>
      <c r="L663" s="246"/>
      <c r="M663" s="249" t="str">
        <f t="shared" si="2"/>
        <v/>
      </c>
      <c r="N663" s="266">
        <f t="shared" si="3"/>
        <v>0</v>
      </c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</row>
    <row r="664">
      <c r="A664" s="273">
        <v>45783.0</v>
      </c>
      <c r="B664" s="275" t="s">
        <v>1215</v>
      </c>
      <c r="C664" s="275" t="s">
        <v>1218</v>
      </c>
      <c r="D664" s="276">
        <v>8598.0</v>
      </c>
      <c r="E664" s="275" t="s">
        <v>1017</v>
      </c>
      <c r="F664" s="279"/>
      <c r="G664" s="278" t="str">
        <f>IFNA(IF(VLOOKUP(RC_OUT[BLOCK],RC_IN[[BLOCK]:[BLOCK LOC]],2,FALSE)=0,"",VLOOKUP(RC_OUT[BLOCK],RC_IN[[BLOCK]:[BLOCK LOC]],2,FALSE)),"")</f>
        <v/>
      </c>
      <c r="I664" s="263" t="str">
        <f>IFERROR(AVERAGEIFS(RC_IN[MC],RC_IN[BLOCK],RC_OUT[BLOCK]),"")</f>
        <v/>
      </c>
      <c r="J664" s="264">
        <f t="shared" si="1"/>
        <v>0</v>
      </c>
      <c r="K664" s="246"/>
      <c r="L664" s="246"/>
      <c r="M664" s="249" t="str">
        <f t="shared" si="2"/>
        <v/>
      </c>
      <c r="N664" s="266">
        <f t="shared" si="3"/>
        <v>0</v>
      </c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</row>
    <row r="665">
      <c r="A665" s="273">
        <v>45784.0</v>
      </c>
      <c r="B665" s="275" t="s">
        <v>1215</v>
      </c>
      <c r="C665" s="275" t="s">
        <v>1216</v>
      </c>
      <c r="D665" s="276">
        <v>9407.0</v>
      </c>
      <c r="E665" s="275" t="s">
        <v>1017</v>
      </c>
      <c r="F665" s="279"/>
      <c r="G665" s="278" t="str">
        <f>IFNA(IF(VLOOKUP(RC_OUT[BLOCK],RC_IN[[BLOCK]:[BLOCK LOC]],2,FALSE)=0,"",VLOOKUP(RC_OUT[BLOCK],RC_IN[[BLOCK]:[BLOCK LOC]],2,FALSE)),"")</f>
        <v/>
      </c>
      <c r="I665" s="263" t="str">
        <f>IFERROR(AVERAGEIFS(RC_IN[MC],RC_IN[BLOCK],RC_OUT[BLOCK]),"")</f>
        <v/>
      </c>
      <c r="J665" s="264">
        <f t="shared" si="1"/>
        <v>0</v>
      </c>
      <c r="K665" s="246"/>
      <c r="L665" s="246"/>
      <c r="M665" s="249" t="str">
        <f t="shared" si="2"/>
        <v/>
      </c>
      <c r="N665" s="266">
        <f t="shared" si="3"/>
        <v>0</v>
      </c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</row>
    <row r="666">
      <c r="A666" s="273">
        <v>45784.0</v>
      </c>
      <c r="B666" s="275" t="s">
        <v>1215</v>
      </c>
      <c r="C666" s="275" t="s">
        <v>1219</v>
      </c>
      <c r="D666" s="276">
        <v>15661.0</v>
      </c>
      <c r="E666" s="275" t="s">
        <v>1017</v>
      </c>
      <c r="F666" s="279"/>
      <c r="G666" s="278" t="str">
        <f>IFNA(IF(VLOOKUP(RC_OUT[BLOCK],RC_IN[[BLOCK]:[BLOCK LOC]],2,FALSE)=0,"",VLOOKUP(RC_OUT[BLOCK],RC_IN[[BLOCK]:[BLOCK LOC]],2,FALSE)),"")</f>
        <v/>
      </c>
      <c r="I666" s="263" t="str">
        <f>IFERROR(AVERAGEIFS(RC_IN[MC],RC_IN[BLOCK],RC_OUT[BLOCK]),"")</f>
        <v/>
      </c>
      <c r="J666" s="264">
        <f t="shared" si="1"/>
        <v>0</v>
      </c>
      <c r="K666" s="246"/>
      <c r="L666" s="246"/>
      <c r="M666" s="249" t="str">
        <f t="shared" si="2"/>
        <v/>
      </c>
      <c r="N666" s="266">
        <f t="shared" si="3"/>
        <v>0</v>
      </c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</row>
    <row r="667">
      <c r="A667" s="273">
        <v>45784.0</v>
      </c>
      <c r="B667" s="275" t="s">
        <v>1215</v>
      </c>
      <c r="C667" s="275" t="s">
        <v>1220</v>
      </c>
      <c r="D667" s="276">
        <v>1500.0</v>
      </c>
      <c r="E667" s="275" t="s">
        <v>1017</v>
      </c>
      <c r="F667" s="279"/>
      <c r="G667" s="278" t="str">
        <f>IFNA(IF(VLOOKUP(RC_OUT[BLOCK],RC_IN[[BLOCK]:[BLOCK LOC]],2,FALSE)=0,"",VLOOKUP(RC_OUT[BLOCK],RC_IN[[BLOCK]:[BLOCK LOC]],2,FALSE)),"")</f>
        <v/>
      </c>
      <c r="I667" s="263" t="str">
        <f>IFERROR(AVERAGEIFS(RC_IN[MC],RC_IN[BLOCK],RC_OUT[BLOCK]),"")</f>
        <v/>
      </c>
      <c r="J667" s="264">
        <f t="shared" si="1"/>
        <v>0</v>
      </c>
      <c r="K667" s="246"/>
      <c r="L667" s="246"/>
      <c r="M667" s="249" t="str">
        <f t="shared" si="2"/>
        <v/>
      </c>
      <c r="N667" s="266">
        <f t="shared" si="3"/>
        <v>0</v>
      </c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</row>
    <row r="668">
      <c r="A668" s="273">
        <v>45784.0</v>
      </c>
      <c r="B668" s="275" t="s">
        <v>1215</v>
      </c>
      <c r="C668" s="275" t="s">
        <v>1218</v>
      </c>
      <c r="D668" s="276">
        <v>13175.0</v>
      </c>
      <c r="E668" s="275" t="s">
        <v>1017</v>
      </c>
      <c r="F668" s="279"/>
      <c r="G668" s="278" t="str">
        <f>IFNA(IF(VLOOKUP(RC_OUT[BLOCK],RC_IN[[BLOCK]:[BLOCK LOC]],2,FALSE)=0,"",VLOOKUP(RC_OUT[BLOCK],RC_IN[[BLOCK]:[BLOCK LOC]],2,FALSE)),"")</f>
        <v/>
      </c>
      <c r="I668" s="263" t="str">
        <f>IFERROR(AVERAGEIFS(RC_IN[MC],RC_IN[BLOCK],RC_OUT[BLOCK]),"")</f>
        <v/>
      </c>
      <c r="J668" s="264">
        <f t="shared" si="1"/>
        <v>0</v>
      </c>
      <c r="K668" s="246"/>
      <c r="L668" s="246"/>
      <c r="M668" s="249" t="str">
        <f t="shared" si="2"/>
        <v/>
      </c>
      <c r="N668" s="266">
        <f t="shared" si="3"/>
        <v>0</v>
      </c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</row>
    <row r="669">
      <c r="A669" s="273">
        <v>45785.0</v>
      </c>
      <c r="B669" s="275" t="s">
        <v>1215</v>
      </c>
      <c r="C669" s="275" t="s">
        <v>1216</v>
      </c>
      <c r="D669" s="276">
        <v>6810.0</v>
      </c>
      <c r="E669" s="275" t="s">
        <v>1017</v>
      </c>
      <c r="F669" s="279"/>
      <c r="G669" s="278" t="str">
        <f>IFNA(IF(VLOOKUP(RC_OUT[BLOCK],RC_IN[[BLOCK]:[BLOCK LOC]],2,FALSE)=0,"",VLOOKUP(RC_OUT[BLOCK],RC_IN[[BLOCK]:[BLOCK LOC]],2,FALSE)),"")</f>
        <v/>
      </c>
      <c r="I669" s="263" t="str">
        <f>IFERROR(AVERAGEIFS(RC_IN[MC],RC_IN[BLOCK],RC_OUT[BLOCK]),"")</f>
        <v/>
      </c>
      <c r="J669" s="264">
        <f t="shared" si="1"/>
        <v>0</v>
      </c>
      <c r="K669" s="246"/>
      <c r="L669" s="246"/>
      <c r="M669" s="249" t="str">
        <f t="shared" si="2"/>
        <v/>
      </c>
      <c r="N669" s="266">
        <f t="shared" si="3"/>
        <v>0</v>
      </c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</row>
    <row r="670">
      <c r="A670" s="273">
        <v>45785.0</v>
      </c>
      <c r="B670" s="275" t="s">
        <v>1215</v>
      </c>
      <c r="C670" s="275" t="s">
        <v>1221</v>
      </c>
      <c r="D670" s="276">
        <v>4482.0</v>
      </c>
      <c r="E670" s="275" t="s">
        <v>1017</v>
      </c>
      <c r="F670" s="279"/>
      <c r="G670" s="278" t="str">
        <f>IFNA(IF(VLOOKUP(RC_OUT[BLOCK],RC_IN[[BLOCK]:[BLOCK LOC]],2,FALSE)=0,"",VLOOKUP(RC_OUT[BLOCK],RC_IN[[BLOCK]:[BLOCK LOC]],2,FALSE)),"")</f>
        <v/>
      </c>
      <c r="I670" s="263" t="str">
        <f>IFERROR(AVERAGEIFS(RC_IN[MC],RC_IN[BLOCK],RC_OUT[BLOCK]),"")</f>
        <v/>
      </c>
      <c r="J670" s="264">
        <f t="shared" si="1"/>
        <v>0</v>
      </c>
      <c r="K670" s="246"/>
      <c r="L670" s="246"/>
      <c r="M670" s="249" t="str">
        <f t="shared" si="2"/>
        <v/>
      </c>
      <c r="N670" s="266">
        <f t="shared" si="3"/>
        <v>0</v>
      </c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</row>
    <row r="671">
      <c r="A671" s="273">
        <v>45785.0</v>
      </c>
      <c r="B671" s="275" t="s">
        <v>1215</v>
      </c>
      <c r="C671" s="275" t="s">
        <v>1219</v>
      </c>
      <c r="D671" s="276">
        <v>10256.0</v>
      </c>
      <c r="E671" s="275" t="s">
        <v>1017</v>
      </c>
      <c r="F671" s="277" t="s">
        <v>1059</v>
      </c>
      <c r="G671" s="278" t="str">
        <f>IFNA(IF(VLOOKUP(RC_OUT[BLOCK],RC_IN[[BLOCK]:[BLOCK LOC]],2,FALSE)=0,"",VLOOKUP(RC_OUT[BLOCK],RC_IN[[BLOCK]:[BLOCK LOC]],2,FALSE)),"")</f>
        <v/>
      </c>
      <c r="I671" s="263" t="str">
        <f>IFERROR(AVERAGEIFS(RC_IN[MC],RC_IN[BLOCK],RC_OUT[BLOCK]),"")</f>
        <v/>
      </c>
      <c r="J671" s="264">
        <f t="shared" si="1"/>
        <v>0</v>
      </c>
      <c r="K671" s="246"/>
      <c r="L671" s="246"/>
      <c r="M671" s="249" t="str">
        <f t="shared" si="2"/>
        <v/>
      </c>
      <c r="N671" s="266">
        <f t="shared" si="3"/>
        <v>0</v>
      </c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</row>
    <row r="672">
      <c r="A672" s="273">
        <v>45785.0</v>
      </c>
      <c r="B672" s="275" t="s">
        <v>1215</v>
      </c>
      <c r="C672" s="275" t="s">
        <v>1220</v>
      </c>
      <c r="D672" s="276">
        <v>1500.0</v>
      </c>
      <c r="E672" s="275" t="s">
        <v>1017</v>
      </c>
      <c r="F672" s="279"/>
      <c r="G672" s="278" t="str">
        <f>IFNA(IF(VLOOKUP(RC_OUT[BLOCK],RC_IN[[BLOCK]:[BLOCK LOC]],2,FALSE)=0,"",VLOOKUP(RC_OUT[BLOCK],RC_IN[[BLOCK]:[BLOCK LOC]],2,FALSE)),"")</f>
        <v/>
      </c>
      <c r="I672" s="263" t="str">
        <f>IFERROR(AVERAGEIFS(RC_IN[MC],RC_IN[BLOCK],RC_OUT[BLOCK]),"")</f>
        <v/>
      </c>
      <c r="J672" s="264">
        <f t="shared" si="1"/>
        <v>0</v>
      </c>
      <c r="K672" s="246"/>
      <c r="L672" s="246"/>
      <c r="M672" s="249" t="str">
        <f t="shared" si="2"/>
        <v/>
      </c>
      <c r="N672" s="266">
        <f t="shared" si="3"/>
        <v>0</v>
      </c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</row>
    <row r="673">
      <c r="A673" s="273">
        <v>45785.0</v>
      </c>
      <c r="B673" s="275" t="s">
        <v>1215</v>
      </c>
      <c r="C673" s="275" t="s">
        <v>1218</v>
      </c>
      <c r="D673" s="276">
        <v>7519.0</v>
      </c>
      <c r="E673" s="275" t="s">
        <v>1017</v>
      </c>
      <c r="F673" s="277" t="s">
        <v>1059</v>
      </c>
      <c r="G673" s="278" t="str">
        <f>IFNA(IF(VLOOKUP(RC_OUT[BLOCK],RC_IN[[BLOCK]:[BLOCK LOC]],2,FALSE)=0,"",VLOOKUP(RC_OUT[BLOCK],RC_IN[[BLOCK]:[BLOCK LOC]],2,FALSE)),"")</f>
        <v/>
      </c>
      <c r="I673" s="263" t="str">
        <f>IFERROR(AVERAGEIFS(RC_IN[MC],RC_IN[BLOCK],RC_OUT[BLOCK]),"")</f>
        <v/>
      </c>
      <c r="J673" s="264">
        <f t="shared" si="1"/>
        <v>0</v>
      </c>
      <c r="K673" s="246"/>
      <c r="L673" s="246"/>
      <c r="M673" s="249" t="str">
        <f t="shared" si="2"/>
        <v/>
      </c>
      <c r="N673" s="266">
        <f t="shared" si="3"/>
        <v>0</v>
      </c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</row>
    <row r="674">
      <c r="A674" s="273">
        <v>45785.0</v>
      </c>
      <c r="B674" s="275" t="s">
        <v>1215</v>
      </c>
      <c r="C674" s="275" t="s">
        <v>1222</v>
      </c>
      <c r="D674" s="276">
        <v>2463.0</v>
      </c>
      <c r="E674" s="275" t="s">
        <v>1017</v>
      </c>
      <c r="F674" s="279"/>
      <c r="G674" s="278" t="str">
        <f>IFNA(IF(VLOOKUP(RC_OUT[BLOCK],RC_IN[[BLOCK]:[BLOCK LOC]],2,FALSE)=0,"",VLOOKUP(RC_OUT[BLOCK],RC_IN[[BLOCK]:[BLOCK LOC]],2,FALSE)),"")</f>
        <v/>
      </c>
      <c r="I674" s="263" t="str">
        <f>IFERROR(AVERAGEIFS(RC_IN[MC],RC_IN[BLOCK],RC_OUT[BLOCK]),"")</f>
        <v/>
      </c>
      <c r="J674" s="264">
        <f t="shared" si="1"/>
        <v>0</v>
      </c>
      <c r="K674" s="246"/>
      <c r="L674" s="246"/>
      <c r="M674" s="249" t="str">
        <f t="shared" si="2"/>
        <v/>
      </c>
      <c r="N674" s="266">
        <f t="shared" si="3"/>
        <v>0</v>
      </c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</row>
    <row r="675">
      <c r="A675" s="273">
        <v>45786.0</v>
      </c>
      <c r="B675" s="275" t="s">
        <v>1215</v>
      </c>
      <c r="C675" s="275" t="s">
        <v>1216</v>
      </c>
      <c r="D675" s="276">
        <v>6816.0</v>
      </c>
      <c r="E675" s="275" t="s">
        <v>1017</v>
      </c>
      <c r="F675" s="279"/>
      <c r="G675" s="278" t="str">
        <f>IFNA(IF(VLOOKUP(RC_OUT[BLOCK],RC_IN[[BLOCK]:[BLOCK LOC]],2,FALSE)=0,"",VLOOKUP(RC_OUT[BLOCK],RC_IN[[BLOCK]:[BLOCK LOC]],2,FALSE)),"")</f>
        <v/>
      </c>
      <c r="I675" s="263" t="str">
        <f>IFERROR(AVERAGEIFS(RC_IN[MC],RC_IN[BLOCK],RC_OUT[BLOCK]),"")</f>
        <v/>
      </c>
      <c r="J675" s="264">
        <f t="shared" si="1"/>
        <v>0</v>
      </c>
      <c r="K675" s="246"/>
      <c r="L675" s="246"/>
      <c r="M675" s="249" t="str">
        <f t="shared" si="2"/>
        <v/>
      </c>
      <c r="N675" s="266">
        <f t="shared" si="3"/>
        <v>0</v>
      </c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</row>
    <row r="676">
      <c r="A676" s="273">
        <v>45786.0</v>
      </c>
      <c r="B676" s="275" t="s">
        <v>1215</v>
      </c>
      <c r="C676" s="275" t="s">
        <v>1221</v>
      </c>
      <c r="D676" s="276">
        <v>14910.0</v>
      </c>
      <c r="E676" s="275" t="s">
        <v>1017</v>
      </c>
      <c r="F676" s="279"/>
      <c r="G676" s="278" t="str">
        <f>IFNA(IF(VLOOKUP(RC_OUT[BLOCK],RC_IN[[BLOCK]:[BLOCK LOC]],2,FALSE)=0,"",VLOOKUP(RC_OUT[BLOCK],RC_IN[[BLOCK]:[BLOCK LOC]],2,FALSE)),"")</f>
        <v/>
      </c>
      <c r="I676" s="263" t="str">
        <f>IFERROR(AVERAGEIFS(RC_IN[MC],RC_IN[BLOCK],RC_OUT[BLOCK]),"")</f>
        <v/>
      </c>
      <c r="J676" s="264">
        <f t="shared" si="1"/>
        <v>0</v>
      </c>
      <c r="K676" s="246"/>
      <c r="L676" s="246"/>
      <c r="M676" s="249" t="str">
        <f t="shared" si="2"/>
        <v/>
      </c>
      <c r="N676" s="266">
        <f t="shared" si="3"/>
        <v>0</v>
      </c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</row>
    <row r="677">
      <c r="A677" s="273">
        <v>45786.0</v>
      </c>
      <c r="B677" s="275" t="s">
        <v>1215</v>
      </c>
      <c r="C677" s="275" t="s">
        <v>1220</v>
      </c>
      <c r="D677" s="276">
        <v>1500.0</v>
      </c>
      <c r="E677" s="275" t="s">
        <v>1017</v>
      </c>
      <c r="F677" s="279"/>
      <c r="G677" s="278" t="str">
        <f>IFNA(IF(VLOOKUP(RC_OUT[BLOCK],RC_IN[[BLOCK]:[BLOCK LOC]],2,FALSE)=0,"",VLOOKUP(RC_OUT[BLOCK],RC_IN[[BLOCK]:[BLOCK LOC]],2,FALSE)),"")</f>
        <v/>
      </c>
      <c r="I677" s="263" t="str">
        <f>IFERROR(AVERAGEIFS(RC_IN[MC],RC_IN[BLOCK],RC_OUT[BLOCK]),"")</f>
        <v/>
      </c>
      <c r="J677" s="264">
        <f t="shared" si="1"/>
        <v>0</v>
      </c>
      <c r="K677" s="246"/>
      <c r="L677" s="246"/>
      <c r="M677" s="249" t="str">
        <f t="shared" si="2"/>
        <v/>
      </c>
      <c r="N677" s="266">
        <f t="shared" si="3"/>
        <v>0</v>
      </c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</row>
    <row r="678">
      <c r="A678" s="273">
        <v>45786.0</v>
      </c>
      <c r="B678" s="275" t="s">
        <v>1215</v>
      </c>
      <c r="C678" s="275" t="s">
        <v>1222</v>
      </c>
      <c r="D678" s="276">
        <v>9897.0</v>
      </c>
      <c r="E678" s="275" t="s">
        <v>1017</v>
      </c>
      <c r="F678" s="279"/>
      <c r="G678" s="278" t="str">
        <f>IFNA(IF(VLOOKUP(RC_OUT[BLOCK],RC_IN[[BLOCK]:[BLOCK LOC]],2,FALSE)=0,"",VLOOKUP(RC_OUT[BLOCK],RC_IN[[BLOCK]:[BLOCK LOC]],2,FALSE)),"")</f>
        <v/>
      </c>
      <c r="I678" s="263" t="str">
        <f>IFERROR(AVERAGEIFS(RC_IN[MC],RC_IN[BLOCK],RC_OUT[BLOCK]),"")</f>
        <v/>
      </c>
      <c r="J678" s="264">
        <f t="shared" si="1"/>
        <v>0</v>
      </c>
      <c r="K678" s="246"/>
      <c r="L678" s="246"/>
      <c r="M678" s="249" t="str">
        <f t="shared" si="2"/>
        <v/>
      </c>
      <c r="N678" s="266">
        <f t="shared" si="3"/>
        <v>0</v>
      </c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</row>
    <row r="679">
      <c r="A679" s="273">
        <v>45787.0</v>
      </c>
      <c r="B679" s="275" t="s">
        <v>1215</v>
      </c>
      <c r="C679" s="275" t="s">
        <v>1216</v>
      </c>
      <c r="D679" s="276">
        <v>6418.0</v>
      </c>
      <c r="E679" s="275" t="s">
        <v>1017</v>
      </c>
      <c r="F679" s="279"/>
      <c r="G679" s="278" t="str">
        <f>IFNA(IF(VLOOKUP(RC_OUT[BLOCK],RC_IN[[BLOCK]:[BLOCK LOC]],2,FALSE)=0,"",VLOOKUP(RC_OUT[BLOCK],RC_IN[[BLOCK]:[BLOCK LOC]],2,FALSE)),"")</f>
        <v/>
      </c>
      <c r="I679" s="263" t="str">
        <f>IFERROR(AVERAGEIFS(RC_IN[MC],RC_IN[BLOCK],RC_OUT[BLOCK]),"")</f>
        <v/>
      </c>
      <c r="J679" s="264">
        <f t="shared" si="1"/>
        <v>0</v>
      </c>
      <c r="K679" s="246"/>
      <c r="L679" s="246"/>
      <c r="M679" s="249" t="str">
        <f t="shared" si="2"/>
        <v/>
      </c>
      <c r="N679" s="266">
        <f t="shared" si="3"/>
        <v>0</v>
      </c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</row>
    <row r="680">
      <c r="A680" s="273">
        <v>45787.0</v>
      </c>
      <c r="B680" s="275" t="s">
        <v>1215</v>
      </c>
      <c r="C680" s="275" t="s">
        <v>1221</v>
      </c>
      <c r="D680" s="276">
        <v>15518.0</v>
      </c>
      <c r="E680" s="275" t="s">
        <v>1017</v>
      </c>
      <c r="F680" s="279"/>
      <c r="G680" s="278" t="str">
        <f>IFNA(IF(VLOOKUP(RC_OUT[BLOCK],RC_IN[[BLOCK]:[BLOCK LOC]],2,FALSE)=0,"",VLOOKUP(RC_OUT[BLOCK],RC_IN[[BLOCK]:[BLOCK LOC]],2,FALSE)),"")</f>
        <v/>
      </c>
      <c r="I680" s="263" t="str">
        <f>IFERROR(AVERAGEIFS(RC_IN[MC],RC_IN[BLOCK],RC_OUT[BLOCK]),"")</f>
        <v/>
      </c>
      <c r="J680" s="264">
        <f t="shared" si="1"/>
        <v>0</v>
      </c>
      <c r="K680" s="246"/>
      <c r="L680" s="246"/>
      <c r="M680" s="249" t="str">
        <f t="shared" si="2"/>
        <v/>
      </c>
      <c r="N680" s="266">
        <f t="shared" si="3"/>
        <v>0</v>
      </c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</row>
    <row r="681">
      <c r="A681" s="273">
        <v>45787.0</v>
      </c>
      <c r="B681" s="275" t="s">
        <v>1215</v>
      </c>
      <c r="C681" s="275" t="s">
        <v>1220</v>
      </c>
      <c r="D681" s="276">
        <v>7400.0</v>
      </c>
      <c r="E681" s="275" t="s">
        <v>1017</v>
      </c>
      <c r="F681" s="279"/>
      <c r="G681" s="278" t="str">
        <f>IFNA(IF(VLOOKUP(RC_OUT[BLOCK],RC_IN[[BLOCK]:[BLOCK LOC]],2,FALSE)=0,"",VLOOKUP(RC_OUT[BLOCK],RC_IN[[BLOCK]:[BLOCK LOC]],2,FALSE)),"")</f>
        <v/>
      </c>
      <c r="I681" s="263" t="str">
        <f>IFERROR(AVERAGEIFS(RC_IN[MC],RC_IN[BLOCK],RC_OUT[BLOCK]),"")</f>
        <v/>
      </c>
      <c r="J681" s="264">
        <f t="shared" si="1"/>
        <v>0</v>
      </c>
      <c r="K681" s="246"/>
      <c r="L681" s="246"/>
      <c r="M681" s="249" t="str">
        <f t="shared" si="2"/>
        <v/>
      </c>
      <c r="N681" s="266">
        <f t="shared" si="3"/>
        <v>0</v>
      </c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</row>
    <row r="682">
      <c r="A682" s="273">
        <v>45787.0</v>
      </c>
      <c r="B682" s="275" t="s">
        <v>1215</v>
      </c>
      <c r="C682" s="275" t="s">
        <v>1222</v>
      </c>
      <c r="D682" s="276">
        <v>9298.0</v>
      </c>
      <c r="E682" s="275" t="s">
        <v>1017</v>
      </c>
      <c r="F682" s="279"/>
      <c r="G682" s="278" t="str">
        <f>IFNA(IF(VLOOKUP(RC_OUT[BLOCK],RC_IN[[BLOCK]:[BLOCK LOC]],2,FALSE)=0,"",VLOOKUP(RC_OUT[BLOCK],RC_IN[[BLOCK]:[BLOCK LOC]],2,FALSE)),"")</f>
        <v/>
      </c>
      <c r="I682" s="263" t="str">
        <f>IFERROR(AVERAGEIFS(RC_IN[MC],RC_IN[BLOCK],RC_OUT[BLOCK]),"")</f>
        <v/>
      </c>
      <c r="J682" s="264">
        <f t="shared" si="1"/>
        <v>0</v>
      </c>
      <c r="K682" s="246"/>
      <c r="L682" s="246"/>
      <c r="M682" s="249" t="str">
        <f t="shared" si="2"/>
        <v/>
      </c>
      <c r="N682" s="266">
        <f t="shared" si="3"/>
        <v>0</v>
      </c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</row>
    <row r="683">
      <c r="A683" s="273">
        <v>45790.0</v>
      </c>
      <c r="B683" s="275" t="s">
        <v>1215</v>
      </c>
      <c r="C683" s="275" t="s">
        <v>1216</v>
      </c>
      <c r="D683" s="276">
        <v>8344.0</v>
      </c>
      <c r="E683" s="275" t="s">
        <v>1017</v>
      </c>
      <c r="F683" s="279"/>
      <c r="G683" s="278" t="str">
        <f>IFNA(IF(VLOOKUP(RC_OUT[BLOCK],RC_IN[[BLOCK]:[BLOCK LOC]],2,FALSE)=0,"",VLOOKUP(RC_OUT[BLOCK],RC_IN[[BLOCK]:[BLOCK LOC]],2,FALSE)),"")</f>
        <v/>
      </c>
      <c r="I683" s="263" t="str">
        <f>IFERROR(AVERAGEIFS(RC_IN[MC],RC_IN[BLOCK],RC_OUT[BLOCK]),"")</f>
        <v/>
      </c>
      <c r="J683" s="264">
        <f t="shared" si="1"/>
        <v>0</v>
      </c>
      <c r="K683" s="246"/>
      <c r="L683" s="246"/>
      <c r="M683" s="249" t="str">
        <f t="shared" si="2"/>
        <v/>
      </c>
      <c r="N683" s="266">
        <f t="shared" si="3"/>
        <v>0</v>
      </c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</row>
    <row r="684">
      <c r="A684" s="273">
        <v>45790.0</v>
      </c>
      <c r="B684" s="275" t="s">
        <v>1215</v>
      </c>
      <c r="C684" s="275" t="s">
        <v>1223</v>
      </c>
      <c r="D684" s="276">
        <v>7227.0</v>
      </c>
      <c r="E684" s="275" t="s">
        <v>1017</v>
      </c>
      <c r="F684" s="279"/>
      <c r="G684" s="278" t="str">
        <f>IFNA(IF(VLOOKUP(RC_OUT[BLOCK],RC_IN[[BLOCK]:[BLOCK LOC]],2,FALSE)=0,"",VLOOKUP(RC_OUT[BLOCK],RC_IN[[BLOCK]:[BLOCK LOC]],2,FALSE)),"")</f>
        <v/>
      </c>
      <c r="I684" s="263" t="str">
        <f>IFERROR(AVERAGEIFS(RC_IN[MC],RC_IN[BLOCK],RC_OUT[BLOCK]),"")</f>
        <v/>
      </c>
      <c r="J684" s="264">
        <f t="shared" si="1"/>
        <v>0</v>
      </c>
      <c r="K684" s="246"/>
      <c r="L684" s="246"/>
      <c r="M684" s="249" t="str">
        <f t="shared" si="2"/>
        <v/>
      </c>
      <c r="N684" s="266">
        <f t="shared" si="3"/>
        <v>0</v>
      </c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</row>
    <row r="685">
      <c r="A685" s="273">
        <v>45790.0</v>
      </c>
      <c r="B685" s="275" t="s">
        <v>1215</v>
      </c>
      <c r="C685" s="275" t="s">
        <v>1221</v>
      </c>
      <c r="D685" s="276">
        <v>5484.0</v>
      </c>
      <c r="E685" s="275" t="s">
        <v>1017</v>
      </c>
      <c r="F685" s="277" t="s">
        <v>1059</v>
      </c>
      <c r="G685" s="278" t="str">
        <f>IFNA(IF(VLOOKUP(RC_OUT[BLOCK],RC_IN[[BLOCK]:[BLOCK LOC]],2,FALSE)=0,"",VLOOKUP(RC_OUT[BLOCK],RC_IN[[BLOCK]:[BLOCK LOC]],2,FALSE)),"")</f>
        <v/>
      </c>
      <c r="I685" s="263" t="str">
        <f>IFERROR(AVERAGEIFS(RC_IN[MC],RC_IN[BLOCK],RC_OUT[BLOCK]),"")</f>
        <v/>
      </c>
      <c r="J685" s="264">
        <f t="shared" si="1"/>
        <v>0</v>
      </c>
      <c r="K685" s="246"/>
      <c r="L685" s="246"/>
      <c r="M685" s="249" t="str">
        <f t="shared" si="2"/>
        <v/>
      </c>
      <c r="N685" s="266">
        <f t="shared" si="3"/>
        <v>0</v>
      </c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</row>
    <row r="686">
      <c r="A686" s="273">
        <v>45790.0</v>
      </c>
      <c r="B686" s="275" t="s">
        <v>1215</v>
      </c>
      <c r="C686" s="275" t="s">
        <v>1220</v>
      </c>
      <c r="D686" s="276">
        <v>5820.0</v>
      </c>
      <c r="E686" s="275" t="s">
        <v>1017</v>
      </c>
      <c r="F686" s="277" t="s">
        <v>1059</v>
      </c>
      <c r="G686" s="278" t="str">
        <f>IFNA(IF(VLOOKUP(RC_OUT[BLOCK],RC_IN[[BLOCK]:[BLOCK LOC]],2,FALSE)=0,"",VLOOKUP(RC_OUT[BLOCK],RC_IN[[BLOCK]:[BLOCK LOC]],2,FALSE)),"")</f>
        <v/>
      </c>
      <c r="I686" s="263" t="str">
        <f>IFERROR(AVERAGEIFS(RC_IN[MC],RC_IN[BLOCK],RC_OUT[BLOCK]),"")</f>
        <v/>
      </c>
      <c r="J686" s="264">
        <f t="shared" si="1"/>
        <v>0</v>
      </c>
      <c r="K686" s="246"/>
      <c r="L686" s="246"/>
      <c r="M686" s="249" t="str">
        <f t="shared" si="2"/>
        <v/>
      </c>
      <c r="N686" s="266">
        <f t="shared" si="3"/>
        <v>0</v>
      </c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</row>
    <row r="687">
      <c r="A687" s="273">
        <v>45790.0</v>
      </c>
      <c r="B687" s="275" t="s">
        <v>1215</v>
      </c>
      <c r="C687" s="275" t="s">
        <v>1222</v>
      </c>
      <c r="D687" s="276">
        <v>13155.0</v>
      </c>
      <c r="E687" s="275" t="s">
        <v>1017</v>
      </c>
      <c r="F687" s="279"/>
      <c r="G687" s="278" t="str">
        <f>IFNA(IF(VLOOKUP(RC_OUT[BLOCK],RC_IN[[BLOCK]:[BLOCK LOC]],2,FALSE)=0,"",VLOOKUP(RC_OUT[BLOCK],RC_IN[[BLOCK]:[BLOCK LOC]],2,FALSE)),"")</f>
        <v/>
      </c>
      <c r="I687" s="263" t="str">
        <f>IFERROR(AVERAGEIFS(RC_IN[MC],RC_IN[BLOCK],RC_OUT[BLOCK]),"")</f>
        <v/>
      </c>
      <c r="J687" s="264">
        <f t="shared" si="1"/>
        <v>0</v>
      </c>
      <c r="K687" s="246"/>
      <c r="L687" s="246"/>
      <c r="M687" s="249" t="str">
        <f t="shared" si="2"/>
        <v/>
      </c>
      <c r="N687" s="266">
        <f t="shared" si="3"/>
        <v>0</v>
      </c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</row>
    <row r="688">
      <c r="A688" s="273">
        <v>45791.0</v>
      </c>
      <c r="B688" s="275" t="s">
        <v>1215</v>
      </c>
      <c r="C688" s="275" t="s">
        <v>1216</v>
      </c>
      <c r="D688" s="276">
        <v>6908.0</v>
      </c>
      <c r="E688" s="275" t="s">
        <v>1017</v>
      </c>
      <c r="F688" s="277" t="s">
        <v>1059</v>
      </c>
      <c r="G688" s="278" t="str">
        <f>IFNA(IF(VLOOKUP(RC_OUT[BLOCK],RC_IN[[BLOCK]:[BLOCK LOC]],2,FALSE)=0,"",VLOOKUP(RC_OUT[BLOCK],RC_IN[[BLOCK]:[BLOCK LOC]],2,FALSE)),"")</f>
        <v/>
      </c>
      <c r="I688" s="263" t="str">
        <f>IFERROR(AVERAGEIFS(RC_IN[MC],RC_IN[BLOCK],RC_OUT[BLOCK]),"")</f>
        <v/>
      </c>
      <c r="J688" s="264">
        <f t="shared" si="1"/>
        <v>0</v>
      </c>
      <c r="K688" s="246"/>
      <c r="L688" s="246"/>
      <c r="M688" s="249" t="str">
        <f t="shared" si="2"/>
        <v/>
      </c>
      <c r="N688" s="266">
        <f t="shared" si="3"/>
        <v>0</v>
      </c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</row>
    <row r="689">
      <c r="A689" s="273">
        <v>45791.0</v>
      </c>
      <c r="B689" s="275" t="s">
        <v>1215</v>
      </c>
      <c r="C689" s="275" t="s">
        <v>1223</v>
      </c>
      <c r="D689" s="276">
        <v>14548.0</v>
      </c>
      <c r="E689" s="275" t="s">
        <v>1017</v>
      </c>
      <c r="F689" s="279"/>
      <c r="G689" s="278" t="str">
        <f>IFNA(IF(VLOOKUP(RC_OUT[BLOCK],RC_IN[[BLOCK]:[BLOCK LOC]],2,FALSE)=0,"",VLOOKUP(RC_OUT[BLOCK],RC_IN[[BLOCK]:[BLOCK LOC]],2,FALSE)),"")</f>
        <v/>
      </c>
      <c r="I689" s="263" t="str">
        <f>IFERROR(AVERAGEIFS(RC_IN[MC],RC_IN[BLOCK],RC_OUT[BLOCK]),"")</f>
        <v/>
      </c>
      <c r="J689" s="264">
        <f t="shared" si="1"/>
        <v>0</v>
      </c>
      <c r="K689" s="246"/>
      <c r="L689" s="246"/>
      <c r="M689" s="249" t="str">
        <f t="shared" si="2"/>
        <v/>
      </c>
      <c r="N689" s="266">
        <f t="shared" si="3"/>
        <v>0</v>
      </c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</row>
    <row r="690">
      <c r="A690" s="273">
        <v>45791.0</v>
      </c>
      <c r="B690" s="275" t="s">
        <v>1215</v>
      </c>
      <c r="C690" s="275" t="s">
        <v>1224</v>
      </c>
      <c r="D690" s="276">
        <v>600.0</v>
      </c>
      <c r="E690" s="275" t="s">
        <v>1017</v>
      </c>
      <c r="F690" s="279"/>
      <c r="G690" s="278" t="str">
        <f>IFNA(IF(VLOOKUP(RC_OUT[BLOCK],RC_IN[[BLOCK]:[BLOCK LOC]],2,FALSE)=0,"",VLOOKUP(RC_OUT[BLOCK],RC_IN[[BLOCK]:[BLOCK LOC]],2,FALSE)),"")</f>
        <v/>
      </c>
      <c r="I690" s="263" t="str">
        <f>IFERROR(AVERAGEIFS(RC_IN[MC],RC_IN[BLOCK],RC_OUT[BLOCK]),"")</f>
        <v/>
      </c>
      <c r="J690" s="264">
        <f t="shared" si="1"/>
        <v>0</v>
      </c>
      <c r="K690" s="246"/>
      <c r="L690" s="246"/>
      <c r="M690" s="249" t="str">
        <f t="shared" si="2"/>
        <v/>
      </c>
      <c r="N690" s="266">
        <f t="shared" si="3"/>
        <v>0</v>
      </c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</row>
    <row r="691">
      <c r="A691" s="273">
        <v>45791.0</v>
      </c>
      <c r="B691" s="275" t="s">
        <v>1215</v>
      </c>
      <c r="C691" s="275" t="s">
        <v>1222</v>
      </c>
      <c r="D691" s="276">
        <v>9724.0</v>
      </c>
      <c r="E691" s="275" t="s">
        <v>1017</v>
      </c>
      <c r="F691" s="279"/>
      <c r="G691" s="278" t="str">
        <f>IFNA(IF(VLOOKUP(RC_OUT[BLOCK],RC_IN[[BLOCK]:[BLOCK LOC]],2,FALSE)=0,"",VLOOKUP(RC_OUT[BLOCK],RC_IN[[BLOCK]:[BLOCK LOC]],2,FALSE)),"")</f>
        <v/>
      </c>
      <c r="I691" s="263" t="str">
        <f>IFERROR(AVERAGEIFS(RC_IN[MC],RC_IN[BLOCK],RC_OUT[BLOCK]),"")</f>
        <v/>
      </c>
      <c r="J691" s="264">
        <f t="shared" si="1"/>
        <v>0</v>
      </c>
      <c r="K691" s="246"/>
      <c r="L691" s="246"/>
      <c r="M691" s="249" t="str">
        <f t="shared" si="2"/>
        <v/>
      </c>
      <c r="N691" s="266">
        <f t="shared" si="3"/>
        <v>0</v>
      </c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</row>
    <row r="692">
      <c r="A692" s="273">
        <v>45792.0</v>
      </c>
      <c r="B692" s="275" t="s">
        <v>1215</v>
      </c>
      <c r="C692" s="275" t="s">
        <v>1225</v>
      </c>
      <c r="D692" s="276">
        <v>5828.0</v>
      </c>
      <c r="E692" s="275" t="s">
        <v>1017</v>
      </c>
      <c r="F692" s="279"/>
      <c r="G692" s="278" t="str">
        <f>IFNA(IF(VLOOKUP(RC_OUT[BLOCK],RC_IN[[BLOCK]:[BLOCK LOC]],2,FALSE)=0,"",VLOOKUP(RC_OUT[BLOCK],RC_IN[[BLOCK]:[BLOCK LOC]],2,FALSE)),"")</f>
        <v/>
      </c>
      <c r="I692" s="263" t="str">
        <f>IFERROR(AVERAGEIFS(RC_IN[MC],RC_IN[BLOCK],RC_OUT[BLOCK]),"")</f>
        <v/>
      </c>
      <c r="J692" s="264">
        <f t="shared" si="1"/>
        <v>0</v>
      </c>
      <c r="K692" s="246"/>
      <c r="L692" s="246"/>
      <c r="M692" s="249" t="str">
        <f t="shared" si="2"/>
        <v/>
      </c>
      <c r="N692" s="266">
        <f t="shared" si="3"/>
        <v>0</v>
      </c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</row>
    <row r="693">
      <c r="A693" s="273">
        <v>45792.0</v>
      </c>
      <c r="B693" s="275" t="s">
        <v>1215</v>
      </c>
      <c r="C693" s="275" t="s">
        <v>1223</v>
      </c>
      <c r="D693" s="276">
        <v>14961.0</v>
      </c>
      <c r="E693" s="275" t="s">
        <v>1017</v>
      </c>
      <c r="F693" s="279"/>
      <c r="G693" s="278" t="str">
        <f>IFNA(IF(VLOOKUP(RC_OUT[BLOCK],RC_IN[[BLOCK]:[BLOCK LOC]],2,FALSE)=0,"",VLOOKUP(RC_OUT[BLOCK],RC_IN[[BLOCK]:[BLOCK LOC]],2,FALSE)),"")</f>
        <v/>
      </c>
      <c r="I693" s="263" t="str">
        <f>IFERROR(AVERAGEIFS(RC_IN[MC],RC_IN[BLOCK],RC_OUT[BLOCK]),"")</f>
        <v/>
      </c>
      <c r="J693" s="264">
        <f t="shared" si="1"/>
        <v>0</v>
      </c>
      <c r="K693" s="246"/>
      <c r="L693" s="246"/>
      <c r="M693" s="249" t="str">
        <f t="shared" si="2"/>
        <v/>
      </c>
      <c r="N693" s="266">
        <f t="shared" si="3"/>
        <v>0</v>
      </c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</row>
    <row r="694">
      <c r="A694" s="273">
        <v>45792.0</v>
      </c>
      <c r="B694" s="275" t="s">
        <v>1215</v>
      </c>
      <c r="C694" s="275" t="s">
        <v>1224</v>
      </c>
      <c r="D694" s="276">
        <v>600.0</v>
      </c>
      <c r="E694" s="275" t="s">
        <v>1017</v>
      </c>
      <c r="F694" s="279"/>
      <c r="G694" s="278" t="str">
        <f>IFNA(IF(VLOOKUP(RC_OUT[BLOCK],RC_IN[[BLOCK]:[BLOCK LOC]],2,FALSE)=0,"",VLOOKUP(RC_OUT[BLOCK],RC_IN[[BLOCK]:[BLOCK LOC]],2,FALSE)),"")</f>
        <v/>
      </c>
      <c r="I694" s="263" t="str">
        <f>IFERROR(AVERAGEIFS(RC_IN[MC],RC_IN[BLOCK],RC_OUT[BLOCK]),"")</f>
        <v/>
      </c>
      <c r="J694" s="264">
        <f t="shared" si="1"/>
        <v>0</v>
      </c>
      <c r="K694" s="246"/>
      <c r="L694" s="246"/>
      <c r="M694" s="249" t="str">
        <f t="shared" si="2"/>
        <v/>
      </c>
      <c r="N694" s="266">
        <f t="shared" si="3"/>
        <v>0</v>
      </c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</row>
    <row r="695">
      <c r="A695" s="273">
        <v>45792.0</v>
      </c>
      <c r="B695" s="275" t="s">
        <v>1215</v>
      </c>
      <c r="C695" s="275" t="s">
        <v>1222</v>
      </c>
      <c r="D695" s="276">
        <v>11125.0</v>
      </c>
      <c r="E695" s="275" t="s">
        <v>1017</v>
      </c>
      <c r="F695" s="279"/>
      <c r="G695" s="278" t="str">
        <f>IFNA(IF(VLOOKUP(RC_OUT[BLOCK],RC_IN[[BLOCK]:[BLOCK LOC]],2,FALSE)=0,"",VLOOKUP(RC_OUT[BLOCK],RC_IN[[BLOCK]:[BLOCK LOC]],2,FALSE)),"")</f>
        <v/>
      </c>
      <c r="I695" s="263" t="str">
        <f>IFERROR(AVERAGEIFS(RC_IN[MC],RC_IN[BLOCK],RC_OUT[BLOCK]),"")</f>
        <v/>
      </c>
      <c r="J695" s="264">
        <f t="shared" si="1"/>
        <v>0</v>
      </c>
      <c r="K695" s="246"/>
      <c r="L695" s="246"/>
      <c r="M695" s="249" t="str">
        <f t="shared" si="2"/>
        <v/>
      </c>
      <c r="N695" s="266">
        <f t="shared" si="3"/>
        <v>0</v>
      </c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</row>
    <row r="696">
      <c r="A696" s="273">
        <v>45793.0</v>
      </c>
      <c r="B696" s="275" t="s">
        <v>1215</v>
      </c>
      <c r="C696" s="275" t="s">
        <v>1225</v>
      </c>
      <c r="D696" s="276">
        <v>7287.0</v>
      </c>
      <c r="E696" s="275" t="s">
        <v>1017</v>
      </c>
      <c r="F696" s="279"/>
      <c r="G696" s="278" t="str">
        <f>IFNA(IF(VLOOKUP(RC_OUT[BLOCK],RC_IN[[BLOCK]:[BLOCK LOC]],2,FALSE)=0,"",VLOOKUP(RC_OUT[BLOCK],RC_IN[[BLOCK]:[BLOCK LOC]],2,FALSE)),"")</f>
        <v/>
      </c>
      <c r="I696" s="263" t="str">
        <f>IFERROR(AVERAGEIFS(RC_IN[MC],RC_IN[BLOCK],RC_OUT[BLOCK]),"")</f>
        <v/>
      </c>
      <c r="J696" s="264">
        <f t="shared" si="1"/>
        <v>0</v>
      </c>
      <c r="K696" s="246"/>
      <c r="L696" s="246"/>
      <c r="M696" s="249" t="str">
        <f t="shared" si="2"/>
        <v/>
      </c>
      <c r="N696" s="266">
        <f t="shared" si="3"/>
        <v>0</v>
      </c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</row>
    <row r="697">
      <c r="A697" s="273">
        <v>45793.0</v>
      </c>
      <c r="B697" s="275" t="s">
        <v>1215</v>
      </c>
      <c r="C697" s="275" t="s">
        <v>1223</v>
      </c>
      <c r="D697" s="276">
        <v>9723.0</v>
      </c>
      <c r="E697" s="275" t="s">
        <v>1017</v>
      </c>
      <c r="F697" s="277" t="s">
        <v>1059</v>
      </c>
      <c r="G697" s="278" t="str">
        <f>IFNA(IF(VLOOKUP(RC_OUT[BLOCK],RC_IN[[BLOCK]:[BLOCK LOC]],2,FALSE)=0,"",VLOOKUP(RC_OUT[BLOCK],RC_IN[[BLOCK]:[BLOCK LOC]],2,FALSE)),"")</f>
        <v/>
      </c>
      <c r="I697" s="263" t="str">
        <f>IFERROR(AVERAGEIFS(RC_IN[MC],RC_IN[BLOCK],RC_OUT[BLOCK]),"")</f>
        <v/>
      </c>
      <c r="J697" s="264">
        <f t="shared" si="1"/>
        <v>0</v>
      </c>
      <c r="K697" s="246"/>
      <c r="L697" s="246"/>
      <c r="M697" s="249" t="str">
        <f t="shared" si="2"/>
        <v/>
      </c>
      <c r="N697" s="266">
        <f t="shared" si="3"/>
        <v>0</v>
      </c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</row>
    <row r="698">
      <c r="A698" s="273">
        <v>45793.0</v>
      </c>
      <c r="B698" s="275" t="s">
        <v>1215</v>
      </c>
      <c r="C698" s="275" t="s">
        <v>1224</v>
      </c>
      <c r="D698" s="276">
        <v>800.0</v>
      </c>
      <c r="E698" s="275" t="s">
        <v>1017</v>
      </c>
      <c r="F698" s="279"/>
      <c r="G698" s="278" t="str">
        <f>IFNA(IF(VLOOKUP(RC_OUT[BLOCK],RC_IN[[BLOCK]:[BLOCK LOC]],2,FALSE)=0,"",VLOOKUP(RC_OUT[BLOCK],RC_IN[[BLOCK]:[BLOCK LOC]],2,FALSE)),"")</f>
        <v/>
      </c>
      <c r="I698" s="263" t="str">
        <f>IFERROR(AVERAGEIFS(RC_IN[MC],RC_IN[BLOCK],RC_OUT[BLOCK]),"")</f>
        <v/>
      </c>
      <c r="J698" s="264">
        <f t="shared" si="1"/>
        <v>0</v>
      </c>
      <c r="K698" s="246"/>
      <c r="L698" s="246"/>
      <c r="M698" s="249" t="str">
        <f t="shared" si="2"/>
        <v/>
      </c>
      <c r="N698" s="266">
        <f t="shared" si="3"/>
        <v>0</v>
      </c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</row>
    <row r="699">
      <c r="A699" s="273">
        <v>45793.0</v>
      </c>
      <c r="B699" s="275" t="s">
        <v>1215</v>
      </c>
      <c r="C699" s="275" t="s">
        <v>1222</v>
      </c>
      <c r="D699" s="276">
        <v>11188.0</v>
      </c>
      <c r="E699" s="275" t="s">
        <v>1017</v>
      </c>
      <c r="F699" s="279"/>
      <c r="G699" s="278" t="str">
        <f>IFNA(IF(VLOOKUP(RC_OUT[BLOCK],RC_IN[[BLOCK]:[BLOCK LOC]],2,FALSE)=0,"",VLOOKUP(RC_OUT[BLOCK],RC_IN[[BLOCK]:[BLOCK LOC]],2,FALSE)),"")</f>
        <v/>
      </c>
      <c r="I699" s="263" t="str">
        <f>IFERROR(AVERAGEIFS(RC_IN[MC],RC_IN[BLOCK],RC_OUT[BLOCK]),"")</f>
        <v/>
      </c>
      <c r="J699" s="264">
        <f t="shared" si="1"/>
        <v>0</v>
      </c>
      <c r="K699" s="246"/>
      <c r="L699" s="246"/>
      <c r="M699" s="249" t="str">
        <f t="shared" si="2"/>
        <v/>
      </c>
      <c r="N699" s="266">
        <f t="shared" si="3"/>
        <v>0</v>
      </c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</row>
    <row r="700">
      <c r="A700" s="273">
        <v>45794.0</v>
      </c>
      <c r="B700" s="275" t="s">
        <v>1215</v>
      </c>
      <c r="C700" s="275" t="s">
        <v>1225</v>
      </c>
      <c r="D700" s="276">
        <v>530.0</v>
      </c>
      <c r="E700" s="275" t="s">
        <v>1017</v>
      </c>
      <c r="F700" s="277" t="s">
        <v>1059</v>
      </c>
      <c r="G700" s="278" t="str">
        <f>IFNA(IF(VLOOKUP(RC_OUT[BLOCK],RC_IN[[BLOCK]:[BLOCK LOC]],2,FALSE)=0,"",VLOOKUP(RC_OUT[BLOCK],RC_IN[[BLOCK]:[BLOCK LOC]],2,FALSE)),"")</f>
        <v/>
      </c>
      <c r="I700" s="263" t="str">
        <f>IFERROR(AVERAGEIFS(RC_IN[MC],RC_IN[BLOCK],RC_OUT[BLOCK]),"")</f>
        <v/>
      </c>
      <c r="J700" s="264">
        <f t="shared" si="1"/>
        <v>0</v>
      </c>
      <c r="K700" s="246"/>
      <c r="L700" s="246"/>
      <c r="M700" s="249" t="str">
        <f t="shared" si="2"/>
        <v/>
      </c>
      <c r="N700" s="266">
        <f t="shared" si="3"/>
        <v>0</v>
      </c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</row>
    <row r="701">
      <c r="A701" s="273">
        <v>45794.0</v>
      </c>
      <c r="B701" s="275" t="s">
        <v>1215</v>
      </c>
      <c r="C701" s="275" t="s">
        <v>1226</v>
      </c>
      <c r="D701" s="276">
        <v>15865.0</v>
      </c>
      <c r="E701" s="275" t="s">
        <v>1017</v>
      </c>
      <c r="F701" s="277" t="s">
        <v>1059</v>
      </c>
      <c r="G701" s="278" t="str">
        <f>IFNA(IF(VLOOKUP(RC_OUT[BLOCK],RC_IN[[BLOCK]:[BLOCK LOC]],2,FALSE)=0,"",VLOOKUP(RC_OUT[BLOCK],RC_IN[[BLOCK]:[BLOCK LOC]],2,FALSE)),"")</f>
        <v/>
      </c>
      <c r="I701" s="263" t="str">
        <f>IFERROR(AVERAGEIFS(RC_IN[MC],RC_IN[BLOCK],RC_OUT[BLOCK]),"")</f>
        <v/>
      </c>
      <c r="J701" s="264">
        <f t="shared" si="1"/>
        <v>0</v>
      </c>
      <c r="K701" s="246"/>
      <c r="L701" s="246"/>
      <c r="M701" s="249" t="str">
        <f t="shared" si="2"/>
        <v/>
      </c>
      <c r="N701" s="266">
        <f t="shared" si="3"/>
        <v>0</v>
      </c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</row>
    <row r="702">
      <c r="A702" s="273">
        <v>45794.0</v>
      </c>
      <c r="B702" s="275" t="s">
        <v>1215</v>
      </c>
      <c r="C702" s="275" t="s">
        <v>1224</v>
      </c>
      <c r="D702" s="276">
        <v>16000.0</v>
      </c>
      <c r="E702" s="275" t="s">
        <v>1017</v>
      </c>
      <c r="F702" s="279"/>
      <c r="G702" s="278" t="str">
        <f>IFNA(IF(VLOOKUP(RC_OUT[BLOCK],RC_IN[[BLOCK]:[BLOCK LOC]],2,FALSE)=0,"",VLOOKUP(RC_OUT[BLOCK],RC_IN[[BLOCK]:[BLOCK LOC]],2,FALSE)),"")</f>
        <v/>
      </c>
      <c r="I702" s="263" t="str">
        <f>IFERROR(AVERAGEIFS(RC_IN[MC],RC_IN[BLOCK],RC_OUT[BLOCK]),"")</f>
        <v/>
      </c>
      <c r="J702" s="264">
        <f t="shared" si="1"/>
        <v>0</v>
      </c>
      <c r="K702" s="246"/>
      <c r="L702" s="246"/>
      <c r="M702" s="249" t="str">
        <f t="shared" si="2"/>
        <v/>
      </c>
      <c r="N702" s="266">
        <f t="shared" si="3"/>
        <v>0</v>
      </c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</row>
    <row r="703">
      <c r="A703" s="273">
        <v>45794.0</v>
      </c>
      <c r="B703" s="275" t="s">
        <v>1215</v>
      </c>
      <c r="C703" s="275" t="s">
        <v>1227</v>
      </c>
      <c r="D703" s="276">
        <v>17078.0</v>
      </c>
      <c r="E703" s="275" t="s">
        <v>1017</v>
      </c>
      <c r="F703" s="279"/>
      <c r="G703" s="278" t="str">
        <f>IFNA(IF(VLOOKUP(RC_OUT[BLOCK],RC_IN[[BLOCK]:[BLOCK LOC]],2,FALSE)=0,"",VLOOKUP(RC_OUT[BLOCK],RC_IN[[BLOCK]:[BLOCK LOC]],2,FALSE)),"")</f>
        <v/>
      </c>
      <c r="I703" s="263" t="str">
        <f>IFERROR(AVERAGEIFS(RC_IN[MC],RC_IN[BLOCK],RC_OUT[BLOCK]),"")</f>
        <v/>
      </c>
      <c r="J703" s="264">
        <f t="shared" si="1"/>
        <v>0</v>
      </c>
      <c r="K703" s="246"/>
      <c r="L703" s="246"/>
      <c r="M703" s="249" t="str">
        <f t="shared" si="2"/>
        <v/>
      </c>
      <c r="N703" s="266">
        <f t="shared" si="3"/>
        <v>0</v>
      </c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</row>
    <row r="704">
      <c r="A704" s="273">
        <v>45794.0</v>
      </c>
      <c r="B704" s="275" t="s">
        <v>1215</v>
      </c>
      <c r="C704" s="275" t="s">
        <v>1222</v>
      </c>
      <c r="D704" s="276">
        <v>4184.0</v>
      </c>
      <c r="E704" s="275" t="s">
        <v>1017</v>
      </c>
      <c r="F704" s="277" t="s">
        <v>1059</v>
      </c>
      <c r="G704" s="278" t="str">
        <f>IFNA(IF(VLOOKUP(RC_OUT[BLOCK],RC_IN[[BLOCK]:[BLOCK LOC]],2,FALSE)=0,"",VLOOKUP(RC_OUT[BLOCK],RC_IN[[BLOCK]:[BLOCK LOC]],2,FALSE)),"")</f>
        <v/>
      </c>
      <c r="I704" s="263" t="str">
        <f>IFERROR(AVERAGEIFS(RC_IN[MC],RC_IN[BLOCK],RC_OUT[BLOCK]),"")</f>
        <v/>
      </c>
      <c r="J704" s="264">
        <f t="shared" si="1"/>
        <v>0</v>
      </c>
      <c r="K704" s="246"/>
      <c r="L704" s="246"/>
      <c r="M704" s="249" t="str">
        <f t="shared" si="2"/>
        <v/>
      </c>
      <c r="N704" s="266">
        <f t="shared" si="3"/>
        <v>0</v>
      </c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</row>
    <row r="705">
      <c r="A705" s="273">
        <v>45796.0</v>
      </c>
      <c r="B705" s="275" t="s">
        <v>1215</v>
      </c>
      <c r="C705" s="275" t="s">
        <v>1228</v>
      </c>
      <c r="D705" s="276">
        <v>2699.0</v>
      </c>
      <c r="E705" s="275" t="s">
        <v>1017</v>
      </c>
      <c r="F705" s="279"/>
      <c r="G705" s="278" t="str">
        <f>IFNA(IF(VLOOKUP(RC_OUT[BLOCK],RC_IN[[BLOCK]:[BLOCK LOC]],2,FALSE)=0,"",VLOOKUP(RC_OUT[BLOCK],RC_IN[[BLOCK]:[BLOCK LOC]],2,FALSE)),"")</f>
        <v/>
      </c>
      <c r="I705" s="263" t="str">
        <f>IFERROR(AVERAGEIFS(RC_IN[MC],RC_IN[BLOCK],RC_OUT[BLOCK]),"")</f>
        <v/>
      </c>
      <c r="J705" s="264">
        <f t="shared" si="1"/>
        <v>0</v>
      </c>
      <c r="K705" s="246"/>
      <c r="L705" s="246"/>
      <c r="M705" s="249" t="str">
        <f t="shared" si="2"/>
        <v/>
      </c>
      <c r="N705" s="266">
        <f t="shared" si="3"/>
        <v>0</v>
      </c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</row>
    <row r="706">
      <c r="A706" s="273">
        <v>45796.0</v>
      </c>
      <c r="B706" s="275" t="s">
        <v>1215</v>
      </c>
      <c r="C706" s="275" t="s">
        <v>1229</v>
      </c>
      <c r="D706" s="276">
        <v>2834.0</v>
      </c>
      <c r="E706" s="275" t="s">
        <v>1017</v>
      </c>
      <c r="F706" s="279"/>
      <c r="G706" s="278" t="str">
        <f>IFNA(IF(VLOOKUP(RC_OUT[BLOCK],RC_IN[[BLOCK]:[BLOCK LOC]],2,FALSE)=0,"",VLOOKUP(RC_OUT[BLOCK],RC_IN[[BLOCK]:[BLOCK LOC]],2,FALSE)),"")</f>
        <v/>
      </c>
      <c r="I706" s="263" t="str">
        <f>IFERROR(AVERAGEIFS(RC_IN[MC],RC_IN[BLOCK],RC_OUT[BLOCK]),"")</f>
        <v/>
      </c>
      <c r="J706" s="264">
        <f t="shared" si="1"/>
        <v>0</v>
      </c>
      <c r="K706" s="246"/>
      <c r="L706" s="246"/>
      <c r="M706" s="249" t="str">
        <f t="shared" si="2"/>
        <v/>
      </c>
      <c r="N706" s="266">
        <f t="shared" si="3"/>
        <v>0</v>
      </c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</row>
    <row r="707">
      <c r="A707" s="273">
        <v>45796.0</v>
      </c>
      <c r="B707" s="275" t="s">
        <v>1215</v>
      </c>
      <c r="C707" s="275" t="s">
        <v>1224</v>
      </c>
      <c r="D707" s="276">
        <v>2220.0</v>
      </c>
      <c r="E707" s="275" t="s">
        <v>1017</v>
      </c>
      <c r="F707" s="277" t="s">
        <v>1059</v>
      </c>
      <c r="G707" s="278" t="str">
        <f>IFNA(IF(VLOOKUP(RC_OUT[BLOCK],RC_IN[[BLOCK]:[BLOCK LOC]],2,FALSE)=0,"",VLOOKUP(RC_OUT[BLOCK],RC_IN[[BLOCK]:[BLOCK LOC]],2,FALSE)),"")</f>
        <v/>
      </c>
      <c r="I707" s="263" t="str">
        <f>IFERROR(AVERAGEIFS(RC_IN[MC],RC_IN[BLOCK],RC_OUT[BLOCK]),"")</f>
        <v/>
      </c>
      <c r="J707" s="264">
        <f t="shared" si="1"/>
        <v>0</v>
      </c>
      <c r="K707" s="246"/>
      <c r="L707" s="246"/>
      <c r="M707" s="249" t="str">
        <f t="shared" si="2"/>
        <v/>
      </c>
      <c r="N707" s="266">
        <f t="shared" si="3"/>
        <v>0</v>
      </c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</row>
    <row r="708">
      <c r="A708" s="273">
        <v>45796.0</v>
      </c>
      <c r="B708" s="275" t="s">
        <v>1215</v>
      </c>
      <c r="C708" s="275" t="s">
        <v>1227</v>
      </c>
      <c r="D708" s="276">
        <v>13609.0</v>
      </c>
      <c r="E708" s="275" t="s">
        <v>1017</v>
      </c>
      <c r="F708" s="279"/>
      <c r="G708" s="278" t="str">
        <f>IFNA(IF(VLOOKUP(RC_OUT[BLOCK],RC_IN[[BLOCK]:[BLOCK LOC]],2,FALSE)=0,"",VLOOKUP(RC_OUT[BLOCK],RC_IN[[BLOCK]:[BLOCK LOC]],2,FALSE)),"")</f>
        <v/>
      </c>
      <c r="I708" s="263" t="str">
        <f>IFERROR(AVERAGEIFS(RC_IN[MC],RC_IN[BLOCK],RC_OUT[BLOCK]),"")</f>
        <v/>
      </c>
      <c r="J708" s="264">
        <f t="shared" si="1"/>
        <v>0</v>
      </c>
      <c r="K708" s="246"/>
      <c r="L708" s="246"/>
      <c r="M708" s="249" t="str">
        <f t="shared" si="2"/>
        <v/>
      </c>
      <c r="N708" s="266">
        <f t="shared" si="3"/>
        <v>0</v>
      </c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</row>
    <row r="709">
      <c r="A709" s="273">
        <v>45796.0</v>
      </c>
      <c r="B709" s="275" t="s">
        <v>1215</v>
      </c>
      <c r="C709" s="275" t="s">
        <v>1230</v>
      </c>
      <c r="D709" s="276">
        <v>11340.0</v>
      </c>
      <c r="E709" s="275" t="s">
        <v>1017</v>
      </c>
      <c r="F709" s="277" t="s">
        <v>1059</v>
      </c>
      <c r="G709" s="278" t="str">
        <f>IFNA(IF(VLOOKUP(RC_OUT[BLOCK],RC_IN[[BLOCK]:[BLOCK LOC]],2,FALSE)=0,"",VLOOKUP(RC_OUT[BLOCK],RC_IN[[BLOCK]:[BLOCK LOC]],2,FALSE)),"")</f>
        <v/>
      </c>
      <c r="I709" s="263" t="str">
        <f>IFERROR(AVERAGEIFS(RC_IN[MC],RC_IN[BLOCK],RC_OUT[BLOCK]),"")</f>
        <v/>
      </c>
      <c r="J709" s="264">
        <f t="shared" si="1"/>
        <v>0</v>
      </c>
      <c r="K709" s="246"/>
      <c r="L709" s="246"/>
      <c r="M709" s="249" t="str">
        <f t="shared" si="2"/>
        <v/>
      </c>
      <c r="N709" s="266">
        <f t="shared" si="3"/>
        <v>0</v>
      </c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</row>
    <row r="710">
      <c r="A710" s="273">
        <v>45797.0</v>
      </c>
      <c r="B710" s="275" t="s">
        <v>1215</v>
      </c>
      <c r="C710" s="275" t="s">
        <v>1228</v>
      </c>
      <c r="D710" s="276">
        <v>12706.0</v>
      </c>
      <c r="E710" s="275" t="s">
        <v>1017</v>
      </c>
      <c r="F710" s="279"/>
      <c r="G710" s="278" t="str">
        <f>IFNA(IF(VLOOKUP(RC_OUT[BLOCK],RC_IN[[BLOCK]:[BLOCK LOC]],2,FALSE)=0,"",VLOOKUP(RC_OUT[BLOCK],RC_IN[[BLOCK]:[BLOCK LOC]],2,FALSE)),"")</f>
        <v/>
      </c>
      <c r="I710" s="263" t="str">
        <f>IFERROR(AVERAGEIFS(RC_IN[MC],RC_IN[BLOCK],RC_OUT[BLOCK]),"")</f>
        <v/>
      </c>
      <c r="J710" s="264">
        <f t="shared" si="1"/>
        <v>0</v>
      </c>
      <c r="K710" s="246"/>
      <c r="L710" s="246"/>
      <c r="M710" s="249" t="str">
        <f t="shared" si="2"/>
        <v/>
      </c>
      <c r="N710" s="266">
        <f t="shared" si="3"/>
        <v>0</v>
      </c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</row>
    <row r="711">
      <c r="A711" s="273">
        <v>45797.0</v>
      </c>
      <c r="B711" s="275" t="s">
        <v>1215</v>
      </c>
      <c r="C711" s="275" t="s">
        <v>1229</v>
      </c>
      <c r="D711" s="276">
        <v>6095.0</v>
      </c>
      <c r="E711" s="275" t="s">
        <v>1017</v>
      </c>
      <c r="F711" s="279"/>
      <c r="G711" s="278" t="str">
        <f>IFNA(IF(VLOOKUP(RC_OUT[BLOCK],RC_IN[[BLOCK]:[BLOCK LOC]],2,FALSE)=0,"",VLOOKUP(RC_OUT[BLOCK],RC_IN[[BLOCK]:[BLOCK LOC]],2,FALSE)),"")</f>
        <v/>
      </c>
      <c r="I711" s="263" t="str">
        <f>IFERROR(AVERAGEIFS(RC_IN[MC],RC_IN[BLOCK],RC_OUT[BLOCK]),"")</f>
        <v/>
      </c>
      <c r="J711" s="264">
        <f t="shared" si="1"/>
        <v>0</v>
      </c>
      <c r="K711" s="246"/>
      <c r="L711" s="246"/>
      <c r="M711" s="249" t="str">
        <f t="shared" si="2"/>
        <v/>
      </c>
      <c r="N711" s="266">
        <f t="shared" si="3"/>
        <v>0</v>
      </c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</row>
    <row r="712">
      <c r="A712" s="273">
        <v>45797.0</v>
      </c>
      <c r="B712" s="275" t="s">
        <v>1215</v>
      </c>
      <c r="C712" s="275" t="s">
        <v>1231</v>
      </c>
      <c r="D712" s="276">
        <v>3000.0</v>
      </c>
      <c r="E712" s="275" t="s">
        <v>1017</v>
      </c>
      <c r="F712" s="279"/>
      <c r="G712" s="278" t="str">
        <f>IFNA(IF(VLOOKUP(RC_OUT[BLOCK],RC_IN[[BLOCK]:[BLOCK LOC]],2,FALSE)=0,"",VLOOKUP(RC_OUT[BLOCK],RC_IN[[BLOCK]:[BLOCK LOC]],2,FALSE)),"")</f>
        <v/>
      </c>
      <c r="I712" s="263" t="str">
        <f>IFERROR(AVERAGEIFS(RC_IN[MC],RC_IN[BLOCK],RC_OUT[BLOCK]),"")</f>
        <v/>
      </c>
      <c r="J712" s="264">
        <f t="shared" si="1"/>
        <v>0</v>
      </c>
      <c r="K712" s="246"/>
      <c r="L712" s="246"/>
      <c r="M712" s="249" t="str">
        <f t="shared" si="2"/>
        <v/>
      </c>
      <c r="N712" s="266">
        <f t="shared" si="3"/>
        <v>0</v>
      </c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</row>
    <row r="713">
      <c r="A713" s="273">
        <v>45797.0</v>
      </c>
      <c r="B713" s="275" t="s">
        <v>1215</v>
      </c>
      <c r="C713" s="275" t="s">
        <v>1227</v>
      </c>
      <c r="D713" s="276">
        <v>11329.0</v>
      </c>
      <c r="E713" s="275" t="s">
        <v>1017</v>
      </c>
      <c r="F713" s="279"/>
      <c r="G713" s="278" t="str">
        <f>IFNA(IF(VLOOKUP(RC_OUT[BLOCK],RC_IN[[BLOCK]:[BLOCK LOC]],2,FALSE)=0,"",VLOOKUP(RC_OUT[BLOCK],RC_IN[[BLOCK]:[BLOCK LOC]],2,FALSE)),"")</f>
        <v/>
      </c>
      <c r="I713" s="263" t="str">
        <f>IFERROR(AVERAGEIFS(RC_IN[MC],RC_IN[BLOCK],RC_OUT[BLOCK]),"")</f>
        <v/>
      </c>
      <c r="J713" s="264">
        <f t="shared" si="1"/>
        <v>0</v>
      </c>
      <c r="K713" s="246"/>
      <c r="L713" s="246"/>
      <c r="M713" s="249" t="str">
        <f t="shared" si="2"/>
        <v/>
      </c>
      <c r="N713" s="266">
        <f t="shared" si="3"/>
        <v>0</v>
      </c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</row>
    <row r="714">
      <c r="A714" s="273">
        <v>45798.0</v>
      </c>
      <c r="B714" s="275" t="s">
        <v>1215</v>
      </c>
      <c r="C714" s="275" t="s">
        <v>1228</v>
      </c>
      <c r="D714" s="276">
        <v>8658.0</v>
      </c>
      <c r="E714" s="275" t="s">
        <v>1017</v>
      </c>
      <c r="F714" s="279"/>
      <c r="G714" s="278" t="str">
        <f>IFNA(IF(VLOOKUP(RC_OUT[BLOCK],RC_IN[[BLOCK]:[BLOCK LOC]],2,FALSE)=0,"",VLOOKUP(RC_OUT[BLOCK],RC_IN[[BLOCK]:[BLOCK LOC]],2,FALSE)),"")</f>
        <v/>
      </c>
      <c r="I714" s="263" t="str">
        <f>IFERROR(AVERAGEIFS(RC_IN[MC],RC_IN[BLOCK],RC_OUT[BLOCK]),"")</f>
        <v/>
      </c>
      <c r="J714" s="264">
        <f t="shared" si="1"/>
        <v>0</v>
      </c>
      <c r="K714" s="246"/>
      <c r="L714" s="246"/>
      <c r="M714" s="249" t="str">
        <f t="shared" si="2"/>
        <v/>
      </c>
      <c r="N714" s="266">
        <f t="shared" si="3"/>
        <v>0</v>
      </c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</row>
    <row r="715">
      <c r="A715" s="273">
        <v>45798.0</v>
      </c>
      <c r="B715" s="275" t="s">
        <v>1215</v>
      </c>
      <c r="C715" s="275" t="s">
        <v>1229</v>
      </c>
      <c r="D715" s="276">
        <v>5503.0</v>
      </c>
      <c r="E715" s="275" t="s">
        <v>1017</v>
      </c>
      <c r="F715" s="279"/>
      <c r="G715" s="278" t="str">
        <f>IFNA(IF(VLOOKUP(RC_OUT[BLOCK],RC_IN[[BLOCK]:[BLOCK LOC]],2,FALSE)=0,"",VLOOKUP(RC_OUT[BLOCK],RC_IN[[BLOCK]:[BLOCK LOC]],2,FALSE)),"")</f>
        <v/>
      </c>
      <c r="I715" s="263" t="str">
        <f>IFERROR(AVERAGEIFS(RC_IN[MC],RC_IN[BLOCK],RC_OUT[BLOCK]),"")</f>
        <v/>
      </c>
      <c r="J715" s="264">
        <f t="shared" si="1"/>
        <v>0</v>
      </c>
      <c r="K715" s="246"/>
      <c r="L715" s="246"/>
      <c r="M715" s="249" t="str">
        <f t="shared" si="2"/>
        <v/>
      </c>
      <c r="N715" s="266">
        <f t="shared" si="3"/>
        <v>0</v>
      </c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</row>
    <row r="716">
      <c r="A716" s="273">
        <v>45798.0</v>
      </c>
      <c r="B716" s="275" t="s">
        <v>1215</v>
      </c>
      <c r="C716" s="275" t="s">
        <v>1231</v>
      </c>
      <c r="D716" s="276">
        <v>8000.0</v>
      </c>
      <c r="E716" s="275" t="s">
        <v>1017</v>
      </c>
      <c r="F716" s="279"/>
      <c r="G716" s="278" t="str">
        <f>IFNA(IF(VLOOKUP(RC_OUT[BLOCK],RC_IN[[BLOCK]:[BLOCK LOC]],2,FALSE)=0,"",VLOOKUP(RC_OUT[BLOCK],RC_IN[[BLOCK]:[BLOCK LOC]],2,FALSE)),"")</f>
        <v/>
      </c>
      <c r="I716" s="263" t="str">
        <f>IFERROR(AVERAGEIFS(RC_IN[MC],RC_IN[BLOCK],RC_OUT[BLOCK]),"")</f>
        <v/>
      </c>
      <c r="J716" s="264">
        <f t="shared" si="1"/>
        <v>0</v>
      </c>
      <c r="K716" s="246"/>
      <c r="L716" s="246"/>
      <c r="M716" s="249" t="str">
        <f t="shared" si="2"/>
        <v/>
      </c>
      <c r="N716" s="266">
        <f t="shared" si="3"/>
        <v>0</v>
      </c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</row>
    <row r="717">
      <c r="A717" s="273">
        <v>45798.0</v>
      </c>
      <c r="B717" s="275" t="s">
        <v>1215</v>
      </c>
      <c r="C717" s="275" t="s">
        <v>1227</v>
      </c>
      <c r="D717" s="276">
        <v>9447.0</v>
      </c>
      <c r="E717" s="275" t="s">
        <v>1017</v>
      </c>
      <c r="F717" s="279"/>
      <c r="G717" s="278" t="str">
        <f>IFNA(IF(VLOOKUP(RC_OUT[BLOCK],RC_IN[[BLOCK]:[BLOCK LOC]],2,FALSE)=0,"",VLOOKUP(RC_OUT[BLOCK],RC_IN[[BLOCK]:[BLOCK LOC]],2,FALSE)),"")</f>
        <v/>
      </c>
      <c r="I717" s="263" t="str">
        <f>IFERROR(AVERAGEIFS(RC_IN[MC],RC_IN[BLOCK],RC_OUT[BLOCK]),"")</f>
        <v/>
      </c>
      <c r="J717" s="264">
        <f t="shared" si="1"/>
        <v>0</v>
      </c>
      <c r="K717" s="246"/>
      <c r="L717" s="246"/>
      <c r="M717" s="249" t="str">
        <f t="shared" si="2"/>
        <v/>
      </c>
      <c r="N717" s="266">
        <f t="shared" si="3"/>
        <v>0</v>
      </c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</row>
    <row r="718">
      <c r="A718" s="273">
        <v>45799.0</v>
      </c>
      <c r="B718" s="275" t="s">
        <v>1215</v>
      </c>
      <c r="C718" s="275" t="s">
        <v>1228</v>
      </c>
      <c r="D718" s="276">
        <v>11370.0</v>
      </c>
      <c r="E718" s="275" t="s">
        <v>1017</v>
      </c>
      <c r="F718" s="279"/>
      <c r="G718" s="278" t="str">
        <f>IFNA(IF(VLOOKUP(RC_OUT[BLOCK],RC_IN[[BLOCK]:[BLOCK LOC]],2,FALSE)=0,"",VLOOKUP(RC_OUT[BLOCK],RC_IN[[BLOCK]:[BLOCK LOC]],2,FALSE)),"")</f>
        <v/>
      </c>
      <c r="I718" s="263" t="str">
        <f>IFERROR(AVERAGEIFS(RC_IN[MC],RC_IN[BLOCK],RC_OUT[BLOCK]),"")</f>
        <v/>
      </c>
      <c r="J718" s="264">
        <f t="shared" si="1"/>
        <v>0</v>
      </c>
      <c r="K718" s="246"/>
      <c r="L718" s="246"/>
      <c r="M718" s="249" t="str">
        <f t="shared" si="2"/>
        <v/>
      </c>
      <c r="N718" s="266">
        <f t="shared" si="3"/>
        <v>0</v>
      </c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</row>
    <row r="719">
      <c r="A719" s="273">
        <v>45799.0</v>
      </c>
      <c r="B719" s="275" t="s">
        <v>1215</v>
      </c>
      <c r="C719" s="275" t="s">
        <v>1229</v>
      </c>
      <c r="D719" s="276">
        <v>6339.0</v>
      </c>
      <c r="E719" s="275" t="s">
        <v>1017</v>
      </c>
      <c r="F719" s="279"/>
      <c r="G719" s="278" t="str">
        <f>IFNA(IF(VLOOKUP(RC_OUT[BLOCK],RC_IN[[BLOCK]:[BLOCK LOC]],2,FALSE)=0,"",VLOOKUP(RC_OUT[BLOCK],RC_IN[[BLOCK]:[BLOCK LOC]],2,FALSE)),"")</f>
        <v/>
      </c>
      <c r="I719" s="263" t="str">
        <f>IFERROR(AVERAGEIFS(RC_IN[MC],RC_IN[BLOCK],RC_OUT[BLOCK]),"")</f>
        <v/>
      </c>
      <c r="J719" s="264">
        <f t="shared" si="1"/>
        <v>0</v>
      </c>
      <c r="K719" s="246"/>
      <c r="L719" s="246"/>
      <c r="M719" s="249" t="str">
        <f t="shared" si="2"/>
        <v/>
      </c>
      <c r="N719" s="266">
        <f t="shared" si="3"/>
        <v>0</v>
      </c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</row>
    <row r="720">
      <c r="A720" s="273">
        <v>45799.0</v>
      </c>
      <c r="B720" s="275" t="s">
        <v>1215</v>
      </c>
      <c r="C720" s="275" t="s">
        <v>1231</v>
      </c>
      <c r="D720" s="276">
        <v>7610.0</v>
      </c>
      <c r="E720" s="275" t="s">
        <v>1017</v>
      </c>
      <c r="F720" s="277" t="s">
        <v>1059</v>
      </c>
      <c r="G720" s="278" t="str">
        <f>IFNA(IF(VLOOKUP(RC_OUT[BLOCK],RC_IN[[BLOCK]:[BLOCK LOC]],2,FALSE)=0,"",VLOOKUP(RC_OUT[BLOCK],RC_IN[[BLOCK]:[BLOCK LOC]],2,FALSE)),"")</f>
        <v/>
      </c>
      <c r="I720" s="263" t="str">
        <f>IFERROR(AVERAGEIFS(RC_IN[MC],RC_IN[BLOCK],RC_OUT[BLOCK]),"")</f>
        <v/>
      </c>
      <c r="J720" s="264">
        <f t="shared" si="1"/>
        <v>0</v>
      </c>
      <c r="K720" s="246"/>
      <c r="L720" s="246"/>
      <c r="M720" s="249" t="str">
        <f t="shared" si="2"/>
        <v/>
      </c>
      <c r="N720" s="266">
        <f t="shared" si="3"/>
        <v>0</v>
      </c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</row>
    <row r="721">
      <c r="A721" s="273">
        <v>45799.0</v>
      </c>
      <c r="B721" s="275" t="s">
        <v>1215</v>
      </c>
      <c r="C721" s="275" t="s">
        <v>1232</v>
      </c>
      <c r="D721" s="276">
        <v>3820.0</v>
      </c>
      <c r="E721" s="275" t="s">
        <v>1017</v>
      </c>
      <c r="F721" s="279"/>
      <c r="G721" s="278" t="str">
        <f>IFNA(IF(VLOOKUP(RC_OUT[BLOCK],RC_IN[[BLOCK]:[BLOCK LOC]],2,FALSE)=0,"",VLOOKUP(RC_OUT[BLOCK],RC_IN[[BLOCK]:[BLOCK LOC]],2,FALSE)),"")</f>
        <v/>
      </c>
      <c r="I721" s="263" t="str">
        <f>IFERROR(AVERAGEIFS(RC_IN[MC],RC_IN[BLOCK],RC_OUT[BLOCK]),"")</f>
        <v/>
      </c>
      <c r="J721" s="264">
        <f t="shared" si="1"/>
        <v>0</v>
      </c>
      <c r="K721" s="246"/>
      <c r="L721" s="246"/>
      <c r="M721" s="249" t="str">
        <f t="shared" si="2"/>
        <v/>
      </c>
      <c r="N721" s="266">
        <f t="shared" si="3"/>
        <v>0</v>
      </c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</row>
    <row r="722">
      <c r="A722" s="273">
        <v>45799.0</v>
      </c>
      <c r="B722" s="275" t="s">
        <v>1215</v>
      </c>
      <c r="C722" s="275" t="s">
        <v>1227</v>
      </c>
      <c r="D722" s="276">
        <v>7278.0</v>
      </c>
      <c r="E722" s="275" t="s">
        <v>1017</v>
      </c>
      <c r="F722" s="277" t="s">
        <v>1059</v>
      </c>
      <c r="G722" s="278" t="str">
        <f>IFNA(IF(VLOOKUP(RC_OUT[BLOCK],RC_IN[[BLOCK]:[BLOCK LOC]],2,FALSE)=0,"",VLOOKUP(RC_OUT[BLOCK],RC_IN[[BLOCK]:[BLOCK LOC]],2,FALSE)),"")</f>
        <v/>
      </c>
      <c r="I722" s="263" t="str">
        <f>IFERROR(AVERAGEIFS(RC_IN[MC],RC_IN[BLOCK],RC_OUT[BLOCK]),"")</f>
        <v/>
      </c>
      <c r="J722" s="264">
        <f t="shared" si="1"/>
        <v>0</v>
      </c>
      <c r="K722" s="246"/>
      <c r="L722" s="246"/>
      <c r="M722" s="249" t="str">
        <f t="shared" si="2"/>
        <v/>
      </c>
      <c r="N722" s="266">
        <f t="shared" si="3"/>
        <v>0</v>
      </c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</row>
    <row r="723">
      <c r="A723" s="273">
        <v>45800.0</v>
      </c>
      <c r="B723" s="275" t="s">
        <v>1215</v>
      </c>
      <c r="C723" s="275" t="s">
        <v>1228</v>
      </c>
      <c r="D723" s="276">
        <v>18268.0</v>
      </c>
      <c r="E723" s="275" t="s">
        <v>1017</v>
      </c>
      <c r="F723" s="279"/>
      <c r="G723" s="278" t="str">
        <f>IFNA(IF(VLOOKUP(RC_OUT[BLOCK],RC_IN[[BLOCK]:[BLOCK LOC]],2,FALSE)=0,"",VLOOKUP(RC_OUT[BLOCK],RC_IN[[BLOCK]:[BLOCK LOC]],2,FALSE)),"")</f>
        <v/>
      </c>
      <c r="I723" s="263" t="str">
        <f>IFERROR(AVERAGEIFS(RC_IN[MC],RC_IN[BLOCK],RC_OUT[BLOCK]),"")</f>
        <v/>
      </c>
      <c r="J723" s="264">
        <f t="shared" si="1"/>
        <v>0</v>
      </c>
      <c r="K723" s="246"/>
      <c r="L723" s="246"/>
      <c r="M723" s="249" t="str">
        <f t="shared" si="2"/>
        <v/>
      </c>
      <c r="N723" s="266">
        <f t="shared" si="3"/>
        <v>0</v>
      </c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</row>
    <row r="724">
      <c r="A724" s="273">
        <v>45800.0</v>
      </c>
      <c r="B724" s="275" t="s">
        <v>1215</v>
      </c>
      <c r="C724" s="275" t="s">
        <v>1229</v>
      </c>
      <c r="D724" s="276">
        <v>4659.0</v>
      </c>
      <c r="E724" s="275" t="s">
        <v>1017</v>
      </c>
      <c r="F724" s="279"/>
      <c r="G724" s="278" t="str">
        <f>IFNA(IF(VLOOKUP(RC_OUT[BLOCK],RC_IN[[BLOCK]:[BLOCK LOC]],2,FALSE)=0,"",VLOOKUP(RC_OUT[BLOCK],RC_IN[[BLOCK]:[BLOCK LOC]],2,FALSE)),"")</f>
        <v/>
      </c>
      <c r="I724" s="263" t="str">
        <f>IFERROR(AVERAGEIFS(RC_IN[MC],RC_IN[BLOCK],RC_OUT[BLOCK]),"")</f>
        <v/>
      </c>
      <c r="J724" s="264">
        <f t="shared" si="1"/>
        <v>0</v>
      </c>
      <c r="K724" s="246"/>
      <c r="L724" s="246"/>
      <c r="M724" s="249" t="str">
        <f t="shared" si="2"/>
        <v/>
      </c>
      <c r="N724" s="266">
        <f t="shared" si="3"/>
        <v>0</v>
      </c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</row>
    <row r="725">
      <c r="A725" s="273">
        <v>45800.0</v>
      </c>
      <c r="B725" s="275" t="s">
        <v>1215</v>
      </c>
      <c r="C725" s="275" t="s">
        <v>1232</v>
      </c>
      <c r="D725" s="276">
        <v>23264.0</v>
      </c>
      <c r="E725" s="275" t="s">
        <v>1017</v>
      </c>
      <c r="F725" s="279"/>
      <c r="G725" s="278" t="str">
        <f>IFNA(IF(VLOOKUP(RC_OUT[BLOCK],RC_IN[[BLOCK]:[BLOCK LOC]],2,FALSE)=0,"",VLOOKUP(RC_OUT[BLOCK],RC_IN[[BLOCK]:[BLOCK LOC]],2,FALSE)),"")</f>
        <v/>
      </c>
      <c r="I725" s="263" t="str">
        <f>IFERROR(AVERAGEIFS(RC_IN[MC],RC_IN[BLOCK],RC_OUT[BLOCK]),"")</f>
        <v/>
      </c>
      <c r="J725" s="264">
        <f t="shared" si="1"/>
        <v>0</v>
      </c>
      <c r="K725" s="246"/>
      <c r="L725" s="246"/>
      <c r="M725" s="249" t="str">
        <f t="shared" si="2"/>
        <v/>
      </c>
      <c r="N725" s="266">
        <f t="shared" si="3"/>
        <v>0</v>
      </c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</row>
    <row r="726">
      <c r="A726" s="273">
        <v>45801.0</v>
      </c>
      <c r="B726" s="275" t="s">
        <v>1215</v>
      </c>
      <c r="C726" s="275" t="s">
        <v>1228</v>
      </c>
      <c r="D726" s="276">
        <v>11780.0</v>
      </c>
      <c r="E726" s="275" t="s">
        <v>1017</v>
      </c>
      <c r="F726" s="277" t="s">
        <v>1059</v>
      </c>
      <c r="G726" s="278" t="str">
        <f>IFNA(IF(VLOOKUP(RC_OUT[BLOCK],RC_IN[[BLOCK]:[BLOCK LOC]],2,FALSE)=0,"",VLOOKUP(RC_OUT[BLOCK],RC_IN[[BLOCK]:[BLOCK LOC]],2,FALSE)),"")</f>
        <v/>
      </c>
      <c r="I726" s="263" t="str">
        <f>IFERROR(AVERAGEIFS(RC_IN[MC],RC_IN[BLOCK],RC_OUT[BLOCK]),"")</f>
        <v/>
      </c>
      <c r="J726" s="264">
        <f t="shared" si="1"/>
        <v>0</v>
      </c>
      <c r="K726" s="246"/>
      <c r="L726" s="246"/>
      <c r="M726" s="249" t="str">
        <f t="shared" si="2"/>
        <v/>
      </c>
      <c r="N726" s="266">
        <f t="shared" si="3"/>
        <v>0</v>
      </c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</row>
    <row r="727">
      <c r="A727" s="273">
        <v>45801.0</v>
      </c>
      <c r="B727" s="275" t="s">
        <v>1215</v>
      </c>
      <c r="C727" s="275" t="s">
        <v>1233</v>
      </c>
      <c r="D727" s="276">
        <v>5605.0</v>
      </c>
      <c r="E727" s="275" t="s">
        <v>1017</v>
      </c>
      <c r="F727" s="279"/>
      <c r="G727" s="278" t="str">
        <f>IFNA(IF(VLOOKUP(RC_OUT[BLOCK],RC_IN[[BLOCK]:[BLOCK LOC]],2,FALSE)=0,"",VLOOKUP(RC_OUT[BLOCK],RC_IN[[BLOCK]:[BLOCK LOC]],2,FALSE)),"")</f>
        <v/>
      </c>
      <c r="I727" s="263" t="str">
        <f>IFERROR(AVERAGEIFS(RC_IN[MC],RC_IN[BLOCK],RC_OUT[BLOCK]),"")</f>
        <v/>
      </c>
      <c r="J727" s="264">
        <f t="shared" si="1"/>
        <v>0</v>
      </c>
      <c r="K727" s="246"/>
      <c r="L727" s="246"/>
      <c r="M727" s="249" t="str">
        <f t="shared" si="2"/>
        <v/>
      </c>
      <c r="N727" s="266">
        <f t="shared" si="3"/>
        <v>0</v>
      </c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</row>
    <row r="728">
      <c r="A728" s="273">
        <v>45801.0</v>
      </c>
      <c r="B728" s="275" t="s">
        <v>1215</v>
      </c>
      <c r="C728" s="275" t="s">
        <v>1229</v>
      </c>
      <c r="D728" s="276">
        <v>4525.0</v>
      </c>
      <c r="E728" s="275" t="s">
        <v>1017</v>
      </c>
      <c r="F728" s="279"/>
      <c r="G728" s="278" t="str">
        <f>IFNA(IF(VLOOKUP(RC_OUT[BLOCK],RC_IN[[BLOCK]:[BLOCK LOC]],2,FALSE)=0,"",VLOOKUP(RC_OUT[BLOCK],RC_IN[[BLOCK]:[BLOCK LOC]],2,FALSE)),"")</f>
        <v/>
      </c>
      <c r="I728" s="263" t="str">
        <f>IFERROR(AVERAGEIFS(RC_IN[MC],RC_IN[BLOCK],RC_OUT[BLOCK]),"")</f>
        <v/>
      </c>
      <c r="J728" s="264">
        <f t="shared" si="1"/>
        <v>0</v>
      </c>
      <c r="K728" s="246"/>
      <c r="L728" s="246"/>
      <c r="M728" s="249" t="str">
        <f t="shared" si="2"/>
        <v/>
      </c>
      <c r="N728" s="266">
        <f t="shared" si="3"/>
        <v>0</v>
      </c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</row>
    <row r="729">
      <c r="A729" s="273">
        <v>45801.0</v>
      </c>
      <c r="B729" s="275" t="s">
        <v>1215</v>
      </c>
      <c r="C729" s="275" t="s">
        <v>1232</v>
      </c>
      <c r="D729" s="276">
        <v>20406.0</v>
      </c>
      <c r="E729" s="275" t="s">
        <v>1017</v>
      </c>
      <c r="F729" s="279"/>
      <c r="G729" s="278" t="str">
        <f>IFNA(IF(VLOOKUP(RC_OUT[BLOCK],RC_IN[[BLOCK]:[BLOCK LOC]],2,FALSE)=0,"",VLOOKUP(RC_OUT[BLOCK],RC_IN[[BLOCK]:[BLOCK LOC]],2,FALSE)),"")</f>
        <v/>
      </c>
      <c r="I729" s="263" t="str">
        <f>IFERROR(AVERAGEIFS(RC_IN[MC],RC_IN[BLOCK],RC_OUT[BLOCK]),"")</f>
        <v/>
      </c>
      <c r="J729" s="264">
        <f t="shared" si="1"/>
        <v>0</v>
      </c>
      <c r="K729" s="246"/>
      <c r="L729" s="246"/>
      <c r="M729" s="249" t="str">
        <f t="shared" si="2"/>
        <v/>
      </c>
      <c r="N729" s="266">
        <f t="shared" si="3"/>
        <v>0</v>
      </c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</row>
    <row r="730">
      <c r="A730" s="273">
        <v>45803.0</v>
      </c>
      <c r="B730" s="275" t="s">
        <v>1215</v>
      </c>
      <c r="C730" s="275" t="s">
        <v>1233</v>
      </c>
      <c r="D730" s="276">
        <v>10772.0</v>
      </c>
      <c r="E730" s="275" t="s">
        <v>1017</v>
      </c>
      <c r="F730" s="279"/>
      <c r="G730" s="278" t="str">
        <f>IFNA(IF(VLOOKUP(RC_OUT[BLOCK],RC_IN[[BLOCK]:[BLOCK LOC]],2,FALSE)=0,"",VLOOKUP(RC_OUT[BLOCK],RC_IN[[BLOCK]:[BLOCK LOC]],2,FALSE)),"")</f>
        <v/>
      </c>
      <c r="I730" s="263" t="str">
        <f>IFERROR(AVERAGEIFS(RC_IN[MC],RC_IN[BLOCK],RC_OUT[BLOCK]),"")</f>
        <v/>
      </c>
      <c r="J730" s="264">
        <f t="shared" si="1"/>
        <v>0</v>
      </c>
      <c r="K730" s="246"/>
      <c r="L730" s="246"/>
      <c r="M730" s="249" t="str">
        <f t="shared" si="2"/>
        <v/>
      </c>
      <c r="N730" s="266">
        <f t="shared" si="3"/>
        <v>0</v>
      </c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</row>
    <row r="731">
      <c r="A731" s="273">
        <v>45803.0</v>
      </c>
      <c r="B731" s="275" t="s">
        <v>1215</v>
      </c>
      <c r="C731" s="275" t="s">
        <v>1229</v>
      </c>
      <c r="D731" s="276">
        <v>3288.0</v>
      </c>
      <c r="E731" s="275" t="s">
        <v>1017</v>
      </c>
      <c r="F731" s="279"/>
      <c r="G731" s="278" t="str">
        <f>IFNA(IF(VLOOKUP(RC_OUT[BLOCK],RC_IN[[BLOCK]:[BLOCK LOC]],2,FALSE)=0,"",VLOOKUP(RC_OUT[BLOCK],RC_IN[[BLOCK]:[BLOCK LOC]],2,FALSE)),"")</f>
        <v/>
      </c>
      <c r="I731" s="263" t="str">
        <f>IFERROR(AVERAGEIFS(RC_IN[MC],RC_IN[BLOCK],RC_OUT[BLOCK]),"")</f>
        <v/>
      </c>
      <c r="J731" s="264">
        <f t="shared" si="1"/>
        <v>0</v>
      </c>
      <c r="K731" s="246"/>
      <c r="L731" s="246"/>
      <c r="M731" s="249" t="str">
        <f t="shared" si="2"/>
        <v/>
      </c>
      <c r="N731" s="266">
        <f t="shared" si="3"/>
        <v>0</v>
      </c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</row>
    <row r="732">
      <c r="A732" s="273">
        <v>45803.0</v>
      </c>
      <c r="B732" s="275" t="s">
        <v>1215</v>
      </c>
      <c r="C732" s="275" t="s">
        <v>1234</v>
      </c>
      <c r="D732" s="276">
        <v>5160.0</v>
      </c>
      <c r="E732" s="275" t="s">
        <v>1017</v>
      </c>
      <c r="F732" s="279"/>
      <c r="G732" s="278" t="str">
        <f>IFNA(IF(VLOOKUP(RC_OUT[BLOCK],RC_IN[[BLOCK]:[BLOCK LOC]],2,FALSE)=0,"",VLOOKUP(RC_OUT[BLOCK],RC_IN[[BLOCK]:[BLOCK LOC]],2,FALSE)),"")</f>
        <v/>
      </c>
      <c r="I732" s="263" t="str">
        <f>IFERROR(AVERAGEIFS(RC_IN[MC],RC_IN[BLOCK],RC_OUT[BLOCK]),"")</f>
        <v/>
      </c>
      <c r="J732" s="264">
        <f t="shared" si="1"/>
        <v>0</v>
      </c>
      <c r="K732" s="246"/>
      <c r="L732" s="246"/>
      <c r="M732" s="249" t="str">
        <f t="shared" si="2"/>
        <v/>
      </c>
      <c r="N732" s="266">
        <f t="shared" si="3"/>
        <v>0</v>
      </c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</row>
    <row r="733">
      <c r="A733" s="273">
        <v>45803.0</v>
      </c>
      <c r="B733" s="275" t="s">
        <v>1215</v>
      </c>
      <c r="C733" s="275" t="s">
        <v>1235</v>
      </c>
      <c r="D733" s="276">
        <v>9442.0</v>
      </c>
      <c r="E733" s="275" t="s">
        <v>1017</v>
      </c>
      <c r="F733" s="279"/>
      <c r="G733" s="278" t="str">
        <f>IFNA(IF(VLOOKUP(RC_OUT[BLOCK],RC_IN[[BLOCK]:[BLOCK LOC]],2,FALSE)=0,"",VLOOKUP(RC_OUT[BLOCK],RC_IN[[BLOCK]:[BLOCK LOC]],2,FALSE)),"")</f>
        <v/>
      </c>
      <c r="I733" s="263" t="str">
        <f>IFERROR(AVERAGEIFS(RC_IN[MC],RC_IN[BLOCK],RC_OUT[BLOCK]),"")</f>
        <v/>
      </c>
      <c r="J733" s="264">
        <f t="shared" si="1"/>
        <v>0</v>
      </c>
      <c r="K733" s="246"/>
      <c r="L733" s="246"/>
      <c r="M733" s="249" t="str">
        <f t="shared" si="2"/>
        <v/>
      </c>
      <c r="N733" s="266">
        <f t="shared" si="3"/>
        <v>0</v>
      </c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</row>
    <row r="734">
      <c r="A734" s="273">
        <v>45803.0</v>
      </c>
      <c r="B734" s="275" t="s">
        <v>1215</v>
      </c>
      <c r="C734" s="275" t="s">
        <v>1232</v>
      </c>
      <c r="D734" s="276">
        <v>6377.0</v>
      </c>
      <c r="E734" s="275" t="s">
        <v>1017</v>
      </c>
      <c r="F734" s="277" t="s">
        <v>1059</v>
      </c>
      <c r="G734" s="278" t="str">
        <f>IFNA(IF(VLOOKUP(RC_OUT[BLOCK],RC_IN[[BLOCK]:[BLOCK LOC]],2,FALSE)=0,"",VLOOKUP(RC_OUT[BLOCK],RC_IN[[BLOCK]:[BLOCK LOC]],2,FALSE)),"")</f>
        <v/>
      </c>
      <c r="I734" s="263" t="str">
        <f>IFERROR(AVERAGEIFS(RC_IN[MC],RC_IN[BLOCK],RC_OUT[BLOCK]),"")</f>
        <v/>
      </c>
      <c r="J734" s="264">
        <f t="shared" si="1"/>
        <v>0</v>
      </c>
      <c r="K734" s="246"/>
      <c r="L734" s="246"/>
      <c r="M734" s="249" t="str">
        <f t="shared" si="2"/>
        <v/>
      </c>
      <c r="N734" s="266">
        <f t="shared" si="3"/>
        <v>0</v>
      </c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</row>
    <row r="735">
      <c r="A735" s="273">
        <v>45804.0</v>
      </c>
      <c r="B735" s="275" t="s">
        <v>1215</v>
      </c>
      <c r="C735" s="275" t="s">
        <v>1233</v>
      </c>
      <c r="D735" s="276">
        <v>10388.0</v>
      </c>
      <c r="E735" s="275" t="s">
        <v>1017</v>
      </c>
      <c r="F735" s="279"/>
      <c r="G735" s="278" t="str">
        <f>IFNA(IF(VLOOKUP(RC_OUT[BLOCK],RC_IN[[BLOCK]:[BLOCK LOC]],2,FALSE)=0,"",VLOOKUP(RC_OUT[BLOCK],RC_IN[[BLOCK]:[BLOCK LOC]],2,FALSE)),"")</f>
        <v/>
      </c>
      <c r="I735" s="263" t="str">
        <f>IFERROR(AVERAGEIFS(RC_IN[MC],RC_IN[BLOCK],RC_OUT[BLOCK]),"")</f>
        <v/>
      </c>
      <c r="J735" s="264">
        <f t="shared" si="1"/>
        <v>0</v>
      </c>
      <c r="K735" s="246"/>
      <c r="L735" s="246"/>
      <c r="M735" s="249" t="str">
        <f t="shared" si="2"/>
        <v/>
      </c>
      <c r="N735" s="266">
        <f t="shared" si="3"/>
        <v>0</v>
      </c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</row>
    <row r="736">
      <c r="A736" s="273">
        <v>45804.0</v>
      </c>
      <c r="B736" s="275" t="s">
        <v>1215</v>
      </c>
      <c r="C736" s="275" t="s">
        <v>1229</v>
      </c>
      <c r="D736" s="276">
        <v>3230.0</v>
      </c>
      <c r="E736" s="275" t="s">
        <v>1017</v>
      </c>
      <c r="F736" s="279"/>
      <c r="G736" s="278" t="str">
        <f>IFNA(IF(VLOOKUP(RC_OUT[BLOCK],RC_IN[[BLOCK]:[BLOCK LOC]],2,FALSE)=0,"",VLOOKUP(RC_OUT[BLOCK],RC_IN[[BLOCK]:[BLOCK LOC]],2,FALSE)),"")</f>
        <v/>
      </c>
      <c r="I736" s="263" t="str">
        <f>IFERROR(AVERAGEIFS(RC_IN[MC],RC_IN[BLOCK],RC_OUT[BLOCK]),"")</f>
        <v/>
      </c>
      <c r="J736" s="264">
        <f t="shared" si="1"/>
        <v>0</v>
      </c>
      <c r="K736" s="246"/>
      <c r="L736" s="246"/>
      <c r="M736" s="249" t="str">
        <f t="shared" si="2"/>
        <v/>
      </c>
      <c r="N736" s="266">
        <f t="shared" si="3"/>
        <v>0</v>
      </c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</row>
    <row r="737">
      <c r="A737" s="273">
        <v>45804.0</v>
      </c>
      <c r="B737" s="275" t="s">
        <v>1215</v>
      </c>
      <c r="C737" s="275" t="s">
        <v>1234</v>
      </c>
      <c r="D737" s="276">
        <v>12000.0</v>
      </c>
      <c r="E737" s="275" t="s">
        <v>1017</v>
      </c>
      <c r="F737" s="277" t="s">
        <v>1059</v>
      </c>
      <c r="G737" s="278" t="str">
        <f>IFNA(IF(VLOOKUP(RC_OUT[BLOCK],RC_IN[[BLOCK]:[BLOCK LOC]],2,FALSE)=0,"",VLOOKUP(RC_OUT[BLOCK],RC_IN[[BLOCK]:[BLOCK LOC]],2,FALSE)),"")</f>
        <v/>
      </c>
      <c r="I737" s="263" t="str">
        <f>IFERROR(AVERAGEIFS(RC_IN[MC],RC_IN[BLOCK],RC_OUT[BLOCK]),"")</f>
        <v/>
      </c>
      <c r="J737" s="264">
        <f t="shared" si="1"/>
        <v>0</v>
      </c>
      <c r="K737" s="246"/>
      <c r="L737" s="246"/>
      <c r="M737" s="249" t="str">
        <f t="shared" si="2"/>
        <v/>
      </c>
      <c r="N737" s="266">
        <f t="shared" si="3"/>
        <v>0</v>
      </c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</row>
    <row r="738">
      <c r="A738" s="273">
        <v>45804.0</v>
      </c>
      <c r="B738" s="275" t="s">
        <v>1215</v>
      </c>
      <c r="C738" s="275" t="s">
        <v>1235</v>
      </c>
      <c r="D738" s="276">
        <v>13303.0</v>
      </c>
      <c r="E738" s="275" t="s">
        <v>1017</v>
      </c>
      <c r="F738" s="279"/>
      <c r="G738" s="278" t="str">
        <f>IFNA(IF(VLOOKUP(RC_OUT[BLOCK],RC_IN[[BLOCK]:[BLOCK LOC]],2,FALSE)=0,"",VLOOKUP(RC_OUT[BLOCK],RC_IN[[BLOCK]:[BLOCK LOC]],2,FALSE)),"")</f>
        <v/>
      </c>
      <c r="I738" s="263" t="str">
        <f>IFERROR(AVERAGEIFS(RC_IN[MC],RC_IN[BLOCK],RC_OUT[BLOCK]),"")</f>
        <v/>
      </c>
      <c r="J738" s="264">
        <f t="shared" si="1"/>
        <v>0</v>
      </c>
      <c r="K738" s="246"/>
      <c r="L738" s="246"/>
      <c r="M738" s="249" t="str">
        <f t="shared" si="2"/>
        <v/>
      </c>
      <c r="N738" s="266">
        <f t="shared" si="3"/>
        <v>0</v>
      </c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</row>
    <row r="739">
      <c r="A739" s="273">
        <v>45805.0</v>
      </c>
      <c r="B739" s="275" t="s">
        <v>1215</v>
      </c>
      <c r="C739" s="275" t="s">
        <v>1233</v>
      </c>
      <c r="D739" s="276">
        <v>11471.0</v>
      </c>
      <c r="E739" s="275" t="s">
        <v>1017</v>
      </c>
      <c r="F739" s="277" t="s">
        <v>1059</v>
      </c>
      <c r="G739" s="278" t="str">
        <f>IFNA(IF(VLOOKUP(RC_OUT[BLOCK],RC_IN[[BLOCK]:[BLOCK LOC]],2,FALSE)=0,"",VLOOKUP(RC_OUT[BLOCK],RC_IN[[BLOCK]:[BLOCK LOC]],2,FALSE)),"")</f>
        <v/>
      </c>
      <c r="I739" s="263" t="str">
        <f>IFERROR(AVERAGEIFS(RC_IN[MC],RC_IN[BLOCK],RC_OUT[BLOCK]),"")</f>
        <v/>
      </c>
      <c r="J739" s="264">
        <f t="shared" si="1"/>
        <v>0</v>
      </c>
      <c r="K739" s="246"/>
      <c r="L739" s="246"/>
      <c r="M739" s="249" t="str">
        <f t="shared" si="2"/>
        <v/>
      </c>
      <c r="N739" s="266">
        <f t="shared" si="3"/>
        <v>0</v>
      </c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</row>
    <row r="740">
      <c r="A740" s="273">
        <v>45805.0</v>
      </c>
      <c r="B740" s="275" t="s">
        <v>1215</v>
      </c>
      <c r="C740" s="275" t="s">
        <v>1236</v>
      </c>
      <c r="D740" s="276">
        <v>4474.0</v>
      </c>
      <c r="E740" s="275" t="s">
        <v>1017</v>
      </c>
      <c r="F740" s="279"/>
      <c r="G740" s="278" t="str">
        <f>IFNA(IF(VLOOKUP(RC_OUT[BLOCK],RC_IN[[BLOCK]:[BLOCK LOC]],2,FALSE)=0,"",VLOOKUP(RC_OUT[BLOCK],RC_IN[[BLOCK]:[BLOCK LOC]],2,FALSE)),"")</f>
        <v/>
      </c>
      <c r="I740" s="263" t="str">
        <f>IFERROR(AVERAGEIFS(RC_IN[MC],RC_IN[BLOCK],RC_OUT[BLOCK]),"")</f>
        <v/>
      </c>
      <c r="J740" s="264">
        <f t="shared" si="1"/>
        <v>0</v>
      </c>
      <c r="K740" s="246"/>
      <c r="L740" s="246"/>
      <c r="M740" s="249" t="str">
        <f t="shared" si="2"/>
        <v/>
      </c>
      <c r="N740" s="266">
        <f t="shared" si="3"/>
        <v>0</v>
      </c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</row>
    <row r="741">
      <c r="A741" s="273">
        <v>45805.0</v>
      </c>
      <c r="B741" s="275" t="s">
        <v>1215</v>
      </c>
      <c r="C741" s="275" t="s">
        <v>1229</v>
      </c>
      <c r="D741" s="276">
        <v>5067.0</v>
      </c>
      <c r="E741" s="275" t="s">
        <v>1017</v>
      </c>
      <c r="F741" s="279"/>
      <c r="G741" s="278" t="str">
        <f>IFNA(IF(VLOOKUP(RC_OUT[BLOCK],RC_IN[[BLOCK]:[BLOCK LOC]],2,FALSE)=0,"",VLOOKUP(RC_OUT[BLOCK],RC_IN[[BLOCK]:[BLOCK LOC]],2,FALSE)),"")</f>
        <v/>
      </c>
      <c r="I741" s="263" t="str">
        <f>IFERROR(AVERAGEIFS(RC_IN[MC],RC_IN[BLOCK],RC_OUT[BLOCK]),"")</f>
        <v/>
      </c>
      <c r="J741" s="264">
        <f t="shared" si="1"/>
        <v>0</v>
      </c>
      <c r="K741" s="246"/>
      <c r="L741" s="246"/>
      <c r="M741" s="249" t="str">
        <f t="shared" si="2"/>
        <v/>
      </c>
      <c r="N741" s="266">
        <f t="shared" si="3"/>
        <v>0</v>
      </c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</row>
    <row r="742">
      <c r="A742" s="273">
        <v>45805.0</v>
      </c>
      <c r="B742" s="275" t="s">
        <v>1215</v>
      </c>
      <c r="C742" s="275" t="s">
        <v>1235</v>
      </c>
      <c r="D742" s="276">
        <v>23511.0</v>
      </c>
      <c r="E742" s="275" t="s">
        <v>1017</v>
      </c>
      <c r="F742" s="279"/>
      <c r="G742" s="278" t="str">
        <f>IFNA(IF(VLOOKUP(RC_OUT[BLOCK],RC_IN[[BLOCK]:[BLOCK LOC]],2,FALSE)=0,"",VLOOKUP(RC_OUT[BLOCK],RC_IN[[BLOCK]:[BLOCK LOC]],2,FALSE)),"")</f>
        <v/>
      </c>
      <c r="I742" s="263" t="str">
        <f>IFERROR(AVERAGEIFS(RC_IN[MC],RC_IN[BLOCK],RC_OUT[BLOCK]),"")</f>
        <v/>
      </c>
      <c r="J742" s="264">
        <f t="shared" si="1"/>
        <v>0</v>
      </c>
      <c r="K742" s="246"/>
      <c r="L742" s="246"/>
      <c r="M742" s="249" t="str">
        <f t="shared" si="2"/>
        <v/>
      </c>
      <c r="N742" s="266">
        <f t="shared" si="3"/>
        <v>0</v>
      </c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</row>
    <row r="743">
      <c r="A743" s="273">
        <v>45806.0</v>
      </c>
      <c r="B743" s="275" t="s">
        <v>1215</v>
      </c>
      <c r="C743" s="275" t="s">
        <v>1237</v>
      </c>
      <c r="D743" s="276">
        <v>13672.0</v>
      </c>
      <c r="E743" s="275" t="s">
        <v>1017</v>
      </c>
      <c r="F743" s="279"/>
      <c r="G743" s="278" t="str">
        <f>IFNA(IF(VLOOKUP(RC_OUT[BLOCK],RC_IN[[BLOCK]:[BLOCK LOC]],2,FALSE)=0,"",VLOOKUP(RC_OUT[BLOCK],RC_IN[[BLOCK]:[BLOCK LOC]],2,FALSE)),"")</f>
        <v/>
      </c>
      <c r="I743" s="263" t="str">
        <f>IFERROR(AVERAGEIFS(RC_IN[MC],RC_IN[BLOCK],RC_OUT[BLOCK]),"")</f>
        <v/>
      </c>
      <c r="J743" s="264">
        <f t="shared" si="1"/>
        <v>0</v>
      </c>
      <c r="K743" s="246"/>
      <c r="L743" s="246"/>
      <c r="M743" s="249" t="str">
        <f t="shared" si="2"/>
        <v/>
      </c>
      <c r="N743" s="266">
        <f t="shared" si="3"/>
        <v>0</v>
      </c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</row>
    <row r="744">
      <c r="A744" s="273">
        <v>45806.0</v>
      </c>
      <c r="B744" s="275" t="s">
        <v>1215</v>
      </c>
      <c r="C744" s="275" t="s">
        <v>1236</v>
      </c>
      <c r="D744" s="276">
        <v>14230.0</v>
      </c>
      <c r="E744" s="275" t="s">
        <v>1017</v>
      </c>
      <c r="F744" s="277" t="s">
        <v>1059</v>
      </c>
      <c r="G744" s="278" t="str">
        <f>IFNA(IF(VLOOKUP(RC_OUT[BLOCK],RC_IN[[BLOCK]:[BLOCK LOC]],2,FALSE)=0,"",VLOOKUP(RC_OUT[BLOCK],RC_IN[[BLOCK]:[BLOCK LOC]],2,FALSE)),"")</f>
        <v/>
      </c>
      <c r="I744" s="263" t="str">
        <f>IFERROR(AVERAGEIFS(RC_IN[MC],RC_IN[BLOCK],RC_OUT[BLOCK]),"")</f>
        <v/>
      </c>
      <c r="J744" s="264">
        <f t="shared" si="1"/>
        <v>0</v>
      </c>
      <c r="K744" s="246"/>
      <c r="L744" s="246"/>
      <c r="M744" s="249" t="str">
        <f t="shared" si="2"/>
        <v/>
      </c>
      <c r="N744" s="266">
        <f t="shared" si="3"/>
        <v>0</v>
      </c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</row>
    <row r="745">
      <c r="A745" s="273">
        <v>45806.0</v>
      </c>
      <c r="B745" s="275" t="s">
        <v>1215</v>
      </c>
      <c r="C745" s="275" t="s">
        <v>1229</v>
      </c>
      <c r="D745" s="276">
        <v>10126.0</v>
      </c>
      <c r="E745" s="275" t="s">
        <v>1017</v>
      </c>
      <c r="F745" s="279"/>
      <c r="G745" s="278" t="str">
        <f>IFNA(IF(VLOOKUP(RC_OUT[BLOCK],RC_IN[[BLOCK]:[BLOCK LOC]],2,FALSE)=0,"",VLOOKUP(RC_OUT[BLOCK],RC_IN[[BLOCK]:[BLOCK LOC]],2,FALSE)),"")</f>
        <v/>
      </c>
      <c r="I745" s="263" t="str">
        <f>IFERROR(AVERAGEIFS(RC_IN[MC],RC_IN[BLOCK],RC_OUT[BLOCK]),"")</f>
        <v/>
      </c>
      <c r="J745" s="264">
        <f t="shared" si="1"/>
        <v>0</v>
      </c>
      <c r="K745" s="246"/>
      <c r="L745" s="246"/>
      <c r="M745" s="249" t="str">
        <f t="shared" si="2"/>
        <v/>
      </c>
      <c r="N745" s="266">
        <f t="shared" si="3"/>
        <v>0</v>
      </c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</row>
    <row r="746">
      <c r="A746" s="273">
        <v>45806.0</v>
      </c>
      <c r="B746" s="275" t="s">
        <v>1215</v>
      </c>
      <c r="C746" s="275" t="s">
        <v>1235</v>
      </c>
      <c r="D746" s="276">
        <v>8888.0</v>
      </c>
      <c r="E746" s="275" t="s">
        <v>1017</v>
      </c>
      <c r="F746" s="277" t="s">
        <v>1059</v>
      </c>
      <c r="G746" s="278" t="str">
        <f>IFNA(IF(VLOOKUP(RC_OUT[BLOCK],RC_IN[[BLOCK]:[BLOCK LOC]],2,FALSE)=0,"",VLOOKUP(RC_OUT[BLOCK],RC_IN[[BLOCK]:[BLOCK LOC]],2,FALSE)),"")</f>
        <v/>
      </c>
      <c r="I746" s="263" t="str">
        <f>IFERROR(AVERAGEIFS(RC_IN[MC],RC_IN[BLOCK],RC_OUT[BLOCK]),"")</f>
        <v/>
      </c>
      <c r="J746" s="264">
        <f t="shared" si="1"/>
        <v>0</v>
      </c>
      <c r="K746" s="246"/>
      <c r="L746" s="246"/>
      <c r="M746" s="249" t="str">
        <f t="shared" si="2"/>
        <v/>
      </c>
      <c r="N746" s="266">
        <f t="shared" si="3"/>
        <v>0</v>
      </c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</row>
    <row r="747">
      <c r="A747" s="273">
        <v>45807.0</v>
      </c>
      <c r="B747" s="275" t="s">
        <v>1215</v>
      </c>
      <c r="C747" s="275" t="s">
        <v>1237</v>
      </c>
      <c r="D747" s="276">
        <v>12157.0</v>
      </c>
      <c r="E747" s="275" t="s">
        <v>1017</v>
      </c>
      <c r="F747" s="279"/>
      <c r="G747" s="278" t="str">
        <f>IFNA(IF(VLOOKUP(RC_OUT[BLOCK],RC_IN[[BLOCK]:[BLOCK LOC]],2,FALSE)=0,"",VLOOKUP(RC_OUT[BLOCK],RC_IN[[BLOCK]:[BLOCK LOC]],2,FALSE)),"")</f>
        <v/>
      </c>
      <c r="I747" s="263" t="str">
        <f>IFERROR(AVERAGEIFS(RC_IN[MC],RC_IN[BLOCK],RC_OUT[BLOCK]),"")</f>
        <v/>
      </c>
      <c r="J747" s="264">
        <f t="shared" si="1"/>
        <v>0</v>
      </c>
      <c r="K747" s="246"/>
      <c r="L747" s="246"/>
      <c r="M747" s="249" t="str">
        <f t="shared" si="2"/>
        <v/>
      </c>
      <c r="N747" s="266">
        <f t="shared" si="3"/>
        <v>0</v>
      </c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</row>
    <row r="748">
      <c r="A748" s="273">
        <v>45807.0</v>
      </c>
      <c r="B748" s="275" t="s">
        <v>1215</v>
      </c>
      <c r="C748" s="275" t="s">
        <v>1229</v>
      </c>
      <c r="D748" s="276">
        <v>12039.0</v>
      </c>
      <c r="E748" s="275" t="s">
        <v>1017</v>
      </c>
      <c r="F748" s="277" t="s">
        <v>1059</v>
      </c>
      <c r="G748" s="278" t="str">
        <f>IFNA(IF(VLOOKUP(RC_OUT[BLOCK],RC_IN[[BLOCK]:[BLOCK LOC]],2,FALSE)=0,"",VLOOKUP(RC_OUT[BLOCK],RC_IN[[BLOCK]:[BLOCK LOC]],2,FALSE)),"")</f>
        <v/>
      </c>
      <c r="I748" s="263" t="str">
        <f>IFERROR(AVERAGEIFS(RC_IN[MC],RC_IN[BLOCK],RC_OUT[BLOCK]),"")</f>
        <v/>
      </c>
      <c r="J748" s="264">
        <f t="shared" si="1"/>
        <v>0</v>
      </c>
      <c r="K748" s="246"/>
      <c r="L748" s="246"/>
      <c r="M748" s="249" t="str">
        <f t="shared" si="2"/>
        <v/>
      </c>
      <c r="N748" s="266">
        <f t="shared" si="3"/>
        <v>0</v>
      </c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</row>
    <row r="749">
      <c r="A749" s="273">
        <v>45808.0</v>
      </c>
      <c r="B749" s="275" t="s">
        <v>1238</v>
      </c>
      <c r="C749" s="275" t="s">
        <v>1237</v>
      </c>
      <c r="D749" s="276">
        <v>10144.0</v>
      </c>
      <c r="E749" s="275" t="s">
        <v>1017</v>
      </c>
      <c r="F749" s="279"/>
      <c r="G749" s="278" t="str">
        <f>IFNA(IF(VLOOKUP(RC_OUT[BLOCK],RC_IN[[BLOCK]:[BLOCK LOC]],2,FALSE)=0,"",VLOOKUP(RC_OUT[BLOCK],RC_IN[[BLOCK]:[BLOCK LOC]],2,FALSE)),"")</f>
        <v/>
      </c>
      <c r="I749" s="263" t="str">
        <f>IFERROR(AVERAGEIFS(RC_IN[MC],RC_IN[BLOCK],RC_OUT[BLOCK]),"")</f>
        <v/>
      </c>
      <c r="J749" s="264">
        <f t="shared" si="1"/>
        <v>0</v>
      </c>
      <c r="K749" s="246"/>
      <c r="L749" s="246"/>
      <c r="M749" s="249" t="str">
        <f t="shared" si="2"/>
        <v/>
      </c>
      <c r="N749" s="266">
        <f t="shared" si="3"/>
        <v>0</v>
      </c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</row>
    <row r="750">
      <c r="A750" s="273">
        <v>45808.0</v>
      </c>
      <c r="B750" s="275" t="s">
        <v>1238</v>
      </c>
      <c r="C750" s="275" t="s">
        <v>1239</v>
      </c>
      <c r="D750" s="276">
        <v>6843.0</v>
      </c>
      <c r="E750" s="275" t="s">
        <v>1017</v>
      </c>
      <c r="F750" s="279"/>
      <c r="G750" s="278" t="str">
        <f>IFNA(IF(VLOOKUP(RC_OUT[BLOCK],RC_IN[[BLOCK]:[BLOCK LOC]],2,FALSE)=0,"",VLOOKUP(RC_OUT[BLOCK],RC_IN[[BLOCK]:[BLOCK LOC]],2,FALSE)),"")</f>
        <v/>
      </c>
      <c r="I750" s="263" t="str">
        <f>IFERROR(AVERAGEIFS(RC_IN[MC],RC_IN[BLOCK],RC_OUT[BLOCK]),"")</f>
        <v/>
      </c>
      <c r="J750" s="264">
        <f t="shared" si="1"/>
        <v>0</v>
      </c>
      <c r="K750" s="246"/>
      <c r="L750" s="246"/>
      <c r="M750" s="249" t="str">
        <f t="shared" si="2"/>
        <v/>
      </c>
      <c r="N750" s="266">
        <f t="shared" si="3"/>
        <v>0</v>
      </c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</row>
    <row r="751">
      <c r="A751" s="273">
        <v>45808.0</v>
      </c>
      <c r="B751" s="275" t="s">
        <v>1238</v>
      </c>
      <c r="C751" s="275" t="s">
        <v>1240</v>
      </c>
      <c r="D751" s="276">
        <v>1090.0</v>
      </c>
      <c r="E751" s="275" t="s">
        <v>1017</v>
      </c>
      <c r="F751" s="279"/>
      <c r="G751" s="278" t="str">
        <f>IFNA(IF(VLOOKUP(RC_OUT[BLOCK],RC_IN[[BLOCK]:[BLOCK LOC]],2,FALSE)=0,"",VLOOKUP(RC_OUT[BLOCK],RC_IN[[BLOCK]:[BLOCK LOC]],2,FALSE)),"")</f>
        <v/>
      </c>
      <c r="I751" s="263" t="str">
        <f>IFERROR(AVERAGEIFS(RC_IN[MC],RC_IN[BLOCK],RC_OUT[BLOCK]),"")</f>
        <v/>
      </c>
      <c r="J751" s="264">
        <f t="shared" si="1"/>
        <v>0</v>
      </c>
      <c r="K751" s="246"/>
      <c r="L751" s="246"/>
      <c r="M751" s="249" t="str">
        <f t="shared" si="2"/>
        <v/>
      </c>
      <c r="N751" s="266">
        <f t="shared" si="3"/>
        <v>0</v>
      </c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</row>
    <row r="752">
      <c r="A752" s="273">
        <v>45810.0</v>
      </c>
      <c r="B752" s="275" t="s">
        <v>1238</v>
      </c>
      <c r="C752" s="275" t="s">
        <v>1237</v>
      </c>
      <c r="D752" s="276">
        <v>16813.0</v>
      </c>
      <c r="E752" s="275" t="s">
        <v>1017</v>
      </c>
      <c r="F752" s="279"/>
      <c r="G752" s="278" t="str">
        <f>IFNA(IF(VLOOKUP(RC_OUT[BLOCK],RC_IN[[BLOCK]:[BLOCK LOC]],2,FALSE)=0,"",VLOOKUP(RC_OUT[BLOCK],RC_IN[[BLOCK]:[BLOCK LOC]],2,FALSE)),"")</f>
        <v/>
      </c>
      <c r="I752" s="263" t="str">
        <f>IFERROR(AVERAGEIFS(RC_IN[MC],RC_IN[BLOCK],RC_OUT[BLOCK]),"")</f>
        <v/>
      </c>
      <c r="J752" s="264">
        <f t="shared" si="1"/>
        <v>0</v>
      </c>
      <c r="K752" s="246"/>
      <c r="L752" s="246"/>
      <c r="M752" s="249" t="str">
        <f t="shared" si="2"/>
        <v/>
      </c>
      <c r="N752" s="266">
        <f t="shared" si="3"/>
        <v>0</v>
      </c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</row>
    <row r="753">
      <c r="A753" s="273">
        <v>45810.0</v>
      </c>
      <c r="B753" s="275" t="s">
        <v>1238</v>
      </c>
      <c r="C753" s="275" t="s">
        <v>1239</v>
      </c>
      <c r="D753" s="276">
        <v>11577.0</v>
      </c>
      <c r="E753" s="275" t="s">
        <v>1017</v>
      </c>
      <c r="F753" s="279"/>
      <c r="G753" s="278" t="str">
        <f>IFNA(IF(VLOOKUP(RC_OUT[BLOCK],RC_IN[[BLOCK]:[BLOCK LOC]],2,FALSE)=0,"",VLOOKUP(RC_OUT[BLOCK],RC_IN[[BLOCK]:[BLOCK LOC]],2,FALSE)),"")</f>
        <v/>
      </c>
      <c r="I753" s="263" t="str">
        <f>IFERROR(AVERAGEIFS(RC_IN[MC],RC_IN[BLOCK],RC_OUT[BLOCK]),"")</f>
        <v/>
      </c>
      <c r="J753" s="264">
        <f t="shared" si="1"/>
        <v>0</v>
      </c>
      <c r="K753" s="246"/>
      <c r="L753" s="246"/>
      <c r="M753" s="249" t="str">
        <f t="shared" si="2"/>
        <v/>
      </c>
      <c r="N753" s="266">
        <f t="shared" si="3"/>
        <v>0</v>
      </c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</row>
    <row r="754">
      <c r="A754" s="273">
        <v>45810.0</v>
      </c>
      <c r="B754" s="275" t="s">
        <v>1238</v>
      </c>
      <c r="C754" s="275" t="s">
        <v>1240</v>
      </c>
      <c r="D754" s="276">
        <v>16700.0</v>
      </c>
      <c r="E754" s="275" t="s">
        <v>1017</v>
      </c>
      <c r="F754" s="277" t="s">
        <v>1059</v>
      </c>
      <c r="G754" s="278" t="str">
        <f>IFNA(IF(VLOOKUP(RC_OUT[BLOCK],RC_IN[[BLOCK]:[BLOCK LOC]],2,FALSE)=0,"",VLOOKUP(RC_OUT[BLOCK],RC_IN[[BLOCK]:[BLOCK LOC]],2,FALSE)),"")</f>
        <v/>
      </c>
      <c r="I754" s="263" t="str">
        <f>IFERROR(AVERAGEIFS(RC_IN[MC],RC_IN[BLOCK],RC_OUT[BLOCK]),"")</f>
        <v/>
      </c>
      <c r="J754" s="264">
        <f t="shared" si="1"/>
        <v>0</v>
      </c>
      <c r="K754" s="246"/>
      <c r="L754" s="246"/>
      <c r="M754" s="249" t="str">
        <f t="shared" si="2"/>
        <v/>
      </c>
      <c r="N754" s="266">
        <f t="shared" si="3"/>
        <v>0</v>
      </c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</row>
    <row r="755">
      <c r="A755" s="273">
        <v>45811.0</v>
      </c>
      <c r="B755" s="275" t="s">
        <v>1238</v>
      </c>
      <c r="C755" s="275" t="s">
        <v>1237</v>
      </c>
      <c r="D755" s="276">
        <v>13999.0</v>
      </c>
      <c r="E755" s="275" t="s">
        <v>1017</v>
      </c>
      <c r="F755" s="277" t="s">
        <v>1059</v>
      </c>
      <c r="G755" s="278" t="str">
        <f>IFNA(IF(VLOOKUP(RC_OUT[BLOCK],RC_IN[[BLOCK]:[BLOCK LOC]],2,FALSE)=0,"",VLOOKUP(RC_OUT[BLOCK],RC_IN[[BLOCK]:[BLOCK LOC]],2,FALSE)),"")</f>
        <v/>
      </c>
      <c r="I755" s="263" t="str">
        <f>IFERROR(AVERAGEIFS(RC_IN[MC],RC_IN[BLOCK],RC_OUT[BLOCK]),"")</f>
        <v/>
      </c>
      <c r="J755" s="264">
        <f t="shared" si="1"/>
        <v>0</v>
      </c>
      <c r="K755" s="246"/>
      <c r="L755" s="246"/>
      <c r="M755" s="249" t="str">
        <f t="shared" si="2"/>
        <v/>
      </c>
      <c r="N755" s="266">
        <f t="shared" si="3"/>
        <v>0</v>
      </c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</row>
    <row r="756">
      <c r="A756" s="273">
        <v>45811.0</v>
      </c>
      <c r="B756" s="275" t="s">
        <v>1238</v>
      </c>
      <c r="C756" s="275" t="s">
        <v>1241</v>
      </c>
      <c r="D756" s="276">
        <v>14750.0</v>
      </c>
      <c r="E756" s="275" t="s">
        <v>1017</v>
      </c>
      <c r="F756" s="279"/>
      <c r="G756" s="278" t="str">
        <f>IFNA(IF(VLOOKUP(RC_OUT[BLOCK],RC_IN[[BLOCK]:[BLOCK LOC]],2,FALSE)=0,"",VLOOKUP(RC_OUT[BLOCK],RC_IN[[BLOCK]:[BLOCK LOC]],2,FALSE)),"")</f>
        <v/>
      </c>
      <c r="I756" s="263" t="str">
        <f>IFERROR(AVERAGEIFS(RC_IN[MC],RC_IN[BLOCK],RC_OUT[BLOCK]),"")</f>
        <v/>
      </c>
      <c r="J756" s="264">
        <f t="shared" si="1"/>
        <v>0</v>
      </c>
      <c r="K756" s="246"/>
      <c r="L756" s="246"/>
      <c r="M756" s="249" t="str">
        <f t="shared" si="2"/>
        <v/>
      </c>
      <c r="N756" s="266">
        <f t="shared" si="3"/>
        <v>0</v>
      </c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</row>
    <row r="757">
      <c r="A757" s="273">
        <v>45811.0</v>
      </c>
      <c r="B757" s="275" t="s">
        <v>1238</v>
      </c>
      <c r="C757" s="275" t="s">
        <v>1242</v>
      </c>
      <c r="D757" s="276">
        <v>5087.0</v>
      </c>
      <c r="E757" s="275" t="s">
        <v>1017</v>
      </c>
      <c r="F757" s="279"/>
      <c r="G757" s="278" t="str">
        <f>IFNA(IF(VLOOKUP(RC_OUT[BLOCK],RC_IN[[BLOCK]:[BLOCK LOC]],2,FALSE)=0,"",VLOOKUP(RC_OUT[BLOCK],RC_IN[[BLOCK]:[BLOCK LOC]],2,FALSE)),"")</f>
        <v/>
      </c>
      <c r="I757" s="263" t="str">
        <f>IFERROR(AVERAGEIFS(RC_IN[MC],RC_IN[BLOCK],RC_OUT[BLOCK]),"")</f>
        <v/>
      </c>
      <c r="J757" s="264">
        <f t="shared" si="1"/>
        <v>0</v>
      </c>
      <c r="K757" s="246"/>
      <c r="L757" s="246"/>
      <c r="M757" s="249" t="str">
        <f t="shared" si="2"/>
        <v/>
      </c>
      <c r="N757" s="266">
        <f t="shared" si="3"/>
        <v>0</v>
      </c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</row>
    <row r="758">
      <c r="A758" s="273">
        <v>45811.0</v>
      </c>
      <c r="B758" s="275" t="s">
        <v>1238</v>
      </c>
      <c r="C758" s="275" t="s">
        <v>1239</v>
      </c>
      <c r="D758" s="276">
        <v>12736.0</v>
      </c>
      <c r="E758" s="275" t="s">
        <v>1017</v>
      </c>
      <c r="F758" s="277" t="s">
        <v>1059</v>
      </c>
      <c r="G758" s="278" t="str">
        <f>IFNA(IF(VLOOKUP(RC_OUT[BLOCK],RC_IN[[BLOCK]:[BLOCK LOC]],2,FALSE)=0,"",VLOOKUP(RC_OUT[BLOCK],RC_IN[[BLOCK]:[BLOCK LOC]],2,FALSE)),"")</f>
        <v/>
      </c>
      <c r="I758" s="263" t="str">
        <f>IFERROR(AVERAGEIFS(RC_IN[MC],RC_IN[BLOCK],RC_OUT[BLOCK]),"")</f>
        <v/>
      </c>
      <c r="J758" s="264">
        <f t="shared" si="1"/>
        <v>0</v>
      </c>
      <c r="K758" s="246"/>
      <c r="L758" s="246"/>
      <c r="M758" s="249" t="str">
        <f t="shared" si="2"/>
        <v/>
      </c>
      <c r="N758" s="266">
        <f t="shared" si="3"/>
        <v>0</v>
      </c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</row>
    <row r="759">
      <c r="A759" s="273">
        <v>45812.0</v>
      </c>
      <c r="B759" s="275" t="s">
        <v>1238</v>
      </c>
      <c r="C759" s="275" t="s">
        <v>1241</v>
      </c>
      <c r="D759" s="276">
        <v>20306.0</v>
      </c>
      <c r="E759" s="275" t="s">
        <v>1017</v>
      </c>
      <c r="F759" s="279"/>
      <c r="G759" s="278" t="str">
        <f>IFNA(IF(VLOOKUP(RC_OUT[BLOCK],RC_IN[[BLOCK]:[BLOCK LOC]],2,FALSE)=0,"",VLOOKUP(RC_OUT[BLOCK],RC_IN[[BLOCK]:[BLOCK LOC]],2,FALSE)),"")</f>
        <v/>
      </c>
      <c r="I759" s="263" t="str">
        <f>IFERROR(AVERAGEIFS(RC_IN[MC],RC_IN[BLOCK],RC_OUT[BLOCK]),"")</f>
        <v/>
      </c>
      <c r="J759" s="264">
        <f t="shared" si="1"/>
        <v>0</v>
      </c>
      <c r="K759" s="246"/>
      <c r="L759" s="246"/>
      <c r="M759" s="249" t="str">
        <f t="shared" si="2"/>
        <v/>
      </c>
      <c r="N759" s="266">
        <f t="shared" si="3"/>
        <v>0</v>
      </c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</row>
    <row r="760">
      <c r="A760" s="273">
        <v>45812.0</v>
      </c>
      <c r="B760" s="275" t="s">
        <v>1238</v>
      </c>
      <c r="C760" s="275" t="s">
        <v>1242</v>
      </c>
      <c r="D760" s="276">
        <v>13847.0</v>
      </c>
      <c r="E760" s="275" t="s">
        <v>1017</v>
      </c>
      <c r="F760" s="279"/>
      <c r="G760" s="278" t="str">
        <f>IFNA(IF(VLOOKUP(RC_OUT[BLOCK],RC_IN[[BLOCK]:[BLOCK LOC]],2,FALSE)=0,"",VLOOKUP(RC_OUT[BLOCK],RC_IN[[BLOCK]:[BLOCK LOC]],2,FALSE)),"")</f>
        <v/>
      </c>
      <c r="I760" s="263" t="str">
        <f>IFERROR(AVERAGEIFS(RC_IN[MC],RC_IN[BLOCK],RC_OUT[BLOCK]),"")</f>
        <v/>
      </c>
      <c r="J760" s="264">
        <f t="shared" si="1"/>
        <v>0</v>
      </c>
      <c r="K760" s="246"/>
      <c r="L760" s="246"/>
      <c r="M760" s="249" t="str">
        <f t="shared" si="2"/>
        <v/>
      </c>
      <c r="N760" s="266">
        <f t="shared" si="3"/>
        <v>0</v>
      </c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</row>
    <row r="761">
      <c r="A761" s="273">
        <v>45813.0</v>
      </c>
      <c r="B761" s="275" t="s">
        <v>1238</v>
      </c>
      <c r="C761" s="275" t="s">
        <v>1243</v>
      </c>
      <c r="D761" s="276">
        <v>10350.0</v>
      </c>
      <c r="E761" s="275" t="s">
        <v>1017</v>
      </c>
      <c r="F761" s="279"/>
      <c r="G761" s="278" t="str">
        <f>IFNA(IF(VLOOKUP(RC_OUT[BLOCK],RC_IN[[BLOCK]:[BLOCK LOC]],2,FALSE)=0,"",VLOOKUP(RC_OUT[BLOCK],RC_IN[[BLOCK]:[BLOCK LOC]],2,FALSE)),"")</f>
        <v/>
      </c>
      <c r="I761" s="263" t="str">
        <f>IFERROR(AVERAGEIFS(RC_IN[MC],RC_IN[BLOCK],RC_OUT[BLOCK]),"")</f>
        <v/>
      </c>
      <c r="J761" s="264">
        <f t="shared" si="1"/>
        <v>0</v>
      </c>
      <c r="K761" s="246"/>
      <c r="L761" s="246"/>
      <c r="M761" s="249" t="str">
        <f t="shared" si="2"/>
        <v/>
      </c>
      <c r="N761" s="266">
        <f t="shared" si="3"/>
        <v>0</v>
      </c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</row>
    <row r="762">
      <c r="A762" s="273">
        <v>45813.0</v>
      </c>
      <c r="B762" s="275" t="s">
        <v>1238</v>
      </c>
      <c r="C762" s="275" t="s">
        <v>1241</v>
      </c>
      <c r="D762" s="276">
        <v>10921.0</v>
      </c>
      <c r="E762" s="275" t="s">
        <v>1017</v>
      </c>
      <c r="F762" s="277" t="s">
        <v>1059</v>
      </c>
      <c r="G762" s="278" t="str">
        <f>IFNA(IF(VLOOKUP(RC_OUT[BLOCK],RC_IN[[BLOCK]:[BLOCK LOC]],2,FALSE)=0,"",VLOOKUP(RC_OUT[BLOCK],RC_IN[[BLOCK]:[BLOCK LOC]],2,FALSE)),"")</f>
        <v/>
      </c>
      <c r="I762" s="263" t="str">
        <f>IFERROR(AVERAGEIFS(RC_IN[MC],RC_IN[BLOCK],RC_OUT[BLOCK]),"")</f>
        <v/>
      </c>
      <c r="J762" s="264">
        <f t="shared" si="1"/>
        <v>0</v>
      </c>
      <c r="K762" s="246"/>
      <c r="L762" s="246"/>
      <c r="M762" s="249" t="str">
        <f t="shared" si="2"/>
        <v/>
      </c>
      <c r="N762" s="266">
        <f t="shared" si="3"/>
        <v>0</v>
      </c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</row>
    <row r="763">
      <c r="A763" s="273">
        <v>45813.0</v>
      </c>
      <c r="B763" s="275" t="s">
        <v>1238</v>
      </c>
      <c r="C763" s="275" t="s">
        <v>1242</v>
      </c>
      <c r="D763" s="276">
        <v>14405.0</v>
      </c>
      <c r="E763" s="275" t="s">
        <v>1017</v>
      </c>
      <c r="F763" s="279"/>
      <c r="G763" s="278" t="str">
        <f>IFNA(IF(VLOOKUP(RC_OUT[BLOCK],RC_IN[[BLOCK]:[BLOCK LOC]],2,FALSE)=0,"",VLOOKUP(RC_OUT[BLOCK],RC_IN[[BLOCK]:[BLOCK LOC]],2,FALSE)),"")</f>
        <v/>
      </c>
      <c r="I763" s="263" t="str">
        <f>IFERROR(AVERAGEIFS(RC_IN[MC],RC_IN[BLOCK],RC_OUT[BLOCK]),"")</f>
        <v/>
      </c>
      <c r="J763" s="264">
        <f t="shared" si="1"/>
        <v>0</v>
      </c>
      <c r="K763" s="246"/>
      <c r="L763" s="246"/>
      <c r="M763" s="249" t="str">
        <f t="shared" si="2"/>
        <v/>
      </c>
      <c r="N763" s="266">
        <f t="shared" si="3"/>
        <v>0</v>
      </c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</row>
    <row r="764">
      <c r="A764" s="273">
        <v>45813.0</v>
      </c>
      <c r="B764" s="275" t="s">
        <v>1238</v>
      </c>
      <c r="C764" s="275" t="s">
        <v>1244</v>
      </c>
      <c r="D764" s="276">
        <v>5200.0</v>
      </c>
      <c r="E764" s="275" t="s">
        <v>1017</v>
      </c>
      <c r="F764" s="279"/>
      <c r="G764" s="278" t="str">
        <f>IFNA(IF(VLOOKUP(RC_OUT[BLOCK],RC_IN[[BLOCK]:[BLOCK LOC]],2,FALSE)=0,"",VLOOKUP(RC_OUT[BLOCK],RC_IN[[BLOCK]:[BLOCK LOC]],2,FALSE)),"")</f>
        <v/>
      </c>
      <c r="I764" s="263" t="str">
        <f>IFERROR(AVERAGEIFS(RC_IN[MC],RC_IN[BLOCK],RC_OUT[BLOCK]),"")</f>
        <v/>
      </c>
      <c r="J764" s="264">
        <f t="shared" si="1"/>
        <v>0</v>
      </c>
      <c r="K764" s="246"/>
      <c r="L764" s="246"/>
      <c r="M764" s="249" t="str">
        <f t="shared" si="2"/>
        <v/>
      </c>
      <c r="N764" s="266">
        <f t="shared" si="3"/>
        <v>0</v>
      </c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</row>
    <row r="765">
      <c r="A765" s="273">
        <v>45814.0</v>
      </c>
      <c r="B765" s="275" t="s">
        <v>1238</v>
      </c>
      <c r="C765" s="275" t="s">
        <v>1243</v>
      </c>
      <c r="D765" s="276">
        <v>15168.0</v>
      </c>
      <c r="E765" s="275" t="s">
        <v>1017</v>
      </c>
      <c r="F765" s="279"/>
      <c r="G765" s="278" t="str">
        <f>IFNA(IF(VLOOKUP(RC_OUT[BLOCK],RC_IN[[BLOCK]:[BLOCK LOC]],2,FALSE)=0,"",VLOOKUP(RC_OUT[BLOCK],RC_IN[[BLOCK]:[BLOCK LOC]],2,FALSE)),"")</f>
        <v/>
      </c>
      <c r="I765" s="263" t="str">
        <f>IFERROR(AVERAGEIFS(RC_IN[MC],RC_IN[BLOCK],RC_OUT[BLOCK]),"")</f>
        <v/>
      </c>
      <c r="J765" s="264">
        <f t="shared" si="1"/>
        <v>0</v>
      </c>
      <c r="K765" s="246"/>
      <c r="L765" s="246"/>
      <c r="M765" s="249" t="str">
        <f t="shared" si="2"/>
        <v/>
      </c>
      <c r="N765" s="266">
        <f t="shared" si="3"/>
        <v>0</v>
      </c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</row>
    <row r="766">
      <c r="A766" s="273">
        <v>45814.0</v>
      </c>
      <c r="B766" s="275" t="s">
        <v>1238</v>
      </c>
      <c r="C766" s="275" t="s">
        <v>1242</v>
      </c>
      <c r="D766" s="276">
        <v>9979.0</v>
      </c>
      <c r="E766" s="275" t="s">
        <v>1017</v>
      </c>
      <c r="F766" s="279"/>
      <c r="G766" s="278" t="str">
        <f>IFNA(IF(VLOOKUP(RC_OUT[BLOCK],RC_IN[[BLOCK]:[BLOCK LOC]],2,FALSE)=0,"",VLOOKUP(RC_OUT[BLOCK],RC_IN[[BLOCK]:[BLOCK LOC]],2,FALSE)),"")</f>
        <v/>
      </c>
      <c r="I766" s="263" t="str">
        <f>IFERROR(AVERAGEIFS(RC_IN[MC],RC_IN[BLOCK],RC_OUT[BLOCK]),"")</f>
        <v/>
      </c>
      <c r="J766" s="264">
        <f t="shared" si="1"/>
        <v>0</v>
      </c>
      <c r="K766" s="246"/>
      <c r="L766" s="246"/>
      <c r="M766" s="249" t="str">
        <f t="shared" si="2"/>
        <v/>
      </c>
      <c r="N766" s="266">
        <f t="shared" si="3"/>
        <v>0</v>
      </c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</row>
    <row r="767">
      <c r="A767" s="273">
        <v>45814.0</v>
      </c>
      <c r="B767" s="275" t="s">
        <v>1238</v>
      </c>
      <c r="C767" s="275" t="s">
        <v>1244</v>
      </c>
      <c r="D767" s="276">
        <v>7000.0</v>
      </c>
      <c r="E767" s="275" t="s">
        <v>1017</v>
      </c>
      <c r="F767" s="279"/>
      <c r="G767" s="278" t="str">
        <f>IFNA(IF(VLOOKUP(RC_OUT[BLOCK],RC_IN[[BLOCK]:[BLOCK LOC]],2,FALSE)=0,"",VLOOKUP(RC_OUT[BLOCK],RC_IN[[BLOCK]:[BLOCK LOC]],2,FALSE)),"")</f>
        <v/>
      </c>
      <c r="I767" s="263" t="str">
        <f>IFERROR(AVERAGEIFS(RC_IN[MC],RC_IN[BLOCK],RC_OUT[BLOCK]),"")</f>
        <v/>
      </c>
      <c r="J767" s="264">
        <f t="shared" si="1"/>
        <v>0</v>
      </c>
      <c r="K767" s="246"/>
      <c r="L767" s="246"/>
      <c r="M767" s="249" t="str">
        <f t="shared" si="2"/>
        <v/>
      </c>
      <c r="N767" s="266">
        <f t="shared" si="3"/>
        <v>0</v>
      </c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</row>
    <row r="768">
      <c r="A768" s="273">
        <v>45817.0</v>
      </c>
      <c r="B768" s="275" t="s">
        <v>1238</v>
      </c>
      <c r="C768" s="275" t="s">
        <v>1243</v>
      </c>
      <c r="D768" s="276">
        <v>17077.0</v>
      </c>
      <c r="E768" s="275" t="s">
        <v>1017</v>
      </c>
      <c r="F768" s="279"/>
      <c r="G768" s="278" t="str">
        <f>IFNA(IF(VLOOKUP(RC_OUT[BLOCK],RC_IN[[BLOCK]:[BLOCK LOC]],2,FALSE)=0,"",VLOOKUP(RC_OUT[BLOCK],RC_IN[[BLOCK]:[BLOCK LOC]],2,FALSE)),"")</f>
        <v/>
      </c>
      <c r="I768" s="263" t="str">
        <f>IFERROR(AVERAGEIFS(RC_IN[MC],RC_IN[BLOCK],RC_OUT[BLOCK]),"")</f>
        <v/>
      </c>
      <c r="J768" s="264">
        <f t="shared" si="1"/>
        <v>0</v>
      </c>
      <c r="K768" s="246"/>
      <c r="L768" s="246"/>
      <c r="M768" s="249" t="str">
        <f t="shared" si="2"/>
        <v/>
      </c>
      <c r="N768" s="266">
        <f t="shared" si="3"/>
        <v>0</v>
      </c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</row>
    <row r="769">
      <c r="A769" s="273">
        <v>45817.0</v>
      </c>
      <c r="B769" s="275" t="s">
        <v>1238</v>
      </c>
      <c r="C769" s="275" t="s">
        <v>1242</v>
      </c>
      <c r="D769" s="276">
        <v>12233.0</v>
      </c>
      <c r="E769" s="275" t="s">
        <v>1017</v>
      </c>
      <c r="F769" s="279"/>
      <c r="G769" s="278" t="str">
        <f>IFNA(IF(VLOOKUP(RC_OUT[BLOCK],RC_IN[[BLOCK]:[BLOCK LOC]],2,FALSE)=0,"",VLOOKUP(RC_OUT[BLOCK],RC_IN[[BLOCK]:[BLOCK LOC]],2,FALSE)),"")</f>
        <v/>
      </c>
      <c r="I769" s="263" t="str">
        <f>IFERROR(AVERAGEIFS(RC_IN[MC],RC_IN[BLOCK],RC_OUT[BLOCK]),"")</f>
        <v/>
      </c>
      <c r="J769" s="264">
        <f t="shared" si="1"/>
        <v>0</v>
      </c>
      <c r="K769" s="246"/>
      <c r="L769" s="246"/>
      <c r="M769" s="249" t="str">
        <f t="shared" si="2"/>
        <v/>
      </c>
      <c r="N769" s="266">
        <f t="shared" si="3"/>
        <v>0</v>
      </c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</row>
    <row r="770">
      <c r="A770" s="273">
        <v>45817.0</v>
      </c>
      <c r="B770" s="275" t="s">
        <v>1238</v>
      </c>
      <c r="C770" s="275" t="s">
        <v>1244</v>
      </c>
      <c r="D770" s="276">
        <v>4000.0</v>
      </c>
      <c r="E770" s="275" t="s">
        <v>1017</v>
      </c>
      <c r="F770" s="277" t="s">
        <v>1059</v>
      </c>
      <c r="G770" s="278" t="str">
        <f>IFNA(IF(VLOOKUP(RC_OUT[BLOCK],RC_IN[[BLOCK]:[BLOCK LOC]],2,FALSE)=0,"",VLOOKUP(RC_OUT[BLOCK],RC_IN[[BLOCK]:[BLOCK LOC]],2,FALSE)),"")</f>
        <v/>
      </c>
      <c r="I770" s="263" t="str">
        <f>IFERROR(AVERAGEIFS(RC_IN[MC],RC_IN[BLOCK],RC_OUT[BLOCK]),"")</f>
        <v/>
      </c>
      <c r="J770" s="264">
        <f t="shared" si="1"/>
        <v>0</v>
      </c>
      <c r="K770" s="246"/>
      <c r="L770" s="246"/>
      <c r="M770" s="249" t="str">
        <f t="shared" si="2"/>
        <v/>
      </c>
      <c r="N770" s="266">
        <f t="shared" si="3"/>
        <v>0</v>
      </c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</row>
    <row r="771">
      <c r="A771" s="273">
        <v>45817.0</v>
      </c>
      <c r="B771" s="275" t="s">
        <v>1238</v>
      </c>
      <c r="C771" s="275" t="s">
        <v>1245</v>
      </c>
      <c r="D771" s="276">
        <v>3660.0</v>
      </c>
      <c r="E771" s="275" t="s">
        <v>1017</v>
      </c>
      <c r="F771" s="279"/>
      <c r="G771" s="278" t="str">
        <f>IFNA(IF(VLOOKUP(RC_OUT[BLOCK],RC_IN[[BLOCK]:[BLOCK LOC]],2,FALSE)=0,"",VLOOKUP(RC_OUT[BLOCK],RC_IN[[BLOCK]:[BLOCK LOC]],2,FALSE)),"")</f>
        <v/>
      </c>
      <c r="I771" s="263" t="str">
        <f>IFERROR(AVERAGEIFS(RC_IN[MC],RC_IN[BLOCK],RC_OUT[BLOCK]),"")</f>
        <v/>
      </c>
      <c r="J771" s="264">
        <f t="shared" si="1"/>
        <v>0</v>
      </c>
      <c r="K771" s="246"/>
      <c r="L771" s="246"/>
      <c r="M771" s="249" t="str">
        <f t="shared" si="2"/>
        <v/>
      </c>
      <c r="N771" s="266">
        <f t="shared" si="3"/>
        <v>0</v>
      </c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</row>
    <row r="772">
      <c r="A772" s="273">
        <v>45818.0</v>
      </c>
      <c r="B772" s="275" t="s">
        <v>1238</v>
      </c>
      <c r="C772" s="275" t="s">
        <v>1243</v>
      </c>
      <c r="D772" s="276">
        <v>19914.0</v>
      </c>
      <c r="E772" s="275" t="s">
        <v>1017</v>
      </c>
      <c r="F772" s="279"/>
      <c r="G772" s="278" t="str">
        <f>IFNA(IF(VLOOKUP(RC_OUT[BLOCK],RC_IN[[BLOCK]:[BLOCK LOC]],2,FALSE)=0,"",VLOOKUP(RC_OUT[BLOCK],RC_IN[[BLOCK]:[BLOCK LOC]],2,FALSE)),"")</f>
        <v/>
      </c>
      <c r="I772" s="263" t="str">
        <f>IFERROR(AVERAGEIFS(RC_IN[MC],RC_IN[BLOCK],RC_OUT[BLOCK]),"")</f>
        <v/>
      </c>
      <c r="J772" s="264">
        <f t="shared" si="1"/>
        <v>0</v>
      </c>
      <c r="K772" s="246"/>
      <c r="L772" s="246"/>
      <c r="M772" s="249" t="str">
        <f t="shared" si="2"/>
        <v/>
      </c>
      <c r="N772" s="266">
        <f t="shared" si="3"/>
        <v>0</v>
      </c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</row>
    <row r="773">
      <c r="A773" s="273">
        <v>45818.0</v>
      </c>
      <c r="B773" s="275" t="s">
        <v>1238</v>
      </c>
      <c r="C773" s="275" t="s">
        <v>1242</v>
      </c>
      <c r="D773" s="276">
        <v>5417.0</v>
      </c>
      <c r="E773" s="275" t="s">
        <v>1017</v>
      </c>
      <c r="F773" s="277" t="s">
        <v>1059</v>
      </c>
      <c r="G773" s="278" t="str">
        <f>IFNA(IF(VLOOKUP(RC_OUT[BLOCK],RC_IN[[BLOCK]:[BLOCK LOC]],2,FALSE)=0,"",VLOOKUP(RC_OUT[BLOCK],RC_IN[[BLOCK]:[BLOCK LOC]],2,FALSE)),"")</f>
        <v/>
      </c>
      <c r="I773" s="263" t="str">
        <f>IFERROR(AVERAGEIFS(RC_IN[MC],RC_IN[BLOCK],RC_OUT[BLOCK]),"")</f>
        <v/>
      </c>
      <c r="J773" s="264">
        <f t="shared" si="1"/>
        <v>0</v>
      </c>
      <c r="K773" s="246"/>
      <c r="L773" s="246"/>
      <c r="M773" s="249" t="str">
        <f t="shared" si="2"/>
        <v/>
      </c>
      <c r="N773" s="266">
        <f t="shared" si="3"/>
        <v>0</v>
      </c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</row>
    <row r="774">
      <c r="A774" s="273">
        <v>45818.0</v>
      </c>
      <c r="B774" s="275" t="s">
        <v>1238</v>
      </c>
      <c r="C774" s="275" t="s">
        <v>1246</v>
      </c>
      <c r="D774" s="276">
        <v>9765.0</v>
      </c>
      <c r="E774" s="275" t="s">
        <v>1017</v>
      </c>
      <c r="F774" s="279"/>
      <c r="G774" s="278" t="str">
        <f>IFNA(IF(VLOOKUP(RC_OUT[BLOCK],RC_IN[[BLOCK]:[BLOCK LOC]],2,FALSE)=0,"",VLOOKUP(RC_OUT[BLOCK],RC_IN[[BLOCK]:[BLOCK LOC]],2,FALSE)),"")</f>
        <v/>
      </c>
      <c r="I774" s="263" t="str">
        <f>IFERROR(AVERAGEIFS(RC_IN[MC],RC_IN[BLOCK],RC_OUT[BLOCK]),"")</f>
        <v/>
      </c>
      <c r="J774" s="264">
        <f t="shared" si="1"/>
        <v>0</v>
      </c>
      <c r="K774" s="246"/>
      <c r="L774" s="246"/>
      <c r="M774" s="249" t="str">
        <f t="shared" si="2"/>
        <v/>
      </c>
      <c r="N774" s="266">
        <f t="shared" si="3"/>
        <v>0</v>
      </c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</row>
    <row r="775">
      <c r="A775" s="273">
        <v>45818.0</v>
      </c>
      <c r="B775" s="275" t="s">
        <v>1238</v>
      </c>
      <c r="C775" s="275" t="s">
        <v>1245</v>
      </c>
      <c r="D775" s="276">
        <v>16000.0</v>
      </c>
      <c r="E775" s="275" t="s">
        <v>1017</v>
      </c>
      <c r="F775" s="277" t="s">
        <v>1059</v>
      </c>
      <c r="G775" s="278" t="str">
        <f>IFNA(IF(VLOOKUP(RC_OUT[BLOCK],RC_IN[[BLOCK]:[BLOCK LOC]],2,FALSE)=0,"",VLOOKUP(RC_OUT[BLOCK],RC_IN[[BLOCK]:[BLOCK LOC]],2,FALSE)),"")</f>
        <v/>
      </c>
      <c r="I775" s="263" t="str">
        <f>IFERROR(AVERAGEIFS(RC_IN[MC],RC_IN[BLOCK],RC_OUT[BLOCK]),"")</f>
        <v/>
      </c>
      <c r="J775" s="264">
        <f t="shared" si="1"/>
        <v>0</v>
      </c>
      <c r="K775" s="246"/>
      <c r="L775" s="246"/>
      <c r="M775" s="249" t="str">
        <f t="shared" si="2"/>
        <v/>
      </c>
      <c r="N775" s="266">
        <f t="shared" si="3"/>
        <v>0</v>
      </c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</row>
    <row r="776">
      <c r="A776" s="273">
        <v>45819.0</v>
      </c>
      <c r="B776" s="275" t="s">
        <v>1238</v>
      </c>
      <c r="C776" s="275" t="s">
        <v>1247</v>
      </c>
      <c r="D776" s="276">
        <v>9154.0</v>
      </c>
      <c r="E776" s="275" t="s">
        <v>1017</v>
      </c>
      <c r="F776" s="279"/>
      <c r="G776" s="278" t="str">
        <f>IFNA(IF(VLOOKUP(RC_OUT[BLOCK],RC_IN[[BLOCK]:[BLOCK LOC]],2,FALSE)=0,"",VLOOKUP(RC_OUT[BLOCK],RC_IN[[BLOCK]:[BLOCK LOC]],2,FALSE)),"")</f>
        <v/>
      </c>
      <c r="I776" s="263" t="str">
        <f>IFERROR(AVERAGEIFS(RC_IN[MC],RC_IN[BLOCK],RC_OUT[BLOCK]),"")</f>
        <v/>
      </c>
      <c r="J776" s="264">
        <f t="shared" si="1"/>
        <v>0</v>
      </c>
      <c r="K776" s="246"/>
      <c r="L776" s="246"/>
      <c r="M776" s="249" t="str">
        <f t="shared" si="2"/>
        <v/>
      </c>
      <c r="N776" s="266">
        <f t="shared" si="3"/>
        <v>0</v>
      </c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</row>
    <row r="777">
      <c r="A777" s="273">
        <v>45819.0</v>
      </c>
      <c r="B777" s="275" t="s">
        <v>1238</v>
      </c>
      <c r="C777" s="275" t="s">
        <v>1243</v>
      </c>
      <c r="D777" s="276">
        <v>1856.0</v>
      </c>
      <c r="E777" s="275" t="s">
        <v>1017</v>
      </c>
      <c r="F777" s="277" t="s">
        <v>1059</v>
      </c>
      <c r="G777" s="278" t="str">
        <f>IFNA(IF(VLOOKUP(RC_OUT[BLOCK],RC_IN[[BLOCK]:[BLOCK LOC]],2,FALSE)=0,"",VLOOKUP(RC_OUT[BLOCK],RC_IN[[BLOCK]:[BLOCK LOC]],2,FALSE)),"")</f>
        <v/>
      </c>
      <c r="I777" s="263" t="str">
        <f>IFERROR(AVERAGEIFS(RC_IN[MC],RC_IN[BLOCK],RC_OUT[BLOCK]),"")</f>
        <v/>
      </c>
      <c r="J777" s="264">
        <f t="shared" si="1"/>
        <v>0</v>
      </c>
      <c r="K777" s="246"/>
      <c r="L777" s="246"/>
      <c r="M777" s="249" t="str">
        <f t="shared" si="2"/>
        <v/>
      </c>
      <c r="N777" s="266">
        <f t="shared" si="3"/>
        <v>0</v>
      </c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</row>
    <row r="778">
      <c r="A778" s="273">
        <v>45819.0</v>
      </c>
      <c r="B778" s="275" t="s">
        <v>1238</v>
      </c>
      <c r="C778" s="275" t="s">
        <v>1248</v>
      </c>
      <c r="D778" s="276">
        <v>10617.0</v>
      </c>
      <c r="E778" s="275" t="s">
        <v>1017</v>
      </c>
      <c r="F778" s="279"/>
      <c r="G778" s="278" t="str">
        <f>IFNA(IF(VLOOKUP(RC_OUT[BLOCK],RC_IN[[BLOCK]:[BLOCK LOC]],2,FALSE)=0,"",VLOOKUP(RC_OUT[BLOCK],RC_IN[[BLOCK]:[BLOCK LOC]],2,FALSE)),"")</f>
        <v/>
      </c>
      <c r="I778" s="263" t="str">
        <f>IFERROR(AVERAGEIFS(RC_IN[MC],RC_IN[BLOCK],RC_OUT[BLOCK]),"")</f>
        <v/>
      </c>
      <c r="J778" s="264">
        <f t="shared" si="1"/>
        <v>0</v>
      </c>
      <c r="K778" s="246"/>
      <c r="L778" s="246"/>
      <c r="M778" s="249" t="str">
        <f t="shared" si="2"/>
        <v/>
      </c>
      <c r="N778" s="266">
        <f t="shared" si="3"/>
        <v>0</v>
      </c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</row>
    <row r="779">
      <c r="A779" s="273">
        <v>45819.0</v>
      </c>
      <c r="B779" s="275" t="s">
        <v>1238</v>
      </c>
      <c r="C779" s="275" t="s">
        <v>1246</v>
      </c>
      <c r="D779" s="276">
        <v>15183.0</v>
      </c>
      <c r="E779" s="275" t="s">
        <v>1017</v>
      </c>
      <c r="F779" s="279"/>
      <c r="G779" s="278" t="str">
        <f>IFNA(IF(VLOOKUP(RC_OUT[BLOCK],RC_IN[[BLOCK]:[BLOCK LOC]],2,FALSE)=0,"",VLOOKUP(RC_OUT[BLOCK],RC_IN[[BLOCK]:[BLOCK LOC]],2,FALSE)),"")</f>
        <v/>
      </c>
      <c r="I779" s="263" t="str">
        <f>IFERROR(AVERAGEIFS(RC_IN[MC],RC_IN[BLOCK],RC_OUT[BLOCK]),"")</f>
        <v/>
      </c>
      <c r="J779" s="264">
        <f t="shared" si="1"/>
        <v>0</v>
      </c>
      <c r="K779" s="246"/>
      <c r="L779" s="246"/>
      <c r="M779" s="249" t="str">
        <f t="shared" si="2"/>
        <v/>
      </c>
      <c r="N779" s="266">
        <f t="shared" si="3"/>
        <v>0</v>
      </c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</row>
    <row r="780">
      <c r="A780" s="273">
        <v>45820.0</v>
      </c>
      <c r="B780" s="275" t="s">
        <v>1238</v>
      </c>
      <c r="C780" s="275" t="s">
        <v>1247</v>
      </c>
      <c r="D780" s="276">
        <v>10024.0</v>
      </c>
      <c r="E780" s="275" t="s">
        <v>1017</v>
      </c>
      <c r="F780" s="279"/>
      <c r="G780" s="278" t="str">
        <f>IFNA(IF(VLOOKUP(RC_OUT[BLOCK],RC_IN[[BLOCK]:[BLOCK LOC]],2,FALSE)=0,"",VLOOKUP(RC_OUT[BLOCK],RC_IN[[BLOCK]:[BLOCK LOC]],2,FALSE)),"")</f>
        <v/>
      </c>
      <c r="I780" s="263" t="str">
        <f>IFERROR(AVERAGEIFS(RC_IN[MC],RC_IN[BLOCK],RC_OUT[BLOCK]),"")</f>
        <v/>
      </c>
      <c r="J780" s="264">
        <f t="shared" si="1"/>
        <v>0</v>
      </c>
      <c r="K780" s="246"/>
      <c r="L780" s="246"/>
      <c r="M780" s="249" t="str">
        <f t="shared" si="2"/>
        <v/>
      </c>
      <c r="N780" s="266">
        <f t="shared" si="3"/>
        <v>0</v>
      </c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</row>
    <row r="781">
      <c r="A781" s="273">
        <v>45820.0</v>
      </c>
      <c r="B781" s="275" t="s">
        <v>1238</v>
      </c>
      <c r="C781" s="275" t="s">
        <v>1248</v>
      </c>
      <c r="D781" s="276">
        <v>9079.0</v>
      </c>
      <c r="E781" s="275" t="s">
        <v>1017</v>
      </c>
      <c r="F781" s="279"/>
      <c r="G781" s="278" t="str">
        <f>IFNA(IF(VLOOKUP(RC_OUT[BLOCK],RC_IN[[BLOCK]:[BLOCK LOC]],2,FALSE)=0,"",VLOOKUP(RC_OUT[BLOCK],RC_IN[[BLOCK]:[BLOCK LOC]],2,FALSE)),"")</f>
        <v/>
      </c>
      <c r="I781" s="263" t="str">
        <f>IFERROR(AVERAGEIFS(RC_IN[MC],RC_IN[BLOCK],RC_OUT[BLOCK]),"")</f>
        <v/>
      </c>
      <c r="J781" s="264">
        <f t="shared" si="1"/>
        <v>0</v>
      </c>
      <c r="K781" s="246"/>
      <c r="L781" s="246"/>
      <c r="M781" s="249" t="str">
        <f t="shared" si="2"/>
        <v/>
      </c>
      <c r="N781" s="266">
        <f t="shared" si="3"/>
        <v>0</v>
      </c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</row>
    <row r="782">
      <c r="A782" s="273">
        <v>45820.0</v>
      </c>
      <c r="B782" s="275" t="s">
        <v>1238</v>
      </c>
      <c r="C782" s="275" t="s">
        <v>1246</v>
      </c>
      <c r="D782" s="276">
        <v>14646.0</v>
      </c>
      <c r="E782" s="275" t="s">
        <v>1017</v>
      </c>
      <c r="F782" s="279"/>
      <c r="G782" s="278" t="str">
        <f>IFNA(IF(VLOOKUP(RC_OUT[BLOCK],RC_IN[[BLOCK]:[BLOCK LOC]],2,FALSE)=0,"",VLOOKUP(RC_OUT[BLOCK],RC_IN[[BLOCK]:[BLOCK LOC]],2,FALSE)),"")</f>
        <v/>
      </c>
      <c r="I782" s="263" t="str">
        <f>IFERROR(AVERAGEIFS(RC_IN[MC],RC_IN[BLOCK],RC_OUT[BLOCK]),"")</f>
        <v/>
      </c>
      <c r="J782" s="264">
        <f t="shared" si="1"/>
        <v>0</v>
      </c>
      <c r="K782" s="246"/>
      <c r="L782" s="246"/>
      <c r="M782" s="249" t="str">
        <f t="shared" si="2"/>
        <v/>
      </c>
      <c r="N782" s="266">
        <f t="shared" si="3"/>
        <v>0</v>
      </c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</row>
    <row r="783">
      <c r="A783" s="273">
        <v>45821.0</v>
      </c>
      <c r="B783" s="275" t="s">
        <v>1238</v>
      </c>
      <c r="C783" s="275" t="s">
        <v>1247</v>
      </c>
      <c r="D783" s="276">
        <v>10348.0</v>
      </c>
      <c r="E783" s="275" t="s">
        <v>1017</v>
      </c>
      <c r="F783" s="279"/>
      <c r="G783" s="278" t="str">
        <f>IFNA(IF(VLOOKUP(RC_OUT[BLOCK],RC_IN[[BLOCK]:[BLOCK LOC]],2,FALSE)=0,"",VLOOKUP(RC_OUT[BLOCK],RC_IN[[BLOCK]:[BLOCK LOC]],2,FALSE)),"")</f>
        <v/>
      </c>
      <c r="I783" s="263" t="str">
        <f>IFERROR(AVERAGEIFS(RC_IN[MC],RC_IN[BLOCK],RC_OUT[BLOCK]),"")</f>
        <v/>
      </c>
      <c r="J783" s="264">
        <f t="shared" si="1"/>
        <v>0</v>
      </c>
      <c r="K783" s="246"/>
      <c r="L783" s="246"/>
      <c r="M783" s="249" t="str">
        <f t="shared" si="2"/>
        <v/>
      </c>
      <c r="N783" s="266">
        <f t="shared" si="3"/>
        <v>0</v>
      </c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</row>
    <row r="784">
      <c r="A784" s="273">
        <v>45821.0</v>
      </c>
      <c r="B784" s="275" t="s">
        <v>1238</v>
      </c>
      <c r="C784" s="275" t="s">
        <v>1248</v>
      </c>
      <c r="D784" s="276">
        <v>9748.0</v>
      </c>
      <c r="E784" s="275" t="s">
        <v>1017</v>
      </c>
      <c r="F784" s="279"/>
      <c r="G784" s="278" t="str">
        <f>IFNA(IF(VLOOKUP(RC_OUT[BLOCK],RC_IN[[BLOCK]:[BLOCK LOC]],2,FALSE)=0,"",VLOOKUP(RC_OUT[BLOCK],RC_IN[[BLOCK]:[BLOCK LOC]],2,FALSE)),"")</f>
        <v/>
      </c>
      <c r="I784" s="263" t="str">
        <f>IFERROR(AVERAGEIFS(RC_IN[MC],RC_IN[BLOCK],RC_OUT[BLOCK]),"")</f>
        <v/>
      </c>
      <c r="J784" s="264">
        <f t="shared" si="1"/>
        <v>0</v>
      </c>
      <c r="K784" s="246"/>
      <c r="L784" s="246"/>
      <c r="M784" s="249" t="str">
        <f t="shared" si="2"/>
        <v/>
      </c>
      <c r="N784" s="266">
        <f t="shared" si="3"/>
        <v>0</v>
      </c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</row>
    <row r="785">
      <c r="A785" s="273">
        <v>45821.0</v>
      </c>
      <c r="B785" s="275" t="s">
        <v>1238</v>
      </c>
      <c r="C785" s="275" t="s">
        <v>1246</v>
      </c>
      <c r="D785" s="276">
        <v>13579.0</v>
      </c>
      <c r="E785" s="275" t="s">
        <v>1017</v>
      </c>
      <c r="F785" s="279"/>
      <c r="G785" s="278" t="str">
        <f>IFNA(IF(VLOOKUP(RC_OUT[BLOCK],RC_IN[[BLOCK]:[BLOCK LOC]],2,FALSE)=0,"",VLOOKUP(RC_OUT[BLOCK],RC_IN[[BLOCK]:[BLOCK LOC]],2,FALSE)),"")</f>
        <v/>
      </c>
      <c r="I785" s="263" t="str">
        <f>IFERROR(AVERAGEIFS(RC_IN[MC],RC_IN[BLOCK],RC_OUT[BLOCK]),"")</f>
        <v/>
      </c>
      <c r="J785" s="264">
        <f t="shared" si="1"/>
        <v>0</v>
      </c>
      <c r="K785" s="246"/>
      <c r="L785" s="246"/>
      <c r="M785" s="249" t="str">
        <f t="shared" si="2"/>
        <v/>
      </c>
      <c r="N785" s="266">
        <f t="shared" si="3"/>
        <v>0</v>
      </c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</row>
    <row r="786">
      <c r="A786" s="273">
        <v>45821.0</v>
      </c>
      <c r="B786" s="275" t="s">
        <v>1238</v>
      </c>
      <c r="C786" s="275" t="s">
        <v>1249</v>
      </c>
      <c r="D786" s="276">
        <v>5330.0</v>
      </c>
      <c r="E786" s="275" t="s">
        <v>1017</v>
      </c>
      <c r="F786" s="279"/>
      <c r="G786" s="278" t="str">
        <f>IFNA(IF(VLOOKUP(RC_OUT[BLOCK],RC_IN[[BLOCK]:[BLOCK LOC]],2,FALSE)=0,"",VLOOKUP(RC_OUT[BLOCK],RC_IN[[BLOCK]:[BLOCK LOC]],2,FALSE)),"")</f>
        <v/>
      </c>
      <c r="I786" s="263" t="str">
        <f>IFERROR(AVERAGEIFS(RC_IN[MC],RC_IN[BLOCK],RC_OUT[BLOCK]),"")</f>
        <v/>
      </c>
      <c r="J786" s="264">
        <f t="shared" si="1"/>
        <v>0</v>
      </c>
      <c r="K786" s="246"/>
      <c r="L786" s="246"/>
      <c r="M786" s="249" t="str">
        <f t="shared" si="2"/>
        <v/>
      </c>
      <c r="N786" s="266">
        <f t="shared" si="3"/>
        <v>0</v>
      </c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</row>
    <row r="787">
      <c r="A787" s="274"/>
      <c r="B787" s="274"/>
      <c r="C787" s="274"/>
      <c r="D787" s="283"/>
      <c r="E787" s="274"/>
      <c r="F787" s="279"/>
      <c r="G787" s="278" t="str">
        <f>IFNA(IF(VLOOKUP(RC_OUT[BLOCK],RC_IN[[BLOCK]:[BLOCK LOC]],2,FALSE)=0,"",VLOOKUP(RC_OUT[BLOCK],RC_IN[[BLOCK]:[BLOCK LOC]],2,FALSE)),"")</f>
        <v/>
      </c>
      <c r="I787" s="263" t="str">
        <f>IFERROR(AVERAGEIFS(RC_IN[MC],RC_IN[BLOCK],RC_OUT[BLOCK]),"")</f>
        <v/>
      </c>
      <c r="J787" s="264">
        <f t="shared" si="1"/>
        <v>0</v>
      </c>
      <c r="K787" s="246"/>
      <c r="L787" s="246"/>
      <c r="M787" s="249" t="str">
        <f t="shared" si="2"/>
        <v/>
      </c>
      <c r="N787" s="266">
        <f t="shared" si="3"/>
        <v>0</v>
      </c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</row>
    <row r="788">
      <c r="A788" s="273">
        <v>45824.0</v>
      </c>
      <c r="B788" s="275" t="s">
        <v>1238</v>
      </c>
      <c r="C788" s="275" t="s">
        <v>1246</v>
      </c>
      <c r="D788" s="276">
        <v>1472.0</v>
      </c>
      <c r="E788" s="275" t="s">
        <v>1017</v>
      </c>
      <c r="F788" s="277" t="s">
        <v>1059</v>
      </c>
      <c r="G788" s="278" t="str">
        <f>IFNA(IF(VLOOKUP(RC_OUT[BLOCK],RC_IN[[BLOCK]:[BLOCK LOC]],2,FALSE)=0,"",VLOOKUP(RC_OUT[BLOCK],RC_IN[[BLOCK]:[BLOCK LOC]],2,FALSE)),"")</f>
        <v/>
      </c>
      <c r="I788" s="263" t="str">
        <f>IFERROR(AVERAGEIFS(RC_IN[MC],RC_IN[BLOCK],RC_OUT[BLOCK]),"")</f>
        <v/>
      </c>
      <c r="J788" s="264">
        <f t="shared" si="1"/>
        <v>0</v>
      </c>
      <c r="K788" s="246"/>
      <c r="L788" s="246"/>
      <c r="M788" s="249" t="str">
        <f t="shared" si="2"/>
        <v/>
      </c>
      <c r="N788" s="266">
        <f t="shared" si="3"/>
        <v>0</v>
      </c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</row>
    <row r="789">
      <c r="A789" s="273">
        <v>45824.0</v>
      </c>
      <c r="B789" s="275" t="s">
        <v>1238</v>
      </c>
      <c r="C789" s="275" t="s">
        <v>1247</v>
      </c>
      <c r="D789" s="276">
        <v>14409.0</v>
      </c>
      <c r="E789" s="275" t="s">
        <v>1017</v>
      </c>
      <c r="F789" s="279"/>
      <c r="G789" s="278" t="str">
        <f>IFNA(IF(VLOOKUP(RC_OUT[BLOCK],RC_IN[[BLOCK]:[BLOCK LOC]],2,FALSE)=0,"",VLOOKUP(RC_OUT[BLOCK],RC_IN[[BLOCK]:[BLOCK LOC]],2,FALSE)),"")</f>
        <v/>
      </c>
      <c r="I789" s="263" t="str">
        <f>IFERROR(AVERAGEIFS(RC_IN[MC],RC_IN[BLOCK],RC_OUT[BLOCK]),"")</f>
        <v/>
      </c>
      <c r="J789" s="264">
        <f t="shared" si="1"/>
        <v>0</v>
      </c>
      <c r="K789" s="246"/>
      <c r="L789" s="246"/>
      <c r="M789" s="249" t="str">
        <f t="shared" si="2"/>
        <v/>
      </c>
      <c r="N789" s="266">
        <f t="shared" si="3"/>
        <v>0</v>
      </c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</row>
    <row r="790">
      <c r="A790" s="273">
        <v>45824.0</v>
      </c>
      <c r="B790" s="275" t="s">
        <v>1238</v>
      </c>
      <c r="C790" s="275" t="s">
        <v>1248</v>
      </c>
      <c r="D790" s="276">
        <v>7200.0</v>
      </c>
      <c r="E790" s="275" t="s">
        <v>1017</v>
      </c>
      <c r="F790" s="279"/>
      <c r="G790" s="278" t="str">
        <f>IFNA(IF(VLOOKUP(RC_OUT[BLOCK],RC_IN[[BLOCK]:[BLOCK LOC]],2,FALSE)=0,"",VLOOKUP(RC_OUT[BLOCK],RC_IN[[BLOCK]:[BLOCK LOC]],2,FALSE)),"")</f>
        <v/>
      </c>
      <c r="I790" s="263" t="str">
        <f>IFERROR(AVERAGEIFS(RC_IN[MC],RC_IN[BLOCK],RC_OUT[BLOCK]),"")</f>
        <v/>
      </c>
      <c r="J790" s="264">
        <f t="shared" si="1"/>
        <v>0</v>
      </c>
      <c r="K790" s="246"/>
      <c r="L790" s="246"/>
      <c r="M790" s="249" t="str">
        <f t="shared" si="2"/>
        <v/>
      </c>
      <c r="N790" s="266">
        <f t="shared" si="3"/>
        <v>0</v>
      </c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</row>
    <row r="791">
      <c r="A791" s="273">
        <v>45824.0</v>
      </c>
      <c r="B791" s="275" t="s">
        <v>1238</v>
      </c>
      <c r="C791" s="275" t="s">
        <v>1249</v>
      </c>
      <c r="D791" s="276">
        <v>14000.0</v>
      </c>
      <c r="E791" s="275" t="s">
        <v>1017</v>
      </c>
      <c r="F791" s="277" t="s">
        <v>1059</v>
      </c>
      <c r="G791" s="278" t="str">
        <f>IFNA(IF(VLOOKUP(RC_OUT[BLOCK],RC_IN[[BLOCK]:[BLOCK LOC]],2,FALSE)=0,"",VLOOKUP(RC_OUT[BLOCK],RC_IN[[BLOCK]:[BLOCK LOC]],2,FALSE)),"")</f>
        <v/>
      </c>
      <c r="I791" s="263" t="str">
        <f>IFERROR(AVERAGEIFS(RC_IN[MC],RC_IN[BLOCK],RC_OUT[BLOCK]),"")</f>
        <v/>
      </c>
      <c r="J791" s="264">
        <f t="shared" si="1"/>
        <v>0</v>
      </c>
      <c r="K791" s="246"/>
      <c r="L791" s="246"/>
      <c r="M791" s="249" t="str">
        <f t="shared" si="2"/>
        <v/>
      </c>
      <c r="N791" s="266">
        <f t="shared" si="3"/>
        <v>0</v>
      </c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</row>
    <row r="792">
      <c r="A792" s="273">
        <v>45824.0</v>
      </c>
      <c r="B792" s="275" t="s">
        <v>1238</v>
      </c>
      <c r="C792" s="275" t="s">
        <v>1250</v>
      </c>
      <c r="D792" s="276">
        <v>15301.0</v>
      </c>
      <c r="E792" s="275" t="s">
        <v>1017</v>
      </c>
      <c r="F792" s="279"/>
      <c r="G792" s="278" t="str">
        <f>IFNA(IF(VLOOKUP(RC_OUT[BLOCK],RC_IN[[BLOCK]:[BLOCK LOC]],2,FALSE)=0,"",VLOOKUP(RC_OUT[BLOCK],RC_IN[[BLOCK]:[BLOCK LOC]],2,FALSE)),"")</f>
        <v/>
      </c>
      <c r="I792" s="263" t="str">
        <f>IFERROR(AVERAGEIFS(RC_IN[MC],RC_IN[BLOCK],RC_OUT[BLOCK]),"")</f>
        <v/>
      </c>
      <c r="J792" s="264">
        <f t="shared" si="1"/>
        <v>0</v>
      </c>
      <c r="K792" s="246"/>
      <c r="L792" s="246"/>
      <c r="M792" s="249" t="str">
        <f t="shared" si="2"/>
        <v/>
      </c>
      <c r="N792" s="266">
        <f t="shared" si="3"/>
        <v>0</v>
      </c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</row>
    <row r="793">
      <c r="A793" s="274"/>
      <c r="B793" s="274"/>
      <c r="C793" s="274"/>
      <c r="D793" s="283"/>
      <c r="E793" s="274"/>
      <c r="F793" s="279"/>
      <c r="G793" s="278" t="str">
        <f>IFNA(IF(VLOOKUP(RC_OUT[BLOCK],RC_IN[[BLOCK]:[BLOCK LOC]],2,FALSE)=0,"",VLOOKUP(RC_OUT[BLOCK],RC_IN[[BLOCK]:[BLOCK LOC]],2,FALSE)),"")</f>
        <v/>
      </c>
      <c r="I793" s="263" t="str">
        <f>IFERROR(AVERAGEIFS(RC_IN[MC],RC_IN[BLOCK],RC_OUT[BLOCK]),"")</f>
        <v/>
      </c>
      <c r="J793" s="264">
        <f t="shared" si="1"/>
        <v>0</v>
      </c>
      <c r="K793" s="246"/>
      <c r="L793" s="246"/>
      <c r="M793" s="249" t="str">
        <f t="shared" si="2"/>
        <v/>
      </c>
      <c r="N793" s="266">
        <f t="shared" si="3"/>
        <v>0</v>
      </c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</row>
    <row r="794">
      <c r="A794" s="273">
        <v>45826.0</v>
      </c>
      <c r="B794" s="275" t="s">
        <v>1238</v>
      </c>
      <c r="C794" s="275" t="s">
        <v>1247</v>
      </c>
      <c r="D794" s="276">
        <v>18570.0</v>
      </c>
      <c r="E794" s="275" t="s">
        <v>1017</v>
      </c>
      <c r="F794" s="277" t="s">
        <v>1059</v>
      </c>
      <c r="G794" s="278" t="str">
        <f>IFNA(IF(VLOOKUP(RC_OUT[BLOCK],RC_IN[[BLOCK]:[BLOCK LOC]],2,FALSE)=0,"",VLOOKUP(RC_OUT[BLOCK],RC_IN[[BLOCK]:[BLOCK LOC]],2,FALSE)),"")</f>
        <v/>
      </c>
      <c r="I794" s="263" t="str">
        <f>IFERROR(AVERAGEIFS(RC_IN[MC],RC_IN[BLOCK],RC_OUT[BLOCK]),"")</f>
        <v/>
      </c>
      <c r="J794" s="264">
        <f t="shared" si="1"/>
        <v>0</v>
      </c>
      <c r="K794" s="246"/>
      <c r="L794" s="246"/>
      <c r="M794" s="249" t="str">
        <f t="shared" si="2"/>
        <v/>
      </c>
      <c r="N794" s="266">
        <f t="shared" si="3"/>
        <v>0</v>
      </c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</row>
    <row r="795">
      <c r="A795" s="273">
        <v>45826.0</v>
      </c>
      <c r="B795" s="275" t="s">
        <v>1238</v>
      </c>
      <c r="C795" s="275" t="s">
        <v>1248</v>
      </c>
      <c r="D795" s="276">
        <v>10504.0</v>
      </c>
      <c r="E795" s="275" t="s">
        <v>1017</v>
      </c>
      <c r="F795" s="279"/>
      <c r="G795" s="278" t="str">
        <f>IFNA(IF(VLOOKUP(RC_OUT[BLOCK],RC_IN[[BLOCK]:[BLOCK LOC]],2,FALSE)=0,"",VLOOKUP(RC_OUT[BLOCK],RC_IN[[BLOCK]:[BLOCK LOC]],2,FALSE)),"")</f>
        <v/>
      </c>
      <c r="I795" s="263" t="str">
        <f>IFERROR(AVERAGEIFS(RC_IN[MC],RC_IN[BLOCK],RC_OUT[BLOCK]),"")</f>
        <v/>
      </c>
      <c r="J795" s="264">
        <f t="shared" si="1"/>
        <v>0</v>
      </c>
      <c r="K795" s="246"/>
      <c r="L795" s="246"/>
      <c r="M795" s="249" t="str">
        <f t="shared" si="2"/>
        <v/>
      </c>
      <c r="N795" s="266">
        <f t="shared" si="3"/>
        <v>0</v>
      </c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</row>
    <row r="796">
      <c r="A796" s="273">
        <v>45826.0</v>
      </c>
      <c r="B796" s="275" t="s">
        <v>1238</v>
      </c>
      <c r="C796" s="275" t="s">
        <v>1250</v>
      </c>
      <c r="D796" s="276">
        <v>19093.0</v>
      </c>
      <c r="E796" s="275" t="s">
        <v>1017</v>
      </c>
      <c r="F796" s="279"/>
      <c r="G796" s="278" t="str">
        <f>IFNA(IF(VLOOKUP(RC_OUT[BLOCK],RC_IN[[BLOCK]:[BLOCK LOC]],2,FALSE)=0,"",VLOOKUP(RC_OUT[BLOCK],RC_IN[[BLOCK]:[BLOCK LOC]],2,FALSE)),"")</f>
        <v/>
      </c>
      <c r="I796" s="263" t="str">
        <f>IFERROR(AVERAGEIFS(RC_IN[MC],RC_IN[BLOCK],RC_OUT[BLOCK]),"")</f>
        <v/>
      </c>
      <c r="J796" s="264">
        <f t="shared" si="1"/>
        <v>0</v>
      </c>
      <c r="K796" s="246"/>
      <c r="L796" s="246"/>
      <c r="M796" s="249" t="str">
        <f t="shared" si="2"/>
        <v/>
      </c>
      <c r="N796" s="266">
        <f t="shared" si="3"/>
        <v>0</v>
      </c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</row>
    <row r="797">
      <c r="A797" s="274"/>
      <c r="B797" s="274"/>
      <c r="C797" s="274"/>
      <c r="D797" s="283"/>
      <c r="E797" s="274"/>
      <c r="F797" s="279"/>
      <c r="G797" s="278" t="str">
        <f>IFNA(IF(VLOOKUP(RC_OUT[BLOCK],RC_IN[[BLOCK]:[BLOCK LOC]],2,FALSE)=0,"",VLOOKUP(RC_OUT[BLOCK],RC_IN[[BLOCK]:[BLOCK LOC]],2,FALSE)),"")</f>
        <v/>
      </c>
      <c r="I797" s="263" t="str">
        <f>IFERROR(AVERAGEIFS(RC_IN[MC],RC_IN[BLOCK],RC_OUT[BLOCK]),"")</f>
        <v/>
      </c>
      <c r="J797" s="264">
        <f t="shared" si="1"/>
        <v>0</v>
      </c>
      <c r="K797" s="246"/>
      <c r="L797" s="246"/>
      <c r="M797" s="249" t="str">
        <f t="shared" si="2"/>
        <v/>
      </c>
      <c r="N797" s="266">
        <f t="shared" si="3"/>
        <v>0</v>
      </c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</row>
    <row r="798">
      <c r="A798" s="273">
        <v>45827.0</v>
      </c>
      <c r="B798" s="275" t="s">
        <v>1238</v>
      </c>
      <c r="C798" s="275" t="s">
        <v>1248</v>
      </c>
      <c r="D798" s="276">
        <v>14644.0</v>
      </c>
      <c r="E798" s="275" t="s">
        <v>1017</v>
      </c>
      <c r="F798" s="279"/>
      <c r="G798" s="278" t="str">
        <f>IFNA(IF(VLOOKUP(RC_OUT[BLOCK],RC_IN[[BLOCK]:[BLOCK LOC]],2,FALSE)=0,"",VLOOKUP(RC_OUT[BLOCK],RC_IN[[BLOCK]:[BLOCK LOC]],2,FALSE)),"")</f>
        <v/>
      </c>
      <c r="I798" s="263" t="str">
        <f>IFERROR(AVERAGEIFS(RC_IN[MC],RC_IN[BLOCK],RC_OUT[BLOCK]),"")</f>
        <v/>
      </c>
      <c r="J798" s="264">
        <f t="shared" si="1"/>
        <v>0</v>
      </c>
      <c r="K798" s="246"/>
      <c r="L798" s="246"/>
      <c r="M798" s="249" t="str">
        <f t="shared" si="2"/>
        <v/>
      </c>
      <c r="N798" s="266">
        <f t="shared" si="3"/>
        <v>0</v>
      </c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</row>
    <row r="799">
      <c r="A799" s="273">
        <v>45827.0</v>
      </c>
      <c r="B799" s="275" t="s">
        <v>1238</v>
      </c>
      <c r="C799" s="275" t="s">
        <v>1250</v>
      </c>
      <c r="D799" s="276">
        <v>15101.0</v>
      </c>
      <c r="E799" s="275" t="s">
        <v>1017</v>
      </c>
      <c r="F799" s="277" t="s">
        <v>1059</v>
      </c>
      <c r="G799" s="278" t="str">
        <f>IFNA(IF(VLOOKUP(RC_OUT[BLOCK],RC_IN[[BLOCK]:[BLOCK LOC]],2,FALSE)=0,"",VLOOKUP(RC_OUT[BLOCK],RC_IN[[BLOCK]:[BLOCK LOC]],2,FALSE)),"")</f>
        <v/>
      </c>
      <c r="I799" s="263" t="str">
        <f>IFERROR(AVERAGEIFS(RC_IN[MC],RC_IN[BLOCK],RC_OUT[BLOCK]),"")</f>
        <v/>
      </c>
      <c r="J799" s="264">
        <f t="shared" si="1"/>
        <v>0</v>
      </c>
      <c r="K799" s="246"/>
      <c r="L799" s="246"/>
      <c r="M799" s="249" t="str">
        <f t="shared" si="2"/>
        <v/>
      </c>
      <c r="N799" s="266">
        <f t="shared" si="3"/>
        <v>0</v>
      </c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</row>
    <row r="800">
      <c r="A800" s="273">
        <v>45827.0</v>
      </c>
      <c r="B800" s="275" t="s">
        <v>1238</v>
      </c>
      <c r="C800" s="275" t="s">
        <v>1251</v>
      </c>
      <c r="D800" s="276">
        <v>20351.0</v>
      </c>
      <c r="E800" s="275" t="s">
        <v>1017</v>
      </c>
      <c r="F800" s="279"/>
      <c r="G800" s="278" t="str">
        <f>IFNA(IF(VLOOKUP(RC_OUT[BLOCK],RC_IN[[BLOCK]:[BLOCK LOC]],2,FALSE)=0,"",VLOOKUP(RC_OUT[BLOCK],RC_IN[[BLOCK]:[BLOCK LOC]],2,FALSE)),"")</f>
        <v/>
      </c>
      <c r="I800" s="263" t="str">
        <f>IFERROR(AVERAGEIFS(RC_IN[MC],RC_IN[BLOCK],RC_OUT[BLOCK]),"")</f>
        <v/>
      </c>
      <c r="J800" s="264">
        <f t="shared" si="1"/>
        <v>0</v>
      </c>
      <c r="K800" s="246"/>
      <c r="L800" s="246"/>
      <c r="M800" s="249" t="str">
        <f t="shared" si="2"/>
        <v/>
      </c>
      <c r="N800" s="266">
        <f t="shared" si="3"/>
        <v>0</v>
      </c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</row>
    <row r="801">
      <c r="A801" s="274"/>
      <c r="B801" s="274"/>
      <c r="C801" s="274"/>
      <c r="D801" s="283"/>
      <c r="E801" s="274"/>
      <c r="F801" s="279"/>
      <c r="G801" s="278" t="str">
        <f>IFNA(IF(VLOOKUP(RC_OUT[BLOCK],RC_IN[[BLOCK]:[BLOCK LOC]],2,FALSE)=0,"",VLOOKUP(RC_OUT[BLOCK],RC_IN[[BLOCK]:[BLOCK LOC]],2,FALSE)),"")</f>
        <v/>
      </c>
      <c r="I801" s="263" t="str">
        <f>IFERROR(AVERAGEIFS(RC_IN[MC],RC_IN[BLOCK],RC_OUT[BLOCK]),"")</f>
        <v/>
      </c>
      <c r="J801" s="264">
        <f t="shared" si="1"/>
        <v>0</v>
      </c>
      <c r="K801" s="246"/>
      <c r="L801" s="246"/>
      <c r="M801" s="249" t="str">
        <f t="shared" si="2"/>
        <v/>
      </c>
      <c r="N801" s="266">
        <f t="shared" si="3"/>
        <v>0</v>
      </c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</row>
    <row r="802">
      <c r="A802" s="273">
        <v>45831.0</v>
      </c>
      <c r="B802" s="275" t="s">
        <v>1238</v>
      </c>
      <c r="C802" s="275" t="s">
        <v>1248</v>
      </c>
      <c r="D802" s="276">
        <v>3696.0</v>
      </c>
      <c r="E802" s="275" t="s">
        <v>1017</v>
      </c>
      <c r="F802" s="277" t="s">
        <v>1059</v>
      </c>
      <c r="G802" s="278" t="str">
        <f>IFNA(IF(VLOOKUP(RC_OUT[BLOCK],RC_IN[[BLOCK]:[BLOCK LOC]],2,FALSE)=0,"",VLOOKUP(RC_OUT[BLOCK],RC_IN[[BLOCK]:[BLOCK LOC]],2,FALSE)),"")</f>
        <v/>
      </c>
      <c r="I802" s="263" t="str">
        <f>IFERROR(AVERAGEIFS(RC_IN[MC],RC_IN[BLOCK],RC_OUT[BLOCK]),"")</f>
        <v/>
      </c>
      <c r="J802" s="264">
        <f t="shared" si="1"/>
        <v>0</v>
      </c>
      <c r="K802" s="246"/>
      <c r="L802" s="246"/>
      <c r="M802" s="249" t="str">
        <f t="shared" si="2"/>
        <v/>
      </c>
      <c r="N802" s="266">
        <f t="shared" si="3"/>
        <v>0</v>
      </c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</row>
    <row r="803">
      <c r="A803" s="273">
        <v>45831.0</v>
      </c>
      <c r="B803" s="275" t="s">
        <v>1238</v>
      </c>
      <c r="C803" s="275" t="s">
        <v>1251</v>
      </c>
      <c r="D803" s="276">
        <v>12263.0</v>
      </c>
      <c r="E803" s="275" t="s">
        <v>1017</v>
      </c>
      <c r="F803" s="277" t="s">
        <v>1059</v>
      </c>
      <c r="G803" s="278" t="str">
        <f>IFNA(IF(VLOOKUP(RC_OUT[BLOCK],RC_IN[[BLOCK]:[BLOCK LOC]],2,FALSE)=0,"",VLOOKUP(RC_OUT[BLOCK],RC_IN[[BLOCK]:[BLOCK LOC]],2,FALSE)),"")</f>
        <v/>
      </c>
      <c r="I803" s="263" t="str">
        <f>IFERROR(AVERAGEIFS(RC_IN[MC],RC_IN[BLOCK],RC_OUT[BLOCK]),"")</f>
        <v/>
      </c>
      <c r="J803" s="264">
        <f t="shared" si="1"/>
        <v>0</v>
      </c>
      <c r="K803" s="246"/>
      <c r="L803" s="246"/>
      <c r="M803" s="249" t="str">
        <f t="shared" si="2"/>
        <v/>
      </c>
      <c r="N803" s="266">
        <f t="shared" si="3"/>
        <v>0</v>
      </c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</row>
    <row r="804">
      <c r="A804" s="273">
        <v>45831.0</v>
      </c>
      <c r="B804" s="275" t="s">
        <v>1238</v>
      </c>
      <c r="C804" s="275" t="s">
        <v>1252</v>
      </c>
      <c r="D804" s="276">
        <v>12130.0</v>
      </c>
      <c r="E804" s="275" t="s">
        <v>1017</v>
      </c>
      <c r="F804" s="279"/>
      <c r="G804" s="278" t="str">
        <f>IFNA(IF(VLOOKUP(RC_OUT[BLOCK],RC_IN[[BLOCK]:[BLOCK LOC]],2,FALSE)=0,"",VLOOKUP(RC_OUT[BLOCK],RC_IN[[BLOCK]:[BLOCK LOC]],2,FALSE)),"")</f>
        <v/>
      </c>
      <c r="I804" s="263" t="str">
        <f>IFERROR(AVERAGEIFS(RC_IN[MC],RC_IN[BLOCK],RC_OUT[BLOCK]),"")</f>
        <v/>
      </c>
      <c r="J804" s="264">
        <f t="shared" si="1"/>
        <v>0</v>
      </c>
      <c r="K804" s="246"/>
      <c r="L804" s="246"/>
      <c r="M804" s="249" t="str">
        <f t="shared" si="2"/>
        <v/>
      </c>
      <c r="N804" s="266">
        <f t="shared" si="3"/>
        <v>0</v>
      </c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</row>
    <row r="805">
      <c r="A805" s="273">
        <v>45831.0</v>
      </c>
      <c r="B805" s="275" t="s">
        <v>1238</v>
      </c>
      <c r="C805" s="275" t="s">
        <v>1253</v>
      </c>
      <c r="D805" s="276">
        <v>2225.0</v>
      </c>
      <c r="E805" s="275" t="s">
        <v>1017</v>
      </c>
      <c r="F805" s="279"/>
      <c r="G805" s="278" t="str">
        <f>IFNA(IF(VLOOKUP(RC_OUT[BLOCK],RC_IN[[BLOCK]:[BLOCK LOC]],2,FALSE)=0,"",VLOOKUP(RC_OUT[BLOCK],RC_IN[[BLOCK]:[BLOCK LOC]],2,FALSE)),"")</f>
        <v/>
      </c>
      <c r="I805" s="263" t="str">
        <f>IFERROR(AVERAGEIFS(RC_IN[MC],RC_IN[BLOCK],RC_OUT[BLOCK]),"")</f>
        <v/>
      </c>
      <c r="J805" s="264">
        <f t="shared" si="1"/>
        <v>0</v>
      </c>
      <c r="K805" s="246"/>
      <c r="L805" s="246"/>
      <c r="M805" s="249" t="str">
        <f t="shared" si="2"/>
        <v/>
      </c>
      <c r="N805" s="266">
        <f t="shared" si="3"/>
        <v>0</v>
      </c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</row>
    <row r="806">
      <c r="A806" s="273">
        <v>45831.0</v>
      </c>
      <c r="B806" s="275" t="s">
        <v>1238</v>
      </c>
      <c r="C806" s="275" t="s">
        <v>1254</v>
      </c>
      <c r="D806" s="276">
        <v>6996.0</v>
      </c>
      <c r="E806" s="275" t="s">
        <v>1017</v>
      </c>
      <c r="F806" s="279"/>
      <c r="G806" s="278" t="str">
        <f>IFNA(IF(VLOOKUP(RC_OUT[BLOCK],RC_IN[[BLOCK]:[BLOCK LOC]],2,FALSE)=0,"",VLOOKUP(RC_OUT[BLOCK],RC_IN[[BLOCK]:[BLOCK LOC]],2,FALSE)),"")</f>
        <v/>
      </c>
      <c r="I806" s="263" t="str">
        <f>IFERROR(AVERAGEIFS(RC_IN[MC],RC_IN[BLOCK],RC_OUT[BLOCK]),"")</f>
        <v/>
      </c>
      <c r="J806" s="264">
        <f t="shared" si="1"/>
        <v>0</v>
      </c>
      <c r="K806" s="246"/>
      <c r="L806" s="246"/>
      <c r="M806" s="249" t="str">
        <f t="shared" si="2"/>
        <v/>
      </c>
      <c r="N806" s="266">
        <f t="shared" si="3"/>
        <v>0</v>
      </c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</row>
    <row r="807">
      <c r="A807" s="273">
        <v>45831.0</v>
      </c>
      <c r="B807" s="275" t="s">
        <v>1238</v>
      </c>
      <c r="C807" s="275" t="s">
        <v>1255</v>
      </c>
      <c r="D807" s="276">
        <v>9855.0</v>
      </c>
      <c r="E807" s="275" t="s">
        <v>1017</v>
      </c>
      <c r="F807" s="279"/>
      <c r="G807" s="278" t="str">
        <f>IFNA(IF(VLOOKUP(RC_OUT[BLOCK],RC_IN[[BLOCK]:[BLOCK LOC]],2,FALSE)=0,"",VLOOKUP(RC_OUT[BLOCK],RC_IN[[BLOCK]:[BLOCK LOC]],2,FALSE)),"")</f>
        <v/>
      </c>
      <c r="I807" s="263" t="str">
        <f>IFERROR(AVERAGEIFS(RC_IN[MC],RC_IN[BLOCK],RC_OUT[BLOCK]),"")</f>
        <v/>
      </c>
      <c r="J807" s="264">
        <f t="shared" si="1"/>
        <v>0</v>
      </c>
      <c r="K807" s="246"/>
      <c r="L807" s="246"/>
      <c r="M807" s="249" t="str">
        <f t="shared" si="2"/>
        <v/>
      </c>
      <c r="N807" s="266">
        <f t="shared" si="3"/>
        <v>0</v>
      </c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</row>
    <row r="808">
      <c r="A808" s="274"/>
      <c r="B808" s="274"/>
      <c r="C808" s="274"/>
      <c r="D808" s="283"/>
      <c r="E808" s="274"/>
      <c r="F808" s="279"/>
      <c r="G808" s="278" t="str">
        <f>IFNA(IF(VLOOKUP(RC_OUT[BLOCK],RC_IN[[BLOCK]:[BLOCK LOC]],2,FALSE)=0,"",VLOOKUP(RC_OUT[BLOCK],RC_IN[[BLOCK]:[BLOCK LOC]],2,FALSE)),"")</f>
        <v/>
      </c>
      <c r="I808" s="263" t="str">
        <f>IFERROR(AVERAGEIFS(RC_IN[MC],RC_IN[BLOCK],RC_OUT[BLOCK]),"")</f>
        <v/>
      </c>
      <c r="J808" s="264">
        <f t="shared" si="1"/>
        <v>0</v>
      </c>
      <c r="K808" s="246"/>
      <c r="L808" s="246"/>
      <c r="M808" s="249" t="str">
        <f t="shared" si="2"/>
        <v/>
      </c>
      <c r="N808" s="266">
        <f t="shared" si="3"/>
        <v>0</v>
      </c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</row>
    <row r="809">
      <c r="A809" s="273">
        <v>45832.0</v>
      </c>
      <c r="B809" s="275" t="s">
        <v>1238</v>
      </c>
      <c r="C809" s="275" t="s">
        <v>1252</v>
      </c>
      <c r="D809" s="276">
        <v>10172.0</v>
      </c>
      <c r="E809" s="275" t="s">
        <v>1017</v>
      </c>
      <c r="F809" s="279"/>
      <c r="G809" s="278" t="str">
        <f>IFNA(IF(VLOOKUP(RC_OUT[BLOCK],RC_IN[[BLOCK]:[BLOCK LOC]],2,FALSE)=0,"",VLOOKUP(RC_OUT[BLOCK],RC_IN[[BLOCK]:[BLOCK LOC]],2,FALSE)),"")</f>
        <v/>
      </c>
      <c r="I809" s="263" t="str">
        <f>IFERROR(AVERAGEIFS(RC_IN[MC],RC_IN[BLOCK],RC_OUT[BLOCK]),"")</f>
        <v/>
      </c>
      <c r="J809" s="264">
        <f t="shared" si="1"/>
        <v>0</v>
      </c>
      <c r="K809" s="246"/>
      <c r="L809" s="246"/>
      <c r="M809" s="249" t="str">
        <f t="shared" si="2"/>
        <v/>
      </c>
      <c r="N809" s="266">
        <f t="shared" si="3"/>
        <v>0</v>
      </c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</row>
    <row r="810">
      <c r="A810" s="273">
        <v>45832.0</v>
      </c>
      <c r="B810" s="275" t="s">
        <v>1238</v>
      </c>
      <c r="C810" s="275" t="s">
        <v>1253</v>
      </c>
      <c r="D810" s="276">
        <v>13547.0</v>
      </c>
      <c r="E810" s="275" t="s">
        <v>1017</v>
      </c>
      <c r="F810" s="279"/>
      <c r="G810" s="278" t="str">
        <f>IFNA(IF(VLOOKUP(RC_OUT[BLOCK],RC_IN[[BLOCK]:[BLOCK LOC]],2,FALSE)=0,"",VLOOKUP(RC_OUT[BLOCK],RC_IN[[BLOCK]:[BLOCK LOC]],2,FALSE)),"")</f>
        <v/>
      </c>
      <c r="I810" s="263" t="str">
        <f>IFERROR(AVERAGEIFS(RC_IN[MC],RC_IN[BLOCK],RC_OUT[BLOCK]),"")</f>
        <v/>
      </c>
      <c r="J810" s="264">
        <f t="shared" si="1"/>
        <v>0</v>
      </c>
      <c r="K810" s="246"/>
      <c r="L810" s="246"/>
      <c r="M810" s="249" t="str">
        <f t="shared" si="2"/>
        <v/>
      </c>
      <c r="N810" s="266">
        <f t="shared" si="3"/>
        <v>0</v>
      </c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</row>
    <row r="811">
      <c r="A811" s="273">
        <v>45832.0</v>
      </c>
      <c r="B811" s="275" t="s">
        <v>1238</v>
      </c>
      <c r="C811" s="275" t="s">
        <v>1254</v>
      </c>
      <c r="D811" s="276">
        <v>10929.0</v>
      </c>
      <c r="E811" s="275" t="s">
        <v>1017</v>
      </c>
      <c r="F811" s="279"/>
      <c r="G811" s="278" t="str">
        <f>IFNA(IF(VLOOKUP(RC_OUT[BLOCK],RC_IN[[BLOCK]:[BLOCK LOC]],2,FALSE)=0,"",VLOOKUP(RC_OUT[BLOCK],RC_IN[[BLOCK]:[BLOCK LOC]],2,FALSE)),"")</f>
        <v/>
      </c>
      <c r="I811" s="263" t="str">
        <f>IFERROR(AVERAGEIFS(RC_IN[MC],RC_IN[BLOCK],RC_OUT[BLOCK]),"")</f>
        <v/>
      </c>
      <c r="J811" s="264">
        <f t="shared" si="1"/>
        <v>0</v>
      </c>
      <c r="K811" s="246"/>
      <c r="L811" s="246"/>
      <c r="M811" s="249" t="str">
        <f t="shared" si="2"/>
        <v/>
      </c>
      <c r="N811" s="266">
        <f t="shared" si="3"/>
        <v>0</v>
      </c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</row>
    <row r="812">
      <c r="A812" s="273">
        <v>45832.0</v>
      </c>
      <c r="B812" s="275" t="s">
        <v>1238</v>
      </c>
      <c r="C812" s="275" t="s">
        <v>1255</v>
      </c>
      <c r="D812" s="276">
        <v>9855.0</v>
      </c>
      <c r="E812" s="275" t="s">
        <v>1017</v>
      </c>
      <c r="F812" s="277" t="s">
        <v>1059</v>
      </c>
      <c r="G812" s="278" t="str">
        <f>IFNA(IF(VLOOKUP(RC_OUT[BLOCK],RC_IN[[BLOCK]:[BLOCK LOC]],2,FALSE)=0,"",VLOOKUP(RC_OUT[BLOCK],RC_IN[[BLOCK]:[BLOCK LOC]],2,FALSE)),"")</f>
        <v/>
      </c>
      <c r="I812" s="263" t="str">
        <f>IFERROR(AVERAGEIFS(RC_IN[MC],RC_IN[BLOCK],RC_OUT[BLOCK]),"")</f>
        <v/>
      </c>
      <c r="J812" s="264">
        <f t="shared" si="1"/>
        <v>0</v>
      </c>
      <c r="K812" s="246"/>
      <c r="L812" s="246"/>
      <c r="M812" s="249" t="str">
        <f t="shared" si="2"/>
        <v/>
      </c>
      <c r="N812" s="266">
        <f t="shared" si="3"/>
        <v>0</v>
      </c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</row>
    <row r="813">
      <c r="A813" s="274"/>
      <c r="B813" s="274"/>
      <c r="C813" s="274"/>
      <c r="D813" s="283"/>
      <c r="E813" s="274"/>
      <c r="F813" s="279"/>
      <c r="G813" s="278" t="str">
        <f>IFNA(IF(VLOOKUP(RC_OUT[BLOCK],RC_IN[[BLOCK]:[BLOCK LOC]],2,FALSE)=0,"",VLOOKUP(RC_OUT[BLOCK],RC_IN[[BLOCK]:[BLOCK LOC]],2,FALSE)),"")</f>
        <v/>
      </c>
      <c r="I813" s="263" t="str">
        <f>IFERROR(AVERAGEIFS(RC_IN[MC],RC_IN[BLOCK],RC_OUT[BLOCK]),"")</f>
        <v/>
      </c>
      <c r="J813" s="264">
        <f t="shared" si="1"/>
        <v>0</v>
      </c>
      <c r="K813" s="246"/>
      <c r="L813" s="246"/>
      <c r="M813" s="249" t="str">
        <f t="shared" si="2"/>
        <v/>
      </c>
      <c r="N813" s="266">
        <f t="shared" si="3"/>
        <v>0</v>
      </c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</row>
    <row r="814">
      <c r="A814" s="273">
        <v>45833.0</v>
      </c>
      <c r="B814" s="275" t="s">
        <v>1238</v>
      </c>
      <c r="C814" s="275" t="s">
        <v>1252</v>
      </c>
      <c r="D814" s="276">
        <v>9728.0</v>
      </c>
      <c r="E814" s="275" t="s">
        <v>1017</v>
      </c>
      <c r="F814" s="279"/>
      <c r="G814" s="278" t="str">
        <f>IFNA(IF(VLOOKUP(RC_OUT[BLOCK],RC_IN[[BLOCK]:[BLOCK LOC]],2,FALSE)=0,"",VLOOKUP(RC_OUT[BLOCK],RC_IN[[BLOCK]:[BLOCK LOC]],2,FALSE)),"")</f>
        <v/>
      </c>
      <c r="I814" s="263" t="str">
        <f>IFERROR(AVERAGEIFS(RC_IN[MC],RC_IN[BLOCK],RC_OUT[BLOCK]),"")</f>
        <v/>
      </c>
      <c r="J814" s="264">
        <f t="shared" si="1"/>
        <v>0</v>
      </c>
      <c r="K814" s="246"/>
      <c r="L814" s="246"/>
      <c r="M814" s="249" t="str">
        <f t="shared" si="2"/>
        <v/>
      </c>
      <c r="N814" s="266">
        <f t="shared" si="3"/>
        <v>0</v>
      </c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</row>
    <row r="815">
      <c r="A815" s="273">
        <v>45833.0</v>
      </c>
      <c r="B815" s="275" t="s">
        <v>1238</v>
      </c>
      <c r="C815" s="275" t="s">
        <v>1253</v>
      </c>
      <c r="D815" s="276">
        <v>13154.0</v>
      </c>
      <c r="E815" s="275" t="s">
        <v>1017</v>
      </c>
      <c r="F815" s="279"/>
      <c r="G815" s="278" t="str">
        <f>IFNA(IF(VLOOKUP(RC_OUT[BLOCK],RC_IN[[BLOCK]:[BLOCK LOC]],2,FALSE)=0,"",VLOOKUP(RC_OUT[BLOCK],RC_IN[[BLOCK]:[BLOCK LOC]],2,FALSE)),"")</f>
        <v/>
      </c>
      <c r="I815" s="263" t="str">
        <f>IFERROR(AVERAGEIFS(RC_IN[MC],RC_IN[BLOCK],RC_OUT[BLOCK]),"")</f>
        <v/>
      </c>
      <c r="J815" s="264">
        <f t="shared" si="1"/>
        <v>0</v>
      </c>
      <c r="K815" s="246"/>
      <c r="L815" s="246"/>
      <c r="M815" s="249" t="str">
        <f t="shared" si="2"/>
        <v/>
      </c>
      <c r="N815" s="266">
        <f t="shared" si="3"/>
        <v>0</v>
      </c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</row>
    <row r="816">
      <c r="A816" s="273">
        <v>45833.0</v>
      </c>
      <c r="B816" s="275" t="s">
        <v>1238</v>
      </c>
      <c r="C816" s="275" t="s">
        <v>1254</v>
      </c>
      <c r="D816" s="276">
        <v>10599.0</v>
      </c>
      <c r="E816" s="275" t="s">
        <v>1017</v>
      </c>
      <c r="F816" s="279"/>
      <c r="G816" s="278" t="str">
        <f>IFNA(IF(VLOOKUP(RC_OUT[BLOCK],RC_IN[[BLOCK]:[BLOCK LOC]],2,FALSE)=0,"",VLOOKUP(RC_OUT[BLOCK],RC_IN[[BLOCK]:[BLOCK LOC]],2,FALSE)),"")</f>
        <v/>
      </c>
      <c r="I816" s="263" t="str">
        <f>IFERROR(AVERAGEIFS(RC_IN[MC],RC_IN[BLOCK],RC_OUT[BLOCK]),"")</f>
        <v/>
      </c>
      <c r="J816" s="264">
        <f t="shared" si="1"/>
        <v>0</v>
      </c>
      <c r="K816" s="246"/>
      <c r="L816" s="246"/>
      <c r="M816" s="249" t="str">
        <f t="shared" si="2"/>
        <v/>
      </c>
      <c r="N816" s="266">
        <f t="shared" si="3"/>
        <v>0</v>
      </c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</row>
    <row r="817">
      <c r="A817" s="274"/>
      <c r="B817" s="274"/>
      <c r="C817" s="274"/>
      <c r="D817" s="283"/>
      <c r="E817" s="274"/>
      <c r="F817" s="279"/>
      <c r="G817" s="278" t="str">
        <f>IFNA(IF(VLOOKUP(RC_OUT[BLOCK],RC_IN[[BLOCK]:[BLOCK LOC]],2,FALSE)=0,"",VLOOKUP(RC_OUT[BLOCK],RC_IN[[BLOCK]:[BLOCK LOC]],2,FALSE)),"")</f>
        <v/>
      </c>
      <c r="I817" s="263" t="str">
        <f>IFERROR(AVERAGEIFS(RC_IN[MC],RC_IN[BLOCK],RC_OUT[BLOCK]),"")</f>
        <v/>
      </c>
      <c r="J817" s="264">
        <f t="shared" si="1"/>
        <v>0</v>
      </c>
      <c r="K817" s="246"/>
      <c r="L817" s="246"/>
      <c r="M817" s="249" t="str">
        <f t="shared" si="2"/>
        <v/>
      </c>
      <c r="N817" s="266">
        <f t="shared" si="3"/>
        <v>0</v>
      </c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</row>
    <row r="818">
      <c r="A818" s="273">
        <v>45834.0</v>
      </c>
      <c r="B818" s="275" t="s">
        <v>1238</v>
      </c>
      <c r="C818" s="275" t="s">
        <v>1252</v>
      </c>
      <c r="D818" s="276">
        <v>12361.0</v>
      </c>
      <c r="E818" s="275" t="s">
        <v>1017</v>
      </c>
      <c r="F818" s="279"/>
      <c r="G818" s="278" t="str">
        <f>IFNA(IF(VLOOKUP(RC_OUT[BLOCK],RC_IN[[BLOCK]:[BLOCK LOC]],2,FALSE)=0,"",VLOOKUP(RC_OUT[BLOCK],RC_IN[[BLOCK]:[BLOCK LOC]],2,FALSE)),"")</f>
        <v/>
      </c>
      <c r="I818" s="263" t="str">
        <f>IFERROR(AVERAGEIFS(RC_IN[MC],RC_IN[BLOCK],RC_OUT[BLOCK]),"")</f>
        <v/>
      </c>
      <c r="J818" s="264">
        <f t="shared" si="1"/>
        <v>0</v>
      </c>
      <c r="K818" s="246"/>
      <c r="L818" s="246"/>
      <c r="M818" s="249" t="str">
        <f t="shared" si="2"/>
        <v/>
      </c>
      <c r="N818" s="266">
        <f t="shared" si="3"/>
        <v>0</v>
      </c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</row>
    <row r="819">
      <c r="A819" s="273">
        <v>45834.0</v>
      </c>
      <c r="B819" s="275" t="s">
        <v>1238</v>
      </c>
      <c r="C819" s="275" t="s">
        <v>1253</v>
      </c>
      <c r="D819" s="276">
        <v>17315.0</v>
      </c>
      <c r="E819" s="275" t="s">
        <v>1017</v>
      </c>
      <c r="F819" s="279"/>
      <c r="G819" s="278" t="str">
        <f>IFNA(IF(VLOOKUP(RC_OUT[BLOCK],RC_IN[[BLOCK]:[BLOCK LOC]],2,FALSE)=0,"",VLOOKUP(RC_OUT[BLOCK],RC_IN[[BLOCK]:[BLOCK LOC]],2,FALSE)),"")</f>
        <v/>
      </c>
      <c r="I819" s="263" t="str">
        <f>IFERROR(AVERAGEIFS(RC_IN[MC],RC_IN[BLOCK],RC_OUT[BLOCK]),"")</f>
        <v/>
      </c>
      <c r="J819" s="264">
        <f t="shared" si="1"/>
        <v>0</v>
      </c>
      <c r="K819" s="246"/>
      <c r="L819" s="246"/>
      <c r="M819" s="249" t="str">
        <f t="shared" si="2"/>
        <v/>
      </c>
      <c r="N819" s="266">
        <f t="shared" si="3"/>
        <v>0</v>
      </c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</row>
    <row r="820">
      <c r="A820" s="273">
        <v>45834.0</v>
      </c>
      <c r="B820" s="275" t="s">
        <v>1238</v>
      </c>
      <c r="C820" s="275" t="s">
        <v>1254</v>
      </c>
      <c r="D820" s="276">
        <v>11298.0</v>
      </c>
      <c r="E820" s="275" t="s">
        <v>1017</v>
      </c>
      <c r="F820" s="277" t="s">
        <v>1059</v>
      </c>
      <c r="G820" s="278" t="str">
        <f>IFNA(IF(VLOOKUP(RC_OUT[BLOCK],RC_IN[[BLOCK]:[BLOCK LOC]],2,FALSE)=0,"",VLOOKUP(RC_OUT[BLOCK],RC_IN[[BLOCK]:[BLOCK LOC]],2,FALSE)),"")</f>
        <v/>
      </c>
      <c r="I820" s="263" t="str">
        <f>IFERROR(AVERAGEIFS(RC_IN[MC],RC_IN[BLOCK],RC_OUT[BLOCK]),"")</f>
        <v/>
      </c>
      <c r="J820" s="264">
        <f t="shared" si="1"/>
        <v>0</v>
      </c>
      <c r="K820" s="246"/>
      <c r="L820" s="246"/>
      <c r="M820" s="249" t="str">
        <f t="shared" si="2"/>
        <v/>
      </c>
      <c r="N820" s="266">
        <f t="shared" si="3"/>
        <v>0</v>
      </c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</row>
    <row r="821">
      <c r="A821" s="273">
        <v>45834.0</v>
      </c>
      <c r="B821" s="275" t="s">
        <v>1238</v>
      </c>
      <c r="C821" s="275" t="s">
        <v>1256</v>
      </c>
      <c r="D821" s="276">
        <v>2127.0</v>
      </c>
      <c r="E821" s="275" t="s">
        <v>1017</v>
      </c>
      <c r="F821" s="279"/>
      <c r="G821" s="278" t="str">
        <f>IFNA(IF(VLOOKUP(RC_OUT[BLOCK],RC_IN[[BLOCK]:[BLOCK LOC]],2,FALSE)=0,"",VLOOKUP(RC_OUT[BLOCK],RC_IN[[BLOCK]:[BLOCK LOC]],2,FALSE)),"")</f>
        <v/>
      </c>
      <c r="I821" s="263" t="str">
        <f>IFERROR(AVERAGEIFS(RC_IN[MC],RC_IN[BLOCK],RC_OUT[BLOCK]),"")</f>
        <v/>
      </c>
      <c r="J821" s="264">
        <f t="shared" si="1"/>
        <v>0</v>
      </c>
      <c r="K821" s="246"/>
      <c r="L821" s="246"/>
      <c r="M821" s="249" t="str">
        <f t="shared" si="2"/>
        <v/>
      </c>
      <c r="N821" s="266">
        <f t="shared" si="3"/>
        <v>0</v>
      </c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</row>
    <row r="822">
      <c r="A822" s="274"/>
      <c r="B822" s="274"/>
      <c r="C822" s="274"/>
      <c r="D822" s="283"/>
      <c r="E822" s="274"/>
      <c r="F822" s="279"/>
      <c r="G822" s="278" t="str">
        <f>IFNA(IF(VLOOKUP(RC_OUT[BLOCK],RC_IN[[BLOCK]:[BLOCK LOC]],2,FALSE)=0,"",VLOOKUP(RC_OUT[BLOCK],RC_IN[[BLOCK]:[BLOCK LOC]],2,FALSE)),"")</f>
        <v/>
      </c>
      <c r="I822" s="263" t="str">
        <f>IFERROR(AVERAGEIFS(RC_IN[MC],RC_IN[BLOCK],RC_OUT[BLOCK]),"")</f>
        <v/>
      </c>
      <c r="J822" s="264">
        <f t="shared" si="1"/>
        <v>0</v>
      </c>
      <c r="K822" s="246"/>
      <c r="L822" s="246"/>
      <c r="M822" s="249" t="str">
        <f t="shared" si="2"/>
        <v/>
      </c>
      <c r="N822" s="266">
        <f t="shared" si="3"/>
        <v>0</v>
      </c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</row>
    <row r="823">
      <c r="A823" s="273">
        <v>45835.0</v>
      </c>
      <c r="B823" s="275" t="s">
        <v>1238</v>
      </c>
      <c r="C823" s="275" t="s">
        <v>1252</v>
      </c>
      <c r="D823" s="276">
        <v>3097.0</v>
      </c>
      <c r="E823" s="275" t="s">
        <v>1017</v>
      </c>
      <c r="F823" s="279"/>
      <c r="G823" s="278" t="str">
        <f>IFNA(IF(VLOOKUP(RC_OUT[BLOCK],RC_IN[[BLOCK]:[BLOCK LOC]],2,FALSE)=0,"",VLOOKUP(RC_OUT[BLOCK],RC_IN[[BLOCK]:[BLOCK LOC]],2,FALSE)),"")</f>
        <v/>
      </c>
      <c r="I823" s="263" t="str">
        <f>IFERROR(AVERAGEIFS(RC_IN[MC],RC_IN[BLOCK],RC_OUT[BLOCK]),"")</f>
        <v/>
      </c>
      <c r="J823" s="264">
        <f t="shared" si="1"/>
        <v>0</v>
      </c>
      <c r="K823" s="246"/>
      <c r="L823" s="246"/>
      <c r="M823" s="249" t="str">
        <f t="shared" si="2"/>
        <v/>
      </c>
      <c r="N823" s="266">
        <f t="shared" si="3"/>
        <v>0</v>
      </c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</row>
    <row r="824">
      <c r="A824" s="273">
        <v>45835.0</v>
      </c>
      <c r="B824" s="275" t="s">
        <v>1238</v>
      </c>
      <c r="C824" s="275" t="s">
        <v>1253</v>
      </c>
      <c r="D824" s="276">
        <v>3819.0</v>
      </c>
      <c r="E824" s="275" t="s">
        <v>1017</v>
      </c>
      <c r="F824" s="277" t="s">
        <v>1059</v>
      </c>
      <c r="G824" s="278" t="str">
        <f>IFNA(IF(VLOOKUP(RC_OUT[BLOCK],RC_IN[[BLOCK]:[BLOCK LOC]],2,FALSE)=0,"",VLOOKUP(RC_OUT[BLOCK],RC_IN[[BLOCK]:[BLOCK LOC]],2,FALSE)),"")</f>
        <v/>
      </c>
      <c r="I824" s="263" t="str">
        <f>IFERROR(AVERAGEIFS(RC_IN[MC],RC_IN[BLOCK],RC_OUT[BLOCK]),"")</f>
        <v/>
      </c>
      <c r="J824" s="264">
        <f t="shared" si="1"/>
        <v>0</v>
      </c>
      <c r="K824" s="246"/>
      <c r="L824" s="246"/>
      <c r="M824" s="249" t="str">
        <f t="shared" si="2"/>
        <v/>
      </c>
      <c r="N824" s="266">
        <f t="shared" si="3"/>
        <v>0</v>
      </c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</row>
    <row r="825">
      <c r="A825" s="273">
        <v>45835.0</v>
      </c>
      <c r="B825" s="275" t="s">
        <v>1238</v>
      </c>
      <c r="C825" s="275" t="s">
        <v>1256</v>
      </c>
      <c r="D825" s="276">
        <v>3825.0</v>
      </c>
      <c r="E825" s="275" t="s">
        <v>1017</v>
      </c>
      <c r="F825" s="279"/>
      <c r="G825" s="278" t="str">
        <f>IFNA(IF(VLOOKUP(RC_OUT[BLOCK],RC_IN[[BLOCK]:[BLOCK LOC]],2,FALSE)=0,"",VLOOKUP(RC_OUT[BLOCK],RC_IN[[BLOCK]:[BLOCK LOC]],2,FALSE)),"")</f>
        <v/>
      </c>
      <c r="I825" s="263" t="str">
        <f>IFERROR(AVERAGEIFS(RC_IN[MC],RC_IN[BLOCK],RC_OUT[BLOCK]),"")</f>
        <v/>
      </c>
      <c r="J825" s="264">
        <f t="shared" si="1"/>
        <v>0</v>
      </c>
      <c r="K825" s="246"/>
      <c r="L825" s="246"/>
      <c r="M825" s="249" t="str">
        <f t="shared" si="2"/>
        <v/>
      </c>
      <c r="N825" s="266">
        <f t="shared" si="3"/>
        <v>0</v>
      </c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</row>
    <row r="826">
      <c r="A826" s="274"/>
      <c r="B826" s="274"/>
      <c r="C826" s="274"/>
      <c r="D826" s="283"/>
      <c r="E826" s="274"/>
      <c r="F826" s="279"/>
      <c r="G826" s="278" t="str">
        <f>IFNA(IF(VLOOKUP(RC_OUT[BLOCK],RC_IN[[BLOCK]:[BLOCK LOC]],2,FALSE)=0,"",VLOOKUP(RC_OUT[BLOCK],RC_IN[[BLOCK]:[BLOCK LOC]],2,FALSE)),"")</f>
        <v/>
      </c>
      <c r="I826" s="263" t="str">
        <f>IFERROR(AVERAGEIFS(RC_IN[MC],RC_IN[BLOCK],RC_OUT[BLOCK]),"")</f>
        <v/>
      </c>
      <c r="J826" s="264">
        <f t="shared" si="1"/>
        <v>0</v>
      </c>
      <c r="K826" s="246"/>
      <c r="L826" s="246"/>
      <c r="M826" s="249" t="str">
        <f t="shared" si="2"/>
        <v/>
      </c>
      <c r="N826" s="266">
        <f t="shared" si="3"/>
        <v>0</v>
      </c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</row>
    <row r="827">
      <c r="A827" s="273">
        <v>45836.0</v>
      </c>
      <c r="B827" s="275" t="s">
        <v>1257</v>
      </c>
      <c r="C827" s="275" t="s">
        <v>1252</v>
      </c>
      <c r="D827" s="276">
        <v>2990.0</v>
      </c>
      <c r="E827" s="275" t="s">
        <v>1017</v>
      </c>
      <c r="F827" s="279"/>
      <c r="G827" s="278" t="str">
        <f>IFNA(IF(VLOOKUP(RC_OUT[BLOCK],RC_IN[[BLOCK]:[BLOCK LOC]],2,FALSE)=0,"",VLOOKUP(RC_OUT[BLOCK],RC_IN[[BLOCK]:[BLOCK LOC]],2,FALSE)),"")</f>
        <v/>
      </c>
      <c r="I827" s="263" t="str">
        <f>IFERROR(AVERAGEIFS(RC_IN[MC],RC_IN[BLOCK],RC_OUT[BLOCK]),"")</f>
        <v/>
      </c>
      <c r="J827" s="264">
        <f t="shared" si="1"/>
        <v>0</v>
      </c>
      <c r="K827" s="246"/>
      <c r="L827" s="246"/>
      <c r="M827" s="249" t="str">
        <f t="shared" si="2"/>
        <v/>
      </c>
      <c r="N827" s="266">
        <f t="shared" si="3"/>
        <v>0</v>
      </c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</row>
    <row r="828">
      <c r="A828" s="273">
        <v>45836.0</v>
      </c>
      <c r="B828" s="275" t="s">
        <v>1257</v>
      </c>
      <c r="C828" s="275" t="s">
        <v>1256</v>
      </c>
      <c r="D828" s="276">
        <v>3152.0</v>
      </c>
      <c r="E828" s="275" t="s">
        <v>1017</v>
      </c>
      <c r="F828" s="279"/>
      <c r="G828" s="278" t="str">
        <f>IFNA(IF(VLOOKUP(RC_OUT[BLOCK],RC_IN[[BLOCK]:[BLOCK LOC]],2,FALSE)=0,"",VLOOKUP(RC_OUT[BLOCK],RC_IN[[BLOCK]:[BLOCK LOC]],2,FALSE)),"")</f>
        <v/>
      </c>
      <c r="I828" s="263" t="str">
        <f>IFERROR(AVERAGEIFS(RC_IN[MC],RC_IN[BLOCK],RC_OUT[BLOCK]),"")</f>
        <v/>
      </c>
      <c r="J828" s="264">
        <f t="shared" si="1"/>
        <v>0</v>
      </c>
      <c r="K828" s="246"/>
      <c r="L828" s="246"/>
      <c r="M828" s="249" t="str">
        <f t="shared" si="2"/>
        <v/>
      </c>
      <c r="N828" s="266">
        <f t="shared" si="3"/>
        <v>0</v>
      </c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</row>
    <row r="829">
      <c r="A829" s="273">
        <v>45836.0</v>
      </c>
      <c r="B829" s="275" t="s">
        <v>1257</v>
      </c>
      <c r="C829" s="275" t="s">
        <v>1258</v>
      </c>
      <c r="D829" s="276">
        <v>4511.0</v>
      </c>
      <c r="E829" s="275" t="s">
        <v>1017</v>
      </c>
      <c r="F829" s="279"/>
      <c r="G829" s="278" t="str">
        <f>IFNA(IF(VLOOKUP(RC_OUT[BLOCK],RC_IN[[BLOCK]:[BLOCK LOC]],2,FALSE)=0,"",VLOOKUP(RC_OUT[BLOCK],RC_IN[[BLOCK]:[BLOCK LOC]],2,FALSE)),"")</f>
        <v/>
      </c>
      <c r="I829" s="263" t="str">
        <f>IFERROR(AVERAGEIFS(RC_IN[MC],RC_IN[BLOCK],RC_OUT[BLOCK]),"")</f>
        <v/>
      </c>
      <c r="J829" s="264">
        <f t="shared" si="1"/>
        <v>0</v>
      </c>
      <c r="K829" s="246"/>
      <c r="L829" s="246"/>
      <c r="M829" s="249" t="str">
        <f t="shared" si="2"/>
        <v/>
      </c>
      <c r="N829" s="266">
        <f t="shared" si="3"/>
        <v>0</v>
      </c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</row>
    <row r="830">
      <c r="A830" s="274"/>
      <c r="B830" s="274"/>
      <c r="C830" s="274"/>
      <c r="D830" s="283"/>
      <c r="E830" s="274"/>
      <c r="F830" s="279"/>
      <c r="G830" s="278" t="str">
        <f>IFNA(IF(VLOOKUP(RC_OUT[BLOCK],RC_IN[[BLOCK]:[BLOCK LOC]],2,FALSE)=0,"",VLOOKUP(RC_OUT[BLOCK],RC_IN[[BLOCK]:[BLOCK LOC]],2,FALSE)),"")</f>
        <v/>
      </c>
      <c r="I830" s="263" t="str">
        <f>IFERROR(AVERAGEIFS(RC_IN[MC],RC_IN[BLOCK],RC_OUT[BLOCK]),"")</f>
        <v/>
      </c>
      <c r="J830" s="264">
        <f t="shared" si="1"/>
        <v>0</v>
      </c>
      <c r="K830" s="246"/>
      <c r="L830" s="246"/>
      <c r="M830" s="249" t="str">
        <f t="shared" si="2"/>
        <v/>
      </c>
      <c r="N830" s="266">
        <f t="shared" si="3"/>
        <v>0</v>
      </c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</row>
    <row r="831">
      <c r="A831" s="273">
        <v>45838.0</v>
      </c>
      <c r="B831" s="275" t="s">
        <v>1257</v>
      </c>
      <c r="C831" s="275" t="s">
        <v>1252</v>
      </c>
      <c r="D831" s="276">
        <v>4983.0</v>
      </c>
      <c r="E831" s="275" t="s">
        <v>1017</v>
      </c>
      <c r="F831" s="277" t="s">
        <v>1059</v>
      </c>
      <c r="G831" s="278" t="str">
        <f>IFNA(IF(VLOOKUP(RC_OUT[BLOCK],RC_IN[[BLOCK]:[BLOCK LOC]],2,FALSE)=0,"",VLOOKUP(RC_OUT[BLOCK],RC_IN[[BLOCK]:[BLOCK LOC]],2,FALSE)),"")</f>
        <v/>
      </c>
      <c r="I831" s="263" t="str">
        <f>IFERROR(AVERAGEIFS(RC_IN[MC],RC_IN[BLOCK],RC_OUT[BLOCK]),"")</f>
        <v/>
      </c>
      <c r="J831" s="264">
        <f t="shared" si="1"/>
        <v>0</v>
      </c>
      <c r="K831" s="246"/>
      <c r="L831" s="246"/>
      <c r="M831" s="249" t="str">
        <f t="shared" si="2"/>
        <v/>
      </c>
      <c r="N831" s="266">
        <f t="shared" si="3"/>
        <v>0</v>
      </c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</row>
    <row r="832">
      <c r="A832" s="273">
        <v>45838.0</v>
      </c>
      <c r="B832" s="275" t="s">
        <v>1257</v>
      </c>
      <c r="C832" s="275" t="s">
        <v>1256</v>
      </c>
      <c r="D832" s="276">
        <v>6041.0</v>
      </c>
      <c r="E832" s="275" t="s">
        <v>1017</v>
      </c>
      <c r="F832" s="279"/>
      <c r="G832" s="278" t="str">
        <f>IFNA(IF(VLOOKUP(RC_OUT[BLOCK],RC_IN[[BLOCK]:[BLOCK LOC]],2,FALSE)=0,"",VLOOKUP(RC_OUT[BLOCK],RC_IN[[BLOCK]:[BLOCK LOC]],2,FALSE)),"")</f>
        <v/>
      </c>
      <c r="I832" s="263" t="str">
        <f>IFERROR(AVERAGEIFS(RC_IN[MC],RC_IN[BLOCK],RC_OUT[BLOCK]),"")</f>
        <v/>
      </c>
      <c r="J832" s="264">
        <f t="shared" si="1"/>
        <v>0</v>
      </c>
      <c r="K832" s="246"/>
      <c r="L832" s="246"/>
      <c r="M832" s="249" t="str">
        <f t="shared" si="2"/>
        <v/>
      </c>
      <c r="N832" s="266">
        <f t="shared" si="3"/>
        <v>0</v>
      </c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</row>
    <row r="833">
      <c r="A833" s="273">
        <v>45838.0</v>
      </c>
      <c r="B833" s="275" t="s">
        <v>1257</v>
      </c>
      <c r="C833" s="275" t="s">
        <v>1258</v>
      </c>
      <c r="D833" s="276">
        <v>8210.0</v>
      </c>
      <c r="E833" s="275" t="s">
        <v>1017</v>
      </c>
      <c r="F833" s="279"/>
      <c r="G833" s="278" t="str">
        <f>IFNA(IF(VLOOKUP(RC_OUT[BLOCK],RC_IN[[BLOCK]:[BLOCK LOC]],2,FALSE)=0,"",VLOOKUP(RC_OUT[BLOCK],RC_IN[[BLOCK]:[BLOCK LOC]],2,FALSE)),"")</f>
        <v/>
      </c>
      <c r="I833" s="263" t="str">
        <f>IFERROR(AVERAGEIFS(RC_IN[MC],RC_IN[BLOCK],RC_OUT[BLOCK]),"")</f>
        <v/>
      </c>
      <c r="J833" s="264">
        <f t="shared" si="1"/>
        <v>0</v>
      </c>
      <c r="K833" s="246"/>
      <c r="L833" s="246"/>
      <c r="M833" s="249" t="str">
        <f t="shared" si="2"/>
        <v/>
      </c>
      <c r="N833" s="266">
        <f t="shared" si="3"/>
        <v>0</v>
      </c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</row>
    <row r="834">
      <c r="A834" s="273">
        <v>45838.0</v>
      </c>
      <c r="B834" s="275" t="s">
        <v>1257</v>
      </c>
      <c r="C834" s="275" t="s">
        <v>1259</v>
      </c>
      <c r="D834" s="276">
        <v>12580.0</v>
      </c>
      <c r="E834" s="275" t="s">
        <v>1017</v>
      </c>
      <c r="F834" s="279"/>
      <c r="G834" s="278" t="str">
        <f>IFNA(IF(VLOOKUP(RC_OUT[BLOCK],RC_IN[[BLOCK]:[BLOCK LOC]],2,FALSE)=0,"",VLOOKUP(RC_OUT[BLOCK],RC_IN[[BLOCK]:[BLOCK LOC]],2,FALSE)),"")</f>
        <v/>
      </c>
      <c r="I834" s="263" t="str">
        <f>IFERROR(AVERAGEIFS(RC_IN[MC],RC_IN[BLOCK],RC_OUT[BLOCK]),"")</f>
        <v/>
      </c>
      <c r="J834" s="264">
        <f t="shared" si="1"/>
        <v>0</v>
      </c>
      <c r="K834" s="246"/>
      <c r="L834" s="246"/>
      <c r="M834" s="249" t="str">
        <f t="shared" si="2"/>
        <v/>
      </c>
      <c r="N834" s="266">
        <f t="shared" si="3"/>
        <v>0</v>
      </c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</row>
    <row r="835">
      <c r="A835" s="274"/>
      <c r="B835" s="274"/>
      <c r="C835" s="274"/>
      <c r="D835" s="283"/>
      <c r="E835" s="274"/>
      <c r="F835" s="279"/>
      <c r="G835" s="278" t="str">
        <f>IFNA(IF(VLOOKUP(RC_OUT[BLOCK],RC_IN[[BLOCK]:[BLOCK LOC]],2,FALSE)=0,"",VLOOKUP(RC_OUT[BLOCK],RC_IN[[BLOCK]:[BLOCK LOC]],2,FALSE)),"")</f>
        <v/>
      </c>
      <c r="I835" s="263" t="str">
        <f>IFERROR(AVERAGEIFS(RC_IN[MC],RC_IN[BLOCK],RC_OUT[BLOCK]),"")</f>
        <v/>
      </c>
      <c r="J835" s="264">
        <f t="shared" si="1"/>
        <v>0</v>
      </c>
      <c r="K835" s="246"/>
      <c r="L835" s="246"/>
      <c r="M835" s="249" t="str">
        <f t="shared" si="2"/>
        <v/>
      </c>
      <c r="N835" s="266">
        <f t="shared" si="3"/>
        <v>0</v>
      </c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</row>
    <row r="836">
      <c r="A836" s="273">
        <v>45839.0</v>
      </c>
      <c r="B836" s="275" t="s">
        <v>1257</v>
      </c>
      <c r="C836" s="275" t="s">
        <v>1256</v>
      </c>
      <c r="D836" s="276">
        <v>5634.0</v>
      </c>
      <c r="E836" s="275" t="s">
        <v>1017</v>
      </c>
      <c r="F836" s="279"/>
      <c r="G836" s="278" t="str">
        <f>IFNA(IF(VLOOKUP(RC_OUT[BLOCK],RC_IN[[BLOCK]:[BLOCK LOC]],2,FALSE)=0,"",VLOOKUP(RC_OUT[BLOCK],RC_IN[[BLOCK]:[BLOCK LOC]],2,FALSE)),"")</f>
        <v/>
      </c>
      <c r="I836" s="263" t="str">
        <f>IFERROR(AVERAGEIFS(RC_IN[MC],RC_IN[BLOCK],RC_OUT[BLOCK]),"")</f>
        <v/>
      </c>
      <c r="J836" s="264">
        <f t="shared" si="1"/>
        <v>0</v>
      </c>
      <c r="K836" s="246"/>
      <c r="L836" s="246"/>
      <c r="M836" s="249" t="str">
        <f t="shared" si="2"/>
        <v/>
      </c>
      <c r="N836" s="266">
        <f t="shared" si="3"/>
        <v>0</v>
      </c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</row>
    <row r="837">
      <c r="A837" s="273">
        <v>45839.0</v>
      </c>
      <c r="B837" s="275" t="s">
        <v>1257</v>
      </c>
      <c r="C837" s="275" t="s">
        <v>1258</v>
      </c>
      <c r="D837" s="276">
        <v>8263.0</v>
      </c>
      <c r="E837" s="275" t="s">
        <v>1017</v>
      </c>
      <c r="F837" s="279"/>
      <c r="G837" s="278" t="str">
        <f>IFNA(IF(VLOOKUP(RC_OUT[BLOCK],RC_IN[[BLOCK]:[BLOCK LOC]],2,FALSE)=0,"",VLOOKUP(RC_OUT[BLOCK],RC_IN[[BLOCK]:[BLOCK LOC]],2,FALSE)),"")</f>
        <v/>
      </c>
      <c r="I837" s="263" t="str">
        <f>IFERROR(AVERAGEIFS(RC_IN[MC],RC_IN[BLOCK],RC_OUT[BLOCK]),"")</f>
        <v/>
      </c>
      <c r="J837" s="264">
        <f t="shared" si="1"/>
        <v>0</v>
      </c>
      <c r="K837" s="246"/>
      <c r="L837" s="246"/>
      <c r="M837" s="249" t="str">
        <f t="shared" si="2"/>
        <v/>
      </c>
      <c r="N837" s="266">
        <f t="shared" si="3"/>
        <v>0</v>
      </c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</row>
    <row r="838">
      <c r="A838" s="273">
        <v>45839.0</v>
      </c>
      <c r="B838" s="275" t="s">
        <v>1257</v>
      </c>
      <c r="C838" s="275" t="s">
        <v>1259</v>
      </c>
      <c r="D838" s="276">
        <v>16140.0</v>
      </c>
      <c r="E838" s="275" t="s">
        <v>1017</v>
      </c>
      <c r="F838" s="279"/>
      <c r="G838" s="278" t="str">
        <f>IFNA(IF(VLOOKUP(RC_OUT[BLOCK],RC_IN[[BLOCK]:[BLOCK LOC]],2,FALSE)=0,"",VLOOKUP(RC_OUT[BLOCK],RC_IN[[BLOCK]:[BLOCK LOC]],2,FALSE)),"")</f>
        <v/>
      </c>
      <c r="I838" s="263" t="str">
        <f>IFERROR(AVERAGEIFS(RC_IN[MC],RC_IN[BLOCK],RC_OUT[BLOCK]),"")</f>
        <v/>
      </c>
      <c r="J838" s="264">
        <f t="shared" si="1"/>
        <v>0</v>
      </c>
      <c r="K838" s="246"/>
      <c r="L838" s="246"/>
      <c r="M838" s="249" t="str">
        <f t="shared" si="2"/>
        <v/>
      </c>
      <c r="N838" s="266">
        <f t="shared" si="3"/>
        <v>0</v>
      </c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</row>
    <row r="839">
      <c r="A839" s="273">
        <v>45839.0</v>
      </c>
      <c r="B839" s="275" t="s">
        <v>1257</v>
      </c>
      <c r="C839" s="275" t="s">
        <v>1260</v>
      </c>
      <c r="D839" s="276">
        <v>7537.0</v>
      </c>
      <c r="E839" s="275" t="s">
        <v>1017</v>
      </c>
      <c r="F839" s="279"/>
      <c r="G839" s="278" t="str">
        <f>IFNA(IF(VLOOKUP(RC_OUT[BLOCK],RC_IN[[BLOCK]:[BLOCK LOC]],2,FALSE)=0,"",VLOOKUP(RC_OUT[BLOCK],RC_IN[[BLOCK]:[BLOCK LOC]],2,FALSE)),"")</f>
        <v/>
      </c>
      <c r="I839" s="263" t="str">
        <f>IFERROR(AVERAGEIFS(RC_IN[MC],RC_IN[BLOCK],RC_OUT[BLOCK]),"")</f>
        <v/>
      </c>
      <c r="J839" s="264">
        <f t="shared" si="1"/>
        <v>0</v>
      </c>
      <c r="K839" s="246"/>
      <c r="L839" s="246"/>
      <c r="M839" s="249" t="str">
        <f t="shared" si="2"/>
        <v/>
      </c>
      <c r="N839" s="266">
        <f t="shared" si="3"/>
        <v>0</v>
      </c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</row>
    <row r="840">
      <c r="A840" s="273">
        <v>45839.0</v>
      </c>
      <c r="B840" s="275" t="s">
        <v>1257</v>
      </c>
      <c r="C840" s="275" t="s">
        <v>1261</v>
      </c>
      <c r="D840" s="276">
        <v>17660.0</v>
      </c>
      <c r="E840" s="275" t="s">
        <v>1017</v>
      </c>
      <c r="F840" s="277" t="s">
        <v>1059</v>
      </c>
      <c r="G840" s="278" t="str">
        <f>IFNA(IF(VLOOKUP(RC_OUT[BLOCK],RC_IN[[BLOCK]:[BLOCK LOC]],2,FALSE)=0,"",VLOOKUP(RC_OUT[BLOCK],RC_IN[[BLOCK]:[BLOCK LOC]],2,FALSE)),"")</f>
        <v/>
      </c>
      <c r="I840" s="263" t="str">
        <f>IFERROR(AVERAGEIFS(RC_IN[MC],RC_IN[BLOCK],RC_OUT[BLOCK]),"")</f>
        <v/>
      </c>
      <c r="J840" s="264">
        <f t="shared" si="1"/>
        <v>0</v>
      </c>
      <c r="K840" s="246"/>
      <c r="L840" s="246"/>
      <c r="M840" s="249" t="str">
        <f t="shared" si="2"/>
        <v/>
      </c>
      <c r="N840" s="266">
        <f t="shared" si="3"/>
        <v>0</v>
      </c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</row>
    <row r="841">
      <c r="A841" s="274"/>
      <c r="B841" s="274"/>
      <c r="C841" s="274"/>
      <c r="D841" s="283"/>
      <c r="E841" s="274"/>
      <c r="F841" s="279"/>
      <c r="G841" s="278" t="str">
        <f>IFNA(IF(VLOOKUP(RC_OUT[BLOCK],RC_IN[[BLOCK]:[BLOCK LOC]],2,FALSE)=0,"",VLOOKUP(RC_OUT[BLOCK],RC_IN[[BLOCK]:[BLOCK LOC]],2,FALSE)),"")</f>
        <v/>
      </c>
      <c r="I841" s="263" t="str">
        <f>IFERROR(AVERAGEIFS(RC_IN[MC],RC_IN[BLOCK],RC_OUT[BLOCK]),"")</f>
        <v/>
      </c>
      <c r="J841" s="264">
        <f t="shared" si="1"/>
        <v>0</v>
      </c>
      <c r="K841" s="246"/>
      <c r="L841" s="246"/>
      <c r="M841" s="249" t="str">
        <f t="shared" si="2"/>
        <v/>
      </c>
      <c r="N841" s="266">
        <f t="shared" si="3"/>
        <v>0</v>
      </c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</row>
    <row r="842">
      <c r="A842" s="273">
        <v>45840.0</v>
      </c>
      <c r="B842" s="275" t="s">
        <v>1257</v>
      </c>
      <c r="C842" s="275" t="s">
        <v>1256</v>
      </c>
      <c r="D842" s="276">
        <v>8411.0</v>
      </c>
      <c r="E842" s="275" t="s">
        <v>1017</v>
      </c>
      <c r="F842" s="279"/>
      <c r="G842" s="278" t="str">
        <f>IFNA(IF(VLOOKUP(RC_OUT[BLOCK],RC_IN[[BLOCK]:[BLOCK LOC]],2,FALSE)=0,"",VLOOKUP(RC_OUT[BLOCK],RC_IN[[BLOCK]:[BLOCK LOC]],2,FALSE)),"")</f>
        <v/>
      </c>
      <c r="I842" s="263" t="str">
        <f>IFERROR(AVERAGEIFS(RC_IN[MC],RC_IN[BLOCK],RC_OUT[BLOCK]),"")</f>
        <v/>
      </c>
      <c r="J842" s="264">
        <f t="shared" si="1"/>
        <v>0</v>
      </c>
      <c r="K842" s="246"/>
      <c r="L842" s="246"/>
      <c r="M842" s="249" t="str">
        <f t="shared" si="2"/>
        <v/>
      </c>
      <c r="N842" s="266">
        <f t="shared" si="3"/>
        <v>0</v>
      </c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</row>
    <row r="843">
      <c r="A843" s="273">
        <v>45840.0</v>
      </c>
      <c r="B843" s="275" t="s">
        <v>1257</v>
      </c>
      <c r="C843" s="275" t="s">
        <v>1258</v>
      </c>
      <c r="D843" s="276">
        <v>10784.0</v>
      </c>
      <c r="E843" s="275" t="s">
        <v>1017</v>
      </c>
      <c r="F843" s="279"/>
      <c r="G843" s="278" t="str">
        <f>IFNA(IF(VLOOKUP(RC_OUT[BLOCK],RC_IN[[BLOCK]:[BLOCK LOC]],2,FALSE)=0,"",VLOOKUP(RC_OUT[BLOCK],RC_IN[[BLOCK]:[BLOCK LOC]],2,FALSE)),"")</f>
        <v/>
      </c>
      <c r="I843" s="263" t="str">
        <f>IFERROR(AVERAGEIFS(RC_IN[MC],RC_IN[BLOCK],RC_OUT[BLOCK]),"")</f>
        <v/>
      </c>
      <c r="J843" s="264">
        <f t="shared" si="1"/>
        <v>0</v>
      </c>
      <c r="K843" s="246"/>
      <c r="L843" s="246"/>
      <c r="M843" s="249" t="str">
        <f t="shared" si="2"/>
        <v/>
      </c>
      <c r="N843" s="266">
        <f t="shared" si="3"/>
        <v>0</v>
      </c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</row>
    <row r="844">
      <c r="A844" s="273">
        <v>45840.0</v>
      </c>
      <c r="B844" s="275" t="s">
        <v>1257</v>
      </c>
      <c r="C844" s="275" t="s">
        <v>1259</v>
      </c>
      <c r="D844" s="276">
        <v>14422.0</v>
      </c>
      <c r="E844" s="275" t="s">
        <v>1017</v>
      </c>
      <c r="F844" s="279"/>
      <c r="G844" s="278" t="str">
        <f>IFNA(IF(VLOOKUP(RC_OUT[BLOCK],RC_IN[[BLOCK]:[BLOCK LOC]],2,FALSE)=0,"",VLOOKUP(RC_OUT[BLOCK],RC_IN[[BLOCK]:[BLOCK LOC]],2,FALSE)),"")</f>
        <v/>
      </c>
      <c r="I844" s="263" t="str">
        <f>IFERROR(AVERAGEIFS(RC_IN[MC],RC_IN[BLOCK],RC_OUT[BLOCK]),"")</f>
        <v/>
      </c>
      <c r="J844" s="264">
        <f t="shared" si="1"/>
        <v>0</v>
      </c>
      <c r="K844" s="246"/>
      <c r="L844" s="246"/>
      <c r="M844" s="249" t="str">
        <f t="shared" si="2"/>
        <v/>
      </c>
      <c r="N844" s="266">
        <f t="shared" si="3"/>
        <v>0</v>
      </c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</row>
    <row r="845">
      <c r="A845" s="273">
        <v>45840.0</v>
      </c>
      <c r="B845" s="275" t="s">
        <v>1257</v>
      </c>
      <c r="C845" s="275" t="s">
        <v>1260</v>
      </c>
      <c r="D845" s="276">
        <v>9822.0</v>
      </c>
      <c r="E845" s="275" t="s">
        <v>1017</v>
      </c>
      <c r="F845" s="279"/>
      <c r="G845" s="278" t="str">
        <f>IFNA(IF(VLOOKUP(RC_OUT[BLOCK],RC_IN[[BLOCK]:[BLOCK LOC]],2,FALSE)=0,"",VLOOKUP(RC_OUT[BLOCK],RC_IN[[BLOCK]:[BLOCK LOC]],2,FALSE)),"")</f>
        <v/>
      </c>
      <c r="I845" s="263" t="str">
        <f>IFERROR(AVERAGEIFS(RC_IN[MC],RC_IN[BLOCK],RC_OUT[BLOCK]),"")</f>
        <v/>
      </c>
      <c r="J845" s="264">
        <f t="shared" si="1"/>
        <v>0</v>
      </c>
      <c r="K845" s="246"/>
      <c r="L845" s="246"/>
      <c r="M845" s="249" t="str">
        <f t="shared" si="2"/>
        <v/>
      </c>
      <c r="N845" s="266">
        <f t="shared" si="3"/>
        <v>0</v>
      </c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</row>
    <row r="846">
      <c r="A846" s="274"/>
      <c r="B846" s="274"/>
      <c r="C846" s="274"/>
      <c r="D846" s="283"/>
      <c r="E846" s="274"/>
      <c r="F846" s="279"/>
      <c r="G846" s="278" t="str">
        <f>IFNA(IF(VLOOKUP(RC_OUT[BLOCK],RC_IN[[BLOCK]:[BLOCK LOC]],2,FALSE)=0,"",VLOOKUP(RC_OUT[BLOCK],RC_IN[[BLOCK]:[BLOCK LOC]],2,FALSE)),"")</f>
        <v/>
      </c>
      <c r="I846" s="263" t="str">
        <f>IFERROR(AVERAGEIFS(RC_IN[MC],RC_IN[BLOCK],RC_OUT[BLOCK]),"")</f>
        <v/>
      </c>
      <c r="J846" s="264">
        <f t="shared" si="1"/>
        <v>0</v>
      </c>
      <c r="K846" s="246"/>
      <c r="L846" s="246"/>
      <c r="M846" s="249" t="str">
        <f t="shared" si="2"/>
        <v/>
      </c>
      <c r="N846" s="266">
        <f t="shared" si="3"/>
        <v>0</v>
      </c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</row>
    <row r="847">
      <c r="A847" s="273">
        <v>45841.0</v>
      </c>
      <c r="B847" s="275" t="s">
        <v>1257</v>
      </c>
      <c r="C847" s="275" t="s">
        <v>1256</v>
      </c>
      <c r="D847" s="276">
        <v>8021.0</v>
      </c>
      <c r="E847" s="275" t="s">
        <v>1017</v>
      </c>
      <c r="F847" s="279"/>
      <c r="G847" s="278" t="str">
        <f>IFNA(IF(VLOOKUP(RC_OUT[BLOCK],RC_IN[[BLOCK]:[BLOCK LOC]],2,FALSE)=0,"",VLOOKUP(RC_OUT[BLOCK],RC_IN[[BLOCK]:[BLOCK LOC]],2,FALSE)),"")</f>
        <v/>
      </c>
      <c r="I847" s="263" t="str">
        <f>IFERROR(AVERAGEIFS(RC_IN[MC],RC_IN[BLOCK],RC_OUT[BLOCK]),"")</f>
        <v/>
      </c>
      <c r="J847" s="264">
        <f t="shared" si="1"/>
        <v>0</v>
      </c>
      <c r="K847" s="246"/>
      <c r="L847" s="246"/>
      <c r="M847" s="249" t="str">
        <f t="shared" si="2"/>
        <v/>
      </c>
      <c r="N847" s="266">
        <f t="shared" si="3"/>
        <v>0</v>
      </c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</row>
    <row r="848">
      <c r="A848" s="273">
        <v>45841.0</v>
      </c>
      <c r="B848" s="275" t="s">
        <v>1257</v>
      </c>
      <c r="C848" s="275" t="s">
        <v>1258</v>
      </c>
      <c r="D848" s="276">
        <v>11816.0</v>
      </c>
      <c r="E848" s="275" t="s">
        <v>1017</v>
      </c>
      <c r="F848" s="279"/>
      <c r="G848" s="278" t="str">
        <f>IFNA(IF(VLOOKUP(RC_OUT[BLOCK],RC_IN[[BLOCK]:[BLOCK LOC]],2,FALSE)=0,"",VLOOKUP(RC_OUT[BLOCK],RC_IN[[BLOCK]:[BLOCK LOC]],2,FALSE)),"")</f>
        <v/>
      </c>
      <c r="I848" s="263" t="str">
        <f>IFERROR(AVERAGEIFS(RC_IN[MC],RC_IN[BLOCK],RC_OUT[BLOCK]),"")</f>
        <v/>
      </c>
      <c r="J848" s="264">
        <f t="shared" si="1"/>
        <v>0</v>
      </c>
      <c r="K848" s="246"/>
      <c r="L848" s="246"/>
      <c r="M848" s="249" t="str">
        <f t="shared" si="2"/>
        <v/>
      </c>
      <c r="N848" s="266">
        <f t="shared" si="3"/>
        <v>0</v>
      </c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</row>
    <row r="849">
      <c r="A849" s="273">
        <v>45841.0</v>
      </c>
      <c r="B849" s="275" t="s">
        <v>1257</v>
      </c>
      <c r="C849" s="275" t="s">
        <v>1260</v>
      </c>
      <c r="D849" s="276">
        <v>9140.0</v>
      </c>
      <c r="E849" s="275" t="s">
        <v>1017</v>
      </c>
      <c r="F849" s="279"/>
      <c r="G849" s="278" t="str">
        <f>IFNA(IF(VLOOKUP(RC_OUT[BLOCK],RC_IN[[BLOCK]:[BLOCK LOC]],2,FALSE)=0,"",VLOOKUP(RC_OUT[BLOCK],RC_IN[[BLOCK]:[BLOCK LOC]],2,FALSE)),"")</f>
        <v/>
      </c>
      <c r="I849" s="263" t="str">
        <f>IFERROR(AVERAGEIFS(RC_IN[MC],RC_IN[BLOCK],RC_OUT[BLOCK]),"")</f>
        <v/>
      </c>
      <c r="J849" s="264">
        <f t="shared" si="1"/>
        <v>0</v>
      </c>
      <c r="K849" s="246"/>
      <c r="L849" s="246"/>
      <c r="M849" s="249" t="str">
        <f t="shared" si="2"/>
        <v/>
      </c>
      <c r="N849" s="266">
        <f t="shared" si="3"/>
        <v>0</v>
      </c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</row>
    <row r="850">
      <c r="A850" s="273">
        <v>45841.0</v>
      </c>
      <c r="B850" s="275" t="s">
        <v>1257</v>
      </c>
      <c r="C850" s="275" t="s">
        <v>1259</v>
      </c>
      <c r="D850" s="276">
        <v>5537.0</v>
      </c>
      <c r="E850" s="275" t="s">
        <v>1017</v>
      </c>
      <c r="F850" s="277" t="s">
        <v>1059</v>
      </c>
      <c r="G850" s="278" t="str">
        <f>IFNA(IF(VLOOKUP(RC_OUT[BLOCK],RC_IN[[BLOCK]:[BLOCK LOC]],2,FALSE)=0,"",VLOOKUP(RC_OUT[BLOCK],RC_IN[[BLOCK]:[BLOCK LOC]],2,FALSE)),"")</f>
        <v/>
      </c>
      <c r="I850" s="263" t="str">
        <f>IFERROR(AVERAGEIFS(RC_IN[MC],RC_IN[BLOCK],RC_OUT[BLOCK]),"")</f>
        <v/>
      </c>
      <c r="J850" s="264">
        <f t="shared" si="1"/>
        <v>0</v>
      </c>
      <c r="K850" s="246"/>
      <c r="L850" s="246"/>
      <c r="M850" s="249" t="str">
        <f t="shared" si="2"/>
        <v/>
      </c>
      <c r="N850" s="266">
        <f t="shared" si="3"/>
        <v>0</v>
      </c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</row>
    <row r="851">
      <c r="A851" s="273">
        <v>45841.0</v>
      </c>
      <c r="B851" s="275" t="s">
        <v>1257</v>
      </c>
      <c r="C851" s="275" t="s">
        <v>1262</v>
      </c>
      <c r="D851" s="276">
        <v>10678.0</v>
      </c>
      <c r="E851" s="275" t="s">
        <v>1017</v>
      </c>
      <c r="F851" s="279"/>
      <c r="G851" s="278" t="str">
        <f>IFNA(IF(VLOOKUP(RC_OUT[BLOCK],RC_IN[[BLOCK]:[BLOCK LOC]],2,FALSE)=0,"",VLOOKUP(RC_OUT[BLOCK],RC_IN[[BLOCK]:[BLOCK LOC]],2,FALSE)),"")</f>
        <v/>
      </c>
      <c r="I851" s="263" t="str">
        <f>IFERROR(AVERAGEIFS(RC_IN[MC],RC_IN[BLOCK],RC_OUT[BLOCK]),"")</f>
        <v/>
      </c>
      <c r="J851" s="264">
        <f t="shared" si="1"/>
        <v>0</v>
      </c>
      <c r="K851" s="246"/>
      <c r="L851" s="246"/>
      <c r="M851" s="249" t="str">
        <f t="shared" si="2"/>
        <v/>
      </c>
      <c r="N851" s="266">
        <f t="shared" si="3"/>
        <v>0</v>
      </c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</row>
    <row r="852">
      <c r="A852" s="274"/>
      <c r="B852" s="274"/>
      <c r="C852" s="274"/>
      <c r="D852" s="283"/>
      <c r="E852" s="274"/>
      <c r="F852" s="279"/>
      <c r="G852" s="278" t="str">
        <f>IFNA(IF(VLOOKUP(RC_OUT[BLOCK],RC_IN[[BLOCK]:[BLOCK LOC]],2,FALSE)=0,"",VLOOKUP(RC_OUT[BLOCK],RC_IN[[BLOCK]:[BLOCK LOC]],2,FALSE)),"")</f>
        <v/>
      </c>
      <c r="I852" s="263" t="str">
        <f>IFERROR(AVERAGEIFS(RC_IN[MC],RC_IN[BLOCK],RC_OUT[BLOCK]),"")</f>
        <v/>
      </c>
      <c r="J852" s="264">
        <f t="shared" si="1"/>
        <v>0</v>
      </c>
      <c r="K852" s="246"/>
      <c r="L852" s="246"/>
      <c r="M852" s="249" t="str">
        <f t="shared" si="2"/>
        <v/>
      </c>
      <c r="N852" s="266">
        <f t="shared" si="3"/>
        <v>0</v>
      </c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</row>
    <row r="853">
      <c r="A853" s="273">
        <v>45842.0</v>
      </c>
      <c r="B853" s="275" t="s">
        <v>1257</v>
      </c>
      <c r="C853" s="275" t="s">
        <v>1256</v>
      </c>
      <c r="D853" s="276">
        <v>5602.0</v>
      </c>
      <c r="E853" s="275" t="s">
        <v>1017</v>
      </c>
      <c r="F853" s="279"/>
      <c r="G853" s="278" t="str">
        <f>IFNA(IF(VLOOKUP(RC_OUT[BLOCK],RC_IN[[BLOCK]:[BLOCK LOC]],2,FALSE)=0,"",VLOOKUP(RC_OUT[BLOCK],RC_IN[[BLOCK]:[BLOCK LOC]],2,FALSE)),"")</f>
        <v/>
      </c>
      <c r="I853" s="263" t="str">
        <f>IFERROR(AVERAGEIFS(RC_IN[MC],RC_IN[BLOCK],RC_OUT[BLOCK]),"")</f>
        <v/>
      </c>
      <c r="J853" s="264">
        <f t="shared" si="1"/>
        <v>0</v>
      </c>
      <c r="K853" s="246"/>
      <c r="L853" s="246"/>
      <c r="M853" s="249" t="str">
        <f t="shared" si="2"/>
        <v/>
      </c>
      <c r="N853" s="266">
        <f t="shared" si="3"/>
        <v>0</v>
      </c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</row>
    <row r="854">
      <c r="A854" s="273">
        <v>45842.0</v>
      </c>
      <c r="B854" s="275" t="s">
        <v>1257</v>
      </c>
      <c r="C854" s="275" t="s">
        <v>1258</v>
      </c>
      <c r="D854" s="276">
        <v>7595.0</v>
      </c>
      <c r="E854" s="275" t="s">
        <v>1017</v>
      </c>
      <c r="F854" s="279"/>
      <c r="G854" s="278" t="str">
        <f>IFNA(IF(VLOOKUP(RC_OUT[BLOCK],RC_IN[[BLOCK]:[BLOCK LOC]],2,FALSE)=0,"",VLOOKUP(RC_OUT[BLOCK],RC_IN[[BLOCK]:[BLOCK LOC]],2,FALSE)),"")</f>
        <v/>
      </c>
      <c r="I854" s="263" t="str">
        <f>IFERROR(AVERAGEIFS(RC_IN[MC],RC_IN[BLOCK],RC_OUT[BLOCK]),"")</f>
        <v/>
      </c>
      <c r="J854" s="264">
        <f t="shared" si="1"/>
        <v>0</v>
      </c>
      <c r="K854" s="246"/>
      <c r="L854" s="246"/>
      <c r="M854" s="249" t="str">
        <f t="shared" si="2"/>
        <v/>
      </c>
      <c r="N854" s="266">
        <f t="shared" si="3"/>
        <v>0</v>
      </c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</row>
    <row r="855">
      <c r="A855" s="273">
        <v>45842.0</v>
      </c>
      <c r="B855" s="275" t="s">
        <v>1257</v>
      </c>
      <c r="C855" s="275" t="s">
        <v>1260</v>
      </c>
      <c r="D855" s="276">
        <v>6785.0</v>
      </c>
      <c r="E855" s="275" t="s">
        <v>1017</v>
      </c>
      <c r="F855" s="279"/>
      <c r="G855" s="278" t="str">
        <f>IFNA(IF(VLOOKUP(RC_OUT[BLOCK],RC_IN[[BLOCK]:[BLOCK LOC]],2,FALSE)=0,"",VLOOKUP(RC_OUT[BLOCK],RC_IN[[BLOCK]:[BLOCK LOC]],2,FALSE)),"")</f>
        <v/>
      </c>
      <c r="I855" s="263" t="str">
        <f>IFERROR(AVERAGEIFS(RC_IN[MC],RC_IN[BLOCK],RC_OUT[BLOCK]),"")</f>
        <v/>
      </c>
      <c r="J855" s="264">
        <f t="shared" si="1"/>
        <v>0</v>
      </c>
      <c r="K855" s="246"/>
      <c r="L855" s="246"/>
      <c r="M855" s="249" t="str">
        <f t="shared" si="2"/>
        <v/>
      </c>
      <c r="N855" s="266">
        <f t="shared" si="3"/>
        <v>0</v>
      </c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</row>
    <row r="856">
      <c r="A856" s="273">
        <v>45842.0</v>
      </c>
      <c r="B856" s="275" t="s">
        <v>1257</v>
      </c>
      <c r="C856" s="275" t="s">
        <v>1262</v>
      </c>
      <c r="D856" s="276">
        <v>11338.0</v>
      </c>
      <c r="E856" s="275" t="s">
        <v>1017</v>
      </c>
      <c r="F856" s="279"/>
      <c r="G856" s="278" t="str">
        <f>IFNA(IF(VLOOKUP(RC_OUT[BLOCK],RC_IN[[BLOCK]:[BLOCK LOC]],2,FALSE)=0,"",VLOOKUP(RC_OUT[BLOCK],RC_IN[[BLOCK]:[BLOCK LOC]],2,FALSE)),"")</f>
        <v/>
      </c>
      <c r="I856" s="263" t="str">
        <f>IFERROR(AVERAGEIFS(RC_IN[MC],RC_IN[BLOCK],RC_OUT[BLOCK]),"")</f>
        <v/>
      </c>
      <c r="J856" s="264">
        <f t="shared" si="1"/>
        <v>0</v>
      </c>
      <c r="K856" s="246"/>
      <c r="L856" s="246"/>
      <c r="M856" s="249" t="str">
        <f t="shared" si="2"/>
        <v/>
      </c>
      <c r="N856" s="266">
        <f t="shared" si="3"/>
        <v>0</v>
      </c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</row>
    <row r="857">
      <c r="A857" s="274"/>
      <c r="B857" s="274"/>
      <c r="C857" s="274"/>
      <c r="D857" s="283"/>
      <c r="E857" s="274"/>
      <c r="F857" s="279"/>
      <c r="G857" s="278" t="str">
        <f>IFNA(IF(VLOOKUP(RC_OUT[BLOCK],RC_IN[[BLOCK]:[BLOCK LOC]],2,FALSE)=0,"",VLOOKUP(RC_OUT[BLOCK],RC_IN[[BLOCK]:[BLOCK LOC]],2,FALSE)),"")</f>
        <v/>
      </c>
      <c r="I857" s="263" t="str">
        <f>IFERROR(AVERAGEIFS(RC_IN[MC],RC_IN[BLOCK],RC_OUT[BLOCK]),"")</f>
        <v/>
      </c>
      <c r="J857" s="264">
        <f t="shared" si="1"/>
        <v>0</v>
      </c>
      <c r="K857" s="246"/>
      <c r="L857" s="246"/>
      <c r="M857" s="249" t="str">
        <f t="shared" si="2"/>
        <v/>
      </c>
      <c r="N857" s="266">
        <f t="shared" si="3"/>
        <v>0</v>
      </c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</row>
    <row r="858">
      <c r="A858" s="273">
        <v>45843.0</v>
      </c>
      <c r="B858" s="275" t="s">
        <v>1257</v>
      </c>
      <c r="C858" s="275" t="s">
        <v>1256</v>
      </c>
      <c r="D858" s="276">
        <v>5966.0</v>
      </c>
      <c r="E858" s="275" t="s">
        <v>1017</v>
      </c>
      <c r="F858" s="279"/>
      <c r="G858" s="278" t="str">
        <f>IFNA(IF(VLOOKUP(RC_OUT[BLOCK],RC_IN[[BLOCK]:[BLOCK LOC]],2,FALSE)=0,"",VLOOKUP(RC_OUT[BLOCK],RC_IN[[BLOCK]:[BLOCK LOC]],2,FALSE)),"")</f>
        <v/>
      </c>
      <c r="I858" s="263" t="str">
        <f>IFERROR(AVERAGEIFS(RC_IN[MC],RC_IN[BLOCK],RC_OUT[BLOCK]),"")</f>
        <v/>
      </c>
      <c r="J858" s="264">
        <f t="shared" si="1"/>
        <v>0</v>
      </c>
      <c r="K858" s="246"/>
      <c r="L858" s="246"/>
      <c r="M858" s="249" t="str">
        <f t="shared" si="2"/>
        <v/>
      </c>
      <c r="N858" s="266">
        <f t="shared" si="3"/>
        <v>0</v>
      </c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</row>
    <row r="859">
      <c r="A859" s="273">
        <v>45843.0</v>
      </c>
      <c r="B859" s="275" t="s">
        <v>1257</v>
      </c>
      <c r="C859" s="275" t="s">
        <v>1258</v>
      </c>
      <c r="D859" s="276">
        <v>7955.0</v>
      </c>
      <c r="E859" s="275" t="s">
        <v>1017</v>
      </c>
      <c r="F859" s="279"/>
      <c r="G859" s="278" t="str">
        <f>IFNA(IF(VLOOKUP(RC_OUT[BLOCK],RC_IN[[BLOCK]:[BLOCK LOC]],2,FALSE)=0,"",VLOOKUP(RC_OUT[BLOCK],RC_IN[[BLOCK]:[BLOCK LOC]],2,FALSE)),"")</f>
        <v/>
      </c>
      <c r="I859" s="263" t="str">
        <f>IFERROR(AVERAGEIFS(RC_IN[MC],RC_IN[BLOCK],RC_OUT[BLOCK]),"")</f>
        <v/>
      </c>
      <c r="J859" s="264">
        <f t="shared" si="1"/>
        <v>0</v>
      </c>
      <c r="K859" s="246"/>
      <c r="L859" s="246"/>
      <c r="M859" s="249" t="str">
        <f t="shared" si="2"/>
        <v/>
      </c>
      <c r="N859" s="266">
        <f t="shared" si="3"/>
        <v>0</v>
      </c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</row>
    <row r="860">
      <c r="A860" s="273">
        <v>45843.0</v>
      </c>
      <c r="B860" s="275" t="s">
        <v>1257</v>
      </c>
      <c r="C860" s="275" t="s">
        <v>1260</v>
      </c>
      <c r="D860" s="276">
        <v>6624.0</v>
      </c>
      <c r="E860" s="275" t="s">
        <v>1017</v>
      </c>
      <c r="F860" s="279"/>
      <c r="G860" s="278" t="str">
        <f>IFNA(IF(VLOOKUP(RC_OUT[BLOCK],RC_IN[[BLOCK]:[BLOCK LOC]],2,FALSE)=0,"",VLOOKUP(RC_OUT[BLOCK],RC_IN[[BLOCK]:[BLOCK LOC]],2,FALSE)),"")</f>
        <v/>
      </c>
      <c r="I860" s="263" t="str">
        <f>IFERROR(AVERAGEIFS(RC_IN[MC],RC_IN[BLOCK],RC_OUT[BLOCK]),"")</f>
        <v/>
      </c>
      <c r="J860" s="264">
        <f t="shared" si="1"/>
        <v>0</v>
      </c>
      <c r="K860" s="246"/>
      <c r="L860" s="246"/>
      <c r="M860" s="249" t="str">
        <f t="shared" si="2"/>
        <v/>
      </c>
      <c r="N860" s="266">
        <f t="shared" si="3"/>
        <v>0</v>
      </c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</row>
    <row r="861">
      <c r="A861" s="273">
        <v>45843.0</v>
      </c>
      <c r="B861" s="275" t="s">
        <v>1257</v>
      </c>
      <c r="C861" s="275" t="s">
        <v>1262</v>
      </c>
      <c r="D861" s="276">
        <v>11025.0</v>
      </c>
      <c r="E861" s="275" t="s">
        <v>1017</v>
      </c>
      <c r="F861" s="279"/>
      <c r="G861" s="278" t="str">
        <f>IFNA(IF(VLOOKUP(RC_OUT[BLOCK],RC_IN[[BLOCK]:[BLOCK LOC]],2,FALSE)=0,"",VLOOKUP(RC_OUT[BLOCK],RC_IN[[BLOCK]:[BLOCK LOC]],2,FALSE)),"")</f>
        <v/>
      </c>
      <c r="I861" s="263" t="str">
        <f>IFERROR(AVERAGEIFS(RC_IN[MC],RC_IN[BLOCK],RC_OUT[BLOCK]),"")</f>
        <v/>
      </c>
      <c r="J861" s="264">
        <f t="shared" si="1"/>
        <v>0</v>
      </c>
      <c r="K861" s="246"/>
      <c r="L861" s="246"/>
      <c r="M861" s="249" t="str">
        <f t="shared" si="2"/>
        <v/>
      </c>
      <c r="N861" s="266">
        <f t="shared" si="3"/>
        <v>0</v>
      </c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</row>
    <row r="862">
      <c r="A862" s="274"/>
      <c r="B862" s="274"/>
      <c r="C862" s="274"/>
      <c r="D862" s="283"/>
      <c r="E862" s="274"/>
      <c r="F862" s="279"/>
      <c r="G862" s="278" t="str">
        <f>IFNA(IF(VLOOKUP(RC_OUT[BLOCK],RC_IN[[BLOCK]:[BLOCK LOC]],2,FALSE)=0,"",VLOOKUP(RC_OUT[BLOCK],RC_IN[[BLOCK]:[BLOCK LOC]],2,FALSE)),"")</f>
        <v/>
      </c>
      <c r="I862" s="263" t="str">
        <f>IFERROR(AVERAGEIFS(RC_IN[MC],RC_IN[BLOCK],RC_OUT[BLOCK]),"")</f>
        <v/>
      </c>
      <c r="J862" s="264">
        <f t="shared" si="1"/>
        <v>0</v>
      </c>
      <c r="K862" s="246"/>
      <c r="L862" s="246"/>
      <c r="M862" s="249" t="str">
        <f t="shared" si="2"/>
        <v/>
      </c>
      <c r="N862" s="266">
        <f t="shared" si="3"/>
        <v>0</v>
      </c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</row>
    <row r="863">
      <c r="A863" s="273">
        <v>45845.0</v>
      </c>
      <c r="B863" s="275" t="s">
        <v>1257</v>
      </c>
      <c r="C863" s="275" t="s">
        <v>1256</v>
      </c>
      <c r="D863" s="276">
        <v>9997.0</v>
      </c>
      <c r="E863" s="275" t="s">
        <v>1017</v>
      </c>
      <c r="F863" s="277" t="s">
        <v>1059</v>
      </c>
      <c r="G863" s="278" t="str">
        <f>IFNA(IF(VLOOKUP(RC_OUT[BLOCK],RC_IN[[BLOCK]:[BLOCK LOC]],2,FALSE)=0,"",VLOOKUP(RC_OUT[BLOCK],RC_IN[[BLOCK]:[BLOCK LOC]],2,FALSE)),"")</f>
        <v/>
      </c>
      <c r="I863" s="263" t="str">
        <f>IFERROR(AVERAGEIFS(RC_IN[MC],RC_IN[BLOCK],RC_OUT[BLOCK]),"")</f>
        <v/>
      </c>
      <c r="J863" s="264">
        <f t="shared" si="1"/>
        <v>0</v>
      </c>
      <c r="K863" s="246"/>
      <c r="L863" s="246"/>
      <c r="M863" s="249" t="str">
        <f t="shared" si="2"/>
        <v/>
      </c>
      <c r="N863" s="266">
        <f t="shared" si="3"/>
        <v>0</v>
      </c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</row>
    <row r="864">
      <c r="A864" s="273">
        <v>45845.0</v>
      </c>
      <c r="B864" s="275" t="s">
        <v>1257</v>
      </c>
      <c r="C864" s="275" t="s">
        <v>1258</v>
      </c>
      <c r="D864" s="276">
        <v>9521.0</v>
      </c>
      <c r="E864" s="275" t="s">
        <v>1017</v>
      </c>
      <c r="F864" s="279"/>
      <c r="G864" s="278" t="str">
        <f>IFNA(IF(VLOOKUP(RC_OUT[BLOCK],RC_IN[[BLOCK]:[BLOCK LOC]],2,FALSE)=0,"",VLOOKUP(RC_OUT[BLOCK],RC_IN[[BLOCK]:[BLOCK LOC]],2,FALSE)),"")</f>
        <v/>
      </c>
      <c r="I864" s="263" t="str">
        <f>IFERROR(AVERAGEIFS(RC_IN[MC],RC_IN[BLOCK],RC_OUT[BLOCK]),"")</f>
        <v/>
      </c>
      <c r="J864" s="264">
        <f t="shared" si="1"/>
        <v>0</v>
      </c>
      <c r="K864" s="246"/>
      <c r="L864" s="246"/>
      <c r="M864" s="249" t="str">
        <f t="shared" si="2"/>
        <v/>
      </c>
      <c r="N864" s="266">
        <f t="shared" si="3"/>
        <v>0</v>
      </c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</row>
    <row r="865">
      <c r="A865" s="273">
        <v>45845.0</v>
      </c>
      <c r="B865" s="275" t="s">
        <v>1257</v>
      </c>
      <c r="C865" s="275" t="s">
        <v>1260</v>
      </c>
      <c r="D865" s="276">
        <v>7799.0</v>
      </c>
      <c r="E865" s="275" t="s">
        <v>1017</v>
      </c>
      <c r="F865" s="277" t="s">
        <v>1059</v>
      </c>
      <c r="G865" s="278" t="str">
        <f>IFNA(IF(VLOOKUP(RC_OUT[BLOCK],RC_IN[[BLOCK]:[BLOCK LOC]],2,FALSE)=0,"",VLOOKUP(RC_OUT[BLOCK],RC_IN[[BLOCK]:[BLOCK LOC]],2,FALSE)),"")</f>
        <v/>
      </c>
      <c r="I865" s="263" t="str">
        <f>IFERROR(AVERAGEIFS(RC_IN[MC],RC_IN[BLOCK],RC_OUT[BLOCK]),"")</f>
        <v/>
      </c>
      <c r="J865" s="264">
        <f t="shared" si="1"/>
        <v>0</v>
      </c>
      <c r="K865" s="246"/>
      <c r="L865" s="246"/>
      <c r="M865" s="249" t="str">
        <f t="shared" si="2"/>
        <v/>
      </c>
      <c r="N865" s="266">
        <f t="shared" si="3"/>
        <v>0</v>
      </c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</row>
    <row r="866">
      <c r="A866" s="273">
        <v>45845.0</v>
      </c>
      <c r="B866" s="275" t="s">
        <v>1257</v>
      </c>
      <c r="C866" s="275" t="s">
        <v>1262</v>
      </c>
      <c r="D866" s="276">
        <v>16411.0</v>
      </c>
      <c r="E866" s="275" t="s">
        <v>1017</v>
      </c>
      <c r="F866" s="277" t="s">
        <v>1059</v>
      </c>
      <c r="G866" s="278" t="str">
        <f>IFNA(IF(VLOOKUP(RC_OUT[BLOCK],RC_IN[[BLOCK]:[BLOCK LOC]],2,FALSE)=0,"",VLOOKUP(RC_OUT[BLOCK],RC_IN[[BLOCK]:[BLOCK LOC]],2,FALSE)),"")</f>
        <v/>
      </c>
      <c r="I866" s="263" t="str">
        <f>IFERROR(AVERAGEIFS(RC_IN[MC],RC_IN[BLOCK],RC_OUT[BLOCK]),"")</f>
        <v/>
      </c>
      <c r="J866" s="264">
        <f t="shared" si="1"/>
        <v>0</v>
      </c>
      <c r="K866" s="246"/>
      <c r="L866" s="246"/>
      <c r="M866" s="249" t="str">
        <f t="shared" si="2"/>
        <v/>
      </c>
      <c r="N866" s="266">
        <f t="shared" si="3"/>
        <v>0</v>
      </c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</row>
    <row r="867">
      <c r="A867" s="274"/>
      <c r="B867" s="274"/>
      <c r="C867" s="274"/>
      <c r="D867" s="283"/>
      <c r="E867" s="274"/>
      <c r="F867" s="279"/>
      <c r="G867" s="278" t="str">
        <f>IFNA(IF(VLOOKUP(RC_OUT[BLOCK],RC_IN[[BLOCK]:[BLOCK LOC]],2,FALSE)=0,"",VLOOKUP(RC_OUT[BLOCK],RC_IN[[BLOCK]:[BLOCK LOC]],2,FALSE)),"")</f>
        <v/>
      </c>
      <c r="I867" s="263" t="str">
        <f>IFERROR(AVERAGEIFS(RC_IN[MC],RC_IN[BLOCK],RC_OUT[BLOCK]),"")</f>
        <v/>
      </c>
      <c r="J867" s="264">
        <f t="shared" si="1"/>
        <v>0</v>
      </c>
      <c r="K867" s="246"/>
      <c r="L867" s="246"/>
      <c r="M867" s="249" t="str">
        <f t="shared" si="2"/>
        <v/>
      </c>
      <c r="N867" s="266">
        <f t="shared" si="3"/>
        <v>0</v>
      </c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</row>
    <row r="868">
      <c r="A868" s="273">
        <v>45846.0</v>
      </c>
      <c r="B868" s="275" t="s">
        <v>1257</v>
      </c>
      <c r="C868" s="275" t="s">
        <v>1258</v>
      </c>
      <c r="D868" s="276">
        <v>2770.0</v>
      </c>
      <c r="E868" s="275" t="s">
        <v>1017</v>
      </c>
      <c r="F868" s="279"/>
      <c r="G868" s="278" t="str">
        <f>IFNA(IF(VLOOKUP(RC_OUT[BLOCK],RC_IN[[BLOCK]:[BLOCK LOC]],2,FALSE)=0,"",VLOOKUP(RC_OUT[BLOCK],RC_IN[[BLOCK]:[BLOCK LOC]],2,FALSE)),"")</f>
        <v/>
      </c>
      <c r="I868" s="263" t="str">
        <f>IFERROR(AVERAGEIFS(RC_IN[MC],RC_IN[BLOCK],RC_OUT[BLOCK]),"")</f>
        <v/>
      </c>
      <c r="J868" s="264">
        <f t="shared" si="1"/>
        <v>0</v>
      </c>
      <c r="K868" s="246"/>
      <c r="L868" s="246"/>
      <c r="M868" s="249" t="str">
        <f t="shared" si="2"/>
        <v/>
      </c>
      <c r="N868" s="266">
        <f t="shared" si="3"/>
        <v>0</v>
      </c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</row>
    <row r="869">
      <c r="A869" s="273">
        <v>45846.0</v>
      </c>
      <c r="B869" s="275" t="s">
        <v>1257</v>
      </c>
      <c r="C869" s="275" t="s">
        <v>1263</v>
      </c>
      <c r="D869" s="276">
        <v>7535.0</v>
      </c>
      <c r="E869" s="275" t="s">
        <v>1017</v>
      </c>
      <c r="F869" s="279"/>
      <c r="G869" s="278" t="str">
        <f>IFNA(IF(VLOOKUP(RC_OUT[BLOCK],RC_IN[[BLOCK]:[BLOCK LOC]],2,FALSE)=0,"",VLOOKUP(RC_OUT[BLOCK],RC_IN[[BLOCK]:[BLOCK LOC]],2,FALSE)),"")</f>
        <v/>
      </c>
      <c r="I869" s="263" t="str">
        <f>IFERROR(AVERAGEIFS(RC_IN[MC],RC_IN[BLOCK],RC_OUT[BLOCK]),"")</f>
        <v/>
      </c>
      <c r="J869" s="264">
        <f t="shared" si="1"/>
        <v>0</v>
      </c>
      <c r="K869" s="246"/>
      <c r="L869" s="246"/>
      <c r="M869" s="249" t="str">
        <f t="shared" si="2"/>
        <v/>
      </c>
      <c r="N869" s="266">
        <f t="shared" si="3"/>
        <v>0</v>
      </c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</row>
    <row r="870">
      <c r="A870" s="273">
        <v>45846.0</v>
      </c>
      <c r="B870" s="275" t="s">
        <v>1257</v>
      </c>
      <c r="C870" s="275" t="s">
        <v>1264</v>
      </c>
      <c r="D870" s="276">
        <v>5653.0</v>
      </c>
      <c r="E870" s="275" t="s">
        <v>1017</v>
      </c>
      <c r="F870" s="279"/>
      <c r="G870" s="278" t="str">
        <f>IFNA(IF(VLOOKUP(RC_OUT[BLOCK],RC_IN[[BLOCK]:[BLOCK LOC]],2,FALSE)=0,"",VLOOKUP(RC_OUT[BLOCK],RC_IN[[BLOCK]:[BLOCK LOC]],2,FALSE)),"")</f>
        <v/>
      </c>
      <c r="I870" s="263" t="str">
        <f>IFERROR(AVERAGEIFS(RC_IN[MC],RC_IN[BLOCK],RC_OUT[BLOCK]),"")</f>
        <v/>
      </c>
      <c r="J870" s="264">
        <f t="shared" si="1"/>
        <v>0</v>
      </c>
      <c r="K870" s="246"/>
      <c r="L870" s="246"/>
      <c r="M870" s="249" t="str">
        <f t="shared" si="2"/>
        <v/>
      </c>
      <c r="N870" s="266">
        <f t="shared" si="3"/>
        <v>0</v>
      </c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</row>
    <row r="871">
      <c r="A871" s="273">
        <v>45846.0</v>
      </c>
      <c r="B871" s="275" t="s">
        <v>1257</v>
      </c>
      <c r="C871" s="275" t="s">
        <v>1265</v>
      </c>
      <c r="D871" s="276">
        <v>10029.0</v>
      </c>
      <c r="E871" s="275" t="s">
        <v>1017</v>
      </c>
      <c r="F871" s="279"/>
      <c r="G871" s="278" t="str">
        <f>IFNA(IF(VLOOKUP(RC_OUT[BLOCK],RC_IN[[BLOCK]:[BLOCK LOC]],2,FALSE)=0,"",VLOOKUP(RC_OUT[BLOCK],RC_IN[[BLOCK]:[BLOCK LOC]],2,FALSE)),"")</f>
        <v/>
      </c>
      <c r="I871" s="263" t="str">
        <f>IFERROR(AVERAGEIFS(RC_IN[MC],RC_IN[BLOCK],RC_OUT[BLOCK]),"")</f>
        <v/>
      </c>
      <c r="J871" s="264">
        <f t="shared" si="1"/>
        <v>0</v>
      </c>
      <c r="K871" s="246"/>
      <c r="L871" s="246"/>
      <c r="M871" s="249" t="str">
        <f t="shared" si="2"/>
        <v/>
      </c>
      <c r="N871" s="266">
        <f t="shared" si="3"/>
        <v>0</v>
      </c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</row>
    <row r="872">
      <c r="A872" s="273">
        <v>45846.0</v>
      </c>
      <c r="B872" s="275" t="s">
        <v>1257</v>
      </c>
      <c r="C872" s="275" t="s">
        <v>1266</v>
      </c>
      <c r="D872" s="276">
        <v>1560.0</v>
      </c>
      <c r="E872" s="275" t="s">
        <v>1017</v>
      </c>
      <c r="F872" s="279"/>
      <c r="G872" s="278" t="str">
        <f>IFNA(IF(VLOOKUP(RC_OUT[BLOCK],RC_IN[[BLOCK]:[BLOCK LOC]],2,FALSE)=0,"",VLOOKUP(RC_OUT[BLOCK],RC_IN[[BLOCK]:[BLOCK LOC]],2,FALSE)),"")</f>
        <v/>
      </c>
      <c r="I872" s="263" t="str">
        <f>IFERROR(AVERAGEIFS(RC_IN[MC],RC_IN[BLOCK],RC_OUT[BLOCK]),"")</f>
        <v/>
      </c>
      <c r="J872" s="264">
        <f t="shared" si="1"/>
        <v>0</v>
      </c>
      <c r="K872" s="246"/>
      <c r="L872" s="246"/>
      <c r="M872" s="249" t="str">
        <f t="shared" si="2"/>
        <v/>
      </c>
      <c r="N872" s="266">
        <f t="shared" si="3"/>
        <v>0</v>
      </c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</row>
    <row r="873">
      <c r="A873" s="274"/>
      <c r="B873" s="274"/>
      <c r="C873" s="274"/>
      <c r="D873" s="283"/>
      <c r="E873" s="274"/>
      <c r="F873" s="279"/>
      <c r="G873" s="278" t="str">
        <f>IFNA(IF(VLOOKUP(RC_OUT[BLOCK],RC_IN[[BLOCK]:[BLOCK LOC]],2,FALSE)=0,"",VLOOKUP(RC_OUT[BLOCK],RC_IN[[BLOCK]:[BLOCK LOC]],2,FALSE)),"")</f>
        <v/>
      </c>
      <c r="I873" s="263" t="str">
        <f>IFERROR(AVERAGEIFS(RC_IN[MC],RC_IN[BLOCK],RC_OUT[BLOCK]),"")</f>
        <v/>
      </c>
      <c r="J873" s="264">
        <f t="shared" si="1"/>
        <v>0</v>
      </c>
      <c r="K873" s="246"/>
      <c r="L873" s="246"/>
      <c r="M873" s="249" t="str">
        <f t="shared" si="2"/>
        <v/>
      </c>
      <c r="N873" s="266">
        <f t="shared" si="3"/>
        <v>0</v>
      </c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</row>
    <row r="874">
      <c r="A874" s="273">
        <v>45847.0</v>
      </c>
      <c r="B874" s="275" t="s">
        <v>1257</v>
      </c>
      <c r="C874" s="275" t="s">
        <v>1258</v>
      </c>
      <c r="D874" s="276">
        <v>1573.0</v>
      </c>
      <c r="E874" s="275" t="s">
        <v>1017</v>
      </c>
      <c r="F874" s="277" t="s">
        <v>1059</v>
      </c>
      <c r="G874" s="278" t="str">
        <f>IFNA(IF(VLOOKUP(RC_OUT[BLOCK],RC_IN[[BLOCK]:[BLOCK LOC]],2,FALSE)=0,"",VLOOKUP(RC_OUT[BLOCK],RC_IN[[BLOCK]:[BLOCK LOC]],2,FALSE)),"")</f>
        <v/>
      </c>
      <c r="I874" s="263" t="str">
        <f>IFERROR(AVERAGEIFS(RC_IN[MC],RC_IN[BLOCK],RC_OUT[BLOCK]),"")</f>
        <v/>
      </c>
      <c r="J874" s="264">
        <f t="shared" si="1"/>
        <v>0</v>
      </c>
      <c r="K874" s="246"/>
      <c r="L874" s="246"/>
      <c r="M874" s="249" t="str">
        <f t="shared" si="2"/>
        <v/>
      </c>
      <c r="N874" s="266">
        <f t="shared" si="3"/>
        <v>0</v>
      </c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</row>
    <row r="875">
      <c r="A875" s="273">
        <v>45847.0</v>
      </c>
      <c r="B875" s="275" t="s">
        <v>1257</v>
      </c>
      <c r="C875" s="275" t="s">
        <v>1263</v>
      </c>
      <c r="D875" s="276">
        <v>6065.0</v>
      </c>
      <c r="E875" s="275" t="s">
        <v>1017</v>
      </c>
      <c r="F875" s="279"/>
      <c r="G875" s="278" t="str">
        <f>IFNA(IF(VLOOKUP(RC_OUT[BLOCK],RC_IN[[BLOCK]:[BLOCK LOC]],2,FALSE)=0,"",VLOOKUP(RC_OUT[BLOCK],RC_IN[[BLOCK]:[BLOCK LOC]],2,FALSE)),"")</f>
        <v/>
      </c>
      <c r="I875" s="263" t="str">
        <f>IFERROR(AVERAGEIFS(RC_IN[MC],RC_IN[BLOCK],RC_OUT[BLOCK]),"")</f>
        <v/>
      </c>
      <c r="J875" s="264">
        <f t="shared" si="1"/>
        <v>0</v>
      </c>
      <c r="K875" s="246"/>
      <c r="L875" s="246"/>
      <c r="M875" s="249" t="str">
        <f t="shared" si="2"/>
        <v/>
      </c>
      <c r="N875" s="266">
        <f t="shared" si="3"/>
        <v>0</v>
      </c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</row>
    <row r="876">
      <c r="A876" s="273">
        <v>45847.0</v>
      </c>
      <c r="B876" s="275" t="s">
        <v>1257</v>
      </c>
      <c r="C876" s="275" t="s">
        <v>1264</v>
      </c>
      <c r="D876" s="276">
        <v>4001.0</v>
      </c>
      <c r="E876" s="275" t="s">
        <v>1017</v>
      </c>
      <c r="F876" s="279"/>
      <c r="G876" s="278" t="str">
        <f>IFNA(IF(VLOOKUP(RC_OUT[BLOCK],RC_IN[[BLOCK]:[BLOCK LOC]],2,FALSE)=0,"",VLOOKUP(RC_OUT[BLOCK],RC_IN[[BLOCK]:[BLOCK LOC]],2,FALSE)),"")</f>
        <v/>
      </c>
      <c r="I876" s="263" t="str">
        <f>IFERROR(AVERAGEIFS(RC_IN[MC],RC_IN[BLOCK],RC_OUT[BLOCK]),"")</f>
        <v/>
      </c>
      <c r="J876" s="264">
        <f t="shared" si="1"/>
        <v>0</v>
      </c>
      <c r="K876" s="246"/>
      <c r="L876" s="246"/>
      <c r="M876" s="249" t="str">
        <f t="shared" si="2"/>
        <v/>
      </c>
      <c r="N876" s="266">
        <f t="shared" si="3"/>
        <v>0</v>
      </c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</row>
    <row r="877">
      <c r="A877" s="273">
        <v>45847.0</v>
      </c>
      <c r="B877" s="275" t="s">
        <v>1257</v>
      </c>
      <c r="C877" s="275" t="s">
        <v>1265</v>
      </c>
      <c r="D877" s="276">
        <v>14085.0</v>
      </c>
      <c r="E877" s="275" t="s">
        <v>1017</v>
      </c>
      <c r="F877" s="279"/>
      <c r="G877" s="278" t="str">
        <f>IFNA(IF(VLOOKUP(RC_OUT[BLOCK],RC_IN[[BLOCK]:[BLOCK LOC]],2,FALSE)=0,"",VLOOKUP(RC_OUT[BLOCK],RC_IN[[BLOCK]:[BLOCK LOC]],2,FALSE)),"")</f>
        <v/>
      </c>
      <c r="I877" s="263" t="str">
        <f>IFERROR(AVERAGEIFS(RC_IN[MC],RC_IN[BLOCK],RC_OUT[BLOCK]),"")</f>
        <v/>
      </c>
      <c r="J877" s="264">
        <f t="shared" si="1"/>
        <v>0</v>
      </c>
      <c r="K877" s="246"/>
      <c r="L877" s="246"/>
      <c r="M877" s="249" t="str">
        <f t="shared" si="2"/>
        <v/>
      </c>
      <c r="N877" s="266">
        <f t="shared" si="3"/>
        <v>0</v>
      </c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</row>
    <row r="878">
      <c r="A878" s="273">
        <v>45847.0</v>
      </c>
      <c r="B878" s="275" t="s">
        <v>1257</v>
      </c>
      <c r="C878" s="275" t="s">
        <v>1266</v>
      </c>
      <c r="D878" s="276">
        <v>8000.0</v>
      </c>
      <c r="E878" s="275" t="s">
        <v>1017</v>
      </c>
      <c r="F878" s="279"/>
      <c r="G878" s="278" t="str">
        <f>IFNA(IF(VLOOKUP(RC_OUT[BLOCK],RC_IN[[BLOCK]:[BLOCK LOC]],2,FALSE)=0,"",VLOOKUP(RC_OUT[BLOCK],RC_IN[[BLOCK]:[BLOCK LOC]],2,FALSE)),"")</f>
        <v/>
      </c>
      <c r="I878" s="263" t="str">
        <f>IFERROR(AVERAGEIFS(RC_IN[MC],RC_IN[BLOCK],RC_OUT[BLOCK]),"")</f>
        <v/>
      </c>
      <c r="J878" s="264">
        <f t="shared" si="1"/>
        <v>0</v>
      </c>
      <c r="K878" s="246"/>
      <c r="L878" s="246"/>
      <c r="M878" s="249" t="str">
        <f t="shared" si="2"/>
        <v/>
      </c>
      <c r="N878" s="266">
        <f t="shared" si="3"/>
        <v>0</v>
      </c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</row>
    <row r="879">
      <c r="A879" s="274"/>
      <c r="B879" s="274"/>
      <c r="C879" s="274"/>
      <c r="D879" s="283"/>
      <c r="E879" s="274"/>
      <c r="F879" s="279"/>
      <c r="G879" s="278" t="str">
        <f>IFNA(IF(VLOOKUP(RC_OUT[BLOCK],RC_IN[[BLOCK]:[BLOCK LOC]],2,FALSE)=0,"",VLOOKUP(RC_OUT[BLOCK],RC_IN[[BLOCK]:[BLOCK LOC]],2,FALSE)),"")</f>
        <v/>
      </c>
      <c r="I879" s="263" t="str">
        <f>IFERROR(AVERAGEIFS(RC_IN[MC],RC_IN[BLOCK],RC_OUT[BLOCK]),"")</f>
        <v/>
      </c>
      <c r="J879" s="264">
        <f t="shared" si="1"/>
        <v>0</v>
      </c>
      <c r="K879" s="246"/>
      <c r="L879" s="246"/>
      <c r="M879" s="249" t="str">
        <f t="shared" si="2"/>
        <v/>
      </c>
      <c r="N879" s="266">
        <f t="shared" si="3"/>
        <v>0</v>
      </c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</row>
    <row r="880">
      <c r="A880" s="273">
        <v>45848.0</v>
      </c>
      <c r="B880" s="275" t="s">
        <v>1257</v>
      </c>
      <c r="C880" s="275" t="s">
        <v>1263</v>
      </c>
      <c r="D880" s="276">
        <v>7785.0</v>
      </c>
      <c r="E880" s="275" t="s">
        <v>1017</v>
      </c>
      <c r="F880" s="277" t="s">
        <v>1059</v>
      </c>
      <c r="G880" s="278" t="str">
        <f>IFNA(IF(VLOOKUP(RC_OUT[BLOCK],RC_IN[[BLOCK]:[BLOCK LOC]],2,FALSE)=0,"",VLOOKUP(RC_OUT[BLOCK],RC_IN[[BLOCK]:[BLOCK LOC]],2,FALSE)),"")</f>
        <v/>
      </c>
      <c r="I880" s="263" t="str">
        <f>IFERROR(AVERAGEIFS(RC_IN[MC],RC_IN[BLOCK],RC_OUT[BLOCK]),"")</f>
        <v/>
      </c>
      <c r="J880" s="264">
        <f t="shared" si="1"/>
        <v>0</v>
      </c>
      <c r="K880" s="246"/>
      <c r="L880" s="246"/>
      <c r="M880" s="249" t="str">
        <f t="shared" si="2"/>
        <v/>
      </c>
      <c r="N880" s="266">
        <f t="shared" si="3"/>
        <v>0</v>
      </c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</row>
    <row r="881">
      <c r="A881" s="273">
        <v>45848.0</v>
      </c>
      <c r="B881" s="275" t="s">
        <v>1257</v>
      </c>
      <c r="C881" s="275" t="s">
        <v>1264</v>
      </c>
      <c r="D881" s="276">
        <v>6523.0</v>
      </c>
      <c r="E881" s="275" t="s">
        <v>1017</v>
      </c>
      <c r="F881" s="279"/>
      <c r="G881" s="278" t="str">
        <f>IFNA(IF(VLOOKUP(RC_OUT[BLOCK],RC_IN[[BLOCK]:[BLOCK LOC]],2,FALSE)=0,"",VLOOKUP(RC_OUT[BLOCK],RC_IN[[BLOCK]:[BLOCK LOC]],2,FALSE)),"")</f>
        <v/>
      </c>
      <c r="I881" s="263" t="str">
        <f>IFERROR(AVERAGEIFS(RC_IN[MC],RC_IN[BLOCK],RC_OUT[BLOCK]),"")</f>
        <v/>
      </c>
      <c r="J881" s="264">
        <f t="shared" si="1"/>
        <v>0</v>
      </c>
      <c r="K881" s="246"/>
      <c r="L881" s="246"/>
      <c r="M881" s="249" t="str">
        <f t="shared" si="2"/>
        <v/>
      </c>
      <c r="N881" s="266">
        <f t="shared" si="3"/>
        <v>0</v>
      </c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</row>
    <row r="882">
      <c r="A882" s="273">
        <v>45848.0</v>
      </c>
      <c r="B882" s="275" t="s">
        <v>1257</v>
      </c>
      <c r="C882" s="275" t="s">
        <v>1265</v>
      </c>
      <c r="D882" s="276">
        <v>9342.0</v>
      </c>
      <c r="E882" s="275" t="s">
        <v>1017</v>
      </c>
      <c r="F882" s="279"/>
      <c r="G882" s="278" t="str">
        <f>IFNA(IF(VLOOKUP(RC_OUT[BLOCK],RC_IN[[BLOCK]:[BLOCK LOC]],2,FALSE)=0,"",VLOOKUP(RC_OUT[BLOCK],RC_IN[[BLOCK]:[BLOCK LOC]],2,FALSE)),"")</f>
        <v/>
      </c>
      <c r="I882" s="263" t="str">
        <f>IFERROR(AVERAGEIFS(RC_IN[MC],RC_IN[BLOCK],RC_OUT[BLOCK]),"")</f>
        <v/>
      </c>
      <c r="J882" s="264">
        <f t="shared" si="1"/>
        <v>0</v>
      </c>
      <c r="K882" s="246"/>
      <c r="L882" s="246"/>
      <c r="M882" s="249" t="str">
        <f t="shared" si="2"/>
        <v/>
      </c>
      <c r="N882" s="266">
        <f t="shared" si="3"/>
        <v>0</v>
      </c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</row>
    <row r="883">
      <c r="A883" s="273">
        <v>45848.0</v>
      </c>
      <c r="B883" s="275" t="s">
        <v>1257</v>
      </c>
      <c r="C883" s="275" t="s">
        <v>1266</v>
      </c>
      <c r="D883" s="276">
        <v>5000.0</v>
      </c>
      <c r="E883" s="275" t="s">
        <v>1017</v>
      </c>
      <c r="F883" s="279"/>
      <c r="G883" s="278" t="str">
        <f>IFNA(IF(VLOOKUP(RC_OUT[BLOCK],RC_IN[[BLOCK]:[BLOCK LOC]],2,FALSE)=0,"",VLOOKUP(RC_OUT[BLOCK],RC_IN[[BLOCK]:[BLOCK LOC]],2,FALSE)),"")</f>
        <v/>
      </c>
      <c r="I883" s="263" t="str">
        <f>IFERROR(AVERAGEIFS(RC_IN[MC],RC_IN[BLOCK],RC_OUT[BLOCK]),"")</f>
        <v/>
      </c>
      <c r="J883" s="264">
        <f t="shared" si="1"/>
        <v>0</v>
      </c>
      <c r="K883" s="246"/>
      <c r="L883" s="246"/>
      <c r="M883" s="249" t="str">
        <f t="shared" si="2"/>
        <v/>
      </c>
      <c r="N883" s="266">
        <f t="shared" si="3"/>
        <v>0</v>
      </c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</row>
    <row r="884">
      <c r="A884" s="273">
        <v>45848.0</v>
      </c>
      <c r="B884" s="275" t="s">
        <v>1257</v>
      </c>
      <c r="C884" s="275" t="s">
        <v>1267</v>
      </c>
      <c r="D884" s="276">
        <v>9588.0</v>
      </c>
      <c r="E884" s="275" t="s">
        <v>1017</v>
      </c>
      <c r="F884" s="279"/>
      <c r="G884" s="278" t="str">
        <f>IFNA(IF(VLOOKUP(RC_OUT[BLOCK],RC_IN[[BLOCK]:[BLOCK LOC]],2,FALSE)=0,"",VLOOKUP(RC_OUT[BLOCK],RC_IN[[BLOCK]:[BLOCK LOC]],2,FALSE)),"")</f>
        <v/>
      </c>
      <c r="I884" s="263" t="str">
        <f>IFERROR(AVERAGEIFS(RC_IN[MC],RC_IN[BLOCK],RC_OUT[BLOCK]),"")</f>
        <v/>
      </c>
      <c r="J884" s="264">
        <f t="shared" si="1"/>
        <v>0</v>
      </c>
      <c r="K884" s="246"/>
      <c r="L884" s="246"/>
      <c r="M884" s="249" t="str">
        <f t="shared" si="2"/>
        <v/>
      </c>
      <c r="N884" s="266">
        <f t="shared" si="3"/>
        <v>0</v>
      </c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</row>
    <row r="885">
      <c r="A885" s="274"/>
      <c r="B885" s="274"/>
      <c r="C885" s="274"/>
      <c r="D885" s="283"/>
      <c r="E885" s="274"/>
      <c r="F885" s="279"/>
      <c r="G885" s="278" t="str">
        <f>IFNA(IF(VLOOKUP(RC_OUT[BLOCK],RC_IN[[BLOCK]:[BLOCK LOC]],2,FALSE)=0,"",VLOOKUP(RC_OUT[BLOCK],RC_IN[[BLOCK]:[BLOCK LOC]],2,FALSE)),"")</f>
        <v/>
      </c>
      <c r="I885" s="263" t="str">
        <f>IFERROR(AVERAGEIFS(RC_IN[MC],RC_IN[BLOCK],RC_OUT[BLOCK]),"")</f>
        <v/>
      </c>
      <c r="J885" s="264">
        <f t="shared" si="1"/>
        <v>0</v>
      </c>
      <c r="K885" s="246"/>
      <c r="L885" s="246"/>
      <c r="M885" s="249" t="str">
        <f t="shared" si="2"/>
        <v/>
      </c>
      <c r="N885" s="266">
        <f t="shared" si="3"/>
        <v>0</v>
      </c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</row>
    <row r="886">
      <c r="A886" s="273">
        <v>45849.0</v>
      </c>
      <c r="B886" s="275" t="s">
        <v>1257</v>
      </c>
      <c r="C886" s="275" t="s">
        <v>1264</v>
      </c>
      <c r="D886" s="276">
        <v>3832.0</v>
      </c>
      <c r="E886" s="275" t="s">
        <v>1017</v>
      </c>
      <c r="F886" s="279"/>
      <c r="G886" s="278" t="str">
        <f>IFNA(IF(VLOOKUP(RC_OUT[BLOCK],RC_IN[[BLOCK]:[BLOCK LOC]],2,FALSE)=0,"",VLOOKUP(RC_OUT[BLOCK],RC_IN[[BLOCK]:[BLOCK LOC]],2,FALSE)),"")</f>
        <v/>
      </c>
      <c r="I886" s="263" t="str">
        <f>IFERROR(AVERAGEIFS(RC_IN[MC],RC_IN[BLOCK],RC_OUT[BLOCK]),"")</f>
        <v/>
      </c>
      <c r="J886" s="264">
        <f t="shared" si="1"/>
        <v>0</v>
      </c>
      <c r="K886" s="246"/>
      <c r="L886" s="246"/>
      <c r="M886" s="249" t="str">
        <f t="shared" si="2"/>
        <v/>
      </c>
      <c r="N886" s="266">
        <f t="shared" si="3"/>
        <v>0</v>
      </c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</row>
    <row r="887">
      <c r="A887" s="273">
        <v>45849.0</v>
      </c>
      <c r="B887" s="275" t="s">
        <v>1257</v>
      </c>
      <c r="C887" s="275" t="s">
        <v>1265</v>
      </c>
      <c r="D887" s="276">
        <v>10296.0</v>
      </c>
      <c r="E887" s="275" t="s">
        <v>1017</v>
      </c>
      <c r="F887" s="279"/>
      <c r="G887" s="278" t="str">
        <f>IFNA(IF(VLOOKUP(RC_OUT[BLOCK],RC_IN[[BLOCK]:[BLOCK LOC]],2,FALSE)=0,"",VLOOKUP(RC_OUT[BLOCK],RC_IN[[BLOCK]:[BLOCK LOC]],2,FALSE)),"")</f>
        <v/>
      </c>
      <c r="I887" s="263" t="str">
        <f>IFERROR(AVERAGEIFS(RC_IN[MC],RC_IN[BLOCK],RC_OUT[BLOCK]),"")</f>
        <v/>
      </c>
      <c r="J887" s="264">
        <f t="shared" si="1"/>
        <v>0</v>
      </c>
      <c r="K887" s="246"/>
      <c r="L887" s="246"/>
      <c r="M887" s="249" t="str">
        <f t="shared" si="2"/>
        <v/>
      </c>
      <c r="N887" s="266">
        <f t="shared" si="3"/>
        <v>0</v>
      </c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</row>
    <row r="888">
      <c r="A888" s="273">
        <v>45849.0</v>
      </c>
      <c r="B888" s="275" t="s">
        <v>1257</v>
      </c>
      <c r="C888" s="275" t="s">
        <v>1266</v>
      </c>
      <c r="D888" s="276">
        <v>3000.0</v>
      </c>
      <c r="E888" s="275" t="s">
        <v>1017</v>
      </c>
      <c r="F888" s="277" t="s">
        <v>1059</v>
      </c>
      <c r="G888" s="278" t="str">
        <f>IFNA(IF(VLOOKUP(RC_OUT[BLOCK],RC_IN[[BLOCK]:[BLOCK LOC]],2,FALSE)=0,"",VLOOKUP(RC_OUT[BLOCK],RC_IN[[BLOCK]:[BLOCK LOC]],2,FALSE)),"")</f>
        <v/>
      </c>
      <c r="I888" s="263" t="str">
        <f>IFERROR(AVERAGEIFS(RC_IN[MC],RC_IN[BLOCK],RC_OUT[BLOCK]),"")</f>
        <v/>
      </c>
      <c r="J888" s="264">
        <f t="shared" si="1"/>
        <v>0</v>
      </c>
      <c r="K888" s="246"/>
      <c r="L888" s="246"/>
      <c r="M888" s="249" t="str">
        <f t="shared" si="2"/>
        <v/>
      </c>
      <c r="N888" s="266">
        <f t="shared" si="3"/>
        <v>0</v>
      </c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</row>
    <row r="889">
      <c r="A889" s="273">
        <v>45849.0</v>
      </c>
      <c r="B889" s="275" t="s">
        <v>1257</v>
      </c>
      <c r="C889" s="275" t="s">
        <v>1267</v>
      </c>
      <c r="D889" s="276">
        <v>14059.0</v>
      </c>
      <c r="E889" s="275" t="s">
        <v>1017</v>
      </c>
      <c r="F889" s="279"/>
      <c r="G889" s="278" t="str">
        <f>IFNA(IF(VLOOKUP(RC_OUT[BLOCK],RC_IN[[BLOCK]:[BLOCK LOC]],2,FALSE)=0,"",VLOOKUP(RC_OUT[BLOCK],RC_IN[[BLOCK]:[BLOCK LOC]],2,FALSE)),"")</f>
        <v/>
      </c>
      <c r="I889" s="263" t="str">
        <f>IFERROR(AVERAGEIFS(RC_IN[MC],RC_IN[BLOCK],RC_OUT[BLOCK]),"")</f>
        <v/>
      </c>
      <c r="J889" s="264">
        <f t="shared" si="1"/>
        <v>0</v>
      </c>
      <c r="K889" s="246"/>
      <c r="L889" s="246"/>
      <c r="M889" s="249" t="str">
        <f t="shared" si="2"/>
        <v/>
      </c>
      <c r="N889" s="266">
        <f t="shared" si="3"/>
        <v>0</v>
      </c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</row>
    <row r="890">
      <c r="A890" s="273">
        <v>45849.0</v>
      </c>
      <c r="B890" s="275" t="s">
        <v>1257</v>
      </c>
      <c r="C890" s="275" t="s">
        <v>1268</v>
      </c>
      <c r="D890" s="276">
        <v>10250.0</v>
      </c>
      <c r="E890" s="275" t="s">
        <v>1017</v>
      </c>
      <c r="F890" s="279"/>
      <c r="G890" s="278" t="str">
        <f>IFNA(IF(VLOOKUP(RC_OUT[BLOCK],RC_IN[[BLOCK]:[BLOCK LOC]],2,FALSE)=0,"",VLOOKUP(RC_OUT[BLOCK],RC_IN[[BLOCK]:[BLOCK LOC]],2,FALSE)),"")</f>
        <v/>
      </c>
      <c r="I890" s="263" t="str">
        <f>IFERROR(AVERAGEIFS(RC_IN[MC],RC_IN[BLOCK],RC_OUT[BLOCK]),"")</f>
        <v/>
      </c>
      <c r="J890" s="264">
        <f t="shared" si="1"/>
        <v>0</v>
      </c>
      <c r="K890" s="246"/>
      <c r="L890" s="246"/>
      <c r="M890" s="249" t="str">
        <f t="shared" si="2"/>
        <v/>
      </c>
      <c r="N890" s="266">
        <f t="shared" si="3"/>
        <v>0</v>
      </c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</row>
    <row r="891">
      <c r="A891" s="274"/>
      <c r="B891" s="274"/>
      <c r="C891" s="274"/>
      <c r="D891" s="283"/>
      <c r="E891" s="274"/>
      <c r="F891" s="279"/>
      <c r="G891" s="278" t="str">
        <f>IFNA(IF(VLOOKUP(RC_OUT[BLOCK],RC_IN[[BLOCK]:[BLOCK LOC]],2,FALSE)=0,"",VLOOKUP(RC_OUT[BLOCK],RC_IN[[BLOCK]:[BLOCK LOC]],2,FALSE)),"")</f>
        <v/>
      </c>
      <c r="I891" s="263" t="str">
        <f>IFERROR(AVERAGEIFS(RC_IN[MC],RC_IN[BLOCK],RC_OUT[BLOCK]),"")</f>
        <v/>
      </c>
      <c r="J891" s="264">
        <f t="shared" si="1"/>
        <v>0</v>
      </c>
      <c r="K891" s="246"/>
      <c r="L891" s="246"/>
      <c r="M891" s="249" t="str">
        <f t="shared" si="2"/>
        <v/>
      </c>
      <c r="N891" s="266">
        <f t="shared" si="3"/>
        <v>0</v>
      </c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</row>
    <row r="892">
      <c r="A892" s="273">
        <v>45850.0</v>
      </c>
      <c r="B892" s="275" t="s">
        <v>1257</v>
      </c>
      <c r="C892" s="275" t="s">
        <v>1264</v>
      </c>
      <c r="D892" s="276">
        <v>3647.0</v>
      </c>
      <c r="E892" s="275" t="s">
        <v>1017</v>
      </c>
      <c r="F892" s="279"/>
      <c r="G892" s="278" t="str">
        <f>IFNA(IF(VLOOKUP(RC_OUT[BLOCK],RC_IN[[BLOCK]:[BLOCK LOC]],2,FALSE)=0,"",VLOOKUP(RC_OUT[BLOCK],RC_IN[[BLOCK]:[BLOCK LOC]],2,FALSE)),"")</f>
        <v/>
      </c>
      <c r="I892" s="263" t="str">
        <f>IFERROR(AVERAGEIFS(RC_IN[MC],RC_IN[BLOCK],RC_OUT[BLOCK]),"")</f>
        <v/>
      </c>
      <c r="J892" s="264">
        <f t="shared" si="1"/>
        <v>0</v>
      </c>
      <c r="K892" s="246"/>
      <c r="L892" s="246"/>
      <c r="M892" s="249" t="str">
        <f t="shared" si="2"/>
        <v/>
      </c>
      <c r="N892" s="266">
        <f t="shared" si="3"/>
        <v>0</v>
      </c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</row>
    <row r="893">
      <c r="A893" s="273">
        <v>45850.0</v>
      </c>
      <c r="B893" s="275" t="s">
        <v>1257</v>
      </c>
      <c r="C893" s="275" t="s">
        <v>1265</v>
      </c>
      <c r="D893" s="276">
        <v>5027.0</v>
      </c>
      <c r="E893" s="275" t="s">
        <v>1017</v>
      </c>
      <c r="F893" s="277" t="s">
        <v>1059</v>
      </c>
      <c r="G893" s="278" t="str">
        <f>IFNA(IF(VLOOKUP(RC_OUT[BLOCK],RC_IN[[BLOCK]:[BLOCK LOC]],2,FALSE)=0,"",VLOOKUP(RC_OUT[BLOCK],RC_IN[[BLOCK]:[BLOCK LOC]],2,FALSE)),"")</f>
        <v/>
      </c>
      <c r="I893" s="263" t="str">
        <f>IFERROR(AVERAGEIFS(RC_IN[MC],RC_IN[BLOCK],RC_OUT[BLOCK]),"")</f>
        <v/>
      </c>
      <c r="J893" s="264">
        <f t="shared" si="1"/>
        <v>0</v>
      </c>
      <c r="K893" s="246"/>
      <c r="L893" s="246"/>
      <c r="M893" s="249" t="str">
        <f t="shared" si="2"/>
        <v/>
      </c>
      <c r="N893" s="266">
        <f t="shared" si="3"/>
        <v>0</v>
      </c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</row>
    <row r="894">
      <c r="A894" s="273">
        <v>45850.0</v>
      </c>
      <c r="B894" s="275" t="s">
        <v>1257</v>
      </c>
      <c r="C894" s="275" t="s">
        <v>1267</v>
      </c>
      <c r="D894" s="276">
        <v>14361.0</v>
      </c>
      <c r="E894" s="275" t="s">
        <v>1017</v>
      </c>
      <c r="F894" s="279"/>
      <c r="G894" s="278" t="str">
        <f>IFNA(IF(VLOOKUP(RC_OUT[BLOCK],RC_IN[[BLOCK]:[BLOCK LOC]],2,FALSE)=0,"",VLOOKUP(RC_OUT[BLOCK],RC_IN[[BLOCK]:[BLOCK LOC]],2,FALSE)),"")</f>
        <v/>
      </c>
      <c r="I894" s="263" t="str">
        <f>IFERROR(AVERAGEIFS(RC_IN[MC],RC_IN[BLOCK],RC_OUT[BLOCK]),"")</f>
        <v/>
      </c>
      <c r="J894" s="264">
        <f t="shared" si="1"/>
        <v>0</v>
      </c>
      <c r="K894" s="246"/>
      <c r="L894" s="246"/>
      <c r="M894" s="249" t="str">
        <f t="shared" si="2"/>
        <v/>
      </c>
      <c r="N894" s="266">
        <f t="shared" si="3"/>
        <v>0</v>
      </c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</row>
    <row r="895">
      <c r="A895" s="273">
        <v>45850.0</v>
      </c>
      <c r="B895" s="275" t="s">
        <v>1257</v>
      </c>
      <c r="C895" s="275" t="s">
        <v>1268</v>
      </c>
      <c r="D895" s="276">
        <v>8000.0</v>
      </c>
      <c r="E895" s="275" t="s">
        <v>1017</v>
      </c>
      <c r="F895" s="277" t="s">
        <v>1059</v>
      </c>
      <c r="G895" s="278" t="str">
        <f>IFNA(IF(VLOOKUP(RC_OUT[BLOCK],RC_IN[[BLOCK]:[BLOCK LOC]],2,FALSE)=0,"",VLOOKUP(RC_OUT[BLOCK],RC_IN[[BLOCK]:[BLOCK LOC]],2,FALSE)),"")</f>
        <v/>
      </c>
      <c r="I895" s="263" t="str">
        <f>IFERROR(AVERAGEIFS(RC_IN[MC],RC_IN[BLOCK],RC_OUT[BLOCK]),"")</f>
        <v/>
      </c>
      <c r="J895" s="264">
        <f t="shared" si="1"/>
        <v>0</v>
      </c>
      <c r="K895" s="246"/>
      <c r="L895" s="246"/>
      <c r="M895" s="249" t="str">
        <f t="shared" si="2"/>
        <v/>
      </c>
      <c r="N895" s="266">
        <f t="shared" si="3"/>
        <v>0</v>
      </c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</row>
    <row r="896">
      <c r="A896" s="273">
        <v>45850.0</v>
      </c>
      <c r="B896" s="275" t="s">
        <v>1257</v>
      </c>
      <c r="C896" s="275" t="s">
        <v>1269</v>
      </c>
      <c r="D896" s="276">
        <v>4637.0</v>
      </c>
      <c r="E896" s="275" t="s">
        <v>1017</v>
      </c>
      <c r="F896" s="279"/>
      <c r="G896" s="278" t="str">
        <f>IFNA(IF(VLOOKUP(RC_OUT[BLOCK],RC_IN[[BLOCK]:[BLOCK LOC]],2,FALSE)=0,"",VLOOKUP(RC_OUT[BLOCK],RC_IN[[BLOCK]:[BLOCK LOC]],2,FALSE)),"")</f>
        <v/>
      </c>
      <c r="I896" s="263" t="str">
        <f>IFERROR(AVERAGEIFS(RC_IN[MC],RC_IN[BLOCK],RC_OUT[BLOCK]),"")</f>
        <v/>
      </c>
      <c r="J896" s="264">
        <f t="shared" si="1"/>
        <v>0</v>
      </c>
      <c r="K896" s="246"/>
      <c r="L896" s="246"/>
      <c r="M896" s="249" t="str">
        <f t="shared" si="2"/>
        <v/>
      </c>
      <c r="N896" s="266">
        <f t="shared" si="3"/>
        <v>0</v>
      </c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</row>
    <row r="897">
      <c r="A897" s="274"/>
      <c r="B897" s="274"/>
      <c r="C897" s="274"/>
      <c r="D897" s="283"/>
      <c r="E897" s="274"/>
      <c r="F897" s="279"/>
      <c r="G897" s="278" t="str">
        <f>IFNA(IF(VLOOKUP(RC_OUT[BLOCK],RC_IN[[BLOCK]:[BLOCK LOC]],2,FALSE)=0,"",VLOOKUP(RC_OUT[BLOCK],RC_IN[[BLOCK]:[BLOCK LOC]],2,FALSE)),"")</f>
        <v/>
      </c>
      <c r="I897" s="263" t="str">
        <f>IFERROR(AVERAGEIFS(RC_IN[MC],RC_IN[BLOCK],RC_OUT[BLOCK]),"")</f>
        <v/>
      </c>
      <c r="J897" s="264">
        <f t="shared" si="1"/>
        <v>0</v>
      </c>
      <c r="K897" s="246"/>
      <c r="L897" s="246"/>
      <c r="M897" s="249" t="str">
        <f t="shared" si="2"/>
        <v/>
      </c>
      <c r="N897" s="266">
        <f t="shared" si="3"/>
        <v>0</v>
      </c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</row>
    <row r="898">
      <c r="A898" s="273">
        <v>45852.0</v>
      </c>
      <c r="B898" s="275" t="s">
        <v>1257</v>
      </c>
      <c r="C898" s="275" t="s">
        <v>1264</v>
      </c>
      <c r="D898" s="276">
        <v>2705.0</v>
      </c>
      <c r="E898" s="275" t="s">
        <v>1017</v>
      </c>
      <c r="F898" s="279"/>
      <c r="G898" s="278" t="str">
        <f>IFNA(IF(VLOOKUP(RC_OUT[BLOCK],RC_IN[[BLOCK]:[BLOCK LOC]],2,FALSE)=0,"",VLOOKUP(RC_OUT[BLOCK],RC_IN[[BLOCK]:[BLOCK LOC]],2,FALSE)),"")</f>
        <v/>
      </c>
      <c r="I898" s="263" t="str">
        <f>IFERROR(AVERAGEIFS(RC_IN[MC],RC_IN[BLOCK],RC_OUT[BLOCK]),"")</f>
        <v/>
      </c>
      <c r="J898" s="264">
        <f t="shared" si="1"/>
        <v>0</v>
      </c>
      <c r="K898" s="246"/>
      <c r="L898" s="246"/>
      <c r="M898" s="249" t="str">
        <f t="shared" si="2"/>
        <v/>
      </c>
      <c r="N898" s="266">
        <f t="shared" si="3"/>
        <v>0</v>
      </c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</row>
    <row r="899">
      <c r="A899" s="273">
        <v>45852.0</v>
      </c>
      <c r="B899" s="275" t="s">
        <v>1257</v>
      </c>
      <c r="C899" s="275" t="s">
        <v>1267</v>
      </c>
      <c r="D899" s="276">
        <v>15301.0</v>
      </c>
      <c r="E899" s="275" t="s">
        <v>1017</v>
      </c>
      <c r="F899" s="279"/>
      <c r="G899" s="278" t="str">
        <f>IFNA(IF(VLOOKUP(RC_OUT[BLOCK],RC_IN[[BLOCK]:[BLOCK LOC]],2,FALSE)=0,"",VLOOKUP(RC_OUT[BLOCK],RC_IN[[BLOCK]:[BLOCK LOC]],2,FALSE)),"")</f>
        <v/>
      </c>
      <c r="I899" s="263" t="str">
        <f>IFERROR(AVERAGEIFS(RC_IN[MC],RC_IN[BLOCK],RC_OUT[BLOCK]),"")</f>
        <v/>
      </c>
      <c r="J899" s="264">
        <f t="shared" si="1"/>
        <v>0</v>
      </c>
      <c r="K899" s="246"/>
      <c r="L899" s="246"/>
      <c r="M899" s="249" t="str">
        <f t="shared" si="2"/>
        <v/>
      </c>
      <c r="N899" s="266">
        <f t="shared" si="3"/>
        <v>0</v>
      </c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</row>
    <row r="900">
      <c r="A900" s="273">
        <v>45852.0</v>
      </c>
      <c r="B900" s="275" t="s">
        <v>1257</v>
      </c>
      <c r="C900" s="275" t="s">
        <v>1269</v>
      </c>
      <c r="D900" s="276">
        <v>16146.0</v>
      </c>
      <c r="E900" s="275" t="s">
        <v>1017</v>
      </c>
      <c r="F900" s="279"/>
      <c r="G900" s="278" t="str">
        <f>IFNA(IF(VLOOKUP(RC_OUT[BLOCK],RC_IN[[BLOCK]:[BLOCK LOC]],2,FALSE)=0,"",VLOOKUP(RC_OUT[BLOCK],RC_IN[[BLOCK]:[BLOCK LOC]],2,FALSE)),"")</f>
        <v/>
      </c>
      <c r="I900" s="263" t="str">
        <f>IFERROR(AVERAGEIFS(RC_IN[MC],RC_IN[BLOCK],RC_OUT[BLOCK]),"")</f>
        <v/>
      </c>
      <c r="J900" s="264">
        <f t="shared" si="1"/>
        <v>0</v>
      </c>
      <c r="K900" s="246"/>
      <c r="L900" s="246"/>
      <c r="M900" s="249" t="str">
        <f t="shared" si="2"/>
        <v/>
      </c>
      <c r="N900" s="266">
        <f t="shared" si="3"/>
        <v>0</v>
      </c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</row>
    <row r="901">
      <c r="A901" s="274"/>
      <c r="B901" s="274"/>
      <c r="C901" s="274"/>
      <c r="D901" s="283"/>
      <c r="E901" s="274"/>
      <c r="F901" s="279"/>
      <c r="G901" s="278" t="str">
        <f>IFNA(IF(VLOOKUP(RC_OUT[BLOCK],RC_IN[[BLOCK]:[BLOCK LOC]],2,FALSE)=0,"",VLOOKUP(RC_OUT[BLOCK],RC_IN[[BLOCK]:[BLOCK LOC]],2,FALSE)),"")</f>
        <v/>
      </c>
      <c r="I901" s="263" t="str">
        <f>IFERROR(AVERAGEIFS(RC_IN[MC],RC_IN[BLOCK],RC_OUT[BLOCK]),"")</f>
        <v/>
      </c>
      <c r="J901" s="264">
        <f t="shared" si="1"/>
        <v>0</v>
      </c>
      <c r="K901" s="246"/>
      <c r="L901" s="246"/>
      <c r="M901" s="249" t="str">
        <f t="shared" si="2"/>
        <v/>
      </c>
      <c r="N901" s="266">
        <f t="shared" si="3"/>
        <v>0</v>
      </c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</row>
    <row r="902">
      <c r="A902" s="273">
        <v>45853.0</v>
      </c>
      <c r="B902" s="275" t="s">
        <v>1257</v>
      </c>
      <c r="C902" s="275" t="s">
        <v>1267</v>
      </c>
      <c r="D902" s="276">
        <v>21454.0</v>
      </c>
      <c r="E902" s="275" t="s">
        <v>1017</v>
      </c>
      <c r="F902" s="277" t="s">
        <v>1059</v>
      </c>
      <c r="G902" s="278" t="str">
        <f>IFNA(IF(VLOOKUP(RC_OUT[BLOCK],RC_IN[[BLOCK]:[BLOCK LOC]],2,FALSE)=0,"",VLOOKUP(RC_OUT[BLOCK],RC_IN[[BLOCK]:[BLOCK LOC]],2,FALSE)),"")</f>
        <v/>
      </c>
      <c r="I902" s="263" t="str">
        <f>IFERROR(AVERAGEIFS(RC_IN[MC],RC_IN[BLOCK],RC_OUT[BLOCK]),"")</f>
        <v/>
      </c>
      <c r="J902" s="264">
        <f t="shared" si="1"/>
        <v>0</v>
      </c>
      <c r="K902" s="246"/>
      <c r="L902" s="246"/>
      <c r="M902" s="249" t="str">
        <f t="shared" si="2"/>
        <v/>
      </c>
      <c r="N902" s="266">
        <f t="shared" si="3"/>
        <v>0</v>
      </c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</row>
    <row r="903">
      <c r="A903" s="273">
        <v>45853.0</v>
      </c>
      <c r="B903" s="275" t="s">
        <v>1257</v>
      </c>
      <c r="C903" s="275" t="s">
        <v>1269</v>
      </c>
      <c r="D903" s="276">
        <v>16715.0</v>
      </c>
      <c r="E903" s="275" t="s">
        <v>1017</v>
      </c>
      <c r="F903" s="279"/>
      <c r="G903" s="278" t="str">
        <f>IFNA(IF(VLOOKUP(RC_OUT[BLOCK],RC_IN[[BLOCK]:[BLOCK LOC]],2,FALSE)=0,"",VLOOKUP(RC_OUT[BLOCK],RC_IN[[BLOCK]:[BLOCK LOC]],2,FALSE)),"")</f>
        <v/>
      </c>
      <c r="I903" s="263" t="str">
        <f>IFERROR(AVERAGEIFS(RC_IN[MC],RC_IN[BLOCK],RC_OUT[BLOCK]),"")</f>
        <v/>
      </c>
      <c r="J903" s="264">
        <f t="shared" si="1"/>
        <v>0</v>
      </c>
      <c r="K903" s="246"/>
      <c r="L903" s="246"/>
      <c r="M903" s="249" t="str">
        <f t="shared" si="2"/>
        <v/>
      </c>
      <c r="N903" s="266">
        <f t="shared" si="3"/>
        <v>0</v>
      </c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</row>
    <row r="904">
      <c r="A904" s="274"/>
      <c r="B904" s="274"/>
      <c r="C904" s="274"/>
      <c r="D904" s="283"/>
      <c r="E904" s="274"/>
      <c r="F904" s="279"/>
      <c r="G904" s="278" t="str">
        <f>IFNA(IF(VLOOKUP(RC_OUT[BLOCK],RC_IN[[BLOCK]:[BLOCK LOC]],2,FALSE)=0,"",VLOOKUP(RC_OUT[BLOCK],RC_IN[[BLOCK]:[BLOCK LOC]],2,FALSE)),"")</f>
        <v/>
      </c>
      <c r="I904" s="263" t="str">
        <f>IFERROR(AVERAGEIFS(RC_IN[MC],RC_IN[BLOCK],RC_OUT[BLOCK]),"")</f>
        <v/>
      </c>
      <c r="J904" s="264">
        <f t="shared" si="1"/>
        <v>0</v>
      </c>
      <c r="K904" s="246"/>
      <c r="L904" s="246"/>
      <c r="M904" s="249" t="str">
        <f t="shared" si="2"/>
        <v/>
      </c>
      <c r="N904" s="266">
        <f t="shared" si="3"/>
        <v>0</v>
      </c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</row>
    <row r="905">
      <c r="A905" s="273">
        <v>45854.0</v>
      </c>
      <c r="B905" s="275" t="s">
        <v>1257</v>
      </c>
      <c r="C905" s="275" t="s">
        <v>1270</v>
      </c>
      <c r="D905" s="276">
        <v>18172.0</v>
      </c>
      <c r="E905" s="275" t="s">
        <v>1017</v>
      </c>
      <c r="F905" s="279"/>
      <c r="G905" s="278" t="str">
        <f>IFNA(IF(VLOOKUP(RC_OUT[BLOCK],RC_IN[[BLOCK]:[BLOCK LOC]],2,FALSE)=0,"",VLOOKUP(RC_OUT[BLOCK],RC_IN[[BLOCK]:[BLOCK LOC]],2,FALSE)),"")</f>
        <v/>
      </c>
      <c r="I905" s="263" t="str">
        <f>IFERROR(AVERAGEIFS(RC_IN[MC],RC_IN[BLOCK],RC_OUT[BLOCK]),"")</f>
        <v/>
      </c>
      <c r="J905" s="264">
        <f t="shared" si="1"/>
        <v>0</v>
      </c>
      <c r="K905" s="246"/>
      <c r="L905" s="246"/>
      <c r="M905" s="249" t="str">
        <f t="shared" si="2"/>
        <v/>
      </c>
      <c r="N905" s="266">
        <f t="shared" si="3"/>
        <v>0</v>
      </c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</row>
    <row r="906">
      <c r="A906" s="273">
        <v>45854.0</v>
      </c>
      <c r="B906" s="275" t="s">
        <v>1257</v>
      </c>
      <c r="C906" s="275" t="s">
        <v>1269</v>
      </c>
      <c r="D906" s="276">
        <v>11000.0</v>
      </c>
      <c r="E906" s="275" t="s">
        <v>1017</v>
      </c>
      <c r="F906" s="279"/>
      <c r="G906" s="278" t="str">
        <f>IFNA(IF(VLOOKUP(RC_OUT[BLOCK],RC_IN[[BLOCK]:[BLOCK LOC]],2,FALSE)=0,"",VLOOKUP(RC_OUT[BLOCK],RC_IN[[BLOCK]:[BLOCK LOC]],2,FALSE)),"")</f>
        <v/>
      </c>
      <c r="I906" s="263" t="str">
        <f>IFERROR(AVERAGEIFS(RC_IN[MC],RC_IN[BLOCK],RC_OUT[BLOCK]),"")</f>
        <v/>
      </c>
      <c r="J906" s="264">
        <f t="shared" si="1"/>
        <v>0</v>
      </c>
      <c r="K906" s="246"/>
      <c r="L906" s="246"/>
      <c r="M906" s="249" t="str">
        <f t="shared" si="2"/>
        <v/>
      </c>
      <c r="N906" s="266">
        <f t="shared" si="3"/>
        <v>0</v>
      </c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</row>
    <row r="907">
      <c r="A907" s="274"/>
      <c r="B907" s="274"/>
      <c r="C907" s="274"/>
      <c r="D907" s="283"/>
      <c r="E907" s="274"/>
      <c r="F907" s="279"/>
      <c r="G907" s="278" t="str">
        <f>IFNA(IF(VLOOKUP(RC_OUT[BLOCK],RC_IN[[BLOCK]:[BLOCK LOC]],2,FALSE)=0,"",VLOOKUP(RC_OUT[BLOCK],RC_IN[[BLOCK]:[BLOCK LOC]],2,FALSE)),"")</f>
        <v/>
      </c>
      <c r="I907" s="263" t="str">
        <f>IFERROR(AVERAGEIFS(RC_IN[MC],RC_IN[BLOCK],RC_OUT[BLOCK]),"")</f>
        <v/>
      </c>
      <c r="J907" s="264">
        <f t="shared" si="1"/>
        <v>0</v>
      </c>
      <c r="K907" s="246"/>
      <c r="L907" s="246"/>
      <c r="M907" s="249" t="str">
        <f t="shared" si="2"/>
        <v/>
      </c>
      <c r="N907" s="266">
        <f t="shared" si="3"/>
        <v>0</v>
      </c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</row>
    <row r="908">
      <c r="A908" s="273">
        <v>45855.0</v>
      </c>
      <c r="B908" s="275" t="s">
        <v>1257</v>
      </c>
      <c r="C908" s="275" t="s">
        <v>1270</v>
      </c>
      <c r="D908" s="276">
        <v>15514.0</v>
      </c>
      <c r="E908" s="275" t="s">
        <v>1017</v>
      </c>
      <c r="F908" s="277" t="s">
        <v>1059</v>
      </c>
      <c r="G908" s="278" t="str">
        <f>IFNA(IF(VLOOKUP(RC_OUT[BLOCK],RC_IN[[BLOCK]:[BLOCK LOC]],2,FALSE)=0,"",VLOOKUP(RC_OUT[BLOCK],RC_IN[[BLOCK]:[BLOCK LOC]],2,FALSE)),"")</f>
        <v/>
      </c>
      <c r="I908" s="263" t="str">
        <f>IFERROR(AVERAGEIFS(RC_IN[MC],RC_IN[BLOCK],RC_OUT[BLOCK]),"")</f>
        <v/>
      </c>
      <c r="J908" s="264">
        <f t="shared" si="1"/>
        <v>0</v>
      </c>
      <c r="K908" s="246"/>
      <c r="L908" s="246"/>
      <c r="M908" s="249" t="str">
        <f t="shared" si="2"/>
        <v/>
      </c>
      <c r="N908" s="266">
        <f t="shared" si="3"/>
        <v>0</v>
      </c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</row>
    <row r="909">
      <c r="A909" s="273">
        <v>45855.0</v>
      </c>
      <c r="B909" s="275" t="s">
        <v>1257</v>
      </c>
      <c r="C909" s="275" t="s">
        <v>1269</v>
      </c>
      <c r="D909" s="276">
        <v>2579.0</v>
      </c>
      <c r="E909" s="275" t="s">
        <v>1017</v>
      </c>
      <c r="F909" s="277" t="s">
        <v>1059</v>
      </c>
      <c r="G909" s="278" t="str">
        <f>IFNA(IF(VLOOKUP(RC_OUT[BLOCK],RC_IN[[BLOCK]:[BLOCK LOC]],2,FALSE)=0,"",VLOOKUP(RC_OUT[BLOCK],RC_IN[[BLOCK]:[BLOCK LOC]],2,FALSE)),"")</f>
        <v/>
      </c>
      <c r="I909" s="263" t="str">
        <f>IFERROR(AVERAGEIFS(RC_IN[MC],RC_IN[BLOCK],RC_OUT[BLOCK]),"")</f>
        <v/>
      </c>
      <c r="J909" s="264">
        <f t="shared" si="1"/>
        <v>0</v>
      </c>
      <c r="K909" s="246"/>
      <c r="L909" s="246"/>
      <c r="M909" s="249" t="str">
        <f t="shared" si="2"/>
        <v/>
      </c>
      <c r="N909" s="266">
        <f t="shared" si="3"/>
        <v>0</v>
      </c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</row>
    <row r="910">
      <c r="A910" s="273">
        <v>45855.0</v>
      </c>
      <c r="B910" s="275" t="s">
        <v>1257</v>
      </c>
      <c r="C910" s="275" t="s">
        <v>1271</v>
      </c>
      <c r="D910" s="276">
        <v>12808.0</v>
      </c>
      <c r="E910" s="275" t="s">
        <v>1017</v>
      </c>
      <c r="F910" s="279"/>
      <c r="G910" s="278" t="str">
        <f>IFNA(IF(VLOOKUP(RC_OUT[BLOCK],RC_IN[[BLOCK]:[BLOCK LOC]],2,FALSE)=0,"",VLOOKUP(RC_OUT[BLOCK],RC_IN[[BLOCK]:[BLOCK LOC]],2,FALSE)),"")</f>
        <v/>
      </c>
      <c r="I910" s="263" t="str">
        <f>IFERROR(AVERAGEIFS(RC_IN[MC],RC_IN[BLOCK],RC_OUT[BLOCK]),"")</f>
        <v/>
      </c>
      <c r="J910" s="264">
        <f t="shared" si="1"/>
        <v>0</v>
      </c>
      <c r="K910" s="246"/>
      <c r="L910" s="246"/>
      <c r="M910" s="249" t="str">
        <f t="shared" si="2"/>
        <v/>
      </c>
      <c r="N910" s="266">
        <f t="shared" si="3"/>
        <v>0</v>
      </c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</row>
    <row r="911">
      <c r="A911" s="273">
        <v>45855.0</v>
      </c>
      <c r="B911" s="275" t="s">
        <v>1257</v>
      </c>
      <c r="C911" s="275" t="s">
        <v>1272</v>
      </c>
      <c r="D911" s="276">
        <v>4875.0</v>
      </c>
      <c r="E911" s="275" t="s">
        <v>1017</v>
      </c>
      <c r="F911" s="279"/>
      <c r="G911" s="278" t="str">
        <f>IFNA(IF(VLOOKUP(RC_OUT[BLOCK],RC_IN[[BLOCK]:[BLOCK LOC]],2,FALSE)=0,"",VLOOKUP(RC_OUT[BLOCK],RC_IN[[BLOCK]:[BLOCK LOC]],2,FALSE)),"")</f>
        <v/>
      </c>
      <c r="I911" s="263" t="str">
        <f>IFERROR(AVERAGEIFS(RC_IN[MC],RC_IN[BLOCK],RC_OUT[BLOCK]),"")</f>
        <v/>
      </c>
      <c r="J911" s="264">
        <f t="shared" si="1"/>
        <v>0</v>
      </c>
      <c r="K911" s="246"/>
      <c r="L911" s="246"/>
      <c r="M911" s="249" t="str">
        <f t="shared" si="2"/>
        <v/>
      </c>
      <c r="N911" s="266">
        <f t="shared" si="3"/>
        <v>0</v>
      </c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</row>
    <row r="912">
      <c r="A912" s="274"/>
      <c r="B912" s="274"/>
      <c r="C912" s="274"/>
      <c r="D912" s="283"/>
      <c r="E912" s="274"/>
      <c r="F912" s="279"/>
      <c r="G912" s="278" t="str">
        <f>IFNA(IF(VLOOKUP(RC_OUT[BLOCK],RC_IN[[BLOCK]:[BLOCK LOC]],2,FALSE)=0,"",VLOOKUP(RC_OUT[BLOCK],RC_IN[[BLOCK]:[BLOCK LOC]],2,FALSE)),"")</f>
        <v/>
      </c>
      <c r="I912" s="263" t="str">
        <f>IFERROR(AVERAGEIFS(RC_IN[MC],RC_IN[BLOCK],RC_OUT[BLOCK]),"")</f>
        <v/>
      </c>
      <c r="J912" s="264">
        <f t="shared" si="1"/>
        <v>0</v>
      </c>
      <c r="K912" s="246"/>
      <c r="L912" s="246"/>
      <c r="M912" s="249" t="str">
        <f t="shared" si="2"/>
        <v/>
      </c>
      <c r="N912" s="266">
        <f t="shared" si="3"/>
        <v>0</v>
      </c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</row>
    <row r="913">
      <c r="A913" s="273">
        <v>45856.0</v>
      </c>
      <c r="B913" s="275" t="s">
        <v>1257</v>
      </c>
      <c r="C913" s="275" t="s">
        <v>1271</v>
      </c>
      <c r="D913" s="276">
        <v>13561.0</v>
      </c>
      <c r="E913" s="275" t="s">
        <v>1017</v>
      </c>
      <c r="F913" s="279"/>
      <c r="G913" s="278" t="str">
        <f>IFNA(IF(VLOOKUP(RC_OUT[BLOCK],RC_IN[[BLOCK]:[BLOCK LOC]],2,FALSE)=0,"",VLOOKUP(RC_OUT[BLOCK],RC_IN[[BLOCK]:[BLOCK LOC]],2,FALSE)),"")</f>
        <v/>
      </c>
      <c r="I913" s="263" t="str">
        <f>IFERROR(AVERAGEIFS(RC_IN[MC],RC_IN[BLOCK],RC_OUT[BLOCK]),"")</f>
        <v/>
      </c>
      <c r="J913" s="264">
        <f t="shared" si="1"/>
        <v>0</v>
      </c>
      <c r="K913" s="246"/>
      <c r="L913" s="246"/>
      <c r="M913" s="249" t="str">
        <f t="shared" si="2"/>
        <v/>
      </c>
      <c r="N913" s="266">
        <f t="shared" si="3"/>
        <v>0</v>
      </c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</row>
    <row r="914">
      <c r="A914" s="273">
        <v>45856.0</v>
      </c>
      <c r="B914" s="275" t="s">
        <v>1257</v>
      </c>
      <c r="C914" s="275" t="s">
        <v>1272</v>
      </c>
      <c r="D914" s="276">
        <v>12488.0</v>
      </c>
      <c r="E914" s="275" t="s">
        <v>1017</v>
      </c>
      <c r="F914" s="279"/>
      <c r="G914" s="278" t="str">
        <f>IFNA(IF(VLOOKUP(RC_OUT[BLOCK],RC_IN[[BLOCK]:[BLOCK LOC]],2,FALSE)=0,"",VLOOKUP(RC_OUT[BLOCK],RC_IN[[BLOCK]:[BLOCK LOC]],2,FALSE)),"")</f>
        <v/>
      </c>
      <c r="I914" s="263" t="str">
        <f>IFERROR(AVERAGEIFS(RC_IN[MC],RC_IN[BLOCK],RC_OUT[BLOCK]),"")</f>
        <v/>
      </c>
      <c r="J914" s="264">
        <f t="shared" si="1"/>
        <v>0</v>
      </c>
      <c r="K914" s="246"/>
      <c r="L914" s="246"/>
      <c r="M914" s="249" t="str">
        <f t="shared" si="2"/>
        <v/>
      </c>
      <c r="N914" s="266">
        <f t="shared" si="3"/>
        <v>0</v>
      </c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</row>
    <row r="915">
      <c r="A915" s="273">
        <v>45856.0</v>
      </c>
      <c r="B915" s="275" t="s">
        <v>1257</v>
      </c>
      <c r="C915" s="275" t="s">
        <v>1273</v>
      </c>
      <c r="D915" s="276">
        <v>5939.0</v>
      </c>
      <c r="E915" s="275" t="s">
        <v>1017</v>
      </c>
      <c r="F915" s="279"/>
      <c r="G915" s="278" t="str">
        <f>IFNA(IF(VLOOKUP(RC_OUT[BLOCK],RC_IN[[BLOCK]:[BLOCK LOC]],2,FALSE)=0,"",VLOOKUP(RC_OUT[BLOCK],RC_IN[[BLOCK]:[BLOCK LOC]],2,FALSE)),"")</f>
        <v/>
      </c>
      <c r="I915" s="263" t="str">
        <f>IFERROR(AVERAGEIFS(RC_IN[MC],RC_IN[BLOCK],RC_OUT[BLOCK]),"")</f>
        <v/>
      </c>
      <c r="J915" s="264">
        <f t="shared" si="1"/>
        <v>0</v>
      </c>
      <c r="K915" s="246"/>
      <c r="L915" s="246"/>
      <c r="M915" s="249" t="str">
        <f t="shared" si="2"/>
        <v/>
      </c>
      <c r="N915" s="266">
        <f t="shared" si="3"/>
        <v>0</v>
      </c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</row>
    <row r="916">
      <c r="A916" s="273">
        <v>45856.0</v>
      </c>
      <c r="B916" s="275" t="s">
        <v>1257</v>
      </c>
      <c r="C916" s="275" t="s">
        <v>1274</v>
      </c>
      <c r="D916" s="276">
        <v>2780.0</v>
      </c>
      <c r="E916" s="275" t="s">
        <v>1017</v>
      </c>
      <c r="F916" s="279"/>
      <c r="G916" s="278" t="str">
        <f>IFNA(IF(VLOOKUP(RC_OUT[BLOCK],RC_IN[[BLOCK]:[BLOCK LOC]],2,FALSE)=0,"",VLOOKUP(RC_OUT[BLOCK],RC_IN[[BLOCK]:[BLOCK LOC]],2,FALSE)),"")</f>
        <v/>
      </c>
      <c r="I916" s="263" t="str">
        <f>IFERROR(AVERAGEIFS(RC_IN[MC],RC_IN[BLOCK],RC_OUT[BLOCK]),"")</f>
        <v/>
      </c>
      <c r="J916" s="264">
        <f t="shared" si="1"/>
        <v>0</v>
      </c>
      <c r="K916" s="246"/>
      <c r="L916" s="246"/>
      <c r="M916" s="249" t="str">
        <f t="shared" si="2"/>
        <v/>
      </c>
      <c r="N916" s="266">
        <f t="shared" si="3"/>
        <v>0</v>
      </c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</row>
    <row r="917">
      <c r="A917" s="274"/>
      <c r="B917" s="274"/>
      <c r="C917" s="274"/>
      <c r="D917" s="283"/>
      <c r="E917" s="274"/>
      <c r="F917" s="279"/>
      <c r="G917" s="278" t="str">
        <f>IFNA(IF(VLOOKUP(RC_OUT[BLOCK],RC_IN[[BLOCK]:[BLOCK LOC]],2,FALSE)=0,"",VLOOKUP(RC_OUT[BLOCK],RC_IN[[BLOCK]:[BLOCK LOC]],2,FALSE)),"")</f>
        <v/>
      </c>
      <c r="I917" s="263" t="str">
        <f>IFERROR(AVERAGEIFS(RC_IN[MC],RC_IN[BLOCK],RC_OUT[BLOCK]),"")</f>
        <v/>
      </c>
      <c r="J917" s="264">
        <f t="shared" si="1"/>
        <v>0</v>
      </c>
      <c r="K917" s="246"/>
      <c r="L917" s="246"/>
      <c r="M917" s="249" t="str">
        <f t="shared" si="2"/>
        <v/>
      </c>
      <c r="N917" s="266">
        <f t="shared" si="3"/>
        <v>0</v>
      </c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</row>
    <row r="918">
      <c r="A918" s="273">
        <v>45857.0</v>
      </c>
      <c r="B918" s="275" t="s">
        <v>1257</v>
      </c>
      <c r="C918" s="275" t="s">
        <v>1271</v>
      </c>
      <c r="D918" s="276">
        <v>10497.0</v>
      </c>
      <c r="E918" s="275" t="s">
        <v>1017</v>
      </c>
      <c r="F918" s="279"/>
      <c r="G918" s="278" t="str">
        <f>IFNA(IF(VLOOKUP(RC_OUT[BLOCK],RC_IN[[BLOCK]:[BLOCK LOC]],2,FALSE)=0,"",VLOOKUP(RC_OUT[BLOCK],RC_IN[[BLOCK]:[BLOCK LOC]],2,FALSE)),"")</f>
        <v/>
      </c>
      <c r="I918" s="263" t="str">
        <f>IFERROR(AVERAGEIFS(RC_IN[MC],RC_IN[BLOCK],RC_OUT[BLOCK]),"")</f>
        <v/>
      </c>
      <c r="J918" s="264">
        <f t="shared" si="1"/>
        <v>0</v>
      </c>
      <c r="K918" s="246"/>
      <c r="L918" s="246"/>
      <c r="M918" s="249" t="str">
        <f t="shared" si="2"/>
        <v/>
      </c>
      <c r="N918" s="266">
        <f t="shared" si="3"/>
        <v>0</v>
      </c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</row>
    <row r="919">
      <c r="A919" s="273">
        <v>45857.0</v>
      </c>
      <c r="B919" s="275" t="s">
        <v>1257</v>
      </c>
      <c r="C919" s="275" t="s">
        <v>1272</v>
      </c>
      <c r="D919" s="276">
        <v>4255.0</v>
      </c>
      <c r="E919" s="275" t="s">
        <v>1017</v>
      </c>
      <c r="F919" s="279"/>
      <c r="G919" s="278" t="str">
        <f>IFNA(IF(VLOOKUP(RC_OUT[BLOCK],RC_IN[[BLOCK]:[BLOCK LOC]],2,FALSE)=0,"",VLOOKUP(RC_OUT[BLOCK],RC_IN[[BLOCK]:[BLOCK LOC]],2,FALSE)),"")</f>
        <v/>
      </c>
      <c r="I919" s="263" t="str">
        <f>IFERROR(AVERAGEIFS(RC_IN[MC],RC_IN[BLOCK],RC_OUT[BLOCK]),"")</f>
        <v/>
      </c>
      <c r="J919" s="264">
        <f t="shared" si="1"/>
        <v>0</v>
      </c>
      <c r="K919" s="246"/>
      <c r="L919" s="246"/>
      <c r="M919" s="249" t="str">
        <f t="shared" si="2"/>
        <v/>
      </c>
      <c r="N919" s="266">
        <f t="shared" si="3"/>
        <v>0</v>
      </c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</row>
    <row r="920">
      <c r="A920" s="273">
        <v>45857.0</v>
      </c>
      <c r="B920" s="275" t="s">
        <v>1257</v>
      </c>
      <c r="C920" s="275" t="s">
        <v>1273</v>
      </c>
      <c r="D920" s="276">
        <v>2879.0</v>
      </c>
      <c r="E920" s="275" t="s">
        <v>1017</v>
      </c>
      <c r="F920" s="279"/>
      <c r="G920" s="278" t="str">
        <f>IFNA(IF(VLOOKUP(RC_OUT[BLOCK],RC_IN[[BLOCK]:[BLOCK LOC]],2,FALSE)=0,"",VLOOKUP(RC_OUT[BLOCK],RC_IN[[BLOCK]:[BLOCK LOC]],2,FALSE)),"")</f>
        <v/>
      </c>
      <c r="I920" s="263" t="str">
        <f>IFERROR(AVERAGEIFS(RC_IN[MC],RC_IN[BLOCK],RC_OUT[BLOCK]),"")</f>
        <v/>
      </c>
      <c r="J920" s="264">
        <f t="shared" si="1"/>
        <v>0</v>
      </c>
      <c r="K920" s="246"/>
      <c r="L920" s="246"/>
      <c r="M920" s="249" t="str">
        <f t="shared" si="2"/>
        <v/>
      </c>
      <c r="N920" s="266">
        <f t="shared" si="3"/>
        <v>0</v>
      </c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</row>
    <row r="921">
      <c r="A921" s="273">
        <v>45857.0</v>
      </c>
      <c r="B921" s="275" t="s">
        <v>1257</v>
      </c>
      <c r="C921" s="275" t="s">
        <v>1274</v>
      </c>
      <c r="D921" s="276">
        <v>3000.0</v>
      </c>
      <c r="E921" s="275" t="s">
        <v>1017</v>
      </c>
      <c r="F921" s="279"/>
      <c r="G921" s="278" t="str">
        <f>IFNA(IF(VLOOKUP(RC_OUT[BLOCK],RC_IN[[BLOCK]:[BLOCK LOC]],2,FALSE)=0,"",VLOOKUP(RC_OUT[BLOCK],RC_IN[[BLOCK]:[BLOCK LOC]],2,FALSE)),"")</f>
        <v/>
      </c>
      <c r="I921" s="263" t="str">
        <f>IFERROR(AVERAGEIFS(RC_IN[MC],RC_IN[BLOCK],RC_OUT[BLOCK]),"")</f>
        <v/>
      </c>
      <c r="J921" s="264">
        <f t="shared" si="1"/>
        <v>0</v>
      </c>
      <c r="K921" s="246"/>
      <c r="L921" s="246"/>
      <c r="M921" s="249" t="str">
        <f t="shared" si="2"/>
        <v/>
      </c>
      <c r="N921" s="266">
        <f t="shared" si="3"/>
        <v>0</v>
      </c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</row>
    <row r="922">
      <c r="A922" s="274"/>
      <c r="B922" s="274"/>
      <c r="C922" s="274"/>
      <c r="D922" s="283"/>
      <c r="E922" s="274"/>
      <c r="F922" s="279"/>
      <c r="G922" s="278" t="str">
        <f>IFNA(IF(VLOOKUP(RC_OUT[BLOCK],RC_IN[[BLOCK]:[BLOCK LOC]],2,FALSE)=0,"",VLOOKUP(RC_OUT[BLOCK],RC_IN[[BLOCK]:[BLOCK LOC]],2,FALSE)),"")</f>
        <v/>
      </c>
      <c r="I922" s="263" t="str">
        <f>IFERROR(AVERAGEIFS(RC_IN[MC],RC_IN[BLOCK],RC_OUT[BLOCK]),"")</f>
        <v/>
      </c>
      <c r="J922" s="264">
        <f t="shared" si="1"/>
        <v>0</v>
      </c>
      <c r="K922" s="246"/>
      <c r="L922" s="246"/>
      <c r="M922" s="249" t="str">
        <f t="shared" si="2"/>
        <v/>
      </c>
      <c r="N922" s="266">
        <f t="shared" si="3"/>
        <v>0</v>
      </c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</row>
    <row r="923">
      <c r="A923" s="273">
        <v>45859.0</v>
      </c>
      <c r="B923" s="275" t="s">
        <v>1257</v>
      </c>
      <c r="C923" s="275" t="s">
        <v>1271</v>
      </c>
      <c r="D923" s="276">
        <v>8059.0</v>
      </c>
      <c r="E923" s="275" t="s">
        <v>1017</v>
      </c>
      <c r="F923" s="277" t="s">
        <v>1059</v>
      </c>
      <c r="G923" s="278" t="str">
        <f>IFNA(IF(VLOOKUP(RC_OUT[BLOCK],RC_IN[[BLOCK]:[BLOCK LOC]],2,FALSE)=0,"",VLOOKUP(RC_OUT[BLOCK],RC_IN[[BLOCK]:[BLOCK LOC]],2,FALSE)),"")</f>
        <v/>
      </c>
      <c r="I923" s="263" t="str">
        <f>IFERROR(AVERAGEIFS(RC_IN[MC],RC_IN[BLOCK],RC_OUT[BLOCK]),"")</f>
        <v/>
      </c>
      <c r="J923" s="264">
        <f t="shared" si="1"/>
        <v>0</v>
      </c>
      <c r="K923" s="246"/>
      <c r="L923" s="246"/>
      <c r="M923" s="249" t="str">
        <f t="shared" si="2"/>
        <v/>
      </c>
      <c r="N923" s="266">
        <f t="shared" si="3"/>
        <v>0</v>
      </c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</row>
    <row r="924">
      <c r="A924" s="273">
        <v>45859.0</v>
      </c>
      <c r="B924" s="275" t="s">
        <v>1257</v>
      </c>
      <c r="C924" s="275" t="s">
        <v>1272</v>
      </c>
      <c r="D924" s="276">
        <v>9874.0</v>
      </c>
      <c r="E924" s="275" t="s">
        <v>1017</v>
      </c>
      <c r="F924" s="279"/>
      <c r="G924" s="278" t="str">
        <f>IFNA(IF(VLOOKUP(RC_OUT[BLOCK],RC_IN[[BLOCK]:[BLOCK LOC]],2,FALSE)=0,"",VLOOKUP(RC_OUT[BLOCK],RC_IN[[BLOCK]:[BLOCK LOC]],2,FALSE)),"")</f>
        <v/>
      </c>
      <c r="I924" s="263" t="str">
        <f>IFERROR(AVERAGEIFS(RC_IN[MC],RC_IN[BLOCK],RC_OUT[BLOCK]),"")</f>
        <v/>
      </c>
      <c r="J924" s="264">
        <f t="shared" si="1"/>
        <v>0</v>
      </c>
      <c r="K924" s="246"/>
      <c r="L924" s="246"/>
      <c r="M924" s="249" t="str">
        <f t="shared" si="2"/>
        <v/>
      </c>
      <c r="N924" s="266">
        <f t="shared" si="3"/>
        <v>0</v>
      </c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</row>
    <row r="925">
      <c r="A925" s="273">
        <v>45859.0</v>
      </c>
      <c r="B925" s="275" t="s">
        <v>1257</v>
      </c>
      <c r="C925" s="275" t="s">
        <v>1273</v>
      </c>
      <c r="D925" s="276">
        <v>9093.0</v>
      </c>
      <c r="E925" s="275" t="s">
        <v>1017</v>
      </c>
      <c r="F925" s="279"/>
      <c r="G925" s="278" t="str">
        <f>IFNA(IF(VLOOKUP(RC_OUT[BLOCK],RC_IN[[BLOCK]:[BLOCK LOC]],2,FALSE)=0,"",VLOOKUP(RC_OUT[BLOCK],RC_IN[[BLOCK]:[BLOCK LOC]],2,FALSE)),"")</f>
        <v/>
      </c>
      <c r="I925" s="263" t="str">
        <f>IFERROR(AVERAGEIFS(RC_IN[MC],RC_IN[BLOCK],RC_OUT[BLOCK]),"")</f>
        <v/>
      </c>
      <c r="J925" s="264">
        <f t="shared" si="1"/>
        <v>0</v>
      </c>
      <c r="K925" s="246"/>
      <c r="L925" s="246"/>
      <c r="M925" s="249" t="str">
        <f t="shared" si="2"/>
        <v/>
      </c>
      <c r="N925" s="266">
        <f t="shared" si="3"/>
        <v>0</v>
      </c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</row>
    <row r="926">
      <c r="A926" s="273">
        <v>45859.0</v>
      </c>
      <c r="B926" s="275" t="s">
        <v>1257</v>
      </c>
      <c r="C926" s="275" t="s">
        <v>1274</v>
      </c>
      <c r="D926" s="276">
        <v>650.0</v>
      </c>
      <c r="E926" s="275" t="s">
        <v>1017</v>
      </c>
      <c r="F926" s="279"/>
      <c r="G926" s="278" t="str">
        <f>IFNA(IF(VLOOKUP(RC_OUT[BLOCK],RC_IN[[BLOCK]:[BLOCK LOC]],2,FALSE)=0,"",VLOOKUP(RC_OUT[BLOCK],RC_IN[[BLOCK]:[BLOCK LOC]],2,FALSE)),"")</f>
        <v/>
      </c>
      <c r="I926" s="263" t="str">
        <f>IFERROR(AVERAGEIFS(RC_IN[MC],RC_IN[BLOCK],RC_OUT[BLOCK]),"")</f>
        <v/>
      </c>
      <c r="J926" s="264">
        <f t="shared" si="1"/>
        <v>0</v>
      </c>
      <c r="K926" s="246"/>
      <c r="L926" s="246"/>
      <c r="M926" s="249" t="str">
        <f t="shared" si="2"/>
        <v/>
      </c>
      <c r="N926" s="266">
        <f t="shared" si="3"/>
        <v>0</v>
      </c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</row>
    <row r="927">
      <c r="A927" s="273">
        <v>45859.0</v>
      </c>
      <c r="B927" s="275" t="s">
        <v>1257</v>
      </c>
      <c r="C927" s="275" t="s">
        <v>1275</v>
      </c>
      <c r="D927" s="276">
        <v>6138.0</v>
      </c>
      <c r="E927" s="275" t="s">
        <v>1017</v>
      </c>
      <c r="F927" s="279"/>
      <c r="G927" s="278" t="str">
        <f>IFNA(IF(VLOOKUP(RC_OUT[BLOCK],RC_IN[[BLOCK]:[BLOCK LOC]],2,FALSE)=0,"",VLOOKUP(RC_OUT[BLOCK],RC_IN[[BLOCK]:[BLOCK LOC]],2,FALSE)),"")</f>
        <v/>
      </c>
      <c r="I927" s="263" t="str">
        <f>IFERROR(AVERAGEIFS(RC_IN[MC],RC_IN[BLOCK],RC_OUT[BLOCK]),"")</f>
        <v/>
      </c>
      <c r="J927" s="264">
        <f t="shared" si="1"/>
        <v>0</v>
      </c>
      <c r="K927" s="246"/>
      <c r="L927" s="246"/>
      <c r="M927" s="249" t="str">
        <f t="shared" si="2"/>
        <v/>
      </c>
      <c r="N927" s="266">
        <f t="shared" si="3"/>
        <v>0</v>
      </c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</row>
    <row r="928">
      <c r="A928" s="274"/>
      <c r="B928" s="274"/>
      <c r="C928" s="274"/>
      <c r="D928" s="283"/>
      <c r="E928" s="274"/>
      <c r="F928" s="279"/>
      <c r="G928" s="278" t="str">
        <f>IFNA(IF(VLOOKUP(RC_OUT[BLOCK],RC_IN[[BLOCK]:[BLOCK LOC]],2,FALSE)=0,"",VLOOKUP(RC_OUT[BLOCK],RC_IN[[BLOCK]:[BLOCK LOC]],2,FALSE)),"")</f>
        <v/>
      </c>
      <c r="I928" s="263" t="str">
        <f>IFERROR(AVERAGEIFS(RC_IN[MC],RC_IN[BLOCK],RC_OUT[BLOCK]),"")</f>
        <v/>
      </c>
      <c r="J928" s="264">
        <f t="shared" si="1"/>
        <v>0</v>
      </c>
      <c r="K928" s="246"/>
      <c r="L928" s="246"/>
      <c r="M928" s="249" t="str">
        <f t="shared" si="2"/>
        <v/>
      </c>
      <c r="N928" s="266">
        <f t="shared" si="3"/>
        <v>0</v>
      </c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</row>
    <row r="929">
      <c r="A929" s="273">
        <v>45860.0</v>
      </c>
      <c r="B929" s="275" t="s">
        <v>1257</v>
      </c>
      <c r="C929" s="275" t="s">
        <v>1272</v>
      </c>
      <c r="D929" s="276">
        <v>12597.0</v>
      </c>
      <c r="E929" s="275" t="s">
        <v>1017</v>
      </c>
      <c r="F929" s="279"/>
      <c r="G929" s="278" t="str">
        <f>IFNA(IF(VLOOKUP(RC_OUT[BLOCK],RC_IN[[BLOCK]:[BLOCK LOC]],2,FALSE)=0,"",VLOOKUP(RC_OUT[BLOCK],RC_IN[[BLOCK]:[BLOCK LOC]],2,FALSE)),"")</f>
        <v/>
      </c>
      <c r="I929" s="263" t="str">
        <f>IFERROR(AVERAGEIFS(RC_IN[MC],RC_IN[BLOCK],RC_OUT[BLOCK]),"")</f>
        <v/>
      </c>
      <c r="J929" s="264">
        <f t="shared" si="1"/>
        <v>0</v>
      </c>
      <c r="K929" s="246"/>
      <c r="L929" s="246"/>
      <c r="M929" s="249" t="str">
        <f t="shared" si="2"/>
        <v/>
      </c>
      <c r="N929" s="266">
        <f t="shared" si="3"/>
        <v>0</v>
      </c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</row>
    <row r="930">
      <c r="A930" s="273">
        <v>45860.0</v>
      </c>
      <c r="B930" s="275" t="s">
        <v>1257</v>
      </c>
      <c r="C930" s="275" t="s">
        <v>1273</v>
      </c>
      <c r="D930" s="276">
        <v>13131.0</v>
      </c>
      <c r="E930" s="275" t="s">
        <v>1017</v>
      </c>
      <c r="F930" s="277" t="s">
        <v>1059</v>
      </c>
      <c r="G930" s="278" t="str">
        <f>IFNA(IF(VLOOKUP(RC_OUT[BLOCK],RC_IN[[BLOCK]:[BLOCK LOC]],2,FALSE)=0,"",VLOOKUP(RC_OUT[BLOCK],RC_IN[[BLOCK]:[BLOCK LOC]],2,FALSE)),"")</f>
        <v/>
      </c>
      <c r="I930" s="263" t="str">
        <f>IFERROR(AVERAGEIFS(RC_IN[MC],RC_IN[BLOCK],RC_OUT[BLOCK]),"")</f>
        <v/>
      </c>
      <c r="J930" s="264">
        <f t="shared" si="1"/>
        <v>0</v>
      </c>
      <c r="K930" s="246"/>
      <c r="L930" s="246"/>
      <c r="M930" s="249" t="str">
        <f t="shared" si="2"/>
        <v/>
      </c>
      <c r="N930" s="266">
        <f t="shared" si="3"/>
        <v>0</v>
      </c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</row>
    <row r="931">
      <c r="A931" s="273">
        <v>45860.0</v>
      </c>
      <c r="B931" s="275" t="s">
        <v>1257</v>
      </c>
      <c r="C931" s="275" t="s">
        <v>1274</v>
      </c>
      <c r="D931" s="276">
        <v>650.0</v>
      </c>
      <c r="E931" s="275" t="s">
        <v>1017</v>
      </c>
      <c r="F931" s="279"/>
      <c r="G931" s="278" t="str">
        <f>IFNA(IF(VLOOKUP(RC_OUT[BLOCK],RC_IN[[BLOCK]:[BLOCK LOC]],2,FALSE)=0,"",VLOOKUP(RC_OUT[BLOCK],RC_IN[[BLOCK]:[BLOCK LOC]],2,FALSE)),"")</f>
        <v/>
      </c>
      <c r="I931" s="263" t="str">
        <f>IFERROR(AVERAGEIFS(RC_IN[MC],RC_IN[BLOCK],RC_OUT[BLOCK]),"")</f>
        <v/>
      </c>
      <c r="J931" s="264">
        <f t="shared" si="1"/>
        <v>0</v>
      </c>
      <c r="K931" s="246"/>
      <c r="L931" s="246"/>
      <c r="M931" s="249" t="str">
        <f t="shared" si="2"/>
        <v/>
      </c>
      <c r="N931" s="266">
        <f t="shared" si="3"/>
        <v>0</v>
      </c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</row>
    <row r="932">
      <c r="A932" s="273">
        <v>45860.0</v>
      </c>
      <c r="B932" s="275" t="s">
        <v>1257</v>
      </c>
      <c r="C932" s="275" t="s">
        <v>1275</v>
      </c>
      <c r="D932" s="276">
        <v>16234.0</v>
      </c>
      <c r="E932" s="275" t="s">
        <v>1017</v>
      </c>
      <c r="F932" s="279"/>
      <c r="G932" s="278" t="str">
        <f>IFNA(IF(VLOOKUP(RC_OUT[BLOCK],RC_IN[[BLOCK]:[BLOCK LOC]],2,FALSE)=0,"",VLOOKUP(RC_OUT[BLOCK],RC_IN[[BLOCK]:[BLOCK LOC]],2,FALSE)),"")</f>
        <v/>
      </c>
      <c r="I932" s="263" t="str">
        <f>IFERROR(AVERAGEIFS(RC_IN[MC],RC_IN[BLOCK],RC_OUT[BLOCK]),"")</f>
        <v/>
      </c>
      <c r="J932" s="264">
        <f t="shared" si="1"/>
        <v>0</v>
      </c>
      <c r="K932" s="246"/>
      <c r="L932" s="246"/>
      <c r="M932" s="249" t="str">
        <f t="shared" si="2"/>
        <v/>
      </c>
      <c r="N932" s="266">
        <f t="shared" si="3"/>
        <v>0</v>
      </c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</row>
    <row r="933">
      <c r="A933" s="274"/>
      <c r="B933" s="274"/>
      <c r="C933" s="274"/>
      <c r="D933" s="283"/>
      <c r="E933" s="274"/>
      <c r="F933" s="279"/>
      <c r="G933" s="278" t="str">
        <f>IFNA(IF(VLOOKUP(RC_OUT[BLOCK],RC_IN[[BLOCK]:[BLOCK LOC]],2,FALSE)=0,"",VLOOKUP(RC_OUT[BLOCK],RC_IN[[BLOCK]:[BLOCK LOC]],2,FALSE)),"")</f>
        <v/>
      </c>
      <c r="I933" s="263" t="str">
        <f>IFERROR(AVERAGEIFS(RC_IN[MC],RC_IN[BLOCK],RC_OUT[BLOCK]),"")</f>
        <v/>
      </c>
      <c r="J933" s="264">
        <f t="shared" si="1"/>
        <v>0</v>
      </c>
      <c r="K933" s="246"/>
      <c r="L933" s="246"/>
      <c r="M933" s="249" t="str">
        <f t="shared" si="2"/>
        <v/>
      </c>
      <c r="N933" s="266">
        <f t="shared" si="3"/>
        <v>0</v>
      </c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</row>
    <row r="934">
      <c r="A934" s="273">
        <v>45861.0</v>
      </c>
      <c r="B934" s="275" t="s">
        <v>1257</v>
      </c>
      <c r="C934" s="275" t="s">
        <v>1272</v>
      </c>
      <c r="D934" s="276">
        <v>5954.0</v>
      </c>
      <c r="E934" s="275" t="s">
        <v>1017</v>
      </c>
      <c r="F934" s="277" t="s">
        <v>1059</v>
      </c>
      <c r="G934" s="278" t="str">
        <f>IFNA(IF(VLOOKUP(RC_OUT[BLOCK],RC_IN[[BLOCK]:[BLOCK LOC]],2,FALSE)=0,"",VLOOKUP(RC_OUT[BLOCK],RC_IN[[BLOCK]:[BLOCK LOC]],2,FALSE)),"")</f>
        <v/>
      </c>
      <c r="I934" s="263" t="str">
        <f>IFERROR(AVERAGEIFS(RC_IN[MC],RC_IN[BLOCK],RC_OUT[BLOCK]),"")</f>
        <v/>
      </c>
      <c r="J934" s="264">
        <f t="shared" si="1"/>
        <v>0</v>
      </c>
      <c r="K934" s="246"/>
      <c r="L934" s="246"/>
      <c r="M934" s="249" t="str">
        <f t="shared" si="2"/>
        <v/>
      </c>
      <c r="N934" s="266">
        <f t="shared" si="3"/>
        <v>0</v>
      </c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</row>
    <row r="935">
      <c r="A935" s="273">
        <v>45861.0</v>
      </c>
      <c r="B935" s="275" t="s">
        <v>1257</v>
      </c>
      <c r="C935" s="275" t="s">
        <v>1274</v>
      </c>
      <c r="D935" s="276">
        <v>650.0</v>
      </c>
      <c r="E935" s="275" t="s">
        <v>1017</v>
      </c>
      <c r="F935" s="279"/>
      <c r="G935" s="278" t="str">
        <f>IFNA(IF(VLOOKUP(RC_OUT[BLOCK],RC_IN[[BLOCK]:[BLOCK LOC]],2,FALSE)=0,"",VLOOKUP(RC_OUT[BLOCK],RC_IN[[BLOCK]:[BLOCK LOC]],2,FALSE)),"")</f>
        <v/>
      </c>
      <c r="I935" s="263" t="str">
        <f>IFERROR(AVERAGEIFS(RC_IN[MC],RC_IN[BLOCK],RC_OUT[BLOCK]),"")</f>
        <v/>
      </c>
      <c r="J935" s="264">
        <f t="shared" si="1"/>
        <v>0</v>
      </c>
      <c r="K935" s="246"/>
      <c r="L935" s="246"/>
      <c r="M935" s="249" t="str">
        <f t="shared" si="2"/>
        <v/>
      </c>
      <c r="N935" s="266">
        <f t="shared" si="3"/>
        <v>0</v>
      </c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</row>
    <row r="936">
      <c r="A936" s="273">
        <v>45861.0</v>
      </c>
      <c r="B936" s="275" t="s">
        <v>1257</v>
      </c>
      <c r="C936" s="275" t="s">
        <v>1275</v>
      </c>
      <c r="D936" s="276">
        <v>15052.0</v>
      </c>
      <c r="E936" s="275" t="s">
        <v>1017</v>
      </c>
      <c r="F936" s="279"/>
      <c r="G936" s="278" t="str">
        <f>IFNA(IF(VLOOKUP(RC_OUT[BLOCK],RC_IN[[BLOCK]:[BLOCK LOC]],2,FALSE)=0,"",VLOOKUP(RC_OUT[BLOCK],RC_IN[[BLOCK]:[BLOCK LOC]],2,FALSE)),"")</f>
        <v/>
      </c>
      <c r="I936" s="263" t="str">
        <f>IFERROR(AVERAGEIFS(RC_IN[MC],RC_IN[BLOCK],RC_OUT[BLOCK]),"")</f>
        <v/>
      </c>
      <c r="J936" s="264">
        <f t="shared" si="1"/>
        <v>0</v>
      </c>
      <c r="K936" s="246"/>
      <c r="L936" s="246"/>
      <c r="M936" s="249" t="str">
        <f t="shared" si="2"/>
        <v/>
      </c>
      <c r="N936" s="266">
        <f t="shared" si="3"/>
        <v>0</v>
      </c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</row>
    <row r="937">
      <c r="A937" s="274"/>
      <c r="B937" s="274"/>
      <c r="C937" s="274"/>
      <c r="D937" s="283"/>
      <c r="E937" s="274"/>
      <c r="F937" s="279"/>
      <c r="G937" s="278" t="str">
        <f>IFNA(IF(VLOOKUP(RC_OUT[BLOCK],RC_IN[[BLOCK]:[BLOCK LOC]],2,FALSE)=0,"",VLOOKUP(RC_OUT[BLOCK],RC_IN[[BLOCK]:[BLOCK LOC]],2,FALSE)),"")</f>
        <v/>
      </c>
      <c r="I937" s="263" t="str">
        <f>IFERROR(AVERAGEIFS(RC_IN[MC],RC_IN[BLOCK],RC_OUT[BLOCK]),"")</f>
        <v/>
      </c>
      <c r="J937" s="264">
        <f t="shared" si="1"/>
        <v>0</v>
      </c>
      <c r="K937" s="246"/>
      <c r="L937" s="246"/>
      <c r="M937" s="249" t="str">
        <f t="shared" si="2"/>
        <v/>
      </c>
      <c r="N937" s="266">
        <f t="shared" si="3"/>
        <v>0</v>
      </c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</row>
    <row r="938">
      <c r="A938" s="273">
        <v>45862.0</v>
      </c>
      <c r="B938" s="275" t="s">
        <v>1257</v>
      </c>
      <c r="C938" s="275" t="s">
        <v>1274</v>
      </c>
      <c r="D938" s="276">
        <v>650.0</v>
      </c>
      <c r="E938" s="275" t="s">
        <v>1017</v>
      </c>
      <c r="F938" s="279"/>
      <c r="G938" s="278" t="str">
        <f>IFNA(IF(VLOOKUP(RC_OUT[BLOCK],RC_IN[[BLOCK]:[BLOCK LOC]],2,FALSE)=0,"",VLOOKUP(RC_OUT[BLOCK],RC_IN[[BLOCK]:[BLOCK LOC]],2,FALSE)),"")</f>
        <v/>
      </c>
      <c r="I938" s="263" t="str">
        <f>IFERROR(AVERAGEIFS(RC_IN[MC],RC_IN[BLOCK],RC_OUT[BLOCK]),"")</f>
        <v/>
      </c>
      <c r="J938" s="264">
        <f t="shared" si="1"/>
        <v>0</v>
      </c>
      <c r="K938" s="246"/>
      <c r="L938" s="246"/>
      <c r="M938" s="249" t="str">
        <f t="shared" si="2"/>
        <v/>
      </c>
      <c r="N938" s="266">
        <f t="shared" si="3"/>
        <v>0</v>
      </c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</row>
    <row r="939">
      <c r="A939" s="273">
        <v>45862.0</v>
      </c>
      <c r="B939" s="275" t="s">
        <v>1257</v>
      </c>
      <c r="C939" s="275" t="s">
        <v>1275</v>
      </c>
      <c r="D939" s="276">
        <v>13143.0</v>
      </c>
      <c r="E939" s="275" t="s">
        <v>1017</v>
      </c>
      <c r="F939" s="277" t="s">
        <v>1059</v>
      </c>
      <c r="G939" s="278" t="str">
        <f>IFNA(IF(VLOOKUP(RC_OUT[BLOCK],RC_IN[[BLOCK]:[BLOCK LOC]],2,FALSE)=0,"",VLOOKUP(RC_OUT[BLOCK],RC_IN[[BLOCK]:[BLOCK LOC]],2,FALSE)),"")</f>
        <v/>
      </c>
      <c r="I939" s="263" t="str">
        <f>IFERROR(AVERAGEIFS(RC_IN[MC],RC_IN[BLOCK],RC_OUT[BLOCK]),"")</f>
        <v/>
      </c>
      <c r="J939" s="264">
        <f t="shared" si="1"/>
        <v>0</v>
      </c>
      <c r="K939" s="246"/>
      <c r="L939" s="246"/>
      <c r="M939" s="249" t="str">
        <f t="shared" si="2"/>
        <v/>
      </c>
      <c r="N939" s="266">
        <f t="shared" si="3"/>
        <v>0</v>
      </c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</row>
    <row r="940">
      <c r="A940" s="273">
        <v>45862.0</v>
      </c>
      <c r="B940" s="275" t="s">
        <v>1257</v>
      </c>
      <c r="C940" s="275" t="s">
        <v>1276</v>
      </c>
      <c r="D940" s="276">
        <v>18224.0</v>
      </c>
      <c r="E940" s="275" t="s">
        <v>1017</v>
      </c>
      <c r="F940" s="279"/>
      <c r="G940" s="278" t="str">
        <f>IFNA(IF(VLOOKUP(RC_OUT[BLOCK],RC_IN[[BLOCK]:[BLOCK LOC]],2,FALSE)=0,"",VLOOKUP(RC_OUT[BLOCK],RC_IN[[BLOCK]:[BLOCK LOC]],2,FALSE)),"")</f>
        <v/>
      </c>
      <c r="I940" s="263" t="str">
        <f>IFERROR(AVERAGEIFS(RC_IN[MC],RC_IN[BLOCK],RC_OUT[BLOCK]),"")</f>
        <v/>
      </c>
      <c r="J940" s="264">
        <f t="shared" si="1"/>
        <v>0</v>
      </c>
      <c r="K940" s="246"/>
      <c r="L940" s="246"/>
      <c r="M940" s="249" t="str">
        <f t="shared" si="2"/>
        <v/>
      </c>
      <c r="N940" s="266">
        <f t="shared" si="3"/>
        <v>0</v>
      </c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</row>
    <row r="941">
      <c r="A941" s="274"/>
      <c r="B941" s="274"/>
      <c r="C941" s="274"/>
      <c r="D941" s="283"/>
      <c r="E941" s="274"/>
      <c r="F941" s="279"/>
      <c r="G941" s="278" t="str">
        <f>IFNA(IF(VLOOKUP(RC_OUT[BLOCK],RC_IN[[BLOCK]:[BLOCK LOC]],2,FALSE)=0,"",VLOOKUP(RC_OUT[BLOCK],RC_IN[[BLOCK]:[BLOCK LOC]],2,FALSE)),"")</f>
        <v/>
      </c>
      <c r="I941" s="263" t="str">
        <f>IFERROR(AVERAGEIFS(RC_IN[MC],RC_IN[BLOCK],RC_OUT[BLOCK]),"")</f>
        <v/>
      </c>
      <c r="J941" s="264">
        <f t="shared" si="1"/>
        <v>0</v>
      </c>
      <c r="K941" s="246"/>
      <c r="L941" s="246"/>
      <c r="M941" s="249" t="str">
        <f t="shared" si="2"/>
        <v/>
      </c>
      <c r="N941" s="266">
        <f t="shared" si="3"/>
        <v>0</v>
      </c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</row>
    <row r="942">
      <c r="A942" s="273">
        <v>45863.0</v>
      </c>
      <c r="B942" s="275" t="s">
        <v>1257</v>
      </c>
      <c r="C942" s="275" t="s">
        <v>1274</v>
      </c>
      <c r="D942" s="276">
        <v>1600.0</v>
      </c>
      <c r="E942" s="275" t="s">
        <v>1017</v>
      </c>
      <c r="F942" s="279"/>
      <c r="G942" s="278" t="str">
        <f>IFNA(IF(VLOOKUP(RC_OUT[BLOCK],RC_IN[[BLOCK]:[BLOCK LOC]],2,FALSE)=0,"",VLOOKUP(RC_OUT[BLOCK],RC_IN[[BLOCK]:[BLOCK LOC]],2,FALSE)),"")</f>
        <v/>
      </c>
      <c r="I942" s="263" t="str">
        <f>IFERROR(AVERAGEIFS(RC_IN[MC],RC_IN[BLOCK],RC_OUT[BLOCK]),"")</f>
        <v/>
      </c>
      <c r="J942" s="264">
        <f t="shared" si="1"/>
        <v>0</v>
      </c>
      <c r="K942" s="246"/>
      <c r="L942" s="246"/>
      <c r="M942" s="249" t="str">
        <f t="shared" si="2"/>
        <v/>
      </c>
      <c r="N942" s="266">
        <f t="shared" si="3"/>
        <v>0</v>
      </c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</row>
    <row r="943">
      <c r="A943" s="273">
        <v>45863.0</v>
      </c>
      <c r="B943" s="275" t="s">
        <v>1257</v>
      </c>
      <c r="C943" s="275" t="s">
        <v>1276</v>
      </c>
      <c r="D943" s="276">
        <v>23259.0</v>
      </c>
      <c r="E943" s="275" t="s">
        <v>1017</v>
      </c>
      <c r="F943" s="277" t="s">
        <v>1059</v>
      </c>
      <c r="G943" s="278" t="str">
        <f>IFNA(IF(VLOOKUP(RC_OUT[BLOCK],RC_IN[[BLOCK]:[BLOCK LOC]],2,FALSE)=0,"",VLOOKUP(RC_OUT[BLOCK],RC_IN[[BLOCK]:[BLOCK LOC]],2,FALSE)),"")</f>
        <v/>
      </c>
      <c r="I943" s="263" t="str">
        <f>IFERROR(AVERAGEIFS(RC_IN[MC],RC_IN[BLOCK],RC_OUT[BLOCK]),"")</f>
        <v/>
      </c>
      <c r="J943" s="264">
        <f t="shared" si="1"/>
        <v>0</v>
      </c>
      <c r="K943" s="246"/>
      <c r="L943" s="246"/>
      <c r="M943" s="249" t="str">
        <f t="shared" si="2"/>
        <v/>
      </c>
      <c r="N943" s="266">
        <f t="shared" si="3"/>
        <v>0</v>
      </c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</row>
    <row r="944">
      <c r="A944" s="273">
        <v>45863.0</v>
      </c>
      <c r="B944" s="275" t="s">
        <v>1257</v>
      </c>
      <c r="C944" s="275" t="s">
        <v>1277</v>
      </c>
      <c r="D944" s="276">
        <v>14074.0</v>
      </c>
      <c r="E944" s="275" t="s">
        <v>1017</v>
      </c>
      <c r="F944" s="279"/>
      <c r="G944" s="278" t="str">
        <f>IFNA(IF(VLOOKUP(RC_OUT[BLOCK],RC_IN[[BLOCK]:[BLOCK LOC]],2,FALSE)=0,"",VLOOKUP(RC_OUT[BLOCK],RC_IN[[BLOCK]:[BLOCK LOC]],2,FALSE)),"")</f>
        <v/>
      </c>
      <c r="I944" s="263" t="str">
        <f>IFERROR(AVERAGEIFS(RC_IN[MC],RC_IN[BLOCK],RC_OUT[BLOCK]),"")</f>
        <v/>
      </c>
      <c r="J944" s="264">
        <f t="shared" si="1"/>
        <v>0</v>
      </c>
      <c r="K944" s="246"/>
      <c r="L944" s="246"/>
      <c r="M944" s="249" t="str">
        <f t="shared" si="2"/>
        <v/>
      </c>
      <c r="N944" s="266">
        <f t="shared" si="3"/>
        <v>0</v>
      </c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</row>
    <row r="945">
      <c r="A945" s="274"/>
      <c r="B945" s="274"/>
      <c r="C945" s="274"/>
      <c r="D945" s="283"/>
      <c r="E945" s="274"/>
      <c r="F945" s="279"/>
      <c r="G945" s="278" t="str">
        <f>IFNA(IF(VLOOKUP(RC_OUT[BLOCK],RC_IN[[BLOCK]:[BLOCK LOC]],2,FALSE)=0,"",VLOOKUP(RC_OUT[BLOCK],RC_IN[[BLOCK]:[BLOCK LOC]],2,FALSE)),"")</f>
        <v/>
      </c>
      <c r="I945" s="263" t="str">
        <f>IFERROR(AVERAGEIFS(RC_IN[MC],RC_IN[BLOCK],RC_OUT[BLOCK]),"")</f>
        <v/>
      </c>
      <c r="J945" s="264">
        <f t="shared" si="1"/>
        <v>0</v>
      </c>
      <c r="K945" s="246"/>
      <c r="L945" s="246"/>
      <c r="M945" s="249" t="str">
        <f t="shared" si="2"/>
        <v/>
      </c>
      <c r="N945" s="266">
        <f t="shared" si="3"/>
        <v>0</v>
      </c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</row>
    <row r="946">
      <c r="A946" s="273">
        <v>45864.0</v>
      </c>
      <c r="B946" s="275" t="s">
        <v>1257</v>
      </c>
      <c r="C946" s="275" t="s">
        <v>1274</v>
      </c>
      <c r="D946" s="276">
        <v>2800.0</v>
      </c>
      <c r="E946" s="275" t="s">
        <v>1017</v>
      </c>
      <c r="F946" s="279"/>
      <c r="G946" s="278" t="str">
        <f>IFNA(IF(VLOOKUP(RC_OUT[BLOCK],RC_IN[[BLOCK]:[BLOCK LOC]],2,FALSE)=0,"",VLOOKUP(RC_OUT[BLOCK],RC_IN[[BLOCK]:[BLOCK LOC]],2,FALSE)),"")</f>
        <v/>
      </c>
      <c r="I946" s="263" t="str">
        <f>IFERROR(AVERAGEIFS(RC_IN[MC],RC_IN[BLOCK],RC_OUT[BLOCK]),"")</f>
        <v/>
      </c>
      <c r="J946" s="264">
        <f t="shared" si="1"/>
        <v>0</v>
      </c>
      <c r="K946" s="246"/>
      <c r="L946" s="246"/>
      <c r="M946" s="249" t="str">
        <f t="shared" si="2"/>
        <v/>
      </c>
      <c r="N946" s="266">
        <f t="shared" si="3"/>
        <v>0</v>
      </c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</row>
    <row r="947">
      <c r="A947" s="273">
        <v>45864.0</v>
      </c>
      <c r="B947" s="275" t="s">
        <v>1257</v>
      </c>
      <c r="C947" s="275" t="s">
        <v>1277</v>
      </c>
      <c r="D947" s="276">
        <v>14392.0</v>
      </c>
      <c r="E947" s="275" t="s">
        <v>1017</v>
      </c>
      <c r="F947" s="279"/>
      <c r="G947" s="278" t="str">
        <f>IFNA(IF(VLOOKUP(RC_OUT[BLOCK],RC_IN[[BLOCK]:[BLOCK LOC]],2,FALSE)=0,"",VLOOKUP(RC_OUT[BLOCK],RC_IN[[BLOCK]:[BLOCK LOC]],2,FALSE)),"")</f>
        <v/>
      </c>
      <c r="I947" s="263" t="str">
        <f>IFERROR(AVERAGEIFS(RC_IN[MC],RC_IN[BLOCK],RC_OUT[BLOCK]),"")</f>
        <v/>
      </c>
      <c r="J947" s="264">
        <f t="shared" si="1"/>
        <v>0</v>
      </c>
      <c r="K947" s="246"/>
      <c r="L947" s="246"/>
      <c r="M947" s="249" t="str">
        <f t="shared" si="2"/>
        <v/>
      </c>
      <c r="N947" s="266">
        <f t="shared" si="3"/>
        <v>0</v>
      </c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</row>
    <row r="948">
      <c r="A948" s="273">
        <v>45864.0</v>
      </c>
      <c r="B948" s="275" t="s">
        <v>1257</v>
      </c>
      <c r="C948" s="275" t="s">
        <v>1278</v>
      </c>
      <c r="D948" s="276">
        <v>15429.0</v>
      </c>
      <c r="E948" s="275" t="s">
        <v>1017</v>
      </c>
      <c r="F948" s="279"/>
      <c r="G948" s="278" t="str">
        <f>IFNA(IF(VLOOKUP(RC_OUT[BLOCK],RC_IN[[BLOCK]:[BLOCK LOC]],2,FALSE)=0,"",VLOOKUP(RC_OUT[BLOCK],RC_IN[[BLOCK]:[BLOCK LOC]],2,FALSE)),"")</f>
        <v/>
      </c>
      <c r="I948" s="263" t="str">
        <f>IFERROR(AVERAGEIFS(RC_IN[MC],RC_IN[BLOCK],RC_OUT[BLOCK]),"")</f>
        <v/>
      </c>
      <c r="J948" s="264">
        <f t="shared" si="1"/>
        <v>0</v>
      </c>
      <c r="K948" s="246"/>
      <c r="L948" s="246"/>
      <c r="M948" s="249" t="str">
        <f t="shared" si="2"/>
        <v/>
      </c>
      <c r="N948" s="266">
        <f t="shared" si="3"/>
        <v>0</v>
      </c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</row>
    <row r="949">
      <c r="A949" s="274"/>
      <c r="B949" s="274"/>
      <c r="C949" s="274"/>
      <c r="D949" s="283"/>
      <c r="E949" s="274"/>
      <c r="F949" s="279"/>
      <c r="G949" s="278" t="str">
        <f>IFNA(IF(VLOOKUP(RC_OUT[BLOCK],RC_IN[[BLOCK]:[BLOCK LOC]],2,FALSE)=0,"",VLOOKUP(RC_OUT[BLOCK],RC_IN[[BLOCK]:[BLOCK LOC]],2,FALSE)),"")</f>
        <v/>
      </c>
      <c r="I949" s="263" t="str">
        <f>IFERROR(AVERAGEIFS(RC_IN[MC],RC_IN[BLOCK],RC_OUT[BLOCK]),"")</f>
        <v/>
      </c>
      <c r="J949" s="264">
        <f t="shared" si="1"/>
        <v>0</v>
      </c>
      <c r="K949" s="246"/>
      <c r="L949" s="246"/>
      <c r="M949" s="249" t="str">
        <f t="shared" si="2"/>
        <v/>
      </c>
      <c r="N949" s="266">
        <f t="shared" si="3"/>
        <v>0</v>
      </c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</row>
    <row r="950">
      <c r="A950" s="273">
        <v>45866.0</v>
      </c>
      <c r="B950" s="275" t="s">
        <v>1257</v>
      </c>
      <c r="C950" s="275" t="s">
        <v>1274</v>
      </c>
      <c r="D950" s="276">
        <v>1500.0</v>
      </c>
      <c r="E950" s="275" t="s">
        <v>1017</v>
      </c>
      <c r="F950" s="279"/>
      <c r="G950" s="278" t="str">
        <f>IFNA(IF(VLOOKUP(RC_OUT[BLOCK],RC_IN[[BLOCK]:[BLOCK LOC]],2,FALSE)=0,"",VLOOKUP(RC_OUT[BLOCK],RC_IN[[BLOCK]:[BLOCK LOC]],2,FALSE)),"")</f>
        <v/>
      </c>
      <c r="I950" s="263" t="str">
        <f>IFERROR(AVERAGEIFS(RC_IN[MC],RC_IN[BLOCK],RC_OUT[BLOCK]),"")</f>
        <v/>
      </c>
      <c r="J950" s="264">
        <f t="shared" si="1"/>
        <v>0</v>
      </c>
      <c r="K950" s="246"/>
      <c r="L950" s="246"/>
      <c r="M950" s="249" t="str">
        <f t="shared" si="2"/>
        <v/>
      </c>
      <c r="N950" s="266">
        <f t="shared" si="3"/>
        <v>0</v>
      </c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</row>
    <row r="951">
      <c r="A951" s="273">
        <v>45866.0</v>
      </c>
      <c r="B951" s="275" t="s">
        <v>1257</v>
      </c>
      <c r="C951" s="275" t="s">
        <v>1277</v>
      </c>
      <c r="D951" s="276">
        <v>17161.0</v>
      </c>
      <c r="E951" s="275" t="s">
        <v>1017</v>
      </c>
      <c r="F951" s="279"/>
      <c r="G951" s="278" t="str">
        <f>IFNA(IF(VLOOKUP(RC_OUT[BLOCK],RC_IN[[BLOCK]:[BLOCK LOC]],2,FALSE)=0,"",VLOOKUP(RC_OUT[BLOCK],RC_IN[[BLOCK]:[BLOCK LOC]],2,FALSE)),"")</f>
        <v/>
      </c>
      <c r="I951" s="263" t="str">
        <f>IFERROR(AVERAGEIFS(RC_IN[MC],RC_IN[BLOCK],RC_OUT[BLOCK]),"")</f>
        <v/>
      </c>
      <c r="J951" s="264">
        <f t="shared" si="1"/>
        <v>0</v>
      </c>
      <c r="K951" s="246"/>
      <c r="L951" s="246"/>
      <c r="M951" s="249" t="str">
        <f t="shared" si="2"/>
        <v/>
      </c>
      <c r="N951" s="266">
        <f t="shared" si="3"/>
        <v>0</v>
      </c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</row>
    <row r="952">
      <c r="A952" s="273">
        <v>45866.0</v>
      </c>
      <c r="B952" s="275" t="s">
        <v>1257</v>
      </c>
      <c r="C952" s="275" t="s">
        <v>1278</v>
      </c>
      <c r="D952" s="276">
        <v>2906.0</v>
      </c>
      <c r="E952" s="275" t="s">
        <v>1017</v>
      </c>
      <c r="F952" s="277" t="s">
        <v>1059</v>
      </c>
      <c r="G952" s="278" t="str">
        <f>IFNA(IF(VLOOKUP(RC_OUT[BLOCK],RC_IN[[BLOCK]:[BLOCK LOC]],2,FALSE)=0,"",VLOOKUP(RC_OUT[BLOCK],RC_IN[[BLOCK]:[BLOCK LOC]],2,FALSE)),"")</f>
        <v/>
      </c>
      <c r="I952" s="263" t="str">
        <f>IFERROR(AVERAGEIFS(RC_IN[MC],RC_IN[BLOCK],RC_OUT[BLOCK]),"")</f>
        <v/>
      </c>
      <c r="J952" s="264">
        <f t="shared" si="1"/>
        <v>0</v>
      </c>
      <c r="K952" s="246"/>
      <c r="L952" s="246"/>
      <c r="M952" s="249" t="str">
        <f t="shared" si="2"/>
        <v/>
      </c>
      <c r="N952" s="266">
        <f t="shared" si="3"/>
        <v>0</v>
      </c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</row>
    <row r="953">
      <c r="A953" s="273">
        <v>45866.0</v>
      </c>
      <c r="B953" s="275" t="s">
        <v>1257</v>
      </c>
      <c r="C953" s="275" t="s">
        <v>1279</v>
      </c>
      <c r="D953" s="276">
        <v>10976.0</v>
      </c>
      <c r="E953" s="275" t="s">
        <v>1017</v>
      </c>
      <c r="F953" s="279"/>
      <c r="G953" s="278" t="str">
        <f>IFNA(IF(VLOOKUP(RC_OUT[BLOCK],RC_IN[[BLOCK]:[BLOCK LOC]],2,FALSE)=0,"",VLOOKUP(RC_OUT[BLOCK],RC_IN[[BLOCK]:[BLOCK LOC]],2,FALSE)),"")</f>
        <v/>
      </c>
      <c r="I953" s="263" t="str">
        <f>IFERROR(AVERAGEIFS(RC_IN[MC],RC_IN[BLOCK],RC_OUT[BLOCK]),"")</f>
        <v/>
      </c>
      <c r="J953" s="264">
        <f t="shared" si="1"/>
        <v>0</v>
      </c>
      <c r="K953" s="246"/>
      <c r="L953" s="246"/>
      <c r="M953" s="249" t="str">
        <f t="shared" si="2"/>
        <v/>
      </c>
      <c r="N953" s="266">
        <f t="shared" si="3"/>
        <v>0</v>
      </c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</row>
    <row r="954">
      <c r="A954" s="274"/>
      <c r="B954" s="274"/>
      <c r="C954" s="274"/>
      <c r="D954" s="283"/>
      <c r="E954" s="274"/>
      <c r="F954" s="279"/>
      <c r="G954" s="278" t="str">
        <f>IFNA(IF(VLOOKUP(RC_OUT[BLOCK],RC_IN[[BLOCK]:[BLOCK LOC]],2,FALSE)=0,"",VLOOKUP(RC_OUT[BLOCK],RC_IN[[BLOCK]:[BLOCK LOC]],2,FALSE)),"")</f>
        <v/>
      </c>
      <c r="I954" s="263" t="str">
        <f>IFERROR(AVERAGEIFS(RC_IN[MC],RC_IN[BLOCK],RC_OUT[BLOCK]),"")</f>
        <v/>
      </c>
      <c r="J954" s="264">
        <f t="shared" si="1"/>
        <v>0</v>
      </c>
      <c r="K954" s="246"/>
      <c r="L954" s="246"/>
      <c r="M954" s="249" t="str">
        <f t="shared" si="2"/>
        <v/>
      </c>
      <c r="N954" s="266">
        <f t="shared" si="3"/>
        <v>0</v>
      </c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</row>
    <row r="955">
      <c r="A955" s="273">
        <v>45867.0</v>
      </c>
      <c r="B955" s="275" t="s">
        <v>1257</v>
      </c>
      <c r="C955" s="275" t="s">
        <v>1274</v>
      </c>
      <c r="D955" s="276">
        <v>2500.0</v>
      </c>
      <c r="E955" s="275" t="s">
        <v>1017</v>
      </c>
      <c r="F955" s="277" t="s">
        <v>1059</v>
      </c>
      <c r="G955" s="278" t="str">
        <f>IFNA(IF(VLOOKUP(RC_OUT[BLOCK],RC_IN[[BLOCK]:[BLOCK LOC]],2,FALSE)=0,"",VLOOKUP(RC_OUT[BLOCK],RC_IN[[BLOCK]:[BLOCK LOC]],2,FALSE)),"")</f>
        <v/>
      </c>
      <c r="I955" s="263" t="str">
        <f>IFERROR(AVERAGEIFS(RC_IN[MC],RC_IN[BLOCK],RC_OUT[BLOCK]),"")</f>
        <v/>
      </c>
      <c r="J955" s="264">
        <f t="shared" si="1"/>
        <v>0</v>
      </c>
      <c r="K955" s="246"/>
      <c r="L955" s="246"/>
      <c r="M955" s="249" t="str">
        <f t="shared" si="2"/>
        <v/>
      </c>
      <c r="N955" s="266">
        <f t="shared" si="3"/>
        <v>0</v>
      </c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</row>
    <row r="956">
      <c r="A956" s="273">
        <v>45867.0</v>
      </c>
      <c r="B956" s="275" t="s">
        <v>1257</v>
      </c>
      <c r="C956" s="275" t="s">
        <v>1277</v>
      </c>
      <c r="D956" s="276">
        <v>2295.0</v>
      </c>
      <c r="E956" s="275" t="s">
        <v>1017</v>
      </c>
      <c r="F956" s="277" t="s">
        <v>1059</v>
      </c>
      <c r="G956" s="278" t="str">
        <f>IFNA(IF(VLOOKUP(RC_OUT[BLOCK],RC_IN[[BLOCK]:[BLOCK LOC]],2,FALSE)=0,"",VLOOKUP(RC_OUT[BLOCK],RC_IN[[BLOCK]:[BLOCK LOC]],2,FALSE)),"")</f>
        <v/>
      </c>
      <c r="I956" s="263" t="str">
        <f>IFERROR(AVERAGEIFS(RC_IN[MC],RC_IN[BLOCK],RC_OUT[BLOCK]),"")</f>
        <v/>
      </c>
      <c r="J956" s="264">
        <f t="shared" si="1"/>
        <v>0</v>
      </c>
      <c r="K956" s="246"/>
      <c r="L956" s="246"/>
      <c r="M956" s="249" t="str">
        <f t="shared" si="2"/>
        <v/>
      </c>
      <c r="N956" s="266">
        <f t="shared" si="3"/>
        <v>0</v>
      </c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</row>
    <row r="957">
      <c r="A957" s="273">
        <v>45867.0</v>
      </c>
      <c r="B957" s="275" t="s">
        <v>1257</v>
      </c>
      <c r="C957" s="275" t="s">
        <v>1279</v>
      </c>
      <c r="D957" s="276">
        <v>15168.0</v>
      </c>
      <c r="E957" s="275" t="s">
        <v>1017</v>
      </c>
      <c r="F957" s="279"/>
      <c r="G957" s="278" t="str">
        <f>IFNA(IF(VLOOKUP(RC_OUT[BLOCK],RC_IN[[BLOCK]:[BLOCK LOC]],2,FALSE)=0,"",VLOOKUP(RC_OUT[BLOCK],RC_IN[[BLOCK]:[BLOCK LOC]],2,FALSE)),"")</f>
        <v/>
      </c>
      <c r="I957" s="263" t="str">
        <f>IFERROR(AVERAGEIFS(RC_IN[MC],RC_IN[BLOCK],RC_OUT[BLOCK]),"")</f>
        <v/>
      </c>
      <c r="J957" s="264">
        <f t="shared" si="1"/>
        <v>0</v>
      </c>
      <c r="K957" s="246"/>
      <c r="L957" s="246"/>
      <c r="M957" s="249" t="str">
        <f t="shared" si="2"/>
        <v/>
      </c>
      <c r="N957" s="266">
        <f t="shared" si="3"/>
        <v>0</v>
      </c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</row>
    <row r="958">
      <c r="A958" s="274"/>
      <c r="B958" s="274"/>
      <c r="C958" s="274"/>
      <c r="D958" s="283"/>
      <c r="E958" s="274"/>
      <c r="F958" s="279"/>
      <c r="G958" s="278" t="str">
        <f>IFNA(IF(VLOOKUP(RC_OUT[BLOCK],RC_IN[[BLOCK]:[BLOCK LOC]],2,FALSE)=0,"",VLOOKUP(RC_OUT[BLOCK],RC_IN[[BLOCK]:[BLOCK LOC]],2,FALSE)),"")</f>
        <v/>
      </c>
      <c r="I958" s="263" t="str">
        <f>IFERROR(AVERAGEIFS(RC_IN[MC],RC_IN[BLOCK],RC_OUT[BLOCK]),"")</f>
        <v/>
      </c>
      <c r="J958" s="264">
        <f t="shared" si="1"/>
        <v>0</v>
      </c>
      <c r="K958" s="246"/>
      <c r="L958" s="246"/>
      <c r="M958" s="249" t="str">
        <f t="shared" si="2"/>
        <v/>
      </c>
      <c r="N958" s="266">
        <f t="shared" si="3"/>
        <v>0</v>
      </c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</row>
    <row r="959">
      <c r="A959" s="273">
        <v>45868.0</v>
      </c>
      <c r="B959" s="275" t="s">
        <v>1257</v>
      </c>
      <c r="C959" s="275" t="s">
        <v>1264</v>
      </c>
      <c r="D959" s="276">
        <v>5766.0</v>
      </c>
      <c r="E959" s="275" t="s">
        <v>1017</v>
      </c>
      <c r="F959" s="279"/>
      <c r="G959" s="278" t="str">
        <f>IFNA(IF(VLOOKUP(RC_OUT[BLOCK],RC_IN[[BLOCK]:[BLOCK LOC]],2,FALSE)=0,"",VLOOKUP(RC_OUT[BLOCK],RC_IN[[BLOCK]:[BLOCK LOC]],2,FALSE)),"")</f>
        <v/>
      </c>
      <c r="I959" s="263" t="str">
        <f>IFERROR(AVERAGEIFS(RC_IN[MC],RC_IN[BLOCK],RC_OUT[BLOCK]),"")</f>
        <v/>
      </c>
      <c r="J959" s="264">
        <f t="shared" si="1"/>
        <v>0</v>
      </c>
      <c r="K959" s="246"/>
      <c r="L959" s="246"/>
      <c r="M959" s="249" t="str">
        <f t="shared" si="2"/>
        <v/>
      </c>
      <c r="N959" s="266">
        <f t="shared" si="3"/>
        <v>0</v>
      </c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</row>
    <row r="960">
      <c r="A960" s="273">
        <v>45868.0</v>
      </c>
      <c r="B960" s="275" t="s">
        <v>1257</v>
      </c>
      <c r="C960" s="275" t="s">
        <v>1279</v>
      </c>
      <c r="D960" s="276">
        <v>7789.0</v>
      </c>
      <c r="E960" s="275" t="s">
        <v>1017</v>
      </c>
      <c r="F960" s="279"/>
      <c r="G960" s="278" t="str">
        <f>IFNA(IF(VLOOKUP(RC_OUT[BLOCK],RC_IN[[BLOCK]:[BLOCK LOC]],2,FALSE)=0,"",VLOOKUP(RC_OUT[BLOCK],RC_IN[[BLOCK]:[BLOCK LOC]],2,FALSE)),"")</f>
        <v/>
      </c>
      <c r="I960" s="263" t="str">
        <f>IFERROR(AVERAGEIFS(RC_IN[MC],RC_IN[BLOCK],RC_OUT[BLOCK]),"")</f>
        <v/>
      </c>
      <c r="J960" s="264">
        <f t="shared" si="1"/>
        <v>0</v>
      </c>
      <c r="K960" s="246"/>
      <c r="L960" s="246"/>
      <c r="M960" s="249" t="str">
        <f t="shared" si="2"/>
        <v/>
      </c>
      <c r="N960" s="266">
        <f t="shared" si="3"/>
        <v>0</v>
      </c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</row>
    <row r="961">
      <c r="A961" s="273">
        <v>45868.0</v>
      </c>
      <c r="B961" s="275" t="s">
        <v>1257</v>
      </c>
      <c r="C961" s="275" t="s">
        <v>1280</v>
      </c>
      <c r="D961" s="276">
        <v>2589.0</v>
      </c>
      <c r="E961" s="275" t="s">
        <v>1017</v>
      </c>
      <c r="F961" s="279"/>
      <c r="G961" s="278" t="str">
        <f>IFNA(IF(VLOOKUP(RC_OUT[BLOCK],RC_IN[[BLOCK]:[BLOCK LOC]],2,FALSE)=0,"",VLOOKUP(RC_OUT[BLOCK],RC_IN[[BLOCK]:[BLOCK LOC]],2,FALSE)),"")</f>
        <v/>
      </c>
      <c r="I961" s="263" t="str">
        <f>IFERROR(AVERAGEIFS(RC_IN[MC],RC_IN[BLOCK],RC_OUT[BLOCK]),"")</f>
        <v/>
      </c>
      <c r="J961" s="264">
        <f t="shared" si="1"/>
        <v>0</v>
      </c>
      <c r="K961" s="246"/>
      <c r="L961" s="246"/>
      <c r="M961" s="249" t="str">
        <f t="shared" si="2"/>
        <v/>
      </c>
      <c r="N961" s="266">
        <f t="shared" si="3"/>
        <v>0</v>
      </c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</row>
    <row r="962">
      <c r="A962" s="274"/>
      <c r="B962" s="274"/>
      <c r="C962" s="274"/>
      <c r="D962" s="283"/>
      <c r="E962" s="274"/>
      <c r="F962" s="279"/>
      <c r="G962" s="278" t="str">
        <f>IFNA(IF(VLOOKUP(RC_OUT[BLOCK],RC_IN[[BLOCK]:[BLOCK LOC]],2,FALSE)=0,"",VLOOKUP(RC_OUT[BLOCK],RC_IN[[BLOCK]:[BLOCK LOC]],2,FALSE)),"")</f>
        <v/>
      </c>
      <c r="I962" s="263" t="str">
        <f>IFERROR(AVERAGEIFS(RC_IN[MC],RC_IN[BLOCK],RC_OUT[BLOCK]),"")</f>
        <v/>
      </c>
      <c r="J962" s="264">
        <f t="shared" si="1"/>
        <v>0</v>
      </c>
      <c r="K962" s="246"/>
      <c r="L962" s="246"/>
      <c r="M962" s="249" t="str">
        <f t="shared" si="2"/>
        <v/>
      </c>
      <c r="N962" s="266">
        <f t="shared" si="3"/>
        <v>0</v>
      </c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</row>
    <row r="963">
      <c r="A963" s="273">
        <v>45869.0</v>
      </c>
      <c r="B963" s="275" t="s">
        <v>1281</v>
      </c>
      <c r="C963" s="275" t="s">
        <v>1264</v>
      </c>
      <c r="D963" s="276">
        <v>3707.0</v>
      </c>
      <c r="E963" s="275" t="s">
        <v>1017</v>
      </c>
      <c r="F963" s="279"/>
      <c r="G963" s="278" t="str">
        <f>IFNA(IF(VLOOKUP(RC_OUT[BLOCK],RC_IN[[BLOCK]:[BLOCK LOC]],2,FALSE)=0,"",VLOOKUP(RC_OUT[BLOCK],RC_IN[[BLOCK]:[BLOCK LOC]],2,FALSE)),"")</f>
        <v/>
      </c>
      <c r="I963" s="263" t="str">
        <f>IFERROR(AVERAGEIFS(RC_IN[MC],RC_IN[BLOCK],RC_OUT[BLOCK]),"")</f>
        <v/>
      </c>
      <c r="J963" s="264">
        <f t="shared" si="1"/>
        <v>0</v>
      </c>
      <c r="K963" s="246"/>
      <c r="L963" s="246"/>
      <c r="M963" s="249" t="str">
        <f t="shared" si="2"/>
        <v/>
      </c>
      <c r="N963" s="266">
        <f t="shared" si="3"/>
        <v>0</v>
      </c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</row>
    <row r="964">
      <c r="A964" s="273">
        <v>45869.0</v>
      </c>
      <c r="B964" s="275" t="s">
        <v>1281</v>
      </c>
      <c r="C964" s="275" t="s">
        <v>1280</v>
      </c>
      <c r="D964" s="276">
        <v>2625.0</v>
      </c>
      <c r="E964" s="275" t="s">
        <v>1017</v>
      </c>
      <c r="F964" s="279"/>
      <c r="G964" s="278" t="str">
        <f>IFNA(IF(VLOOKUP(RC_OUT[BLOCK],RC_IN[[BLOCK]:[BLOCK LOC]],2,FALSE)=0,"",VLOOKUP(RC_OUT[BLOCK],RC_IN[[BLOCK]:[BLOCK LOC]],2,FALSE)),"")</f>
        <v/>
      </c>
      <c r="I964" s="263" t="str">
        <f>IFERROR(AVERAGEIFS(RC_IN[MC],RC_IN[BLOCK],RC_OUT[BLOCK]),"")</f>
        <v/>
      </c>
      <c r="J964" s="264">
        <f t="shared" si="1"/>
        <v>0</v>
      </c>
      <c r="K964" s="246"/>
      <c r="L964" s="246"/>
      <c r="M964" s="249" t="str">
        <f t="shared" si="2"/>
        <v/>
      </c>
      <c r="N964" s="266">
        <f t="shared" si="3"/>
        <v>0</v>
      </c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</row>
    <row r="965">
      <c r="A965" s="274"/>
      <c r="B965" s="274"/>
      <c r="C965" s="274"/>
      <c r="D965" s="283"/>
      <c r="E965" s="274"/>
      <c r="F965" s="279"/>
      <c r="G965" s="278" t="str">
        <f>IFNA(IF(VLOOKUP(RC_OUT[BLOCK],RC_IN[[BLOCK]:[BLOCK LOC]],2,FALSE)=0,"",VLOOKUP(RC_OUT[BLOCK],RC_IN[[BLOCK]:[BLOCK LOC]],2,FALSE)),"")</f>
        <v/>
      </c>
      <c r="I965" s="263" t="str">
        <f>IFERROR(AVERAGEIFS(RC_IN[MC],RC_IN[BLOCK],RC_OUT[BLOCK]),"")</f>
        <v/>
      </c>
      <c r="J965" s="264">
        <f t="shared" si="1"/>
        <v>0</v>
      </c>
      <c r="K965" s="246"/>
      <c r="L965" s="246"/>
      <c r="M965" s="249" t="str">
        <f t="shared" si="2"/>
        <v/>
      </c>
      <c r="N965" s="266">
        <f t="shared" si="3"/>
        <v>0</v>
      </c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</row>
    <row r="966">
      <c r="A966" s="273">
        <v>45870.0</v>
      </c>
      <c r="B966" s="275" t="s">
        <v>1281</v>
      </c>
      <c r="C966" s="275" t="s">
        <v>1264</v>
      </c>
      <c r="D966" s="276">
        <v>14894.0</v>
      </c>
      <c r="E966" s="275" t="s">
        <v>1017</v>
      </c>
      <c r="F966" s="279"/>
      <c r="G966" s="278" t="str">
        <f>IFNA(IF(VLOOKUP(RC_OUT[BLOCK],RC_IN[[BLOCK]:[BLOCK LOC]],2,FALSE)=0,"",VLOOKUP(RC_OUT[BLOCK],RC_IN[[BLOCK]:[BLOCK LOC]],2,FALSE)),"")</f>
        <v/>
      </c>
      <c r="I966" s="263" t="str">
        <f>IFERROR(AVERAGEIFS(RC_IN[MC],RC_IN[BLOCK],RC_OUT[BLOCK]),"")</f>
        <v/>
      </c>
      <c r="J966" s="264">
        <f t="shared" si="1"/>
        <v>0</v>
      </c>
      <c r="K966" s="246"/>
      <c r="L966" s="246"/>
      <c r="M966" s="249" t="str">
        <f t="shared" si="2"/>
        <v/>
      </c>
      <c r="N966" s="266">
        <f t="shared" si="3"/>
        <v>0</v>
      </c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</row>
    <row r="967">
      <c r="A967" s="273">
        <v>45870.0</v>
      </c>
      <c r="B967" s="275" t="s">
        <v>1281</v>
      </c>
      <c r="C967" s="275" t="s">
        <v>1280</v>
      </c>
      <c r="D967" s="276">
        <v>11317.0</v>
      </c>
      <c r="E967" s="275" t="s">
        <v>1017</v>
      </c>
      <c r="F967" s="277" t="s">
        <v>1059</v>
      </c>
      <c r="G967" s="278" t="str">
        <f>IFNA(IF(VLOOKUP(RC_OUT[BLOCK],RC_IN[[BLOCK]:[BLOCK LOC]],2,FALSE)=0,"",VLOOKUP(RC_OUT[BLOCK],RC_IN[[BLOCK]:[BLOCK LOC]],2,FALSE)),"")</f>
        <v/>
      </c>
      <c r="I967" s="263" t="str">
        <f>IFERROR(AVERAGEIFS(RC_IN[MC],RC_IN[BLOCK],RC_OUT[BLOCK]),"")</f>
        <v/>
      </c>
      <c r="J967" s="264">
        <f t="shared" si="1"/>
        <v>0</v>
      </c>
      <c r="K967" s="246"/>
      <c r="L967" s="246"/>
      <c r="M967" s="249" t="str">
        <f t="shared" si="2"/>
        <v/>
      </c>
      <c r="N967" s="266">
        <f t="shared" si="3"/>
        <v>0</v>
      </c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</row>
    <row r="968">
      <c r="A968" s="273">
        <v>45870.0</v>
      </c>
      <c r="B968" s="275" t="s">
        <v>1281</v>
      </c>
      <c r="C968" s="275" t="s">
        <v>1282</v>
      </c>
      <c r="D968" s="276">
        <v>9485.0</v>
      </c>
      <c r="E968" s="275" t="s">
        <v>1017</v>
      </c>
      <c r="F968" s="279"/>
      <c r="G968" s="278" t="str">
        <f>IFNA(IF(VLOOKUP(RC_OUT[BLOCK],RC_IN[[BLOCK]:[BLOCK LOC]],2,FALSE)=0,"",VLOOKUP(RC_OUT[BLOCK],RC_IN[[BLOCK]:[BLOCK LOC]],2,FALSE)),"")</f>
        <v/>
      </c>
      <c r="I968" s="263" t="str">
        <f>IFERROR(AVERAGEIFS(RC_IN[MC],RC_IN[BLOCK],RC_OUT[BLOCK]),"")</f>
        <v/>
      </c>
      <c r="J968" s="264">
        <f t="shared" si="1"/>
        <v>0</v>
      </c>
      <c r="K968" s="246"/>
      <c r="L968" s="246"/>
      <c r="M968" s="249" t="str">
        <f t="shared" si="2"/>
        <v/>
      </c>
      <c r="N968" s="266">
        <f t="shared" si="3"/>
        <v>0</v>
      </c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</row>
    <row r="969">
      <c r="A969" s="274"/>
      <c r="B969" s="274"/>
      <c r="C969" s="274"/>
      <c r="D969" s="283"/>
      <c r="E969" s="274"/>
      <c r="F969" s="279"/>
      <c r="G969" s="278" t="str">
        <f>IFNA(IF(VLOOKUP(RC_OUT[BLOCK],RC_IN[[BLOCK]:[BLOCK LOC]],2,FALSE)=0,"",VLOOKUP(RC_OUT[BLOCK],RC_IN[[BLOCK]:[BLOCK LOC]],2,FALSE)),"")</f>
        <v/>
      </c>
      <c r="I969" s="263" t="str">
        <f>IFERROR(AVERAGEIFS(RC_IN[MC],RC_IN[BLOCK],RC_OUT[BLOCK]),"")</f>
        <v/>
      </c>
      <c r="J969" s="264">
        <f t="shared" si="1"/>
        <v>0</v>
      </c>
      <c r="K969" s="246"/>
      <c r="L969" s="246"/>
      <c r="M969" s="249" t="str">
        <f t="shared" si="2"/>
        <v/>
      </c>
      <c r="N969" s="266">
        <f t="shared" si="3"/>
        <v>0</v>
      </c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</row>
    <row r="970">
      <c r="A970" s="273">
        <v>45871.0</v>
      </c>
      <c r="B970" s="275" t="s">
        <v>1281</v>
      </c>
      <c r="C970" s="275" t="s">
        <v>1264</v>
      </c>
      <c r="D970" s="276">
        <v>6521.0</v>
      </c>
      <c r="E970" s="275" t="s">
        <v>1017</v>
      </c>
      <c r="F970" s="279"/>
      <c r="G970" s="278" t="str">
        <f>IFNA(IF(VLOOKUP(RC_OUT[BLOCK],RC_IN[[BLOCK]:[BLOCK LOC]],2,FALSE)=0,"",VLOOKUP(RC_OUT[BLOCK],RC_IN[[BLOCK]:[BLOCK LOC]],2,FALSE)),"")</f>
        <v/>
      </c>
      <c r="I970" s="263" t="str">
        <f>IFERROR(AVERAGEIFS(RC_IN[MC],RC_IN[BLOCK],RC_OUT[BLOCK]),"")</f>
        <v/>
      </c>
      <c r="J970" s="264">
        <f t="shared" si="1"/>
        <v>0</v>
      </c>
      <c r="K970" s="246"/>
      <c r="L970" s="246"/>
      <c r="M970" s="249" t="str">
        <f t="shared" si="2"/>
        <v/>
      </c>
      <c r="N970" s="266">
        <f t="shared" si="3"/>
        <v>0</v>
      </c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</row>
    <row r="971">
      <c r="A971" s="273">
        <v>45871.0</v>
      </c>
      <c r="B971" s="275" t="s">
        <v>1281</v>
      </c>
      <c r="C971" s="275" t="s">
        <v>1282</v>
      </c>
      <c r="D971" s="276">
        <v>26360.0</v>
      </c>
      <c r="E971" s="275" t="s">
        <v>1017</v>
      </c>
      <c r="F971" s="279"/>
      <c r="G971" s="278" t="str">
        <f>IFNA(IF(VLOOKUP(RC_OUT[BLOCK],RC_IN[[BLOCK]:[BLOCK LOC]],2,FALSE)=0,"",VLOOKUP(RC_OUT[BLOCK],RC_IN[[BLOCK]:[BLOCK LOC]],2,FALSE)),"")</f>
        <v/>
      </c>
      <c r="I971" s="263" t="str">
        <f>IFERROR(AVERAGEIFS(RC_IN[MC],RC_IN[BLOCK],RC_OUT[BLOCK]),"")</f>
        <v/>
      </c>
      <c r="J971" s="264">
        <f t="shared" si="1"/>
        <v>0</v>
      </c>
      <c r="K971" s="246"/>
      <c r="L971" s="246"/>
      <c r="M971" s="249" t="str">
        <f t="shared" si="2"/>
        <v/>
      </c>
      <c r="N971" s="266">
        <f t="shared" si="3"/>
        <v>0</v>
      </c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</row>
    <row r="972">
      <c r="A972" s="274"/>
      <c r="B972" s="274"/>
      <c r="C972" s="274"/>
      <c r="D972" s="283"/>
      <c r="E972" s="274"/>
      <c r="F972" s="279"/>
      <c r="G972" s="278" t="str">
        <f>IFNA(IF(VLOOKUP(RC_OUT[BLOCK],RC_IN[[BLOCK]:[BLOCK LOC]],2,FALSE)=0,"",VLOOKUP(RC_OUT[BLOCK],RC_IN[[BLOCK]:[BLOCK LOC]],2,FALSE)),"")</f>
        <v/>
      </c>
      <c r="I972" s="263" t="str">
        <f>IFERROR(AVERAGEIFS(RC_IN[MC],RC_IN[BLOCK],RC_OUT[BLOCK]),"")</f>
        <v/>
      </c>
      <c r="J972" s="264">
        <f t="shared" si="1"/>
        <v>0</v>
      </c>
      <c r="K972" s="246"/>
      <c r="L972" s="246"/>
      <c r="M972" s="249" t="str">
        <f t="shared" si="2"/>
        <v/>
      </c>
      <c r="N972" s="266">
        <f t="shared" si="3"/>
        <v>0</v>
      </c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</row>
    <row r="973">
      <c r="A973" s="273">
        <v>45873.0</v>
      </c>
      <c r="B973" s="275" t="s">
        <v>1281</v>
      </c>
      <c r="C973" s="275" t="s">
        <v>1264</v>
      </c>
      <c r="D973" s="276">
        <v>1964.0</v>
      </c>
      <c r="E973" s="275" t="s">
        <v>1017</v>
      </c>
      <c r="F973" s="277" t="s">
        <v>1059</v>
      </c>
      <c r="G973" s="278" t="str">
        <f>IFNA(IF(VLOOKUP(RC_OUT[BLOCK],RC_IN[[BLOCK]:[BLOCK LOC]],2,FALSE)=0,"",VLOOKUP(RC_OUT[BLOCK],RC_IN[[BLOCK]:[BLOCK LOC]],2,FALSE)),"")</f>
        <v/>
      </c>
      <c r="I973" s="263" t="str">
        <f>IFERROR(AVERAGEIFS(RC_IN[MC],RC_IN[BLOCK],RC_OUT[BLOCK]),"")</f>
        <v/>
      </c>
      <c r="J973" s="264">
        <f t="shared" si="1"/>
        <v>0</v>
      </c>
      <c r="K973" s="246"/>
      <c r="L973" s="246"/>
      <c r="M973" s="249" t="str">
        <f t="shared" si="2"/>
        <v/>
      </c>
      <c r="N973" s="266">
        <f t="shared" si="3"/>
        <v>0</v>
      </c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</row>
    <row r="974">
      <c r="A974" s="273">
        <v>45873.0</v>
      </c>
      <c r="B974" s="275" t="s">
        <v>1281</v>
      </c>
      <c r="C974" s="275" t="s">
        <v>1282</v>
      </c>
      <c r="D974" s="276">
        <v>29445.0</v>
      </c>
      <c r="E974" s="275" t="s">
        <v>1017</v>
      </c>
      <c r="F974" s="277" t="s">
        <v>1059</v>
      </c>
      <c r="G974" s="278" t="str">
        <f>IFNA(IF(VLOOKUP(RC_OUT[BLOCK],RC_IN[[BLOCK]:[BLOCK LOC]],2,FALSE)=0,"",VLOOKUP(RC_OUT[BLOCK],RC_IN[[BLOCK]:[BLOCK LOC]],2,FALSE)),"")</f>
        <v/>
      </c>
      <c r="I974" s="263" t="str">
        <f>IFERROR(AVERAGEIFS(RC_IN[MC],RC_IN[BLOCK],RC_OUT[BLOCK]),"")</f>
        <v/>
      </c>
      <c r="J974" s="264">
        <f t="shared" si="1"/>
        <v>0</v>
      </c>
      <c r="K974" s="246"/>
      <c r="L974" s="246"/>
      <c r="M974" s="249" t="str">
        <f t="shared" si="2"/>
        <v/>
      </c>
      <c r="N974" s="266">
        <f t="shared" si="3"/>
        <v>0</v>
      </c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</row>
    <row r="975">
      <c r="A975" s="273">
        <v>45873.0</v>
      </c>
      <c r="B975" s="275" t="s">
        <v>1281</v>
      </c>
      <c r="C975" s="275" t="s">
        <v>1283</v>
      </c>
      <c r="D975" s="276">
        <v>7165.0</v>
      </c>
      <c r="E975" s="275" t="s">
        <v>1017</v>
      </c>
      <c r="F975" s="279"/>
      <c r="G975" s="278" t="str">
        <f>IFNA(IF(VLOOKUP(RC_OUT[BLOCK],RC_IN[[BLOCK]:[BLOCK LOC]],2,FALSE)=0,"",VLOOKUP(RC_OUT[BLOCK],RC_IN[[BLOCK]:[BLOCK LOC]],2,FALSE)),"")</f>
        <v/>
      </c>
      <c r="I975" s="263" t="str">
        <f>IFERROR(AVERAGEIFS(RC_IN[MC],RC_IN[BLOCK],RC_OUT[BLOCK]),"")</f>
        <v/>
      </c>
      <c r="J975" s="264">
        <f t="shared" si="1"/>
        <v>0</v>
      </c>
      <c r="K975" s="246"/>
      <c r="L975" s="246"/>
      <c r="M975" s="249" t="str">
        <f t="shared" si="2"/>
        <v/>
      </c>
      <c r="N975" s="266">
        <f t="shared" si="3"/>
        <v>0</v>
      </c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</row>
    <row r="976">
      <c r="A976" s="273">
        <v>45873.0</v>
      </c>
      <c r="B976" s="275" t="s">
        <v>1281</v>
      </c>
      <c r="C976" s="275" t="s">
        <v>1284</v>
      </c>
      <c r="D976" s="276">
        <v>3200.0</v>
      </c>
      <c r="E976" s="275" t="s">
        <v>1017</v>
      </c>
      <c r="F976" s="279"/>
      <c r="G976" s="278" t="str">
        <f>IFNA(IF(VLOOKUP(RC_OUT[BLOCK],RC_IN[[BLOCK]:[BLOCK LOC]],2,FALSE)=0,"",VLOOKUP(RC_OUT[BLOCK],RC_IN[[BLOCK]:[BLOCK LOC]],2,FALSE)),"")</f>
        <v/>
      </c>
      <c r="I976" s="263" t="str">
        <f>IFERROR(AVERAGEIFS(RC_IN[MC],RC_IN[BLOCK],RC_OUT[BLOCK]),"")</f>
        <v/>
      </c>
      <c r="J976" s="264">
        <f t="shared" si="1"/>
        <v>0</v>
      </c>
      <c r="K976" s="246"/>
      <c r="L976" s="246"/>
      <c r="M976" s="249" t="str">
        <f t="shared" si="2"/>
        <v/>
      </c>
      <c r="N976" s="266">
        <f t="shared" si="3"/>
        <v>0</v>
      </c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</row>
    <row r="977">
      <c r="A977" s="274"/>
      <c r="B977" s="274"/>
      <c r="C977" s="274"/>
      <c r="D977" s="283"/>
      <c r="E977" s="274"/>
      <c r="F977" s="279"/>
      <c r="G977" s="278" t="str">
        <f>IFNA(IF(VLOOKUP(RC_OUT[BLOCK],RC_IN[[BLOCK]:[BLOCK LOC]],2,FALSE)=0,"",VLOOKUP(RC_OUT[BLOCK],RC_IN[[BLOCK]:[BLOCK LOC]],2,FALSE)),"")</f>
        <v/>
      </c>
      <c r="I977" s="263" t="str">
        <f>IFERROR(AVERAGEIFS(RC_IN[MC],RC_IN[BLOCK],RC_OUT[BLOCK]),"")</f>
        <v/>
      </c>
      <c r="J977" s="264">
        <f t="shared" si="1"/>
        <v>0</v>
      </c>
      <c r="K977" s="246"/>
      <c r="L977" s="246"/>
      <c r="M977" s="249" t="str">
        <f t="shared" si="2"/>
        <v/>
      </c>
      <c r="N977" s="266">
        <f t="shared" si="3"/>
        <v>0</v>
      </c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</row>
    <row r="978">
      <c r="A978" s="273">
        <v>45874.0</v>
      </c>
      <c r="B978" s="275" t="s">
        <v>1281</v>
      </c>
      <c r="C978" s="275" t="s">
        <v>1283</v>
      </c>
      <c r="D978" s="276">
        <v>8305.0</v>
      </c>
      <c r="E978" s="275" t="s">
        <v>1017</v>
      </c>
      <c r="F978" s="279"/>
      <c r="G978" s="278" t="str">
        <f>IFNA(IF(VLOOKUP(RC_OUT[BLOCK],RC_IN[[BLOCK]:[BLOCK LOC]],2,FALSE)=0,"",VLOOKUP(RC_OUT[BLOCK],RC_IN[[BLOCK]:[BLOCK LOC]],2,FALSE)),"")</f>
        <v/>
      </c>
      <c r="I978" s="263" t="str">
        <f>IFERROR(AVERAGEIFS(RC_IN[MC],RC_IN[BLOCK],RC_OUT[BLOCK]),"")</f>
        <v/>
      </c>
      <c r="J978" s="264">
        <f t="shared" si="1"/>
        <v>0</v>
      </c>
      <c r="K978" s="246"/>
      <c r="L978" s="246"/>
      <c r="M978" s="249" t="str">
        <f t="shared" si="2"/>
        <v/>
      </c>
      <c r="N978" s="266">
        <f t="shared" si="3"/>
        <v>0</v>
      </c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</row>
    <row r="979">
      <c r="A979" s="273">
        <v>45874.0</v>
      </c>
      <c r="B979" s="275" t="s">
        <v>1281</v>
      </c>
      <c r="C979" s="275" t="s">
        <v>1284</v>
      </c>
      <c r="D979" s="276">
        <v>29770.0</v>
      </c>
      <c r="E979" s="275" t="s">
        <v>1017</v>
      </c>
      <c r="F979" s="279"/>
      <c r="G979" s="278" t="str">
        <f>IFNA(IF(VLOOKUP(RC_OUT[BLOCK],RC_IN[[BLOCK]:[BLOCK LOC]],2,FALSE)=0,"",VLOOKUP(RC_OUT[BLOCK],RC_IN[[BLOCK]:[BLOCK LOC]],2,FALSE)),"")</f>
        <v/>
      </c>
      <c r="I979" s="263" t="str">
        <f>IFERROR(AVERAGEIFS(RC_IN[MC],RC_IN[BLOCK],RC_OUT[BLOCK]),"")</f>
        <v/>
      </c>
      <c r="J979" s="264">
        <f t="shared" si="1"/>
        <v>0</v>
      </c>
      <c r="K979" s="246"/>
      <c r="L979" s="246"/>
      <c r="M979" s="249" t="str">
        <f t="shared" si="2"/>
        <v/>
      </c>
      <c r="N979" s="266">
        <f t="shared" si="3"/>
        <v>0</v>
      </c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</row>
    <row r="980">
      <c r="A980" s="273">
        <v>45874.0</v>
      </c>
      <c r="B980" s="275" t="s">
        <v>1281</v>
      </c>
      <c r="C980" s="275" t="s">
        <v>1285</v>
      </c>
      <c r="D980" s="276">
        <v>650.0</v>
      </c>
      <c r="E980" s="275" t="s">
        <v>1017</v>
      </c>
      <c r="F980" s="277" t="s">
        <v>1286</v>
      </c>
      <c r="G980" s="278" t="str">
        <f>IFNA(IF(VLOOKUP(RC_OUT[BLOCK],RC_IN[[BLOCK]:[BLOCK LOC]],2,FALSE)=0,"",VLOOKUP(RC_OUT[BLOCK],RC_IN[[BLOCK]:[BLOCK LOC]],2,FALSE)),"")</f>
        <v/>
      </c>
      <c r="I980" s="263" t="str">
        <f>IFERROR(AVERAGEIFS(RC_IN[MC],RC_IN[BLOCK],RC_OUT[BLOCK]),"")</f>
        <v/>
      </c>
      <c r="J980" s="264">
        <f t="shared" si="1"/>
        <v>0</v>
      </c>
      <c r="K980" s="246"/>
      <c r="L980" s="246"/>
      <c r="M980" s="249" t="str">
        <f t="shared" si="2"/>
        <v/>
      </c>
      <c r="N980" s="266">
        <f t="shared" si="3"/>
        <v>0</v>
      </c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</row>
    <row r="981">
      <c r="A981" s="274"/>
      <c r="B981" s="274"/>
      <c r="C981" s="274"/>
      <c r="D981" s="283"/>
      <c r="E981" s="274"/>
      <c r="F981" s="279"/>
      <c r="G981" s="278" t="str">
        <f>IFNA(IF(VLOOKUP(RC_OUT[BLOCK],RC_IN[[BLOCK]:[BLOCK LOC]],2,FALSE)=0,"",VLOOKUP(RC_OUT[BLOCK],RC_IN[[BLOCK]:[BLOCK LOC]],2,FALSE)),"")</f>
        <v/>
      </c>
      <c r="I981" s="263" t="str">
        <f>IFERROR(AVERAGEIFS(RC_IN[MC],RC_IN[BLOCK],RC_OUT[BLOCK]),"")</f>
        <v/>
      </c>
      <c r="J981" s="264">
        <f t="shared" si="1"/>
        <v>0</v>
      </c>
      <c r="K981" s="246"/>
      <c r="L981" s="246"/>
      <c r="M981" s="249" t="str">
        <f t="shared" si="2"/>
        <v/>
      </c>
      <c r="N981" s="266">
        <f t="shared" si="3"/>
        <v>0</v>
      </c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</row>
    <row r="982">
      <c r="A982" s="273">
        <v>45875.0</v>
      </c>
      <c r="B982" s="275" t="s">
        <v>1281</v>
      </c>
      <c r="C982" s="275" t="s">
        <v>1283</v>
      </c>
      <c r="D982" s="276">
        <v>7351.0</v>
      </c>
      <c r="E982" s="275" t="s">
        <v>1017</v>
      </c>
      <c r="F982" s="279"/>
      <c r="G982" s="278" t="str">
        <f>IFNA(IF(VLOOKUP(RC_OUT[BLOCK],RC_IN[[BLOCK]:[BLOCK LOC]],2,FALSE)=0,"",VLOOKUP(RC_OUT[BLOCK],RC_IN[[BLOCK]:[BLOCK LOC]],2,FALSE)),"")</f>
        <v/>
      </c>
      <c r="I982" s="263" t="str">
        <f>IFERROR(AVERAGEIFS(RC_IN[MC],RC_IN[BLOCK],RC_OUT[BLOCK]),"")</f>
        <v/>
      </c>
      <c r="J982" s="264">
        <f t="shared" si="1"/>
        <v>0</v>
      </c>
      <c r="K982" s="246"/>
      <c r="L982" s="246"/>
      <c r="M982" s="249" t="str">
        <f t="shared" si="2"/>
        <v/>
      </c>
      <c r="N982" s="266">
        <f t="shared" si="3"/>
        <v>0</v>
      </c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</row>
    <row r="983">
      <c r="A983" s="273">
        <v>45875.0</v>
      </c>
      <c r="B983" s="275" t="s">
        <v>1281</v>
      </c>
      <c r="C983" s="275" t="s">
        <v>1284</v>
      </c>
      <c r="D983" s="276">
        <v>22832.0</v>
      </c>
      <c r="E983" s="275" t="s">
        <v>1017</v>
      </c>
      <c r="F983" s="277" t="s">
        <v>1059</v>
      </c>
      <c r="G983" s="278" t="str">
        <f>IFNA(IF(VLOOKUP(RC_OUT[BLOCK],RC_IN[[BLOCK]:[BLOCK LOC]],2,FALSE)=0,"",VLOOKUP(RC_OUT[BLOCK],RC_IN[[BLOCK]:[BLOCK LOC]],2,FALSE)),"")</f>
        <v/>
      </c>
      <c r="I983" s="263" t="str">
        <f>IFERROR(AVERAGEIFS(RC_IN[MC],RC_IN[BLOCK],RC_OUT[BLOCK]),"")</f>
        <v/>
      </c>
      <c r="J983" s="264">
        <f t="shared" si="1"/>
        <v>0</v>
      </c>
      <c r="K983" s="246"/>
      <c r="L983" s="246"/>
      <c r="M983" s="249" t="str">
        <f t="shared" si="2"/>
        <v/>
      </c>
      <c r="N983" s="266">
        <f t="shared" si="3"/>
        <v>0</v>
      </c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</row>
    <row r="984">
      <c r="A984" s="273">
        <v>45875.0</v>
      </c>
      <c r="B984" s="275" t="s">
        <v>1281</v>
      </c>
      <c r="C984" s="275" t="s">
        <v>1285</v>
      </c>
      <c r="D984" s="276">
        <v>700.0</v>
      </c>
      <c r="E984" s="275" t="s">
        <v>1017</v>
      </c>
      <c r="F984" s="279"/>
      <c r="G984" s="278" t="str">
        <f>IFNA(IF(VLOOKUP(RC_OUT[BLOCK],RC_IN[[BLOCK]:[BLOCK LOC]],2,FALSE)=0,"",VLOOKUP(RC_OUT[BLOCK],RC_IN[[BLOCK]:[BLOCK LOC]],2,FALSE)),"")</f>
        <v/>
      </c>
      <c r="I984" s="263" t="str">
        <f>IFERROR(AVERAGEIFS(RC_IN[MC],RC_IN[BLOCK],RC_OUT[BLOCK]),"")</f>
        <v/>
      </c>
      <c r="J984" s="264">
        <f t="shared" si="1"/>
        <v>0</v>
      </c>
      <c r="K984" s="246"/>
      <c r="L984" s="246"/>
      <c r="M984" s="249" t="str">
        <f t="shared" si="2"/>
        <v/>
      </c>
      <c r="N984" s="266">
        <f t="shared" si="3"/>
        <v>0</v>
      </c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</row>
    <row r="985">
      <c r="A985" s="273">
        <v>45875.0</v>
      </c>
      <c r="B985" s="275" t="s">
        <v>1281</v>
      </c>
      <c r="C985" s="275" t="s">
        <v>1279</v>
      </c>
      <c r="D985" s="276">
        <v>5507.0</v>
      </c>
      <c r="E985" s="275" t="s">
        <v>1017</v>
      </c>
      <c r="F985" s="279"/>
      <c r="G985" s="278" t="str">
        <f>IFNA(IF(VLOOKUP(RC_OUT[BLOCK],RC_IN[[BLOCK]:[BLOCK LOC]],2,FALSE)=0,"",VLOOKUP(RC_OUT[BLOCK],RC_IN[[BLOCK]:[BLOCK LOC]],2,FALSE)),"")</f>
        <v/>
      </c>
      <c r="I985" s="263" t="str">
        <f>IFERROR(AVERAGEIFS(RC_IN[MC],RC_IN[BLOCK],RC_OUT[BLOCK]),"")</f>
        <v/>
      </c>
      <c r="J985" s="264">
        <f t="shared" si="1"/>
        <v>0</v>
      </c>
      <c r="K985" s="246"/>
      <c r="L985" s="246"/>
      <c r="M985" s="249" t="str">
        <f t="shared" si="2"/>
        <v/>
      </c>
      <c r="N985" s="266">
        <f t="shared" si="3"/>
        <v>0</v>
      </c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</row>
    <row r="986">
      <c r="A986" s="274"/>
      <c r="B986" s="274"/>
      <c r="C986" s="274"/>
      <c r="D986" s="283"/>
      <c r="E986" s="274"/>
      <c r="F986" s="279"/>
      <c r="G986" s="278" t="str">
        <f>IFNA(IF(VLOOKUP(RC_OUT[BLOCK],RC_IN[[BLOCK]:[BLOCK LOC]],2,FALSE)=0,"",VLOOKUP(RC_OUT[BLOCK],RC_IN[[BLOCK]:[BLOCK LOC]],2,FALSE)),"")</f>
        <v/>
      </c>
      <c r="I986" s="263" t="str">
        <f>IFERROR(AVERAGEIFS(RC_IN[MC],RC_IN[BLOCK],RC_OUT[BLOCK]),"")</f>
        <v/>
      </c>
      <c r="J986" s="264">
        <f t="shared" si="1"/>
        <v>0</v>
      </c>
      <c r="K986" s="246"/>
      <c r="L986" s="246"/>
      <c r="M986" s="249" t="str">
        <f t="shared" si="2"/>
        <v/>
      </c>
      <c r="N986" s="266">
        <f t="shared" si="3"/>
        <v>0</v>
      </c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</row>
    <row r="987">
      <c r="A987" s="273">
        <v>45876.0</v>
      </c>
      <c r="B987" s="275" t="s">
        <v>1281</v>
      </c>
      <c r="C987" s="275" t="s">
        <v>1283</v>
      </c>
      <c r="D987" s="276">
        <v>11391.0</v>
      </c>
      <c r="E987" s="275" t="s">
        <v>1017</v>
      </c>
      <c r="F987" s="279"/>
      <c r="G987" s="278" t="str">
        <f>IFNA(IF(VLOOKUP(RC_OUT[BLOCK],RC_IN[[BLOCK]:[BLOCK LOC]],2,FALSE)=0,"",VLOOKUP(RC_OUT[BLOCK],RC_IN[[BLOCK]:[BLOCK LOC]],2,FALSE)),"")</f>
        <v/>
      </c>
      <c r="I987" s="263" t="str">
        <f>IFERROR(AVERAGEIFS(RC_IN[MC],RC_IN[BLOCK],RC_OUT[BLOCK]),"")</f>
        <v/>
      </c>
      <c r="J987" s="264">
        <f t="shared" si="1"/>
        <v>0</v>
      </c>
      <c r="K987" s="246"/>
      <c r="L987" s="246"/>
      <c r="M987" s="249" t="str">
        <f t="shared" si="2"/>
        <v/>
      </c>
      <c r="N987" s="266">
        <f t="shared" si="3"/>
        <v>0</v>
      </c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</row>
    <row r="988">
      <c r="A988" s="273">
        <v>45876.0</v>
      </c>
      <c r="B988" s="275" t="s">
        <v>1281</v>
      </c>
      <c r="C988" s="275" t="s">
        <v>1285</v>
      </c>
      <c r="D988" s="276">
        <v>1200.0</v>
      </c>
      <c r="E988" s="275" t="s">
        <v>1017</v>
      </c>
      <c r="F988" s="279"/>
      <c r="G988" s="278" t="str">
        <f>IFNA(IF(VLOOKUP(RC_OUT[BLOCK],RC_IN[[BLOCK]:[BLOCK LOC]],2,FALSE)=0,"",VLOOKUP(RC_OUT[BLOCK],RC_IN[[BLOCK]:[BLOCK LOC]],2,FALSE)),"")</f>
        <v/>
      </c>
      <c r="I988" s="263" t="str">
        <f>IFERROR(AVERAGEIFS(RC_IN[MC],RC_IN[BLOCK],RC_OUT[BLOCK]),"")</f>
        <v/>
      </c>
      <c r="J988" s="264">
        <f t="shared" si="1"/>
        <v>0</v>
      </c>
      <c r="K988" s="246"/>
      <c r="L988" s="246"/>
      <c r="M988" s="249" t="str">
        <f t="shared" si="2"/>
        <v/>
      </c>
      <c r="N988" s="266">
        <f t="shared" si="3"/>
        <v>0</v>
      </c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</row>
    <row r="989">
      <c r="A989" s="273">
        <v>45876.0</v>
      </c>
      <c r="B989" s="275" t="s">
        <v>1281</v>
      </c>
      <c r="C989" s="275" t="s">
        <v>1279</v>
      </c>
      <c r="D989" s="276">
        <v>10172.0</v>
      </c>
      <c r="E989" s="275" t="s">
        <v>1017</v>
      </c>
      <c r="F989" s="277" t="s">
        <v>1059</v>
      </c>
      <c r="G989" s="278" t="str">
        <f>IFNA(IF(VLOOKUP(RC_OUT[BLOCK],RC_IN[[BLOCK]:[BLOCK LOC]],2,FALSE)=0,"",VLOOKUP(RC_OUT[BLOCK],RC_IN[[BLOCK]:[BLOCK LOC]],2,FALSE)),"")</f>
        <v/>
      </c>
      <c r="I989" s="263" t="str">
        <f>IFERROR(AVERAGEIFS(RC_IN[MC],RC_IN[BLOCK],RC_OUT[BLOCK]),"")</f>
        <v/>
      </c>
      <c r="J989" s="264">
        <f t="shared" si="1"/>
        <v>0</v>
      </c>
      <c r="K989" s="246"/>
      <c r="L989" s="246"/>
      <c r="M989" s="249" t="str">
        <f t="shared" si="2"/>
        <v/>
      </c>
      <c r="N989" s="266">
        <f t="shared" si="3"/>
        <v>0</v>
      </c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</row>
    <row r="990">
      <c r="A990" s="273">
        <v>45876.0</v>
      </c>
      <c r="B990" s="275" t="s">
        <v>1281</v>
      </c>
      <c r="C990" s="275" t="s">
        <v>1287</v>
      </c>
      <c r="D990" s="276">
        <v>15630.0</v>
      </c>
      <c r="E990" s="275" t="s">
        <v>1017</v>
      </c>
      <c r="F990" s="279"/>
      <c r="G990" s="278" t="str">
        <f>IFNA(IF(VLOOKUP(RC_OUT[BLOCK],RC_IN[[BLOCK]:[BLOCK LOC]],2,FALSE)=0,"",VLOOKUP(RC_OUT[BLOCK],RC_IN[[BLOCK]:[BLOCK LOC]],2,FALSE)),"")</f>
        <v/>
      </c>
      <c r="I990" s="263" t="str">
        <f>IFERROR(AVERAGEIFS(RC_IN[MC],RC_IN[BLOCK],RC_OUT[BLOCK]),"")</f>
        <v/>
      </c>
      <c r="J990" s="264">
        <f t="shared" si="1"/>
        <v>0</v>
      </c>
      <c r="K990" s="246"/>
      <c r="L990" s="246"/>
      <c r="M990" s="249" t="str">
        <f t="shared" si="2"/>
        <v/>
      </c>
      <c r="N990" s="266">
        <f t="shared" si="3"/>
        <v>0</v>
      </c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</row>
    <row r="991">
      <c r="A991" s="274"/>
      <c r="B991" s="274"/>
      <c r="C991" s="274"/>
      <c r="D991" s="283"/>
      <c r="E991" s="274"/>
      <c r="F991" s="279"/>
      <c r="G991" s="278" t="str">
        <f>IFNA(IF(VLOOKUP(RC_OUT[BLOCK],RC_IN[[BLOCK]:[BLOCK LOC]],2,FALSE)=0,"",VLOOKUP(RC_OUT[BLOCK],RC_IN[[BLOCK]:[BLOCK LOC]],2,FALSE)),"")</f>
        <v/>
      </c>
      <c r="I991" s="263" t="str">
        <f>IFERROR(AVERAGEIFS(RC_IN[MC],RC_IN[BLOCK],RC_OUT[BLOCK]),"")</f>
        <v/>
      </c>
      <c r="J991" s="264">
        <f t="shared" si="1"/>
        <v>0</v>
      </c>
      <c r="K991" s="246"/>
      <c r="L991" s="246"/>
      <c r="M991" s="249" t="str">
        <f t="shared" si="2"/>
        <v/>
      </c>
      <c r="N991" s="266">
        <f t="shared" si="3"/>
        <v>0</v>
      </c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</row>
    <row r="992">
      <c r="A992" s="273">
        <v>45877.0</v>
      </c>
      <c r="B992" s="275" t="s">
        <v>1281</v>
      </c>
      <c r="C992" s="275" t="s">
        <v>1283</v>
      </c>
      <c r="D992" s="276">
        <v>10110.0</v>
      </c>
      <c r="E992" s="275" t="s">
        <v>1017</v>
      </c>
      <c r="F992" s="277" t="s">
        <v>1059</v>
      </c>
      <c r="G992" s="278" t="str">
        <f>IFNA(IF(VLOOKUP(RC_OUT[BLOCK],RC_IN[[BLOCK]:[BLOCK LOC]],2,FALSE)=0,"",VLOOKUP(RC_OUT[BLOCK],RC_IN[[BLOCK]:[BLOCK LOC]],2,FALSE)),"")</f>
        <v/>
      </c>
      <c r="I992" s="263" t="str">
        <f>IFERROR(AVERAGEIFS(RC_IN[MC],RC_IN[BLOCK],RC_OUT[BLOCK]),"")</f>
        <v/>
      </c>
      <c r="J992" s="264">
        <f t="shared" si="1"/>
        <v>0</v>
      </c>
      <c r="K992" s="246"/>
      <c r="L992" s="246"/>
      <c r="M992" s="249" t="str">
        <f t="shared" si="2"/>
        <v/>
      </c>
      <c r="N992" s="266">
        <f t="shared" si="3"/>
        <v>0</v>
      </c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</row>
    <row r="993">
      <c r="A993" s="273">
        <v>45877.0</v>
      </c>
      <c r="B993" s="275" t="s">
        <v>1281</v>
      </c>
      <c r="C993" s="275" t="s">
        <v>1285</v>
      </c>
      <c r="D993" s="276">
        <v>9000.0</v>
      </c>
      <c r="E993" s="275" t="s">
        <v>1017</v>
      </c>
      <c r="F993" s="277" t="s">
        <v>1059</v>
      </c>
      <c r="G993" s="278" t="str">
        <f>IFNA(IF(VLOOKUP(RC_OUT[BLOCK],RC_IN[[BLOCK]:[BLOCK LOC]],2,FALSE)=0,"",VLOOKUP(RC_OUT[BLOCK],RC_IN[[BLOCK]:[BLOCK LOC]],2,FALSE)),"")</f>
        <v/>
      </c>
      <c r="I993" s="263" t="str">
        <f>IFERROR(AVERAGEIFS(RC_IN[MC],RC_IN[BLOCK],RC_OUT[BLOCK]),"")</f>
        <v/>
      </c>
      <c r="J993" s="264">
        <f t="shared" si="1"/>
        <v>0</v>
      </c>
      <c r="K993" s="246"/>
      <c r="L993" s="246"/>
      <c r="M993" s="249" t="str">
        <f t="shared" si="2"/>
        <v/>
      </c>
      <c r="N993" s="266">
        <f t="shared" si="3"/>
        <v>0</v>
      </c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</row>
    <row r="994">
      <c r="A994" s="273">
        <v>45877.0</v>
      </c>
      <c r="B994" s="275" t="s">
        <v>1281</v>
      </c>
      <c r="C994" s="275" t="s">
        <v>1287</v>
      </c>
      <c r="D994" s="276">
        <v>10826.0</v>
      </c>
      <c r="E994" s="275" t="s">
        <v>1017</v>
      </c>
      <c r="F994" s="277" t="s">
        <v>1059</v>
      </c>
      <c r="G994" s="278" t="str">
        <f>IFNA(IF(VLOOKUP(RC_OUT[BLOCK],RC_IN[[BLOCK]:[BLOCK LOC]],2,FALSE)=0,"",VLOOKUP(RC_OUT[BLOCK],RC_IN[[BLOCK]:[BLOCK LOC]],2,FALSE)),"")</f>
        <v/>
      </c>
      <c r="I994" s="263" t="str">
        <f>IFERROR(AVERAGEIFS(RC_IN[MC],RC_IN[BLOCK],RC_OUT[BLOCK]),"")</f>
        <v/>
      </c>
      <c r="J994" s="264">
        <f t="shared" si="1"/>
        <v>0</v>
      </c>
      <c r="K994" s="246"/>
      <c r="L994" s="246"/>
      <c r="M994" s="249" t="str">
        <f t="shared" si="2"/>
        <v/>
      </c>
      <c r="N994" s="266">
        <f t="shared" si="3"/>
        <v>0</v>
      </c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</row>
    <row r="995">
      <c r="A995" s="273">
        <v>45877.0</v>
      </c>
      <c r="B995" s="275" t="s">
        <v>1281</v>
      </c>
      <c r="C995" s="275" t="s">
        <v>1288</v>
      </c>
      <c r="D995" s="276">
        <v>19996.0</v>
      </c>
      <c r="E995" s="275" t="s">
        <v>1017</v>
      </c>
      <c r="F995" s="279"/>
      <c r="G995" s="278" t="str">
        <f>IFNA(IF(VLOOKUP(RC_OUT[BLOCK],RC_IN[[BLOCK]:[BLOCK LOC]],2,FALSE)=0,"",VLOOKUP(RC_OUT[BLOCK],RC_IN[[BLOCK]:[BLOCK LOC]],2,FALSE)),"")</f>
        <v/>
      </c>
      <c r="I995" s="263" t="str">
        <f>IFERROR(AVERAGEIFS(RC_IN[MC],RC_IN[BLOCK],RC_OUT[BLOCK]),"")</f>
        <v/>
      </c>
      <c r="J995" s="264">
        <f t="shared" si="1"/>
        <v>0</v>
      </c>
      <c r="K995" s="246"/>
      <c r="L995" s="246"/>
      <c r="M995" s="249" t="str">
        <f t="shared" si="2"/>
        <v/>
      </c>
      <c r="N995" s="266">
        <f t="shared" si="3"/>
        <v>0</v>
      </c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</row>
    <row r="996">
      <c r="A996" s="273">
        <v>45877.0</v>
      </c>
      <c r="B996" s="275" t="s">
        <v>1281</v>
      </c>
      <c r="C996" s="275" t="s">
        <v>1289</v>
      </c>
      <c r="D996" s="276">
        <v>5284.0</v>
      </c>
      <c r="E996" s="275" t="s">
        <v>1017</v>
      </c>
      <c r="F996" s="279"/>
      <c r="G996" s="278" t="str">
        <f>IFNA(IF(VLOOKUP(RC_OUT[BLOCK],RC_IN[[BLOCK]:[BLOCK LOC]],2,FALSE)=0,"",VLOOKUP(RC_OUT[BLOCK],RC_IN[[BLOCK]:[BLOCK LOC]],2,FALSE)),"")</f>
        <v/>
      </c>
      <c r="I996" s="263" t="str">
        <f>IFERROR(AVERAGEIFS(RC_IN[MC],RC_IN[BLOCK],RC_OUT[BLOCK]),"")</f>
        <v/>
      </c>
      <c r="J996" s="264">
        <f t="shared" si="1"/>
        <v>0</v>
      </c>
      <c r="K996" s="246"/>
      <c r="L996" s="246"/>
      <c r="M996" s="249" t="str">
        <f t="shared" si="2"/>
        <v/>
      </c>
      <c r="N996" s="266">
        <f t="shared" si="3"/>
        <v>0</v>
      </c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</row>
    <row r="997">
      <c r="A997" s="274"/>
      <c r="B997" s="274"/>
      <c r="C997" s="274"/>
      <c r="D997" s="283"/>
      <c r="E997" s="274"/>
      <c r="F997" s="279"/>
      <c r="G997" s="278" t="str">
        <f>IFNA(IF(VLOOKUP(RC_OUT[BLOCK],RC_IN[[BLOCK]:[BLOCK LOC]],2,FALSE)=0,"",VLOOKUP(RC_OUT[BLOCK],RC_IN[[BLOCK]:[BLOCK LOC]],2,FALSE)),"")</f>
        <v/>
      </c>
      <c r="I997" s="263" t="str">
        <f>IFERROR(AVERAGEIFS(RC_IN[MC],RC_IN[BLOCK],RC_OUT[BLOCK]),"")</f>
        <v/>
      </c>
      <c r="J997" s="264">
        <f t="shared" si="1"/>
        <v>0</v>
      </c>
      <c r="K997" s="246"/>
      <c r="L997" s="246"/>
      <c r="M997" s="249" t="str">
        <f t="shared" si="2"/>
        <v/>
      </c>
      <c r="N997" s="266">
        <f t="shared" si="3"/>
        <v>0</v>
      </c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</row>
    <row r="998">
      <c r="A998" s="273">
        <v>45878.0</v>
      </c>
      <c r="B998" s="275" t="s">
        <v>1281</v>
      </c>
      <c r="C998" s="275" t="s">
        <v>1288</v>
      </c>
      <c r="D998" s="276">
        <v>20756.0</v>
      </c>
      <c r="E998" s="275" t="s">
        <v>1017</v>
      </c>
      <c r="F998" s="279"/>
      <c r="G998" s="278" t="str">
        <f>IFNA(IF(VLOOKUP(RC_OUT[BLOCK],RC_IN[[BLOCK]:[BLOCK LOC]],2,FALSE)=0,"",VLOOKUP(RC_OUT[BLOCK],RC_IN[[BLOCK]:[BLOCK LOC]],2,FALSE)),"")</f>
        <v/>
      </c>
      <c r="I998" s="263" t="str">
        <f>IFERROR(AVERAGEIFS(RC_IN[MC],RC_IN[BLOCK],RC_OUT[BLOCK]),"")</f>
        <v/>
      </c>
      <c r="J998" s="264">
        <f t="shared" si="1"/>
        <v>0</v>
      </c>
      <c r="K998" s="246"/>
      <c r="L998" s="246"/>
      <c r="M998" s="249" t="str">
        <f t="shared" si="2"/>
        <v/>
      </c>
      <c r="N998" s="266">
        <f t="shared" si="3"/>
        <v>0</v>
      </c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</row>
    <row r="999">
      <c r="A999" s="273">
        <v>45878.0</v>
      </c>
      <c r="B999" s="275" t="s">
        <v>1281</v>
      </c>
      <c r="C999" s="275" t="s">
        <v>1289</v>
      </c>
      <c r="D999" s="276">
        <v>15195.0</v>
      </c>
      <c r="E999" s="275" t="s">
        <v>1017</v>
      </c>
      <c r="F999" s="279"/>
      <c r="G999" s="278" t="str">
        <f>IFNA(IF(VLOOKUP(RC_OUT[BLOCK],RC_IN[[BLOCK]:[BLOCK LOC]],2,FALSE)=0,"",VLOOKUP(RC_OUT[BLOCK],RC_IN[[BLOCK]:[BLOCK LOC]],2,FALSE)),"")</f>
        <v/>
      </c>
      <c r="I999" s="263" t="str">
        <f>IFERROR(AVERAGEIFS(RC_IN[MC],RC_IN[BLOCK],RC_OUT[BLOCK]),"")</f>
        <v/>
      </c>
      <c r="J999" s="264">
        <f t="shared" si="1"/>
        <v>0</v>
      </c>
      <c r="K999" s="246"/>
      <c r="L999" s="246"/>
      <c r="M999" s="249" t="str">
        <f t="shared" si="2"/>
        <v/>
      </c>
      <c r="N999" s="266">
        <f t="shared" si="3"/>
        <v>0</v>
      </c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</row>
    <row r="1000">
      <c r="A1000" s="274"/>
      <c r="B1000" s="274"/>
      <c r="C1000" s="274"/>
      <c r="D1000" s="283"/>
      <c r="E1000" s="274"/>
      <c r="F1000" s="279"/>
      <c r="G1000" s="278" t="str">
        <f>IFNA(IF(VLOOKUP(RC_OUT[BLOCK],RC_IN[[BLOCK]:[BLOCK LOC]],2,FALSE)=0,"",VLOOKUP(RC_OUT[BLOCK],RC_IN[[BLOCK]:[BLOCK LOC]],2,FALSE)),"")</f>
        <v/>
      </c>
      <c r="I1000" s="263" t="str">
        <f>IFERROR(AVERAGEIFS(RC_IN[MC],RC_IN[BLOCK],RC_OUT[BLOCK]),"")</f>
        <v/>
      </c>
      <c r="J1000" s="264">
        <f t="shared" si="1"/>
        <v>0</v>
      </c>
      <c r="K1000" s="246"/>
      <c r="L1000" s="246"/>
      <c r="M1000" s="249" t="str">
        <f t="shared" si="2"/>
        <v/>
      </c>
      <c r="N1000" s="266">
        <f t="shared" si="3"/>
        <v>0</v>
      </c>
      <c r="O1000" s="247"/>
      <c r="P1000" s="247"/>
      <c r="Q1000" s="247"/>
      <c r="R1000" s="247"/>
      <c r="S1000" s="247"/>
      <c r="T1000" s="247"/>
      <c r="U1000" s="247"/>
      <c r="V1000" s="247"/>
      <c r="W1000" s="247"/>
      <c r="X1000" s="247"/>
    </row>
    <row r="1001">
      <c r="A1001" s="273">
        <v>45880.0</v>
      </c>
      <c r="B1001" s="275" t="s">
        <v>1281</v>
      </c>
      <c r="C1001" s="275" t="s">
        <v>1288</v>
      </c>
      <c r="D1001" s="276">
        <v>16802.0</v>
      </c>
      <c r="E1001" s="275" t="s">
        <v>1017</v>
      </c>
      <c r="F1001" s="279"/>
      <c r="G1001" s="278" t="str">
        <f>IFNA(IF(VLOOKUP(RC_OUT[BLOCK],RC_IN[[BLOCK]:[BLOCK LOC]],2,FALSE)=0,"",VLOOKUP(RC_OUT[BLOCK],RC_IN[[BLOCK]:[BLOCK LOC]],2,FALSE)),"")</f>
        <v/>
      </c>
      <c r="I1001" s="263" t="str">
        <f>IFERROR(AVERAGEIFS(RC_IN[MC],RC_IN[BLOCK],RC_OUT[BLOCK]),"")</f>
        <v/>
      </c>
      <c r="J1001" s="264">
        <f t="shared" si="1"/>
        <v>0</v>
      </c>
      <c r="K1001" s="246"/>
      <c r="L1001" s="246"/>
      <c r="M1001" s="249" t="str">
        <f t="shared" si="2"/>
        <v/>
      </c>
      <c r="N1001" s="266">
        <f t="shared" si="3"/>
        <v>0</v>
      </c>
      <c r="O1001" s="247"/>
      <c r="P1001" s="247"/>
      <c r="Q1001" s="247"/>
      <c r="R1001" s="247"/>
      <c r="S1001" s="247"/>
      <c r="T1001" s="247"/>
      <c r="U1001" s="247"/>
      <c r="V1001" s="247"/>
      <c r="W1001" s="247"/>
      <c r="X1001" s="247"/>
    </row>
    <row r="1002">
      <c r="A1002" s="273">
        <v>45880.0</v>
      </c>
      <c r="B1002" s="275" t="s">
        <v>1281</v>
      </c>
      <c r="C1002" s="275" t="s">
        <v>1289</v>
      </c>
      <c r="D1002" s="276">
        <v>10872.0</v>
      </c>
      <c r="E1002" s="275" t="s">
        <v>1017</v>
      </c>
      <c r="F1002" s="279"/>
      <c r="G1002" s="278" t="str">
        <f>IFNA(IF(VLOOKUP(RC_OUT[BLOCK],RC_IN[[BLOCK]:[BLOCK LOC]],2,FALSE)=0,"",VLOOKUP(RC_OUT[BLOCK],RC_IN[[BLOCK]:[BLOCK LOC]],2,FALSE)),"")</f>
        <v/>
      </c>
      <c r="I1002" s="263" t="str">
        <f>IFERROR(AVERAGEIFS(RC_IN[MC],RC_IN[BLOCK],RC_OUT[BLOCK]),"")</f>
        <v/>
      </c>
      <c r="J1002" s="264">
        <f t="shared" si="1"/>
        <v>0</v>
      </c>
      <c r="K1002" s="246"/>
      <c r="L1002" s="246"/>
      <c r="M1002" s="249" t="str">
        <f t="shared" si="2"/>
        <v/>
      </c>
      <c r="N1002" s="266">
        <f t="shared" si="3"/>
        <v>0</v>
      </c>
      <c r="O1002" s="247"/>
      <c r="P1002" s="247"/>
      <c r="Q1002" s="247"/>
      <c r="R1002" s="247"/>
      <c r="S1002" s="247"/>
      <c r="T1002" s="247"/>
      <c r="U1002" s="247"/>
      <c r="V1002" s="247"/>
      <c r="W1002" s="247"/>
      <c r="X1002" s="247"/>
    </row>
    <row r="1003">
      <c r="A1003" s="273">
        <v>45880.0</v>
      </c>
      <c r="B1003" s="275" t="s">
        <v>1281</v>
      </c>
      <c r="C1003" s="275" t="s">
        <v>1290</v>
      </c>
      <c r="D1003" s="276">
        <v>12192.0</v>
      </c>
      <c r="E1003" s="275" t="s">
        <v>1017</v>
      </c>
      <c r="F1003" s="279"/>
      <c r="G1003" s="278" t="str">
        <f>IFNA(IF(VLOOKUP(RC_OUT[BLOCK],RC_IN[[BLOCK]:[BLOCK LOC]],2,FALSE)=0,"",VLOOKUP(RC_OUT[BLOCK],RC_IN[[BLOCK]:[BLOCK LOC]],2,FALSE)),"")</f>
        <v/>
      </c>
      <c r="I1003" s="263" t="str">
        <f>IFERROR(AVERAGEIFS(RC_IN[MC],RC_IN[BLOCK],RC_OUT[BLOCK]),"")</f>
        <v/>
      </c>
      <c r="J1003" s="264">
        <f t="shared" si="1"/>
        <v>0</v>
      </c>
      <c r="K1003" s="246"/>
      <c r="L1003" s="246"/>
      <c r="M1003" s="249" t="str">
        <f t="shared" si="2"/>
        <v/>
      </c>
      <c r="N1003" s="266">
        <f t="shared" si="3"/>
        <v>0</v>
      </c>
      <c r="O1003" s="247"/>
      <c r="P1003" s="247"/>
      <c r="Q1003" s="247"/>
      <c r="R1003" s="247"/>
      <c r="S1003" s="247"/>
      <c r="T1003" s="247"/>
      <c r="U1003" s="247"/>
      <c r="V1003" s="247"/>
      <c r="W1003" s="247"/>
      <c r="X1003" s="247"/>
    </row>
    <row r="1004">
      <c r="A1004" s="274"/>
      <c r="B1004" s="274"/>
      <c r="C1004" s="274"/>
      <c r="D1004" s="283"/>
      <c r="E1004" s="274"/>
      <c r="F1004" s="279"/>
      <c r="G1004" s="278" t="str">
        <f>IFNA(IF(VLOOKUP(RC_OUT[BLOCK],RC_IN[[BLOCK]:[BLOCK LOC]],2,FALSE)=0,"",VLOOKUP(RC_OUT[BLOCK],RC_IN[[BLOCK]:[BLOCK LOC]],2,FALSE)),"")</f>
        <v/>
      </c>
      <c r="I1004" s="263" t="str">
        <f>IFERROR(AVERAGEIFS(RC_IN[MC],RC_IN[BLOCK],RC_OUT[BLOCK]),"")</f>
        <v/>
      </c>
      <c r="J1004" s="264">
        <f t="shared" si="1"/>
        <v>0</v>
      </c>
      <c r="K1004" s="246"/>
      <c r="L1004" s="246"/>
      <c r="M1004" s="249" t="str">
        <f t="shared" si="2"/>
        <v/>
      </c>
      <c r="N1004" s="266">
        <f t="shared" si="3"/>
        <v>0</v>
      </c>
      <c r="O1004" s="247"/>
      <c r="P1004" s="247"/>
      <c r="Q1004" s="247"/>
      <c r="R1004" s="247"/>
      <c r="S1004" s="247"/>
      <c r="T1004" s="247"/>
      <c r="U1004" s="247"/>
      <c r="V1004" s="247"/>
      <c r="W1004" s="247"/>
      <c r="X1004" s="247"/>
    </row>
    <row r="1005">
      <c r="A1005" s="273">
        <v>45881.0</v>
      </c>
      <c r="B1005" s="275" t="s">
        <v>1281</v>
      </c>
      <c r="C1005" s="275" t="s">
        <v>1288</v>
      </c>
      <c r="D1005" s="276">
        <v>7143.0</v>
      </c>
      <c r="E1005" s="275" t="s">
        <v>1017</v>
      </c>
      <c r="F1005" s="277" t="s">
        <v>1059</v>
      </c>
      <c r="G1005" s="278" t="str">
        <f>IFNA(IF(VLOOKUP(RC_OUT[BLOCK],RC_IN[[BLOCK]:[BLOCK LOC]],2,FALSE)=0,"",VLOOKUP(RC_OUT[BLOCK],RC_IN[[BLOCK]:[BLOCK LOC]],2,FALSE)),"")</f>
        <v/>
      </c>
      <c r="I1005" s="263" t="str">
        <f>IFERROR(AVERAGEIFS(RC_IN[MC],RC_IN[BLOCK],RC_OUT[BLOCK]),"")</f>
        <v/>
      </c>
      <c r="J1005" s="264">
        <f t="shared" si="1"/>
        <v>0</v>
      </c>
      <c r="K1005" s="246"/>
      <c r="L1005" s="246"/>
      <c r="M1005" s="249" t="str">
        <f t="shared" si="2"/>
        <v/>
      </c>
      <c r="N1005" s="266">
        <f t="shared" si="3"/>
        <v>0</v>
      </c>
      <c r="O1005" s="247"/>
      <c r="P1005" s="247"/>
      <c r="Q1005" s="247"/>
      <c r="R1005" s="247"/>
      <c r="S1005" s="247"/>
      <c r="T1005" s="247"/>
      <c r="U1005" s="247"/>
      <c r="V1005" s="247"/>
      <c r="W1005" s="247"/>
      <c r="X1005" s="247"/>
    </row>
    <row r="1006">
      <c r="A1006" s="273">
        <v>45881.0</v>
      </c>
      <c r="B1006" s="275" t="s">
        <v>1281</v>
      </c>
      <c r="C1006" s="275" t="s">
        <v>1289</v>
      </c>
      <c r="D1006" s="276">
        <v>5914.0</v>
      </c>
      <c r="E1006" s="275" t="s">
        <v>1017</v>
      </c>
      <c r="F1006" s="279"/>
      <c r="G1006" s="278" t="str">
        <f>IFNA(IF(VLOOKUP(RC_OUT[BLOCK],RC_IN[[BLOCK]:[BLOCK LOC]],2,FALSE)=0,"",VLOOKUP(RC_OUT[BLOCK],RC_IN[[BLOCK]:[BLOCK LOC]],2,FALSE)),"")</f>
        <v/>
      </c>
      <c r="I1006" s="263" t="str">
        <f>IFERROR(AVERAGEIFS(RC_IN[MC],RC_IN[BLOCK],RC_OUT[BLOCK]),"")</f>
        <v/>
      </c>
      <c r="J1006" s="264">
        <f t="shared" si="1"/>
        <v>0</v>
      </c>
      <c r="K1006" s="246"/>
      <c r="L1006" s="246"/>
      <c r="M1006" s="249" t="str">
        <f t="shared" si="2"/>
        <v/>
      </c>
      <c r="N1006" s="266">
        <f t="shared" si="3"/>
        <v>0</v>
      </c>
      <c r="O1006" s="247"/>
      <c r="P1006" s="247"/>
      <c r="Q1006" s="247"/>
      <c r="R1006" s="247"/>
      <c r="S1006" s="247"/>
      <c r="T1006" s="247"/>
      <c r="U1006" s="247"/>
      <c r="V1006" s="247"/>
      <c r="W1006" s="247"/>
      <c r="X1006" s="247"/>
    </row>
    <row r="1007">
      <c r="A1007" s="273">
        <v>45881.0</v>
      </c>
      <c r="B1007" s="275" t="s">
        <v>1281</v>
      </c>
      <c r="C1007" s="275" t="s">
        <v>1290</v>
      </c>
      <c r="D1007" s="276">
        <v>13275.0</v>
      </c>
      <c r="E1007" s="275" t="s">
        <v>1017</v>
      </c>
      <c r="F1007" s="279"/>
      <c r="G1007" s="278" t="str">
        <f>IFNA(IF(VLOOKUP(RC_OUT[BLOCK],RC_IN[[BLOCK]:[BLOCK LOC]],2,FALSE)=0,"",VLOOKUP(RC_OUT[BLOCK],RC_IN[[BLOCK]:[BLOCK LOC]],2,FALSE)),"")</f>
        <v/>
      </c>
      <c r="I1007" s="263" t="str">
        <f>IFERROR(AVERAGEIFS(RC_IN[MC],RC_IN[BLOCK],RC_OUT[BLOCK]),"")</f>
        <v/>
      </c>
      <c r="J1007" s="264">
        <f t="shared" si="1"/>
        <v>0</v>
      </c>
      <c r="K1007" s="246"/>
      <c r="L1007" s="246"/>
      <c r="M1007" s="249" t="str">
        <f t="shared" si="2"/>
        <v/>
      </c>
      <c r="N1007" s="266">
        <f t="shared" si="3"/>
        <v>0</v>
      </c>
      <c r="O1007" s="247"/>
      <c r="P1007" s="247"/>
      <c r="Q1007" s="247"/>
      <c r="R1007" s="247"/>
      <c r="S1007" s="247"/>
      <c r="T1007" s="247"/>
      <c r="U1007" s="247"/>
      <c r="V1007" s="247"/>
      <c r="W1007" s="247"/>
      <c r="X1007" s="247"/>
    </row>
    <row r="1008">
      <c r="A1008" s="273">
        <v>45881.0</v>
      </c>
      <c r="B1008" s="275" t="s">
        <v>1281</v>
      </c>
      <c r="C1008" s="275" t="s">
        <v>1291</v>
      </c>
      <c r="D1008" s="276">
        <v>725.0</v>
      </c>
      <c r="E1008" s="275" t="s">
        <v>1017</v>
      </c>
      <c r="F1008" s="279"/>
      <c r="G1008" s="278" t="str">
        <f>IFNA(IF(VLOOKUP(RC_OUT[BLOCK],RC_IN[[BLOCK]:[BLOCK LOC]],2,FALSE)=0,"",VLOOKUP(RC_OUT[BLOCK],RC_IN[[BLOCK]:[BLOCK LOC]],2,FALSE)),"")</f>
        <v/>
      </c>
      <c r="I1008" s="263" t="str">
        <f>IFERROR(AVERAGEIFS(RC_IN[MC],RC_IN[BLOCK],RC_OUT[BLOCK]),"")</f>
        <v/>
      </c>
      <c r="J1008" s="264">
        <f t="shared" si="1"/>
        <v>0</v>
      </c>
      <c r="K1008" s="246"/>
      <c r="L1008" s="246"/>
      <c r="M1008" s="249" t="str">
        <f t="shared" si="2"/>
        <v/>
      </c>
      <c r="N1008" s="266">
        <f t="shared" si="3"/>
        <v>0</v>
      </c>
      <c r="O1008" s="247"/>
      <c r="P1008" s="247"/>
      <c r="Q1008" s="247"/>
      <c r="R1008" s="247"/>
      <c r="S1008" s="247"/>
      <c r="T1008" s="247"/>
      <c r="U1008" s="247"/>
      <c r="V1008" s="247"/>
      <c r="W1008" s="247"/>
      <c r="X1008" s="247"/>
    </row>
    <row r="1009">
      <c r="A1009" s="274"/>
      <c r="B1009" s="274"/>
      <c r="C1009" s="274"/>
      <c r="D1009" s="283"/>
      <c r="E1009" s="274"/>
      <c r="F1009" s="279"/>
      <c r="G1009" s="278" t="str">
        <f>IFNA(IF(VLOOKUP(RC_OUT[BLOCK],RC_IN[[BLOCK]:[BLOCK LOC]],2,FALSE)=0,"",VLOOKUP(RC_OUT[BLOCK],RC_IN[[BLOCK]:[BLOCK LOC]],2,FALSE)),"")</f>
        <v/>
      </c>
      <c r="I1009" s="263" t="str">
        <f>IFERROR(AVERAGEIFS(RC_IN[MC],RC_IN[BLOCK],RC_OUT[BLOCK]),"")</f>
        <v/>
      </c>
      <c r="J1009" s="264">
        <f t="shared" si="1"/>
        <v>0</v>
      </c>
      <c r="K1009" s="246"/>
      <c r="L1009" s="246"/>
      <c r="M1009" s="249" t="str">
        <f t="shared" si="2"/>
        <v/>
      </c>
      <c r="N1009" s="266">
        <f t="shared" si="3"/>
        <v>0</v>
      </c>
      <c r="O1009" s="247"/>
      <c r="P1009" s="247"/>
      <c r="Q1009" s="247"/>
      <c r="R1009" s="247"/>
      <c r="S1009" s="247"/>
      <c r="T1009" s="247"/>
      <c r="U1009" s="247"/>
      <c r="V1009" s="247"/>
      <c r="W1009" s="247"/>
      <c r="X1009" s="247"/>
    </row>
    <row r="1010">
      <c r="A1010" s="273">
        <v>45882.0</v>
      </c>
      <c r="B1010" s="275" t="s">
        <v>1281</v>
      </c>
      <c r="C1010" s="275" t="s">
        <v>1289</v>
      </c>
      <c r="D1010" s="276">
        <v>3695.0</v>
      </c>
      <c r="E1010" s="275" t="s">
        <v>1017</v>
      </c>
      <c r="F1010" s="279"/>
      <c r="G1010" s="278" t="str">
        <f>IFNA(IF(VLOOKUP(RC_OUT[BLOCK],RC_IN[[BLOCK]:[BLOCK LOC]],2,FALSE)=0,"",VLOOKUP(RC_OUT[BLOCK],RC_IN[[BLOCK]:[BLOCK LOC]],2,FALSE)),"")</f>
        <v/>
      </c>
      <c r="I1010" s="263" t="str">
        <f>IFERROR(AVERAGEIFS(RC_IN[MC],RC_IN[BLOCK],RC_OUT[BLOCK]),"")</f>
        <v/>
      </c>
      <c r="J1010" s="264">
        <f t="shared" si="1"/>
        <v>0</v>
      </c>
      <c r="K1010" s="246"/>
      <c r="L1010" s="246"/>
      <c r="M1010" s="249" t="str">
        <f t="shared" si="2"/>
        <v/>
      </c>
      <c r="N1010" s="266">
        <f t="shared" si="3"/>
        <v>0</v>
      </c>
      <c r="O1010" s="247"/>
      <c r="P1010" s="247"/>
      <c r="Q1010" s="247"/>
      <c r="R1010" s="247"/>
      <c r="S1010" s="247"/>
      <c r="T1010" s="247"/>
      <c r="U1010" s="247"/>
      <c r="V1010" s="247"/>
      <c r="W1010" s="247"/>
      <c r="X1010" s="247"/>
    </row>
    <row r="1011">
      <c r="A1011" s="273">
        <v>45882.0</v>
      </c>
      <c r="B1011" s="275" t="s">
        <v>1281</v>
      </c>
      <c r="C1011" s="275" t="s">
        <v>1290</v>
      </c>
      <c r="D1011" s="276">
        <v>17393.0</v>
      </c>
      <c r="E1011" s="275" t="s">
        <v>1017</v>
      </c>
      <c r="F1011" s="279"/>
      <c r="G1011" s="278" t="str">
        <f>IFNA(IF(VLOOKUP(RC_OUT[BLOCK],RC_IN[[BLOCK]:[BLOCK LOC]],2,FALSE)=0,"",VLOOKUP(RC_OUT[BLOCK],RC_IN[[BLOCK]:[BLOCK LOC]],2,FALSE)),"")</f>
        <v/>
      </c>
      <c r="I1011" s="263" t="str">
        <f>IFERROR(AVERAGEIFS(RC_IN[MC],RC_IN[BLOCK],RC_OUT[BLOCK]),"")</f>
        <v/>
      </c>
      <c r="J1011" s="264">
        <f t="shared" si="1"/>
        <v>0</v>
      </c>
      <c r="K1011" s="246"/>
      <c r="L1011" s="246"/>
      <c r="M1011" s="249" t="str">
        <f t="shared" si="2"/>
        <v/>
      </c>
      <c r="N1011" s="266">
        <f t="shared" si="3"/>
        <v>0</v>
      </c>
      <c r="O1011" s="247"/>
      <c r="P1011" s="247"/>
      <c r="Q1011" s="247"/>
      <c r="R1011" s="247"/>
      <c r="S1011" s="247"/>
      <c r="T1011" s="247"/>
      <c r="U1011" s="247"/>
      <c r="V1011" s="247"/>
      <c r="W1011" s="247"/>
      <c r="X1011" s="247"/>
    </row>
    <row r="1012">
      <c r="A1012" s="273">
        <v>45882.0</v>
      </c>
      <c r="B1012" s="275" t="s">
        <v>1281</v>
      </c>
      <c r="C1012" s="275" t="s">
        <v>1291</v>
      </c>
      <c r="D1012" s="276">
        <v>8000.0</v>
      </c>
      <c r="E1012" s="275" t="s">
        <v>1017</v>
      </c>
      <c r="F1012" s="279"/>
      <c r="G1012" s="278" t="str">
        <f>IFNA(IF(VLOOKUP(RC_OUT[BLOCK],RC_IN[[BLOCK]:[BLOCK LOC]],2,FALSE)=0,"",VLOOKUP(RC_OUT[BLOCK],RC_IN[[BLOCK]:[BLOCK LOC]],2,FALSE)),"")</f>
        <v/>
      </c>
      <c r="I1012" s="263" t="str">
        <f>IFERROR(AVERAGEIFS(RC_IN[MC],RC_IN[BLOCK],RC_OUT[BLOCK]),"")</f>
        <v/>
      </c>
      <c r="J1012" s="264">
        <f t="shared" si="1"/>
        <v>0</v>
      </c>
      <c r="K1012" s="246"/>
      <c r="L1012" s="246"/>
      <c r="M1012" s="249" t="str">
        <f t="shared" si="2"/>
        <v/>
      </c>
      <c r="N1012" s="266">
        <f t="shared" si="3"/>
        <v>0</v>
      </c>
      <c r="O1012" s="247"/>
      <c r="P1012" s="247"/>
      <c r="Q1012" s="247"/>
      <c r="R1012" s="247"/>
      <c r="S1012" s="247"/>
      <c r="T1012" s="247"/>
      <c r="U1012" s="247"/>
      <c r="V1012" s="247"/>
      <c r="W1012" s="247"/>
      <c r="X1012" s="247"/>
    </row>
    <row r="1013">
      <c r="A1013" s="273">
        <v>45882.0</v>
      </c>
      <c r="B1013" s="275" t="s">
        <v>1281</v>
      </c>
      <c r="C1013" s="275" t="s">
        <v>1292</v>
      </c>
      <c r="D1013" s="276">
        <v>7286.0</v>
      </c>
      <c r="E1013" s="275" t="s">
        <v>1017</v>
      </c>
      <c r="F1013" s="279"/>
      <c r="G1013" s="278" t="str">
        <f>IFNA(IF(VLOOKUP(RC_OUT[BLOCK],RC_IN[[BLOCK]:[BLOCK LOC]],2,FALSE)=0,"",VLOOKUP(RC_OUT[BLOCK],RC_IN[[BLOCK]:[BLOCK LOC]],2,FALSE)),"")</f>
        <v/>
      </c>
      <c r="I1013" s="263" t="str">
        <f>IFERROR(AVERAGEIFS(RC_IN[MC],RC_IN[BLOCK],RC_OUT[BLOCK]),"")</f>
        <v/>
      </c>
      <c r="J1013" s="264">
        <f t="shared" si="1"/>
        <v>0</v>
      </c>
      <c r="K1013" s="246"/>
      <c r="L1013" s="246"/>
      <c r="M1013" s="249" t="str">
        <f t="shared" si="2"/>
        <v/>
      </c>
      <c r="N1013" s="266">
        <f t="shared" si="3"/>
        <v>0</v>
      </c>
      <c r="O1013" s="247"/>
      <c r="P1013" s="247"/>
      <c r="Q1013" s="247"/>
      <c r="R1013" s="247"/>
      <c r="S1013" s="247"/>
      <c r="T1013" s="247"/>
      <c r="U1013" s="247"/>
      <c r="V1013" s="247"/>
      <c r="W1013" s="247"/>
      <c r="X1013" s="247"/>
    </row>
    <row r="1014">
      <c r="A1014" s="274"/>
      <c r="B1014" s="274"/>
      <c r="C1014" s="274"/>
      <c r="D1014" s="283"/>
      <c r="E1014" s="274"/>
      <c r="F1014" s="279"/>
      <c r="G1014" s="278" t="str">
        <f>IFNA(IF(VLOOKUP(RC_OUT[BLOCK],RC_IN[[BLOCK]:[BLOCK LOC]],2,FALSE)=0,"",VLOOKUP(RC_OUT[BLOCK],RC_IN[[BLOCK]:[BLOCK LOC]],2,FALSE)),"")</f>
        <v/>
      </c>
      <c r="I1014" s="263" t="str">
        <f>IFERROR(AVERAGEIFS(RC_IN[MC],RC_IN[BLOCK],RC_OUT[BLOCK]),"")</f>
        <v/>
      </c>
      <c r="J1014" s="264">
        <f t="shared" si="1"/>
        <v>0</v>
      </c>
      <c r="K1014" s="246"/>
      <c r="L1014" s="246"/>
      <c r="M1014" s="249" t="str">
        <f t="shared" si="2"/>
        <v/>
      </c>
      <c r="N1014" s="266">
        <f t="shared" si="3"/>
        <v>0</v>
      </c>
      <c r="O1014" s="247"/>
      <c r="P1014" s="247"/>
      <c r="Q1014" s="247"/>
      <c r="R1014" s="247"/>
      <c r="S1014" s="247"/>
      <c r="T1014" s="247"/>
      <c r="U1014" s="247"/>
      <c r="V1014" s="247"/>
      <c r="W1014" s="247"/>
      <c r="X1014" s="247"/>
    </row>
    <row r="1015">
      <c r="A1015" s="273">
        <v>45883.0</v>
      </c>
      <c r="B1015" s="275" t="s">
        <v>1281</v>
      </c>
      <c r="C1015" s="275" t="s">
        <v>1289</v>
      </c>
      <c r="D1015" s="276">
        <v>10163.0</v>
      </c>
      <c r="E1015" s="275" t="s">
        <v>1017</v>
      </c>
      <c r="F1015" s="279"/>
      <c r="G1015" s="278" t="str">
        <f>IFNA(IF(VLOOKUP(RC_OUT[BLOCK],RC_IN[[BLOCK]:[BLOCK LOC]],2,FALSE)=0,"",VLOOKUP(RC_OUT[BLOCK],RC_IN[[BLOCK]:[BLOCK LOC]],2,FALSE)),"")</f>
        <v/>
      </c>
      <c r="I1015" s="263" t="str">
        <f>IFERROR(AVERAGEIFS(RC_IN[MC],RC_IN[BLOCK],RC_OUT[BLOCK]),"")</f>
        <v/>
      </c>
      <c r="J1015" s="264">
        <f t="shared" si="1"/>
        <v>0</v>
      </c>
      <c r="K1015" s="246"/>
      <c r="L1015" s="246"/>
      <c r="M1015" s="249" t="str">
        <f t="shared" si="2"/>
        <v/>
      </c>
      <c r="N1015" s="266">
        <f t="shared" si="3"/>
        <v>0</v>
      </c>
      <c r="O1015" s="247"/>
      <c r="P1015" s="247"/>
      <c r="Q1015" s="247"/>
      <c r="R1015" s="247"/>
      <c r="S1015" s="247"/>
      <c r="T1015" s="247"/>
      <c r="U1015" s="247"/>
      <c r="V1015" s="247"/>
      <c r="W1015" s="247"/>
      <c r="X1015" s="247"/>
    </row>
    <row r="1016">
      <c r="A1016" s="273">
        <v>45883.0</v>
      </c>
      <c r="B1016" s="275" t="s">
        <v>1281</v>
      </c>
      <c r="C1016" s="275" t="s">
        <v>1290</v>
      </c>
      <c r="D1016" s="276">
        <v>5176.0</v>
      </c>
      <c r="E1016" s="275" t="s">
        <v>1017</v>
      </c>
      <c r="F1016" s="277" t="s">
        <v>1059</v>
      </c>
      <c r="G1016" s="278" t="str">
        <f>IFNA(IF(VLOOKUP(RC_OUT[BLOCK],RC_IN[[BLOCK]:[BLOCK LOC]],2,FALSE)=0,"",VLOOKUP(RC_OUT[BLOCK],RC_IN[[BLOCK]:[BLOCK LOC]],2,FALSE)),"")</f>
        <v/>
      </c>
      <c r="I1016" s="263" t="str">
        <f>IFERROR(AVERAGEIFS(RC_IN[MC],RC_IN[BLOCK],RC_OUT[BLOCK]),"")</f>
        <v/>
      </c>
      <c r="J1016" s="264">
        <f t="shared" si="1"/>
        <v>0</v>
      </c>
      <c r="K1016" s="246"/>
      <c r="L1016" s="246"/>
      <c r="M1016" s="249" t="str">
        <f t="shared" si="2"/>
        <v/>
      </c>
      <c r="N1016" s="266">
        <f t="shared" si="3"/>
        <v>0</v>
      </c>
      <c r="O1016" s="247"/>
      <c r="P1016" s="247"/>
      <c r="Q1016" s="247"/>
      <c r="R1016" s="247"/>
      <c r="S1016" s="247"/>
      <c r="T1016" s="247"/>
      <c r="U1016" s="247"/>
      <c r="V1016" s="247"/>
      <c r="W1016" s="247"/>
      <c r="X1016" s="247"/>
    </row>
    <row r="1017">
      <c r="A1017" s="273">
        <v>45883.0</v>
      </c>
      <c r="B1017" s="275" t="s">
        <v>1281</v>
      </c>
      <c r="C1017" s="275" t="s">
        <v>1291</v>
      </c>
      <c r="D1017" s="276">
        <v>10000.0</v>
      </c>
      <c r="E1017" s="275" t="s">
        <v>1017</v>
      </c>
      <c r="F1017" s="277" t="s">
        <v>1059</v>
      </c>
      <c r="G1017" s="278" t="str">
        <f>IFNA(IF(VLOOKUP(RC_OUT[BLOCK],RC_IN[[BLOCK]:[BLOCK LOC]],2,FALSE)=0,"",VLOOKUP(RC_OUT[BLOCK],RC_IN[[BLOCK]:[BLOCK LOC]],2,FALSE)),"")</f>
        <v/>
      </c>
      <c r="I1017" s="263" t="str">
        <f>IFERROR(AVERAGEIFS(RC_IN[MC],RC_IN[BLOCK],RC_OUT[BLOCK]),"")</f>
        <v/>
      </c>
      <c r="J1017" s="264">
        <f t="shared" si="1"/>
        <v>0</v>
      </c>
      <c r="K1017" s="246"/>
      <c r="L1017" s="246"/>
      <c r="M1017" s="249" t="str">
        <f t="shared" si="2"/>
        <v/>
      </c>
      <c r="N1017" s="266">
        <f t="shared" si="3"/>
        <v>0</v>
      </c>
      <c r="O1017" s="247"/>
      <c r="P1017" s="247"/>
      <c r="Q1017" s="247"/>
      <c r="R1017" s="247"/>
      <c r="S1017" s="247"/>
      <c r="T1017" s="247"/>
      <c r="U1017" s="247"/>
      <c r="V1017" s="247"/>
      <c r="W1017" s="247"/>
      <c r="X1017" s="247"/>
    </row>
    <row r="1018">
      <c r="A1018" s="273">
        <v>45883.0</v>
      </c>
      <c r="B1018" s="275" t="s">
        <v>1281</v>
      </c>
      <c r="C1018" s="275" t="s">
        <v>1292</v>
      </c>
      <c r="D1018" s="276">
        <v>15432.0</v>
      </c>
      <c r="E1018" s="275" t="s">
        <v>1017</v>
      </c>
      <c r="F1018" s="279"/>
      <c r="G1018" s="278" t="str">
        <f>IFNA(IF(VLOOKUP(RC_OUT[BLOCK],RC_IN[[BLOCK]:[BLOCK LOC]],2,FALSE)=0,"",VLOOKUP(RC_OUT[BLOCK],RC_IN[[BLOCK]:[BLOCK LOC]],2,FALSE)),"")</f>
        <v/>
      </c>
      <c r="I1018" s="263" t="str">
        <f>IFERROR(AVERAGEIFS(RC_IN[MC],RC_IN[BLOCK],RC_OUT[BLOCK]),"")</f>
        <v/>
      </c>
      <c r="J1018" s="264">
        <f t="shared" si="1"/>
        <v>0</v>
      </c>
      <c r="K1018" s="246"/>
      <c r="L1018" s="246"/>
      <c r="M1018" s="249" t="str">
        <f t="shared" si="2"/>
        <v/>
      </c>
      <c r="N1018" s="266">
        <f t="shared" si="3"/>
        <v>0</v>
      </c>
      <c r="O1018" s="247"/>
      <c r="P1018" s="247"/>
      <c r="Q1018" s="247"/>
      <c r="R1018" s="247"/>
      <c r="S1018" s="247"/>
      <c r="T1018" s="247"/>
      <c r="U1018" s="247"/>
      <c r="V1018" s="247"/>
      <c r="W1018" s="247"/>
      <c r="X1018" s="247"/>
    </row>
    <row r="1019">
      <c r="A1019" s="273">
        <v>45883.0</v>
      </c>
      <c r="B1019" s="275" t="s">
        <v>1281</v>
      </c>
      <c r="C1019" s="275" t="s">
        <v>1293</v>
      </c>
      <c r="D1019" s="276">
        <v>7304.0</v>
      </c>
      <c r="E1019" s="275" t="s">
        <v>1017</v>
      </c>
      <c r="F1019" s="279"/>
      <c r="G1019" s="278" t="str">
        <f>IFNA(IF(VLOOKUP(RC_OUT[BLOCK],RC_IN[[BLOCK]:[BLOCK LOC]],2,FALSE)=0,"",VLOOKUP(RC_OUT[BLOCK],RC_IN[[BLOCK]:[BLOCK LOC]],2,FALSE)),"")</f>
        <v/>
      </c>
      <c r="I1019" s="263" t="str">
        <f>IFERROR(AVERAGEIFS(RC_IN[MC],RC_IN[BLOCK],RC_OUT[BLOCK]),"")</f>
        <v/>
      </c>
      <c r="J1019" s="264">
        <f t="shared" si="1"/>
        <v>0</v>
      </c>
      <c r="K1019" s="246"/>
      <c r="L1019" s="246"/>
      <c r="M1019" s="249" t="str">
        <f t="shared" si="2"/>
        <v/>
      </c>
      <c r="N1019" s="266">
        <f t="shared" si="3"/>
        <v>0</v>
      </c>
      <c r="O1019" s="247"/>
      <c r="P1019" s="247"/>
      <c r="Q1019" s="247"/>
      <c r="R1019" s="247"/>
      <c r="S1019" s="247"/>
      <c r="T1019" s="247"/>
      <c r="U1019" s="247"/>
      <c r="V1019" s="247"/>
      <c r="W1019" s="247"/>
      <c r="X1019" s="247"/>
    </row>
    <row r="1020">
      <c r="A1020" s="274"/>
      <c r="B1020" s="274"/>
      <c r="C1020" s="274"/>
      <c r="D1020" s="283"/>
      <c r="E1020" s="274"/>
      <c r="F1020" s="279"/>
      <c r="G1020" s="278" t="str">
        <f>IFNA(IF(VLOOKUP(RC_OUT[BLOCK],RC_IN[[BLOCK]:[BLOCK LOC]],2,FALSE)=0,"",VLOOKUP(RC_OUT[BLOCK],RC_IN[[BLOCK]:[BLOCK LOC]],2,FALSE)),"")</f>
        <v/>
      </c>
      <c r="I1020" s="263" t="str">
        <f>IFERROR(AVERAGEIFS(RC_IN[MC],RC_IN[BLOCK],RC_OUT[BLOCK]),"")</f>
        <v/>
      </c>
      <c r="J1020" s="264">
        <f t="shared" si="1"/>
        <v>0</v>
      </c>
      <c r="K1020" s="246"/>
      <c r="L1020" s="246"/>
      <c r="M1020" s="249" t="str">
        <f t="shared" si="2"/>
        <v/>
      </c>
      <c r="N1020" s="266">
        <f t="shared" si="3"/>
        <v>0</v>
      </c>
      <c r="O1020" s="247"/>
      <c r="P1020" s="247"/>
      <c r="Q1020" s="247"/>
      <c r="R1020" s="247"/>
      <c r="S1020" s="247"/>
      <c r="T1020" s="247"/>
      <c r="U1020" s="247"/>
      <c r="V1020" s="247"/>
      <c r="W1020" s="247"/>
      <c r="X1020" s="247"/>
    </row>
    <row r="1021">
      <c r="A1021" s="273">
        <v>45884.0</v>
      </c>
      <c r="B1021" s="275" t="s">
        <v>1281</v>
      </c>
      <c r="C1021" s="275" t="s">
        <v>1289</v>
      </c>
      <c r="D1021" s="276">
        <v>6114.0</v>
      </c>
      <c r="E1021" s="275" t="s">
        <v>1017</v>
      </c>
      <c r="F1021" s="279"/>
      <c r="G1021" s="278" t="str">
        <f>IFNA(IF(VLOOKUP(RC_OUT[BLOCK],RC_IN[[BLOCK]:[BLOCK LOC]],2,FALSE)=0,"",VLOOKUP(RC_OUT[BLOCK],RC_IN[[BLOCK]:[BLOCK LOC]],2,FALSE)),"")</f>
        <v/>
      </c>
      <c r="I1021" s="263" t="str">
        <f>IFERROR(AVERAGEIFS(RC_IN[MC],RC_IN[BLOCK],RC_OUT[BLOCK]),"")</f>
        <v/>
      </c>
      <c r="J1021" s="264">
        <f t="shared" si="1"/>
        <v>0</v>
      </c>
      <c r="K1021" s="246"/>
      <c r="L1021" s="246"/>
      <c r="M1021" s="249" t="str">
        <f t="shared" si="2"/>
        <v/>
      </c>
      <c r="N1021" s="266">
        <f t="shared" si="3"/>
        <v>0</v>
      </c>
      <c r="O1021" s="247"/>
      <c r="P1021" s="247"/>
      <c r="Q1021" s="247"/>
      <c r="R1021" s="247"/>
      <c r="S1021" s="247"/>
      <c r="T1021" s="247"/>
      <c r="U1021" s="247"/>
      <c r="V1021" s="247"/>
      <c r="W1021" s="247"/>
      <c r="X1021" s="247"/>
    </row>
    <row r="1022">
      <c r="A1022" s="273">
        <v>45884.0</v>
      </c>
      <c r="B1022" s="275" t="s">
        <v>1281</v>
      </c>
      <c r="C1022" s="275" t="s">
        <v>1292</v>
      </c>
      <c r="D1022" s="276">
        <v>10784.0</v>
      </c>
      <c r="E1022" s="275" t="s">
        <v>1017</v>
      </c>
      <c r="F1022" s="279"/>
      <c r="G1022" s="278" t="str">
        <f>IFNA(IF(VLOOKUP(RC_OUT[BLOCK],RC_IN[[BLOCK]:[BLOCK LOC]],2,FALSE)=0,"",VLOOKUP(RC_OUT[BLOCK],RC_IN[[BLOCK]:[BLOCK LOC]],2,FALSE)),"")</f>
        <v/>
      </c>
      <c r="I1022" s="263" t="str">
        <f>IFERROR(AVERAGEIFS(RC_IN[MC],RC_IN[BLOCK],RC_OUT[BLOCK]),"")</f>
        <v/>
      </c>
      <c r="J1022" s="264">
        <f t="shared" si="1"/>
        <v>0</v>
      </c>
      <c r="K1022" s="246"/>
      <c r="L1022" s="246"/>
      <c r="M1022" s="249" t="str">
        <f t="shared" si="2"/>
        <v/>
      </c>
      <c r="N1022" s="266">
        <f t="shared" si="3"/>
        <v>0</v>
      </c>
      <c r="O1022" s="247"/>
      <c r="P1022" s="247"/>
      <c r="Q1022" s="247"/>
      <c r="R1022" s="247"/>
      <c r="S1022" s="247"/>
      <c r="T1022" s="247"/>
      <c r="U1022" s="247"/>
      <c r="V1022" s="247"/>
      <c r="W1022" s="247"/>
      <c r="X1022" s="247"/>
    </row>
    <row r="1023">
      <c r="A1023" s="273">
        <v>45884.0</v>
      </c>
      <c r="B1023" s="275" t="s">
        <v>1281</v>
      </c>
      <c r="C1023" s="275" t="s">
        <v>1293</v>
      </c>
      <c r="D1023" s="276">
        <v>10959.0</v>
      </c>
      <c r="E1023" s="275" t="s">
        <v>1017</v>
      </c>
      <c r="F1023" s="279"/>
      <c r="G1023" s="278" t="str">
        <f>IFNA(IF(VLOOKUP(RC_OUT[BLOCK],RC_IN[[BLOCK]:[BLOCK LOC]],2,FALSE)=0,"",VLOOKUP(RC_OUT[BLOCK],RC_IN[[BLOCK]:[BLOCK LOC]],2,FALSE)),"")</f>
        <v/>
      </c>
      <c r="I1023" s="263" t="str">
        <f>IFERROR(AVERAGEIFS(RC_IN[MC],RC_IN[BLOCK],RC_OUT[BLOCK]),"")</f>
        <v/>
      </c>
      <c r="J1023" s="264">
        <f t="shared" si="1"/>
        <v>0</v>
      </c>
      <c r="K1023" s="246"/>
      <c r="L1023" s="246"/>
      <c r="M1023" s="249" t="str">
        <f t="shared" si="2"/>
        <v/>
      </c>
      <c r="N1023" s="266">
        <f t="shared" si="3"/>
        <v>0</v>
      </c>
      <c r="O1023" s="247"/>
      <c r="P1023" s="247"/>
      <c r="Q1023" s="247"/>
      <c r="R1023" s="247"/>
      <c r="S1023" s="247"/>
      <c r="T1023" s="247"/>
      <c r="U1023" s="247"/>
      <c r="V1023" s="247"/>
      <c r="W1023" s="247"/>
      <c r="X1023" s="247"/>
    </row>
    <row r="1024">
      <c r="A1024" s="273">
        <v>45884.0</v>
      </c>
      <c r="B1024" s="275" t="s">
        <v>1281</v>
      </c>
      <c r="C1024" s="275" t="s">
        <v>1294</v>
      </c>
      <c r="D1024" s="276">
        <v>650.0</v>
      </c>
      <c r="E1024" s="275" t="s">
        <v>1017</v>
      </c>
      <c r="F1024" s="279"/>
      <c r="G1024" s="278" t="str">
        <f>IFNA(IF(VLOOKUP(RC_OUT[BLOCK],RC_IN[[BLOCK]:[BLOCK LOC]],2,FALSE)=0,"",VLOOKUP(RC_OUT[BLOCK],RC_IN[[BLOCK]:[BLOCK LOC]],2,FALSE)),"")</f>
        <v/>
      </c>
      <c r="I1024" s="263" t="str">
        <f>IFERROR(AVERAGEIFS(RC_IN[MC],RC_IN[BLOCK],RC_OUT[BLOCK]),"")</f>
        <v/>
      </c>
      <c r="J1024" s="264">
        <f t="shared" si="1"/>
        <v>0</v>
      </c>
      <c r="K1024" s="246"/>
      <c r="L1024" s="246"/>
      <c r="M1024" s="249" t="str">
        <f t="shared" si="2"/>
        <v/>
      </c>
      <c r="N1024" s="266">
        <f t="shared" si="3"/>
        <v>0</v>
      </c>
      <c r="O1024" s="247"/>
      <c r="P1024" s="247"/>
      <c r="Q1024" s="247"/>
      <c r="R1024" s="247"/>
      <c r="S1024" s="247"/>
      <c r="T1024" s="247"/>
      <c r="U1024" s="247"/>
      <c r="V1024" s="247"/>
      <c r="W1024" s="247"/>
      <c r="X1024" s="247"/>
    </row>
    <row r="1025">
      <c r="A1025" s="274"/>
      <c r="B1025" s="274"/>
      <c r="C1025" s="274"/>
      <c r="D1025" s="283"/>
      <c r="E1025" s="274"/>
      <c r="F1025" s="279"/>
      <c r="G1025" s="278" t="str">
        <f>IFNA(IF(VLOOKUP(RC_OUT[BLOCK],RC_IN[[BLOCK]:[BLOCK LOC]],2,FALSE)=0,"",VLOOKUP(RC_OUT[BLOCK],RC_IN[[BLOCK]:[BLOCK LOC]],2,FALSE)),"")</f>
        <v/>
      </c>
      <c r="I1025" s="263" t="str">
        <f>IFERROR(AVERAGEIFS(RC_IN[MC],RC_IN[BLOCK],RC_OUT[BLOCK]),"")</f>
        <v/>
      </c>
      <c r="J1025" s="264">
        <f t="shared" si="1"/>
        <v>0</v>
      </c>
      <c r="K1025" s="246"/>
      <c r="L1025" s="246"/>
      <c r="M1025" s="249" t="str">
        <f t="shared" si="2"/>
        <v/>
      </c>
      <c r="N1025" s="266">
        <f t="shared" si="3"/>
        <v>0</v>
      </c>
      <c r="O1025" s="247"/>
      <c r="P1025" s="247"/>
      <c r="Q1025" s="247"/>
      <c r="R1025" s="247"/>
      <c r="S1025" s="247"/>
      <c r="T1025" s="247"/>
      <c r="U1025" s="247"/>
      <c r="V1025" s="247"/>
      <c r="W1025" s="247"/>
      <c r="X1025" s="247"/>
    </row>
    <row r="1026">
      <c r="A1026" s="273">
        <v>45887.0</v>
      </c>
      <c r="B1026" s="275" t="s">
        <v>1281</v>
      </c>
      <c r="C1026" s="275" t="s">
        <v>1289</v>
      </c>
      <c r="D1026" s="276">
        <v>6012.0</v>
      </c>
      <c r="E1026" s="275" t="s">
        <v>1017</v>
      </c>
      <c r="F1026" s="277" t="s">
        <v>1059</v>
      </c>
      <c r="G1026" s="278" t="str">
        <f>IFNA(IF(VLOOKUP(RC_OUT[BLOCK],RC_IN[[BLOCK]:[BLOCK LOC]],2,FALSE)=0,"",VLOOKUP(RC_OUT[BLOCK],RC_IN[[BLOCK]:[BLOCK LOC]],2,FALSE)),"")</f>
        <v/>
      </c>
      <c r="I1026" s="263" t="str">
        <f>IFERROR(AVERAGEIFS(RC_IN[MC],RC_IN[BLOCK],RC_OUT[BLOCK]),"")</f>
        <v/>
      </c>
      <c r="J1026" s="264">
        <f t="shared" si="1"/>
        <v>0</v>
      </c>
      <c r="K1026" s="246"/>
      <c r="L1026" s="246"/>
      <c r="M1026" s="249" t="str">
        <f t="shared" si="2"/>
        <v/>
      </c>
      <c r="N1026" s="266">
        <f t="shared" si="3"/>
        <v>0</v>
      </c>
      <c r="O1026" s="247"/>
      <c r="P1026" s="247"/>
      <c r="Q1026" s="247"/>
      <c r="R1026" s="247"/>
      <c r="S1026" s="247"/>
      <c r="T1026" s="247"/>
      <c r="U1026" s="247"/>
      <c r="V1026" s="247"/>
      <c r="W1026" s="247"/>
      <c r="X1026" s="247"/>
    </row>
    <row r="1027">
      <c r="A1027" s="273">
        <v>45887.0</v>
      </c>
      <c r="B1027" s="275" t="s">
        <v>1281</v>
      </c>
      <c r="C1027" s="275" t="s">
        <v>1292</v>
      </c>
      <c r="D1027" s="276">
        <v>8404.0</v>
      </c>
      <c r="E1027" s="275" t="s">
        <v>1017</v>
      </c>
      <c r="F1027" s="279"/>
      <c r="G1027" s="278" t="str">
        <f>IFNA(IF(VLOOKUP(RC_OUT[BLOCK],RC_IN[[BLOCK]:[BLOCK LOC]],2,FALSE)=0,"",VLOOKUP(RC_OUT[BLOCK],RC_IN[[BLOCK]:[BLOCK LOC]],2,FALSE)),"")</f>
        <v/>
      </c>
      <c r="I1027" s="263" t="str">
        <f>IFERROR(AVERAGEIFS(RC_IN[MC],RC_IN[BLOCK],RC_OUT[BLOCK]),"")</f>
        <v/>
      </c>
      <c r="J1027" s="264">
        <f t="shared" si="1"/>
        <v>0</v>
      </c>
      <c r="K1027" s="246"/>
      <c r="L1027" s="246"/>
      <c r="M1027" s="249" t="str">
        <f t="shared" si="2"/>
        <v/>
      </c>
      <c r="N1027" s="266">
        <f t="shared" si="3"/>
        <v>0</v>
      </c>
      <c r="O1027" s="247"/>
      <c r="P1027" s="247"/>
      <c r="Q1027" s="247"/>
      <c r="R1027" s="247"/>
      <c r="S1027" s="247"/>
      <c r="T1027" s="247"/>
      <c r="U1027" s="247"/>
      <c r="V1027" s="247"/>
      <c r="W1027" s="247"/>
      <c r="X1027" s="247"/>
    </row>
    <row r="1028">
      <c r="A1028" s="273">
        <v>45887.0</v>
      </c>
      <c r="B1028" s="275" t="s">
        <v>1281</v>
      </c>
      <c r="C1028" s="275" t="s">
        <v>1293</v>
      </c>
      <c r="D1028" s="276">
        <v>18737.0</v>
      </c>
      <c r="E1028" s="275" t="s">
        <v>1017</v>
      </c>
      <c r="F1028" s="279"/>
      <c r="G1028" s="278" t="str">
        <f>IFNA(IF(VLOOKUP(RC_OUT[BLOCK],RC_IN[[BLOCK]:[BLOCK LOC]],2,FALSE)=0,"",VLOOKUP(RC_OUT[BLOCK],RC_IN[[BLOCK]:[BLOCK LOC]],2,FALSE)),"")</f>
        <v/>
      </c>
      <c r="I1028" s="263" t="str">
        <f>IFERROR(AVERAGEIFS(RC_IN[MC],RC_IN[BLOCK],RC_OUT[BLOCK]),"")</f>
        <v/>
      </c>
      <c r="J1028" s="264">
        <f t="shared" si="1"/>
        <v>0</v>
      </c>
      <c r="K1028" s="246"/>
      <c r="L1028" s="246"/>
      <c r="M1028" s="249" t="str">
        <f t="shared" si="2"/>
        <v/>
      </c>
      <c r="N1028" s="266">
        <f t="shared" si="3"/>
        <v>0</v>
      </c>
      <c r="O1028" s="247"/>
      <c r="P1028" s="247"/>
      <c r="Q1028" s="247"/>
      <c r="R1028" s="247"/>
      <c r="S1028" s="247"/>
      <c r="T1028" s="247"/>
      <c r="U1028" s="247"/>
      <c r="V1028" s="247"/>
      <c r="W1028" s="247"/>
      <c r="X1028" s="247"/>
    </row>
    <row r="1029">
      <c r="A1029" s="273">
        <v>45887.0</v>
      </c>
      <c r="B1029" s="275" t="s">
        <v>1281</v>
      </c>
      <c r="C1029" s="275" t="s">
        <v>1294</v>
      </c>
      <c r="D1029" s="276">
        <v>10816.0</v>
      </c>
      <c r="E1029" s="275" t="s">
        <v>1017</v>
      </c>
      <c r="F1029" s="279"/>
      <c r="G1029" s="278" t="str">
        <f>IFNA(IF(VLOOKUP(RC_OUT[BLOCK],RC_IN[[BLOCK]:[BLOCK LOC]],2,FALSE)=0,"",VLOOKUP(RC_OUT[BLOCK],RC_IN[[BLOCK]:[BLOCK LOC]],2,FALSE)),"")</f>
        <v/>
      </c>
      <c r="I1029" s="263" t="str">
        <f>IFERROR(AVERAGEIFS(RC_IN[MC],RC_IN[BLOCK],RC_OUT[BLOCK]),"")</f>
        <v/>
      </c>
      <c r="J1029" s="264">
        <f t="shared" si="1"/>
        <v>0</v>
      </c>
      <c r="K1029" s="246"/>
      <c r="L1029" s="246"/>
      <c r="M1029" s="249" t="str">
        <f t="shared" si="2"/>
        <v/>
      </c>
      <c r="N1029" s="266">
        <f t="shared" si="3"/>
        <v>0</v>
      </c>
      <c r="O1029" s="247"/>
      <c r="P1029" s="247"/>
      <c r="Q1029" s="247"/>
      <c r="R1029" s="247"/>
      <c r="S1029" s="247"/>
      <c r="T1029" s="247"/>
      <c r="U1029" s="247"/>
      <c r="V1029" s="247"/>
      <c r="W1029" s="247"/>
      <c r="X1029" s="247"/>
    </row>
    <row r="1030">
      <c r="A1030" s="274"/>
      <c r="B1030" s="274"/>
      <c r="C1030" s="274"/>
      <c r="D1030" s="283"/>
      <c r="E1030" s="274"/>
      <c r="F1030" s="279"/>
      <c r="G1030" s="278" t="str">
        <f>IFNA(IF(VLOOKUP(RC_OUT[BLOCK],RC_IN[[BLOCK]:[BLOCK LOC]],2,FALSE)=0,"",VLOOKUP(RC_OUT[BLOCK],RC_IN[[BLOCK]:[BLOCK LOC]],2,FALSE)),"")</f>
        <v/>
      </c>
      <c r="I1030" s="263" t="str">
        <f>IFERROR(AVERAGEIFS(RC_IN[MC],RC_IN[BLOCK],RC_OUT[BLOCK]),"")</f>
        <v/>
      </c>
      <c r="J1030" s="264">
        <f t="shared" si="1"/>
        <v>0</v>
      </c>
      <c r="K1030" s="246"/>
      <c r="L1030" s="246"/>
      <c r="M1030" s="249" t="str">
        <f t="shared" si="2"/>
        <v/>
      </c>
      <c r="N1030" s="266">
        <f t="shared" si="3"/>
        <v>0</v>
      </c>
      <c r="O1030" s="247"/>
      <c r="P1030" s="247"/>
      <c r="Q1030" s="247"/>
      <c r="R1030" s="247"/>
      <c r="S1030" s="247"/>
      <c r="T1030" s="247"/>
      <c r="U1030" s="247"/>
      <c r="V1030" s="247"/>
      <c r="W1030" s="247"/>
      <c r="X1030" s="247"/>
    </row>
    <row r="1031">
      <c r="A1031" s="273">
        <v>45888.0</v>
      </c>
      <c r="B1031" s="275" t="s">
        <v>1281</v>
      </c>
      <c r="C1031" s="275" t="s">
        <v>1292</v>
      </c>
      <c r="D1031" s="276">
        <v>9864.0</v>
      </c>
      <c r="E1031" s="275" t="s">
        <v>1017</v>
      </c>
      <c r="F1031" s="277" t="s">
        <v>1059</v>
      </c>
      <c r="G1031" s="278" t="str">
        <f>IFNA(IF(VLOOKUP(RC_OUT[BLOCK],RC_IN[[BLOCK]:[BLOCK LOC]],2,FALSE)=0,"",VLOOKUP(RC_OUT[BLOCK],RC_IN[[BLOCK]:[BLOCK LOC]],2,FALSE)),"")</f>
        <v/>
      </c>
      <c r="I1031" s="263" t="str">
        <f>IFERROR(AVERAGEIFS(RC_IN[MC],RC_IN[BLOCK],RC_OUT[BLOCK]),"")</f>
        <v/>
      </c>
      <c r="J1031" s="264">
        <f t="shared" si="1"/>
        <v>0</v>
      </c>
      <c r="K1031" s="246"/>
      <c r="L1031" s="246"/>
      <c r="M1031" s="249" t="str">
        <f t="shared" si="2"/>
        <v/>
      </c>
      <c r="N1031" s="266">
        <f t="shared" si="3"/>
        <v>0</v>
      </c>
      <c r="O1031" s="247"/>
      <c r="P1031" s="247"/>
      <c r="Q1031" s="247"/>
      <c r="R1031" s="247"/>
      <c r="S1031" s="247"/>
      <c r="T1031" s="247"/>
      <c r="U1031" s="247"/>
      <c r="V1031" s="247"/>
      <c r="W1031" s="247"/>
      <c r="X1031" s="247"/>
    </row>
    <row r="1032">
      <c r="A1032" s="273">
        <v>45888.0</v>
      </c>
      <c r="B1032" s="275" t="s">
        <v>1281</v>
      </c>
      <c r="C1032" s="275" t="s">
        <v>1293</v>
      </c>
      <c r="D1032" s="276">
        <v>13424.0</v>
      </c>
      <c r="E1032" s="275" t="s">
        <v>1017</v>
      </c>
      <c r="F1032" s="279"/>
      <c r="G1032" s="278" t="str">
        <f>IFNA(IF(VLOOKUP(RC_OUT[BLOCK],RC_IN[[BLOCK]:[BLOCK LOC]],2,FALSE)=0,"",VLOOKUP(RC_OUT[BLOCK],RC_IN[[BLOCK]:[BLOCK LOC]],2,FALSE)),"")</f>
        <v/>
      </c>
      <c r="I1032" s="263" t="str">
        <f>IFERROR(AVERAGEIFS(RC_IN[MC],RC_IN[BLOCK],RC_OUT[BLOCK]),"")</f>
        <v/>
      </c>
      <c r="J1032" s="264">
        <f t="shared" si="1"/>
        <v>0</v>
      </c>
      <c r="K1032" s="246"/>
      <c r="L1032" s="246"/>
      <c r="M1032" s="249" t="str">
        <f t="shared" si="2"/>
        <v/>
      </c>
      <c r="N1032" s="266">
        <f t="shared" si="3"/>
        <v>0</v>
      </c>
      <c r="O1032" s="247"/>
      <c r="P1032" s="247"/>
      <c r="Q1032" s="247"/>
      <c r="R1032" s="247"/>
      <c r="S1032" s="247"/>
      <c r="T1032" s="247"/>
      <c r="U1032" s="247"/>
      <c r="V1032" s="247"/>
      <c r="W1032" s="247"/>
      <c r="X1032" s="247"/>
    </row>
    <row r="1033">
      <c r="A1033" s="273">
        <v>45888.0</v>
      </c>
      <c r="B1033" s="275" t="s">
        <v>1281</v>
      </c>
      <c r="C1033" s="275" t="s">
        <v>1294</v>
      </c>
      <c r="D1033" s="276">
        <v>3000.0</v>
      </c>
      <c r="E1033" s="275" t="s">
        <v>1017</v>
      </c>
      <c r="F1033" s="279"/>
      <c r="G1033" s="278" t="str">
        <f>IFNA(IF(VLOOKUP(RC_OUT[BLOCK],RC_IN[[BLOCK]:[BLOCK LOC]],2,FALSE)=0,"",VLOOKUP(RC_OUT[BLOCK],RC_IN[[BLOCK]:[BLOCK LOC]],2,FALSE)),"")</f>
        <v/>
      </c>
      <c r="I1033" s="263" t="str">
        <f>IFERROR(AVERAGEIFS(RC_IN[MC],RC_IN[BLOCK],RC_OUT[BLOCK]),"")</f>
        <v/>
      </c>
      <c r="J1033" s="264">
        <f t="shared" si="1"/>
        <v>0</v>
      </c>
      <c r="K1033" s="246"/>
      <c r="L1033" s="246"/>
      <c r="M1033" s="249" t="str">
        <f t="shared" si="2"/>
        <v/>
      </c>
      <c r="N1033" s="266">
        <f t="shared" si="3"/>
        <v>0</v>
      </c>
      <c r="O1033" s="247"/>
      <c r="P1033" s="247"/>
      <c r="Q1033" s="247"/>
      <c r="R1033" s="247"/>
      <c r="S1033" s="247"/>
      <c r="T1033" s="247"/>
      <c r="U1033" s="247"/>
      <c r="V1033" s="247"/>
      <c r="W1033" s="247"/>
      <c r="X1033" s="247"/>
    </row>
    <row r="1034">
      <c r="A1034" s="273">
        <v>45888.0</v>
      </c>
      <c r="B1034" s="275" t="s">
        <v>1281</v>
      </c>
      <c r="C1034" s="275" t="s">
        <v>1295</v>
      </c>
      <c r="D1034" s="276">
        <v>7900.0</v>
      </c>
      <c r="E1034" s="275" t="s">
        <v>1017</v>
      </c>
      <c r="F1034" s="279"/>
      <c r="G1034" s="278" t="str">
        <f>IFNA(IF(VLOOKUP(RC_OUT[BLOCK],RC_IN[[BLOCK]:[BLOCK LOC]],2,FALSE)=0,"",VLOOKUP(RC_OUT[BLOCK],RC_IN[[BLOCK]:[BLOCK LOC]],2,FALSE)),"")</f>
        <v/>
      </c>
      <c r="I1034" s="263" t="str">
        <f>IFERROR(AVERAGEIFS(RC_IN[MC],RC_IN[BLOCK],RC_OUT[BLOCK]),"")</f>
        <v/>
      </c>
      <c r="J1034" s="264">
        <f t="shared" si="1"/>
        <v>0</v>
      </c>
      <c r="K1034" s="246"/>
      <c r="L1034" s="246"/>
      <c r="M1034" s="249" t="str">
        <f t="shared" si="2"/>
        <v/>
      </c>
      <c r="N1034" s="266">
        <f t="shared" si="3"/>
        <v>0</v>
      </c>
      <c r="O1034" s="247"/>
      <c r="P1034" s="247"/>
      <c r="Q1034" s="247"/>
      <c r="R1034" s="247"/>
      <c r="S1034" s="247"/>
      <c r="T1034" s="247"/>
      <c r="U1034" s="247"/>
      <c r="V1034" s="247"/>
      <c r="W1034" s="247"/>
      <c r="X1034" s="247"/>
    </row>
    <row r="1035">
      <c r="A1035" s="273">
        <v>45888.0</v>
      </c>
      <c r="B1035" s="275" t="s">
        <v>1281</v>
      </c>
      <c r="C1035" s="275" t="s">
        <v>1296</v>
      </c>
      <c r="D1035" s="276">
        <v>2659.0</v>
      </c>
      <c r="E1035" s="275" t="s">
        <v>1017</v>
      </c>
      <c r="F1035" s="279"/>
      <c r="G1035" s="278" t="str">
        <f>IFNA(IF(VLOOKUP(RC_OUT[BLOCK],RC_IN[[BLOCK]:[BLOCK LOC]],2,FALSE)=0,"",VLOOKUP(RC_OUT[BLOCK],RC_IN[[BLOCK]:[BLOCK LOC]],2,FALSE)),"")</f>
        <v/>
      </c>
      <c r="I1035" s="263" t="str">
        <f>IFERROR(AVERAGEIFS(RC_IN[MC],RC_IN[BLOCK],RC_OUT[BLOCK]),"")</f>
        <v/>
      </c>
      <c r="J1035" s="264">
        <f t="shared" si="1"/>
        <v>0</v>
      </c>
      <c r="K1035" s="246"/>
      <c r="L1035" s="246"/>
      <c r="M1035" s="249" t="str">
        <f t="shared" si="2"/>
        <v/>
      </c>
      <c r="N1035" s="266">
        <f t="shared" si="3"/>
        <v>0</v>
      </c>
      <c r="O1035" s="247"/>
      <c r="P1035" s="247"/>
      <c r="Q1035" s="247"/>
      <c r="R1035" s="247"/>
      <c r="S1035" s="247"/>
      <c r="T1035" s="247"/>
      <c r="U1035" s="247"/>
      <c r="V1035" s="247"/>
      <c r="W1035" s="247"/>
      <c r="X1035" s="247"/>
    </row>
    <row r="1036">
      <c r="A1036" s="274"/>
      <c r="B1036" s="274"/>
      <c r="C1036" s="274"/>
      <c r="D1036" s="283"/>
      <c r="E1036" s="274"/>
      <c r="F1036" s="279"/>
      <c r="G1036" s="278" t="str">
        <f>IFNA(IF(VLOOKUP(RC_OUT[BLOCK],RC_IN[[BLOCK]:[BLOCK LOC]],2,FALSE)=0,"",VLOOKUP(RC_OUT[BLOCK],RC_IN[[BLOCK]:[BLOCK LOC]],2,FALSE)),"")</f>
        <v/>
      </c>
      <c r="I1036" s="263" t="str">
        <f>IFERROR(AVERAGEIFS(RC_IN[MC],RC_IN[BLOCK],RC_OUT[BLOCK]),"")</f>
        <v/>
      </c>
      <c r="J1036" s="264">
        <f t="shared" si="1"/>
        <v>0</v>
      </c>
      <c r="K1036" s="246"/>
      <c r="L1036" s="246"/>
      <c r="M1036" s="249" t="str">
        <f t="shared" si="2"/>
        <v/>
      </c>
      <c r="N1036" s="266">
        <f t="shared" si="3"/>
        <v>0</v>
      </c>
      <c r="O1036" s="247"/>
      <c r="P1036" s="247"/>
      <c r="Q1036" s="247"/>
      <c r="R1036" s="247"/>
      <c r="S1036" s="247"/>
      <c r="T1036" s="247"/>
      <c r="U1036" s="247"/>
      <c r="V1036" s="247"/>
      <c r="W1036" s="247"/>
      <c r="X1036" s="247"/>
    </row>
    <row r="1037">
      <c r="A1037" s="273">
        <v>45889.0</v>
      </c>
      <c r="B1037" s="275" t="s">
        <v>1281</v>
      </c>
      <c r="C1037" s="275" t="s">
        <v>1293</v>
      </c>
      <c r="D1037" s="276">
        <v>1722.0</v>
      </c>
      <c r="E1037" s="275" t="s">
        <v>1017</v>
      </c>
      <c r="F1037" s="277" t="s">
        <v>1059</v>
      </c>
      <c r="G1037" s="278" t="str">
        <f>IFNA(IF(VLOOKUP(RC_OUT[BLOCK],RC_IN[[BLOCK]:[BLOCK LOC]],2,FALSE)=0,"",VLOOKUP(RC_OUT[BLOCK],RC_IN[[BLOCK]:[BLOCK LOC]],2,FALSE)),"")</f>
        <v/>
      </c>
      <c r="I1037" s="263" t="str">
        <f>IFERROR(AVERAGEIFS(RC_IN[MC],RC_IN[BLOCK],RC_OUT[BLOCK]),"")</f>
        <v/>
      </c>
      <c r="J1037" s="264">
        <f t="shared" si="1"/>
        <v>0</v>
      </c>
      <c r="K1037" s="246"/>
      <c r="L1037" s="246"/>
      <c r="M1037" s="249" t="str">
        <f t="shared" si="2"/>
        <v/>
      </c>
      <c r="N1037" s="266">
        <f t="shared" si="3"/>
        <v>0</v>
      </c>
      <c r="O1037" s="247"/>
      <c r="P1037" s="247"/>
      <c r="Q1037" s="247"/>
      <c r="R1037" s="247"/>
      <c r="S1037" s="247"/>
      <c r="T1037" s="247"/>
      <c r="U1037" s="247"/>
      <c r="V1037" s="247"/>
      <c r="W1037" s="247"/>
      <c r="X1037" s="247"/>
    </row>
    <row r="1038">
      <c r="A1038" s="273">
        <v>45889.0</v>
      </c>
      <c r="B1038" s="275" t="s">
        <v>1281</v>
      </c>
      <c r="C1038" s="275" t="s">
        <v>1294</v>
      </c>
      <c r="D1038" s="276">
        <v>2000.0</v>
      </c>
      <c r="E1038" s="275" t="s">
        <v>1017</v>
      </c>
      <c r="F1038" s="279"/>
      <c r="G1038" s="278" t="str">
        <f>IFNA(IF(VLOOKUP(RC_OUT[BLOCK],RC_IN[[BLOCK]:[BLOCK LOC]],2,FALSE)=0,"",VLOOKUP(RC_OUT[BLOCK],RC_IN[[BLOCK]:[BLOCK LOC]],2,FALSE)),"")</f>
        <v/>
      </c>
      <c r="I1038" s="263" t="str">
        <f>IFERROR(AVERAGEIFS(RC_IN[MC],RC_IN[BLOCK],RC_OUT[BLOCK]),"")</f>
        <v/>
      </c>
      <c r="J1038" s="264">
        <f t="shared" si="1"/>
        <v>0</v>
      </c>
      <c r="K1038" s="246"/>
      <c r="L1038" s="246"/>
      <c r="M1038" s="249" t="str">
        <f t="shared" si="2"/>
        <v/>
      </c>
      <c r="N1038" s="266">
        <f t="shared" si="3"/>
        <v>0</v>
      </c>
      <c r="O1038" s="247"/>
      <c r="P1038" s="247"/>
      <c r="Q1038" s="247"/>
      <c r="R1038" s="247"/>
      <c r="S1038" s="247"/>
      <c r="T1038" s="247"/>
      <c r="U1038" s="247"/>
      <c r="V1038" s="247"/>
      <c r="W1038" s="247"/>
      <c r="X1038" s="247"/>
    </row>
    <row r="1039">
      <c r="A1039" s="273">
        <v>45889.0</v>
      </c>
      <c r="B1039" s="275" t="s">
        <v>1281</v>
      </c>
      <c r="C1039" s="275" t="s">
        <v>1295</v>
      </c>
      <c r="D1039" s="276">
        <v>7443.0</v>
      </c>
      <c r="E1039" s="275" t="s">
        <v>1017</v>
      </c>
      <c r="F1039" s="279"/>
      <c r="G1039" s="278" t="str">
        <f>IFNA(IF(VLOOKUP(RC_OUT[BLOCK],RC_IN[[BLOCK]:[BLOCK LOC]],2,FALSE)=0,"",VLOOKUP(RC_OUT[BLOCK],RC_IN[[BLOCK]:[BLOCK LOC]],2,FALSE)),"")</f>
        <v/>
      </c>
      <c r="I1039" s="263" t="str">
        <f>IFERROR(AVERAGEIFS(RC_IN[MC],RC_IN[BLOCK],RC_OUT[BLOCK]),"")</f>
        <v/>
      </c>
      <c r="J1039" s="264">
        <f t="shared" si="1"/>
        <v>0</v>
      </c>
      <c r="K1039" s="246"/>
      <c r="L1039" s="246"/>
      <c r="M1039" s="249" t="str">
        <f t="shared" si="2"/>
        <v/>
      </c>
      <c r="N1039" s="266">
        <f t="shared" si="3"/>
        <v>0</v>
      </c>
      <c r="O1039" s="247"/>
      <c r="P1039" s="247"/>
      <c r="Q1039" s="247"/>
      <c r="R1039" s="247"/>
      <c r="S1039" s="247"/>
      <c r="T1039" s="247"/>
      <c r="U1039" s="247"/>
      <c r="V1039" s="247"/>
      <c r="W1039" s="247"/>
      <c r="X1039" s="247"/>
    </row>
    <row r="1040">
      <c r="A1040" s="273">
        <v>45889.0</v>
      </c>
      <c r="B1040" s="275" t="s">
        <v>1281</v>
      </c>
      <c r="C1040" s="275" t="s">
        <v>1296</v>
      </c>
      <c r="D1040" s="276">
        <v>9151.0</v>
      </c>
      <c r="E1040" s="275" t="s">
        <v>1017</v>
      </c>
      <c r="F1040" s="279"/>
      <c r="G1040" s="278" t="str">
        <f>IFNA(IF(VLOOKUP(RC_OUT[BLOCK],RC_IN[[BLOCK]:[BLOCK LOC]],2,FALSE)=0,"",VLOOKUP(RC_OUT[BLOCK],RC_IN[[BLOCK]:[BLOCK LOC]],2,FALSE)),"")</f>
        <v/>
      </c>
      <c r="I1040" s="263" t="str">
        <f>IFERROR(AVERAGEIFS(RC_IN[MC],RC_IN[BLOCK],RC_OUT[BLOCK]),"")</f>
        <v/>
      </c>
      <c r="J1040" s="264">
        <f t="shared" si="1"/>
        <v>0</v>
      </c>
      <c r="K1040" s="246"/>
      <c r="L1040" s="246"/>
      <c r="M1040" s="249" t="str">
        <f t="shared" si="2"/>
        <v/>
      </c>
      <c r="N1040" s="266">
        <f t="shared" si="3"/>
        <v>0</v>
      </c>
      <c r="O1040" s="247"/>
      <c r="P1040" s="247"/>
      <c r="Q1040" s="247"/>
      <c r="R1040" s="247"/>
      <c r="S1040" s="247"/>
      <c r="T1040" s="247"/>
      <c r="U1040" s="247"/>
      <c r="V1040" s="247"/>
      <c r="W1040" s="247"/>
      <c r="X1040" s="247"/>
    </row>
    <row r="1041">
      <c r="A1041" s="273">
        <v>45889.0</v>
      </c>
      <c r="B1041" s="275" t="s">
        <v>1281</v>
      </c>
      <c r="C1041" s="275" t="s">
        <v>1297</v>
      </c>
      <c r="D1041" s="276">
        <v>14245.0</v>
      </c>
      <c r="E1041" s="275" t="s">
        <v>1017</v>
      </c>
      <c r="F1041" s="279"/>
      <c r="G1041" s="278" t="str">
        <f>IFNA(IF(VLOOKUP(RC_OUT[BLOCK],RC_IN[[BLOCK]:[BLOCK LOC]],2,FALSE)=0,"",VLOOKUP(RC_OUT[BLOCK],RC_IN[[BLOCK]:[BLOCK LOC]],2,FALSE)),"")</f>
        <v/>
      </c>
      <c r="I1041" s="263" t="str">
        <f>IFERROR(AVERAGEIFS(RC_IN[MC],RC_IN[BLOCK],RC_OUT[BLOCK]),"")</f>
        <v/>
      </c>
      <c r="J1041" s="264">
        <f t="shared" si="1"/>
        <v>0</v>
      </c>
      <c r="K1041" s="246"/>
      <c r="L1041" s="246"/>
      <c r="M1041" s="249" t="str">
        <f t="shared" si="2"/>
        <v/>
      </c>
      <c r="N1041" s="266">
        <f t="shared" si="3"/>
        <v>0</v>
      </c>
      <c r="O1041" s="247"/>
      <c r="P1041" s="247"/>
      <c r="Q1041" s="247"/>
      <c r="R1041" s="247"/>
      <c r="S1041" s="247"/>
      <c r="T1041" s="247"/>
      <c r="U1041" s="247"/>
      <c r="V1041" s="247"/>
      <c r="W1041" s="247"/>
      <c r="X1041" s="247"/>
    </row>
    <row r="1042">
      <c r="A1042" s="274"/>
      <c r="B1042" s="274"/>
      <c r="C1042" s="274"/>
      <c r="D1042" s="283"/>
      <c r="E1042" s="274"/>
      <c r="F1042" s="279"/>
      <c r="G1042" s="278" t="str">
        <f>IFNA(IF(VLOOKUP(RC_OUT[BLOCK],RC_IN[[BLOCK]:[BLOCK LOC]],2,FALSE)=0,"",VLOOKUP(RC_OUT[BLOCK],RC_IN[[BLOCK]:[BLOCK LOC]],2,FALSE)),"")</f>
        <v/>
      </c>
      <c r="I1042" s="263" t="str">
        <f>IFERROR(AVERAGEIFS(RC_IN[MC],RC_IN[BLOCK],RC_OUT[BLOCK]),"")</f>
        <v/>
      </c>
      <c r="J1042" s="264">
        <f t="shared" si="1"/>
        <v>0</v>
      </c>
      <c r="K1042" s="246"/>
      <c r="L1042" s="246"/>
      <c r="M1042" s="249" t="str">
        <f t="shared" si="2"/>
        <v/>
      </c>
      <c r="N1042" s="266">
        <f t="shared" si="3"/>
        <v>0</v>
      </c>
      <c r="O1042" s="247"/>
      <c r="P1042" s="247"/>
      <c r="Q1042" s="247"/>
      <c r="R1042" s="247"/>
      <c r="S1042" s="247"/>
      <c r="T1042" s="247"/>
      <c r="U1042" s="247"/>
      <c r="V1042" s="247"/>
      <c r="W1042" s="247"/>
      <c r="X1042" s="247"/>
    </row>
    <row r="1043">
      <c r="A1043" s="273">
        <v>45890.0</v>
      </c>
      <c r="B1043" s="275" t="s">
        <v>1281</v>
      </c>
      <c r="C1043" s="275" t="s">
        <v>1294</v>
      </c>
      <c r="D1043" s="276">
        <v>1000.0</v>
      </c>
      <c r="E1043" s="275" t="s">
        <v>1017</v>
      </c>
      <c r="F1043" s="279"/>
      <c r="G1043" s="278" t="str">
        <f>IFNA(IF(VLOOKUP(RC_OUT[BLOCK],RC_IN[[BLOCK]:[BLOCK LOC]],2,FALSE)=0,"",VLOOKUP(RC_OUT[BLOCK],RC_IN[[BLOCK]:[BLOCK LOC]],2,FALSE)),"")</f>
        <v/>
      </c>
      <c r="I1043" s="263" t="str">
        <f>IFERROR(AVERAGEIFS(RC_IN[MC],RC_IN[BLOCK],RC_OUT[BLOCK]),"")</f>
        <v/>
      </c>
      <c r="J1043" s="264">
        <f t="shared" si="1"/>
        <v>0</v>
      </c>
      <c r="K1043" s="246"/>
      <c r="L1043" s="246"/>
      <c r="M1043" s="249" t="str">
        <f t="shared" si="2"/>
        <v/>
      </c>
      <c r="N1043" s="266">
        <f t="shared" si="3"/>
        <v>0</v>
      </c>
      <c r="O1043" s="247"/>
      <c r="P1043" s="247"/>
      <c r="Q1043" s="247"/>
      <c r="R1043" s="247"/>
      <c r="S1043" s="247"/>
      <c r="T1043" s="247"/>
      <c r="U1043" s="247"/>
      <c r="V1043" s="247"/>
      <c r="W1043" s="247"/>
      <c r="X1043" s="247"/>
    </row>
    <row r="1044">
      <c r="A1044" s="273">
        <v>45890.0</v>
      </c>
      <c r="B1044" s="275" t="s">
        <v>1281</v>
      </c>
      <c r="C1044" s="275" t="s">
        <v>1295</v>
      </c>
      <c r="D1044" s="276">
        <v>5947.0</v>
      </c>
      <c r="E1044" s="275" t="s">
        <v>1017</v>
      </c>
      <c r="F1044" s="279"/>
      <c r="G1044" s="278" t="str">
        <f>IFNA(IF(VLOOKUP(RC_OUT[BLOCK],RC_IN[[BLOCK]:[BLOCK LOC]],2,FALSE)=0,"",VLOOKUP(RC_OUT[BLOCK],RC_IN[[BLOCK]:[BLOCK LOC]],2,FALSE)),"")</f>
        <v/>
      </c>
      <c r="I1044" s="263" t="str">
        <f>IFERROR(AVERAGEIFS(RC_IN[MC],RC_IN[BLOCK],RC_OUT[BLOCK]),"")</f>
        <v/>
      </c>
      <c r="J1044" s="264">
        <f t="shared" si="1"/>
        <v>0</v>
      </c>
      <c r="K1044" s="246"/>
      <c r="L1044" s="246"/>
      <c r="M1044" s="249" t="str">
        <f t="shared" si="2"/>
        <v/>
      </c>
      <c r="N1044" s="266">
        <f t="shared" si="3"/>
        <v>0</v>
      </c>
      <c r="O1044" s="247"/>
      <c r="P1044" s="247"/>
      <c r="Q1044" s="247"/>
      <c r="R1044" s="247"/>
      <c r="S1044" s="247"/>
      <c r="T1044" s="247"/>
      <c r="U1044" s="247"/>
      <c r="V1044" s="247"/>
      <c r="W1044" s="247"/>
      <c r="X1044" s="247"/>
    </row>
    <row r="1045">
      <c r="A1045" s="273">
        <v>45890.0</v>
      </c>
      <c r="B1045" s="275" t="s">
        <v>1281</v>
      </c>
      <c r="C1045" s="275" t="s">
        <v>1296</v>
      </c>
      <c r="D1045" s="276">
        <v>11845.0</v>
      </c>
      <c r="E1045" s="275" t="s">
        <v>1017</v>
      </c>
      <c r="F1045" s="277" t="s">
        <v>1059</v>
      </c>
      <c r="G1045" s="278" t="str">
        <f>IFNA(IF(VLOOKUP(RC_OUT[BLOCK],RC_IN[[BLOCK]:[BLOCK LOC]],2,FALSE)=0,"",VLOOKUP(RC_OUT[BLOCK],RC_IN[[BLOCK]:[BLOCK LOC]],2,FALSE)),"")</f>
        <v/>
      </c>
      <c r="I1045" s="263" t="str">
        <f>IFERROR(AVERAGEIFS(RC_IN[MC],RC_IN[BLOCK],RC_OUT[BLOCK]),"")</f>
        <v/>
      </c>
      <c r="J1045" s="264">
        <f t="shared" si="1"/>
        <v>0</v>
      </c>
      <c r="K1045" s="246"/>
      <c r="L1045" s="246"/>
      <c r="M1045" s="249" t="str">
        <f t="shared" si="2"/>
        <v/>
      </c>
      <c r="N1045" s="266">
        <f t="shared" si="3"/>
        <v>0</v>
      </c>
      <c r="O1045" s="247"/>
      <c r="P1045" s="247"/>
      <c r="Q1045" s="247"/>
      <c r="R1045" s="247"/>
      <c r="S1045" s="247"/>
      <c r="T1045" s="247"/>
      <c r="U1045" s="247"/>
      <c r="V1045" s="247"/>
      <c r="W1045" s="247"/>
      <c r="X1045" s="247"/>
    </row>
    <row r="1046">
      <c r="A1046" s="273">
        <v>45890.0</v>
      </c>
      <c r="B1046" s="275" t="s">
        <v>1281</v>
      </c>
      <c r="C1046" s="275" t="s">
        <v>1297</v>
      </c>
      <c r="D1046" s="276">
        <v>11820.0</v>
      </c>
      <c r="E1046" s="275" t="s">
        <v>1017</v>
      </c>
      <c r="F1046" s="279"/>
      <c r="G1046" s="278" t="str">
        <f>IFNA(IF(VLOOKUP(RC_OUT[BLOCK],RC_IN[[BLOCK]:[BLOCK LOC]],2,FALSE)=0,"",VLOOKUP(RC_OUT[BLOCK],RC_IN[[BLOCK]:[BLOCK LOC]],2,FALSE)),"")</f>
        <v/>
      </c>
      <c r="I1046" s="263" t="str">
        <f>IFERROR(AVERAGEIFS(RC_IN[MC],RC_IN[BLOCK],RC_OUT[BLOCK]),"")</f>
        <v/>
      </c>
      <c r="J1046" s="264">
        <f t="shared" si="1"/>
        <v>0</v>
      </c>
      <c r="K1046" s="246"/>
      <c r="L1046" s="246"/>
      <c r="M1046" s="249" t="str">
        <f t="shared" si="2"/>
        <v/>
      </c>
      <c r="N1046" s="266">
        <f t="shared" si="3"/>
        <v>0</v>
      </c>
      <c r="O1046" s="247"/>
      <c r="P1046" s="247"/>
      <c r="Q1046" s="247"/>
      <c r="R1046" s="247"/>
      <c r="S1046" s="247"/>
      <c r="T1046" s="247"/>
      <c r="U1046" s="247"/>
      <c r="V1046" s="247"/>
      <c r="W1046" s="247"/>
      <c r="X1046" s="247"/>
    </row>
    <row r="1047">
      <c r="A1047" s="274"/>
      <c r="B1047" s="274"/>
      <c r="C1047" s="274"/>
      <c r="D1047" s="283"/>
      <c r="E1047" s="274"/>
      <c r="F1047" s="279"/>
      <c r="G1047" s="278" t="str">
        <f>IFNA(IF(VLOOKUP(RC_OUT[BLOCK],RC_IN[[BLOCK]:[BLOCK LOC]],2,FALSE)=0,"",VLOOKUP(RC_OUT[BLOCK],RC_IN[[BLOCK]:[BLOCK LOC]],2,FALSE)),"")</f>
        <v/>
      </c>
      <c r="I1047" s="263" t="str">
        <f>IFERROR(AVERAGEIFS(RC_IN[MC],RC_IN[BLOCK],RC_OUT[BLOCK]),"")</f>
        <v/>
      </c>
      <c r="J1047" s="264">
        <f t="shared" si="1"/>
        <v>0</v>
      </c>
      <c r="K1047" s="246"/>
      <c r="L1047" s="246"/>
      <c r="M1047" s="249" t="str">
        <f t="shared" si="2"/>
        <v/>
      </c>
      <c r="N1047" s="266">
        <f t="shared" si="3"/>
        <v>0</v>
      </c>
      <c r="O1047" s="247"/>
      <c r="P1047" s="247"/>
      <c r="Q1047" s="247"/>
      <c r="R1047" s="247"/>
      <c r="S1047" s="247"/>
      <c r="T1047" s="247"/>
      <c r="U1047" s="247"/>
      <c r="V1047" s="247"/>
      <c r="W1047" s="247"/>
      <c r="X1047" s="247"/>
    </row>
    <row r="1048">
      <c r="A1048" s="273">
        <v>45891.0</v>
      </c>
      <c r="B1048" s="275" t="s">
        <v>1281</v>
      </c>
      <c r="C1048" s="275" t="s">
        <v>1294</v>
      </c>
      <c r="D1048" s="276">
        <v>1000.0</v>
      </c>
      <c r="E1048" s="275" t="s">
        <v>1017</v>
      </c>
      <c r="F1048" s="279"/>
      <c r="G1048" s="278" t="str">
        <f>IFNA(IF(VLOOKUP(RC_OUT[BLOCK],RC_IN[[BLOCK]:[BLOCK LOC]],2,FALSE)=0,"",VLOOKUP(RC_OUT[BLOCK],RC_IN[[BLOCK]:[BLOCK LOC]],2,FALSE)),"")</f>
        <v/>
      </c>
      <c r="I1048" s="263" t="str">
        <f>IFERROR(AVERAGEIFS(RC_IN[MC],RC_IN[BLOCK],RC_OUT[BLOCK]),"")</f>
        <v/>
      </c>
      <c r="J1048" s="264">
        <f t="shared" si="1"/>
        <v>0</v>
      </c>
      <c r="K1048" s="246"/>
      <c r="L1048" s="246"/>
      <c r="M1048" s="249" t="str">
        <f t="shared" si="2"/>
        <v/>
      </c>
      <c r="N1048" s="266">
        <f t="shared" si="3"/>
        <v>0</v>
      </c>
      <c r="O1048" s="247"/>
      <c r="P1048" s="247"/>
      <c r="Q1048" s="247"/>
      <c r="R1048" s="247"/>
      <c r="S1048" s="247"/>
      <c r="T1048" s="247"/>
      <c r="U1048" s="247"/>
      <c r="V1048" s="247"/>
      <c r="W1048" s="247"/>
      <c r="X1048" s="247"/>
    </row>
    <row r="1049">
      <c r="A1049" s="273">
        <v>45891.0</v>
      </c>
      <c r="B1049" s="275" t="s">
        <v>1281</v>
      </c>
      <c r="C1049" s="275" t="s">
        <v>1295</v>
      </c>
      <c r="D1049" s="276">
        <v>3491.0</v>
      </c>
      <c r="E1049" s="275" t="s">
        <v>1017</v>
      </c>
      <c r="F1049" s="279"/>
      <c r="G1049" s="278" t="str">
        <f>IFNA(IF(VLOOKUP(RC_OUT[BLOCK],RC_IN[[BLOCK]:[BLOCK LOC]],2,FALSE)=0,"",VLOOKUP(RC_OUT[BLOCK],RC_IN[[BLOCK]:[BLOCK LOC]],2,FALSE)),"")</f>
        <v/>
      </c>
      <c r="I1049" s="263" t="str">
        <f>IFERROR(AVERAGEIFS(RC_IN[MC],RC_IN[BLOCK],RC_OUT[BLOCK]),"")</f>
        <v/>
      </c>
      <c r="J1049" s="264">
        <f t="shared" si="1"/>
        <v>0</v>
      </c>
      <c r="K1049" s="246"/>
      <c r="L1049" s="246"/>
      <c r="M1049" s="249" t="str">
        <f t="shared" si="2"/>
        <v/>
      </c>
      <c r="N1049" s="266">
        <f t="shared" si="3"/>
        <v>0</v>
      </c>
      <c r="O1049" s="247"/>
      <c r="P1049" s="247"/>
      <c r="Q1049" s="247"/>
      <c r="R1049" s="247"/>
      <c r="S1049" s="247"/>
      <c r="T1049" s="247"/>
      <c r="U1049" s="247"/>
      <c r="V1049" s="247"/>
      <c r="W1049" s="247"/>
      <c r="X1049" s="247"/>
    </row>
    <row r="1050">
      <c r="A1050" s="273">
        <v>45891.0</v>
      </c>
      <c r="B1050" s="275" t="s">
        <v>1281</v>
      </c>
      <c r="C1050" s="275" t="s">
        <v>1297</v>
      </c>
      <c r="D1050" s="276">
        <v>14055.0</v>
      </c>
      <c r="E1050" s="275" t="s">
        <v>1017</v>
      </c>
      <c r="F1050" s="279"/>
      <c r="G1050" s="278" t="str">
        <f>IFNA(IF(VLOOKUP(RC_OUT[BLOCK],RC_IN[[BLOCK]:[BLOCK LOC]],2,FALSE)=0,"",VLOOKUP(RC_OUT[BLOCK],RC_IN[[BLOCK]:[BLOCK LOC]],2,FALSE)),"")</f>
        <v/>
      </c>
      <c r="I1050" s="263" t="str">
        <f>IFERROR(AVERAGEIFS(RC_IN[MC],RC_IN[BLOCK],RC_OUT[BLOCK]),"")</f>
        <v/>
      </c>
      <c r="J1050" s="264">
        <f t="shared" si="1"/>
        <v>0</v>
      </c>
      <c r="K1050" s="246"/>
      <c r="L1050" s="246"/>
      <c r="M1050" s="249" t="str">
        <f t="shared" si="2"/>
        <v/>
      </c>
      <c r="N1050" s="266">
        <f t="shared" si="3"/>
        <v>0</v>
      </c>
      <c r="O1050" s="247"/>
      <c r="P1050" s="247"/>
      <c r="Q1050" s="247"/>
      <c r="R1050" s="247"/>
      <c r="S1050" s="247"/>
      <c r="T1050" s="247"/>
      <c r="U1050" s="247"/>
      <c r="V1050" s="247"/>
      <c r="W1050" s="247"/>
      <c r="X1050" s="247"/>
    </row>
    <row r="1051">
      <c r="A1051" s="273">
        <v>45891.0</v>
      </c>
      <c r="B1051" s="275" t="s">
        <v>1281</v>
      </c>
      <c r="C1051" s="275" t="s">
        <v>1298</v>
      </c>
      <c r="D1051" s="276">
        <v>15559.0</v>
      </c>
      <c r="E1051" s="275" t="s">
        <v>1017</v>
      </c>
      <c r="F1051" s="279"/>
      <c r="G1051" s="278" t="str">
        <f>IFNA(IF(VLOOKUP(RC_OUT[BLOCK],RC_IN[[BLOCK]:[BLOCK LOC]],2,FALSE)=0,"",VLOOKUP(RC_OUT[BLOCK],RC_IN[[BLOCK]:[BLOCK LOC]],2,FALSE)),"")</f>
        <v/>
      </c>
      <c r="I1051" s="263" t="str">
        <f>IFERROR(AVERAGEIFS(RC_IN[MC],RC_IN[BLOCK],RC_OUT[BLOCK]),"")</f>
        <v/>
      </c>
      <c r="J1051" s="264">
        <f t="shared" si="1"/>
        <v>0</v>
      </c>
      <c r="K1051" s="246"/>
      <c r="L1051" s="246"/>
      <c r="M1051" s="249" t="str">
        <f t="shared" si="2"/>
        <v/>
      </c>
      <c r="N1051" s="266">
        <f t="shared" si="3"/>
        <v>0</v>
      </c>
      <c r="O1051" s="247"/>
      <c r="P1051" s="247"/>
      <c r="Q1051" s="247"/>
      <c r="R1051" s="247"/>
      <c r="S1051" s="247"/>
      <c r="T1051" s="247"/>
      <c r="U1051" s="247"/>
      <c r="V1051" s="247"/>
      <c r="W1051" s="247"/>
      <c r="X1051" s="247"/>
    </row>
    <row r="1052">
      <c r="A1052" s="274"/>
      <c r="B1052" s="274"/>
      <c r="C1052" s="274"/>
      <c r="D1052" s="283"/>
      <c r="E1052" s="274"/>
      <c r="F1052" s="279"/>
      <c r="G1052" s="278" t="str">
        <f>IFNA(IF(VLOOKUP(RC_OUT[BLOCK],RC_IN[[BLOCK]:[BLOCK LOC]],2,FALSE)=0,"",VLOOKUP(RC_OUT[BLOCK],RC_IN[[BLOCK]:[BLOCK LOC]],2,FALSE)),"")</f>
        <v/>
      </c>
      <c r="I1052" s="263" t="str">
        <f>IFERROR(AVERAGEIFS(RC_IN[MC],RC_IN[BLOCK],RC_OUT[BLOCK]),"")</f>
        <v/>
      </c>
      <c r="J1052" s="264">
        <f t="shared" si="1"/>
        <v>0</v>
      </c>
      <c r="K1052" s="246"/>
      <c r="L1052" s="246"/>
      <c r="M1052" s="249" t="str">
        <f t="shared" si="2"/>
        <v/>
      </c>
      <c r="N1052" s="266">
        <f t="shared" si="3"/>
        <v>0</v>
      </c>
      <c r="O1052" s="247"/>
      <c r="P1052" s="247"/>
      <c r="Q1052" s="247"/>
      <c r="R1052" s="247"/>
      <c r="S1052" s="247"/>
      <c r="T1052" s="247"/>
      <c r="U1052" s="247"/>
      <c r="V1052" s="247"/>
      <c r="W1052" s="247"/>
      <c r="X1052" s="247"/>
    </row>
    <row r="1053">
      <c r="A1053" s="273">
        <v>45895.0</v>
      </c>
      <c r="B1053" s="275" t="s">
        <v>1281</v>
      </c>
      <c r="C1053" s="275" t="s">
        <v>1294</v>
      </c>
      <c r="D1053" s="276">
        <v>4000.0</v>
      </c>
      <c r="E1053" s="275" t="s">
        <v>1017</v>
      </c>
      <c r="F1053" s="277" t="s">
        <v>1059</v>
      </c>
      <c r="G1053" s="278" t="str">
        <f>IFNA(IF(VLOOKUP(RC_OUT[BLOCK],RC_IN[[BLOCK]:[BLOCK LOC]],2,FALSE)=0,"",VLOOKUP(RC_OUT[BLOCK],RC_IN[[BLOCK]:[BLOCK LOC]],2,FALSE)),"")</f>
        <v/>
      </c>
      <c r="I1053" s="263" t="str">
        <f>IFERROR(AVERAGEIFS(RC_IN[MC],RC_IN[BLOCK],RC_OUT[BLOCK]),"")</f>
        <v/>
      </c>
      <c r="J1053" s="264">
        <f t="shared" si="1"/>
        <v>0</v>
      </c>
      <c r="K1053" s="246"/>
      <c r="L1053" s="246"/>
      <c r="M1053" s="249" t="str">
        <f t="shared" si="2"/>
        <v/>
      </c>
      <c r="N1053" s="266">
        <f t="shared" si="3"/>
        <v>0</v>
      </c>
      <c r="O1053" s="247"/>
      <c r="P1053" s="247"/>
      <c r="Q1053" s="247"/>
      <c r="R1053" s="247"/>
      <c r="S1053" s="247"/>
      <c r="T1053" s="247"/>
      <c r="U1053" s="247"/>
      <c r="V1053" s="247"/>
      <c r="W1053" s="247"/>
      <c r="X1053" s="247"/>
    </row>
    <row r="1054">
      <c r="A1054" s="273">
        <v>45895.0</v>
      </c>
      <c r="B1054" s="275" t="s">
        <v>1281</v>
      </c>
      <c r="C1054" s="275" t="s">
        <v>1295</v>
      </c>
      <c r="D1054" s="276">
        <v>7357.0</v>
      </c>
      <c r="E1054" s="275" t="s">
        <v>1017</v>
      </c>
      <c r="F1054" s="279"/>
      <c r="G1054" s="278" t="str">
        <f>IFNA(IF(VLOOKUP(RC_OUT[BLOCK],RC_IN[[BLOCK]:[BLOCK LOC]],2,FALSE)=0,"",VLOOKUP(RC_OUT[BLOCK],RC_IN[[BLOCK]:[BLOCK LOC]],2,FALSE)),"")</f>
        <v/>
      </c>
      <c r="I1054" s="263" t="str">
        <f>IFERROR(AVERAGEIFS(RC_IN[MC],RC_IN[BLOCK],RC_OUT[BLOCK]),"")</f>
        <v/>
      </c>
      <c r="J1054" s="264">
        <f t="shared" si="1"/>
        <v>0</v>
      </c>
      <c r="K1054" s="246"/>
      <c r="L1054" s="246"/>
      <c r="M1054" s="249" t="str">
        <f t="shared" si="2"/>
        <v/>
      </c>
      <c r="N1054" s="266">
        <f t="shared" si="3"/>
        <v>0</v>
      </c>
      <c r="O1054" s="247"/>
      <c r="P1054" s="247"/>
      <c r="Q1054" s="247"/>
      <c r="R1054" s="247"/>
      <c r="S1054" s="247"/>
      <c r="T1054" s="247"/>
      <c r="U1054" s="247"/>
      <c r="V1054" s="247"/>
      <c r="W1054" s="247"/>
      <c r="X1054" s="247"/>
    </row>
    <row r="1055">
      <c r="A1055" s="273">
        <v>45895.0</v>
      </c>
      <c r="B1055" s="275" t="s">
        <v>1281</v>
      </c>
      <c r="C1055" s="275" t="s">
        <v>1297</v>
      </c>
      <c r="D1055" s="276">
        <v>2496.0</v>
      </c>
      <c r="E1055" s="275" t="s">
        <v>1017</v>
      </c>
      <c r="F1055" s="277" t="s">
        <v>1059</v>
      </c>
      <c r="G1055" s="278" t="str">
        <f>IFNA(IF(VLOOKUP(RC_OUT[BLOCK],RC_IN[[BLOCK]:[BLOCK LOC]],2,FALSE)=0,"",VLOOKUP(RC_OUT[BLOCK],RC_IN[[BLOCK]:[BLOCK LOC]],2,FALSE)),"")</f>
        <v/>
      </c>
      <c r="I1055" s="263" t="str">
        <f>IFERROR(AVERAGEIFS(RC_IN[MC],RC_IN[BLOCK],RC_OUT[BLOCK]),"")</f>
        <v/>
      </c>
      <c r="J1055" s="264">
        <f t="shared" si="1"/>
        <v>0</v>
      </c>
      <c r="K1055" s="246"/>
      <c r="L1055" s="246"/>
      <c r="M1055" s="249" t="str">
        <f t="shared" si="2"/>
        <v/>
      </c>
      <c r="N1055" s="266">
        <f t="shared" si="3"/>
        <v>0</v>
      </c>
      <c r="O1055" s="247"/>
      <c r="P1055" s="247"/>
      <c r="Q1055" s="247"/>
      <c r="R1055" s="247"/>
      <c r="S1055" s="247"/>
      <c r="T1055" s="247"/>
      <c r="U1055" s="247"/>
      <c r="V1055" s="247"/>
      <c r="W1055" s="247"/>
      <c r="X1055" s="247"/>
    </row>
    <row r="1056">
      <c r="A1056" s="273">
        <v>45895.0</v>
      </c>
      <c r="B1056" s="275" t="s">
        <v>1281</v>
      </c>
      <c r="C1056" s="275" t="s">
        <v>1298</v>
      </c>
      <c r="D1056" s="276">
        <v>21270.0</v>
      </c>
      <c r="E1056" s="275" t="s">
        <v>1017</v>
      </c>
      <c r="F1056" s="279"/>
      <c r="G1056" s="278" t="str">
        <f>IFNA(IF(VLOOKUP(RC_OUT[BLOCK],RC_IN[[BLOCK]:[BLOCK LOC]],2,FALSE)=0,"",VLOOKUP(RC_OUT[BLOCK],RC_IN[[BLOCK]:[BLOCK LOC]],2,FALSE)),"")</f>
        <v/>
      </c>
      <c r="I1056" s="263" t="str">
        <f>IFERROR(AVERAGEIFS(RC_IN[MC],RC_IN[BLOCK],RC_OUT[BLOCK]),"")</f>
        <v/>
      </c>
      <c r="J1056" s="264">
        <f t="shared" si="1"/>
        <v>0</v>
      </c>
      <c r="K1056" s="246"/>
      <c r="L1056" s="246"/>
      <c r="M1056" s="249" t="str">
        <f t="shared" si="2"/>
        <v/>
      </c>
      <c r="N1056" s="266">
        <f t="shared" si="3"/>
        <v>0</v>
      </c>
      <c r="O1056" s="247"/>
      <c r="P1056" s="247"/>
      <c r="Q1056" s="247"/>
      <c r="R1056" s="247"/>
      <c r="S1056" s="247"/>
      <c r="T1056" s="247"/>
      <c r="U1056" s="247"/>
      <c r="V1056" s="247"/>
      <c r="W1056" s="247"/>
      <c r="X1056" s="247"/>
    </row>
    <row r="1057">
      <c r="A1057" s="274"/>
      <c r="B1057" s="274"/>
      <c r="C1057" s="274"/>
      <c r="D1057" s="283"/>
      <c r="E1057" s="274"/>
      <c r="F1057" s="279"/>
      <c r="G1057" s="278" t="str">
        <f>IFNA(IF(VLOOKUP(RC_OUT[BLOCK],RC_IN[[BLOCK]:[BLOCK LOC]],2,FALSE)=0,"",VLOOKUP(RC_OUT[BLOCK],RC_IN[[BLOCK]:[BLOCK LOC]],2,FALSE)),"")</f>
        <v/>
      </c>
      <c r="I1057" s="263" t="str">
        <f>IFERROR(AVERAGEIFS(RC_IN[MC],RC_IN[BLOCK],RC_OUT[BLOCK]),"")</f>
        <v/>
      </c>
      <c r="J1057" s="264">
        <f t="shared" si="1"/>
        <v>0</v>
      </c>
      <c r="K1057" s="246"/>
      <c r="L1057" s="246"/>
      <c r="M1057" s="249" t="str">
        <f t="shared" si="2"/>
        <v/>
      </c>
      <c r="N1057" s="266">
        <f t="shared" si="3"/>
        <v>0</v>
      </c>
      <c r="O1057" s="247"/>
      <c r="P1057" s="247"/>
      <c r="Q1057" s="247"/>
      <c r="R1057" s="247"/>
      <c r="S1057" s="247"/>
      <c r="T1057" s="247"/>
      <c r="U1057" s="247"/>
      <c r="V1057" s="247"/>
      <c r="W1057" s="247"/>
      <c r="X1057" s="247"/>
    </row>
    <row r="1058">
      <c r="A1058" s="273">
        <v>45896.0</v>
      </c>
      <c r="B1058" s="275" t="s">
        <v>1281</v>
      </c>
      <c r="C1058" s="275" t="s">
        <v>1295</v>
      </c>
      <c r="D1058" s="276">
        <v>4066.0</v>
      </c>
      <c r="E1058" s="275" t="s">
        <v>1017</v>
      </c>
      <c r="F1058" s="279"/>
      <c r="G1058" s="278" t="str">
        <f>IFNA(IF(VLOOKUP(RC_OUT[BLOCK],RC_IN[[BLOCK]:[BLOCK LOC]],2,FALSE)=0,"",VLOOKUP(RC_OUT[BLOCK],RC_IN[[BLOCK]:[BLOCK LOC]],2,FALSE)),"")</f>
        <v/>
      </c>
      <c r="I1058" s="263" t="str">
        <f>IFERROR(AVERAGEIFS(RC_IN[MC],RC_IN[BLOCK],RC_OUT[BLOCK]),"")</f>
        <v/>
      </c>
      <c r="J1058" s="264">
        <f t="shared" si="1"/>
        <v>0</v>
      </c>
      <c r="K1058" s="246"/>
      <c r="L1058" s="246"/>
      <c r="M1058" s="249" t="str">
        <f t="shared" si="2"/>
        <v/>
      </c>
      <c r="N1058" s="266">
        <f t="shared" si="3"/>
        <v>0</v>
      </c>
      <c r="O1058" s="247"/>
      <c r="P1058" s="247"/>
      <c r="Q1058" s="247"/>
      <c r="R1058" s="247"/>
      <c r="S1058" s="247"/>
      <c r="T1058" s="247"/>
      <c r="U1058" s="247"/>
      <c r="V1058" s="247"/>
      <c r="W1058" s="247"/>
      <c r="X1058" s="247"/>
    </row>
    <row r="1059">
      <c r="A1059" s="273">
        <v>45896.0</v>
      </c>
      <c r="B1059" s="275" t="s">
        <v>1281</v>
      </c>
      <c r="C1059" s="275" t="s">
        <v>1298</v>
      </c>
      <c r="D1059" s="276">
        <v>11012.0</v>
      </c>
      <c r="E1059" s="275" t="s">
        <v>1017</v>
      </c>
      <c r="F1059" s="277" t="s">
        <v>1059</v>
      </c>
      <c r="G1059" s="278" t="str">
        <f>IFNA(IF(VLOOKUP(RC_OUT[BLOCK],RC_IN[[BLOCK]:[BLOCK LOC]],2,FALSE)=0,"",VLOOKUP(RC_OUT[BLOCK],RC_IN[[BLOCK]:[BLOCK LOC]],2,FALSE)),"")</f>
        <v/>
      </c>
      <c r="I1059" s="263" t="str">
        <f>IFERROR(AVERAGEIFS(RC_IN[MC],RC_IN[BLOCK],RC_OUT[BLOCK]),"")</f>
        <v/>
      </c>
      <c r="J1059" s="264">
        <f t="shared" si="1"/>
        <v>0</v>
      </c>
      <c r="K1059" s="246"/>
      <c r="L1059" s="246"/>
      <c r="M1059" s="249" t="str">
        <f t="shared" si="2"/>
        <v/>
      </c>
      <c r="N1059" s="266">
        <f t="shared" si="3"/>
        <v>0</v>
      </c>
      <c r="O1059" s="247"/>
      <c r="P1059" s="247"/>
      <c r="Q1059" s="247"/>
      <c r="R1059" s="247"/>
      <c r="S1059" s="247"/>
      <c r="T1059" s="247"/>
      <c r="U1059" s="247"/>
      <c r="V1059" s="247"/>
      <c r="W1059" s="247"/>
      <c r="X1059" s="247"/>
    </row>
    <row r="1060">
      <c r="A1060" s="273">
        <v>45896.0</v>
      </c>
      <c r="B1060" s="275" t="s">
        <v>1281</v>
      </c>
      <c r="C1060" s="275" t="s">
        <v>1280</v>
      </c>
      <c r="D1060" s="276">
        <v>13036.0</v>
      </c>
      <c r="E1060" s="275" t="s">
        <v>1017</v>
      </c>
      <c r="F1060" s="277" t="s">
        <v>1059</v>
      </c>
      <c r="G1060" s="278" t="str">
        <f>IFNA(IF(VLOOKUP(RC_OUT[BLOCK],RC_IN[[BLOCK]:[BLOCK LOC]],2,FALSE)=0,"",VLOOKUP(RC_OUT[BLOCK],RC_IN[[BLOCK]:[BLOCK LOC]],2,FALSE)),"")</f>
        <v/>
      </c>
      <c r="I1060" s="263" t="str">
        <f>IFERROR(AVERAGEIFS(RC_IN[MC],RC_IN[BLOCK],RC_OUT[BLOCK]),"")</f>
        <v/>
      </c>
      <c r="J1060" s="264">
        <f t="shared" si="1"/>
        <v>0</v>
      </c>
      <c r="K1060" s="246"/>
      <c r="L1060" s="246"/>
      <c r="M1060" s="249" t="str">
        <f t="shared" si="2"/>
        <v/>
      </c>
      <c r="N1060" s="266">
        <f t="shared" si="3"/>
        <v>0</v>
      </c>
      <c r="O1060" s="247"/>
      <c r="P1060" s="247"/>
      <c r="Q1060" s="247"/>
      <c r="R1060" s="247"/>
      <c r="S1060" s="247"/>
      <c r="T1060" s="247"/>
      <c r="U1060" s="247"/>
      <c r="V1060" s="247"/>
      <c r="W1060" s="247"/>
      <c r="X1060" s="247"/>
    </row>
    <row r="1061">
      <c r="A1061" s="273">
        <v>45896.0</v>
      </c>
      <c r="B1061" s="275" t="s">
        <v>1281</v>
      </c>
      <c r="C1061" s="275" t="s">
        <v>1299</v>
      </c>
      <c r="D1061" s="276">
        <v>1255.0</v>
      </c>
      <c r="E1061" s="275" t="s">
        <v>1017</v>
      </c>
      <c r="F1061" s="279"/>
      <c r="G1061" s="278" t="str">
        <f>IFNA(IF(VLOOKUP(RC_OUT[BLOCK],RC_IN[[BLOCK]:[BLOCK LOC]],2,FALSE)=0,"",VLOOKUP(RC_OUT[BLOCK],RC_IN[[BLOCK]:[BLOCK LOC]],2,FALSE)),"")</f>
        <v/>
      </c>
      <c r="I1061" s="263" t="str">
        <f>IFERROR(AVERAGEIFS(RC_IN[MC],RC_IN[BLOCK],RC_OUT[BLOCK]),"")</f>
        <v/>
      </c>
      <c r="J1061" s="264">
        <f t="shared" si="1"/>
        <v>0</v>
      </c>
      <c r="K1061" s="246"/>
      <c r="L1061" s="246"/>
      <c r="M1061" s="249" t="str">
        <f t="shared" si="2"/>
        <v/>
      </c>
      <c r="N1061" s="266">
        <f t="shared" si="3"/>
        <v>0</v>
      </c>
      <c r="O1061" s="247"/>
      <c r="P1061" s="247"/>
      <c r="Q1061" s="247"/>
      <c r="R1061" s="247"/>
      <c r="S1061" s="247"/>
      <c r="T1061" s="247"/>
      <c r="U1061" s="247"/>
      <c r="V1061" s="247"/>
      <c r="W1061" s="247"/>
      <c r="X1061" s="247"/>
    </row>
    <row r="1062">
      <c r="A1062" s="274"/>
      <c r="B1062" s="274"/>
      <c r="C1062" s="274"/>
      <c r="D1062" s="283"/>
      <c r="E1062" s="274"/>
      <c r="F1062" s="279"/>
      <c r="G1062" s="278" t="str">
        <f>IFNA(IF(VLOOKUP(RC_OUT[BLOCK],RC_IN[[BLOCK]:[BLOCK LOC]],2,FALSE)=0,"",VLOOKUP(RC_OUT[BLOCK],RC_IN[[BLOCK]:[BLOCK LOC]],2,FALSE)),"")</f>
        <v/>
      </c>
      <c r="I1062" s="263" t="str">
        <f>IFERROR(AVERAGEIFS(RC_IN[MC],RC_IN[BLOCK],RC_OUT[BLOCK]),"")</f>
        <v/>
      </c>
      <c r="J1062" s="264">
        <f t="shared" si="1"/>
        <v>0</v>
      </c>
      <c r="K1062" s="246"/>
      <c r="L1062" s="246"/>
      <c r="M1062" s="249" t="str">
        <f t="shared" si="2"/>
        <v/>
      </c>
      <c r="N1062" s="266">
        <f t="shared" si="3"/>
        <v>0</v>
      </c>
      <c r="O1062" s="247"/>
      <c r="P1062" s="247"/>
      <c r="Q1062" s="247"/>
      <c r="R1062" s="247"/>
      <c r="S1062" s="247"/>
      <c r="T1062" s="247"/>
      <c r="U1062" s="247"/>
      <c r="V1062" s="247"/>
      <c r="W1062" s="247"/>
      <c r="X1062" s="247"/>
    </row>
    <row r="1063">
      <c r="A1063" s="273">
        <v>45897.0</v>
      </c>
      <c r="B1063" s="275" t="s">
        <v>1281</v>
      </c>
      <c r="C1063" s="275" t="s">
        <v>1295</v>
      </c>
      <c r="D1063" s="276">
        <v>2500.0</v>
      </c>
      <c r="E1063" s="275" t="s">
        <v>1017</v>
      </c>
      <c r="F1063" s="279"/>
      <c r="G1063" s="278" t="str">
        <f>IFNA(IF(VLOOKUP(RC_OUT[BLOCK],RC_IN[[BLOCK]:[BLOCK LOC]],2,FALSE)=0,"",VLOOKUP(RC_OUT[BLOCK],RC_IN[[BLOCK]:[BLOCK LOC]],2,FALSE)),"")</f>
        <v/>
      </c>
      <c r="I1063" s="263" t="str">
        <f>IFERROR(AVERAGEIFS(RC_IN[MC],RC_IN[BLOCK],RC_OUT[BLOCK]),"")</f>
        <v/>
      </c>
      <c r="J1063" s="264">
        <f t="shared" si="1"/>
        <v>0</v>
      </c>
      <c r="K1063" s="246"/>
      <c r="L1063" s="246"/>
      <c r="M1063" s="249" t="str">
        <f t="shared" si="2"/>
        <v/>
      </c>
      <c r="N1063" s="266">
        <f t="shared" si="3"/>
        <v>0</v>
      </c>
      <c r="O1063" s="247"/>
      <c r="P1063" s="247"/>
      <c r="Q1063" s="247"/>
      <c r="R1063" s="247"/>
      <c r="S1063" s="247"/>
      <c r="T1063" s="247"/>
      <c r="U1063" s="247"/>
      <c r="V1063" s="247"/>
      <c r="W1063" s="247"/>
      <c r="X1063" s="247"/>
    </row>
    <row r="1064">
      <c r="A1064" s="273">
        <v>45897.0</v>
      </c>
      <c r="B1064" s="275" t="s">
        <v>1281</v>
      </c>
      <c r="C1064" s="275" t="s">
        <v>1299</v>
      </c>
      <c r="D1064" s="276">
        <v>1000.0</v>
      </c>
      <c r="E1064" s="275" t="s">
        <v>1017</v>
      </c>
      <c r="F1064" s="279"/>
      <c r="G1064" s="278" t="str">
        <f>IFNA(IF(VLOOKUP(RC_OUT[BLOCK],RC_IN[[BLOCK]:[BLOCK LOC]],2,FALSE)=0,"",VLOOKUP(RC_OUT[BLOCK],RC_IN[[BLOCK]:[BLOCK LOC]],2,FALSE)),"")</f>
        <v/>
      </c>
      <c r="I1064" s="263" t="str">
        <f>IFERROR(AVERAGEIFS(RC_IN[MC],RC_IN[BLOCK],RC_OUT[BLOCK]),"")</f>
        <v/>
      </c>
      <c r="J1064" s="264">
        <f t="shared" si="1"/>
        <v>0</v>
      </c>
      <c r="K1064" s="246"/>
      <c r="L1064" s="246"/>
      <c r="M1064" s="249" t="str">
        <f t="shared" si="2"/>
        <v/>
      </c>
      <c r="N1064" s="266">
        <f t="shared" si="3"/>
        <v>0</v>
      </c>
      <c r="O1064" s="247"/>
      <c r="P1064" s="247"/>
      <c r="Q1064" s="247"/>
      <c r="R1064" s="247"/>
      <c r="S1064" s="247"/>
      <c r="T1064" s="247"/>
      <c r="U1064" s="247"/>
      <c r="V1064" s="247"/>
      <c r="W1064" s="247"/>
      <c r="X1064" s="247"/>
    </row>
    <row r="1065">
      <c r="A1065" s="273">
        <v>45897.0</v>
      </c>
      <c r="B1065" s="275" t="s">
        <v>1281</v>
      </c>
      <c r="C1065" s="275" t="s">
        <v>1300</v>
      </c>
      <c r="D1065" s="276">
        <v>12785.0</v>
      </c>
      <c r="E1065" s="275" t="s">
        <v>1017</v>
      </c>
      <c r="F1065" s="279"/>
      <c r="G1065" s="278" t="str">
        <f>IFNA(IF(VLOOKUP(RC_OUT[BLOCK],RC_IN[[BLOCK]:[BLOCK LOC]],2,FALSE)=0,"",VLOOKUP(RC_OUT[BLOCK],RC_IN[[BLOCK]:[BLOCK LOC]],2,FALSE)),"")</f>
        <v/>
      </c>
      <c r="I1065" s="263" t="str">
        <f>IFERROR(AVERAGEIFS(RC_IN[MC],RC_IN[BLOCK],RC_OUT[BLOCK]),"")</f>
        <v/>
      </c>
      <c r="J1065" s="264">
        <f t="shared" si="1"/>
        <v>0</v>
      </c>
      <c r="K1065" s="246"/>
      <c r="L1065" s="246"/>
      <c r="M1065" s="249" t="str">
        <f t="shared" si="2"/>
        <v/>
      </c>
      <c r="N1065" s="266">
        <f t="shared" si="3"/>
        <v>0</v>
      </c>
      <c r="O1065" s="247"/>
      <c r="P1065" s="247"/>
      <c r="Q1065" s="247"/>
      <c r="R1065" s="247"/>
      <c r="S1065" s="247"/>
      <c r="T1065" s="247"/>
      <c r="U1065" s="247"/>
      <c r="V1065" s="247"/>
      <c r="W1065" s="247"/>
      <c r="X1065" s="247"/>
    </row>
    <row r="1066">
      <c r="A1066" s="273">
        <v>45897.0</v>
      </c>
      <c r="B1066" s="275" t="s">
        <v>1281</v>
      </c>
      <c r="C1066" s="275" t="s">
        <v>1301</v>
      </c>
      <c r="D1066" s="276">
        <v>12672.0</v>
      </c>
      <c r="E1066" s="275" t="s">
        <v>1017</v>
      </c>
      <c r="F1066" s="279"/>
      <c r="G1066" s="278" t="str">
        <f>IFNA(IF(VLOOKUP(RC_OUT[BLOCK],RC_IN[[BLOCK]:[BLOCK LOC]],2,FALSE)=0,"",VLOOKUP(RC_OUT[BLOCK],RC_IN[[BLOCK]:[BLOCK LOC]],2,FALSE)),"")</f>
        <v/>
      </c>
      <c r="I1066" s="263" t="str">
        <f>IFERROR(AVERAGEIFS(RC_IN[MC],RC_IN[BLOCK],RC_OUT[BLOCK]),"")</f>
        <v/>
      </c>
      <c r="J1066" s="264">
        <f t="shared" si="1"/>
        <v>0</v>
      </c>
      <c r="K1066" s="246"/>
      <c r="L1066" s="246"/>
      <c r="M1066" s="249" t="str">
        <f t="shared" si="2"/>
        <v/>
      </c>
      <c r="N1066" s="266">
        <f t="shared" si="3"/>
        <v>0</v>
      </c>
      <c r="O1066" s="247"/>
      <c r="P1066" s="247"/>
      <c r="Q1066" s="247"/>
      <c r="R1066" s="247"/>
      <c r="S1066" s="247"/>
      <c r="T1066" s="247"/>
      <c r="U1066" s="247"/>
      <c r="V1066" s="247"/>
      <c r="W1066" s="247"/>
      <c r="X1066" s="247"/>
    </row>
    <row r="1067">
      <c r="A1067" s="274"/>
      <c r="B1067" s="274"/>
      <c r="C1067" s="274"/>
      <c r="D1067" s="283"/>
      <c r="E1067" s="274"/>
      <c r="F1067" s="279"/>
      <c r="G1067" s="278" t="str">
        <f>IFNA(IF(VLOOKUP(RC_OUT[BLOCK],RC_IN[[BLOCK]:[BLOCK LOC]],2,FALSE)=0,"",VLOOKUP(RC_OUT[BLOCK],RC_IN[[BLOCK]:[BLOCK LOC]],2,FALSE)),"")</f>
        <v/>
      </c>
      <c r="I1067" s="263" t="str">
        <f>IFERROR(AVERAGEIFS(RC_IN[MC],RC_IN[BLOCK],RC_OUT[BLOCK]),"")</f>
        <v/>
      </c>
      <c r="J1067" s="264">
        <f t="shared" si="1"/>
        <v>0</v>
      </c>
      <c r="K1067" s="246"/>
      <c r="L1067" s="246"/>
      <c r="M1067" s="249" t="str">
        <f t="shared" si="2"/>
        <v/>
      </c>
      <c r="N1067" s="266">
        <f t="shared" si="3"/>
        <v>0</v>
      </c>
      <c r="O1067" s="247"/>
      <c r="P1067" s="247"/>
      <c r="Q1067" s="247"/>
      <c r="R1067" s="247"/>
      <c r="S1067" s="247"/>
      <c r="T1067" s="247"/>
      <c r="U1067" s="247"/>
      <c r="V1067" s="247"/>
      <c r="W1067" s="247"/>
      <c r="X1067" s="247"/>
    </row>
    <row r="1068">
      <c r="A1068" s="273">
        <v>45898.0</v>
      </c>
      <c r="B1068" s="275" t="s">
        <v>1281</v>
      </c>
      <c r="C1068" s="275" t="s">
        <v>1295</v>
      </c>
      <c r="D1068" s="276">
        <v>1421.0</v>
      </c>
      <c r="E1068" s="275" t="s">
        <v>1017</v>
      </c>
      <c r="F1068" s="279"/>
      <c r="G1068" s="278" t="str">
        <f>IFNA(IF(VLOOKUP(RC_OUT[BLOCK],RC_IN[[BLOCK]:[BLOCK LOC]],2,FALSE)=0,"",VLOOKUP(RC_OUT[BLOCK],RC_IN[[BLOCK]:[BLOCK LOC]],2,FALSE)),"")</f>
        <v/>
      </c>
      <c r="I1068" s="263" t="str">
        <f>IFERROR(AVERAGEIFS(RC_IN[MC],RC_IN[BLOCK],RC_OUT[BLOCK]),"")</f>
        <v/>
      </c>
      <c r="J1068" s="264">
        <f t="shared" si="1"/>
        <v>0</v>
      </c>
      <c r="K1068" s="246"/>
      <c r="L1068" s="246"/>
      <c r="M1068" s="249" t="str">
        <f t="shared" si="2"/>
        <v/>
      </c>
      <c r="N1068" s="266">
        <f t="shared" si="3"/>
        <v>0</v>
      </c>
      <c r="O1068" s="247"/>
      <c r="P1068" s="247"/>
      <c r="Q1068" s="247"/>
      <c r="R1068" s="247"/>
      <c r="S1068" s="247"/>
      <c r="T1068" s="247"/>
      <c r="U1068" s="247"/>
      <c r="V1068" s="247"/>
      <c r="W1068" s="247"/>
      <c r="X1068" s="247"/>
    </row>
    <row r="1069">
      <c r="A1069" s="273">
        <v>45898.0</v>
      </c>
      <c r="B1069" s="275" t="s">
        <v>1281</v>
      </c>
      <c r="C1069" s="275" t="s">
        <v>1299</v>
      </c>
      <c r="D1069" s="276">
        <v>2000.0</v>
      </c>
      <c r="E1069" s="275" t="s">
        <v>1017</v>
      </c>
      <c r="F1069" s="279"/>
      <c r="G1069" s="278" t="str">
        <f>IFNA(IF(VLOOKUP(RC_OUT[BLOCK],RC_IN[[BLOCK]:[BLOCK LOC]],2,FALSE)=0,"",VLOOKUP(RC_OUT[BLOCK],RC_IN[[BLOCK]:[BLOCK LOC]],2,FALSE)),"")</f>
        <v/>
      </c>
      <c r="I1069" s="263" t="str">
        <f>IFERROR(AVERAGEIFS(RC_IN[MC],RC_IN[BLOCK],RC_OUT[BLOCK]),"")</f>
        <v/>
      </c>
      <c r="J1069" s="264">
        <f t="shared" si="1"/>
        <v>0</v>
      </c>
      <c r="K1069" s="246"/>
      <c r="L1069" s="246"/>
      <c r="M1069" s="249" t="str">
        <f t="shared" si="2"/>
        <v/>
      </c>
      <c r="N1069" s="266">
        <f t="shared" si="3"/>
        <v>0</v>
      </c>
      <c r="O1069" s="247"/>
      <c r="P1069" s="247"/>
      <c r="Q1069" s="247"/>
      <c r="R1069" s="247"/>
      <c r="S1069" s="247"/>
      <c r="T1069" s="247"/>
      <c r="U1069" s="247"/>
      <c r="V1069" s="247"/>
      <c r="W1069" s="247"/>
      <c r="X1069" s="247"/>
    </row>
    <row r="1070">
      <c r="A1070" s="273">
        <v>45898.0</v>
      </c>
      <c r="B1070" s="275" t="s">
        <v>1281</v>
      </c>
      <c r="C1070" s="275" t="s">
        <v>1300</v>
      </c>
      <c r="D1070" s="276">
        <v>5082.0</v>
      </c>
      <c r="E1070" s="275" t="s">
        <v>1017</v>
      </c>
      <c r="F1070" s="279"/>
      <c r="G1070" s="278" t="str">
        <f>IFNA(IF(VLOOKUP(RC_OUT[BLOCK],RC_IN[[BLOCK]:[BLOCK LOC]],2,FALSE)=0,"",VLOOKUP(RC_OUT[BLOCK],RC_IN[[BLOCK]:[BLOCK LOC]],2,FALSE)),"")</f>
        <v/>
      </c>
      <c r="I1070" s="263" t="str">
        <f>IFERROR(AVERAGEIFS(RC_IN[MC],RC_IN[BLOCK],RC_OUT[BLOCK]),"")</f>
        <v/>
      </c>
      <c r="J1070" s="264">
        <f t="shared" si="1"/>
        <v>0</v>
      </c>
      <c r="K1070" s="246"/>
      <c r="L1070" s="246"/>
      <c r="M1070" s="249" t="str">
        <f t="shared" si="2"/>
        <v/>
      </c>
      <c r="N1070" s="266">
        <f t="shared" si="3"/>
        <v>0</v>
      </c>
      <c r="O1070" s="247"/>
      <c r="P1070" s="247"/>
      <c r="Q1070" s="247"/>
      <c r="R1070" s="247"/>
      <c r="S1070" s="247"/>
      <c r="T1070" s="247"/>
      <c r="U1070" s="247"/>
      <c r="V1070" s="247"/>
      <c r="W1070" s="247"/>
      <c r="X1070" s="247"/>
    </row>
    <row r="1071">
      <c r="A1071" s="273">
        <v>45898.0</v>
      </c>
      <c r="B1071" s="275" t="s">
        <v>1281</v>
      </c>
      <c r="C1071" s="275" t="s">
        <v>1301</v>
      </c>
      <c r="D1071" s="276">
        <v>3011.0</v>
      </c>
      <c r="E1071" s="275" t="s">
        <v>1017</v>
      </c>
      <c r="F1071" s="279"/>
      <c r="G1071" s="278" t="str">
        <f>IFNA(IF(VLOOKUP(RC_OUT[BLOCK],RC_IN[[BLOCK]:[BLOCK LOC]],2,FALSE)=0,"",VLOOKUP(RC_OUT[BLOCK],RC_IN[[BLOCK]:[BLOCK LOC]],2,FALSE)),"")</f>
        <v/>
      </c>
      <c r="I1071" s="263" t="str">
        <f>IFERROR(AVERAGEIFS(RC_IN[MC],RC_IN[BLOCK],RC_OUT[BLOCK]),"")</f>
        <v/>
      </c>
      <c r="J1071" s="264">
        <f t="shared" si="1"/>
        <v>0</v>
      </c>
      <c r="K1071" s="246"/>
      <c r="L1071" s="246"/>
      <c r="M1071" s="249" t="str">
        <f t="shared" si="2"/>
        <v/>
      </c>
      <c r="N1071" s="266">
        <f t="shared" si="3"/>
        <v>0</v>
      </c>
      <c r="O1071" s="247"/>
      <c r="P1071" s="247"/>
      <c r="Q1071" s="247"/>
      <c r="R1071" s="247"/>
      <c r="S1071" s="247"/>
      <c r="T1071" s="247"/>
      <c r="U1071" s="247"/>
      <c r="V1071" s="247"/>
      <c r="W1071" s="247"/>
      <c r="X1071" s="247"/>
    </row>
    <row r="1072">
      <c r="A1072" s="274"/>
      <c r="B1072" s="274"/>
      <c r="C1072" s="274"/>
      <c r="D1072" s="283"/>
      <c r="E1072" s="274"/>
      <c r="F1072" s="279"/>
      <c r="G1072" s="278" t="str">
        <f>IFNA(IF(VLOOKUP(RC_OUT[BLOCK],RC_IN[[BLOCK]:[BLOCK LOC]],2,FALSE)=0,"",VLOOKUP(RC_OUT[BLOCK],RC_IN[[BLOCK]:[BLOCK LOC]],2,FALSE)),"")</f>
        <v/>
      </c>
      <c r="I1072" s="263" t="str">
        <f>IFERROR(AVERAGEIFS(RC_IN[MC],RC_IN[BLOCK],RC_OUT[BLOCK]),"")</f>
        <v/>
      </c>
      <c r="J1072" s="264">
        <f t="shared" si="1"/>
        <v>0</v>
      </c>
      <c r="K1072" s="246"/>
      <c r="L1072" s="246"/>
      <c r="M1072" s="249" t="str">
        <f t="shared" si="2"/>
        <v/>
      </c>
      <c r="N1072" s="266">
        <f t="shared" si="3"/>
        <v>0</v>
      </c>
      <c r="O1072" s="247"/>
      <c r="P1072" s="247"/>
      <c r="Q1072" s="247"/>
      <c r="R1072" s="247"/>
      <c r="S1072" s="247"/>
      <c r="T1072" s="247"/>
      <c r="U1072" s="247"/>
      <c r="V1072" s="247"/>
      <c r="W1072" s="247"/>
      <c r="X1072" s="247"/>
    </row>
    <row r="1073">
      <c r="A1073" s="273">
        <v>45899.0</v>
      </c>
      <c r="B1073" s="275" t="s">
        <v>1302</v>
      </c>
      <c r="C1073" s="275" t="s">
        <v>1295</v>
      </c>
      <c r="D1073" s="276">
        <v>2342.0</v>
      </c>
      <c r="E1073" s="275" t="s">
        <v>1017</v>
      </c>
      <c r="F1073" s="279"/>
      <c r="G1073" s="278" t="str">
        <f>IFNA(IF(VLOOKUP(RC_OUT[BLOCK],RC_IN[[BLOCK]:[BLOCK LOC]],2,FALSE)=0,"",VLOOKUP(RC_OUT[BLOCK],RC_IN[[BLOCK]:[BLOCK LOC]],2,FALSE)),"")</f>
        <v/>
      </c>
      <c r="I1073" s="263" t="str">
        <f>IFERROR(AVERAGEIFS(RC_IN[MC],RC_IN[BLOCK],RC_OUT[BLOCK]),"")</f>
        <v/>
      </c>
      <c r="J1073" s="264">
        <f t="shared" si="1"/>
        <v>0</v>
      </c>
      <c r="K1073" s="246"/>
      <c r="L1073" s="246"/>
      <c r="M1073" s="249" t="str">
        <f t="shared" si="2"/>
        <v/>
      </c>
      <c r="N1073" s="266">
        <f t="shared" si="3"/>
        <v>0</v>
      </c>
      <c r="O1073" s="247"/>
      <c r="P1073" s="247"/>
      <c r="Q1073" s="247"/>
      <c r="R1073" s="247"/>
      <c r="S1073" s="247"/>
      <c r="T1073" s="247"/>
      <c r="U1073" s="247"/>
      <c r="V1073" s="247"/>
      <c r="W1073" s="247"/>
      <c r="X1073" s="247"/>
    </row>
    <row r="1074">
      <c r="A1074" s="273">
        <v>45899.0</v>
      </c>
      <c r="B1074" s="275" t="s">
        <v>1302</v>
      </c>
      <c r="C1074" s="275" t="s">
        <v>1299</v>
      </c>
      <c r="D1074" s="276">
        <v>6000.0</v>
      </c>
      <c r="E1074" s="275" t="s">
        <v>1017</v>
      </c>
      <c r="F1074" s="279"/>
      <c r="G1074" s="278" t="str">
        <f>IFNA(IF(VLOOKUP(RC_OUT[BLOCK],RC_IN[[BLOCK]:[BLOCK LOC]],2,FALSE)=0,"",VLOOKUP(RC_OUT[BLOCK],RC_IN[[BLOCK]:[BLOCK LOC]],2,FALSE)),"")</f>
        <v/>
      </c>
      <c r="I1074" s="263" t="str">
        <f>IFERROR(AVERAGEIFS(RC_IN[MC],RC_IN[BLOCK],RC_OUT[BLOCK]),"")</f>
        <v/>
      </c>
      <c r="J1074" s="264">
        <f t="shared" si="1"/>
        <v>0</v>
      </c>
      <c r="K1074" s="246"/>
      <c r="L1074" s="246"/>
      <c r="M1074" s="249" t="str">
        <f t="shared" si="2"/>
        <v/>
      </c>
      <c r="N1074" s="266">
        <f t="shared" si="3"/>
        <v>0</v>
      </c>
      <c r="O1074" s="247"/>
      <c r="P1074" s="247"/>
      <c r="Q1074" s="247"/>
      <c r="R1074" s="247"/>
      <c r="S1074" s="247"/>
      <c r="T1074" s="247"/>
      <c r="U1074" s="247"/>
      <c r="V1074" s="247"/>
      <c r="W1074" s="247"/>
      <c r="X1074" s="247"/>
    </row>
    <row r="1075">
      <c r="A1075" s="273">
        <v>45899.0</v>
      </c>
      <c r="B1075" s="275" t="s">
        <v>1302</v>
      </c>
      <c r="C1075" s="275" t="s">
        <v>1300</v>
      </c>
      <c r="D1075" s="276">
        <v>8601.0</v>
      </c>
      <c r="E1075" s="275" t="s">
        <v>1017</v>
      </c>
      <c r="F1075" s="277" t="s">
        <v>1059</v>
      </c>
      <c r="G1075" s="278" t="str">
        <f>IFNA(IF(VLOOKUP(RC_OUT[BLOCK],RC_IN[[BLOCK]:[BLOCK LOC]],2,FALSE)=0,"",VLOOKUP(RC_OUT[BLOCK],RC_IN[[BLOCK]:[BLOCK LOC]],2,FALSE)),"")</f>
        <v/>
      </c>
      <c r="I1075" s="263" t="str">
        <f>IFERROR(AVERAGEIFS(RC_IN[MC],RC_IN[BLOCK],RC_OUT[BLOCK]),"")</f>
        <v/>
      </c>
      <c r="J1075" s="264">
        <f t="shared" si="1"/>
        <v>0</v>
      </c>
      <c r="K1075" s="246"/>
      <c r="L1075" s="246"/>
      <c r="M1075" s="249" t="str">
        <f t="shared" si="2"/>
        <v/>
      </c>
      <c r="N1075" s="266">
        <f t="shared" si="3"/>
        <v>0</v>
      </c>
      <c r="O1075" s="247"/>
      <c r="P1075" s="247"/>
      <c r="Q1075" s="247"/>
      <c r="R1075" s="247"/>
      <c r="S1075" s="247"/>
      <c r="T1075" s="247"/>
      <c r="U1075" s="247"/>
      <c r="V1075" s="247"/>
      <c r="W1075" s="247"/>
      <c r="X1075" s="247"/>
    </row>
    <row r="1076">
      <c r="A1076" s="273">
        <v>45899.0</v>
      </c>
      <c r="B1076" s="275" t="s">
        <v>1302</v>
      </c>
      <c r="C1076" s="275" t="s">
        <v>1301</v>
      </c>
      <c r="D1076" s="276">
        <v>6955.0</v>
      </c>
      <c r="E1076" s="275" t="s">
        <v>1017</v>
      </c>
      <c r="F1076" s="279"/>
      <c r="G1076" s="278" t="str">
        <f>IFNA(IF(VLOOKUP(RC_OUT[BLOCK],RC_IN[[BLOCK]:[BLOCK LOC]],2,FALSE)=0,"",VLOOKUP(RC_OUT[BLOCK],RC_IN[[BLOCK]:[BLOCK LOC]],2,FALSE)),"")</f>
        <v/>
      </c>
      <c r="I1076" s="263" t="str">
        <f>IFERROR(AVERAGEIFS(RC_IN[MC],RC_IN[BLOCK],RC_OUT[BLOCK]),"")</f>
        <v/>
      </c>
      <c r="J1076" s="264">
        <f t="shared" si="1"/>
        <v>0</v>
      </c>
      <c r="K1076" s="246"/>
      <c r="L1076" s="246"/>
      <c r="M1076" s="249" t="str">
        <f t="shared" si="2"/>
        <v/>
      </c>
      <c r="N1076" s="266">
        <f t="shared" si="3"/>
        <v>0</v>
      </c>
      <c r="O1076" s="247"/>
      <c r="P1076" s="247"/>
      <c r="Q1076" s="247"/>
      <c r="R1076" s="247"/>
      <c r="S1076" s="247"/>
      <c r="T1076" s="247"/>
      <c r="U1076" s="247"/>
      <c r="V1076" s="247"/>
      <c r="W1076" s="247"/>
      <c r="X1076" s="247"/>
    </row>
    <row r="1077">
      <c r="A1077" s="274"/>
      <c r="B1077" s="274"/>
      <c r="C1077" s="274"/>
      <c r="D1077" s="283"/>
      <c r="E1077" s="274"/>
      <c r="F1077" s="279"/>
      <c r="G1077" s="278" t="str">
        <f>IFNA(IF(VLOOKUP(RC_OUT[BLOCK],RC_IN[[BLOCK]:[BLOCK LOC]],2,FALSE)=0,"",VLOOKUP(RC_OUT[BLOCK],RC_IN[[BLOCK]:[BLOCK LOC]],2,FALSE)),"")</f>
        <v/>
      </c>
      <c r="I1077" s="263" t="str">
        <f>IFERROR(AVERAGEIFS(RC_IN[MC],RC_IN[BLOCK],RC_OUT[BLOCK]),"")</f>
        <v/>
      </c>
      <c r="J1077" s="264">
        <f t="shared" si="1"/>
        <v>0</v>
      </c>
      <c r="K1077" s="246"/>
      <c r="L1077" s="246"/>
      <c r="M1077" s="249" t="str">
        <f t="shared" si="2"/>
        <v/>
      </c>
      <c r="N1077" s="266">
        <f t="shared" si="3"/>
        <v>0</v>
      </c>
      <c r="O1077" s="247"/>
      <c r="P1077" s="247"/>
      <c r="Q1077" s="247"/>
      <c r="R1077" s="247"/>
      <c r="S1077" s="247"/>
      <c r="T1077" s="247"/>
      <c r="U1077" s="247"/>
      <c r="V1077" s="247"/>
      <c r="W1077" s="247"/>
      <c r="X1077" s="247"/>
    </row>
    <row r="1078">
      <c r="A1078" s="273">
        <v>45901.0</v>
      </c>
      <c r="B1078" s="275" t="s">
        <v>1302</v>
      </c>
      <c r="C1078" s="275" t="s">
        <v>1295</v>
      </c>
      <c r="D1078" s="276">
        <v>5209.0</v>
      </c>
      <c r="E1078" s="275" t="s">
        <v>1017</v>
      </c>
      <c r="F1078" s="279"/>
      <c r="G1078" s="278" t="str">
        <f>IFNA(IF(VLOOKUP(RC_OUT[BLOCK],RC_IN[[BLOCK]:[BLOCK LOC]],2,FALSE)=0,"",VLOOKUP(RC_OUT[BLOCK],RC_IN[[BLOCK]:[BLOCK LOC]],2,FALSE)),"")</f>
        <v/>
      </c>
      <c r="I1078" s="263" t="str">
        <f>IFERROR(AVERAGEIFS(RC_IN[MC],RC_IN[BLOCK],RC_OUT[BLOCK]),"")</f>
        <v/>
      </c>
      <c r="J1078" s="264">
        <f t="shared" si="1"/>
        <v>0</v>
      </c>
      <c r="K1078" s="246"/>
      <c r="L1078" s="246"/>
      <c r="M1078" s="249" t="str">
        <f t="shared" si="2"/>
        <v/>
      </c>
      <c r="N1078" s="266">
        <f t="shared" si="3"/>
        <v>0</v>
      </c>
      <c r="O1078" s="247"/>
      <c r="P1078" s="247"/>
      <c r="Q1078" s="247"/>
      <c r="R1078" s="247"/>
      <c r="S1078" s="247"/>
      <c r="T1078" s="247"/>
      <c r="U1078" s="247"/>
      <c r="V1078" s="247"/>
      <c r="W1078" s="247"/>
      <c r="X1078" s="247"/>
    </row>
    <row r="1079">
      <c r="A1079" s="273">
        <v>45901.0</v>
      </c>
      <c r="B1079" s="275" t="s">
        <v>1302</v>
      </c>
      <c r="C1079" s="275" t="s">
        <v>1299</v>
      </c>
      <c r="D1079" s="276">
        <v>6000.0</v>
      </c>
      <c r="E1079" s="275" t="s">
        <v>1017</v>
      </c>
      <c r="F1079" s="277" t="s">
        <v>1059</v>
      </c>
      <c r="G1079" s="278" t="str">
        <f>IFNA(IF(VLOOKUP(RC_OUT[BLOCK],RC_IN[[BLOCK]:[BLOCK LOC]],2,FALSE)=0,"",VLOOKUP(RC_OUT[BLOCK],RC_IN[[BLOCK]:[BLOCK LOC]],2,FALSE)),"")</f>
        <v/>
      </c>
      <c r="I1079" s="263" t="str">
        <f>IFERROR(AVERAGEIFS(RC_IN[MC],RC_IN[BLOCK],RC_OUT[BLOCK]),"")</f>
        <v/>
      </c>
      <c r="J1079" s="264">
        <f t="shared" si="1"/>
        <v>0</v>
      </c>
      <c r="K1079" s="246"/>
      <c r="L1079" s="246"/>
      <c r="M1079" s="249" t="str">
        <f t="shared" si="2"/>
        <v/>
      </c>
      <c r="N1079" s="266">
        <f t="shared" si="3"/>
        <v>0</v>
      </c>
      <c r="O1079" s="247"/>
      <c r="P1079" s="247"/>
      <c r="Q1079" s="247"/>
      <c r="R1079" s="247"/>
      <c r="S1079" s="247"/>
      <c r="T1079" s="247"/>
      <c r="U1079" s="247"/>
      <c r="V1079" s="247"/>
      <c r="W1079" s="247"/>
      <c r="X1079" s="247"/>
    </row>
    <row r="1080">
      <c r="A1080" s="273">
        <v>45901.0</v>
      </c>
      <c r="B1080" s="275" t="s">
        <v>1302</v>
      </c>
      <c r="C1080" s="275" t="s">
        <v>1301</v>
      </c>
      <c r="D1080" s="276">
        <v>30909.0</v>
      </c>
      <c r="E1080" s="275" t="s">
        <v>1017</v>
      </c>
      <c r="F1080" s="279"/>
      <c r="G1080" s="278" t="str">
        <f>IFNA(IF(VLOOKUP(RC_OUT[BLOCK],RC_IN[[BLOCK]:[BLOCK LOC]],2,FALSE)=0,"",VLOOKUP(RC_OUT[BLOCK],RC_IN[[BLOCK]:[BLOCK LOC]],2,FALSE)),"")</f>
        <v/>
      </c>
      <c r="I1080" s="263" t="str">
        <f>IFERROR(AVERAGEIFS(RC_IN[MC],RC_IN[BLOCK],RC_OUT[BLOCK]),"")</f>
        <v/>
      </c>
      <c r="J1080" s="264">
        <f t="shared" si="1"/>
        <v>0</v>
      </c>
      <c r="K1080" s="246"/>
      <c r="L1080" s="246"/>
      <c r="M1080" s="249" t="str">
        <f t="shared" si="2"/>
        <v/>
      </c>
      <c r="N1080" s="266">
        <f t="shared" si="3"/>
        <v>0</v>
      </c>
      <c r="O1080" s="247"/>
      <c r="P1080" s="247"/>
      <c r="Q1080" s="247"/>
      <c r="R1080" s="247"/>
      <c r="S1080" s="247"/>
      <c r="T1080" s="247"/>
      <c r="U1080" s="247"/>
      <c r="V1080" s="247"/>
      <c r="W1080" s="247"/>
      <c r="X1080" s="247"/>
    </row>
    <row r="1081">
      <c r="A1081" s="274"/>
      <c r="B1081" s="274"/>
      <c r="C1081" s="274"/>
      <c r="D1081" s="283"/>
      <c r="E1081" s="274"/>
      <c r="F1081" s="279"/>
      <c r="G1081" s="278" t="str">
        <f>IFNA(IF(VLOOKUP(RC_OUT[BLOCK],RC_IN[[BLOCK]:[BLOCK LOC]],2,FALSE)=0,"",VLOOKUP(RC_OUT[BLOCK],RC_IN[[BLOCK]:[BLOCK LOC]],2,FALSE)),"")</f>
        <v/>
      </c>
      <c r="I1081" s="263" t="str">
        <f>IFERROR(AVERAGEIFS(RC_IN[MC],RC_IN[BLOCK],RC_OUT[BLOCK]),"")</f>
        <v/>
      </c>
      <c r="J1081" s="264">
        <f t="shared" si="1"/>
        <v>0</v>
      </c>
      <c r="K1081" s="246"/>
      <c r="L1081" s="246"/>
      <c r="M1081" s="249" t="str">
        <f t="shared" si="2"/>
        <v/>
      </c>
      <c r="N1081" s="266">
        <f t="shared" si="3"/>
        <v>0</v>
      </c>
      <c r="O1081" s="247"/>
      <c r="P1081" s="247"/>
      <c r="Q1081" s="247"/>
      <c r="R1081" s="247"/>
      <c r="S1081" s="247"/>
      <c r="T1081" s="247"/>
      <c r="U1081" s="247"/>
      <c r="V1081" s="247"/>
      <c r="W1081" s="247"/>
      <c r="X1081" s="247"/>
    </row>
    <row r="1082">
      <c r="A1082" s="273">
        <v>45902.0</v>
      </c>
      <c r="B1082" s="275" t="s">
        <v>1302</v>
      </c>
      <c r="C1082" s="275" t="s">
        <v>1295</v>
      </c>
      <c r="D1082" s="276">
        <v>8511.0</v>
      </c>
      <c r="E1082" s="275" t="s">
        <v>1017</v>
      </c>
      <c r="F1082" s="279"/>
      <c r="G1082" s="278" t="str">
        <f>IFNA(IF(VLOOKUP(RC_OUT[BLOCK],RC_IN[[BLOCK]:[BLOCK LOC]],2,FALSE)=0,"",VLOOKUP(RC_OUT[BLOCK],RC_IN[[BLOCK]:[BLOCK LOC]],2,FALSE)),"")</f>
        <v/>
      </c>
      <c r="I1082" s="263" t="str">
        <f>IFERROR(AVERAGEIFS(RC_IN[MC],RC_IN[BLOCK],RC_OUT[BLOCK]),"")</f>
        <v/>
      </c>
      <c r="J1082" s="264">
        <f t="shared" si="1"/>
        <v>0</v>
      </c>
      <c r="K1082" s="246"/>
      <c r="L1082" s="246"/>
      <c r="M1082" s="249" t="str">
        <f t="shared" si="2"/>
        <v/>
      </c>
      <c r="N1082" s="266">
        <f t="shared" si="3"/>
        <v>0</v>
      </c>
      <c r="O1082" s="247"/>
      <c r="P1082" s="247"/>
      <c r="Q1082" s="247"/>
      <c r="R1082" s="247"/>
      <c r="S1082" s="247"/>
      <c r="T1082" s="247"/>
      <c r="U1082" s="247"/>
      <c r="V1082" s="247"/>
      <c r="W1082" s="247"/>
      <c r="X1082" s="247"/>
    </row>
    <row r="1083">
      <c r="A1083" s="273">
        <v>45902.0</v>
      </c>
      <c r="B1083" s="275" t="s">
        <v>1302</v>
      </c>
      <c r="C1083" s="275" t="s">
        <v>1301</v>
      </c>
      <c r="D1083" s="276">
        <v>9583.0</v>
      </c>
      <c r="E1083" s="275" t="s">
        <v>1017</v>
      </c>
      <c r="F1083" s="277" t="s">
        <v>1059</v>
      </c>
      <c r="G1083" s="278" t="str">
        <f>IFNA(IF(VLOOKUP(RC_OUT[BLOCK],RC_IN[[BLOCK]:[BLOCK LOC]],2,FALSE)=0,"",VLOOKUP(RC_OUT[BLOCK],RC_IN[[BLOCK]:[BLOCK LOC]],2,FALSE)),"")</f>
        <v/>
      </c>
      <c r="I1083" s="263" t="str">
        <f>IFERROR(AVERAGEIFS(RC_IN[MC],RC_IN[BLOCK],RC_OUT[BLOCK]),"")</f>
        <v/>
      </c>
      <c r="J1083" s="264">
        <f t="shared" si="1"/>
        <v>0</v>
      </c>
      <c r="K1083" s="246"/>
      <c r="L1083" s="246"/>
      <c r="M1083" s="249" t="str">
        <f t="shared" si="2"/>
        <v/>
      </c>
      <c r="N1083" s="266">
        <f t="shared" si="3"/>
        <v>0</v>
      </c>
      <c r="O1083" s="247"/>
      <c r="P1083" s="247"/>
      <c r="Q1083" s="247"/>
      <c r="R1083" s="247"/>
      <c r="S1083" s="247"/>
      <c r="T1083" s="247"/>
      <c r="U1083" s="247"/>
      <c r="V1083" s="247"/>
      <c r="W1083" s="247"/>
      <c r="X1083" s="247"/>
    </row>
    <row r="1084">
      <c r="A1084" s="273">
        <v>45902.0</v>
      </c>
      <c r="B1084" s="275" t="s">
        <v>1302</v>
      </c>
      <c r="C1084" s="275" t="s">
        <v>1303</v>
      </c>
      <c r="D1084" s="276">
        <v>14447.0</v>
      </c>
      <c r="E1084" s="275" t="s">
        <v>1017</v>
      </c>
      <c r="F1084" s="279"/>
      <c r="G1084" s="278" t="str">
        <f>IFNA(IF(VLOOKUP(RC_OUT[BLOCK],RC_IN[[BLOCK]:[BLOCK LOC]],2,FALSE)=0,"",VLOOKUP(RC_OUT[BLOCK],RC_IN[[BLOCK]:[BLOCK LOC]],2,FALSE)),"")</f>
        <v/>
      </c>
      <c r="I1084" s="263" t="str">
        <f>IFERROR(AVERAGEIFS(RC_IN[MC],RC_IN[BLOCK],RC_OUT[BLOCK]),"")</f>
        <v/>
      </c>
      <c r="J1084" s="264">
        <f t="shared" si="1"/>
        <v>0</v>
      </c>
      <c r="K1084" s="246"/>
      <c r="L1084" s="246"/>
      <c r="M1084" s="249" t="str">
        <f t="shared" si="2"/>
        <v/>
      </c>
      <c r="N1084" s="266">
        <f t="shared" si="3"/>
        <v>0</v>
      </c>
      <c r="O1084" s="247"/>
      <c r="P1084" s="247"/>
      <c r="Q1084" s="247"/>
      <c r="R1084" s="247"/>
      <c r="S1084" s="247"/>
      <c r="T1084" s="247"/>
      <c r="U1084" s="247"/>
      <c r="V1084" s="247"/>
      <c r="W1084" s="247"/>
      <c r="X1084" s="247"/>
    </row>
    <row r="1085">
      <c r="A1085" s="273">
        <v>45902.0</v>
      </c>
      <c r="B1085" s="275" t="s">
        <v>1302</v>
      </c>
      <c r="C1085" s="275" t="s">
        <v>1304</v>
      </c>
      <c r="D1085" s="276">
        <v>11279.0</v>
      </c>
      <c r="E1085" s="275" t="s">
        <v>1017</v>
      </c>
      <c r="F1085" s="279"/>
      <c r="G1085" s="278" t="str">
        <f>IFNA(IF(VLOOKUP(RC_OUT[BLOCK],RC_IN[[BLOCK]:[BLOCK LOC]],2,FALSE)=0,"",VLOOKUP(RC_OUT[BLOCK],RC_IN[[BLOCK]:[BLOCK LOC]],2,FALSE)),"")</f>
        <v/>
      </c>
      <c r="I1085" s="263" t="str">
        <f>IFERROR(AVERAGEIFS(RC_IN[MC],RC_IN[BLOCK],RC_OUT[BLOCK]),"")</f>
        <v/>
      </c>
      <c r="J1085" s="264">
        <f t="shared" si="1"/>
        <v>0</v>
      </c>
      <c r="K1085" s="246"/>
      <c r="L1085" s="246"/>
      <c r="M1085" s="249" t="str">
        <f t="shared" si="2"/>
        <v/>
      </c>
      <c r="N1085" s="266">
        <f t="shared" si="3"/>
        <v>0</v>
      </c>
      <c r="O1085" s="247"/>
      <c r="P1085" s="247"/>
      <c r="Q1085" s="247"/>
      <c r="R1085" s="247"/>
      <c r="S1085" s="247"/>
      <c r="T1085" s="247"/>
      <c r="U1085" s="247"/>
      <c r="V1085" s="247"/>
      <c r="W1085" s="247"/>
      <c r="X1085" s="247"/>
    </row>
    <row r="1086">
      <c r="A1086" s="274"/>
      <c r="B1086" s="274"/>
      <c r="C1086" s="274"/>
      <c r="D1086" s="283"/>
      <c r="E1086" s="274"/>
      <c r="F1086" s="279"/>
      <c r="G1086" s="278" t="str">
        <f>IFNA(IF(VLOOKUP(RC_OUT[BLOCK],RC_IN[[BLOCK]:[BLOCK LOC]],2,FALSE)=0,"",VLOOKUP(RC_OUT[BLOCK],RC_IN[[BLOCK]:[BLOCK LOC]],2,FALSE)),"")</f>
        <v/>
      </c>
      <c r="I1086" s="263" t="str">
        <f>IFERROR(AVERAGEIFS(RC_IN[MC],RC_IN[BLOCK],RC_OUT[BLOCK]),"")</f>
        <v/>
      </c>
      <c r="J1086" s="264">
        <f t="shared" si="1"/>
        <v>0</v>
      </c>
      <c r="K1086" s="246"/>
      <c r="L1086" s="246"/>
      <c r="M1086" s="249" t="str">
        <f t="shared" si="2"/>
        <v/>
      </c>
      <c r="N1086" s="266">
        <f t="shared" si="3"/>
        <v>0</v>
      </c>
      <c r="O1086" s="247"/>
      <c r="P1086" s="247"/>
      <c r="Q1086" s="247"/>
      <c r="R1086" s="247"/>
      <c r="S1086" s="247"/>
      <c r="T1086" s="247"/>
      <c r="U1086" s="247"/>
      <c r="V1086" s="247"/>
      <c r="W1086" s="247"/>
      <c r="X1086" s="247"/>
    </row>
    <row r="1087">
      <c r="A1087" s="273">
        <v>45903.0</v>
      </c>
      <c r="B1087" s="275" t="s">
        <v>1302</v>
      </c>
      <c r="C1087" s="275" t="s">
        <v>1295</v>
      </c>
      <c r="D1087" s="276">
        <v>5645.0</v>
      </c>
      <c r="E1087" s="275" t="s">
        <v>1017</v>
      </c>
      <c r="F1087" s="279"/>
      <c r="G1087" s="278" t="str">
        <f>IFNA(IF(VLOOKUP(RC_OUT[BLOCK],RC_IN[[BLOCK]:[BLOCK LOC]],2,FALSE)=0,"",VLOOKUP(RC_OUT[BLOCK],RC_IN[[BLOCK]:[BLOCK LOC]],2,FALSE)),"")</f>
        <v/>
      </c>
      <c r="I1087" s="263" t="str">
        <f>IFERROR(AVERAGEIFS(RC_IN[MC],RC_IN[BLOCK],RC_OUT[BLOCK]),"")</f>
        <v/>
      </c>
      <c r="J1087" s="264">
        <f t="shared" si="1"/>
        <v>0</v>
      </c>
      <c r="K1087" s="246"/>
      <c r="L1087" s="246"/>
      <c r="M1087" s="249" t="str">
        <f t="shared" si="2"/>
        <v/>
      </c>
      <c r="N1087" s="266">
        <f t="shared" si="3"/>
        <v>0</v>
      </c>
      <c r="O1087" s="247"/>
      <c r="P1087" s="247"/>
      <c r="Q1087" s="247"/>
      <c r="R1087" s="247"/>
      <c r="S1087" s="247"/>
      <c r="T1087" s="247"/>
      <c r="U1087" s="247"/>
      <c r="V1087" s="247"/>
      <c r="W1087" s="247"/>
      <c r="X1087" s="247"/>
    </row>
    <row r="1088">
      <c r="A1088" s="273">
        <v>45903.0</v>
      </c>
      <c r="B1088" s="275" t="s">
        <v>1302</v>
      </c>
      <c r="C1088" s="275" t="s">
        <v>1303</v>
      </c>
      <c r="D1088" s="276">
        <v>11655.0</v>
      </c>
      <c r="E1088" s="275" t="s">
        <v>1017</v>
      </c>
      <c r="F1088" s="279"/>
      <c r="G1088" s="278" t="str">
        <f>IFNA(IF(VLOOKUP(RC_OUT[BLOCK],RC_IN[[BLOCK]:[BLOCK LOC]],2,FALSE)=0,"",VLOOKUP(RC_OUT[BLOCK],RC_IN[[BLOCK]:[BLOCK LOC]],2,FALSE)),"")</f>
        <v/>
      </c>
      <c r="I1088" s="263" t="str">
        <f>IFERROR(AVERAGEIFS(RC_IN[MC],RC_IN[BLOCK],RC_OUT[BLOCK]),"")</f>
        <v/>
      </c>
      <c r="J1088" s="264">
        <f t="shared" si="1"/>
        <v>0</v>
      </c>
      <c r="K1088" s="246"/>
      <c r="L1088" s="246"/>
      <c r="M1088" s="249" t="str">
        <f t="shared" si="2"/>
        <v/>
      </c>
      <c r="N1088" s="266">
        <f t="shared" si="3"/>
        <v>0</v>
      </c>
      <c r="O1088" s="247"/>
      <c r="P1088" s="247"/>
      <c r="Q1088" s="247"/>
      <c r="R1088" s="247"/>
      <c r="S1088" s="247"/>
      <c r="T1088" s="247"/>
      <c r="U1088" s="247"/>
      <c r="V1088" s="247"/>
      <c r="W1088" s="247"/>
      <c r="X1088" s="247"/>
    </row>
    <row r="1089">
      <c r="A1089" s="273">
        <v>45903.0</v>
      </c>
      <c r="B1089" s="275" t="s">
        <v>1302</v>
      </c>
      <c r="C1089" s="275" t="s">
        <v>1304</v>
      </c>
      <c r="D1089" s="276">
        <v>10426.0</v>
      </c>
      <c r="E1089" s="275" t="s">
        <v>1017</v>
      </c>
      <c r="F1089" s="279"/>
      <c r="G1089" s="278" t="str">
        <f>IFNA(IF(VLOOKUP(RC_OUT[BLOCK],RC_IN[[BLOCK]:[BLOCK LOC]],2,FALSE)=0,"",VLOOKUP(RC_OUT[BLOCK],RC_IN[[BLOCK]:[BLOCK LOC]],2,FALSE)),"")</f>
        <v/>
      </c>
      <c r="I1089" s="263" t="str">
        <f>IFERROR(AVERAGEIFS(RC_IN[MC],RC_IN[BLOCK],RC_OUT[BLOCK]),"")</f>
        <v/>
      </c>
      <c r="J1089" s="264">
        <f t="shared" si="1"/>
        <v>0</v>
      </c>
      <c r="K1089" s="246"/>
      <c r="L1089" s="246"/>
      <c r="M1089" s="249" t="str">
        <f t="shared" si="2"/>
        <v/>
      </c>
      <c r="N1089" s="266">
        <f t="shared" si="3"/>
        <v>0</v>
      </c>
      <c r="O1089" s="247"/>
      <c r="P1089" s="247"/>
      <c r="Q1089" s="247"/>
      <c r="R1089" s="247"/>
      <c r="S1089" s="247"/>
      <c r="T1089" s="247"/>
      <c r="U1089" s="247"/>
      <c r="V1089" s="247"/>
      <c r="W1089" s="247"/>
      <c r="X1089" s="247"/>
    </row>
    <row r="1090">
      <c r="A1090" s="273">
        <v>45903.0</v>
      </c>
      <c r="B1090" s="275" t="s">
        <v>1302</v>
      </c>
      <c r="C1090" s="275" t="s">
        <v>1305</v>
      </c>
      <c r="D1090" s="276">
        <v>1000.0</v>
      </c>
      <c r="E1090" s="275" t="s">
        <v>1017</v>
      </c>
      <c r="F1090" s="279"/>
      <c r="G1090" s="278" t="str">
        <f>IFNA(IF(VLOOKUP(RC_OUT[BLOCK],RC_IN[[BLOCK]:[BLOCK LOC]],2,FALSE)=0,"",VLOOKUP(RC_OUT[BLOCK],RC_IN[[BLOCK]:[BLOCK LOC]],2,FALSE)),"")</f>
        <v/>
      </c>
      <c r="I1090" s="263" t="str">
        <f>IFERROR(AVERAGEIFS(RC_IN[MC],RC_IN[BLOCK],RC_OUT[BLOCK]),"")</f>
        <v/>
      </c>
      <c r="J1090" s="264">
        <f t="shared" si="1"/>
        <v>0</v>
      </c>
      <c r="K1090" s="246"/>
      <c r="L1090" s="246"/>
      <c r="M1090" s="249" t="str">
        <f t="shared" si="2"/>
        <v/>
      </c>
      <c r="N1090" s="266">
        <f t="shared" si="3"/>
        <v>0</v>
      </c>
      <c r="O1090" s="247"/>
      <c r="P1090" s="247"/>
      <c r="Q1090" s="247"/>
      <c r="R1090" s="247"/>
      <c r="S1090" s="247"/>
      <c r="T1090" s="247"/>
      <c r="U1090" s="247"/>
      <c r="V1090" s="247"/>
      <c r="W1090" s="247"/>
      <c r="X1090" s="247"/>
    </row>
    <row r="1091">
      <c r="A1091" s="274"/>
      <c r="B1091" s="274"/>
      <c r="C1091" s="274"/>
      <c r="D1091" s="283"/>
      <c r="E1091" s="274"/>
      <c r="F1091" s="279"/>
      <c r="G1091" s="278" t="str">
        <f>IFNA(IF(VLOOKUP(RC_OUT[BLOCK],RC_IN[[BLOCK]:[BLOCK LOC]],2,FALSE)=0,"",VLOOKUP(RC_OUT[BLOCK],RC_IN[[BLOCK]:[BLOCK LOC]],2,FALSE)),"")</f>
        <v/>
      </c>
      <c r="I1091" s="263" t="str">
        <f>IFERROR(AVERAGEIFS(RC_IN[MC],RC_IN[BLOCK],RC_OUT[BLOCK]),"")</f>
        <v/>
      </c>
      <c r="J1091" s="264">
        <f t="shared" si="1"/>
        <v>0</v>
      </c>
      <c r="K1091" s="246"/>
      <c r="L1091" s="246"/>
      <c r="M1091" s="249" t="str">
        <f t="shared" si="2"/>
        <v/>
      </c>
      <c r="N1091" s="266">
        <f t="shared" si="3"/>
        <v>0</v>
      </c>
      <c r="O1091" s="247"/>
      <c r="P1091" s="247"/>
      <c r="Q1091" s="247"/>
      <c r="R1091" s="247"/>
      <c r="S1091" s="247"/>
      <c r="T1091" s="247"/>
      <c r="U1091" s="247"/>
      <c r="V1091" s="247"/>
      <c r="W1091" s="247"/>
      <c r="X1091" s="247"/>
    </row>
    <row r="1092">
      <c r="A1092" s="273">
        <v>45904.0</v>
      </c>
      <c r="B1092" s="275" t="s">
        <v>1302</v>
      </c>
      <c r="C1092" s="275" t="s">
        <v>1295</v>
      </c>
      <c r="D1092" s="276">
        <v>1483.0</v>
      </c>
      <c r="E1092" s="275" t="s">
        <v>1017</v>
      </c>
      <c r="F1092" s="277" t="s">
        <v>1059</v>
      </c>
      <c r="G1092" s="278" t="str">
        <f>IFNA(IF(VLOOKUP(RC_OUT[BLOCK],RC_IN[[BLOCK]:[BLOCK LOC]],2,FALSE)=0,"",VLOOKUP(RC_OUT[BLOCK],RC_IN[[BLOCK]:[BLOCK LOC]],2,FALSE)),"")</f>
        <v/>
      </c>
      <c r="I1092" s="263" t="str">
        <f>IFERROR(AVERAGEIFS(RC_IN[MC],RC_IN[BLOCK],RC_OUT[BLOCK]),"")</f>
        <v/>
      </c>
      <c r="J1092" s="264">
        <f t="shared" si="1"/>
        <v>0</v>
      </c>
      <c r="K1092" s="246"/>
      <c r="L1092" s="246"/>
      <c r="M1092" s="249" t="str">
        <f t="shared" si="2"/>
        <v/>
      </c>
      <c r="N1092" s="266">
        <f t="shared" si="3"/>
        <v>0</v>
      </c>
      <c r="O1092" s="247"/>
      <c r="P1092" s="247"/>
      <c r="Q1092" s="247"/>
      <c r="R1092" s="247"/>
      <c r="S1092" s="247"/>
      <c r="T1092" s="247"/>
      <c r="U1092" s="247"/>
      <c r="V1092" s="247"/>
      <c r="W1092" s="247"/>
      <c r="X1092" s="247"/>
    </row>
    <row r="1093">
      <c r="A1093" s="273">
        <v>45904.0</v>
      </c>
      <c r="B1093" s="275" t="s">
        <v>1302</v>
      </c>
      <c r="C1093" s="275" t="s">
        <v>1303</v>
      </c>
      <c r="D1093" s="276">
        <v>11577.0</v>
      </c>
      <c r="E1093" s="275" t="s">
        <v>1017</v>
      </c>
      <c r="F1093" s="279"/>
      <c r="G1093" s="278" t="str">
        <f>IFNA(IF(VLOOKUP(RC_OUT[BLOCK],RC_IN[[BLOCK]:[BLOCK LOC]],2,FALSE)=0,"",VLOOKUP(RC_OUT[BLOCK],RC_IN[[BLOCK]:[BLOCK LOC]],2,FALSE)),"")</f>
        <v/>
      </c>
      <c r="I1093" s="263" t="str">
        <f>IFERROR(AVERAGEIFS(RC_IN[MC],RC_IN[BLOCK],RC_OUT[BLOCK]),"")</f>
        <v/>
      </c>
      <c r="J1093" s="264">
        <f t="shared" si="1"/>
        <v>0</v>
      </c>
      <c r="K1093" s="246"/>
      <c r="L1093" s="246"/>
      <c r="M1093" s="249" t="str">
        <f t="shared" si="2"/>
        <v/>
      </c>
      <c r="N1093" s="266">
        <f t="shared" si="3"/>
        <v>0</v>
      </c>
      <c r="O1093" s="247"/>
      <c r="P1093" s="247"/>
      <c r="Q1093" s="247"/>
      <c r="R1093" s="247"/>
      <c r="S1093" s="247"/>
      <c r="T1093" s="247"/>
      <c r="U1093" s="247"/>
      <c r="V1093" s="247"/>
      <c r="W1093" s="247"/>
      <c r="X1093" s="247"/>
    </row>
    <row r="1094">
      <c r="A1094" s="273">
        <v>45904.0</v>
      </c>
      <c r="B1094" s="275" t="s">
        <v>1302</v>
      </c>
      <c r="C1094" s="275" t="s">
        <v>1304</v>
      </c>
      <c r="D1094" s="276">
        <v>11095.0</v>
      </c>
      <c r="E1094" s="275" t="s">
        <v>1017</v>
      </c>
      <c r="F1094" s="279"/>
      <c r="G1094" s="278" t="str">
        <f>IFNA(IF(VLOOKUP(RC_OUT[BLOCK],RC_IN[[BLOCK]:[BLOCK LOC]],2,FALSE)=0,"",VLOOKUP(RC_OUT[BLOCK],RC_IN[[BLOCK]:[BLOCK LOC]],2,FALSE)),"")</f>
        <v/>
      </c>
      <c r="I1094" s="263" t="str">
        <f>IFERROR(AVERAGEIFS(RC_IN[MC],RC_IN[BLOCK],RC_OUT[BLOCK]),"")</f>
        <v/>
      </c>
      <c r="J1094" s="264">
        <f t="shared" si="1"/>
        <v>0</v>
      </c>
      <c r="K1094" s="246"/>
      <c r="L1094" s="246"/>
      <c r="M1094" s="249" t="str">
        <f t="shared" si="2"/>
        <v/>
      </c>
      <c r="N1094" s="266">
        <f t="shared" si="3"/>
        <v>0</v>
      </c>
      <c r="O1094" s="247"/>
      <c r="P1094" s="247"/>
      <c r="Q1094" s="247"/>
      <c r="R1094" s="247"/>
      <c r="S1094" s="247"/>
      <c r="T1094" s="247"/>
      <c r="U1094" s="247"/>
      <c r="V1094" s="247"/>
      <c r="W1094" s="247"/>
      <c r="X1094" s="247"/>
    </row>
    <row r="1095">
      <c r="A1095" s="273">
        <v>45904.0</v>
      </c>
      <c r="B1095" s="275" t="s">
        <v>1302</v>
      </c>
      <c r="C1095" s="275" t="s">
        <v>1305</v>
      </c>
      <c r="D1095" s="276">
        <v>17000.0</v>
      </c>
      <c r="E1095" s="275" t="s">
        <v>1017</v>
      </c>
      <c r="F1095" s="277" t="s">
        <v>1059</v>
      </c>
      <c r="G1095" s="278" t="str">
        <f>IFNA(IF(VLOOKUP(RC_OUT[BLOCK],RC_IN[[BLOCK]:[BLOCK LOC]],2,FALSE)=0,"",VLOOKUP(RC_OUT[BLOCK],RC_IN[[BLOCK]:[BLOCK LOC]],2,FALSE)),"")</f>
        <v/>
      </c>
      <c r="I1095" s="263" t="str">
        <f>IFERROR(AVERAGEIFS(RC_IN[MC],RC_IN[BLOCK],RC_OUT[BLOCK]),"")</f>
        <v/>
      </c>
      <c r="J1095" s="264">
        <f t="shared" si="1"/>
        <v>0</v>
      </c>
      <c r="K1095" s="246"/>
      <c r="L1095" s="246"/>
      <c r="M1095" s="249" t="str">
        <f t="shared" si="2"/>
        <v/>
      </c>
      <c r="N1095" s="266">
        <f t="shared" si="3"/>
        <v>0</v>
      </c>
      <c r="O1095" s="247"/>
      <c r="P1095" s="247"/>
      <c r="Q1095" s="247"/>
      <c r="R1095" s="247"/>
      <c r="S1095" s="247"/>
      <c r="T1095" s="247"/>
      <c r="U1095" s="247"/>
      <c r="V1095" s="247"/>
      <c r="W1095" s="247"/>
      <c r="X1095" s="247"/>
    </row>
    <row r="1096">
      <c r="A1096" s="273">
        <v>45904.0</v>
      </c>
      <c r="B1096" s="275" t="s">
        <v>1302</v>
      </c>
      <c r="C1096" s="275" t="s">
        <v>1306</v>
      </c>
      <c r="D1096" s="276">
        <v>5089.0</v>
      </c>
      <c r="E1096" s="275" t="s">
        <v>1017</v>
      </c>
      <c r="F1096" s="279"/>
      <c r="G1096" s="278" t="str">
        <f>IFNA(IF(VLOOKUP(RC_OUT[BLOCK],RC_IN[[BLOCK]:[BLOCK LOC]],2,FALSE)=0,"",VLOOKUP(RC_OUT[BLOCK],RC_IN[[BLOCK]:[BLOCK LOC]],2,FALSE)),"")</f>
        <v/>
      </c>
      <c r="I1096" s="263" t="str">
        <f>IFERROR(AVERAGEIFS(RC_IN[MC],RC_IN[BLOCK],RC_OUT[BLOCK]),"")</f>
        <v/>
      </c>
      <c r="J1096" s="264">
        <f t="shared" si="1"/>
        <v>0</v>
      </c>
      <c r="K1096" s="246"/>
      <c r="L1096" s="246"/>
      <c r="M1096" s="249" t="str">
        <f t="shared" si="2"/>
        <v/>
      </c>
      <c r="N1096" s="266">
        <f t="shared" si="3"/>
        <v>0</v>
      </c>
      <c r="O1096" s="247"/>
      <c r="P1096" s="247"/>
      <c r="Q1096" s="247"/>
      <c r="R1096" s="247"/>
      <c r="S1096" s="247"/>
      <c r="T1096" s="247"/>
      <c r="U1096" s="247"/>
      <c r="V1096" s="247"/>
      <c r="W1096" s="247"/>
      <c r="X1096" s="247"/>
    </row>
    <row r="1097">
      <c r="A1097" s="274"/>
      <c r="B1097" s="274"/>
      <c r="C1097" s="274"/>
      <c r="D1097" s="283"/>
      <c r="E1097" s="274"/>
      <c r="F1097" s="279"/>
      <c r="G1097" s="278" t="str">
        <f>IFNA(IF(VLOOKUP(RC_OUT[BLOCK],RC_IN[[BLOCK]:[BLOCK LOC]],2,FALSE)=0,"",VLOOKUP(RC_OUT[BLOCK],RC_IN[[BLOCK]:[BLOCK LOC]],2,FALSE)),"")</f>
        <v/>
      </c>
      <c r="I1097" s="263" t="str">
        <f>IFERROR(AVERAGEIFS(RC_IN[MC],RC_IN[BLOCK],RC_OUT[BLOCK]),"")</f>
        <v/>
      </c>
      <c r="J1097" s="264">
        <f t="shared" si="1"/>
        <v>0</v>
      </c>
      <c r="K1097" s="246"/>
      <c r="L1097" s="246"/>
      <c r="M1097" s="249" t="str">
        <f t="shared" si="2"/>
        <v/>
      </c>
      <c r="N1097" s="266">
        <f t="shared" si="3"/>
        <v>0</v>
      </c>
      <c r="O1097" s="247"/>
      <c r="P1097" s="247"/>
      <c r="Q1097" s="247"/>
      <c r="R1097" s="247"/>
      <c r="S1097" s="247"/>
      <c r="T1097" s="247"/>
      <c r="U1097" s="247"/>
      <c r="V1097" s="247"/>
      <c r="W1097" s="247"/>
      <c r="X1097" s="247"/>
    </row>
    <row r="1098">
      <c r="A1098" s="273">
        <v>45905.0</v>
      </c>
      <c r="B1098" s="275" t="s">
        <v>1302</v>
      </c>
      <c r="C1098" s="275" t="s">
        <v>1303</v>
      </c>
      <c r="D1098" s="276">
        <v>9091.0</v>
      </c>
      <c r="E1098" s="275" t="s">
        <v>1017</v>
      </c>
      <c r="F1098" s="277" t="s">
        <v>1059</v>
      </c>
      <c r="G1098" s="278" t="str">
        <f>IFNA(IF(VLOOKUP(RC_OUT[BLOCK],RC_IN[[BLOCK]:[BLOCK LOC]],2,FALSE)=0,"",VLOOKUP(RC_OUT[BLOCK],RC_IN[[BLOCK]:[BLOCK LOC]],2,FALSE)),"")</f>
        <v/>
      </c>
      <c r="I1098" s="263" t="str">
        <f>IFERROR(AVERAGEIFS(RC_IN[MC],RC_IN[BLOCK],RC_OUT[BLOCK]),"")</f>
        <v/>
      </c>
      <c r="J1098" s="264">
        <f t="shared" si="1"/>
        <v>0</v>
      </c>
      <c r="K1098" s="246"/>
      <c r="L1098" s="246"/>
      <c r="M1098" s="249" t="str">
        <f t="shared" si="2"/>
        <v/>
      </c>
      <c r="N1098" s="266">
        <f t="shared" si="3"/>
        <v>0</v>
      </c>
      <c r="O1098" s="247"/>
      <c r="P1098" s="247"/>
      <c r="Q1098" s="247"/>
      <c r="R1098" s="247"/>
      <c r="S1098" s="247"/>
      <c r="T1098" s="247"/>
      <c r="U1098" s="247"/>
      <c r="V1098" s="247"/>
      <c r="W1098" s="247"/>
      <c r="X1098" s="247"/>
    </row>
    <row r="1099">
      <c r="A1099" s="273">
        <v>45905.0</v>
      </c>
      <c r="B1099" s="275" t="s">
        <v>1302</v>
      </c>
      <c r="C1099" s="275" t="s">
        <v>1304</v>
      </c>
      <c r="D1099" s="276">
        <v>3366.0</v>
      </c>
      <c r="E1099" s="275" t="s">
        <v>1017</v>
      </c>
      <c r="F1099" s="277" t="s">
        <v>1059</v>
      </c>
      <c r="G1099" s="278" t="str">
        <f>IFNA(IF(VLOOKUP(RC_OUT[BLOCK],RC_IN[[BLOCK]:[BLOCK LOC]],2,FALSE)=0,"",VLOOKUP(RC_OUT[BLOCK],RC_IN[[BLOCK]:[BLOCK LOC]],2,FALSE)),"")</f>
        <v/>
      </c>
      <c r="I1099" s="263" t="str">
        <f>IFERROR(AVERAGEIFS(RC_IN[MC],RC_IN[BLOCK],RC_OUT[BLOCK]),"")</f>
        <v/>
      </c>
      <c r="J1099" s="264">
        <f t="shared" si="1"/>
        <v>0</v>
      </c>
      <c r="K1099" s="246"/>
      <c r="L1099" s="246"/>
      <c r="M1099" s="249" t="str">
        <f t="shared" si="2"/>
        <v/>
      </c>
      <c r="N1099" s="266">
        <f t="shared" si="3"/>
        <v>0</v>
      </c>
      <c r="O1099" s="247"/>
      <c r="P1099" s="247"/>
      <c r="Q1099" s="247"/>
      <c r="R1099" s="247"/>
      <c r="S1099" s="247"/>
      <c r="T1099" s="247"/>
      <c r="U1099" s="247"/>
      <c r="V1099" s="247"/>
      <c r="W1099" s="247"/>
      <c r="X1099" s="247"/>
    </row>
    <row r="1100">
      <c r="A1100" s="273">
        <v>45905.0</v>
      </c>
      <c r="B1100" s="275" t="s">
        <v>1302</v>
      </c>
      <c r="C1100" s="275" t="s">
        <v>1306</v>
      </c>
      <c r="D1100" s="276">
        <v>6715.0</v>
      </c>
      <c r="E1100" s="275" t="s">
        <v>1017</v>
      </c>
      <c r="F1100" s="279"/>
      <c r="G1100" s="278" t="str">
        <f>IFNA(IF(VLOOKUP(RC_OUT[BLOCK],RC_IN[[BLOCK]:[BLOCK LOC]],2,FALSE)=0,"",VLOOKUP(RC_OUT[BLOCK],RC_IN[[BLOCK]:[BLOCK LOC]],2,FALSE)),"")</f>
        <v/>
      </c>
      <c r="I1100" s="263" t="str">
        <f>IFERROR(AVERAGEIFS(RC_IN[MC],RC_IN[BLOCK],RC_OUT[BLOCK]),"")</f>
        <v/>
      </c>
      <c r="J1100" s="264">
        <f t="shared" si="1"/>
        <v>0</v>
      </c>
      <c r="K1100" s="246"/>
      <c r="L1100" s="246"/>
      <c r="M1100" s="249" t="str">
        <f t="shared" si="2"/>
        <v/>
      </c>
      <c r="N1100" s="266">
        <f t="shared" si="3"/>
        <v>0</v>
      </c>
      <c r="O1100" s="247"/>
      <c r="P1100" s="247"/>
      <c r="Q1100" s="247"/>
      <c r="R1100" s="247"/>
      <c r="S1100" s="247"/>
      <c r="T1100" s="247"/>
      <c r="U1100" s="247"/>
      <c r="V1100" s="247"/>
      <c r="W1100" s="247"/>
      <c r="X1100" s="247"/>
    </row>
    <row r="1101">
      <c r="A1101" s="273">
        <v>45905.0</v>
      </c>
      <c r="B1101" s="275" t="s">
        <v>1302</v>
      </c>
      <c r="C1101" s="275" t="s">
        <v>1307</v>
      </c>
      <c r="D1101" s="276">
        <v>8384.0</v>
      </c>
      <c r="E1101" s="275" t="s">
        <v>1017</v>
      </c>
      <c r="F1101" s="279"/>
      <c r="G1101" s="278" t="str">
        <f>IFNA(IF(VLOOKUP(RC_OUT[BLOCK],RC_IN[[BLOCK]:[BLOCK LOC]],2,FALSE)=0,"",VLOOKUP(RC_OUT[BLOCK],RC_IN[[BLOCK]:[BLOCK LOC]],2,FALSE)),"")</f>
        <v/>
      </c>
      <c r="I1101" s="263" t="str">
        <f>IFERROR(AVERAGEIFS(RC_IN[MC],RC_IN[BLOCK],RC_OUT[BLOCK]),"")</f>
        <v/>
      </c>
      <c r="J1101" s="264">
        <f t="shared" si="1"/>
        <v>0</v>
      </c>
      <c r="K1101" s="246"/>
      <c r="L1101" s="246"/>
      <c r="M1101" s="249" t="str">
        <f t="shared" si="2"/>
        <v/>
      </c>
      <c r="N1101" s="266">
        <f t="shared" si="3"/>
        <v>0</v>
      </c>
      <c r="O1101" s="247"/>
      <c r="P1101" s="247"/>
      <c r="Q1101" s="247"/>
      <c r="R1101" s="247"/>
      <c r="S1101" s="247"/>
      <c r="T1101" s="247"/>
      <c r="U1101" s="247"/>
      <c r="V1101" s="247"/>
      <c r="W1101" s="247"/>
      <c r="X1101" s="247"/>
    </row>
    <row r="1102">
      <c r="A1102" s="273">
        <v>45905.0</v>
      </c>
      <c r="B1102" s="275" t="s">
        <v>1302</v>
      </c>
      <c r="C1102" s="275" t="s">
        <v>1308</v>
      </c>
      <c r="D1102" s="276">
        <v>3692.0</v>
      </c>
      <c r="E1102" s="275" t="s">
        <v>1017</v>
      </c>
      <c r="F1102" s="279"/>
      <c r="G1102" s="278" t="str">
        <f>IFNA(IF(VLOOKUP(RC_OUT[BLOCK],RC_IN[[BLOCK]:[BLOCK LOC]],2,FALSE)=0,"",VLOOKUP(RC_OUT[BLOCK],RC_IN[[BLOCK]:[BLOCK LOC]],2,FALSE)),"")</f>
        <v/>
      </c>
      <c r="I1102" s="263" t="str">
        <f>IFERROR(AVERAGEIFS(RC_IN[MC],RC_IN[BLOCK],RC_OUT[BLOCK]),"")</f>
        <v/>
      </c>
      <c r="J1102" s="264">
        <f t="shared" si="1"/>
        <v>0</v>
      </c>
      <c r="K1102" s="246"/>
      <c r="L1102" s="246"/>
      <c r="M1102" s="249" t="str">
        <f t="shared" si="2"/>
        <v/>
      </c>
      <c r="N1102" s="266">
        <f t="shared" si="3"/>
        <v>0</v>
      </c>
      <c r="O1102" s="247"/>
      <c r="P1102" s="247"/>
      <c r="Q1102" s="247"/>
      <c r="R1102" s="247"/>
      <c r="S1102" s="247"/>
      <c r="T1102" s="247"/>
      <c r="U1102" s="247"/>
      <c r="V1102" s="247"/>
      <c r="W1102" s="247"/>
      <c r="X1102" s="247"/>
    </row>
    <row r="1103">
      <c r="A1103" s="274"/>
      <c r="B1103" s="274"/>
      <c r="C1103" s="274"/>
      <c r="D1103" s="283"/>
      <c r="E1103" s="274"/>
      <c r="F1103" s="279"/>
      <c r="G1103" s="278" t="str">
        <f>IFNA(IF(VLOOKUP(RC_OUT[BLOCK],RC_IN[[BLOCK]:[BLOCK LOC]],2,FALSE)=0,"",VLOOKUP(RC_OUT[BLOCK],RC_IN[[BLOCK]:[BLOCK LOC]],2,FALSE)),"")</f>
        <v/>
      </c>
      <c r="I1103" s="263" t="str">
        <f>IFERROR(AVERAGEIFS(RC_IN[MC],RC_IN[BLOCK],RC_OUT[BLOCK]),"")</f>
        <v/>
      </c>
      <c r="J1103" s="264">
        <f t="shared" si="1"/>
        <v>0</v>
      </c>
      <c r="K1103" s="246"/>
      <c r="L1103" s="246"/>
      <c r="M1103" s="249" t="str">
        <f t="shared" si="2"/>
        <v/>
      </c>
      <c r="N1103" s="266">
        <f t="shared" si="3"/>
        <v>0</v>
      </c>
      <c r="O1103" s="247"/>
      <c r="P1103" s="247"/>
      <c r="Q1103" s="247"/>
      <c r="R1103" s="247"/>
      <c r="S1103" s="247"/>
      <c r="T1103" s="247"/>
      <c r="U1103" s="247"/>
      <c r="V1103" s="247"/>
      <c r="W1103" s="247"/>
      <c r="X1103" s="247"/>
    </row>
    <row r="1104">
      <c r="A1104" s="273">
        <v>45906.0</v>
      </c>
      <c r="B1104" s="275" t="s">
        <v>1302</v>
      </c>
      <c r="C1104" s="275" t="s">
        <v>1306</v>
      </c>
      <c r="D1104" s="276">
        <v>2904.0</v>
      </c>
      <c r="E1104" s="275" t="s">
        <v>1017</v>
      </c>
      <c r="F1104" s="279"/>
      <c r="G1104" s="278" t="str">
        <f>IFNA(IF(VLOOKUP(RC_OUT[BLOCK],RC_IN[[BLOCK]:[BLOCK LOC]],2,FALSE)=0,"",VLOOKUP(RC_OUT[BLOCK],RC_IN[[BLOCK]:[BLOCK LOC]],2,FALSE)),"")</f>
        <v/>
      </c>
      <c r="I1104" s="263" t="str">
        <f>IFERROR(AVERAGEIFS(RC_IN[MC],RC_IN[BLOCK],RC_OUT[BLOCK]),"")</f>
        <v/>
      </c>
      <c r="J1104" s="264">
        <f t="shared" si="1"/>
        <v>0</v>
      </c>
      <c r="K1104" s="246"/>
      <c r="L1104" s="246"/>
      <c r="M1104" s="249" t="str">
        <f t="shared" si="2"/>
        <v/>
      </c>
      <c r="N1104" s="266">
        <f t="shared" si="3"/>
        <v>0</v>
      </c>
      <c r="O1104" s="247"/>
      <c r="P1104" s="247"/>
      <c r="Q1104" s="247"/>
      <c r="R1104" s="247"/>
      <c r="S1104" s="247"/>
      <c r="T1104" s="247"/>
      <c r="U1104" s="247"/>
      <c r="V1104" s="247"/>
      <c r="W1104" s="247"/>
      <c r="X1104" s="247"/>
    </row>
    <row r="1105">
      <c r="A1105" s="273">
        <v>45906.0</v>
      </c>
      <c r="B1105" s="275" t="s">
        <v>1302</v>
      </c>
      <c r="C1105" s="275" t="s">
        <v>1307</v>
      </c>
      <c r="D1105" s="276">
        <v>6121.0</v>
      </c>
      <c r="E1105" s="275" t="s">
        <v>1017</v>
      </c>
      <c r="F1105" s="279"/>
      <c r="G1105" s="278" t="str">
        <f>IFNA(IF(VLOOKUP(RC_OUT[BLOCK],RC_IN[[BLOCK]:[BLOCK LOC]],2,FALSE)=0,"",VLOOKUP(RC_OUT[BLOCK],RC_IN[[BLOCK]:[BLOCK LOC]],2,FALSE)),"")</f>
        <v/>
      </c>
      <c r="I1105" s="263" t="str">
        <f>IFERROR(AVERAGEIFS(RC_IN[MC],RC_IN[BLOCK],RC_OUT[BLOCK]),"")</f>
        <v/>
      </c>
      <c r="J1105" s="264">
        <f t="shared" si="1"/>
        <v>0</v>
      </c>
      <c r="K1105" s="246"/>
      <c r="L1105" s="246"/>
      <c r="M1105" s="249" t="str">
        <f t="shared" si="2"/>
        <v/>
      </c>
      <c r="N1105" s="266">
        <f t="shared" si="3"/>
        <v>0</v>
      </c>
      <c r="O1105" s="247"/>
      <c r="P1105" s="247"/>
      <c r="Q1105" s="247"/>
      <c r="R1105" s="247"/>
      <c r="S1105" s="247"/>
      <c r="T1105" s="247"/>
      <c r="U1105" s="247"/>
      <c r="V1105" s="247"/>
      <c r="W1105" s="247"/>
      <c r="X1105" s="247"/>
    </row>
    <row r="1106">
      <c r="A1106" s="273">
        <v>45906.0</v>
      </c>
      <c r="B1106" s="275" t="s">
        <v>1302</v>
      </c>
      <c r="C1106" s="275" t="s">
        <v>1308</v>
      </c>
      <c r="D1106" s="276">
        <v>7334.0</v>
      </c>
      <c r="E1106" s="275" t="s">
        <v>1017</v>
      </c>
      <c r="F1106" s="279"/>
      <c r="G1106" s="278" t="str">
        <f>IFNA(IF(VLOOKUP(RC_OUT[BLOCK],RC_IN[[BLOCK]:[BLOCK LOC]],2,FALSE)=0,"",VLOOKUP(RC_OUT[BLOCK],RC_IN[[BLOCK]:[BLOCK LOC]],2,FALSE)),"")</f>
        <v/>
      </c>
      <c r="I1106" s="263" t="str">
        <f>IFERROR(AVERAGEIFS(RC_IN[MC],RC_IN[BLOCK],RC_OUT[BLOCK]),"")</f>
        <v/>
      </c>
      <c r="J1106" s="264">
        <f t="shared" si="1"/>
        <v>0</v>
      </c>
      <c r="K1106" s="246"/>
      <c r="L1106" s="246"/>
      <c r="M1106" s="249" t="str">
        <f t="shared" si="2"/>
        <v/>
      </c>
      <c r="N1106" s="266">
        <f t="shared" si="3"/>
        <v>0</v>
      </c>
      <c r="O1106" s="247"/>
      <c r="P1106" s="247"/>
      <c r="Q1106" s="247"/>
      <c r="R1106" s="247"/>
      <c r="S1106" s="247"/>
      <c r="T1106" s="247"/>
      <c r="U1106" s="247"/>
      <c r="V1106" s="247"/>
      <c r="W1106" s="247"/>
      <c r="X1106" s="247"/>
    </row>
    <row r="1107">
      <c r="A1107" s="273">
        <v>45906.0</v>
      </c>
      <c r="B1107" s="275" t="s">
        <v>1302</v>
      </c>
      <c r="C1107" s="275" t="s">
        <v>1309</v>
      </c>
      <c r="D1107" s="276">
        <v>3070.0</v>
      </c>
      <c r="E1107" s="275" t="s">
        <v>1017</v>
      </c>
      <c r="F1107" s="279"/>
      <c r="G1107" s="278" t="str">
        <f>IFNA(IF(VLOOKUP(RC_OUT[BLOCK],RC_IN[[BLOCK]:[BLOCK LOC]],2,FALSE)=0,"",VLOOKUP(RC_OUT[BLOCK],RC_IN[[BLOCK]:[BLOCK LOC]],2,FALSE)),"")</f>
        <v/>
      </c>
      <c r="I1107" s="263" t="str">
        <f>IFERROR(AVERAGEIFS(RC_IN[MC],RC_IN[BLOCK],RC_OUT[BLOCK]),"")</f>
        <v/>
      </c>
      <c r="J1107" s="264">
        <f t="shared" si="1"/>
        <v>0</v>
      </c>
      <c r="K1107" s="246"/>
      <c r="L1107" s="246"/>
      <c r="M1107" s="249" t="str">
        <f t="shared" si="2"/>
        <v/>
      </c>
      <c r="N1107" s="266">
        <f t="shared" si="3"/>
        <v>0</v>
      </c>
      <c r="O1107" s="247"/>
      <c r="P1107" s="247"/>
      <c r="Q1107" s="247"/>
      <c r="R1107" s="247"/>
      <c r="S1107" s="247"/>
      <c r="T1107" s="247"/>
      <c r="U1107" s="247"/>
      <c r="V1107" s="247"/>
      <c r="W1107" s="247"/>
      <c r="X1107" s="247"/>
    </row>
    <row r="1108">
      <c r="A1108" s="274"/>
      <c r="B1108" s="274"/>
      <c r="C1108" s="274"/>
      <c r="D1108" s="283"/>
      <c r="E1108" s="274"/>
      <c r="F1108" s="279"/>
      <c r="G1108" s="278" t="str">
        <f>IFNA(IF(VLOOKUP(RC_OUT[BLOCK],RC_IN[[BLOCK]:[BLOCK LOC]],2,FALSE)=0,"",VLOOKUP(RC_OUT[BLOCK],RC_IN[[BLOCK]:[BLOCK LOC]],2,FALSE)),"")</f>
        <v/>
      </c>
      <c r="I1108" s="263" t="str">
        <f>IFERROR(AVERAGEIFS(RC_IN[MC],RC_IN[BLOCK],RC_OUT[BLOCK]),"")</f>
        <v/>
      </c>
      <c r="J1108" s="264">
        <f t="shared" si="1"/>
        <v>0</v>
      </c>
      <c r="K1108" s="246"/>
      <c r="L1108" s="246"/>
      <c r="M1108" s="249" t="str">
        <f t="shared" si="2"/>
        <v/>
      </c>
      <c r="N1108" s="266">
        <f t="shared" si="3"/>
        <v>0</v>
      </c>
      <c r="O1108" s="247"/>
      <c r="P1108" s="247"/>
      <c r="Q1108" s="247"/>
      <c r="R1108" s="247"/>
      <c r="S1108" s="247"/>
      <c r="T1108" s="247"/>
      <c r="U1108" s="247"/>
      <c r="V1108" s="247"/>
      <c r="W1108" s="247"/>
      <c r="X1108" s="247"/>
    </row>
    <row r="1109">
      <c r="A1109" s="273">
        <v>45908.0</v>
      </c>
      <c r="B1109" s="275" t="s">
        <v>1302</v>
      </c>
      <c r="C1109" s="275" t="s">
        <v>1306</v>
      </c>
      <c r="D1109" s="276">
        <v>11023.0</v>
      </c>
      <c r="E1109" s="275" t="s">
        <v>1017</v>
      </c>
      <c r="F1109" s="279"/>
      <c r="G1109" s="278" t="str">
        <f>IFNA(IF(VLOOKUP(RC_OUT[BLOCK],RC_IN[[BLOCK]:[BLOCK LOC]],2,FALSE)=0,"",VLOOKUP(RC_OUT[BLOCK],RC_IN[[BLOCK]:[BLOCK LOC]],2,FALSE)),"")</f>
        <v/>
      </c>
      <c r="I1109" s="263" t="str">
        <f>IFERROR(AVERAGEIFS(RC_IN[MC],RC_IN[BLOCK],RC_OUT[BLOCK]),"")</f>
        <v/>
      </c>
      <c r="J1109" s="264">
        <f t="shared" si="1"/>
        <v>0</v>
      </c>
      <c r="K1109" s="246"/>
      <c r="L1109" s="246"/>
      <c r="M1109" s="249" t="str">
        <f t="shared" si="2"/>
        <v/>
      </c>
      <c r="N1109" s="266">
        <f t="shared" si="3"/>
        <v>0</v>
      </c>
      <c r="O1109" s="247"/>
      <c r="P1109" s="247"/>
      <c r="Q1109" s="247"/>
      <c r="R1109" s="247"/>
      <c r="S1109" s="247"/>
      <c r="T1109" s="247"/>
      <c r="U1109" s="247"/>
      <c r="V1109" s="247"/>
      <c r="W1109" s="247"/>
      <c r="X1109" s="247"/>
    </row>
    <row r="1110">
      <c r="A1110" s="273">
        <v>45908.0</v>
      </c>
      <c r="B1110" s="275" t="s">
        <v>1302</v>
      </c>
      <c r="C1110" s="275" t="s">
        <v>1307</v>
      </c>
      <c r="D1110" s="276">
        <v>13109.0</v>
      </c>
      <c r="E1110" s="275" t="s">
        <v>1017</v>
      </c>
      <c r="F1110" s="279"/>
      <c r="G1110" s="278" t="str">
        <f>IFNA(IF(VLOOKUP(RC_OUT[BLOCK],RC_IN[[BLOCK]:[BLOCK LOC]],2,FALSE)=0,"",VLOOKUP(RC_OUT[BLOCK],RC_IN[[BLOCK]:[BLOCK LOC]],2,FALSE)),"")</f>
        <v/>
      </c>
      <c r="I1110" s="263" t="str">
        <f>IFERROR(AVERAGEIFS(RC_IN[MC],RC_IN[BLOCK],RC_OUT[BLOCK]),"")</f>
        <v/>
      </c>
      <c r="J1110" s="264">
        <f t="shared" si="1"/>
        <v>0</v>
      </c>
      <c r="K1110" s="246"/>
      <c r="L1110" s="246"/>
      <c r="M1110" s="249" t="str">
        <f t="shared" si="2"/>
        <v/>
      </c>
      <c r="N1110" s="266">
        <f t="shared" si="3"/>
        <v>0</v>
      </c>
      <c r="O1110" s="247"/>
      <c r="P1110" s="247"/>
      <c r="Q1110" s="247"/>
      <c r="R1110" s="247"/>
      <c r="S1110" s="247"/>
      <c r="T1110" s="247"/>
      <c r="U1110" s="247"/>
      <c r="V1110" s="247"/>
      <c r="W1110" s="247"/>
      <c r="X1110" s="247"/>
    </row>
    <row r="1111">
      <c r="A1111" s="273">
        <v>45908.0</v>
      </c>
      <c r="B1111" s="275" t="s">
        <v>1302</v>
      </c>
      <c r="C1111" s="275" t="s">
        <v>1308</v>
      </c>
      <c r="D1111" s="276">
        <v>11897.0</v>
      </c>
      <c r="E1111" s="275" t="s">
        <v>1017</v>
      </c>
      <c r="F1111" s="279"/>
      <c r="G1111" s="278" t="str">
        <f>IFNA(IF(VLOOKUP(RC_OUT[BLOCK],RC_IN[[BLOCK]:[BLOCK LOC]],2,FALSE)=0,"",VLOOKUP(RC_OUT[BLOCK],RC_IN[[BLOCK]:[BLOCK LOC]],2,FALSE)),"")</f>
        <v/>
      </c>
      <c r="I1111" s="263" t="str">
        <f>IFERROR(AVERAGEIFS(RC_IN[MC],RC_IN[BLOCK],RC_OUT[BLOCK]),"")</f>
        <v/>
      </c>
      <c r="J1111" s="264">
        <f t="shared" si="1"/>
        <v>0</v>
      </c>
      <c r="K1111" s="246"/>
      <c r="L1111" s="246"/>
      <c r="M1111" s="249" t="str">
        <f t="shared" si="2"/>
        <v/>
      </c>
      <c r="N1111" s="266">
        <f t="shared" si="3"/>
        <v>0</v>
      </c>
      <c r="O1111" s="247"/>
      <c r="P1111" s="247"/>
      <c r="Q1111" s="247"/>
      <c r="R1111" s="247"/>
      <c r="S1111" s="247"/>
      <c r="T1111" s="247"/>
      <c r="U1111" s="247"/>
      <c r="V1111" s="247"/>
      <c r="W1111" s="247"/>
      <c r="X1111" s="247"/>
    </row>
    <row r="1112">
      <c r="A1112" s="273">
        <v>45908.0</v>
      </c>
      <c r="B1112" s="275" t="s">
        <v>1302</v>
      </c>
      <c r="C1112" s="275" t="s">
        <v>1309</v>
      </c>
      <c r="D1112" s="276">
        <v>8000.0</v>
      </c>
      <c r="E1112" s="275" t="s">
        <v>1017</v>
      </c>
      <c r="F1112" s="279"/>
      <c r="G1112" s="278" t="str">
        <f>IFNA(IF(VLOOKUP(RC_OUT[BLOCK],RC_IN[[BLOCK]:[BLOCK LOC]],2,FALSE)=0,"",VLOOKUP(RC_OUT[BLOCK],RC_IN[[BLOCK]:[BLOCK LOC]],2,FALSE)),"")</f>
        <v/>
      </c>
      <c r="I1112" s="263" t="str">
        <f>IFERROR(AVERAGEIFS(RC_IN[MC],RC_IN[BLOCK],RC_OUT[BLOCK]),"")</f>
        <v/>
      </c>
      <c r="J1112" s="264">
        <f t="shared" si="1"/>
        <v>0</v>
      </c>
      <c r="K1112" s="246"/>
      <c r="L1112" s="246"/>
      <c r="M1112" s="249" t="str">
        <f t="shared" si="2"/>
        <v/>
      </c>
      <c r="N1112" s="266">
        <f t="shared" si="3"/>
        <v>0</v>
      </c>
      <c r="O1112" s="247"/>
      <c r="P1112" s="247"/>
      <c r="Q1112" s="247"/>
      <c r="R1112" s="247"/>
      <c r="S1112" s="247"/>
      <c r="T1112" s="247"/>
      <c r="U1112" s="247"/>
      <c r="V1112" s="247"/>
      <c r="W1112" s="247"/>
      <c r="X1112" s="247"/>
    </row>
    <row r="1113">
      <c r="A1113" s="274"/>
      <c r="B1113" s="274"/>
      <c r="C1113" s="274"/>
      <c r="D1113" s="283"/>
      <c r="E1113" s="274"/>
      <c r="F1113" s="279"/>
      <c r="G1113" s="278" t="str">
        <f>IFNA(IF(VLOOKUP(RC_OUT[BLOCK],RC_IN[[BLOCK]:[BLOCK LOC]],2,FALSE)=0,"",VLOOKUP(RC_OUT[BLOCK],RC_IN[[BLOCK]:[BLOCK LOC]],2,FALSE)),"")</f>
        <v/>
      </c>
      <c r="I1113" s="263" t="str">
        <f>IFERROR(AVERAGEIFS(RC_IN[MC],RC_IN[BLOCK],RC_OUT[BLOCK]),"")</f>
        <v/>
      </c>
      <c r="J1113" s="264">
        <f t="shared" si="1"/>
        <v>0</v>
      </c>
      <c r="K1113" s="246"/>
      <c r="L1113" s="246"/>
      <c r="M1113" s="249" t="str">
        <f t="shared" si="2"/>
        <v/>
      </c>
      <c r="N1113" s="266">
        <f t="shared" si="3"/>
        <v>0</v>
      </c>
      <c r="O1113" s="247"/>
      <c r="P1113" s="247"/>
      <c r="Q1113" s="247"/>
      <c r="R1113" s="247"/>
      <c r="S1113" s="247"/>
      <c r="T1113" s="247"/>
      <c r="U1113" s="247"/>
      <c r="V1113" s="247"/>
      <c r="W1113" s="247"/>
      <c r="X1113" s="247"/>
    </row>
    <row r="1114">
      <c r="A1114" s="273">
        <v>45909.0</v>
      </c>
      <c r="B1114" s="275" t="s">
        <v>1302</v>
      </c>
      <c r="C1114" s="275" t="s">
        <v>1306</v>
      </c>
      <c r="D1114" s="276">
        <v>9255.0</v>
      </c>
      <c r="E1114" s="275" t="s">
        <v>1017</v>
      </c>
      <c r="F1114" s="279"/>
      <c r="G1114" s="278" t="str">
        <f>IFNA(IF(VLOOKUP(RC_OUT[BLOCK],RC_IN[[BLOCK]:[BLOCK LOC]],2,FALSE)=0,"",VLOOKUP(RC_OUT[BLOCK],RC_IN[[BLOCK]:[BLOCK LOC]],2,FALSE)),"")</f>
        <v/>
      </c>
      <c r="I1114" s="263" t="str">
        <f>IFERROR(AVERAGEIFS(RC_IN[MC],RC_IN[BLOCK],RC_OUT[BLOCK]),"")</f>
        <v/>
      </c>
      <c r="J1114" s="264">
        <f t="shared" si="1"/>
        <v>0</v>
      </c>
      <c r="K1114" s="246"/>
      <c r="L1114" s="246"/>
      <c r="M1114" s="249" t="str">
        <f t="shared" si="2"/>
        <v/>
      </c>
      <c r="N1114" s="266">
        <f t="shared" si="3"/>
        <v>0</v>
      </c>
      <c r="O1114" s="247"/>
      <c r="P1114" s="247"/>
      <c r="Q1114" s="247"/>
      <c r="R1114" s="247"/>
      <c r="S1114" s="247"/>
      <c r="T1114" s="247"/>
      <c r="U1114" s="247"/>
      <c r="V1114" s="247"/>
      <c r="W1114" s="247"/>
      <c r="X1114" s="247"/>
    </row>
    <row r="1115">
      <c r="A1115" s="273">
        <v>45909.0</v>
      </c>
      <c r="B1115" s="275" t="s">
        <v>1302</v>
      </c>
      <c r="C1115" s="275" t="s">
        <v>1307</v>
      </c>
      <c r="D1115" s="276">
        <v>8474.0</v>
      </c>
      <c r="E1115" s="275" t="s">
        <v>1017</v>
      </c>
      <c r="F1115" s="279"/>
      <c r="G1115" s="278" t="str">
        <f>IFNA(IF(VLOOKUP(RC_OUT[BLOCK],RC_IN[[BLOCK]:[BLOCK LOC]],2,FALSE)=0,"",VLOOKUP(RC_OUT[BLOCK],RC_IN[[BLOCK]:[BLOCK LOC]],2,FALSE)),"")</f>
        <v/>
      </c>
      <c r="I1115" s="263" t="str">
        <f>IFERROR(AVERAGEIFS(RC_IN[MC],RC_IN[BLOCK],RC_OUT[BLOCK]),"")</f>
        <v/>
      </c>
      <c r="J1115" s="264">
        <f t="shared" si="1"/>
        <v>0</v>
      </c>
      <c r="K1115" s="246"/>
      <c r="L1115" s="246"/>
      <c r="M1115" s="249" t="str">
        <f t="shared" si="2"/>
        <v/>
      </c>
      <c r="N1115" s="266">
        <f t="shared" si="3"/>
        <v>0</v>
      </c>
      <c r="O1115" s="247"/>
      <c r="P1115" s="247"/>
      <c r="Q1115" s="247"/>
      <c r="R1115" s="247"/>
      <c r="S1115" s="247"/>
      <c r="T1115" s="247"/>
      <c r="U1115" s="247"/>
      <c r="V1115" s="247"/>
      <c r="W1115" s="247"/>
      <c r="X1115" s="247"/>
    </row>
    <row r="1116">
      <c r="A1116" s="273">
        <v>45909.0</v>
      </c>
      <c r="B1116" s="275" t="s">
        <v>1302</v>
      </c>
      <c r="C1116" s="275" t="s">
        <v>1308</v>
      </c>
      <c r="D1116" s="276">
        <v>3138.0</v>
      </c>
      <c r="E1116" s="275" t="s">
        <v>1017</v>
      </c>
      <c r="F1116" s="277" t="s">
        <v>1059</v>
      </c>
      <c r="G1116" s="278" t="str">
        <f>IFNA(IF(VLOOKUP(RC_OUT[BLOCK],RC_IN[[BLOCK]:[BLOCK LOC]],2,FALSE)=0,"",VLOOKUP(RC_OUT[BLOCK],RC_IN[[BLOCK]:[BLOCK LOC]],2,FALSE)),"")</f>
        <v/>
      </c>
      <c r="I1116" s="263" t="str">
        <f>IFERROR(AVERAGEIFS(RC_IN[MC],RC_IN[BLOCK],RC_OUT[BLOCK]),"")</f>
        <v/>
      </c>
      <c r="J1116" s="264">
        <f t="shared" si="1"/>
        <v>0</v>
      </c>
      <c r="K1116" s="246"/>
      <c r="L1116" s="246"/>
      <c r="M1116" s="249" t="str">
        <f t="shared" si="2"/>
        <v/>
      </c>
      <c r="N1116" s="266">
        <f t="shared" si="3"/>
        <v>0</v>
      </c>
      <c r="O1116" s="247"/>
      <c r="P1116" s="247"/>
      <c r="Q1116" s="247"/>
      <c r="R1116" s="247"/>
      <c r="S1116" s="247"/>
      <c r="T1116" s="247"/>
      <c r="U1116" s="247"/>
      <c r="V1116" s="247"/>
      <c r="W1116" s="247"/>
      <c r="X1116" s="247"/>
    </row>
    <row r="1117">
      <c r="A1117" s="273">
        <v>45909.0</v>
      </c>
      <c r="B1117" s="275" t="s">
        <v>1302</v>
      </c>
      <c r="C1117" s="275" t="s">
        <v>1309</v>
      </c>
      <c r="D1117" s="276">
        <v>4000.0</v>
      </c>
      <c r="E1117" s="275" t="s">
        <v>1017</v>
      </c>
      <c r="F1117" s="277" t="s">
        <v>1059</v>
      </c>
      <c r="G1117" s="278" t="str">
        <f>IFNA(IF(VLOOKUP(RC_OUT[BLOCK],RC_IN[[BLOCK]:[BLOCK LOC]],2,FALSE)=0,"",VLOOKUP(RC_OUT[BLOCK],RC_IN[[BLOCK]:[BLOCK LOC]],2,FALSE)),"")</f>
        <v/>
      </c>
      <c r="I1117" s="263" t="str">
        <f>IFERROR(AVERAGEIFS(RC_IN[MC],RC_IN[BLOCK],RC_OUT[BLOCK]),"")</f>
        <v/>
      </c>
      <c r="J1117" s="264">
        <f t="shared" si="1"/>
        <v>0</v>
      </c>
      <c r="K1117" s="246"/>
      <c r="L1117" s="246"/>
      <c r="M1117" s="249" t="str">
        <f t="shared" si="2"/>
        <v/>
      </c>
      <c r="N1117" s="266">
        <f t="shared" si="3"/>
        <v>0</v>
      </c>
      <c r="O1117" s="247"/>
      <c r="P1117" s="247"/>
      <c r="Q1117" s="247"/>
      <c r="R1117" s="247"/>
      <c r="S1117" s="247"/>
      <c r="T1117" s="247"/>
      <c r="U1117" s="247"/>
      <c r="V1117" s="247"/>
      <c r="W1117" s="247"/>
      <c r="X1117" s="247"/>
    </row>
    <row r="1118">
      <c r="A1118" s="273">
        <v>45909.0</v>
      </c>
      <c r="B1118" s="275" t="s">
        <v>1302</v>
      </c>
      <c r="C1118" s="275" t="s">
        <v>1310</v>
      </c>
      <c r="D1118" s="276">
        <v>10610.0</v>
      </c>
      <c r="E1118" s="275" t="s">
        <v>1017</v>
      </c>
      <c r="F1118" s="279"/>
      <c r="G1118" s="278" t="str">
        <f>IFNA(IF(VLOOKUP(RC_OUT[BLOCK],RC_IN[[BLOCK]:[BLOCK LOC]],2,FALSE)=0,"",VLOOKUP(RC_OUT[BLOCK],RC_IN[[BLOCK]:[BLOCK LOC]],2,FALSE)),"")</f>
        <v/>
      </c>
      <c r="I1118" s="263" t="str">
        <f>IFERROR(AVERAGEIFS(RC_IN[MC],RC_IN[BLOCK],RC_OUT[BLOCK]),"")</f>
        <v/>
      </c>
      <c r="J1118" s="264">
        <f t="shared" si="1"/>
        <v>0</v>
      </c>
      <c r="K1118" s="246"/>
      <c r="L1118" s="246"/>
      <c r="M1118" s="249" t="str">
        <f t="shared" si="2"/>
        <v/>
      </c>
      <c r="N1118" s="266">
        <f t="shared" si="3"/>
        <v>0</v>
      </c>
      <c r="O1118" s="247"/>
      <c r="P1118" s="247"/>
      <c r="Q1118" s="247"/>
      <c r="R1118" s="247"/>
      <c r="S1118" s="247"/>
      <c r="T1118" s="247"/>
      <c r="U1118" s="247"/>
      <c r="V1118" s="247"/>
      <c r="W1118" s="247"/>
      <c r="X1118" s="247"/>
    </row>
    <row r="1119">
      <c r="A1119" s="274"/>
      <c r="B1119" s="274"/>
      <c r="C1119" s="274"/>
      <c r="D1119" s="283"/>
      <c r="E1119" s="274"/>
      <c r="F1119" s="279"/>
      <c r="G1119" s="278" t="str">
        <f>IFNA(IF(VLOOKUP(RC_OUT[BLOCK],RC_IN[[BLOCK]:[BLOCK LOC]],2,FALSE)=0,"",VLOOKUP(RC_OUT[BLOCK],RC_IN[[BLOCK]:[BLOCK LOC]],2,FALSE)),"")</f>
        <v/>
      </c>
      <c r="I1119" s="263" t="str">
        <f>IFERROR(AVERAGEIFS(RC_IN[MC],RC_IN[BLOCK],RC_OUT[BLOCK]),"")</f>
        <v/>
      </c>
      <c r="J1119" s="264">
        <f t="shared" si="1"/>
        <v>0</v>
      </c>
      <c r="K1119" s="246"/>
      <c r="L1119" s="246"/>
      <c r="M1119" s="249" t="str">
        <f t="shared" si="2"/>
        <v/>
      </c>
      <c r="N1119" s="266">
        <f t="shared" si="3"/>
        <v>0</v>
      </c>
      <c r="O1119" s="247"/>
      <c r="P1119" s="247"/>
      <c r="Q1119" s="247"/>
      <c r="R1119" s="247"/>
      <c r="S1119" s="247"/>
      <c r="T1119" s="247"/>
      <c r="U1119" s="247"/>
      <c r="V1119" s="247"/>
      <c r="W1119" s="247"/>
      <c r="X1119" s="247"/>
    </row>
    <row r="1120">
      <c r="A1120" s="273">
        <v>45910.0</v>
      </c>
      <c r="B1120" s="275" t="s">
        <v>1302</v>
      </c>
      <c r="C1120" s="275" t="s">
        <v>1306</v>
      </c>
      <c r="D1120" s="276">
        <v>4328.0</v>
      </c>
      <c r="E1120" s="275" t="s">
        <v>1017</v>
      </c>
      <c r="F1120" s="279"/>
      <c r="G1120" s="278" t="str">
        <f>IFNA(IF(VLOOKUP(RC_OUT[BLOCK],RC_IN[[BLOCK]:[BLOCK LOC]],2,FALSE)=0,"",VLOOKUP(RC_OUT[BLOCK],RC_IN[[BLOCK]:[BLOCK LOC]],2,FALSE)),"")</f>
        <v/>
      </c>
      <c r="I1120" s="263" t="str">
        <f>IFERROR(AVERAGEIFS(RC_IN[MC],RC_IN[BLOCK],RC_OUT[BLOCK]),"")</f>
        <v/>
      </c>
      <c r="J1120" s="264">
        <f t="shared" si="1"/>
        <v>0</v>
      </c>
      <c r="K1120" s="246"/>
      <c r="L1120" s="246"/>
      <c r="M1120" s="249" t="str">
        <f t="shared" si="2"/>
        <v/>
      </c>
      <c r="N1120" s="266">
        <f t="shared" si="3"/>
        <v>0</v>
      </c>
      <c r="O1120" s="247"/>
      <c r="P1120" s="247"/>
      <c r="Q1120" s="247"/>
      <c r="R1120" s="247"/>
      <c r="S1120" s="247"/>
      <c r="T1120" s="247"/>
      <c r="U1120" s="247"/>
      <c r="V1120" s="247"/>
      <c r="W1120" s="247"/>
      <c r="X1120" s="247"/>
    </row>
    <row r="1121">
      <c r="A1121" s="273">
        <v>45910.0</v>
      </c>
      <c r="B1121" s="275" t="s">
        <v>1302</v>
      </c>
      <c r="C1121" s="275" t="s">
        <v>1307</v>
      </c>
      <c r="D1121" s="276">
        <v>3985.0</v>
      </c>
      <c r="E1121" s="275" t="s">
        <v>1017</v>
      </c>
      <c r="F1121" s="277" t="s">
        <v>1059</v>
      </c>
      <c r="G1121" s="278" t="str">
        <f>IFNA(IF(VLOOKUP(RC_OUT[BLOCK],RC_IN[[BLOCK]:[BLOCK LOC]],2,FALSE)=0,"",VLOOKUP(RC_OUT[BLOCK],RC_IN[[BLOCK]:[BLOCK LOC]],2,FALSE)),"")</f>
        <v/>
      </c>
      <c r="I1121" s="263" t="str">
        <f>IFERROR(AVERAGEIFS(RC_IN[MC],RC_IN[BLOCK],RC_OUT[BLOCK]),"")</f>
        <v/>
      </c>
      <c r="J1121" s="264">
        <f t="shared" si="1"/>
        <v>0</v>
      </c>
      <c r="K1121" s="246"/>
      <c r="L1121" s="246"/>
      <c r="M1121" s="249" t="str">
        <f t="shared" si="2"/>
        <v/>
      </c>
      <c r="N1121" s="266">
        <f t="shared" si="3"/>
        <v>0</v>
      </c>
      <c r="O1121" s="247"/>
      <c r="P1121" s="247"/>
      <c r="Q1121" s="247"/>
      <c r="R1121" s="247"/>
      <c r="S1121" s="247"/>
      <c r="T1121" s="247"/>
      <c r="U1121" s="247"/>
      <c r="V1121" s="247"/>
      <c r="W1121" s="247"/>
      <c r="X1121" s="247"/>
    </row>
    <row r="1122">
      <c r="A1122" s="273">
        <v>45910.0</v>
      </c>
      <c r="B1122" s="275" t="s">
        <v>1302</v>
      </c>
      <c r="C1122" s="275" t="s">
        <v>1310</v>
      </c>
      <c r="D1122" s="276">
        <v>10610.0</v>
      </c>
      <c r="E1122" s="275" t="s">
        <v>1017</v>
      </c>
      <c r="F1122" s="277" t="s">
        <v>1059</v>
      </c>
      <c r="G1122" s="278" t="str">
        <f>IFNA(IF(VLOOKUP(RC_OUT[BLOCK],RC_IN[[BLOCK]:[BLOCK LOC]],2,FALSE)=0,"",VLOOKUP(RC_OUT[BLOCK],RC_IN[[BLOCK]:[BLOCK LOC]],2,FALSE)),"")</f>
        <v/>
      </c>
      <c r="I1122" s="263" t="str">
        <f>IFERROR(AVERAGEIFS(RC_IN[MC],RC_IN[BLOCK],RC_OUT[BLOCK]),"")</f>
        <v/>
      </c>
      <c r="J1122" s="264">
        <f t="shared" si="1"/>
        <v>0</v>
      </c>
      <c r="K1122" s="246"/>
      <c r="L1122" s="246"/>
      <c r="M1122" s="249" t="str">
        <f t="shared" si="2"/>
        <v/>
      </c>
      <c r="N1122" s="266">
        <f t="shared" si="3"/>
        <v>0</v>
      </c>
      <c r="O1122" s="247"/>
      <c r="P1122" s="247"/>
      <c r="Q1122" s="247"/>
      <c r="R1122" s="247"/>
      <c r="S1122" s="247"/>
      <c r="T1122" s="247"/>
      <c r="U1122" s="247"/>
      <c r="V1122" s="247"/>
      <c r="W1122" s="247"/>
      <c r="X1122" s="247"/>
    </row>
    <row r="1123">
      <c r="A1123" s="273">
        <v>45910.0</v>
      </c>
      <c r="B1123" s="275" t="s">
        <v>1302</v>
      </c>
      <c r="C1123" s="275" t="s">
        <v>1311</v>
      </c>
      <c r="D1123" s="276">
        <v>3526.0</v>
      </c>
      <c r="E1123" s="275" t="s">
        <v>1017</v>
      </c>
      <c r="F1123" s="279"/>
      <c r="G1123" s="278" t="str">
        <f>IFNA(IF(VLOOKUP(RC_OUT[BLOCK],RC_IN[[BLOCK]:[BLOCK LOC]],2,FALSE)=0,"",VLOOKUP(RC_OUT[BLOCK],RC_IN[[BLOCK]:[BLOCK LOC]],2,FALSE)),"")</f>
        <v/>
      </c>
      <c r="I1123" s="263" t="str">
        <f>IFERROR(AVERAGEIFS(RC_IN[MC],RC_IN[BLOCK],RC_OUT[BLOCK]),"")</f>
        <v/>
      </c>
      <c r="J1123" s="264">
        <f t="shared" si="1"/>
        <v>0</v>
      </c>
      <c r="K1123" s="246"/>
      <c r="L1123" s="246"/>
      <c r="M1123" s="249" t="str">
        <f t="shared" si="2"/>
        <v/>
      </c>
      <c r="N1123" s="266">
        <f t="shared" si="3"/>
        <v>0</v>
      </c>
      <c r="O1123" s="247"/>
      <c r="P1123" s="247"/>
      <c r="Q1123" s="247"/>
      <c r="R1123" s="247"/>
      <c r="S1123" s="247"/>
      <c r="T1123" s="247"/>
      <c r="U1123" s="247"/>
      <c r="V1123" s="247"/>
      <c r="W1123" s="247"/>
      <c r="X1123" s="247"/>
    </row>
    <row r="1124">
      <c r="A1124" s="274"/>
      <c r="B1124" s="274"/>
      <c r="C1124" s="274"/>
      <c r="D1124" s="283"/>
      <c r="E1124" s="274"/>
      <c r="F1124" s="279"/>
      <c r="G1124" s="278" t="str">
        <f>IFNA(IF(VLOOKUP(RC_OUT[BLOCK],RC_IN[[BLOCK]:[BLOCK LOC]],2,FALSE)=0,"",VLOOKUP(RC_OUT[BLOCK],RC_IN[[BLOCK]:[BLOCK LOC]],2,FALSE)),"")</f>
        <v/>
      </c>
      <c r="I1124" s="263" t="str">
        <f>IFERROR(AVERAGEIFS(RC_IN[MC],RC_IN[BLOCK],RC_OUT[BLOCK]),"")</f>
        <v/>
      </c>
      <c r="J1124" s="264">
        <f t="shared" si="1"/>
        <v>0</v>
      </c>
      <c r="K1124" s="246"/>
      <c r="L1124" s="246"/>
      <c r="M1124" s="249" t="str">
        <f t="shared" si="2"/>
        <v/>
      </c>
      <c r="N1124" s="266">
        <f t="shared" si="3"/>
        <v>0</v>
      </c>
      <c r="O1124" s="247"/>
      <c r="P1124" s="247"/>
      <c r="Q1124" s="247"/>
      <c r="R1124" s="247"/>
      <c r="S1124" s="247"/>
      <c r="T1124" s="247"/>
      <c r="U1124" s="247"/>
      <c r="V1124" s="247"/>
      <c r="W1124" s="247"/>
      <c r="X1124" s="247"/>
    </row>
    <row r="1125">
      <c r="A1125" s="273">
        <v>45911.0</v>
      </c>
      <c r="B1125" s="275" t="s">
        <v>1302</v>
      </c>
      <c r="C1125" s="275" t="s">
        <v>1306</v>
      </c>
      <c r="D1125" s="276">
        <v>9086.0</v>
      </c>
      <c r="E1125" s="275" t="s">
        <v>1017</v>
      </c>
      <c r="F1125" s="277" t="s">
        <v>1059</v>
      </c>
      <c r="G1125" s="278" t="str">
        <f>IFNA(IF(VLOOKUP(RC_OUT[BLOCK],RC_IN[[BLOCK]:[BLOCK LOC]],2,FALSE)=0,"",VLOOKUP(RC_OUT[BLOCK],RC_IN[[BLOCK]:[BLOCK LOC]],2,FALSE)),"")</f>
        <v/>
      </c>
      <c r="I1125" s="263" t="str">
        <f>IFERROR(AVERAGEIFS(RC_IN[MC],RC_IN[BLOCK],RC_OUT[BLOCK]),"")</f>
        <v/>
      </c>
      <c r="J1125" s="264">
        <f t="shared" si="1"/>
        <v>0</v>
      </c>
      <c r="K1125" s="246"/>
      <c r="L1125" s="246"/>
      <c r="M1125" s="249" t="str">
        <f t="shared" si="2"/>
        <v/>
      </c>
      <c r="N1125" s="266">
        <f t="shared" si="3"/>
        <v>0</v>
      </c>
      <c r="O1125" s="247"/>
      <c r="P1125" s="247"/>
      <c r="Q1125" s="247"/>
      <c r="R1125" s="247"/>
      <c r="S1125" s="247"/>
      <c r="T1125" s="247"/>
      <c r="U1125" s="247"/>
      <c r="V1125" s="247"/>
      <c r="W1125" s="247"/>
      <c r="X1125" s="247"/>
    </row>
    <row r="1126">
      <c r="A1126" s="273">
        <v>45911.0</v>
      </c>
      <c r="B1126" s="275" t="s">
        <v>1302</v>
      </c>
      <c r="C1126" s="275" t="s">
        <v>1311</v>
      </c>
      <c r="D1126" s="276">
        <v>5313.0</v>
      </c>
      <c r="E1126" s="275" t="s">
        <v>1017</v>
      </c>
      <c r="F1126" s="279"/>
      <c r="G1126" s="278" t="str">
        <f>IFNA(IF(VLOOKUP(RC_OUT[BLOCK],RC_IN[[BLOCK]:[BLOCK LOC]],2,FALSE)=0,"",VLOOKUP(RC_OUT[BLOCK],RC_IN[[BLOCK]:[BLOCK LOC]],2,FALSE)),"")</f>
        <v/>
      </c>
      <c r="I1126" s="263" t="str">
        <f>IFERROR(AVERAGEIFS(RC_IN[MC],RC_IN[BLOCK],RC_OUT[BLOCK]),"")</f>
        <v/>
      </c>
      <c r="J1126" s="264">
        <f t="shared" si="1"/>
        <v>0</v>
      </c>
      <c r="K1126" s="246"/>
      <c r="L1126" s="246"/>
      <c r="M1126" s="249" t="str">
        <f t="shared" si="2"/>
        <v/>
      </c>
      <c r="N1126" s="266">
        <f t="shared" si="3"/>
        <v>0</v>
      </c>
      <c r="O1126" s="247"/>
      <c r="P1126" s="247"/>
      <c r="Q1126" s="247"/>
      <c r="R1126" s="247"/>
      <c r="S1126" s="247"/>
      <c r="T1126" s="247"/>
      <c r="U1126" s="247"/>
      <c r="V1126" s="247"/>
      <c r="W1126" s="247"/>
      <c r="X1126" s="247"/>
    </row>
    <row r="1127">
      <c r="A1127" s="273">
        <v>45911.0</v>
      </c>
      <c r="B1127" s="275" t="s">
        <v>1302</v>
      </c>
      <c r="C1127" s="275" t="s">
        <v>1312</v>
      </c>
      <c r="D1127" s="276">
        <v>10186.0</v>
      </c>
      <c r="E1127" s="275" t="s">
        <v>1017</v>
      </c>
      <c r="F1127" s="279"/>
      <c r="G1127" s="278" t="str">
        <f>IFNA(IF(VLOOKUP(RC_OUT[BLOCK],RC_IN[[BLOCK]:[BLOCK LOC]],2,FALSE)=0,"",VLOOKUP(RC_OUT[BLOCK],RC_IN[[BLOCK]:[BLOCK LOC]],2,FALSE)),"")</f>
        <v/>
      </c>
      <c r="I1127" s="263" t="str">
        <f>IFERROR(AVERAGEIFS(RC_IN[MC],RC_IN[BLOCK],RC_OUT[BLOCK]),"")</f>
        <v/>
      </c>
      <c r="J1127" s="264">
        <f t="shared" si="1"/>
        <v>0</v>
      </c>
      <c r="K1127" s="246"/>
      <c r="L1127" s="246"/>
      <c r="M1127" s="249" t="str">
        <f t="shared" si="2"/>
        <v/>
      </c>
      <c r="N1127" s="266">
        <f t="shared" si="3"/>
        <v>0</v>
      </c>
      <c r="O1127" s="247"/>
      <c r="P1127" s="247"/>
      <c r="Q1127" s="247"/>
      <c r="R1127" s="247"/>
      <c r="S1127" s="247"/>
      <c r="T1127" s="247"/>
      <c r="U1127" s="247"/>
      <c r="V1127" s="247"/>
      <c r="W1127" s="247"/>
      <c r="X1127" s="247"/>
    </row>
    <row r="1128">
      <c r="A1128" s="273">
        <v>45911.0</v>
      </c>
      <c r="B1128" s="275" t="s">
        <v>1302</v>
      </c>
      <c r="C1128" s="275" t="s">
        <v>1313</v>
      </c>
      <c r="D1128" s="276">
        <v>2548.0</v>
      </c>
      <c r="E1128" s="275" t="s">
        <v>1017</v>
      </c>
      <c r="F1128" s="279"/>
      <c r="G1128" s="278" t="str">
        <f>IFNA(IF(VLOOKUP(RC_OUT[BLOCK],RC_IN[[BLOCK]:[BLOCK LOC]],2,FALSE)=0,"",VLOOKUP(RC_OUT[BLOCK],RC_IN[[BLOCK]:[BLOCK LOC]],2,FALSE)),"")</f>
        <v/>
      </c>
      <c r="I1128" s="263" t="str">
        <f>IFERROR(AVERAGEIFS(RC_IN[MC],RC_IN[BLOCK],RC_OUT[BLOCK]),"")</f>
        <v/>
      </c>
      <c r="J1128" s="264">
        <f t="shared" si="1"/>
        <v>0</v>
      </c>
      <c r="K1128" s="246"/>
      <c r="L1128" s="246"/>
      <c r="M1128" s="249" t="str">
        <f t="shared" si="2"/>
        <v/>
      </c>
      <c r="N1128" s="266">
        <f t="shared" si="3"/>
        <v>0</v>
      </c>
      <c r="O1128" s="247"/>
      <c r="P1128" s="247"/>
      <c r="Q1128" s="247"/>
      <c r="R1128" s="247"/>
      <c r="S1128" s="247"/>
      <c r="T1128" s="247"/>
      <c r="U1128" s="247"/>
      <c r="V1128" s="247"/>
      <c r="W1128" s="247"/>
      <c r="X1128" s="247"/>
    </row>
    <row r="1129">
      <c r="A1129" s="273">
        <v>45911.0</v>
      </c>
      <c r="B1129" s="275" t="s">
        <v>1302</v>
      </c>
      <c r="C1129" s="275" t="s">
        <v>1314</v>
      </c>
      <c r="D1129" s="276">
        <v>9935.0</v>
      </c>
      <c r="E1129" s="275" t="s">
        <v>1017</v>
      </c>
      <c r="F1129" s="279"/>
      <c r="G1129" s="278" t="str">
        <f>IFNA(IF(VLOOKUP(RC_OUT[BLOCK],RC_IN[[BLOCK]:[BLOCK LOC]],2,FALSE)=0,"",VLOOKUP(RC_OUT[BLOCK],RC_IN[[BLOCK]:[BLOCK LOC]],2,FALSE)),"")</f>
        <v/>
      </c>
      <c r="I1129" s="263" t="str">
        <f>IFERROR(AVERAGEIFS(RC_IN[MC],RC_IN[BLOCK],RC_OUT[BLOCK]),"")</f>
        <v/>
      </c>
      <c r="J1129" s="264">
        <f t="shared" si="1"/>
        <v>0</v>
      </c>
      <c r="K1129" s="246"/>
      <c r="L1129" s="246"/>
      <c r="M1129" s="249" t="str">
        <f t="shared" si="2"/>
        <v/>
      </c>
      <c r="N1129" s="266">
        <f t="shared" si="3"/>
        <v>0</v>
      </c>
      <c r="O1129" s="247"/>
      <c r="P1129" s="247"/>
      <c r="Q1129" s="247"/>
      <c r="R1129" s="247"/>
      <c r="S1129" s="247"/>
      <c r="T1129" s="247"/>
      <c r="U1129" s="247"/>
      <c r="V1129" s="247"/>
      <c r="W1129" s="247"/>
      <c r="X1129" s="247"/>
    </row>
    <row r="1130">
      <c r="A1130" s="274"/>
      <c r="B1130" s="274"/>
      <c r="C1130" s="274"/>
      <c r="D1130" s="283"/>
      <c r="E1130" s="274"/>
      <c r="F1130" s="279"/>
      <c r="G1130" s="278" t="str">
        <f>IFNA(IF(VLOOKUP(RC_OUT[BLOCK],RC_IN[[BLOCK]:[BLOCK LOC]],2,FALSE)=0,"",VLOOKUP(RC_OUT[BLOCK],RC_IN[[BLOCK]:[BLOCK LOC]],2,FALSE)),"")</f>
        <v/>
      </c>
      <c r="I1130" s="263" t="str">
        <f>IFERROR(AVERAGEIFS(RC_IN[MC],RC_IN[BLOCK],RC_OUT[BLOCK]),"")</f>
        <v/>
      </c>
      <c r="J1130" s="264">
        <f t="shared" si="1"/>
        <v>0</v>
      </c>
      <c r="K1130" s="246"/>
      <c r="L1130" s="246"/>
      <c r="M1130" s="249" t="str">
        <f t="shared" si="2"/>
        <v/>
      </c>
      <c r="N1130" s="266">
        <f t="shared" si="3"/>
        <v>0</v>
      </c>
      <c r="O1130" s="247"/>
      <c r="P1130" s="247"/>
      <c r="Q1130" s="247"/>
      <c r="R1130" s="247"/>
      <c r="S1130" s="247"/>
      <c r="T1130" s="247"/>
      <c r="U1130" s="247"/>
      <c r="V1130" s="247"/>
      <c r="W1130" s="247"/>
      <c r="X1130" s="247"/>
    </row>
    <row r="1131">
      <c r="A1131" s="273">
        <v>45912.0</v>
      </c>
      <c r="B1131" s="275" t="s">
        <v>1302</v>
      </c>
      <c r="C1131" s="275" t="s">
        <v>1311</v>
      </c>
      <c r="D1131" s="276">
        <v>5377.0</v>
      </c>
      <c r="E1131" s="275" t="s">
        <v>1017</v>
      </c>
      <c r="F1131" s="279"/>
      <c r="G1131" s="278" t="str">
        <f>IFNA(IF(VLOOKUP(RC_OUT[BLOCK],RC_IN[[BLOCK]:[BLOCK LOC]],2,FALSE)=0,"",VLOOKUP(RC_OUT[BLOCK],RC_IN[[BLOCK]:[BLOCK LOC]],2,FALSE)),"")</f>
        <v/>
      </c>
      <c r="I1131" s="263" t="str">
        <f>IFERROR(AVERAGEIFS(RC_IN[MC],RC_IN[BLOCK],RC_OUT[BLOCK]),"")</f>
        <v/>
      </c>
      <c r="J1131" s="264">
        <f t="shared" si="1"/>
        <v>0</v>
      </c>
      <c r="K1131" s="246"/>
      <c r="L1131" s="246"/>
      <c r="M1131" s="249" t="str">
        <f t="shared" si="2"/>
        <v/>
      </c>
      <c r="N1131" s="266">
        <f t="shared" si="3"/>
        <v>0</v>
      </c>
      <c r="O1131" s="247"/>
      <c r="P1131" s="247"/>
      <c r="Q1131" s="247"/>
      <c r="R1131" s="247"/>
      <c r="S1131" s="247"/>
      <c r="T1131" s="247"/>
      <c r="U1131" s="247"/>
      <c r="V1131" s="247"/>
      <c r="W1131" s="247"/>
      <c r="X1131" s="247"/>
    </row>
    <row r="1132">
      <c r="A1132" s="273">
        <v>45912.0</v>
      </c>
      <c r="B1132" s="275" t="s">
        <v>1302</v>
      </c>
      <c r="C1132" s="275" t="s">
        <v>1312</v>
      </c>
      <c r="D1132" s="276">
        <v>11145.0</v>
      </c>
      <c r="E1132" s="275" t="s">
        <v>1017</v>
      </c>
      <c r="F1132" s="279"/>
      <c r="G1132" s="278" t="str">
        <f>IFNA(IF(VLOOKUP(RC_OUT[BLOCK],RC_IN[[BLOCK]:[BLOCK LOC]],2,FALSE)=0,"",VLOOKUP(RC_OUT[BLOCK],RC_IN[[BLOCK]:[BLOCK LOC]],2,FALSE)),"")</f>
        <v/>
      </c>
      <c r="I1132" s="263" t="str">
        <f>IFERROR(AVERAGEIFS(RC_IN[MC],RC_IN[BLOCK],RC_OUT[BLOCK]),"")</f>
        <v/>
      </c>
      <c r="J1132" s="264">
        <f t="shared" si="1"/>
        <v>0</v>
      </c>
      <c r="K1132" s="246"/>
      <c r="L1132" s="246"/>
      <c r="M1132" s="249" t="str">
        <f t="shared" si="2"/>
        <v/>
      </c>
      <c r="N1132" s="266">
        <f t="shared" si="3"/>
        <v>0</v>
      </c>
      <c r="O1132" s="247"/>
      <c r="P1132" s="247"/>
      <c r="Q1132" s="247"/>
      <c r="R1132" s="247"/>
      <c r="S1132" s="247"/>
      <c r="T1132" s="247"/>
      <c r="U1132" s="247"/>
      <c r="V1132" s="247"/>
      <c r="W1132" s="247"/>
      <c r="X1132" s="247"/>
    </row>
    <row r="1133">
      <c r="A1133" s="273">
        <v>45912.0</v>
      </c>
      <c r="B1133" s="275" t="s">
        <v>1302</v>
      </c>
      <c r="C1133" s="275" t="s">
        <v>1313</v>
      </c>
      <c r="D1133" s="276">
        <v>13063.0</v>
      </c>
      <c r="E1133" s="275" t="s">
        <v>1017</v>
      </c>
      <c r="F1133" s="279"/>
      <c r="G1133" s="278" t="str">
        <f>IFNA(IF(VLOOKUP(RC_OUT[BLOCK],RC_IN[[BLOCK]:[BLOCK LOC]],2,FALSE)=0,"",VLOOKUP(RC_OUT[BLOCK],RC_IN[[BLOCK]:[BLOCK LOC]],2,FALSE)),"")</f>
        <v/>
      </c>
      <c r="I1133" s="263" t="str">
        <f>IFERROR(AVERAGEIFS(RC_IN[MC],RC_IN[BLOCK],RC_OUT[BLOCK]),"")</f>
        <v/>
      </c>
      <c r="J1133" s="264">
        <f t="shared" si="1"/>
        <v>0</v>
      </c>
      <c r="K1133" s="246"/>
      <c r="L1133" s="246"/>
      <c r="M1133" s="249" t="str">
        <f t="shared" si="2"/>
        <v/>
      </c>
      <c r="N1133" s="266">
        <f t="shared" si="3"/>
        <v>0</v>
      </c>
      <c r="O1133" s="247"/>
      <c r="P1133" s="247"/>
      <c r="Q1133" s="247"/>
      <c r="R1133" s="247"/>
      <c r="S1133" s="247"/>
      <c r="T1133" s="247"/>
      <c r="U1133" s="247"/>
      <c r="V1133" s="247"/>
      <c r="W1133" s="247"/>
      <c r="X1133" s="247"/>
    </row>
    <row r="1134">
      <c r="A1134" s="273">
        <v>45912.0</v>
      </c>
      <c r="B1134" s="275" t="s">
        <v>1302</v>
      </c>
      <c r="C1134" s="275" t="s">
        <v>1314</v>
      </c>
      <c r="D1134" s="276">
        <v>10000.0</v>
      </c>
      <c r="E1134" s="275" t="s">
        <v>1017</v>
      </c>
      <c r="F1134" s="277" t="s">
        <v>1059</v>
      </c>
      <c r="G1134" s="278" t="str">
        <f>IFNA(IF(VLOOKUP(RC_OUT[BLOCK],RC_IN[[BLOCK]:[BLOCK LOC]],2,FALSE)=0,"",VLOOKUP(RC_OUT[BLOCK],RC_IN[[BLOCK]:[BLOCK LOC]],2,FALSE)),"")</f>
        <v/>
      </c>
      <c r="I1134" s="263" t="str">
        <f>IFERROR(AVERAGEIFS(RC_IN[MC],RC_IN[BLOCK],RC_OUT[BLOCK]),"")</f>
        <v/>
      </c>
      <c r="J1134" s="264">
        <f t="shared" si="1"/>
        <v>0</v>
      </c>
      <c r="K1134" s="246"/>
      <c r="L1134" s="246"/>
      <c r="M1134" s="249" t="str">
        <f t="shared" si="2"/>
        <v/>
      </c>
      <c r="N1134" s="266">
        <f t="shared" si="3"/>
        <v>0</v>
      </c>
      <c r="O1134" s="247"/>
      <c r="P1134" s="247"/>
      <c r="Q1134" s="247"/>
      <c r="R1134" s="247"/>
      <c r="S1134" s="247"/>
      <c r="T1134" s="247"/>
      <c r="U1134" s="247"/>
      <c r="V1134" s="247"/>
      <c r="W1134" s="247"/>
      <c r="X1134" s="247"/>
    </row>
    <row r="1135">
      <c r="A1135" s="274"/>
      <c r="B1135" s="274"/>
      <c r="C1135" s="274"/>
      <c r="D1135" s="283"/>
      <c r="E1135" s="274"/>
      <c r="F1135" s="279"/>
      <c r="G1135" s="278" t="str">
        <f>IFNA(IF(VLOOKUP(RC_OUT[BLOCK],RC_IN[[BLOCK]:[BLOCK LOC]],2,FALSE)=0,"",VLOOKUP(RC_OUT[BLOCK],RC_IN[[BLOCK]:[BLOCK LOC]],2,FALSE)),"")</f>
        <v/>
      </c>
      <c r="I1135" s="263" t="str">
        <f>IFERROR(AVERAGEIFS(RC_IN[MC],RC_IN[BLOCK],RC_OUT[BLOCK]),"")</f>
        <v/>
      </c>
      <c r="J1135" s="264">
        <f t="shared" si="1"/>
        <v>0</v>
      </c>
      <c r="K1135" s="246"/>
      <c r="L1135" s="246"/>
      <c r="M1135" s="249" t="str">
        <f t="shared" si="2"/>
        <v/>
      </c>
      <c r="N1135" s="266">
        <f t="shared" si="3"/>
        <v>0</v>
      </c>
      <c r="O1135" s="247"/>
      <c r="P1135" s="247"/>
      <c r="Q1135" s="247"/>
      <c r="R1135" s="247"/>
      <c r="S1135" s="247"/>
      <c r="T1135" s="247"/>
      <c r="U1135" s="247"/>
      <c r="V1135" s="247"/>
      <c r="W1135" s="247"/>
      <c r="X1135" s="247"/>
    </row>
    <row r="1136">
      <c r="A1136" s="273">
        <v>45913.0</v>
      </c>
      <c r="B1136" s="275" t="s">
        <v>1302</v>
      </c>
      <c r="C1136" s="275" t="s">
        <v>1311</v>
      </c>
      <c r="D1136" s="276">
        <v>4336.0</v>
      </c>
      <c r="E1136" s="275" t="s">
        <v>1017</v>
      </c>
      <c r="F1136" s="277" t="s">
        <v>1059</v>
      </c>
      <c r="G1136" s="278" t="str">
        <f>IFNA(IF(VLOOKUP(RC_OUT[BLOCK],RC_IN[[BLOCK]:[BLOCK LOC]],2,FALSE)=0,"",VLOOKUP(RC_OUT[BLOCK],RC_IN[[BLOCK]:[BLOCK LOC]],2,FALSE)),"")</f>
        <v/>
      </c>
      <c r="I1136" s="263" t="str">
        <f>IFERROR(AVERAGEIFS(RC_IN[MC],RC_IN[BLOCK],RC_OUT[BLOCK]),"")</f>
        <v/>
      </c>
      <c r="J1136" s="264">
        <f t="shared" si="1"/>
        <v>0</v>
      </c>
      <c r="K1136" s="246"/>
      <c r="L1136" s="246"/>
      <c r="M1136" s="249" t="str">
        <f t="shared" si="2"/>
        <v/>
      </c>
      <c r="N1136" s="266">
        <f t="shared" si="3"/>
        <v>0</v>
      </c>
      <c r="O1136" s="247"/>
      <c r="P1136" s="247"/>
      <c r="Q1136" s="247"/>
      <c r="R1136" s="247"/>
      <c r="S1136" s="247"/>
      <c r="T1136" s="247"/>
      <c r="U1136" s="247"/>
      <c r="V1136" s="247"/>
      <c r="W1136" s="247"/>
      <c r="X1136" s="247"/>
    </row>
    <row r="1137">
      <c r="A1137" s="273">
        <v>45913.0</v>
      </c>
      <c r="B1137" s="275" t="s">
        <v>1302</v>
      </c>
      <c r="C1137" s="275" t="s">
        <v>1312</v>
      </c>
      <c r="D1137" s="276">
        <v>10239.0</v>
      </c>
      <c r="E1137" s="275" t="s">
        <v>1017</v>
      </c>
      <c r="F1137" s="279"/>
      <c r="G1137" s="278" t="str">
        <f>IFNA(IF(VLOOKUP(RC_OUT[BLOCK],RC_IN[[BLOCK]:[BLOCK LOC]],2,FALSE)=0,"",VLOOKUP(RC_OUT[BLOCK],RC_IN[[BLOCK]:[BLOCK LOC]],2,FALSE)),"")</f>
        <v/>
      </c>
      <c r="I1137" s="263" t="str">
        <f>IFERROR(AVERAGEIFS(RC_IN[MC],RC_IN[BLOCK],RC_OUT[BLOCK]),"")</f>
        <v/>
      </c>
      <c r="J1137" s="264">
        <f t="shared" si="1"/>
        <v>0</v>
      </c>
      <c r="K1137" s="246"/>
      <c r="L1137" s="246"/>
      <c r="M1137" s="249" t="str">
        <f t="shared" si="2"/>
        <v/>
      </c>
      <c r="N1137" s="266">
        <f t="shared" si="3"/>
        <v>0</v>
      </c>
      <c r="O1137" s="247"/>
      <c r="P1137" s="247"/>
      <c r="Q1137" s="247"/>
      <c r="R1137" s="247"/>
      <c r="S1137" s="247"/>
      <c r="T1137" s="247"/>
      <c r="U1137" s="247"/>
      <c r="V1137" s="247"/>
      <c r="W1137" s="247"/>
      <c r="X1137" s="247"/>
    </row>
    <row r="1138">
      <c r="A1138" s="273">
        <v>45913.0</v>
      </c>
      <c r="B1138" s="275" t="s">
        <v>1302</v>
      </c>
      <c r="C1138" s="275" t="s">
        <v>1313</v>
      </c>
      <c r="D1138" s="276">
        <v>12665.0</v>
      </c>
      <c r="E1138" s="275" t="s">
        <v>1017</v>
      </c>
      <c r="F1138" s="279"/>
      <c r="G1138" s="278" t="str">
        <f>IFNA(IF(VLOOKUP(RC_OUT[BLOCK],RC_IN[[BLOCK]:[BLOCK LOC]],2,FALSE)=0,"",VLOOKUP(RC_OUT[BLOCK],RC_IN[[BLOCK]:[BLOCK LOC]],2,FALSE)),"")</f>
        <v/>
      </c>
      <c r="I1138" s="263" t="str">
        <f>IFERROR(AVERAGEIFS(RC_IN[MC],RC_IN[BLOCK],RC_OUT[BLOCK]),"")</f>
        <v/>
      </c>
      <c r="J1138" s="264">
        <f t="shared" si="1"/>
        <v>0</v>
      </c>
      <c r="K1138" s="246"/>
      <c r="L1138" s="246"/>
      <c r="M1138" s="249" t="str">
        <f t="shared" si="2"/>
        <v/>
      </c>
      <c r="N1138" s="266">
        <f t="shared" si="3"/>
        <v>0</v>
      </c>
      <c r="O1138" s="247"/>
      <c r="P1138" s="247"/>
      <c r="Q1138" s="247"/>
      <c r="R1138" s="247"/>
      <c r="S1138" s="247"/>
      <c r="T1138" s="247"/>
      <c r="U1138" s="247"/>
      <c r="V1138" s="247"/>
      <c r="W1138" s="247"/>
      <c r="X1138" s="247"/>
    </row>
    <row r="1139">
      <c r="A1139" s="273">
        <v>45913.0</v>
      </c>
      <c r="B1139" s="275" t="s">
        <v>1302</v>
      </c>
      <c r="C1139" s="275" t="s">
        <v>1315</v>
      </c>
      <c r="D1139" s="276">
        <v>5000.0</v>
      </c>
      <c r="E1139" s="275" t="s">
        <v>1017</v>
      </c>
      <c r="F1139" s="279"/>
      <c r="G1139" s="278" t="str">
        <f>IFNA(IF(VLOOKUP(RC_OUT[BLOCK],RC_IN[[BLOCK]:[BLOCK LOC]],2,FALSE)=0,"",VLOOKUP(RC_OUT[BLOCK],RC_IN[[BLOCK]:[BLOCK LOC]],2,FALSE)),"")</f>
        <v/>
      </c>
      <c r="I1139" s="263" t="str">
        <f>IFERROR(AVERAGEIFS(RC_IN[MC],RC_IN[BLOCK],RC_OUT[BLOCK]),"")</f>
        <v/>
      </c>
      <c r="J1139" s="264">
        <f t="shared" si="1"/>
        <v>0</v>
      </c>
      <c r="K1139" s="246"/>
      <c r="L1139" s="246"/>
      <c r="M1139" s="249" t="str">
        <f t="shared" si="2"/>
        <v/>
      </c>
      <c r="N1139" s="266">
        <f t="shared" si="3"/>
        <v>0</v>
      </c>
      <c r="O1139" s="247"/>
      <c r="P1139" s="247"/>
      <c r="Q1139" s="247"/>
      <c r="R1139" s="247"/>
      <c r="S1139" s="247"/>
      <c r="T1139" s="247"/>
      <c r="U1139" s="247"/>
      <c r="V1139" s="247"/>
      <c r="W1139" s="247"/>
      <c r="X1139" s="247"/>
    </row>
    <row r="1140">
      <c r="A1140" s="274"/>
      <c r="B1140" s="274"/>
      <c r="C1140" s="274"/>
      <c r="D1140" s="283"/>
      <c r="E1140" s="274"/>
      <c r="F1140" s="279"/>
      <c r="G1140" s="278" t="str">
        <f>IFNA(IF(VLOOKUP(RC_OUT[BLOCK],RC_IN[[BLOCK]:[BLOCK LOC]],2,FALSE)=0,"",VLOOKUP(RC_OUT[BLOCK],RC_IN[[BLOCK]:[BLOCK LOC]],2,FALSE)),"")</f>
        <v/>
      </c>
      <c r="I1140" s="263" t="str">
        <f>IFERROR(AVERAGEIFS(RC_IN[MC],RC_IN[BLOCK],RC_OUT[BLOCK]),"")</f>
        <v/>
      </c>
      <c r="J1140" s="264">
        <f t="shared" si="1"/>
        <v>0</v>
      </c>
      <c r="K1140" s="246"/>
      <c r="L1140" s="246"/>
      <c r="M1140" s="249" t="str">
        <f t="shared" si="2"/>
        <v/>
      </c>
      <c r="N1140" s="266">
        <f t="shared" si="3"/>
        <v>0</v>
      </c>
      <c r="O1140" s="247"/>
      <c r="P1140" s="247"/>
      <c r="Q1140" s="247"/>
      <c r="R1140" s="247"/>
      <c r="S1140" s="247"/>
      <c r="T1140" s="247"/>
      <c r="U1140" s="247"/>
      <c r="V1140" s="247"/>
      <c r="W1140" s="247"/>
      <c r="X1140" s="247"/>
    </row>
    <row r="1141">
      <c r="A1141" s="273">
        <v>45915.0</v>
      </c>
      <c r="B1141" s="275" t="s">
        <v>1302</v>
      </c>
      <c r="C1141" s="275" t="s">
        <v>1312</v>
      </c>
      <c r="D1141" s="276">
        <v>8151.0</v>
      </c>
      <c r="E1141" s="275" t="s">
        <v>1017</v>
      </c>
      <c r="F1141" s="279"/>
      <c r="G1141" s="278" t="str">
        <f>IFNA(IF(VLOOKUP(RC_OUT[BLOCK],RC_IN[[BLOCK]:[BLOCK LOC]],2,FALSE)=0,"",VLOOKUP(RC_OUT[BLOCK],RC_IN[[BLOCK]:[BLOCK LOC]],2,FALSE)),"")</f>
        <v/>
      </c>
      <c r="I1141" s="263" t="str">
        <f>IFERROR(AVERAGEIFS(RC_IN[MC],RC_IN[BLOCK],RC_OUT[BLOCK]),"")</f>
        <v/>
      </c>
      <c r="J1141" s="264">
        <f t="shared" si="1"/>
        <v>0</v>
      </c>
      <c r="K1141" s="246"/>
      <c r="L1141" s="246"/>
      <c r="M1141" s="249" t="str">
        <f t="shared" si="2"/>
        <v/>
      </c>
      <c r="N1141" s="266">
        <f t="shared" si="3"/>
        <v>0</v>
      </c>
      <c r="O1141" s="247"/>
      <c r="P1141" s="247"/>
      <c r="Q1141" s="247"/>
      <c r="R1141" s="247"/>
      <c r="S1141" s="247"/>
      <c r="T1141" s="247"/>
      <c r="U1141" s="247"/>
      <c r="V1141" s="247"/>
      <c r="W1141" s="247"/>
      <c r="X1141" s="247"/>
    </row>
    <row r="1142">
      <c r="A1142" s="273">
        <v>45915.0</v>
      </c>
      <c r="B1142" s="275" t="s">
        <v>1302</v>
      </c>
      <c r="C1142" s="275" t="s">
        <v>1313</v>
      </c>
      <c r="D1142" s="276">
        <v>10481.0</v>
      </c>
      <c r="E1142" s="275" t="s">
        <v>1017</v>
      </c>
      <c r="F1142" s="279"/>
      <c r="G1142" s="278" t="str">
        <f>IFNA(IF(VLOOKUP(RC_OUT[BLOCK],RC_IN[[BLOCK]:[BLOCK LOC]],2,FALSE)=0,"",VLOOKUP(RC_OUT[BLOCK],RC_IN[[BLOCK]:[BLOCK LOC]],2,FALSE)),"")</f>
        <v/>
      </c>
      <c r="I1142" s="263" t="str">
        <f>IFERROR(AVERAGEIFS(RC_IN[MC],RC_IN[BLOCK],RC_OUT[BLOCK]),"")</f>
        <v/>
      </c>
      <c r="J1142" s="264">
        <f t="shared" si="1"/>
        <v>0</v>
      </c>
      <c r="K1142" s="246"/>
      <c r="L1142" s="246"/>
      <c r="M1142" s="249" t="str">
        <f t="shared" si="2"/>
        <v/>
      </c>
      <c r="N1142" s="266">
        <f t="shared" si="3"/>
        <v>0</v>
      </c>
      <c r="O1142" s="247"/>
      <c r="P1142" s="247"/>
      <c r="Q1142" s="247"/>
      <c r="R1142" s="247"/>
      <c r="S1142" s="247"/>
      <c r="T1142" s="247"/>
      <c r="U1142" s="247"/>
      <c r="V1142" s="247"/>
      <c r="W1142" s="247"/>
      <c r="X1142" s="247"/>
    </row>
    <row r="1143">
      <c r="A1143" s="273">
        <v>45915.0</v>
      </c>
      <c r="B1143" s="275" t="s">
        <v>1302</v>
      </c>
      <c r="C1143" s="275" t="s">
        <v>1315</v>
      </c>
      <c r="D1143" s="276">
        <v>3000.0</v>
      </c>
      <c r="E1143" s="275" t="s">
        <v>1017</v>
      </c>
      <c r="F1143" s="279"/>
      <c r="G1143" s="278" t="str">
        <f>IFNA(IF(VLOOKUP(RC_OUT[BLOCK],RC_IN[[BLOCK]:[BLOCK LOC]],2,FALSE)=0,"",VLOOKUP(RC_OUT[BLOCK],RC_IN[[BLOCK]:[BLOCK LOC]],2,FALSE)),"")</f>
        <v/>
      </c>
      <c r="I1143" s="263" t="str">
        <f>IFERROR(AVERAGEIFS(RC_IN[MC],RC_IN[BLOCK],RC_OUT[BLOCK]),"")</f>
        <v/>
      </c>
      <c r="J1143" s="264">
        <f t="shared" si="1"/>
        <v>0</v>
      </c>
      <c r="K1143" s="246"/>
      <c r="L1143" s="246"/>
      <c r="M1143" s="249" t="str">
        <f t="shared" si="2"/>
        <v/>
      </c>
      <c r="N1143" s="266">
        <f t="shared" si="3"/>
        <v>0</v>
      </c>
      <c r="O1143" s="247"/>
      <c r="P1143" s="247"/>
      <c r="Q1143" s="247"/>
      <c r="R1143" s="247"/>
      <c r="S1143" s="247"/>
      <c r="T1143" s="247"/>
      <c r="U1143" s="247"/>
      <c r="V1143" s="247"/>
      <c r="W1143" s="247"/>
      <c r="X1143" s="247"/>
    </row>
    <row r="1144">
      <c r="A1144" s="273">
        <v>45915.0</v>
      </c>
      <c r="B1144" s="275" t="s">
        <v>1302</v>
      </c>
      <c r="C1144" s="275" t="s">
        <v>1316</v>
      </c>
      <c r="D1144" s="276">
        <v>5782.0</v>
      </c>
      <c r="E1144" s="275" t="s">
        <v>1017</v>
      </c>
      <c r="F1144" s="279"/>
      <c r="G1144" s="278" t="str">
        <f>IFNA(IF(VLOOKUP(RC_OUT[BLOCK],RC_IN[[BLOCK]:[BLOCK LOC]],2,FALSE)=0,"",VLOOKUP(RC_OUT[BLOCK],RC_IN[[BLOCK]:[BLOCK LOC]],2,FALSE)),"")</f>
        <v/>
      </c>
      <c r="I1144" s="263" t="str">
        <f>IFERROR(AVERAGEIFS(RC_IN[MC],RC_IN[BLOCK],RC_OUT[BLOCK]),"")</f>
        <v/>
      </c>
      <c r="J1144" s="264">
        <f t="shared" si="1"/>
        <v>0</v>
      </c>
      <c r="K1144" s="246"/>
      <c r="L1144" s="246"/>
      <c r="M1144" s="249" t="str">
        <f t="shared" si="2"/>
        <v/>
      </c>
      <c r="N1144" s="266">
        <f t="shared" si="3"/>
        <v>0</v>
      </c>
      <c r="O1144" s="247"/>
      <c r="P1144" s="247"/>
      <c r="Q1144" s="247"/>
      <c r="R1144" s="247"/>
      <c r="S1144" s="247"/>
      <c r="T1144" s="247"/>
      <c r="U1144" s="247"/>
      <c r="V1144" s="247"/>
      <c r="W1144" s="247"/>
      <c r="X1144" s="247"/>
    </row>
    <row r="1145">
      <c r="A1145" s="274"/>
      <c r="B1145" s="274"/>
      <c r="C1145" s="274"/>
      <c r="D1145" s="283"/>
      <c r="E1145" s="274"/>
      <c r="F1145" s="279"/>
      <c r="G1145" s="278" t="str">
        <f>IFNA(IF(VLOOKUP(RC_OUT[BLOCK],RC_IN[[BLOCK]:[BLOCK LOC]],2,FALSE)=0,"",VLOOKUP(RC_OUT[BLOCK],RC_IN[[BLOCK]:[BLOCK LOC]],2,FALSE)),"")</f>
        <v/>
      </c>
      <c r="I1145" s="263" t="str">
        <f>IFERROR(AVERAGEIFS(RC_IN[MC],RC_IN[BLOCK],RC_OUT[BLOCK]),"")</f>
        <v/>
      </c>
      <c r="J1145" s="264">
        <f t="shared" si="1"/>
        <v>0</v>
      </c>
      <c r="K1145" s="246"/>
      <c r="L1145" s="246"/>
      <c r="M1145" s="249" t="str">
        <f t="shared" si="2"/>
        <v/>
      </c>
      <c r="N1145" s="266">
        <f t="shared" si="3"/>
        <v>0</v>
      </c>
      <c r="O1145" s="247"/>
      <c r="P1145" s="247"/>
      <c r="Q1145" s="247"/>
      <c r="R1145" s="247"/>
      <c r="S1145" s="247"/>
      <c r="T1145" s="247"/>
      <c r="U1145" s="247"/>
      <c r="V1145" s="247"/>
      <c r="W1145" s="247"/>
      <c r="X1145" s="247"/>
    </row>
    <row r="1146">
      <c r="A1146" s="273">
        <v>45916.0</v>
      </c>
      <c r="B1146" s="275" t="s">
        <v>1302</v>
      </c>
      <c r="C1146" s="275" t="s">
        <v>1312</v>
      </c>
      <c r="D1146" s="276">
        <v>10533.0</v>
      </c>
      <c r="E1146" s="275" t="s">
        <v>1017</v>
      </c>
      <c r="F1146" s="279"/>
      <c r="G1146" s="278" t="str">
        <f>IFNA(IF(VLOOKUP(RC_OUT[BLOCK],RC_IN[[BLOCK]:[BLOCK LOC]],2,FALSE)=0,"",VLOOKUP(RC_OUT[BLOCK],RC_IN[[BLOCK]:[BLOCK LOC]],2,FALSE)),"")</f>
        <v/>
      </c>
      <c r="I1146" s="263" t="str">
        <f>IFERROR(AVERAGEIFS(RC_IN[MC],RC_IN[BLOCK],RC_OUT[BLOCK]),"")</f>
        <v/>
      </c>
      <c r="J1146" s="264">
        <f t="shared" si="1"/>
        <v>0</v>
      </c>
      <c r="K1146" s="246"/>
      <c r="L1146" s="246"/>
      <c r="M1146" s="249" t="str">
        <f t="shared" si="2"/>
        <v/>
      </c>
      <c r="N1146" s="266">
        <f t="shared" si="3"/>
        <v>0</v>
      </c>
      <c r="O1146" s="247"/>
      <c r="P1146" s="247"/>
      <c r="Q1146" s="247"/>
      <c r="R1146" s="247"/>
      <c r="S1146" s="247"/>
      <c r="T1146" s="247"/>
      <c r="U1146" s="247"/>
      <c r="V1146" s="247"/>
      <c r="W1146" s="247"/>
      <c r="X1146" s="247"/>
    </row>
    <row r="1147">
      <c r="A1147" s="273">
        <v>45916.0</v>
      </c>
      <c r="B1147" s="275" t="s">
        <v>1302</v>
      </c>
      <c r="C1147" s="275" t="s">
        <v>1313</v>
      </c>
      <c r="D1147" s="276">
        <v>11851.0</v>
      </c>
      <c r="E1147" s="275" t="s">
        <v>1017</v>
      </c>
      <c r="F1147" s="277" t="s">
        <v>1059</v>
      </c>
      <c r="G1147" s="278" t="str">
        <f>IFNA(IF(VLOOKUP(RC_OUT[BLOCK],RC_IN[[BLOCK]:[BLOCK LOC]],2,FALSE)=0,"",VLOOKUP(RC_OUT[BLOCK],RC_IN[[BLOCK]:[BLOCK LOC]],2,FALSE)),"")</f>
        <v/>
      </c>
      <c r="I1147" s="263" t="str">
        <f>IFERROR(AVERAGEIFS(RC_IN[MC],RC_IN[BLOCK],RC_OUT[BLOCK]),"")</f>
        <v/>
      </c>
      <c r="J1147" s="264">
        <f t="shared" si="1"/>
        <v>0</v>
      </c>
      <c r="K1147" s="246"/>
      <c r="L1147" s="246"/>
      <c r="M1147" s="249" t="str">
        <f t="shared" si="2"/>
        <v/>
      </c>
      <c r="N1147" s="266">
        <f t="shared" si="3"/>
        <v>0</v>
      </c>
      <c r="O1147" s="247"/>
      <c r="P1147" s="247"/>
      <c r="Q1147" s="247"/>
      <c r="R1147" s="247"/>
      <c r="S1147" s="247"/>
      <c r="T1147" s="247"/>
      <c r="U1147" s="247"/>
      <c r="V1147" s="247"/>
      <c r="W1147" s="247"/>
      <c r="X1147" s="247"/>
    </row>
    <row r="1148">
      <c r="A1148" s="273">
        <v>45916.0</v>
      </c>
      <c r="B1148" s="275" t="s">
        <v>1302</v>
      </c>
      <c r="C1148" s="275" t="s">
        <v>1315</v>
      </c>
      <c r="D1148" s="276">
        <v>8000.0</v>
      </c>
      <c r="E1148" s="275" t="s">
        <v>1017</v>
      </c>
      <c r="F1148" s="279"/>
      <c r="G1148" s="278" t="str">
        <f>IFNA(IF(VLOOKUP(RC_OUT[BLOCK],RC_IN[[BLOCK]:[BLOCK LOC]],2,FALSE)=0,"",VLOOKUP(RC_OUT[BLOCK],RC_IN[[BLOCK]:[BLOCK LOC]],2,FALSE)),"")</f>
        <v/>
      </c>
      <c r="I1148" s="263" t="str">
        <f>IFERROR(AVERAGEIFS(RC_IN[MC],RC_IN[BLOCK],RC_OUT[BLOCK]),"")</f>
        <v/>
      </c>
      <c r="J1148" s="264">
        <f t="shared" si="1"/>
        <v>0</v>
      </c>
      <c r="K1148" s="246"/>
      <c r="L1148" s="246"/>
      <c r="M1148" s="249" t="str">
        <f t="shared" si="2"/>
        <v/>
      </c>
      <c r="N1148" s="266">
        <f t="shared" si="3"/>
        <v>0</v>
      </c>
      <c r="O1148" s="247"/>
      <c r="P1148" s="247"/>
      <c r="Q1148" s="247"/>
      <c r="R1148" s="247"/>
      <c r="S1148" s="247"/>
      <c r="T1148" s="247"/>
      <c r="U1148" s="247"/>
      <c r="V1148" s="247"/>
      <c r="W1148" s="247"/>
      <c r="X1148" s="247"/>
    </row>
    <row r="1149">
      <c r="A1149" s="273">
        <v>45916.0</v>
      </c>
      <c r="B1149" s="275" t="s">
        <v>1302</v>
      </c>
      <c r="C1149" s="275" t="s">
        <v>1316</v>
      </c>
      <c r="D1149" s="276">
        <v>5503.0</v>
      </c>
      <c r="E1149" s="275" t="s">
        <v>1017</v>
      </c>
      <c r="F1149" s="279"/>
      <c r="G1149" s="278" t="str">
        <f>IFNA(IF(VLOOKUP(RC_OUT[BLOCK],RC_IN[[BLOCK]:[BLOCK LOC]],2,FALSE)=0,"",VLOOKUP(RC_OUT[BLOCK],RC_IN[[BLOCK]:[BLOCK LOC]],2,FALSE)),"")</f>
        <v/>
      </c>
      <c r="I1149" s="263" t="str">
        <f>IFERROR(AVERAGEIFS(RC_IN[MC],RC_IN[BLOCK],RC_OUT[BLOCK]),"")</f>
        <v/>
      </c>
      <c r="J1149" s="264">
        <f t="shared" si="1"/>
        <v>0</v>
      </c>
      <c r="K1149" s="246"/>
      <c r="L1149" s="246"/>
      <c r="M1149" s="249" t="str">
        <f t="shared" si="2"/>
        <v/>
      </c>
      <c r="N1149" s="266">
        <f t="shared" si="3"/>
        <v>0</v>
      </c>
      <c r="O1149" s="247"/>
      <c r="P1149" s="247"/>
      <c r="Q1149" s="247"/>
      <c r="R1149" s="247"/>
      <c r="S1149" s="247"/>
      <c r="T1149" s="247"/>
      <c r="U1149" s="247"/>
      <c r="V1149" s="247"/>
      <c r="W1149" s="247"/>
      <c r="X1149" s="247"/>
    </row>
    <row r="1150">
      <c r="A1150" s="274"/>
      <c r="B1150" s="274"/>
      <c r="C1150" s="274"/>
      <c r="D1150" s="283"/>
      <c r="E1150" s="274"/>
      <c r="F1150" s="279"/>
      <c r="G1150" s="278" t="str">
        <f>IFNA(IF(VLOOKUP(RC_OUT[BLOCK],RC_IN[[BLOCK]:[BLOCK LOC]],2,FALSE)=0,"",VLOOKUP(RC_OUT[BLOCK],RC_IN[[BLOCK]:[BLOCK LOC]],2,FALSE)),"")</f>
        <v/>
      </c>
      <c r="I1150" s="263" t="str">
        <f>IFERROR(AVERAGEIFS(RC_IN[MC],RC_IN[BLOCK],RC_OUT[BLOCK]),"")</f>
        <v/>
      </c>
      <c r="J1150" s="264">
        <f t="shared" si="1"/>
        <v>0</v>
      </c>
      <c r="K1150" s="246"/>
      <c r="L1150" s="246"/>
      <c r="M1150" s="249" t="str">
        <f t="shared" si="2"/>
        <v/>
      </c>
      <c r="N1150" s="266">
        <f t="shared" si="3"/>
        <v>0</v>
      </c>
      <c r="O1150" s="247"/>
      <c r="P1150" s="247"/>
      <c r="Q1150" s="247"/>
      <c r="R1150" s="247"/>
      <c r="S1150" s="247"/>
      <c r="T1150" s="247"/>
      <c r="U1150" s="247"/>
      <c r="V1150" s="247"/>
      <c r="W1150" s="247"/>
      <c r="X1150" s="247"/>
    </row>
    <row r="1151">
      <c r="A1151" s="273">
        <v>45917.0</v>
      </c>
      <c r="B1151" s="275" t="s">
        <v>1302</v>
      </c>
      <c r="C1151" s="275" t="s">
        <v>1312</v>
      </c>
      <c r="D1151" s="276">
        <v>3668.0</v>
      </c>
      <c r="E1151" s="275" t="s">
        <v>1017</v>
      </c>
      <c r="F1151" s="277" t="s">
        <v>1059</v>
      </c>
      <c r="G1151" s="278" t="str">
        <f>IFNA(IF(VLOOKUP(RC_OUT[BLOCK],RC_IN[[BLOCK]:[BLOCK LOC]],2,FALSE)=0,"",VLOOKUP(RC_OUT[BLOCK],RC_IN[[BLOCK]:[BLOCK LOC]],2,FALSE)),"")</f>
        <v/>
      </c>
      <c r="I1151" s="263" t="str">
        <f>IFERROR(AVERAGEIFS(RC_IN[MC],RC_IN[BLOCK],RC_OUT[BLOCK]),"")</f>
        <v/>
      </c>
      <c r="J1151" s="264">
        <f t="shared" si="1"/>
        <v>0</v>
      </c>
      <c r="K1151" s="246"/>
      <c r="L1151" s="246"/>
      <c r="M1151" s="249" t="str">
        <f t="shared" si="2"/>
        <v/>
      </c>
      <c r="N1151" s="266">
        <f t="shared" si="3"/>
        <v>0</v>
      </c>
      <c r="O1151" s="247"/>
      <c r="P1151" s="247"/>
      <c r="Q1151" s="247"/>
      <c r="R1151" s="247"/>
      <c r="S1151" s="247"/>
      <c r="T1151" s="247"/>
      <c r="U1151" s="247"/>
      <c r="V1151" s="247"/>
      <c r="W1151" s="247"/>
      <c r="X1151" s="247"/>
    </row>
    <row r="1152">
      <c r="A1152" s="273">
        <v>45917.0</v>
      </c>
      <c r="B1152" s="275" t="s">
        <v>1302</v>
      </c>
      <c r="C1152" s="275" t="s">
        <v>1315</v>
      </c>
      <c r="D1152" s="276">
        <v>2985.0</v>
      </c>
      <c r="E1152" s="275" t="s">
        <v>1017</v>
      </c>
      <c r="F1152" s="277" t="s">
        <v>1059</v>
      </c>
      <c r="G1152" s="278" t="str">
        <f>IFNA(IF(VLOOKUP(RC_OUT[BLOCK],RC_IN[[BLOCK]:[BLOCK LOC]],2,FALSE)=0,"",VLOOKUP(RC_OUT[BLOCK],RC_IN[[BLOCK]:[BLOCK LOC]],2,FALSE)),"")</f>
        <v/>
      </c>
      <c r="I1152" s="263" t="str">
        <f>IFERROR(AVERAGEIFS(RC_IN[MC],RC_IN[BLOCK],RC_OUT[BLOCK]),"")</f>
        <v/>
      </c>
      <c r="J1152" s="264">
        <f t="shared" si="1"/>
        <v>0</v>
      </c>
      <c r="K1152" s="246"/>
      <c r="L1152" s="246"/>
      <c r="M1152" s="249" t="str">
        <f t="shared" si="2"/>
        <v/>
      </c>
      <c r="N1152" s="266">
        <f t="shared" si="3"/>
        <v>0</v>
      </c>
      <c r="O1152" s="247"/>
      <c r="P1152" s="247"/>
      <c r="Q1152" s="247"/>
      <c r="R1152" s="247"/>
      <c r="S1152" s="247"/>
      <c r="T1152" s="247"/>
      <c r="U1152" s="247"/>
      <c r="V1152" s="247"/>
      <c r="W1152" s="247"/>
      <c r="X1152" s="247"/>
    </row>
    <row r="1153">
      <c r="A1153" s="273">
        <v>45917.0</v>
      </c>
      <c r="B1153" s="275" t="s">
        <v>1302</v>
      </c>
      <c r="C1153" s="275" t="s">
        <v>1316</v>
      </c>
      <c r="D1153" s="276">
        <v>4766.0</v>
      </c>
      <c r="E1153" s="275" t="s">
        <v>1017</v>
      </c>
      <c r="F1153" s="279"/>
      <c r="G1153" s="278" t="str">
        <f>IFNA(IF(VLOOKUP(RC_OUT[BLOCK],RC_IN[[BLOCK]:[BLOCK LOC]],2,FALSE)=0,"",VLOOKUP(RC_OUT[BLOCK],RC_IN[[BLOCK]:[BLOCK LOC]],2,FALSE)),"")</f>
        <v/>
      </c>
      <c r="I1153" s="263" t="str">
        <f>IFERROR(AVERAGEIFS(RC_IN[MC],RC_IN[BLOCK],RC_OUT[BLOCK]),"")</f>
        <v/>
      </c>
      <c r="J1153" s="264">
        <f t="shared" si="1"/>
        <v>0</v>
      </c>
      <c r="K1153" s="246"/>
      <c r="L1153" s="246"/>
      <c r="M1153" s="249" t="str">
        <f t="shared" si="2"/>
        <v/>
      </c>
      <c r="N1153" s="266">
        <f t="shared" si="3"/>
        <v>0</v>
      </c>
      <c r="O1153" s="247"/>
      <c r="P1153" s="247"/>
      <c r="Q1153" s="247"/>
      <c r="R1153" s="247"/>
      <c r="S1153" s="247"/>
      <c r="T1153" s="247"/>
      <c r="U1153" s="247"/>
      <c r="V1153" s="247"/>
      <c r="W1153" s="247"/>
      <c r="X1153" s="247"/>
    </row>
    <row r="1154">
      <c r="A1154" s="273">
        <v>45917.0</v>
      </c>
      <c r="B1154" s="275" t="s">
        <v>1302</v>
      </c>
      <c r="C1154" s="275" t="s">
        <v>1317</v>
      </c>
      <c r="D1154" s="276">
        <v>15063.0</v>
      </c>
      <c r="E1154" s="275" t="s">
        <v>1017</v>
      </c>
      <c r="F1154" s="279"/>
      <c r="G1154" s="278" t="str">
        <f>IFNA(IF(VLOOKUP(RC_OUT[BLOCK],RC_IN[[BLOCK]:[BLOCK LOC]],2,FALSE)=0,"",VLOOKUP(RC_OUT[BLOCK],RC_IN[[BLOCK]:[BLOCK LOC]],2,FALSE)),"")</f>
        <v/>
      </c>
      <c r="I1154" s="263" t="str">
        <f>IFERROR(AVERAGEIFS(RC_IN[MC],RC_IN[BLOCK],RC_OUT[BLOCK]),"")</f>
        <v/>
      </c>
      <c r="J1154" s="264">
        <f t="shared" si="1"/>
        <v>0</v>
      </c>
      <c r="K1154" s="246"/>
      <c r="L1154" s="246"/>
      <c r="M1154" s="249" t="str">
        <f t="shared" si="2"/>
        <v/>
      </c>
      <c r="N1154" s="266">
        <f t="shared" si="3"/>
        <v>0</v>
      </c>
      <c r="O1154" s="247"/>
      <c r="P1154" s="247"/>
      <c r="Q1154" s="247"/>
      <c r="R1154" s="247"/>
      <c r="S1154" s="247"/>
      <c r="T1154" s="247"/>
      <c r="U1154" s="247"/>
      <c r="V1154" s="247"/>
      <c r="W1154" s="247"/>
      <c r="X1154" s="247"/>
    </row>
    <row r="1155">
      <c r="A1155" s="274"/>
      <c r="B1155" s="274"/>
      <c r="C1155" s="274"/>
      <c r="D1155" s="283"/>
      <c r="E1155" s="274"/>
      <c r="F1155" s="279"/>
      <c r="G1155" s="278" t="str">
        <f>IFNA(IF(VLOOKUP(RC_OUT[BLOCK],RC_IN[[BLOCK]:[BLOCK LOC]],2,FALSE)=0,"",VLOOKUP(RC_OUT[BLOCK],RC_IN[[BLOCK]:[BLOCK LOC]],2,FALSE)),"")</f>
        <v/>
      </c>
      <c r="I1155" s="263" t="str">
        <f>IFERROR(AVERAGEIFS(RC_IN[MC],RC_IN[BLOCK],RC_OUT[BLOCK]),"")</f>
        <v/>
      </c>
      <c r="J1155" s="264">
        <f t="shared" si="1"/>
        <v>0</v>
      </c>
      <c r="K1155" s="246"/>
      <c r="L1155" s="246"/>
      <c r="M1155" s="249" t="str">
        <f t="shared" si="2"/>
        <v/>
      </c>
      <c r="N1155" s="266">
        <f t="shared" si="3"/>
        <v>0</v>
      </c>
      <c r="O1155" s="247"/>
      <c r="P1155" s="247"/>
      <c r="Q1155" s="247"/>
      <c r="R1155" s="247"/>
      <c r="S1155" s="247"/>
      <c r="T1155" s="247"/>
      <c r="U1155" s="247"/>
      <c r="V1155" s="247"/>
      <c r="W1155" s="247"/>
      <c r="X1155" s="247"/>
    </row>
    <row r="1156">
      <c r="A1156" s="273">
        <v>45918.0</v>
      </c>
      <c r="B1156" s="275" t="s">
        <v>1302</v>
      </c>
      <c r="C1156" s="275" t="s">
        <v>1316</v>
      </c>
      <c r="D1156" s="276">
        <v>5462.0</v>
      </c>
      <c r="E1156" s="275" t="s">
        <v>1017</v>
      </c>
      <c r="F1156" s="277" t="s">
        <v>1059</v>
      </c>
      <c r="G1156" s="278" t="str">
        <f>IFNA(IF(VLOOKUP(RC_OUT[BLOCK],RC_IN[[BLOCK]:[BLOCK LOC]],2,FALSE)=0,"",VLOOKUP(RC_OUT[BLOCK],RC_IN[[BLOCK]:[BLOCK LOC]],2,FALSE)),"")</f>
        <v/>
      </c>
      <c r="I1156" s="263" t="str">
        <f>IFERROR(AVERAGEIFS(RC_IN[MC],RC_IN[BLOCK],RC_OUT[BLOCK]),"")</f>
        <v/>
      </c>
      <c r="J1156" s="264">
        <f t="shared" si="1"/>
        <v>0</v>
      </c>
      <c r="K1156" s="246"/>
      <c r="L1156" s="246"/>
      <c r="M1156" s="249" t="str">
        <f t="shared" si="2"/>
        <v/>
      </c>
      <c r="N1156" s="266">
        <f t="shared" si="3"/>
        <v>0</v>
      </c>
      <c r="O1156" s="247"/>
      <c r="P1156" s="247"/>
      <c r="Q1156" s="247"/>
      <c r="R1156" s="247"/>
      <c r="S1156" s="247"/>
      <c r="T1156" s="247"/>
      <c r="U1156" s="247"/>
      <c r="V1156" s="247"/>
      <c r="W1156" s="247"/>
      <c r="X1156" s="247"/>
    </row>
    <row r="1157">
      <c r="A1157" s="273">
        <v>45918.0</v>
      </c>
      <c r="B1157" s="275" t="s">
        <v>1302</v>
      </c>
      <c r="C1157" s="275" t="s">
        <v>1317</v>
      </c>
      <c r="D1157" s="276">
        <v>19742.0</v>
      </c>
      <c r="E1157" s="275" t="s">
        <v>1017</v>
      </c>
      <c r="F1157" s="279"/>
      <c r="G1157" s="278" t="str">
        <f>IFNA(IF(VLOOKUP(RC_OUT[BLOCK],RC_IN[[BLOCK]:[BLOCK LOC]],2,FALSE)=0,"",VLOOKUP(RC_OUT[BLOCK],RC_IN[[BLOCK]:[BLOCK LOC]],2,FALSE)),"")</f>
        <v/>
      </c>
      <c r="I1157" s="263" t="str">
        <f>IFERROR(AVERAGEIFS(RC_IN[MC],RC_IN[BLOCK],RC_OUT[BLOCK]),"")</f>
        <v/>
      </c>
      <c r="J1157" s="264">
        <f t="shared" si="1"/>
        <v>0</v>
      </c>
      <c r="K1157" s="246"/>
      <c r="L1157" s="246"/>
      <c r="M1157" s="249" t="str">
        <f t="shared" si="2"/>
        <v/>
      </c>
      <c r="N1157" s="266">
        <f t="shared" si="3"/>
        <v>0</v>
      </c>
      <c r="O1157" s="247"/>
      <c r="P1157" s="247"/>
      <c r="Q1157" s="247"/>
      <c r="R1157" s="247"/>
      <c r="S1157" s="247"/>
      <c r="T1157" s="247"/>
      <c r="U1157" s="247"/>
      <c r="V1157" s="247"/>
      <c r="W1157" s="247"/>
      <c r="X1157" s="247"/>
    </row>
    <row r="1158">
      <c r="A1158" s="273">
        <v>45918.0</v>
      </c>
      <c r="B1158" s="275" t="s">
        <v>1302</v>
      </c>
      <c r="C1158" s="275" t="s">
        <v>1318</v>
      </c>
      <c r="D1158" s="276">
        <v>1520.0</v>
      </c>
      <c r="E1158" s="275" t="s">
        <v>1017</v>
      </c>
      <c r="F1158" s="279"/>
      <c r="G1158" s="278" t="str">
        <f>IFNA(IF(VLOOKUP(RC_OUT[BLOCK],RC_IN[[BLOCK]:[BLOCK LOC]],2,FALSE)=0,"",VLOOKUP(RC_OUT[BLOCK],RC_IN[[BLOCK]:[BLOCK LOC]],2,FALSE)),"")</f>
        <v/>
      </c>
      <c r="I1158" s="263" t="str">
        <f>IFERROR(AVERAGEIFS(RC_IN[MC],RC_IN[BLOCK],RC_OUT[BLOCK]),"")</f>
        <v/>
      </c>
      <c r="J1158" s="264">
        <f t="shared" si="1"/>
        <v>0</v>
      </c>
      <c r="K1158" s="246"/>
      <c r="L1158" s="246"/>
      <c r="M1158" s="249" t="str">
        <f t="shared" si="2"/>
        <v/>
      </c>
      <c r="N1158" s="266">
        <f t="shared" si="3"/>
        <v>0</v>
      </c>
      <c r="O1158" s="247"/>
      <c r="P1158" s="247"/>
      <c r="Q1158" s="247"/>
      <c r="R1158" s="247"/>
      <c r="S1158" s="247"/>
      <c r="T1158" s="247"/>
      <c r="U1158" s="247"/>
      <c r="V1158" s="247"/>
      <c r="W1158" s="247"/>
      <c r="X1158" s="247"/>
    </row>
    <row r="1159">
      <c r="A1159" s="274"/>
      <c r="B1159" s="274"/>
      <c r="C1159" s="274"/>
      <c r="D1159" s="283"/>
      <c r="E1159" s="274"/>
      <c r="F1159" s="279"/>
      <c r="G1159" s="278" t="str">
        <f>IFNA(IF(VLOOKUP(RC_OUT[BLOCK],RC_IN[[BLOCK]:[BLOCK LOC]],2,FALSE)=0,"",VLOOKUP(RC_OUT[BLOCK],RC_IN[[BLOCK]:[BLOCK LOC]],2,FALSE)),"")</f>
        <v/>
      </c>
      <c r="I1159" s="263" t="str">
        <f>IFERROR(AVERAGEIFS(RC_IN[MC],RC_IN[BLOCK],RC_OUT[BLOCK]),"")</f>
        <v/>
      </c>
      <c r="J1159" s="264">
        <f t="shared" si="1"/>
        <v>0</v>
      </c>
      <c r="K1159" s="246"/>
      <c r="L1159" s="246"/>
      <c r="M1159" s="249" t="str">
        <f t="shared" si="2"/>
        <v/>
      </c>
      <c r="N1159" s="266">
        <f t="shared" si="3"/>
        <v>0</v>
      </c>
      <c r="O1159" s="247"/>
      <c r="P1159" s="247"/>
      <c r="Q1159" s="247"/>
      <c r="R1159" s="247"/>
      <c r="S1159" s="247"/>
      <c r="T1159" s="247"/>
      <c r="U1159" s="247"/>
      <c r="V1159" s="247"/>
      <c r="W1159" s="247"/>
      <c r="X1159" s="247"/>
    </row>
    <row r="1160">
      <c r="A1160" s="273">
        <v>45919.0</v>
      </c>
      <c r="B1160" s="275" t="s">
        <v>1302</v>
      </c>
      <c r="C1160" s="275" t="s">
        <v>1316</v>
      </c>
      <c r="D1160" s="276">
        <v>5274.0</v>
      </c>
      <c r="E1160" s="275" t="s">
        <v>1017</v>
      </c>
      <c r="F1160" s="279"/>
      <c r="G1160" s="278" t="str">
        <f>IFNA(IF(VLOOKUP(RC_OUT[BLOCK],RC_IN[[BLOCK]:[BLOCK LOC]],2,FALSE)=0,"",VLOOKUP(RC_OUT[BLOCK],RC_IN[[BLOCK]:[BLOCK LOC]],2,FALSE)),"")</f>
        <v/>
      </c>
      <c r="I1160" s="263" t="str">
        <f>IFERROR(AVERAGEIFS(RC_IN[MC],RC_IN[BLOCK],RC_OUT[BLOCK]),"")</f>
        <v/>
      </c>
      <c r="J1160" s="264">
        <f t="shared" si="1"/>
        <v>0</v>
      </c>
      <c r="K1160" s="246"/>
      <c r="L1160" s="246"/>
      <c r="M1160" s="249" t="str">
        <f t="shared" si="2"/>
        <v/>
      </c>
      <c r="N1160" s="266">
        <f t="shared" si="3"/>
        <v>0</v>
      </c>
      <c r="O1160" s="247"/>
      <c r="P1160" s="247"/>
      <c r="Q1160" s="247"/>
      <c r="R1160" s="247"/>
      <c r="S1160" s="247"/>
      <c r="T1160" s="247"/>
      <c r="U1160" s="247"/>
      <c r="V1160" s="247"/>
      <c r="W1160" s="247"/>
      <c r="X1160" s="247"/>
    </row>
    <row r="1161">
      <c r="A1161" s="273">
        <v>45919.0</v>
      </c>
      <c r="B1161" s="275" t="s">
        <v>1302</v>
      </c>
      <c r="C1161" s="275" t="s">
        <v>1317</v>
      </c>
      <c r="D1161" s="276">
        <v>18873.0</v>
      </c>
      <c r="E1161" s="275" t="s">
        <v>1017</v>
      </c>
      <c r="F1161" s="279"/>
      <c r="G1161" s="278" t="str">
        <f>IFNA(IF(VLOOKUP(RC_OUT[BLOCK],RC_IN[[BLOCK]:[BLOCK LOC]],2,FALSE)=0,"",VLOOKUP(RC_OUT[BLOCK],RC_IN[[BLOCK]:[BLOCK LOC]],2,FALSE)),"")</f>
        <v/>
      </c>
      <c r="I1161" s="263" t="str">
        <f>IFERROR(AVERAGEIFS(RC_IN[MC],RC_IN[BLOCK],RC_OUT[BLOCK]),"")</f>
        <v/>
      </c>
      <c r="J1161" s="264">
        <f t="shared" si="1"/>
        <v>0</v>
      </c>
      <c r="K1161" s="246"/>
      <c r="L1161" s="246"/>
      <c r="M1161" s="249" t="str">
        <f t="shared" si="2"/>
        <v/>
      </c>
      <c r="N1161" s="266">
        <f t="shared" si="3"/>
        <v>0</v>
      </c>
      <c r="O1161" s="247"/>
      <c r="P1161" s="247"/>
      <c r="Q1161" s="247"/>
      <c r="R1161" s="247"/>
      <c r="S1161" s="247"/>
      <c r="T1161" s="247"/>
      <c r="U1161" s="247"/>
      <c r="V1161" s="247"/>
      <c r="W1161" s="247"/>
      <c r="X1161" s="247"/>
    </row>
    <row r="1162">
      <c r="A1162" s="273">
        <v>45919.0</v>
      </c>
      <c r="B1162" s="275" t="s">
        <v>1302</v>
      </c>
      <c r="C1162" s="275" t="s">
        <v>1318</v>
      </c>
      <c r="D1162" s="276">
        <v>7000.0</v>
      </c>
      <c r="E1162" s="275" t="s">
        <v>1017</v>
      </c>
      <c r="F1162" s="279"/>
      <c r="G1162" s="278" t="str">
        <f>IFNA(IF(VLOOKUP(RC_OUT[BLOCK],RC_IN[[BLOCK]:[BLOCK LOC]],2,FALSE)=0,"",VLOOKUP(RC_OUT[BLOCK],RC_IN[[BLOCK]:[BLOCK LOC]],2,FALSE)),"")</f>
        <v/>
      </c>
      <c r="I1162" s="263" t="str">
        <f>IFERROR(AVERAGEIFS(RC_IN[MC],RC_IN[BLOCK],RC_OUT[BLOCK]),"")</f>
        <v/>
      </c>
      <c r="J1162" s="264">
        <f t="shared" si="1"/>
        <v>0</v>
      </c>
      <c r="K1162" s="246"/>
      <c r="L1162" s="246"/>
      <c r="M1162" s="249" t="str">
        <f t="shared" si="2"/>
        <v/>
      </c>
      <c r="N1162" s="266">
        <f t="shared" si="3"/>
        <v>0</v>
      </c>
      <c r="O1162" s="247"/>
      <c r="P1162" s="247"/>
      <c r="Q1162" s="247"/>
      <c r="R1162" s="247"/>
      <c r="S1162" s="247"/>
      <c r="T1162" s="247"/>
      <c r="U1162" s="247"/>
      <c r="V1162" s="247"/>
      <c r="W1162" s="247"/>
      <c r="X1162" s="247"/>
    </row>
    <row r="1163">
      <c r="A1163" s="274"/>
      <c r="B1163" s="274"/>
      <c r="C1163" s="274"/>
      <c r="D1163" s="283"/>
      <c r="E1163" s="274"/>
      <c r="F1163" s="279"/>
      <c r="G1163" s="278" t="str">
        <f>IFNA(IF(VLOOKUP(RC_OUT[BLOCK],RC_IN[[BLOCK]:[BLOCK LOC]],2,FALSE)=0,"",VLOOKUP(RC_OUT[BLOCK],RC_IN[[BLOCK]:[BLOCK LOC]],2,FALSE)),"")</f>
        <v/>
      </c>
      <c r="I1163" s="263" t="str">
        <f>IFERROR(AVERAGEIFS(RC_IN[MC],RC_IN[BLOCK],RC_OUT[BLOCK]),"")</f>
        <v/>
      </c>
      <c r="J1163" s="264">
        <f t="shared" si="1"/>
        <v>0</v>
      </c>
      <c r="K1163" s="246"/>
      <c r="L1163" s="246"/>
      <c r="M1163" s="249" t="str">
        <f t="shared" si="2"/>
        <v/>
      </c>
      <c r="N1163" s="266">
        <f t="shared" si="3"/>
        <v>0</v>
      </c>
      <c r="O1163" s="247"/>
      <c r="P1163" s="247"/>
      <c r="Q1163" s="247"/>
      <c r="R1163" s="247"/>
      <c r="S1163" s="247"/>
      <c r="T1163" s="247"/>
      <c r="U1163" s="247"/>
      <c r="V1163" s="247"/>
      <c r="W1163" s="247"/>
      <c r="X1163" s="247"/>
    </row>
    <row r="1164">
      <c r="A1164" s="273">
        <v>45920.0</v>
      </c>
      <c r="B1164" s="275" t="s">
        <v>1302</v>
      </c>
      <c r="C1164" s="275" t="s">
        <v>1316</v>
      </c>
      <c r="D1164" s="276">
        <v>3116.0</v>
      </c>
      <c r="E1164" s="275" t="s">
        <v>1017</v>
      </c>
      <c r="F1164" s="279"/>
      <c r="G1164" s="278" t="str">
        <f>IFNA(IF(VLOOKUP(RC_OUT[BLOCK],RC_IN[[BLOCK]:[BLOCK LOC]],2,FALSE)=0,"",VLOOKUP(RC_OUT[BLOCK],RC_IN[[BLOCK]:[BLOCK LOC]],2,FALSE)),"")</f>
        <v/>
      </c>
      <c r="I1164" s="263" t="str">
        <f>IFERROR(AVERAGEIFS(RC_IN[MC],RC_IN[BLOCK],RC_OUT[BLOCK]),"")</f>
        <v/>
      </c>
      <c r="J1164" s="264">
        <f t="shared" si="1"/>
        <v>0</v>
      </c>
      <c r="K1164" s="246"/>
      <c r="L1164" s="246"/>
      <c r="M1164" s="249" t="str">
        <f t="shared" si="2"/>
        <v/>
      </c>
      <c r="N1164" s="266">
        <f t="shared" si="3"/>
        <v>0</v>
      </c>
      <c r="O1164" s="247"/>
      <c r="P1164" s="247"/>
      <c r="Q1164" s="247"/>
      <c r="R1164" s="247"/>
      <c r="S1164" s="247"/>
      <c r="T1164" s="247"/>
      <c r="U1164" s="247"/>
      <c r="V1164" s="247"/>
      <c r="W1164" s="247"/>
      <c r="X1164" s="247"/>
    </row>
    <row r="1165">
      <c r="A1165" s="273">
        <v>45920.0</v>
      </c>
      <c r="B1165" s="275" t="s">
        <v>1302</v>
      </c>
      <c r="C1165" s="275" t="s">
        <v>1317</v>
      </c>
      <c r="D1165" s="276">
        <v>6360.0</v>
      </c>
      <c r="E1165" s="275" t="s">
        <v>1017</v>
      </c>
      <c r="F1165" s="277" t="s">
        <v>1059</v>
      </c>
      <c r="G1165" s="278" t="str">
        <f>IFNA(IF(VLOOKUP(RC_OUT[BLOCK],RC_IN[[BLOCK]:[BLOCK LOC]],2,FALSE)=0,"",VLOOKUP(RC_OUT[BLOCK],RC_IN[[BLOCK]:[BLOCK LOC]],2,FALSE)),"")</f>
        <v/>
      </c>
      <c r="I1165" s="263" t="str">
        <f>IFERROR(AVERAGEIFS(RC_IN[MC],RC_IN[BLOCK],RC_OUT[BLOCK]),"")</f>
        <v/>
      </c>
      <c r="J1165" s="264">
        <f t="shared" si="1"/>
        <v>0</v>
      </c>
      <c r="K1165" s="246"/>
      <c r="L1165" s="246"/>
      <c r="M1165" s="249" t="str">
        <f t="shared" si="2"/>
        <v/>
      </c>
      <c r="N1165" s="266">
        <f t="shared" si="3"/>
        <v>0</v>
      </c>
      <c r="O1165" s="247"/>
      <c r="P1165" s="247"/>
      <c r="Q1165" s="247"/>
      <c r="R1165" s="247"/>
      <c r="S1165" s="247"/>
      <c r="T1165" s="247"/>
      <c r="U1165" s="247"/>
      <c r="V1165" s="247"/>
      <c r="W1165" s="247"/>
      <c r="X1165" s="247"/>
    </row>
    <row r="1166">
      <c r="A1166" s="273">
        <v>45920.0</v>
      </c>
      <c r="B1166" s="275" t="s">
        <v>1302</v>
      </c>
      <c r="C1166" s="275" t="s">
        <v>1318</v>
      </c>
      <c r="D1166" s="276">
        <v>10000.0</v>
      </c>
      <c r="E1166" s="275" t="s">
        <v>1017</v>
      </c>
      <c r="F1166" s="277" t="s">
        <v>1059</v>
      </c>
      <c r="G1166" s="278" t="str">
        <f>IFNA(IF(VLOOKUP(RC_OUT[BLOCK],RC_IN[[BLOCK]:[BLOCK LOC]],2,FALSE)=0,"",VLOOKUP(RC_OUT[BLOCK],RC_IN[[BLOCK]:[BLOCK LOC]],2,FALSE)),"")</f>
        <v/>
      </c>
      <c r="I1166" s="263" t="str">
        <f>IFERROR(AVERAGEIFS(RC_IN[MC],RC_IN[BLOCK],RC_OUT[BLOCK]),"")</f>
        <v/>
      </c>
      <c r="J1166" s="264">
        <f t="shared" si="1"/>
        <v>0</v>
      </c>
      <c r="K1166" s="246"/>
      <c r="L1166" s="246"/>
      <c r="M1166" s="249" t="str">
        <f t="shared" si="2"/>
        <v/>
      </c>
      <c r="N1166" s="266">
        <f t="shared" si="3"/>
        <v>0</v>
      </c>
      <c r="O1166" s="247"/>
      <c r="P1166" s="247"/>
      <c r="Q1166" s="247"/>
      <c r="R1166" s="247"/>
      <c r="S1166" s="247"/>
      <c r="T1166" s="247"/>
      <c r="U1166" s="247"/>
      <c r="V1166" s="247"/>
      <c r="W1166" s="247"/>
      <c r="X1166" s="247"/>
    </row>
    <row r="1167">
      <c r="A1167" s="273">
        <v>45920.0</v>
      </c>
      <c r="B1167" s="275" t="s">
        <v>1302</v>
      </c>
      <c r="C1167" s="275" t="s">
        <v>1319</v>
      </c>
      <c r="D1167" s="276">
        <v>7519.0</v>
      </c>
      <c r="E1167" s="275" t="s">
        <v>1017</v>
      </c>
      <c r="F1167" s="279"/>
      <c r="G1167" s="278" t="str">
        <f>IFNA(IF(VLOOKUP(RC_OUT[BLOCK],RC_IN[[BLOCK]:[BLOCK LOC]],2,FALSE)=0,"",VLOOKUP(RC_OUT[BLOCK],RC_IN[[BLOCK]:[BLOCK LOC]],2,FALSE)),"")</f>
        <v/>
      </c>
      <c r="I1167" s="263" t="str">
        <f>IFERROR(AVERAGEIFS(RC_IN[MC],RC_IN[BLOCK],RC_OUT[BLOCK]),"")</f>
        <v/>
      </c>
      <c r="J1167" s="264">
        <f t="shared" si="1"/>
        <v>0</v>
      </c>
      <c r="K1167" s="246"/>
      <c r="L1167" s="246"/>
      <c r="M1167" s="249" t="str">
        <f t="shared" si="2"/>
        <v/>
      </c>
      <c r="N1167" s="266">
        <f t="shared" si="3"/>
        <v>0</v>
      </c>
      <c r="O1167" s="247"/>
      <c r="P1167" s="247"/>
      <c r="Q1167" s="247"/>
      <c r="R1167" s="247"/>
      <c r="S1167" s="247"/>
      <c r="T1167" s="247"/>
      <c r="U1167" s="247"/>
      <c r="V1167" s="247"/>
      <c r="W1167" s="247"/>
      <c r="X1167" s="247"/>
    </row>
    <row r="1168">
      <c r="A1168" s="274"/>
      <c r="B1168" s="274"/>
      <c r="C1168" s="274"/>
      <c r="D1168" s="283"/>
      <c r="E1168" s="274"/>
      <c r="F1168" s="279"/>
      <c r="G1168" s="278" t="str">
        <f>IFNA(IF(VLOOKUP(RC_OUT[BLOCK],RC_IN[[BLOCK]:[BLOCK LOC]],2,FALSE)=0,"",VLOOKUP(RC_OUT[BLOCK],RC_IN[[BLOCK]:[BLOCK LOC]],2,FALSE)),"")</f>
        <v/>
      </c>
      <c r="I1168" s="263" t="str">
        <f>IFERROR(AVERAGEIFS(RC_IN[MC],RC_IN[BLOCK],RC_OUT[BLOCK]),"")</f>
        <v/>
      </c>
      <c r="J1168" s="264">
        <f t="shared" si="1"/>
        <v>0</v>
      </c>
      <c r="K1168" s="246"/>
      <c r="L1168" s="246"/>
      <c r="M1168" s="249" t="str">
        <f t="shared" si="2"/>
        <v/>
      </c>
      <c r="N1168" s="266">
        <f t="shared" si="3"/>
        <v>0</v>
      </c>
      <c r="O1168" s="247"/>
      <c r="P1168" s="247"/>
      <c r="Q1168" s="247"/>
      <c r="R1168" s="247"/>
      <c r="S1168" s="247"/>
      <c r="T1168" s="247"/>
      <c r="U1168" s="247"/>
      <c r="V1168" s="247"/>
      <c r="W1168" s="247"/>
      <c r="X1168" s="247"/>
    </row>
    <row r="1169">
      <c r="A1169" s="273">
        <v>45922.0</v>
      </c>
      <c r="B1169" s="275" t="s">
        <v>1302</v>
      </c>
      <c r="C1169" s="275" t="s">
        <v>1316</v>
      </c>
      <c r="D1169" s="276">
        <v>7566.0</v>
      </c>
      <c r="E1169" s="275" t="s">
        <v>1017</v>
      </c>
      <c r="F1169" s="279"/>
      <c r="G1169" s="278" t="str">
        <f>IFNA(IF(VLOOKUP(RC_OUT[BLOCK],RC_IN[[BLOCK]:[BLOCK LOC]],2,FALSE)=0,"",VLOOKUP(RC_OUT[BLOCK],RC_IN[[BLOCK]:[BLOCK LOC]],2,FALSE)),"")</f>
        <v/>
      </c>
      <c r="I1169" s="263" t="str">
        <f>IFERROR(AVERAGEIFS(RC_IN[MC],RC_IN[BLOCK],RC_OUT[BLOCK]),"")</f>
        <v/>
      </c>
      <c r="J1169" s="264">
        <f t="shared" si="1"/>
        <v>0</v>
      </c>
      <c r="K1169" s="246"/>
      <c r="L1169" s="246"/>
      <c r="M1169" s="249" t="str">
        <f t="shared" si="2"/>
        <v/>
      </c>
      <c r="N1169" s="266">
        <f t="shared" si="3"/>
        <v>0</v>
      </c>
      <c r="O1169" s="247"/>
      <c r="P1169" s="247"/>
      <c r="Q1169" s="247"/>
      <c r="R1169" s="247"/>
      <c r="S1169" s="247"/>
      <c r="T1169" s="247"/>
      <c r="U1169" s="247"/>
      <c r="V1169" s="247"/>
      <c r="W1169" s="247"/>
      <c r="X1169" s="247"/>
    </row>
    <row r="1170">
      <c r="A1170" s="273">
        <v>45922.0</v>
      </c>
      <c r="B1170" s="275" t="s">
        <v>1302</v>
      </c>
      <c r="C1170" s="275" t="s">
        <v>1319</v>
      </c>
      <c r="D1170" s="276">
        <v>27842.0</v>
      </c>
      <c r="E1170" s="275" t="s">
        <v>1017</v>
      </c>
      <c r="F1170" s="279"/>
      <c r="G1170" s="278" t="str">
        <f>IFNA(IF(VLOOKUP(RC_OUT[BLOCK],RC_IN[[BLOCK]:[BLOCK LOC]],2,FALSE)=0,"",VLOOKUP(RC_OUT[BLOCK],RC_IN[[BLOCK]:[BLOCK LOC]],2,FALSE)),"")</f>
        <v/>
      </c>
      <c r="I1170" s="263" t="str">
        <f>IFERROR(AVERAGEIFS(RC_IN[MC],RC_IN[BLOCK],RC_OUT[BLOCK]),"")</f>
        <v/>
      </c>
      <c r="J1170" s="264">
        <f t="shared" si="1"/>
        <v>0</v>
      </c>
      <c r="K1170" s="246"/>
      <c r="L1170" s="246"/>
      <c r="M1170" s="249" t="str">
        <f t="shared" si="2"/>
        <v/>
      </c>
      <c r="N1170" s="266">
        <f t="shared" si="3"/>
        <v>0</v>
      </c>
      <c r="O1170" s="247"/>
      <c r="P1170" s="247"/>
      <c r="Q1170" s="247"/>
      <c r="R1170" s="247"/>
      <c r="S1170" s="247"/>
      <c r="T1170" s="247"/>
      <c r="U1170" s="247"/>
      <c r="V1170" s="247"/>
      <c r="W1170" s="247"/>
      <c r="X1170" s="247"/>
    </row>
    <row r="1171">
      <c r="A1171" s="273">
        <v>45922.0</v>
      </c>
      <c r="B1171" s="275" t="s">
        <v>1302</v>
      </c>
      <c r="C1171" s="275" t="s">
        <v>1320</v>
      </c>
      <c r="D1171" s="276">
        <v>2510.0</v>
      </c>
      <c r="E1171" s="275" t="s">
        <v>1017</v>
      </c>
      <c r="F1171" s="279"/>
      <c r="G1171" s="278" t="str">
        <f>IFNA(IF(VLOOKUP(RC_OUT[BLOCK],RC_IN[[BLOCK]:[BLOCK LOC]],2,FALSE)=0,"",VLOOKUP(RC_OUT[BLOCK],RC_IN[[BLOCK]:[BLOCK LOC]],2,FALSE)),"")</f>
        <v/>
      </c>
      <c r="I1171" s="263" t="str">
        <f>IFERROR(AVERAGEIFS(RC_IN[MC],RC_IN[BLOCK],RC_OUT[BLOCK]),"")</f>
        <v/>
      </c>
      <c r="J1171" s="264">
        <f t="shared" si="1"/>
        <v>0</v>
      </c>
      <c r="K1171" s="246"/>
      <c r="L1171" s="246"/>
      <c r="M1171" s="249" t="str">
        <f t="shared" si="2"/>
        <v/>
      </c>
      <c r="N1171" s="266">
        <f t="shared" si="3"/>
        <v>0</v>
      </c>
      <c r="O1171" s="247"/>
      <c r="P1171" s="247"/>
      <c r="Q1171" s="247"/>
      <c r="R1171" s="247"/>
      <c r="S1171" s="247"/>
      <c r="T1171" s="247"/>
      <c r="U1171" s="247"/>
      <c r="V1171" s="247"/>
      <c r="W1171" s="247"/>
      <c r="X1171" s="247"/>
    </row>
    <row r="1172">
      <c r="A1172" s="274"/>
      <c r="B1172" s="274"/>
      <c r="C1172" s="274"/>
      <c r="D1172" s="283"/>
      <c r="E1172" s="274"/>
      <c r="F1172" s="279"/>
      <c r="G1172" s="278" t="str">
        <f>IFNA(IF(VLOOKUP(RC_OUT[BLOCK],RC_IN[[BLOCK]:[BLOCK LOC]],2,FALSE)=0,"",VLOOKUP(RC_OUT[BLOCK],RC_IN[[BLOCK]:[BLOCK LOC]],2,FALSE)),"")</f>
        <v/>
      </c>
      <c r="I1172" s="263" t="str">
        <f>IFERROR(AVERAGEIFS(RC_IN[MC],RC_IN[BLOCK],RC_OUT[BLOCK]),"")</f>
        <v/>
      </c>
      <c r="J1172" s="264">
        <f t="shared" si="1"/>
        <v>0</v>
      </c>
      <c r="K1172" s="246"/>
      <c r="L1172" s="246"/>
      <c r="M1172" s="249" t="str">
        <f t="shared" si="2"/>
        <v/>
      </c>
      <c r="N1172" s="266">
        <f t="shared" si="3"/>
        <v>0</v>
      </c>
      <c r="O1172" s="247"/>
      <c r="P1172" s="247"/>
      <c r="Q1172" s="247"/>
      <c r="R1172" s="247"/>
      <c r="S1172" s="247"/>
      <c r="T1172" s="247"/>
      <c r="U1172" s="247"/>
      <c r="V1172" s="247"/>
      <c r="W1172" s="247"/>
      <c r="X1172" s="247"/>
    </row>
    <row r="1173">
      <c r="A1173" s="273">
        <v>45923.0</v>
      </c>
      <c r="B1173" s="275" t="s">
        <v>1302</v>
      </c>
      <c r="C1173" s="275" t="s">
        <v>1316</v>
      </c>
      <c r="D1173" s="276">
        <v>4943.0</v>
      </c>
      <c r="E1173" s="275" t="s">
        <v>1017</v>
      </c>
      <c r="F1173" s="279"/>
      <c r="G1173" s="278" t="str">
        <f>IFNA(IF(VLOOKUP(RC_OUT[BLOCK],RC_IN[[BLOCK]:[BLOCK LOC]],2,FALSE)=0,"",VLOOKUP(RC_OUT[BLOCK],RC_IN[[BLOCK]:[BLOCK LOC]],2,FALSE)),"")</f>
        <v/>
      </c>
      <c r="I1173" s="263" t="str">
        <f>IFERROR(AVERAGEIFS(RC_IN[MC],RC_IN[BLOCK],RC_OUT[BLOCK]),"")</f>
        <v/>
      </c>
      <c r="J1173" s="264">
        <f t="shared" si="1"/>
        <v>0</v>
      </c>
      <c r="K1173" s="246"/>
      <c r="L1173" s="246"/>
      <c r="M1173" s="249" t="str">
        <f t="shared" si="2"/>
        <v/>
      </c>
      <c r="N1173" s="266">
        <f t="shared" si="3"/>
        <v>0</v>
      </c>
      <c r="O1173" s="247"/>
      <c r="P1173" s="247"/>
      <c r="Q1173" s="247"/>
      <c r="R1173" s="247"/>
      <c r="S1173" s="247"/>
      <c r="T1173" s="247"/>
      <c r="U1173" s="247"/>
      <c r="V1173" s="247"/>
      <c r="W1173" s="247"/>
      <c r="X1173" s="247"/>
    </row>
    <row r="1174">
      <c r="A1174" s="273">
        <v>45923.0</v>
      </c>
      <c r="B1174" s="275" t="s">
        <v>1302</v>
      </c>
      <c r="C1174" s="275" t="s">
        <v>1319</v>
      </c>
      <c r="D1174" s="276">
        <v>11050.0</v>
      </c>
      <c r="E1174" s="275" t="s">
        <v>1017</v>
      </c>
      <c r="F1174" s="277" t="s">
        <v>1059</v>
      </c>
      <c r="G1174" s="278" t="str">
        <f>IFNA(IF(VLOOKUP(RC_OUT[BLOCK],RC_IN[[BLOCK]:[BLOCK LOC]],2,FALSE)=0,"",VLOOKUP(RC_OUT[BLOCK],RC_IN[[BLOCK]:[BLOCK LOC]],2,FALSE)),"")</f>
        <v/>
      </c>
      <c r="I1174" s="263" t="str">
        <f>IFERROR(AVERAGEIFS(RC_IN[MC],RC_IN[BLOCK],RC_OUT[BLOCK]),"")</f>
        <v/>
      </c>
      <c r="J1174" s="264">
        <f t="shared" si="1"/>
        <v>0</v>
      </c>
      <c r="K1174" s="246"/>
      <c r="L1174" s="246"/>
      <c r="M1174" s="249" t="str">
        <f t="shared" si="2"/>
        <v/>
      </c>
      <c r="N1174" s="266">
        <f t="shared" si="3"/>
        <v>0</v>
      </c>
      <c r="O1174" s="247"/>
      <c r="P1174" s="247"/>
      <c r="Q1174" s="247"/>
      <c r="R1174" s="247"/>
      <c r="S1174" s="247"/>
      <c r="T1174" s="247"/>
      <c r="U1174" s="247"/>
      <c r="V1174" s="247"/>
      <c r="W1174" s="247"/>
      <c r="X1174" s="247"/>
    </row>
    <row r="1175">
      <c r="A1175" s="273">
        <v>45923.0</v>
      </c>
      <c r="B1175" s="275" t="s">
        <v>1302</v>
      </c>
      <c r="C1175" s="275" t="s">
        <v>1320</v>
      </c>
      <c r="D1175" s="276">
        <v>6000.0</v>
      </c>
      <c r="E1175" s="275" t="s">
        <v>1017</v>
      </c>
      <c r="F1175" s="279"/>
      <c r="G1175" s="278" t="str">
        <f>IFNA(IF(VLOOKUP(RC_OUT[BLOCK],RC_IN[[BLOCK]:[BLOCK LOC]],2,FALSE)=0,"",VLOOKUP(RC_OUT[BLOCK],RC_IN[[BLOCK]:[BLOCK LOC]],2,FALSE)),"")</f>
        <v/>
      </c>
      <c r="I1175" s="263" t="str">
        <f>IFERROR(AVERAGEIFS(RC_IN[MC],RC_IN[BLOCK],RC_OUT[BLOCK]),"")</f>
        <v/>
      </c>
      <c r="J1175" s="264">
        <f t="shared" si="1"/>
        <v>0</v>
      </c>
      <c r="K1175" s="246"/>
      <c r="L1175" s="246"/>
      <c r="M1175" s="249" t="str">
        <f t="shared" si="2"/>
        <v/>
      </c>
      <c r="N1175" s="266">
        <f t="shared" si="3"/>
        <v>0</v>
      </c>
      <c r="O1175" s="247"/>
      <c r="P1175" s="247"/>
      <c r="Q1175" s="247"/>
      <c r="R1175" s="247"/>
      <c r="S1175" s="247"/>
      <c r="T1175" s="247"/>
      <c r="U1175" s="247"/>
      <c r="V1175" s="247"/>
      <c r="W1175" s="247"/>
      <c r="X1175" s="247"/>
    </row>
    <row r="1176">
      <c r="A1176" s="273">
        <v>45923.0</v>
      </c>
      <c r="B1176" s="275" t="s">
        <v>1302</v>
      </c>
      <c r="C1176" s="275" t="s">
        <v>1321</v>
      </c>
      <c r="D1176" s="276">
        <v>8142.0</v>
      </c>
      <c r="E1176" s="275" t="s">
        <v>1017</v>
      </c>
      <c r="F1176" s="279"/>
      <c r="G1176" s="278" t="str">
        <f>IFNA(IF(VLOOKUP(RC_OUT[BLOCK],RC_IN[[BLOCK]:[BLOCK LOC]],2,FALSE)=0,"",VLOOKUP(RC_OUT[BLOCK],RC_IN[[BLOCK]:[BLOCK LOC]],2,FALSE)),"")</f>
        <v/>
      </c>
      <c r="I1176" s="263" t="str">
        <f>IFERROR(AVERAGEIFS(RC_IN[MC],RC_IN[BLOCK],RC_OUT[BLOCK]),"")</f>
        <v/>
      </c>
      <c r="J1176" s="264">
        <f t="shared" si="1"/>
        <v>0</v>
      </c>
      <c r="K1176" s="246"/>
      <c r="L1176" s="246"/>
      <c r="M1176" s="249" t="str">
        <f t="shared" si="2"/>
        <v/>
      </c>
      <c r="N1176" s="266">
        <f t="shared" si="3"/>
        <v>0</v>
      </c>
      <c r="O1176" s="247"/>
      <c r="P1176" s="247"/>
      <c r="Q1176" s="247"/>
      <c r="R1176" s="247"/>
      <c r="S1176" s="247"/>
      <c r="T1176" s="247"/>
      <c r="U1176" s="247"/>
      <c r="V1176" s="247"/>
      <c r="W1176" s="247"/>
      <c r="X1176" s="247"/>
    </row>
    <row r="1177">
      <c r="A1177" s="274"/>
      <c r="B1177" s="274"/>
      <c r="C1177" s="274"/>
      <c r="D1177" s="283"/>
      <c r="E1177" s="274"/>
      <c r="F1177" s="279"/>
      <c r="G1177" s="278" t="str">
        <f>IFNA(IF(VLOOKUP(RC_OUT[BLOCK],RC_IN[[BLOCK]:[BLOCK LOC]],2,FALSE)=0,"",VLOOKUP(RC_OUT[BLOCK],RC_IN[[BLOCK]:[BLOCK LOC]],2,FALSE)),"")</f>
        <v/>
      </c>
      <c r="I1177" s="263" t="str">
        <f>IFERROR(AVERAGEIFS(RC_IN[MC],RC_IN[BLOCK],RC_OUT[BLOCK]),"")</f>
        <v/>
      </c>
      <c r="J1177" s="264">
        <f t="shared" si="1"/>
        <v>0</v>
      </c>
      <c r="K1177" s="246"/>
      <c r="L1177" s="246"/>
      <c r="M1177" s="249" t="str">
        <f t="shared" si="2"/>
        <v/>
      </c>
      <c r="N1177" s="266">
        <f t="shared" si="3"/>
        <v>0</v>
      </c>
      <c r="O1177" s="247"/>
      <c r="P1177" s="247"/>
      <c r="Q1177" s="247"/>
      <c r="R1177" s="247"/>
      <c r="S1177" s="247"/>
      <c r="T1177" s="247"/>
      <c r="U1177" s="247"/>
      <c r="V1177" s="247"/>
      <c r="W1177" s="247"/>
      <c r="X1177" s="247"/>
    </row>
    <row r="1178">
      <c r="A1178" s="273">
        <v>45924.0</v>
      </c>
      <c r="B1178" s="275" t="s">
        <v>1302</v>
      </c>
      <c r="C1178" s="275" t="s">
        <v>1316</v>
      </c>
      <c r="D1178" s="276">
        <v>8947.0</v>
      </c>
      <c r="E1178" s="275" t="s">
        <v>1017</v>
      </c>
      <c r="F1178" s="279"/>
      <c r="G1178" s="278" t="str">
        <f>IFNA(IF(VLOOKUP(RC_OUT[BLOCK],RC_IN[[BLOCK]:[BLOCK LOC]],2,FALSE)=0,"",VLOOKUP(RC_OUT[BLOCK],RC_IN[[BLOCK]:[BLOCK LOC]],2,FALSE)),"")</f>
        <v/>
      </c>
      <c r="I1178" s="263" t="str">
        <f>IFERROR(AVERAGEIFS(RC_IN[MC],RC_IN[BLOCK],RC_OUT[BLOCK]),"")</f>
        <v/>
      </c>
      <c r="J1178" s="264">
        <f t="shared" si="1"/>
        <v>0</v>
      </c>
      <c r="K1178" s="246"/>
      <c r="L1178" s="246"/>
      <c r="M1178" s="249" t="str">
        <f t="shared" si="2"/>
        <v/>
      </c>
      <c r="N1178" s="266">
        <f t="shared" si="3"/>
        <v>0</v>
      </c>
      <c r="O1178" s="247"/>
      <c r="P1178" s="247"/>
      <c r="Q1178" s="247"/>
      <c r="R1178" s="247"/>
      <c r="S1178" s="247"/>
      <c r="T1178" s="247"/>
      <c r="U1178" s="247"/>
      <c r="V1178" s="247"/>
      <c r="W1178" s="247"/>
      <c r="X1178" s="247"/>
    </row>
    <row r="1179">
      <c r="A1179" s="273">
        <v>45924.0</v>
      </c>
      <c r="B1179" s="275" t="s">
        <v>1302</v>
      </c>
      <c r="C1179" s="275" t="s">
        <v>1320</v>
      </c>
      <c r="D1179" s="276">
        <v>7000.0</v>
      </c>
      <c r="E1179" s="275" t="s">
        <v>1017</v>
      </c>
      <c r="F1179" s="279"/>
      <c r="G1179" s="278" t="str">
        <f>IFNA(IF(VLOOKUP(RC_OUT[BLOCK],RC_IN[[BLOCK]:[BLOCK LOC]],2,FALSE)=0,"",VLOOKUP(RC_OUT[BLOCK],RC_IN[[BLOCK]:[BLOCK LOC]],2,FALSE)),"")</f>
        <v/>
      </c>
      <c r="I1179" s="263" t="str">
        <f>IFERROR(AVERAGEIFS(RC_IN[MC],RC_IN[BLOCK],RC_OUT[BLOCK]),"")</f>
        <v/>
      </c>
      <c r="J1179" s="264">
        <f t="shared" si="1"/>
        <v>0</v>
      </c>
      <c r="K1179" s="246"/>
      <c r="L1179" s="246"/>
      <c r="M1179" s="249" t="str">
        <f t="shared" si="2"/>
        <v/>
      </c>
      <c r="N1179" s="266">
        <f t="shared" si="3"/>
        <v>0</v>
      </c>
      <c r="O1179" s="247"/>
      <c r="P1179" s="247"/>
      <c r="Q1179" s="247"/>
      <c r="R1179" s="247"/>
      <c r="S1179" s="247"/>
      <c r="T1179" s="247"/>
      <c r="U1179" s="247"/>
      <c r="V1179" s="247"/>
      <c r="W1179" s="247"/>
      <c r="X1179" s="247"/>
    </row>
    <row r="1180">
      <c r="A1180" s="273">
        <v>45924.0</v>
      </c>
      <c r="B1180" s="275" t="s">
        <v>1302</v>
      </c>
      <c r="C1180" s="275" t="s">
        <v>1321</v>
      </c>
      <c r="D1180" s="276">
        <v>18345.0</v>
      </c>
      <c r="E1180" s="275" t="s">
        <v>1017</v>
      </c>
      <c r="F1180" s="279"/>
      <c r="G1180" s="278" t="str">
        <f>IFNA(IF(VLOOKUP(RC_OUT[BLOCK],RC_IN[[BLOCK]:[BLOCK LOC]],2,FALSE)=0,"",VLOOKUP(RC_OUT[BLOCK],RC_IN[[BLOCK]:[BLOCK LOC]],2,FALSE)),"")</f>
        <v/>
      </c>
      <c r="I1180" s="263" t="str">
        <f>IFERROR(AVERAGEIFS(RC_IN[MC],RC_IN[BLOCK],RC_OUT[BLOCK]),"")</f>
        <v/>
      </c>
      <c r="J1180" s="264">
        <f t="shared" si="1"/>
        <v>0</v>
      </c>
      <c r="K1180" s="246"/>
      <c r="L1180" s="246"/>
      <c r="M1180" s="249" t="str">
        <f t="shared" si="2"/>
        <v/>
      </c>
      <c r="N1180" s="266">
        <f t="shared" si="3"/>
        <v>0</v>
      </c>
      <c r="O1180" s="247"/>
      <c r="P1180" s="247"/>
      <c r="Q1180" s="247"/>
      <c r="R1180" s="247"/>
      <c r="S1180" s="247"/>
      <c r="T1180" s="247"/>
      <c r="U1180" s="247"/>
      <c r="V1180" s="247"/>
      <c r="W1180" s="247"/>
      <c r="X1180" s="247"/>
    </row>
    <row r="1181">
      <c r="A1181" s="273">
        <v>45924.0</v>
      </c>
      <c r="B1181" s="275" t="s">
        <v>1302</v>
      </c>
      <c r="C1181" s="275" t="s">
        <v>1322</v>
      </c>
      <c r="D1181" s="276">
        <v>17829.0</v>
      </c>
      <c r="E1181" s="275" t="s">
        <v>1017</v>
      </c>
      <c r="F1181" s="279"/>
      <c r="G1181" s="278" t="str">
        <f>IFNA(IF(VLOOKUP(RC_OUT[BLOCK],RC_IN[[BLOCK]:[BLOCK LOC]],2,FALSE)=0,"",VLOOKUP(RC_OUT[BLOCK],RC_IN[[BLOCK]:[BLOCK LOC]],2,FALSE)),"")</f>
        <v/>
      </c>
      <c r="I1181" s="263" t="str">
        <f>IFERROR(AVERAGEIFS(RC_IN[MC],RC_IN[BLOCK],RC_OUT[BLOCK]),"")</f>
        <v/>
      </c>
      <c r="J1181" s="264">
        <f t="shared" si="1"/>
        <v>0</v>
      </c>
      <c r="K1181" s="246"/>
      <c r="L1181" s="246"/>
      <c r="M1181" s="249" t="str">
        <f t="shared" si="2"/>
        <v/>
      </c>
      <c r="N1181" s="266">
        <f t="shared" si="3"/>
        <v>0</v>
      </c>
      <c r="O1181" s="247"/>
      <c r="P1181" s="247"/>
      <c r="Q1181" s="247"/>
      <c r="R1181" s="247"/>
      <c r="S1181" s="247"/>
      <c r="T1181" s="247"/>
      <c r="U1181" s="247"/>
      <c r="V1181" s="247"/>
      <c r="W1181" s="247"/>
      <c r="X1181" s="247"/>
    </row>
    <row r="1182">
      <c r="A1182" s="274"/>
      <c r="B1182" s="274"/>
      <c r="C1182" s="274"/>
      <c r="D1182" s="283"/>
      <c r="E1182" s="274"/>
      <c r="F1182" s="279"/>
      <c r="G1182" s="278" t="str">
        <f>IFNA(IF(VLOOKUP(RC_OUT[BLOCK],RC_IN[[BLOCK]:[BLOCK LOC]],2,FALSE)=0,"",VLOOKUP(RC_OUT[BLOCK],RC_IN[[BLOCK]:[BLOCK LOC]],2,FALSE)),"")</f>
        <v/>
      </c>
      <c r="I1182" s="263" t="str">
        <f>IFERROR(AVERAGEIFS(RC_IN[MC],RC_IN[BLOCK],RC_OUT[BLOCK]),"")</f>
        <v/>
      </c>
      <c r="J1182" s="264">
        <f t="shared" si="1"/>
        <v>0</v>
      </c>
      <c r="K1182" s="246"/>
      <c r="L1182" s="246"/>
      <c r="M1182" s="249" t="str">
        <f t="shared" si="2"/>
        <v/>
      </c>
      <c r="N1182" s="266">
        <f t="shared" si="3"/>
        <v>0</v>
      </c>
      <c r="O1182" s="247"/>
      <c r="P1182" s="247"/>
      <c r="Q1182" s="247"/>
      <c r="R1182" s="247"/>
      <c r="S1182" s="247"/>
      <c r="T1182" s="247"/>
      <c r="U1182" s="247"/>
      <c r="V1182" s="247"/>
      <c r="W1182" s="247"/>
      <c r="X1182" s="247"/>
    </row>
    <row r="1183">
      <c r="A1183" s="273">
        <v>45925.0</v>
      </c>
      <c r="B1183" s="275" t="s">
        <v>1302</v>
      </c>
      <c r="C1183" s="275" t="s">
        <v>1316</v>
      </c>
      <c r="D1183" s="276">
        <v>3139.0</v>
      </c>
      <c r="E1183" s="275" t="s">
        <v>1017</v>
      </c>
      <c r="F1183" s="277" t="s">
        <v>1059</v>
      </c>
      <c r="G1183" s="278" t="str">
        <f>IFNA(IF(VLOOKUP(RC_OUT[BLOCK],RC_IN[[BLOCK]:[BLOCK LOC]],2,FALSE)=0,"",VLOOKUP(RC_OUT[BLOCK],RC_IN[[BLOCK]:[BLOCK LOC]],2,FALSE)),"")</f>
        <v/>
      </c>
      <c r="I1183" s="263" t="str">
        <f>IFERROR(AVERAGEIFS(RC_IN[MC],RC_IN[BLOCK],RC_OUT[BLOCK]),"")</f>
        <v/>
      </c>
      <c r="J1183" s="264">
        <f t="shared" si="1"/>
        <v>0</v>
      </c>
      <c r="K1183" s="246"/>
      <c r="L1183" s="246"/>
      <c r="M1183" s="249" t="str">
        <f t="shared" si="2"/>
        <v/>
      </c>
      <c r="N1183" s="266">
        <f t="shared" si="3"/>
        <v>0</v>
      </c>
      <c r="O1183" s="247"/>
      <c r="P1183" s="247"/>
      <c r="Q1183" s="247"/>
      <c r="R1183" s="247"/>
      <c r="S1183" s="247"/>
      <c r="T1183" s="247"/>
      <c r="U1183" s="247"/>
      <c r="V1183" s="247"/>
      <c r="W1183" s="247"/>
      <c r="X1183" s="247"/>
    </row>
    <row r="1184">
      <c r="A1184" s="273">
        <v>45925.0</v>
      </c>
      <c r="B1184" s="275" t="s">
        <v>1302</v>
      </c>
      <c r="C1184" s="275" t="s">
        <v>1320</v>
      </c>
      <c r="D1184" s="276">
        <v>3000.0</v>
      </c>
      <c r="E1184" s="275" t="s">
        <v>1017</v>
      </c>
      <c r="F1184" s="277" t="s">
        <v>1059</v>
      </c>
      <c r="G1184" s="278" t="str">
        <f>IFNA(IF(VLOOKUP(RC_OUT[BLOCK],RC_IN[[BLOCK]:[BLOCK LOC]],2,FALSE)=0,"",VLOOKUP(RC_OUT[BLOCK],RC_IN[[BLOCK]:[BLOCK LOC]],2,FALSE)),"")</f>
        <v/>
      </c>
      <c r="I1184" s="263" t="str">
        <f>IFERROR(AVERAGEIFS(RC_IN[MC],RC_IN[BLOCK],RC_OUT[BLOCK]),"")</f>
        <v/>
      </c>
      <c r="J1184" s="264">
        <f t="shared" si="1"/>
        <v>0</v>
      </c>
      <c r="K1184" s="246"/>
      <c r="L1184" s="246"/>
      <c r="M1184" s="249" t="str">
        <f t="shared" si="2"/>
        <v/>
      </c>
      <c r="N1184" s="266">
        <f t="shared" si="3"/>
        <v>0</v>
      </c>
      <c r="O1184" s="247"/>
      <c r="P1184" s="247"/>
      <c r="Q1184" s="247"/>
      <c r="R1184" s="247"/>
      <c r="S1184" s="247"/>
      <c r="T1184" s="247"/>
      <c r="U1184" s="247"/>
      <c r="V1184" s="247"/>
      <c r="W1184" s="247"/>
      <c r="X1184" s="247"/>
    </row>
    <row r="1185">
      <c r="A1185" s="273">
        <v>45925.0</v>
      </c>
      <c r="B1185" s="275" t="s">
        <v>1302</v>
      </c>
      <c r="C1185" s="275" t="s">
        <v>1321</v>
      </c>
      <c r="D1185" s="276">
        <v>7173.0</v>
      </c>
      <c r="E1185" s="275" t="s">
        <v>1017</v>
      </c>
      <c r="F1185" s="279"/>
      <c r="G1185" s="278" t="str">
        <f>IFNA(IF(VLOOKUP(RC_OUT[BLOCK],RC_IN[[BLOCK]:[BLOCK LOC]],2,FALSE)=0,"",VLOOKUP(RC_OUT[BLOCK],RC_IN[[BLOCK]:[BLOCK LOC]],2,FALSE)),"")</f>
        <v/>
      </c>
      <c r="I1185" s="263" t="str">
        <f>IFERROR(AVERAGEIFS(RC_IN[MC],RC_IN[BLOCK],RC_OUT[BLOCK]),"")</f>
        <v/>
      </c>
      <c r="J1185" s="264">
        <f t="shared" si="1"/>
        <v>0</v>
      </c>
      <c r="K1185" s="246"/>
      <c r="L1185" s="246"/>
      <c r="M1185" s="249" t="str">
        <f t="shared" si="2"/>
        <v/>
      </c>
      <c r="N1185" s="266">
        <f t="shared" si="3"/>
        <v>0</v>
      </c>
      <c r="O1185" s="247"/>
      <c r="P1185" s="247"/>
      <c r="Q1185" s="247"/>
      <c r="R1185" s="247"/>
      <c r="S1185" s="247"/>
      <c r="T1185" s="247"/>
      <c r="U1185" s="247"/>
      <c r="V1185" s="247"/>
      <c r="W1185" s="247"/>
      <c r="X1185" s="247"/>
    </row>
    <row r="1186">
      <c r="A1186" s="273">
        <v>45925.0</v>
      </c>
      <c r="B1186" s="275" t="s">
        <v>1302</v>
      </c>
      <c r="C1186" s="275" t="s">
        <v>1322</v>
      </c>
      <c r="D1186" s="276">
        <v>7057.0</v>
      </c>
      <c r="E1186" s="275" t="s">
        <v>1017</v>
      </c>
      <c r="F1186" s="279"/>
      <c r="G1186" s="278" t="str">
        <f>IFNA(IF(VLOOKUP(RC_OUT[BLOCK],RC_IN[[BLOCK]:[BLOCK LOC]],2,FALSE)=0,"",VLOOKUP(RC_OUT[BLOCK],RC_IN[[BLOCK]:[BLOCK LOC]],2,FALSE)),"")</f>
        <v/>
      </c>
      <c r="I1186" s="263" t="str">
        <f>IFERROR(AVERAGEIFS(RC_IN[MC],RC_IN[BLOCK],RC_OUT[BLOCK]),"")</f>
        <v/>
      </c>
      <c r="J1186" s="264">
        <f t="shared" si="1"/>
        <v>0</v>
      </c>
      <c r="K1186" s="246"/>
      <c r="L1186" s="246"/>
      <c r="M1186" s="249" t="str">
        <f t="shared" si="2"/>
        <v/>
      </c>
      <c r="N1186" s="266">
        <f t="shared" si="3"/>
        <v>0</v>
      </c>
      <c r="O1186" s="247"/>
      <c r="P1186" s="247"/>
      <c r="Q1186" s="247"/>
      <c r="R1186" s="247"/>
      <c r="S1186" s="247"/>
      <c r="T1186" s="247"/>
      <c r="U1186" s="247"/>
      <c r="V1186" s="247"/>
      <c r="W1186" s="247"/>
      <c r="X1186" s="247"/>
    </row>
    <row r="1187">
      <c r="A1187" s="274"/>
      <c r="B1187" s="274"/>
      <c r="C1187" s="274"/>
      <c r="D1187" s="283"/>
      <c r="E1187" s="274"/>
      <c r="F1187" s="279"/>
      <c r="G1187" s="278" t="str">
        <f>IFNA(IF(VLOOKUP(RC_OUT[BLOCK],RC_IN[[BLOCK]:[BLOCK LOC]],2,FALSE)=0,"",VLOOKUP(RC_OUT[BLOCK],RC_IN[[BLOCK]:[BLOCK LOC]],2,FALSE)),"")</f>
        <v/>
      </c>
      <c r="I1187" s="263" t="str">
        <f>IFERROR(AVERAGEIFS(RC_IN[MC],RC_IN[BLOCK],RC_OUT[BLOCK]),"")</f>
        <v/>
      </c>
      <c r="J1187" s="264">
        <f t="shared" si="1"/>
        <v>0</v>
      </c>
      <c r="K1187" s="246"/>
      <c r="L1187" s="246"/>
      <c r="M1187" s="249" t="str">
        <f t="shared" si="2"/>
        <v/>
      </c>
      <c r="N1187" s="266">
        <f t="shared" si="3"/>
        <v>0</v>
      </c>
      <c r="O1187" s="247"/>
      <c r="P1187" s="247"/>
      <c r="Q1187" s="247"/>
      <c r="R1187" s="247"/>
      <c r="S1187" s="247"/>
      <c r="T1187" s="247"/>
      <c r="U1187" s="247"/>
      <c r="V1187" s="247"/>
      <c r="W1187" s="247"/>
      <c r="X1187" s="247"/>
    </row>
    <row r="1188">
      <c r="A1188" s="273">
        <v>45926.0</v>
      </c>
      <c r="B1188" s="275" t="s">
        <v>1302</v>
      </c>
      <c r="C1188" s="275" t="s">
        <v>1321</v>
      </c>
      <c r="D1188" s="276">
        <v>12004.0</v>
      </c>
      <c r="E1188" s="275" t="s">
        <v>1017</v>
      </c>
      <c r="F1188" s="279"/>
      <c r="G1188" s="278" t="str">
        <f>IFNA(IF(VLOOKUP(RC_OUT[BLOCK],RC_IN[[BLOCK]:[BLOCK LOC]],2,FALSE)=0,"",VLOOKUP(RC_OUT[BLOCK],RC_IN[[BLOCK]:[BLOCK LOC]],2,FALSE)),"")</f>
        <v/>
      </c>
      <c r="I1188" s="263" t="str">
        <f>IFERROR(AVERAGEIFS(RC_IN[MC],RC_IN[BLOCK],RC_OUT[BLOCK]),"")</f>
        <v/>
      </c>
      <c r="J1188" s="264">
        <f t="shared" si="1"/>
        <v>0</v>
      </c>
      <c r="K1188" s="246"/>
      <c r="L1188" s="246"/>
      <c r="M1188" s="249" t="str">
        <f t="shared" si="2"/>
        <v/>
      </c>
      <c r="N1188" s="266">
        <f t="shared" si="3"/>
        <v>0</v>
      </c>
      <c r="O1188" s="247"/>
      <c r="P1188" s="247"/>
      <c r="Q1188" s="247"/>
      <c r="R1188" s="247"/>
      <c r="S1188" s="247"/>
      <c r="T1188" s="247"/>
      <c r="U1188" s="247"/>
      <c r="V1188" s="247"/>
      <c r="W1188" s="247"/>
      <c r="X1188" s="247"/>
    </row>
    <row r="1189">
      <c r="A1189" s="273">
        <v>45926.0</v>
      </c>
      <c r="B1189" s="275" t="s">
        <v>1302</v>
      </c>
      <c r="C1189" s="275" t="s">
        <v>1322</v>
      </c>
      <c r="D1189" s="276">
        <v>11429.0</v>
      </c>
      <c r="E1189" s="275" t="s">
        <v>1017</v>
      </c>
      <c r="F1189" s="279"/>
      <c r="G1189" s="278" t="str">
        <f>IFNA(IF(VLOOKUP(RC_OUT[BLOCK],RC_IN[[BLOCK]:[BLOCK LOC]],2,FALSE)=0,"",VLOOKUP(RC_OUT[BLOCK],RC_IN[[BLOCK]:[BLOCK LOC]],2,FALSE)),"")</f>
        <v/>
      </c>
      <c r="I1189" s="263" t="str">
        <f>IFERROR(AVERAGEIFS(RC_IN[MC],RC_IN[BLOCK],RC_OUT[BLOCK]),"")</f>
        <v/>
      </c>
      <c r="J1189" s="264">
        <f t="shared" si="1"/>
        <v>0</v>
      </c>
      <c r="K1189" s="246"/>
      <c r="L1189" s="246"/>
      <c r="M1189" s="249" t="str">
        <f t="shared" si="2"/>
        <v/>
      </c>
      <c r="N1189" s="266">
        <f t="shared" si="3"/>
        <v>0</v>
      </c>
      <c r="O1189" s="247"/>
      <c r="P1189" s="247"/>
      <c r="Q1189" s="247"/>
      <c r="R1189" s="247"/>
      <c r="S1189" s="247"/>
      <c r="T1189" s="247"/>
      <c r="U1189" s="247"/>
      <c r="V1189" s="247"/>
      <c r="W1189" s="247"/>
      <c r="X1189" s="247"/>
    </row>
    <row r="1190">
      <c r="A1190" s="273">
        <v>45926.0</v>
      </c>
      <c r="B1190" s="275" t="s">
        <v>1302</v>
      </c>
      <c r="C1190" s="275" t="s">
        <v>1323</v>
      </c>
      <c r="D1190" s="276">
        <v>9495.0</v>
      </c>
      <c r="E1190" s="275" t="s">
        <v>1017</v>
      </c>
      <c r="F1190" s="279"/>
      <c r="G1190" s="278" t="str">
        <f>IFNA(IF(VLOOKUP(RC_OUT[BLOCK],RC_IN[[BLOCK]:[BLOCK LOC]],2,FALSE)=0,"",VLOOKUP(RC_OUT[BLOCK],RC_IN[[BLOCK]:[BLOCK LOC]],2,FALSE)),"")</f>
        <v/>
      </c>
      <c r="I1190" s="263" t="str">
        <f>IFERROR(AVERAGEIFS(RC_IN[MC],RC_IN[BLOCK],RC_OUT[BLOCK]),"")</f>
        <v/>
      </c>
      <c r="J1190" s="264">
        <f t="shared" si="1"/>
        <v>0</v>
      </c>
      <c r="K1190" s="246"/>
      <c r="L1190" s="246"/>
      <c r="M1190" s="249" t="str">
        <f t="shared" si="2"/>
        <v/>
      </c>
      <c r="N1190" s="266">
        <f t="shared" si="3"/>
        <v>0</v>
      </c>
      <c r="O1190" s="247"/>
      <c r="P1190" s="247"/>
      <c r="Q1190" s="247"/>
      <c r="R1190" s="247"/>
      <c r="S1190" s="247"/>
      <c r="T1190" s="247"/>
      <c r="U1190" s="247"/>
      <c r="V1190" s="247"/>
      <c r="W1190" s="247"/>
      <c r="X1190" s="247"/>
    </row>
    <row r="1191">
      <c r="A1191" s="274"/>
      <c r="B1191" s="274"/>
      <c r="C1191" s="274"/>
      <c r="D1191" s="283"/>
      <c r="E1191" s="274"/>
      <c r="F1191" s="279"/>
      <c r="G1191" s="278" t="str">
        <f>IFNA(IF(VLOOKUP(RC_OUT[BLOCK],RC_IN[[BLOCK]:[BLOCK LOC]],2,FALSE)=0,"",VLOOKUP(RC_OUT[BLOCK],RC_IN[[BLOCK]:[BLOCK LOC]],2,FALSE)),"")</f>
        <v/>
      </c>
      <c r="I1191" s="263" t="str">
        <f>IFERROR(AVERAGEIFS(RC_IN[MC],RC_IN[BLOCK],RC_OUT[BLOCK]),"")</f>
        <v/>
      </c>
      <c r="J1191" s="264">
        <f t="shared" si="1"/>
        <v>0</v>
      </c>
      <c r="K1191" s="246"/>
      <c r="L1191" s="246"/>
      <c r="M1191" s="249" t="str">
        <f t="shared" si="2"/>
        <v/>
      </c>
      <c r="N1191" s="266">
        <f t="shared" si="3"/>
        <v>0</v>
      </c>
      <c r="O1191" s="247"/>
      <c r="P1191" s="247"/>
      <c r="Q1191" s="247"/>
      <c r="R1191" s="247"/>
      <c r="S1191" s="247"/>
      <c r="T1191" s="247"/>
      <c r="U1191" s="247"/>
      <c r="V1191" s="247"/>
      <c r="W1191" s="247"/>
      <c r="X1191" s="247"/>
    </row>
    <row r="1192">
      <c r="A1192" s="273">
        <v>45927.0</v>
      </c>
      <c r="B1192" s="275" t="s">
        <v>1302</v>
      </c>
      <c r="C1192" s="275" t="s">
        <v>1321</v>
      </c>
      <c r="D1192" s="276">
        <v>15837.0</v>
      </c>
      <c r="E1192" s="275" t="s">
        <v>1017</v>
      </c>
      <c r="F1192" s="279"/>
      <c r="G1192" s="278" t="str">
        <f>IFNA(IF(VLOOKUP(RC_OUT[BLOCK],RC_IN[[BLOCK]:[BLOCK LOC]],2,FALSE)=0,"",VLOOKUP(RC_OUT[BLOCK],RC_IN[[BLOCK]:[BLOCK LOC]],2,FALSE)),"")</f>
        <v/>
      </c>
      <c r="I1192" s="263" t="str">
        <f>IFERROR(AVERAGEIFS(RC_IN[MC],RC_IN[BLOCK],RC_OUT[BLOCK]),"")</f>
        <v/>
      </c>
      <c r="J1192" s="264">
        <f t="shared" si="1"/>
        <v>0</v>
      </c>
      <c r="K1192" s="246"/>
      <c r="L1192" s="246"/>
      <c r="M1192" s="249" t="str">
        <f t="shared" si="2"/>
        <v/>
      </c>
      <c r="N1192" s="266">
        <f t="shared" si="3"/>
        <v>0</v>
      </c>
      <c r="O1192" s="247"/>
      <c r="P1192" s="247"/>
      <c r="Q1192" s="247"/>
      <c r="R1192" s="247"/>
      <c r="S1192" s="247"/>
      <c r="T1192" s="247"/>
      <c r="U1192" s="247"/>
      <c r="V1192" s="247"/>
      <c r="W1192" s="247"/>
      <c r="X1192" s="247"/>
    </row>
    <row r="1193">
      <c r="A1193" s="273">
        <v>45927.0</v>
      </c>
      <c r="B1193" s="275" t="s">
        <v>1302</v>
      </c>
      <c r="C1193" s="275" t="s">
        <v>1322</v>
      </c>
      <c r="D1193" s="276">
        <v>11999.0</v>
      </c>
      <c r="E1193" s="275" t="s">
        <v>1017</v>
      </c>
      <c r="F1193" s="279"/>
      <c r="G1193" s="278" t="str">
        <f>IFNA(IF(VLOOKUP(RC_OUT[BLOCK],RC_IN[[BLOCK]:[BLOCK LOC]],2,FALSE)=0,"",VLOOKUP(RC_OUT[BLOCK],RC_IN[[BLOCK]:[BLOCK LOC]],2,FALSE)),"")</f>
        <v/>
      </c>
      <c r="I1193" s="263" t="str">
        <f>IFERROR(AVERAGEIFS(RC_IN[MC],RC_IN[BLOCK],RC_OUT[BLOCK]),"")</f>
        <v/>
      </c>
      <c r="J1193" s="264">
        <f t="shared" si="1"/>
        <v>0</v>
      </c>
      <c r="K1193" s="246"/>
      <c r="L1193" s="246"/>
      <c r="M1193" s="249" t="str">
        <f t="shared" si="2"/>
        <v/>
      </c>
      <c r="N1193" s="266">
        <f t="shared" si="3"/>
        <v>0</v>
      </c>
      <c r="O1193" s="247"/>
      <c r="P1193" s="247"/>
      <c r="Q1193" s="247"/>
      <c r="R1193" s="247"/>
      <c r="S1193" s="247"/>
      <c r="T1193" s="247"/>
      <c r="U1193" s="247"/>
      <c r="V1193" s="247"/>
      <c r="W1193" s="247"/>
      <c r="X1193" s="247"/>
    </row>
    <row r="1194">
      <c r="A1194" s="273">
        <v>45927.0</v>
      </c>
      <c r="B1194" s="275" t="s">
        <v>1302</v>
      </c>
      <c r="C1194" s="275" t="s">
        <v>1323</v>
      </c>
      <c r="D1194" s="276">
        <v>10000.0</v>
      </c>
      <c r="E1194" s="275" t="s">
        <v>1017</v>
      </c>
      <c r="F1194" s="277" t="s">
        <v>1059</v>
      </c>
      <c r="G1194" s="278" t="str">
        <f>IFNA(IF(VLOOKUP(RC_OUT[BLOCK],RC_IN[[BLOCK]:[BLOCK LOC]],2,FALSE)=0,"",VLOOKUP(RC_OUT[BLOCK],RC_IN[[BLOCK]:[BLOCK LOC]],2,FALSE)),"")</f>
        <v/>
      </c>
      <c r="I1194" s="263" t="str">
        <f>IFERROR(AVERAGEIFS(RC_IN[MC],RC_IN[BLOCK],RC_OUT[BLOCK]),"")</f>
        <v/>
      </c>
      <c r="J1194" s="264">
        <f t="shared" si="1"/>
        <v>0</v>
      </c>
      <c r="K1194" s="246"/>
      <c r="L1194" s="246"/>
      <c r="M1194" s="249" t="str">
        <f t="shared" si="2"/>
        <v/>
      </c>
      <c r="N1194" s="266">
        <f t="shared" si="3"/>
        <v>0</v>
      </c>
      <c r="O1194" s="247"/>
      <c r="P1194" s="247"/>
      <c r="Q1194" s="247"/>
      <c r="R1194" s="247"/>
      <c r="S1194" s="247"/>
      <c r="T1194" s="247"/>
      <c r="U1194" s="247"/>
      <c r="V1194" s="247"/>
      <c r="W1194" s="247"/>
      <c r="X1194" s="247"/>
    </row>
    <row r="1195">
      <c r="A1195" s="274"/>
      <c r="B1195" s="274"/>
      <c r="C1195" s="274"/>
      <c r="D1195" s="283"/>
      <c r="E1195" s="274"/>
      <c r="F1195" s="279"/>
      <c r="G1195" s="278" t="str">
        <f>IFNA(IF(VLOOKUP(RC_OUT[BLOCK],RC_IN[[BLOCK]:[BLOCK LOC]],2,FALSE)=0,"",VLOOKUP(RC_OUT[BLOCK],RC_IN[[BLOCK]:[BLOCK LOC]],2,FALSE)),"")</f>
        <v/>
      </c>
      <c r="I1195" s="263" t="str">
        <f>IFERROR(AVERAGEIFS(RC_IN[MC],RC_IN[BLOCK],RC_OUT[BLOCK]),"")</f>
        <v/>
      </c>
      <c r="J1195" s="264">
        <f t="shared" si="1"/>
        <v>0</v>
      </c>
      <c r="K1195" s="246"/>
      <c r="L1195" s="246"/>
      <c r="M1195" s="249" t="str">
        <f t="shared" si="2"/>
        <v/>
      </c>
      <c r="N1195" s="266">
        <f t="shared" si="3"/>
        <v>0</v>
      </c>
      <c r="O1195" s="247"/>
      <c r="P1195" s="247"/>
      <c r="Q1195" s="247"/>
      <c r="R1195" s="247"/>
      <c r="S1195" s="247"/>
      <c r="T1195" s="247"/>
      <c r="U1195" s="247"/>
      <c r="V1195" s="247"/>
      <c r="W1195" s="247"/>
      <c r="X1195" s="247"/>
    </row>
    <row r="1196">
      <c r="A1196" s="273">
        <v>45929.0</v>
      </c>
      <c r="B1196" s="275" t="s">
        <v>1302</v>
      </c>
      <c r="C1196" s="275" t="s">
        <v>1321</v>
      </c>
      <c r="D1196" s="276">
        <v>7317.0</v>
      </c>
      <c r="E1196" s="275" t="s">
        <v>1017</v>
      </c>
      <c r="F1196" s="277" t="s">
        <v>1059</v>
      </c>
      <c r="G1196" s="278" t="str">
        <f>IFNA(IF(VLOOKUP(RC_OUT[BLOCK],RC_IN[[BLOCK]:[BLOCK LOC]],2,FALSE)=0,"",VLOOKUP(RC_OUT[BLOCK],RC_IN[[BLOCK]:[BLOCK LOC]],2,FALSE)),"")</f>
        <v/>
      </c>
      <c r="I1196" s="263" t="str">
        <f>IFERROR(AVERAGEIFS(RC_IN[MC],RC_IN[BLOCK],RC_OUT[BLOCK]),"")</f>
        <v/>
      </c>
      <c r="J1196" s="264">
        <f t="shared" si="1"/>
        <v>0</v>
      </c>
      <c r="K1196" s="246"/>
      <c r="L1196" s="246"/>
      <c r="M1196" s="249" t="str">
        <f t="shared" si="2"/>
        <v/>
      </c>
      <c r="N1196" s="266">
        <f t="shared" si="3"/>
        <v>0</v>
      </c>
      <c r="O1196" s="247"/>
      <c r="P1196" s="247"/>
      <c r="Q1196" s="247"/>
      <c r="R1196" s="247"/>
      <c r="S1196" s="247"/>
      <c r="T1196" s="247"/>
      <c r="U1196" s="247"/>
      <c r="V1196" s="247"/>
      <c r="W1196" s="247"/>
      <c r="X1196" s="247"/>
    </row>
    <row r="1197">
      <c r="A1197" s="273">
        <v>45929.0</v>
      </c>
      <c r="B1197" s="275" t="s">
        <v>1302</v>
      </c>
      <c r="C1197" s="275" t="s">
        <v>1322</v>
      </c>
      <c r="D1197" s="276">
        <v>4836.0</v>
      </c>
      <c r="E1197" s="275" t="s">
        <v>1017</v>
      </c>
      <c r="F1197" s="277" t="s">
        <v>1059</v>
      </c>
      <c r="G1197" s="278" t="str">
        <f>IFNA(IF(VLOOKUP(RC_OUT[BLOCK],RC_IN[[BLOCK]:[BLOCK LOC]],2,FALSE)=0,"",VLOOKUP(RC_OUT[BLOCK],RC_IN[[BLOCK]:[BLOCK LOC]],2,FALSE)),"")</f>
        <v/>
      </c>
      <c r="I1197" s="263" t="str">
        <f>IFERROR(AVERAGEIFS(RC_IN[MC],RC_IN[BLOCK],RC_OUT[BLOCK]),"")</f>
        <v/>
      </c>
      <c r="J1197" s="264">
        <f t="shared" si="1"/>
        <v>0</v>
      </c>
      <c r="K1197" s="246"/>
      <c r="L1197" s="246"/>
      <c r="M1197" s="249" t="str">
        <f t="shared" si="2"/>
        <v/>
      </c>
      <c r="N1197" s="266">
        <f t="shared" si="3"/>
        <v>0</v>
      </c>
      <c r="O1197" s="247"/>
      <c r="P1197" s="247"/>
      <c r="Q1197" s="247"/>
      <c r="R1197" s="247"/>
      <c r="S1197" s="247"/>
      <c r="T1197" s="247"/>
      <c r="U1197" s="247"/>
      <c r="V1197" s="247"/>
      <c r="W1197" s="247"/>
      <c r="X1197" s="247"/>
    </row>
    <row r="1198">
      <c r="A1198" s="274"/>
      <c r="B1198" s="274"/>
      <c r="C1198" s="274"/>
      <c r="D1198" s="283"/>
      <c r="E1198" s="274"/>
      <c r="F1198" s="279"/>
      <c r="G1198" s="278" t="str">
        <f>IFNA(IF(VLOOKUP(RC_OUT[BLOCK],RC_IN[[BLOCK]:[BLOCK LOC]],2,FALSE)=0,"",VLOOKUP(RC_OUT[BLOCK],RC_IN[[BLOCK]:[BLOCK LOC]],2,FALSE)),"")</f>
        <v/>
      </c>
      <c r="I1198" s="263" t="str">
        <f>IFERROR(AVERAGEIFS(RC_IN[MC],RC_IN[BLOCK],RC_OUT[BLOCK]),"")</f>
        <v/>
      </c>
      <c r="J1198" s="264">
        <f t="shared" si="1"/>
        <v>0</v>
      </c>
      <c r="K1198" s="246"/>
      <c r="L1198" s="246"/>
      <c r="M1198" s="249" t="str">
        <f t="shared" si="2"/>
        <v/>
      </c>
      <c r="N1198" s="266">
        <f t="shared" si="3"/>
        <v>0</v>
      </c>
      <c r="O1198" s="247"/>
      <c r="P1198" s="247"/>
      <c r="Q1198" s="247"/>
      <c r="R1198" s="247"/>
      <c r="S1198" s="247"/>
      <c r="T1198" s="247"/>
      <c r="U1198" s="247"/>
      <c r="V1198" s="247"/>
      <c r="W1198" s="247"/>
      <c r="X1198" s="247"/>
    </row>
    <row r="1199">
      <c r="A1199" s="273">
        <v>45931.0</v>
      </c>
      <c r="B1199" s="275" t="s">
        <v>1125</v>
      </c>
      <c r="C1199" s="275" t="s">
        <v>1324</v>
      </c>
      <c r="D1199" s="276">
        <v>23826.0</v>
      </c>
      <c r="E1199" s="275" t="s">
        <v>1017</v>
      </c>
      <c r="F1199" s="279"/>
      <c r="G1199" s="278" t="str">
        <f>IFNA(IF(VLOOKUP(RC_OUT[BLOCK],RC_IN[[BLOCK]:[BLOCK LOC]],2,FALSE)=0,"",VLOOKUP(RC_OUT[BLOCK],RC_IN[[BLOCK]:[BLOCK LOC]],2,FALSE)),"")</f>
        <v/>
      </c>
      <c r="I1199" s="263" t="str">
        <f>IFERROR(AVERAGEIFS(RC_IN[MC],RC_IN[BLOCK],RC_OUT[BLOCK]),"")</f>
        <v/>
      </c>
      <c r="J1199" s="264">
        <f t="shared" si="1"/>
        <v>0</v>
      </c>
      <c r="K1199" s="246"/>
      <c r="L1199" s="246"/>
      <c r="M1199" s="249" t="str">
        <f t="shared" si="2"/>
        <v/>
      </c>
      <c r="N1199" s="266">
        <f t="shared" si="3"/>
        <v>0</v>
      </c>
      <c r="O1199" s="247"/>
      <c r="P1199" s="247"/>
      <c r="Q1199" s="247"/>
      <c r="R1199" s="247"/>
      <c r="S1199" s="247"/>
      <c r="T1199" s="247"/>
      <c r="U1199" s="247"/>
      <c r="V1199" s="247"/>
      <c r="W1199" s="247"/>
      <c r="X1199" s="247"/>
    </row>
    <row r="1200">
      <c r="A1200" s="273">
        <v>45931.0</v>
      </c>
      <c r="B1200" s="275" t="s">
        <v>1125</v>
      </c>
      <c r="C1200" s="275" t="s">
        <v>1325</v>
      </c>
      <c r="D1200" s="276">
        <v>18569.0</v>
      </c>
      <c r="E1200" s="275" t="s">
        <v>1017</v>
      </c>
      <c r="F1200" s="279"/>
      <c r="G1200" s="278" t="str">
        <f>IFNA(IF(VLOOKUP(RC_OUT[BLOCK],RC_IN[[BLOCK]:[BLOCK LOC]],2,FALSE)=0,"",VLOOKUP(RC_OUT[BLOCK],RC_IN[[BLOCK]:[BLOCK LOC]],2,FALSE)),"")</f>
        <v/>
      </c>
      <c r="I1200" s="263" t="str">
        <f>IFERROR(AVERAGEIFS(RC_IN[MC],RC_IN[BLOCK],RC_OUT[BLOCK]),"")</f>
        <v/>
      </c>
      <c r="J1200" s="264">
        <f t="shared" si="1"/>
        <v>0</v>
      </c>
      <c r="K1200" s="246"/>
      <c r="L1200" s="246"/>
      <c r="M1200" s="249" t="str">
        <f t="shared" si="2"/>
        <v/>
      </c>
      <c r="N1200" s="266">
        <f t="shared" si="3"/>
        <v>0</v>
      </c>
      <c r="O1200" s="247"/>
      <c r="P1200" s="247"/>
      <c r="Q1200" s="247"/>
      <c r="R1200" s="247"/>
      <c r="S1200" s="247"/>
      <c r="T1200" s="247"/>
      <c r="U1200" s="247"/>
      <c r="V1200" s="247"/>
      <c r="W1200" s="247"/>
      <c r="X1200" s="247"/>
    </row>
    <row r="1201">
      <c r="A1201" s="273">
        <v>45931.0</v>
      </c>
      <c r="B1201" s="275" t="s">
        <v>1125</v>
      </c>
      <c r="C1201" s="275" t="s">
        <v>1326</v>
      </c>
      <c r="D1201" s="276">
        <v>2406.0</v>
      </c>
      <c r="E1201" s="275" t="s">
        <v>1017</v>
      </c>
      <c r="F1201" s="279"/>
      <c r="G1201" s="278" t="str">
        <f>IFNA(IF(VLOOKUP(RC_OUT[BLOCK],RC_IN[[BLOCK]:[BLOCK LOC]],2,FALSE)=0,"",VLOOKUP(RC_OUT[BLOCK],RC_IN[[BLOCK]:[BLOCK LOC]],2,FALSE)),"")</f>
        <v/>
      </c>
      <c r="I1201" s="263" t="str">
        <f>IFERROR(AVERAGEIFS(RC_IN[MC],RC_IN[BLOCK],RC_OUT[BLOCK]),"")</f>
        <v/>
      </c>
      <c r="J1201" s="264">
        <f t="shared" si="1"/>
        <v>0</v>
      </c>
      <c r="K1201" s="246"/>
      <c r="L1201" s="246"/>
      <c r="M1201" s="249" t="str">
        <f t="shared" si="2"/>
        <v/>
      </c>
      <c r="N1201" s="266">
        <f t="shared" si="3"/>
        <v>0</v>
      </c>
      <c r="O1201" s="247"/>
      <c r="P1201" s="247"/>
      <c r="Q1201" s="247"/>
      <c r="R1201" s="247"/>
      <c r="S1201" s="247"/>
      <c r="T1201" s="247"/>
      <c r="U1201" s="247"/>
      <c r="V1201" s="247"/>
      <c r="W1201" s="247"/>
      <c r="X1201" s="247"/>
    </row>
    <row r="1202">
      <c r="A1202" s="274"/>
      <c r="B1202" s="274"/>
      <c r="C1202" s="274"/>
      <c r="D1202" s="283"/>
      <c r="E1202" s="274"/>
      <c r="F1202" s="279"/>
      <c r="G1202" s="278" t="str">
        <f>IFNA(IF(VLOOKUP(RC_OUT[BLOCK],RC_IN[[BLOCK]:[BLOCK LOC]],2,FALSE)=0,"",VLOOKUP(RC_OUT[BLOCK],RC_IN[[BLOCK]:[BLOCK LOC]],2,FALSE)),"")</f>
        <v/>
      </c>
      <c r="I1202" s="263" t="str">
        <f>IFERROR(AVERAGEIFS(RC_IN[MC],RC_IN[BLOCK],RC_OUT[BLOCK]),"")</f>
        <v/>
      </c>
      <c r="J1202" s="264">
        <f t="shared" si="1"/>
        <v>0</v>
      </c>
      <c r="K1202" s="246"/>
      <c r="L1202" s="246"/>
      <c r="M1202" s="249" t="str">
        <f t="shared" si="2"/>
        <v/>
      </c>
      <c r="N1202" s="266">
        <f t="shared" si="3"/>
        <v>0</v>
      </c>
      <c r="O1202" s="247"/>
      <c r="P1202" s="247"/>
      <c r="Q1202" s="247"/>
      <c r="R1202" s="247"/>
      <c r="S1202" s="247"/>
      <c r="T1202" s="247"/>
      <c r="U1202" s="247"/>
      <c r="V1202" s="247"/>
      <c r="W1202" s="247"/>
      <c r="X1202" s="247"/>
    </row>
    <row r="1203">
      <c r="A1203" s="273">
        <v>45932.0</v>
      </c>
      <c r="B1203" s="275" t="s">
        <v>1125</v>
      </c>
      <c r="C1203" s="275" t="s">
        <v>1324</v>
      </c>
      <c r="D1203" s="276">
        <v>13745.0</v>
      </c>
      <c r="E1203" s="275" t="s">
        <v>1017</v>
      </c>
      <c r="F1203" s="279"/>
      <c r="G1203" s="278" t="str">
        <f>IFNA(IF(VLOOKUP(RC_OUT[BLOCK],RC_IN[[BLOCK]:[BLOCK LOC]],2,FALSE)=0,"",VLOOKUP(RC_OUT[BLOCK],RC_IN[[BLOCK]:[BLOCK LOC]],2,FALSE)),"")</f>
        <v/>
      </c>
      <c r="I1203" s="263" t="str">
        <f>IFERROR(AVERAGEIFS(RC_IN[MC],RC_IN[BLOCK],RC_OUT[BLOCK]),"")</f>
        <v/>
      </c>
      <c r="J1203" s="264">
        <f t="shared" si="1"/>
        <v>0</v>
      </c>
      <c r="K1203" s="246"/>
      <c r="L1203" s="246"/>
      <c r="M1203" s="249" t="str">
        <f t="shared" si="2"/>
        <v/>
      </c>
      <c r="N1203" s="266">
        <f t="shared" si="3"/>
        <v>0</v>
      </c>
      <c r="O1203" s="247"/>
      <c r="P1203" s="247"/>
      <c r="Q1203" s="247"/>
      <c r="R1203" s="247"/>
      <c r="S1203" s="247"/>
      <c r="T1203" s="247"/>
      <c r="U1203" s="247"/>
      <c r="V1203" s="247"/>
      <c r="W1203" s="247"/>
      <c r="X1203" s="247"/>
    </row>
    <row r="1204">
      <c r="A1204" s="273">
        <v>45932.0</v>
      </c>
      <c r="B1204" s="275" t="s">
        <v>1125</v>
      </c>
      <c r="C1204" s="275" t="s">
        <v>1325</v>
      </c>
      <c r="D1204" s="276">
        <v>18063.0</v>
      </c>
      <c r="E1204" s="275" t="s">
        <v>1017</v>
      </c>
      <c r="F1204" s="279"/>
      <c r="G1204" s="278" t="str">
        <f>IFNA(IF(VLOOKUP(RC_OUT[BLOCK],RC_IN[[BLOCK]:[BLOCK LOC]],2,FALSE)=0,"",VLOOKUP(RC_OUT[BLOCK],RC_IN[[BLOCK]:[BLOCK LOC]],2,FALSE)),"")</f>
        <v/>
      </c>
      <c r="I1204" s="263" t="str">
        <f>IFERROR(AVERAGEIFS(RC_IN[MC],RC_IN[BLOCK],RC_OUT[BLOCK]),"")</f>
        <v/>
      </c>
      <c r="J1204" s="264">
        <f t="shared" si="1"/>
        <v>0</v>
      </c>
      <c r="K1204" s="246"/>
      <c r="L1204" s="246"/>
      <c r="M1204" s="249" t="str">
        <f t="shared" si="2"/>
        <v/>
      </c>
      <c r="N1204" s="266">
        <f t="shared" si="3"/>
        <v>0</v>
      </c>
      <c r="O1204" s="247"/>
      <c r="P1204" s="247"/>
      <c r="Q1204" s="247"/>
      <c r="R1204" s="247"/>
      <c r="S1204" s="247"/>
      <c r="T1204" s="247"/>
      <c r="U1204" s="247"/>
      <c r="V1204" s="247"/>
      <c r="W1204" s="247"/>
      <c r="X1204" s="247"/>
    </row>
    <row r="1205">
      <c r="A1205" s="273">
        <v>45932.0</v>
      </c>
      <c r="B1205" s="275" t="s">
        <v>1125</v>
      </c>
      <c r="C1205" s="275" t="s">
        <v>1326</v>
      </c>
      <c r="D1205" s="276">
        <v>9507.0</v>
      </c>
      <c r="E1205" s="275" t="s">
        <v>1017</v>
      </c>
      <c r="F1205" s="279"/>
      <c r="G1205" s="278" t="str">
        <f>IFNA(IF(VLOOKUP(RC_OUT[BLOCK],RC_IN[[BLOCK]:[BLOCK LOC]],2,FALSE)=0,"",VLOOKUP(RC_OUT[BLOCK],RC_IN[[BLOCK]:[BLOCK LOC]],2,FALSE)),"")</f>
        <v/>
      </c>
      <c r="I1205" s="263" t="str">
        <f>IFERROR(AVERAGEIFS(RC_IN[MC],RC_IN[BLOCK],RC_OUT[BLOCK]),"")</f>
        <v/>
      </c>
      <c r="J1205" s="264">
        <f t="shared" si="1"/>
        <v>0</v>
      </c>
      <c r="K1205" s="246"/>
      <c r="L1205" s="246"/>
      <c r="M1205" s="249" t="str">
        <f t="shared" si="2"/>
        <v/>
      </c>
      <c r="N1205" s="266">
        <f t="shared" si="3"/>
        <v>0</v>
      </c>
      <c r="O1205" s="247"/>
      <c r="P1205" s="247"/>
      <c r="Q1205" s="247"/>
      <c r="R1205" s="247"/>
      <c r="S1205" s="247"/>
      <c r="T1205" s="247"/>
      <c r="U1205" s="247"/>
      <c r="V1205" s="247"/>
      <c r="W1205" s="247"/>
      <c r="X1205" s="247"/>
    </row>
    <row r="1206">
      <c r="A1206" s="273">
        <v>45932.0</v>
      </c>
      <c r="B1206" s="275" t="s">
        <v>1125</v>
      </c>
      <c r="C1206" s="275" t="s">
        <v>1327</v>
      </c>
      <c r="D1206" s="276">
        <v>1325.0</v>
      </c>
      <c r="E1206" s="275" t="s">
        <v>1017</v>
      </c>
      <c r="F1206" s="279"/>
      <c r="G1206" s="278" t="str">
        <f>IFNA(IF(VLOOKUP(RC_OUT[BLOCK],RC_IN[[BLOCK]:[BLOCK LOC]],2,FALSE)=0,"",VLOOKUP(RC_OUT[BLOCK],RC_IN[[BLOCK]:[BLOCK LOC]],2,FALSE)),"")</f>
        <v/>
      </c>
      <c r="I1206" s="263" t="str">
        <f>IFERROR(AVERAGEIFS(RC_IN[MC],RC_IN[BLOCK],RC_OUT[BLOCK]),"")</f>
        <v/>
      </c>
      <c r="J1206" s="264">
        <f t="shared" si="1"/>
        <v>0</v>
      </c>
      <c r="K1206" s="246"/>
      <c r="L1206" s="246"/>
      <c r="M1206" s="249" t="str">
        <f t="shared" si="2"/>
        <v/>
      </c>
      <c r="N1206" s="266">
        <f t="shared" si="3"/>
        <v>0</v>
      </c>
      <c r="O1206" s="247"/>
      <c r="P1206" s="247"/>
      <c r="Q1206" s="247"/>
      <c r="R1206" s="247"/>
      <c r="S1206" s="247"/>
      <c r="T1206" s="247"/>
      <c r="U1206" s="247"/>
      <c r="V1206" s="247"/>
      <c r="W1206" s="247"/>
      <c r="X1206" s="247"/>
    </row>
    <row r="1207">
      <c r="A1207" s="274"/>
      <c r="B1207" s="274"/>
      <c r="C1207" s="274"/>
      <c r="D1207" s="283"/>
      <c r="E1207" s="274"/>
      <c r="F1207" s="279"/>
      <c r="G1207" s="278" t="str">
        <f>IFNA(IF(VLOOKUP(RC_OUT[BLOCK],RC_IN[[BLOCK]:[BLOCK LOC]],2,FALSE)=0,"",VLOOKUP(RC_OUT[BLOCK],RC_IN[[BLOCK]:[BLOCK LOC]],2,FALSE)),"")</f>
        <v/>
      </c>
      <c r="I1207" s="263" t="str">
        <f>IFERROR(AVERAGEIFS(RC_IN[MC],RC_IN[BLOCK],RC_OUT[BLOCK]),"")</f>
        <v/>
      </c>
      <c r="J1207" s="264">
        <f t="shared" si="1"/>
        <v>0</v>
      </c>
      <c r="K1207" s="246"/>
      <c r="L1207" s="246"/>
      <c r="M1207" s="249" t="str">
        <f t="shared" si="2"/>
        <v/>
      </c>
      <c r="N1207" s="266">
        <f t="shared" si="3"/>
        <v>0</v>
      </c>
      <c r="O1207" s="247"/>
      <c r="P1207" s="247"/>
      <c r="Q1207" s="247"/>
      <c r="R1207" s="247"/>
      <c r="S1207" s="247"/>
      <c r="T1207" s="247"/>
      <c r="U1207" s="247"/>
      <c r="V1207" s="247"/>
      <c r="W1207" s="247"/>
      <c r="X1207" s="247"/>
    </row>
    <row r="1208">
      <c r="A1208" s="273">
        <v>45933.0</v>
      </c>
      <c r="B1208" s="275" t="s">
        <v>1125</v>
      </c>
      <c r="C1208" s="275" t="s">
        <v>1324</v>
      </c>
      <c r="D1208" s="276">
        <v>13598.0</v>
      </c>
      <c r="E1208" s="275" t="s">
        <v>1017</v>
      </c>
      <c r="F1208" s="279"/>
      <c r="G1208" s="278" t="str">
        <f>IFNA(IF(VLOOKUP(RC_OUT[BLOCK],RC_IN[[BLOCK]:[BLOCK LOC]],2,FALSE)=0,"",VLOOKUP(RC_OUT[BLOCK],RC_IN[[BLOCK]:[BLOCK LOC]],2,FALSE)),"")</f>
        <v/>
      </c>
      <c r="I1208" s="263" t="str">
        <f>IFERROR(AVERAGEIFS(RC_IN[MC],RC_IN[BLOCK],RC_OUT[BLOCK]),"")</f>
        <v/>
      </c>
      <c r="J1208" s="264">
        <f t="shared" si="1"/>
        <v>0</v>
      </c>
      <c r="K1208" s="246"/>
      <c r="L1208" s="246"/>
      <c r="M1208" s="249" t="str">
        <f t="shared" si="2"/>
        <v/>
      </c>
      <c r="N1208" s="266">
        <f t="shared" si="3"/>
        <v>0</v>
      </c>
      <c r="O1208" s="247"/>
      <c r="P1208" s="247"/>
      <c r="Q1208" s="247"/>
      <c r="R1208" s="247"/>
      <c r="S1208" s="247"/>
      <c r="T1208" s="247"/>
      <c r="U1208" s="247"/>
      <c r="V1208" s="247"/>
      <c r="W1208" s="247"/>
      <c r="X1208" s="247"/>
    </row>
    <row r="1209">
      <c r="A1209" s="273">
        <v>45933.0</v>
      </c>
      <c r="B1209" s="275" t="s">
        <v>1125</v>
      </c>
      <c r="C1209" s="275" t="s">
        <v>1325</v>
      </c>
      <c r="D1209" s="276">
        <v>8987.0</v>
      </c>
      <c r="E1209" s="275" t="s">
        <v>1017</v>
      </c>
      <c r="F1209" s="279"/>
      <c r="G1209" s="278" t="str">
        <f>IFNA(IF(VLOOKUP(RC_OUT[BLOCK],RC_IN[[BLOCK]:[BLOCK LOC]],2,FALSE)=0,"",VLOOKUP(RC_OUT[BLOCK],RC_IN[[BLOCK]:[BLOCK LOC]],2,FALSE)),"")</f>
        <v/>
      </c>
      <c r="I1209" s="263" t="str">
        <f>IFERROR(AVERAGEIFS(RC_IN[MC],RC_IN[BLOCK],RC_OUT[BLOCK]),"")</f>
        <v/>
      </c>
      <c r="J1209" s="264">
        <f t="shared" si="1"/>
        <v>0</v>
      </c>
      <c r="K1209" s="246"/>
      <c r="L1209" s="246"/>
      <c r="M1209" s="249" t="str">
        <f t="shared" si="2"/>
        <v/>
      </c>
      <c r="N1209" s="266">
        <f t="shared" si="3"/>
        <v>0</v>
      </c>
      <c r="O1209" s="247"/>
      <c r="P1209" s="247"/>
      <c r="Q1209" s="247"/>
      <c r="R1209" s="247"/>
      <c r="S1209" s="247"/>
      <c r="T1209" s="247"/>
      <c r="U1209" s="247"/>
      <c r="V1209" s="247"/>
      <c r="W1209" s="247"/>
      <c r="X1209" s="247"/>
    </row>
    <row r="1210">
      <c r="A1210" s="273">
        <v>45933.0</v>
      </c>
      <c r="B1210" s="275" t="s">
        <v>1125</v>
      </c>
      <c r="C1210" s="275" t="s">
        <v>1326</v>
      </c>
      <c r="D1210" s="276">
        <v>6357.0</v>
      </c>
      <c r="E1210" s="275" t="s">
        <v>1017</v>
      </c>
      <c r="F1210" s="279"/>
      <c r="G1210" s="278" t="str">
        <f>IFNA(IF(VLOOKUP(RC_OUT[BLOCK],RC_IN[[BLOCK]:[BLOCK LOC]],2,FALSE)=0,"",VLOOKUP(RC_OUT[BLOCK],RC_IN[[BLOCK]:[BLOCK LOC]],2,FALSE)),"")</f>
        <v/>
      </c>
      <c r="I1210" s="263" t="str">
        <f>IFERROR(AVERAGEIFS(RC_IN[MC],RC_IN[BLOCK],RC_OUT[BLOCK]),"")</f>
        <v/>
      </c>
      <c r="J1210" s="264">
        <f t="shared" si="1"/>
        <v>0</v>
      </c>
      <c r="K1210" s="246"/>
      <c r="L1210" s="246"/>
      <c r="M1210" s="249" t="str">
        <f t="shared" si="2"/>
        <v/>
      </c>
      <c r="N1210" s="266">
        <f t="shared" si="3"/>
        <v>0</v>
      </c>
      <c r="O1210" s="247"/>
      <c r="P1210" s="247"/>
      <c r="Q1210" s="247"/>
      <c r="R1210" s="247"/>
      <c r="S1210" s="247"/>
      <c r="T1210" s="247"/>
      <c r="U1210" s="247"/>
      <c r="V1210" s="247"/>
      <c r="W1210" s="247"/>
      <c r="X1210" s="247"/>
    </row>
    <row r="1211">
      <c r="A1211" s="273">
        <v>45933.0</v>
      </c>
      <c r="B1211" s="275" t="s">
        <v>1125</v>
      </c>
      <c r="C1211" s="275" t="s">
        <v>1327</v>
      </c>
      <c r="D1211" s="276">
        <v>1500.0</v>
      </c>
      <c r="E1211" s="275" t="s">
        <v>1017</v>
      </c>
      <c r="F1211" s="279"/>
      <c r="G1211" s="278" t="str">
        <f>IFNA(IF(VLOOKUP(RC_OUT[BLOCK],RC_IN[[BLOCK]:[BLOCK LOC]],2,FALSE)=0,"",VLOOKUP(RC_OUT[BLOCK],RC_IN[[BLOCK]:[BLOCK LOC]],2,FALSE)),"")</f>
        <v/>
      </c>
      <c r="I1211" s="263" t="str">
        <f>IFERROR(AVERAGEIFS(RC_IN[MC],RC_IN[BLOCK],RC_OUT[BLOCK]),"")</f>
        <v/>
      </c>
      <c r="J1211" s="264">
        <f t="shared" si="1"/>
        <v>0</v>
      </c>
      <c r="K1211" s="246"/>
      <c r="L1211" s="246"/>
      <c r="M1211" s="249" t="str">
        <f t="shared" si="2"/>
        <v/>
      </c>
      <c r="N1211" s="266">
        <f t="shared" si="3"/>
        <v>0</v>
      </c>
      <c r="O1211" s="247"/>
      <c r="P1211" s="247"/>
      <c r="Q1211" s="247"/>
      <c r="R1211" s="247"/>
      <c r="S1211" s="247"/>
      <c r="T1211" s="247"/>
      <c r="U1211" s="247"/>
      <c r="V1211" s="247"/>
      <c r="W1211" s="247"/>
      <c r="X1211" s="247"/>
    </row>
    <row r="1212">
      <c r="A1212" s="274"/>
      <c r="B1212" s="274"/>
      <c r="C1212" s="274"/>
      <c r="D1212" s="283"/>
      <c r="E1212" s="274"/>
      <c r="F1212" s="279"/>
      <c r="G1212" s="278" t="str">
        <f>IFNA(IF(VLOOKUP(RC_OUT[BLOCK],RC_IN[[BLOCK]:[BLOCK LOC]],2,FALSE)=0,"",VLOOKUP(RC_OUT[BLOCK],RC_IN[[BLOCK]:[BLOCK LOC]],2,FALSE)),"")</f>
        <v/>
      </c>
      <c r="I1212" s="263" t="str">
        <f>IFERROR(AVERAGEIFS(RC_IN[MC],RC_IN[BLOCK],RC_OUT[BLOCK]),"")</f>
        <v/>
      </c>
      <c r="J1212" s="264">
        <f t="shared" si="1"/>
        <v>0</v>
      </c>
      <c r="K1212" s="246"/>
      <c r="L1212" s="246"/>
      <c r="M1212" s="249" t="str">
        <f t="shared" si="2"/>
        <v/>
      </c>
      <c r="N1212" s="266">
        <f t="shared" si="3"/>
        <v>0</v>
      </c>
      <c r="O1212" s="247"/>
      <c r="P1212" s="247"/>
      <c r="Q1212" s="247"/>
      <c r="R1212" s="247"/>
      <c r="S1212" s="247"/>
      <c r="T1212" s="247"/>
      <c r="U1212" s="247"/>
      <c r="V1212" s="247"/>
      <c r="W1212" s="247"/>
      <c r="X1212" s="247"/>
    </row>
    <row r="1213">
      <c r="A1213" s="273">
        <v>45934.0</v>
      </c>
      <c r="B1213" s="275" t="s">
        <v>1125</v>
      </c>
      <c r="C1213" s="275" t="s">
        <v>1324</v>
      </c>
      <c r="D1213" s="276">
        <v>5065.0</v>
      </c>
      <c r="E1213" s="275" t="s">
        <v>1017</v>
      </c>
      <c r="F1213" s="277" t="s">
        <v>1059</v>
      </c>
      <c r="G1213" s="278" t="str">
        <f>IFNA(IF(VLOOKUP(RC_OUT[BLOCK],RC_IN[[BLOCK]:[BLOCK LOC]],2,FALSE)=0,"",VLOOKUP(RC_OUT[BLOCK],RC_IN[[BLOCK]:[BLOCK LOC]],2,FALSE)),"")</f>
        <v/>
      </c>
      <c r="I1213" s="263" t="str">
        <f>IFERROR(AVERAGEIFS(RC_IN[MC],RC_IN[BLOCK],RC_OUT[BLOCK]),"")</f>
        <v/>
      </c>
      <c r="J1213" s="264">
        <f t="shared" si="1"/>
        <v>0</v>
      </c>
      <c r="K1213" s="246"/>
      <c r="L1213" s="246"/>
      <c r="M1213" s="249" t="str">
        <f t="shared" si="2"/>
        <v/>
      </c>
      <c r="N1213" s="266">
        <f t="shared" si="3"/>
        <v>0</v>
      </c>
      <c r="O1213" s="247"/>
      <c r="P1213" s="247"/>
      <c r="Q1213" s="247"/>
      <c r="R1213" s="247"/>
      <c r="S1213" s="247"/>
      <c r="T1213" s="247"/>
      <c r="U1213" s="247"/>
      <c r="V1213" s="247"/>
      <c r="W1213" s="247"/>
      <c r="X1213" s="247"/>
    </row>
    <row r="1214">
      <c r="A1214" s="273">
        <v>45934.0</v>
      </c>
      <c r="B1214" s="275" t="s">
        <v>1125</v>
      </c>
      <c r="C1214" s="275" t="s">
        <v>1325</v>
      </c>
      <c r="D1214" s="276">
        <v>13011.0</v>
      </c>
      <c r="E1214" s="275" t="s">
        <v>1017</v>
      </c>
      <c r="F1214" s="277" t="s">
        <v>1059</v>
      </c>
      <c r="G1214" s="278" t="str">
        <f>IFNA(IF(VLOOKUP(RC_OUT[BLOCK],RC_IN[[BLOCK]:[BLOCK LOC]],2,FALSE)=0,"",VLOOKUP(RC_OUT[BLOCK],RC_IN[[BLOCK]:[BLOCK LOC]],2,FALSE)),"")</f>
        <v/>
      </c>
      <c r="I1214" s="263" t="str">
        <f>IFERROR(AVERAGEIFS(RC_IN[MC],RC_IN[BLOCK],RC_OUT[BLOCK]),"")</f>
        <v/>
      </c>
      <c r="J1214" s="264">
        <f t="shared" si="1"/>
        <v>0</v>
      </c>
      <c r="K1214" s="246"/>
      <c r="L1214" s="246"/>
      <c r="M1214" s="249" t="str">
        <f t="shared" si="2"/>
        <v/>
      </c>
      <c r="N1214" s="266">
        <f t="shared" si="3"/>
        <v>0</v>
      </c>
      <c r="O1214" s="247"/>
      <c r="P1214" s="247"/>
      <c r="Q1214" s="247"/>
      <c r="R1214" s="247"/>
      <c r="S1214" s="247"/>
      <c r="T1214" s="247"/>
      <c r="U1214" s="247"/>
      <c r="V1214" s="247"/>
      <c r="W1214" s="247"/>
      <c r="X1214" s="247"/>
    </row>
    <row r="1215">
      <c r="A1215" s="273">
        <v>45934.0</v>
      </c>
      <c r="B1215" s="275" t="s">
        <v>1125</v>
      </c>
      <c r="C1215" s="275" t="s">
        <v>1326</v>
      </c>
      <c r="D1215" s="276">
        <v>13547.0</v>
      </c>
      <c r="E1215" s="275" t="s">
        <v>1017</v>
      </c>
      <c r="F1215" s="279"/>
      <c r="G1215" s="278" t="str">
        <f>IFNA(IF(VLOOKUP(RC_OUT[BLOCK],RC_IN[[BLOCK]:[BLOCK LOC]],2,FALSE)=0,"",VLOOKUP(RC_OUT[BLOCK],RC_IN[[BLOCK]:[BLOCK LOC]],2,FALSE)),"")</f>
        <v/>
      </c>
      <c r="I1215" s="263" t="str">
        <f>IFERROR(AVERAGEIFS(RC_IN[MC],RC_IN[BLOCK],RC_OUT[BLOCK]),"")</f>
        <v/>
      </c>
      <c r="J1215" s="264">
        <f t="shared" si="1"/>
        <v>0</v>
      </c>
      <c r="K1215" s="246"/>
      <c r="L1215" s="246"/>
      <c r="M1215" s="249" t="str">
        <f t="shared" si="2"/>
        <v/>
      </c>
      <c r="N1215" s="266">
        <f t="shared" si="3"/>
        <v>0</v>
      </c>
      <c r="O1215" s="247"/>
      <c r="P1215" s="247"/>
      <c r="Q1215" s="247"/>
      <c r="R1215" s="247"/>
      <c r="S1215" s="247"/>
      <c r="T1215" s="247"/>
      <c r="U1215" s="247"/>
      <c r="V1215" s="247"/>
      <c r="W1215" s="247"/>
      <c r="X1215" s="247"/>
    </row>
    <row r="1216">
      <c r="A1216" s="273">
        <v>45934.0</v>
      </c>
      <c r="B1216" s="275" t="s">
        <v>1125</v>
      </c>
      <c r="C1216" s="275" t="s">
        <v>1327</v>
      </c>
      <c r="D1216" s="276">
        <v>1067.0</v>
      </c>
      <c r="E1216" s="275" t="s">
        <v>1017</v>
      </c>
      <c r="F1216" s="279"/>
      <c r="G1216" s="278" t="str">
        <f>IFNA(IF(VLOOKUP(RC_OUT[BLOCK],RC_IN[[BLOCK]:[BLOCK LOC]],2,FALSE)=0,"",VLOOKUP(RC_OUT[BLOCK],RC_IN[[BLOCK]:[BLOCK LOC]],2,FALSE)),"")</f>
        <v/>
      </c>
      <c r="I1216" s="263" t="str">
        <f>IFERROR(AVERAGEIFS(RC_IN[MC],RC_IN[BLOCK],RC_OUT[BLOCK]),"")</f>
        <v/>
      </c>
      <c r="J1216" s="264">
        <f t="shared" si="1"/>
        <v>0</v>
      </c>
      <c r="K1216" s="246"/>
      <c r="L1216" s="246"/>
      <c r="M1216" s="249" t="str">
        <f t="shared" si="2"/>
        <v/>
      </c>
      <c r="N1216" s="266">
        <f t="shared" si="3"/>
        <v>0</v>
      </c>
      <c r="O1216" s="247"/>
      <c r="P1216" s="247"/>
      <c r="Q1216" s="247"/>
      <c r="R1216" s="247"/>
      <c r="S1216" s="247"/>
      <c r="T1216" s="247"/>
      <c r="U1216" s="247"/>
      <c r="V1216" s="247"/>
      <c r="W1216" s="247"/>
      <c r="X1216" s="247"/>
    </row>
    <row r="1217">
      <c r="A1217" s="273">
        <v>45934.0</v>
      </c>
      <c r="B1217" s="275" t="s">
        <v>1125</v>
      </c>
      <c r="C1217" s="275" t="s">
        <v>1328</v>
      </c>
      <c r="D1217" s="276">
        <v>4438.0</v>
      </c>
      <c r="E1217" s="275" t="s">
        <v>1017</v>
      </c>
      <c r="F1217" s="279"/>
      <c r="G1217" s="278" t="str">
        <f>IFNA(IF(VLOOKUP(RC_OUT[BLOCK],RC_IN[[BLOCK]:[BLOCK LOC]],2,FALSE)=0,"",VLOOKUP(RC_OUT[BLOCK],RC_IN[[BLOCK]:[BLOCK LOC]],2,FALSE)),"")</f>
        <v/>
      </c>
      <c r="I1217" s="263" t="str">
        <f>IFERROR(AVERAGEIFS(RC_IN[MC],RC_IN[BLOCK],RC_OUT[BLOCK]),"")</f>
        <v/>
      </c>
      <c r="J1217" s="264">
        <f t="shared" si="1"/>
        <v>0</v>
      </c>
      <c r="K1217" s="246"/>
      <c r="L1217" s="246"/>
      <c r="M1217" s="249" t="str">
        <f t="shared" si="2"/>
        <v/>
      </c>
      <c r="N1217" s="266">
        <f t="shared" si="3"/>
        <v>0</v>
      </c>
      <c r="O1217" s="247"/>
      <c r="P1217" s="247"/>
      <c r="Q1217" s="247"/>
      <c r="R1217" s="247"/>
      <c r="S1217" s="247"/>
      <c r="T1217" s="247"/>
      <c r="U1217" s="247"/>
      <c r="V1217" s="247"/>
      <c r="W1217" s="247"/>
      <c r="X1217" s="247"/>
    </row>
    <row r="1218">
      <c r="A1218" s="274"/>
      <c r="B1218" s="274"/>
      <c r="C1218" s="274"/>
      <c r="D1218" s="283"/>
      <c r="E1218" s="274"/>
      <c r="F1218" s="279"/>
      <c r="G1218" s="278" t="str">
        <f>IFNA(IF(VLOOKUP(RC_OUT[BLOCK],RC_IN[[BLOCK]:[BLOCK LOC]],2,FALSE)=0,"",VLOOKUP(RC_OUT[BLOCK],RC_IN[[BLOCK]:[BLOCK LOC]],2,FALSE)),"")</f>
        <v/>
      </c>
      <c r="I1218" s="263" t="str">
        <f>IFERROR(AVERAGEIFS(RC_IN[MC],RC_IN[BLOCK],RC_OUT[BLOCK]),"")</f>
        <v/>
      </c>
      <c r="J1218" s="264">
        <f t="shared" si="1"/>
        <v>0</v>
      </c>
      <c r="K1218" s="246"/>
      <c r="L1218" s="246"/>
      <c r="M1218" s="249" t="str">
        <f t="shared" si="2"/>
        <v/>
      </c>
      <c r="N1218" s="266">
        <f t="shared" si="3"/>
        <v>0</v>
      </c>
      <c r="O1218" s="247"/>
      <c r="P1218" s="247"/>
      <c r="Q1218" s="247"/>
      <c r="R1218" s="247"/>
      <c r="S1218" s="247"/>
      <c r="T1218" s="247"/>
      <c r="U1218" s="247"/>
      <c r="V1218" s="247"/>
      <c r="W1218" s="247"/>
      <c r="X1218" s="247"/>
    </row>
    <row r="1219">
      <c r="A1219" s="273">
        <v>45936.0</v>
      </c>
      <c r="B1219" s="275" t="s">
        <v>1125</v>
      </c>
      <c r="C1219" s="275" t="s">
        <v>1326</v>
      </c>
      <c r="D1219" s="276">
        <v>20781.0</v>
      </c>
      <c r="E1219" s="275" t="s">
        <v>1017</v>
      </c>
      <c r="F1219" s="279"/>
      <c r="G1219" s="278" t="str">
        <f>IFNA(IF(VLOOKUP(RC_OUT[BLOCK],RC_IN[[BLOCK]:[BLOCK LOC]],2,FALSE)=0,"",VLOOKUP(RC_OUT[BLOCK],RC_IN[[BLOCK]:[BLOCK LOC]],2,FALSE)),"")</f>
        <v/>
      </c>
      <c r="I1219" s="263" t="str">
        <f>IFERROR(AVERAGEIFS(RC_IN[MC],RC_IN[BLOCK],RC_OUT[BLOCK]),"")</f>
        <v/>
      </c>
      <c r="J1219" s="264">
        <f t="shared" si="1"/>
        <v>0</v>
      </c>
      <c r="K1219" s="246"/>
      <c r="L1219" s="246"/>
      <c r="M1219" s="249" t="str">
        <f t="shared" si="2"/>
        <v/>
      </c>
      <c r="N1219" s="266">
        <f t="shared" si="3"/>
        <v>0</v>
      </c>
      <c r="O1219" s="247"/>
      <c r="P1219" s="247"/>
      <c r="Q1219" s="247"/>
      <c r="R1219" s="247"/>
      <c r="S1219" s="247"/>
      <c r="T1219" s="247"/>
      <c r="U1219" s="247"/>
      <c r="V1219" s="247"/>
      <c r="W1219" s="247"/>
      <c r="X1219" s="247"/>
    </row>
    <row r="1220">
      <c r="A1220" s="273">
        <v>45936.0</v>
      </c>
      <c r="B1220" s="275" t="s">
        <v>1125</v>
      </c>
      <c r="C1220" s="275" t="s">
        <v>1327</v>
      </c>
      <c r="D1220" s="276">
        <v>2000.0</v>
      </c>
      <c r="E1220" s="275" t="s">
        <v>1017</v>
      </c>
      <c r="F1220" s="279"/>
      <c r="G1220" s="278" t="str">
        <f>IFNA(IF(VLOOKUP(RC_OUT[BLOCK],RC_IN[[BLOCK]:[BLOCK LOC]],2,FALSE)=0,"",VLOOKUP(RC_OUT[BLOCK],RC_IN[[BLOCK]:[BLOCK LOC]],2,FALSE)),"")</f>
        <v/>
      </c>
      <c r="I1220" s="263" t="str">
        <f>IFERROR(AVERAGEIFS(RC_IN[MC],RC_IN[BLOCK],RC_OUT[BLOCK]),"")</f>
        <v/>
      </c>
      <c r="J1220" s="264">
        <f t="shared" si="1"/>
        <v>0</v>
      </c>
      <c r="K1220" s="246"/>
      <c r="L1220" s="246"/>
      <c r="M1220" s="249" t="str">
        <f t="shared" si="2"/>
        <v/>
      </c>
      <c r="N1220" s="266">
        <f t="shared" si="3"/>
        <v>0</v>
      </c>
      <c r="O1220" s="247"/>
      <c r="P1220" s="247"/>
      <c r="Q1220" s="247"/>
      <c r="R1220" s="247"/>
      <c r="S1220" s="247"/>
      <c r="T1220" s="247"/>
      <c r="U1220" s="247"/>
      <c r="V1220" s="247"/>
      <c r="W1220" s="247"/>
      <c r="X1220" s="247"/>
    </row>
    <row r="1221">
      <c r="A1221" s="273">
        <v>45936.0</v>
      </c>
      <c r="B1221" s="275" t="s">
        <v>1125</v>
      </c>
      <c r="C1221" s="275" t="s">
        <v>1328</v>
      </c>
      <c r="D1221" s="276">
        <v>22333.0</v>
      </c>
      <c r="E1221" s="275" t="s">
        <v>1017</v>
      </c>
      <c r="F1221" s="279"/>
      <c r="G1221" s="278" t="str">
        <f>IFNA(IF(VLOOKUP(RC_OUT[BLOCK],RC_IN[[BLOCK]:[BLOCK LOC]],2,FALSE)=0,"",VLOOKUP(RC_OUT[BLOCK],RC_IN[[BLOCK]:[BLOCK LOC]],2,FALSE)),"")</f>
        <v/>
      </c>
      <c r="I1221" s="263" t="str">
        <f>IFERROR(AVERAGEIFS(RC_IN[MC],RC_IN[BLOCK],RC_OUT[BLOCK]),"")</f>
        <v/>
      </c>
      <c r="J1221" s="264">
        <f t="shared" si="1"/>
        <v>0</v>
      </c>
      <c r="K1221" s="246"/>
      <c r="L1221" s="246"/>
      <c r="M1221" s="249" t="str">
        <f t="shared" si="2"/>
        <v/>
      </c>
      <c r="N1221" s="266">
        <f t="shared" si="3"/>
        <v>0</v>
      </c>
      <c r="O1221" s="247"/>
      <c r="P1221" s="247"/>
      <c r="Q1221" s="247"/>
      <c r="R1221" s="247"/>
      <c r="S1221" s="247"/>
      <c r="T1221" s="247"/>
      <c r="U1221" s="247"/>
      <c r="V1221" s="247"/>
      <c r="W1221" s="247"/>
      <c r="X1221" s="247"/>
    </row>
    <row r="1222">
      <c r="A1222" s="274"/>
      <c r="B1222" s="274"/>
      <c r="C1222" s="274"/>
      <c r="D1222" s="283"/>
      <c r="E1222" s="274"/>
      <c r="F1222" s="279"/>
      <c r="G1222" s="278" t="str">
        <f>IFNA(IF(VLOOKUP(RC_OUT[BLOCK],RC_IN[[BLOCK]:[BLOCK LOC]],2,FALSE)=0,"",VLOOKUP(RC_OUT[BLOCK],RC_IN[[BLOCK]:[BLOCK LOC]],2,FALSE)),"")</f>
        <v/>
      </c>
      <c r="I1222" s="263" t="str">
        <f>IFERROR(AVERAGEIFS(RC_IN[MC],RC_IN[BLOCK],RC_OUT[BLOCK]),"")</f>
        <v/>
      </c>
      <c r="J1222" s="264">
        <f t="shared" si="1"/>
        <v>0</v>
      </c>
      <c r="K1222" s="246"/>
      <c r="L1222" s="246"/>
      <c r="M1222" s="249" t="str">
        <f t="shared" si="2"/>
        <v/>
      </c>
      <c r="N1222" s="266">
        <f t="shared" si="3"/>
        <v>0</v>
      </c>
      <c r="O1222" s="247"/>
      <c r="P1222" s="247"/>
      <c r="Q1222" s="247"/>
      <c r="R1222" s="247"/>
      <c r="S1222" s="247"/>
      <c r="T1222" s="247"/>
      <c r="U1222" s="247"/>
      <c r="V1222" s="247"/>
      <c r="W1222" s="247"/>
      <c r="X1222" s="247"/>
    </row>
    <row r="1223">
      <c r="A1223" s="273">
        <v>45937.0</v>
      </c>
      <c r="B1223" s="275" t="s">
        <v>1125</v>
      </c>
      <c r="C1223" s="275" t="s">
        <v>1326</v>
      </c>
      <c r="D1223" s="276">
        <v>15860.0</v>
      </c>
      <c r="E1223" s="275" t="s">
        <v>1017</v>
      </c>
      <c r="F1223" s="277" t="s">
        <v>1059</v>
      </c>
      <c r="G1223" s="278" t="str">
        <f>IFNA(IF(VLOOKUP(RC_OUT[BLOCK],RC_IN[[BLOCK]:[BLOCK LOC]],2,FALSE)=0,"",VLOOKUP(RC_OUT[BLOCK],RC_IN[[BLOCK]:[BLOCK LOC]],2,FALSE)),"")</f>
        <v/>
      </c>
      <c r="I1223" s="263" t="str">
        <f>IFERROR(AVERAGEIFS(RC_IN[MC],RC_IN[BLOCK],RC_OUT[BLOCK]),"")</f>
        <v/>
      </c>
      <c r="J1223" s="264">
        <f t="shared" si="1"/>
        <v>0</v>
      </c>
      <c r="K1223" s="246"/>
      <c r="L1223" s="246"/>
      <c r="M1223" s="249" t="str">
        <f t="shared" si="2"/>
        <v/>
      </c>
      <c r="N1223" s="266">
        <f t="shared" si="3"/>
        <v>0</v>
      </c>
      <c r="O1223" s="247"/>
      <c r="P1223" s="247"/>
      <c r="Q1223" s="247"/>
      <c r="R1223" s="247"/>
      <c r="S1223" s="247"/>
      <c r="T1223" s="247"/>
      <c r="U1223" s="247"/>
      <c r="V1223" s="247"/>
      <c r="W1223" s="247"/>
      <c r="X1223" s="247"/>
    </row>
    <row r="1224">
      <c r="A1224" s="273">
        <v>45937.0</v>
      </c>
      <c r="B1224" s="275" t="s">
        <v>1125</v>
      </c>
      <c r="C1224" s="275" t="s">
        <v>1327</v>
      </c>
      <c r="D1224" s="276">
        <v>2000.0</v>
      </c>
      <c r="E1224" s="275" t="s">
        <v>1017</v>
      </c>
      <c r="F1224" s="279"/>
      <c r="G1224" s="278" t="str">
        <f>IFNA(IF(VLOOKUP(RC_OUT[BLOCK],RC_IN[[BLOCK]:[BLOCK LOC]],2,FALSE)=0,"",VLOOKUP(RC_OUT[BLOCK],RC_IN[[BLOCK]:[BLOCK LOC]],2,FALSE)),"")</f>
        <v/>
      </c>
      <c r="I1224" s="263" t="str">
        <f>IFERROR(AVERAGEIFS(RC_IN[MC],RC_IN[BLOCK],RC_OUT[BLOCK]),"")</f>
        <v/>
      </c>
      <c r="J1224" s="264">
        <f t="shared" si="1"/>
        <v>0</v>
      </c>
      <c r="K1224" s="246"/>
      <c r="L1224" s="246"/>
      <c r="M1224" s="249" t="str">
        <f t="shared" si="2"/>
        <v/>
      </c>
      <c r="N1224" s="266">
        <f t="shared" si="3"/>
        <v>0</v>
      </c>
      <c r="O1224" s="247"/>
      <c r="P1224" s="247"/>
      <c r="Q1224" s="247"/>
      <c r="R1224" s="247"/>
      <c r="S1224" s="247"/>
      <c r="T1224" s="247"/>
      <c r="U1224" s="247"/>
      <c r="V1224" s="247"/>
      <c r="W1224" s="247"/>
      <c r="X1224" s="247"/>
    </row>
    <row r="1225">
      <c r="A1225" s="273">
        <v>45937.0</v>
      </c>
      <c r="B1225" s="275" t="s">
        <v>1125</v>
      </c>
      <c r="C1225" s="275" t="s">
        <v>1328</v>
      </c>
      <c r="D1225" s="276">
        <v>18920.0</v>
      </c>
      <c r="E1225" s="275" t="s">
        <v>1017</v>
      </c>
      <c r="F1225" s="279"/>
      <c r="G1225" s="278" t="str">
        <f>IFNA(IF(VLOOKUP(RC_OUT[BLOCK],RC_IN[[BLOCK]:[BLOCK LOC]],2,FALSE)=0,"",VLOOKUP(RC_OUT[BLOCK],RC_IN[[BLOCK]:[BLOCK LOC]],2,FALSE)),"")</f>
        <v/>
      </c>
      <c r="I1225" s="263" t="str">
        <f>IFERROR(AVERAGEIFS(RC_IN[MC],RC_IN[BLOCK],RC_OUT[BLOCK]),"")</f>
        <v/>
      </c>
      <c r="J1225" s="264">
        <f t="shared" si="1"/>
        <v>0</v>
      </c>
      <c r="K1225" s="246"/>
      <c r="L1225" s="246"/>
      <c r="M1225" s="249" t="str">
        <f t="shared" si="2"/>
        <v/>
      </c>
      <c r="N1225" s="266">
        <f t="shared" si="3"/>
        <v>0</v>
      </c>
      <c r="O1225" s="247"/>
      <c r="P1225" s="247"/>
      <c r="Q1225" s="247"/>
      <c r="R1225" s="247"/>
      <c r="S1225" s="247"/>
      <c r="T1225" s="247"/>
      <c r="U1225" s="247"/>
      <c r="V1225" s="247"/>
      <c r="W1225" s="247"/>
      <c r="X1225" s="247"/>
    </row>
    <row r="1226">
      <c r="A1226" s="273">
        <v>45937.0</v>
      </c>
      <c r="B1226" s="275" t="s">
        <v>1125</v>
      </c>
      <c r="C1226" s="275" t="s">
        <v>1329</v>
      </c>
      <c r="D1226" s="276">
        <v>5419.0</v>
      </c>
      <c r="E1226" s="275" t="s">
        <v>1017</v>
      </c>
      <c r="F1226" s="279"/>
      <c r="G1226" s="278" t="str">
        <f>IFNA(IF(VLOOKUP(RC_OUT[BLOCK],RC_IN[[BLOCK]:[BLOCK LOC]],2,FALSE)=0,"",VLOOKUP(RC_OUT[BLOCK],RC_IN[[BLOCK]:[BLOCK LOC]],2,FALSE)),"")</f>
        <v/>
      </c>
      <c r="I1226" s="263" t="str">
        <f>IFERROR(AVERAGEIFS(RC_IN[MC],RC_IN[BLOCK],RC_OUT[BLOCK]),"")</f>
        <v/>
      </c>
      <c r="J1226" s="264">
        <f t="shared" si="1"/>
        <v>0</v>
      </c>
      <c r="K1226" s="246"/>
      <c r="L1226" s="246"/>
      <c r="M1226" s="249" t="str">
        <f t="shared" si="2"/>
        <v/>
      </c>
      <c r="N1226" s="266">
        <f t="shared" si="3"/>
        <v>0</v>
      </c>
      <c r="O1226" s="247"/>
      <c r="P1226" s="247"/>
      <c r="Q1226" s="247"/>
      <c r="R1226" s="247"/>
      <c r="S1226" s="247"/>
      <c r="T1226" s="247"/>
      <c r="U1226" s="247"/>
      <c r="V1226" s="247"/>
      <c r="W1226" s="247"/>
      <c r="X1226" s="247"/>
    </row>
    <row r="1227">
      <c r="A1227" s="274"/>
      <c r="B1227" s="274"/>
      <c r="C1227" s="274"/>
      <c r="D1227" s="283"/>
      <c r="E1227" s="274"/>
      <c r="F1227" s="279"/>
      <c r="G1227" s="278" t="str">
        <f>IFNA(IF(VLOOKUP(RC_OUT[BLOCK],RC_IN[[BLOCK]:[BLOCK LOC]],2,FALSE)=0,"",VLOOKUP(RC_OUT[BLOCK],RC_IN[[BLOCK]:[BLOCK LOC]],2,FALSE)),"")</f>
        <v/>
      </c>
      <c r="I1227" s="263" t="str">
        <f>IFERROR(AVERAGEIFS(RC_IN[MC],RC_IN[BLOCK],RC_OUT[BLOCK]),"")</f>
        <v/>
      </c>
      <c r="J1227" s="264">
        <f t="shared" si="1"/>
        <v>0</v>
      </c>
      <c r="K1227" s="246"/>
      <c r="L1227" s="246"/>
      <c r="M1227" s="249" t="str">
        <f t="shared" si="2"/>
        <v/>
      </c>
      <c r="N1227" s="266">
        <f t="shared" si="3"/>
        <v>0</v>
      </c>
      <c r="O1227" s="247"/>
      <c r="P1227" s="247"/>
      <c r="Q1227" s="247"/>
      <c r="R1227" s="247"/>
      <c r="S1227" s="247"/>
      <c r="T1227" s="247"/>
      <c r="U1227" s="247"/>
      <c r="V1227" s="247"/>
      <c r="W1227" s="247"/>
      <c r="X1227" s="247"/>
    </row>
    <row r="1228">
      <c r="A1228" s="273">
        <v>45938.0</v>
      </c>
      <c r="B1228" s="275" t="s">
        <v>1125</v>
      </c>
      <c r="C1228" s="275" t="s">
        <v>1327</v>
      </c>
      <c r="D1228" s="276">
        <v>2000.0</v>
      </c>
      <c r="E1228" s="275" t="s">
        <v>1017</v>
      </c>
      <c r="F1228" s="279"/>
      <c r="G1228" s="278" t="str">
        <f>IFNA(IF(VLOOKUP(RC_OUT[BLOCK],RC_IN[[BLOCK]:[BLOCK LOC]],2,FALSE)=0,"",VLOOKUP(RC_OUT[BLOCK],RC_IN[[BLOCK]:[BLOCK LOC]],2,FALSE)),"")</f>
        <v/>
      </c>
      <c r="I1228" s="263" t="str">
        <f>IFERROR(AVERAGEIFS(RC_IN[MC],RC_IN[BLOCK],RC_OUT[BLOCK]),"")</f>
        <v/>
      </c>
      <c r="J1228" s="264">
        <f t="shared" si="1"/>
        <v>0</v>
      </c>
      <c r="K1228" s="246"/>
      <c r="L1228" s="246"/>
      <c r="M1228" s="249" t="str">
        <f t="shared" si="2"/>
        <v/>
      </c>
      <c r="N1228" s="266">
        <f t="shared" si="3"/>
        <v>0</v>
      </c>
      <c r="O1228" s="247"/>
      <c r="P1228" s="247"/>
      <c r="Q1228" s="247"/>
      <c r="R1228" s="247"/>
      <c r="S1228" s="247"/>
      <c r="T1228" s="247"/>
      <c r="U1228" s="247"/>
      <c r="V1228" s="247"/>
      <c r="W1228" s="247"/>
      <c r="X1228" s="247"/>
    </row>
    <row r="1229">
      <c r="A1229" s="273">
        <v>45938.0</v>
      </c>
      <c r="B1229" s="275" t="s">
        <v>1125</v>
      </c>
      <c r="C1229" s="275" t="s">
        <v>1328</v>
      </c>
      <c r="D1229" s="276">
        <v>12598.0</v>
      </c>
      <c r="E1229" s="275" t="s">
        <v>1017</v>
      </c>
      <c r="F1229" s="277" t="s">
        <v>1059</v>
      </c>
      <c r="G1229" s="278" t="str">
        <f>IFNA(IF(VLOOKUP(RC_OUT[BLOCK],RC_IN[[BLOCK]:[BLOCK LOC]],2,FALSE)=0,"",VLOOKUP(RC_OUT[BLOCK],RC_IN[[BLOCK]:[BLOCK LOC]],2,FALSE)),"")</f>
        <v/>
      </c>
      <c r="I1229" s="263" t="str">
        <f>IFERROR(AVERAGEIFS(RC_IN[MC],RC_IN[BLOCK],RC_OUT[BLOCK]),"")</f>
        <v/>
      </c>
      <c r="J1229" s="264">
        <f t="shared" si="1"/>
        <v>0</v>
      </c>
      <c r="K1229" s="246"/>
      <c r="L1229" s="246"/>
      <c r="M1229" s="249" t="str">
        <f t="shared" si="2"/>
        <v/>
      </c>
      <c r="N1229" s="266">
        <f t="shared" si="3"/>
        <v>0</v>
      </c>
      <c r="O1229" s="247"/>
      <c r="P1229" s="247"/>
      <c r="Q1229" s="247"/>
      <c r="R1229" s="247"/>
      <c r="S1229" s="247"/>
      <c r="T1229" s="247"/>
      <c r="U1229" s="247"/>
      <c r="V1229" s="247"/>
      <c r="W1229" s="247"/>
      <c r="X1229" s="247"/>
    </row>
    <row r="1230">
      <c r="A1230" s="273">
        <v>45938.0</v>
      </c>
      <c r="B1230" s="275" t="s">
        <v>1125</v>
      </c>
      <c r="C1230" s="275" t="s">
        <v>1329</v>
      </c>
      <c r="D1230" s="276">
        <v>18527.0</v>
      </c>
      <c r="E1230" s="275" t="s">
        <v>1017</v>
      </c>
      <c r="F1230" s="279"/>
      <c r="G1230" s="278" t="str">
        <f>IFNA(IF(VLOOKUP(RC_OUT[BLOCK],RC_IN[[BLOCK]:[BLOCK LOC]],2,FALSE)=0,"",VLOOKUP(RC_OUT[BLOCK],RC_IN[[BLOCK]:[BLOCK LOC]],2,FALSE)),"")</f>
        <v/>
      </c>
      <c r="I1230" s="263" t="str">
        <f>IFERROR(AVERAGEIFS(RC_IN[MC],RC_IN[BLOCK],RC_OUT[BLOCK]),"")</f>
        <v/>
      </c>
      <c r="J1230" s="264">
        <f t="shared" si="1"/>
        <v>0</v>
      </c>
      <c r="K1230" s="246"/>
      <c r="L1230" s="246"/>
      <c r="M1230" s="249" t="str">
        <f t="shared" si="2"/>
        <v/>
      </c>
      <c r="N1230" s="266">
        <f t="shared" si="3"/>
        <v>0</v>
      </c>
      <c r="O1230" s="247"/>
      <c r="P1230" s="247"/>
      <c r="Q1230" s="247"/>
      <c r="R1230" s="247"/>
      <c r="S1230" s="247"/>
      <c r="T1230" s="247"/>
      <c r="U1230" s="247"/>
      <c r="V1230" s="247"/>
      <c r="W1230" s="247"/>
      <c r="X1230" s="247"/>
    </row>
    <row r="1231">
      <c r="A1231" s="273">
        <v>45938.0</v>
      </c>
      <c r="B1231" s="275" t="s">
        <v>1125</v>
      </c>
      <c r="C1231" s="275" t="s">
        <v>1330</v>
      </c>
      <c r="D1231" s="276">
        <v>8690.0</v>
      </c>
      <c r="E1231" s="275" t="s">
        <v>1017</v>
      </c>
      <c r="F1231" s="279"/>
      <c r="G1231" s="278" t="str">
        <f>IFNA(IF(VLOOKUP(RC_OUT[BLOCK],RC_IN[[BLOCK]:[BLOCK LOC]],2,FALSE)=0,"",VLOOKUP(RC_OUT[BLOCK],RC_IN[[BLOCK]:[BLOCK LOC]],2,FALSE)),"")</f>
        <v/>
      </c>
      <c r="I1231" s="263" t="str">
        <f>IFERROR(AVERAGEIFS(RC_IN[MC],RC_IN[BLOCK],RC_OUT[BLOCK]),"")</f>
        <v/>
      </c>
      <c r="J1231" s="264">
        <f t="shared" si="1"/>
        <v>0</v>
      </c>
      <c r="K1231" s="246"/>
      <c r="L1231" s="246"/>
      <c r="M1231" s="249" t="str">
        <f t="shared" si="2"/>
        <v/>
      </c>
      <c r="N1231" s="266">
        <f t="shared" si="3"/>
        <v>0</v>
      </c>
      <c r="O1231" s="247"/>
      <c r="P1231" s="247"/>
      <c r="Q1231" s="247"/>
      <c r="R1231" s="247"/>
      <c r="S1231" s="247"/>
      <c r="T1231" s="247"/>
      <c r="U1231" s="247"/>
      <c r="V1231" s="247"/>
      <c r="W1231" s="247"/>
      <c r="X1231" s="247"/>
    </row>
    <row r="1232">
      <c r="A1232" s="274"/>
      <c r="B1232" s="274"/>
      <c r="C1232" s="274"/>
      <c r="D1232" s="283"/>
      <c r="E1232" s="274"/>
      <c r="F1232" s="279"/>
      <c r="G1232" s="278" t="str">
        <f>IFNA(IF(VLOOKUP(RC_OUT[BLOCK],RC_IN[[BLOCK]:[BLOCK LOC]],2,FALSE)=0,"",VLOOKUP(RC_OUT[BLOCK],RC_IN[[BLOCK]:[BLOCK LOC]],2,FALSE)),"")</f>
        <v/>
      </c>
      <c r="I1232" s="263" t="str">
        <f>IFERROR(AVERAGEIFS(RC_IN[MC],RC_IN[BLOCK],RC_OUT[BLOCK]),"")</f>
        <v/>
      </c>
      <c r="J1232" s="264">
        <f t="shared" si="1"/>
        <v>0</v>
      </c>
      <c r="K1232" s="246"/>
      <c r="L1232" s="246"/>
      <c r="M1232" s="249" t="str">
        <f t="shared" si="2"/>
        <v/>
      </c>
      <c r="N1232" s="266">
        <f t="shared" si="3"/>
        <v>0</v>
      </c>
      <c r="O1232" s="247"/>
      <c r="P1232" s="247"/>
      <c r="Q1232" s="247"/>
      <c r="R1232" s="247"/>
      <c r="S1232" s="247"/>
      <c r="T1232" s="247"/>
      <c r="U1232" s="247"/>
      <c r="V1232" s="247"/>
      <c r="W1232" s="247"/>
      <c r="X1232" s="247"/>
    </row>
    <row r="1233">
      <c r="A1233" s="273">
        <v>45939.0</v>
      </c>
      <c r="B1233" s="275" t="s">
        <v>1125</v>
      </c>
      <c r="C1233" s="275" t="s">
        <v>1327</v>
      </c>
      <c r="D1233" s="276">
        <v>3000.0</v>
      </c>
      <c r="E1233" s="275" t="s">
        <v>1017</v>
      </c>
      <c r="F1233" s="279"/>
      <c r="G1233" s="278" t="str">
        <f>IFNA(IF(VLOOKUP(RC_OUT[BLOCK],RC_IN[[BLOCK]:[BLOCK LOC]],2,FALSE)=0,"",VLOOKUP(RC_OUT[BLOCK],RC_IN[[BLOCK]:[BLOCK LOC]],2,FALSE)),"")</f>
        <v/>
      </c>
      <c r="I1233" s="263" t="str">
        <f>IFERROR(AVERAGEIFS(RC_IN[MC],RC_IN[BLOCK],RC_OUT[BLOCK]),"")</f>
        <v/>
      </c>
      <c r="J1233" s="264">
        <f t="shared" si="1"/>
        <v>0</v>
      </c>
      <c r="K1233" s="246"/>
      <c r="L1233" s="246"/>
      <c r="M1233" s="249" t="str">
        <f t="shared" si="2"/>
        <v/>
      </c>
      <c r="N1233" s="266">
        <f t="shared" si="3"/>
        <v>0</v>
      </c>
      <c r="O1233" s="247"/>
      <c r="P1233" s="247"/>
      <c r="Q1233" s="247"/>
      <c r="R1233" s="247"/>
      <c r="S1233" s="247"/>
      <c r="T1233" s="247"/>
      <c r="U1233" s="247"/>
      <c r="V1233" s="247"/>
      <c r="W1233" s="247"/>
      <c r="X1233" s="247"/>
    </row>
    <row r="1234">
      <c r="A1234" s="273">
        <v>45939.0</v>
      </c>
      <c r="B1234" s="275" t="s">
        <v>1125</v>
      </c>
      <c r="C1234" s="275" t="s">
        <v>1329</v>
      </c>
      <c r="D1234" s="276">
        <v>11843.0</v>
      </c>
      <c r="E1234" s="275" t="s">
        <v>1017</v>
      </c>
      <c r="F1234" s="277" t="s">
        <v>1059</v>
      </c>
      <c r="G1234" s="278" t="str">
        <f>IFNA(IF(VLOOKUP(RC_OUT[BLOCK],RC_IN[[BLOCK]:[BLOCK LOC]],2,FALSE)=0,"",VLOOKUP(RC_OUT[BLOCK],RC_IN[[BLOCK]:[BLOCK LOC]],2,FALSE)),"")</f>
        <v/>
      </c>
      <c r="I1234" s="263" t="str">
        <f>IFERROR(AVERAGEIFS(RC_IN[MC],RC_IN[BLOCK],RC_OUT[BLOCK]),"")</f>
        <v/>
      </c>
      <c r="J1234" s="264">
        <f t="shared" si="1"/>
        <v>0</v>
      </c>
      <c r="K1234" s="246"/>
      <c r="L1234" s="246"/>
      <c r="M1234" s="249" t="str">
        <f t="shared" si="2"/>
        <v/>
      </c>
      <c r="N1234" s="266">
        <f t="shared" si="3"/>
        <v>0</v>
      </c>
      <c r="O1234" s="247"/>
      <c r="P1234" s="247"/>
      <c r="Q1234" s="247"/>
      <c r="R1234" s="247"/>
      <c r="S1234" s="247"/>
      <c r="T1234" s="247"/>
      <c r="U1234" s="247"/>
      <c r="V1234" s="247"/>
      <c r="W1234" s="247"/>
      <c r="X1234" s="247"/>
    </row>
    <row r="1235">
      <c r="A1235" s="273">
        <v>45939.0</v>
      </c>
      <c r="B1235" s="275" t="s">
        <v>1125</v>
      </c>
      <c r="C1235" s="275" t="s">
        <v>1330</v>
      </c>
      <c r="D1235" s="276">
        <v>17528.0</v>
      </c>
      <c r="E1235" s="275" t="s">
        <v>1017</v>
      </c>
      <c r="F1235" s="279"/>
      <c r="G1235" s="278" t="str">
        <f>IFNA(IF(VLOOKUP(RC_OUT[BLOCK],RC_IN[[BLOCK]:[BLOCK LOC]],2,FALSE)=0,"",VLOOKUP(RC_OUT[BLOCK],RC_IN[[BLOCK]:[BLOCK LOC]],2,FALSE)),"")</f>
        <v/>
      </c>
      <c r="I1235" s="263" t="str">
        <f>IFERROR(AVERAGEIFS(RC_IN[MC],RC_IN[BLOCK],RC_OUT[BLOCK]),"")</f>
        <v/>
      </c>
      <c r="J1235" s="264">
        <f t="shared" si="1"/>
        <v>0</v>
      </c>
      <c r="K1235" s="246"/>
      <c r="L1235" s="246"/>
      <c r="M1235" s="249" t="str">
        <f t="shared" si="2"/>
        <v/>
      </c>
      <c r="N1235" s="266">
        <f t="shared" si="3"/>
        <v>0</v>
      </c>
      <c r="O1235" s="247"/>
      <c r="P1235" s="247"/>
      <c r="Q1235" s="247"/>
      <c r="R1235" s="247"/>
      <c r="S1235" s="247"/>
      <c r="T1235" s="247"/>
      <c r="U1235" s="247"/>
      <c r="V1235" s="247"/>
      <c r="W1235" s="247"/>
      <c r="X1235" s="247"/>
    </row>
    <row r="1236">
      <c r="A1236" s="273">
        <v>45939.0</v>
      </c>
      <c r="B1236" s="275" t="s">
        <v>1125</v>
      </c>
      <c r="C1236" s="275" t="s">
        <v>1331</v>
      </c>
      <c r="D1236" s="276">
        <v>4930.0</v>
      </c>
      <c r="E1236" s="275" t="s">
        <v>1017</v>
      </c>
      <c r="F1236" s="279"/>
      <c r="G1236" s="278" t="str">
        <f>IFNA(IF(VLOOKUP(RC_OUT[BLOCK],RC_IN[[BLOCK]:[BLOCK LOC]],2,FALSE)=0,"",VLOOKUP(RC_OUT[BLOCK],RC_IN[[BLOCK]:[BLOCK LOC]],2,FALSE)),"")</f>
        <v/>
      </c>
      <c r="I1236" s="263" t="str">
        <f>IFERROR(AVERAGEIFS(RC_IN[MC],RC_IN[BLOCK],RC_OUT[BLOCK]),"")</f>
        <v/>
      </c>
      <c r="J1236" s="264">
        <f t="shared" si="1"/>
        <v>0</v>
      </c>
      <c r="K1236" s="246"/>
      <c r="L1236" s="246"/>
      <c r="M1236" s="249" t="str">
        <f t="shared" si="2"/>
        <v/>
      </c>
      <c r="N1236" s="266">
        <f t="shared" si="3"/>
        <v>0</v>
      </c>
      <c r="O1236" s="247"/>
      <c r="P1236" s="247"/>
      <c r="Q1236" s="247"/>
      <c r="R1236" s="247"/>
      <c r="S1236" s="247"/>
      <c r="T1236" s="247"/>
      <c r="U1236" s="247"/>
      <c r="V1236" s="247"/>
      <c r="W1236" s="247"/>
      <c r="X1236" s="247"/>
    </row>
    <row r="1237">
      <c r="A1237" s="274"/>
      <c r="B1237" s="274"/>
      <c r="C1237" s="274"/>
      <c r="D1237" s="283"/>
      <c r="E1237" s="274"/>
      <c r="F1237" s="279"/>
      <c r="G1237" s="278" t="str">
        <f>IFNA(IF(VLOOKUP(RC_OUT[BLOCK],RC_IN[[BLOCK]:[BLOCK LOC]],2,FALSE)=0,"",VLOOKUP(RC_OUT[BLOCK],RC_IN[[BLOCK]:[BLOCK LOC]],2,FALSE)),"")</f>
        <v/>
      </c>
      <c r="I1237" s="263" t="str">
        <f>IFERROR(AVERAGEIFS(RC_IN[MC],RC_IN[BLOCK],RC_OUT[BLOCK]),"")</f>
        <v/>
      </c>
      <c r="J1237" s="264">
        <f t="shared" si="1"/>
        <v>0</v>
      </c>
      <c r="K1237" s="246"/>
      <c r="L1237" s="246"/>
      <c r="M1237" s="249" t="str">
        <f t="shared" si="2"/>
        <v/>
      </c>
      <c r="N1237" s="266">
        <f t="shared" si="3"/>
        <v>0</v>
      </c>
      <c r="O1237" s="247"/>
      <c r="P1237" s="247"/>
      <c r="Q1237" s="247"/>
      <c r="R1237" s="247"/>
      <c r="S1237" s="247"/>
      <c r="T1237" s="247"/>
      <c r="U1237" s="247"/>
      <c r="V1237" s="247"/>
      <c r="W1237" s="247"/>
      <c r="X1237" s="247"/>
    </row>
    <row r="1238">
      <c r="A1238" s="282">
        <v>45940.0</v>
      </c>
      <c r="B1238" s="275" t="s">
        <v>1125</v>
      </c>
      <c r="C1238" s="275" t="s">
        <v>1327</v>
      </c>
      <c r="D1238" s="276">
        <v>2000.0</v>
      </c>
      <c r="E1238" s="275" t="s">
        <v>1017</v>
      </c>
      <c r="F1238" s="279"/>
      <c r="G1238" s="278" t="str">
        <f>IFNA(IF(VLOOKUP(RC_OUT[BLOCK],RC_IN[[BLOCK]:[BLOCK LOC]],2,FALSE)=0,"",VLOOKUP(RC_OUT[BLOCK],RC_IN[[BLOCK]:[BLOCK LOC]],2,FALSE)),"")</f>
        <v/>
      </c>
      <c r="I1238" s="263" t="str">
        <f>IFERROR(AVERAGEIFS(RC_IN[MC],RC_IN[BLOCK],RC_OUT[BLOCK]),"")</f>
        <v/>
      </c>
      <c r="J1238" s="264">
        <f t="shared" si="1"/>
        <v>0</v>
      </c>
      <c r="K1238" s="246"/>
      <c r="L1238" s="246"/>
      <c r="M1238" s="249" t="str">
        <f t="shared" si="2"/>
        <v/>
      </c>
      <c r="N1238" s="266">
        <f t="shared" si="3"/>
        <v>0</v>
      </c>
      <c r="O1238" s="247"/>
      <c r="P1238" s="247"/>
      <c r="Q1238" s="247"/>
      <c r="R1238" s="247"/>
      <c r="S1238" s="247"/>
      <c r="T1238" s="247"/>
      <c r="U1238" s="247"/>
      <c r="V1238" s="247"/>
      <c r="W1238" s="247"/>
      <c r="X1238" s="247"/>
    </row>
    <row r="1239">
      <c r="A1239" s="282">
        <v>45940.0</v>
      </c>
      <c r="B1239" s="275" t="s">
        <v>1125</v>
      </c>
      <c r="C1239" s="275" t="s">
        <v>1330</v>
      </c>
      <c r="D1239" s="276">
        <v>5976.0</v>
      </c>
      <c r="E1239" s="275" t="s">
        <v>1017</v>
      </c>
      <c r="F1239" s="279"/>
      <c r="G1239" s="278" t="str">
        <f>IFNA(IF(VLOOKUP(RC_OUT[BLOCK],RC_IN[[BLOCK]:[BLOCK LOC]],2,FALSE)=0,"",VLOOKUP(RC_OUT[BLOCK],RC_IN[[BLOCK]:[BLOCK LOC]],2,FALSE)),"")</f>
        <v/>
      </c>
      <c r="I1239" s="263" t="str">
        <f>IFERROR(AVERAGEIFS(RC_IN[MC],RC_IN[BLOCK],RC_OUT[BLOCK]),"")</f>
        <v/>
      </c>
      <c r="J1239" s="264">
        <f t="shared" si="1"/>
        <v>0</v>
      </c>
      <c r="K1239" s="246"/>
      <c r="L1239" s="246"/>
      <c r="M1239" s="249" t="str">
        <f t="shared" si="2"/>
        <v/>
      </c>
      <c r="N1239" s="266">
        <f t="shared" si="3"/>
        <v>0</v>
      </c>
      <c r="O1239" s="247"/>
      <c r="P1239" s="247"/>
      <c r="Q1239" s="247"/>
      <c r="R1239" s="247"/>
      <c r="S1239" s="247"/>
      <c r="T1239" s="247"/>
      <c r="U1239" s="247"/>
      <c r="V1239" s="247"/>
      <c r="W1239" s="247"/>
      <c r="X1239" s="247"/>
    </row>
    <row r="1240">
      <c r="A1240" s="282">
        <v>45940.0</v>
      </c>
      <c r="B1240" s="275" t="s">
        <v>1125</v>
      </c>
      <c r="C1240" s="275" t="s">
        <v>1331</v>
      </c>
      <c r="D1240" s="276">
        <v>6226.0</v>
      </c>
      <c r="E1240" s="275" t="s">
        <v>1017</v>
      </c>
      <c r="F1240" s="279"/>
      <c r="G1240" s="278" t="str">
        <f>IFNA(IF(VLOOKUP(RC_OUT[BLOCK],RC_IN[[BLOCK]:[BLOCK LOC]],2,FALSE)=0,"",VLOOKUP(RC_OUT[BLOCK],RC_IN[[BLOCK]:[BLOCK LOC]],2,FALSE)),"")</f>
        <v/>
      </c>
      <c r="I1240" s="263" t="str">
        <f>IFERROR(AVERAGEIFS(RC_IN[MC],RC_IN[BLOCK],RC_OUT[BLOCK]),"")</f>
        <v/>
      </c>
      <c r="J1240" s="264">
        <f t="shared" si="1"/>
        <v>0</v>
      </c>
      <c r="K1240" s="246"/>
      <c r="L1240" s="246"/>
      <c r="M1240" s="249" t="str">
        <f t="shared" si="2"/>
        <v/>
      </c>
      <c r="N1240" s="266">
        <f t="shared" si="3"/>
        <v>0</v>
      </c>
      <c r="O1240" s="247"/>
      <c r="P1240" s="247"/>
      <c r="Q1240" s="247"/>
      <c r="R1240" s="247"/>
      <c r="S1240" s="247"/>
      <c r="T1240" s="247"/>
      <c r="U1240" s="247"/>
      <c r="V1240" s="247"/>
      <c r="W1240" s="247"/>
      <c r="X1240" s="247"/>
    </row>
    <row r="1241">
      <c r="A1241" s="274"/>
      <c r="B1241" s="274"/>
      <c r="C1241" s="274"/>
      <c r="D1241" s="283"/>
      <c r="E1241" s="274"/>
      <c r="F1241" s="279"/>
      <c r="G1241" s="278" t="str">
        <f>IFNA(IF(VLOOKUP(RC_OUT[BLOCK],RC_IN[[BLOCK]:[BLOCK LOC]],2,FALSE)=0,"",VLOOKUP(RC_OUT[BLOCK],RC_IN[[BLOCK]:[BLOCK LOC]],2,FALSE)),"")</f>
        <v/>
      </c>
      <c r="I1241" s="263" t="str">
        <f>IFERROR(AVERAGEIFS(RC_IN[MC],RC_IN[BLOCK],RC_OUT[BLOCK]),"")</f>
        <v/>
      </c>
      <c r="J1241" s="264">
        <f t="shared" si="1"/>
        <v>0</v>
      </c>
      <c r="K1241" s="246"/>
      <c r="L1241" s="246"/>
      <c r="M1241" s="249" t="str">
        <f t="shared" si="2"/>
        <v/>
      </c>
      <c r="N1241" s="266">
        <f t="shared" si="3"/>
        <v>0</v>
      </c>
      <c r="O1241" s="247"/>
      <c r="P1241" s="247"/>
      <c r="Q1241" s="247"/>
      <c r="R1241" s="247"/>
      <c r="S1241" s="247"/>
      <c r="T1241" s="247"/>
      <c r="U1241" s="247"/>
      <c r="V1241" s="247"/>
      <c r="W1241" s="247"/>
      <c r="X1241" s="247"/>
    </row>
    <row r="1242">
      <c r="A1242" s="282">
        <v>45943.0</v>
      </c>
      <c r="B1242" s="275" t="s">
        <v>1125</v>
      </c>
      <c r="C1242" s="275" t="s">
        <v>1327</v>
      </c>
      <c r="D1242" s="276">
        <v>5000.0</v>
      </c>
      <c r="E1242" s="275" t="s">
        <v>1017</v>
      </c>
      <c r="F1242" s="277" t="s">
        <v>1059</v>
      </c>
      <c r="G1242" s="278" t="str">
        <f>IFNA(IF(VLOOKUP(RC_OUT[BLOCK],RC_IN[[BLOCK]:[BLOCK LOC]],2,FALSE)=0,"",VLOOKUP(RC_OUT[BLOCK],RC_IN[[BLOCK]:[BLOCK LOC]],2,FALSE)),"")</f>
        <v/>
      </c>
      <c r="I1242" s="263" t="str">
        <f>IFERROR(AVERAGEIFS(RC_IN[MC],RC_IN[BLOCK],RC_OUT[BLOCK]),"")</f>
        <v/>
      </c>
      <c r="J1242" s="264">
        <f t="shared" si="1"/>
        <v>0</v>
      </c>
      <c r="K1242" s="246"/>
      <c r="L1242" s="246"/>
      <c r="M1242" s="249" t="str">
        <f t="shared" si="2"/>
        <v/>
      </c>
      <c r="N1242" s="266">
        <f t="shared" si="3"/>
        <v>0</v>
      </c>
      <c r="O1242" s="247"/>
      <c r="P1242" s="247"/>
      <c r="Q1242" s="247"/>
      <c r="R1242" s="247"/>
      <c r="S1242" s="247"/>
      <c r="T1242" s="247"/>
      <c r="U1242" s="247"/>
      <c r="V1242" s="247"/>
      <c r="W1242" s="247"/>
      <c r="X1242" s="247"/>
    </row>
    <row r="1243">
      <c r="A1243" s="282">
        <v>45943.0</v>
      </c>
      <c r="B1243" s="275" t="s">
        <v>1125</v>
      </c>
      <c r="C1243" s="275" t="s">
        <v>1330</v>
      </c>
      <c r="D1243" s="276">
        <v>12246.0</v>
      </c>
      <c r="E1243" s="275" t="s">
        <v>1017</v>
      </c>
      <c r="F1243" s="279"/>
      <c r="G1243" s="278" t="str">
        <f>IFNA(IF(VLOOKUP(RC_OUT[BLOCK],RC_IN[[BLOCK]:[BLOCK LOC]],2,FALSE)=0,"",VLOOKUP(RC_OUT[BLOCK],RC_IN[[BLOCK]:[BLOCK LOC]],2,FALSE)),"")</f>
        <v/>
      </c>
      <c r="I1243" s="263" t="str">
        <f>IFERROR(AVERAGEIFS(RC_IN[MC],RC_IN[BLOCK],RC_OUT[BLOCK]),"")</f>
        <v/>
      </c>
      <c r="J1243" s="264">
        <f t="shared" si="1"/>
        <v>0</v>
      </c>
      <c r="K1243" s="246"/>
      <c r="L1243" s="246"/>
      <c r="M1243" s="249" t="str">
        <f t="shared" si="2"/>
        <v/>
      </c>
      <c r="N1243" s="266">
        <f t="shared" si="3"/>
        <v>0</v>
      </c>
      <c r="O1243" s="247"/>
      <c r="P1243" s="247"/>
      <c r="Q1243" s="247"/>
      <c r="R1243" s="247"/>
      <c r="S1243" s="247"/>
      <c r="T1243" s="247"/>
      <c r="U1243" s="247"/>
      <c r="V1243" s="247"/>
      <c r="W1243" s="247"/>
      <c r="X1243" s="247"/>
    </row>
    <row r="1244">
      <c r="A1244" s="282">
        <v>45943.0</v>
      </c>
      <c r="B1244" s="275" t="s">
        <v>1125</v>
      </c>
      <c r="C1244" s="275" t="s">
        <v>1331</v>
      </c>
      <c r="D1244" s="276">
        <v>10638.0</v>
      </c>
      <c r="E1244" s="275" t="s">
        <v>1017</v>
      </c>
      <c r="F1244" s="279"/>
      <c r="G1244" s="278" t="str">
        <f>IFNA(IF(VLOOKUP(RC_OUT[BLOCK],RC_IN[[BLOCK]:[BLOCK LOC]],2,FALSE)=0,"",VLOOKUP(RC_OUT[BLOCK],RC_IN[[BLOCK]:[BLOCK LOC]],2,FALSE)),"")</f>
        <v/>
      </c>
      <c r="I1244" s="263" t="str">
        <f>IFERROR(AVERAGEIFS(RC_IN[MC],RC_IN[BLOCK],RC_OUT[BLOCK]),"")</f>
        <v/>
      </c>
      <c r="J1244" s="264">
        <f t="shared" si="1"/>
        <v>0</v>
      </c>
      <c r="K1244" s="246"/>
      <c r="L1244" s="246"/>
      <c r="M1244" s="249" t="str">
        <f t="shared" si="2"/>
        <v/>
      </c>
      <c r="N1244" s="266">
        <f t="shared" si="3"/>
        <v>0</v>
      </c>
      <c r="O1244" s="247"/>
      <c r="P1244" s="247"/>
      <c r="Q1244" s="247"/>
      <c r="R1244" s="247"/>
      <c r="S1244" s="247"/>
      <c r="T1244" s="247"/>
      <c r="U1244" s="247"/>
      <c r="V1244" s="247"/>
      <c r="W1244" s="247"/>
      <c r="X1244" s="247"/>
    </row>
    <row r="1245">
      <c r="A1245" s="274"/>
      <c r="B1245" s="274"/>
      <c r="C1245" s="274"/>
      <c r="D1245" s="283"/>
      <c r="E1245" s="274"/>
      <c r="F1245" s="279"/>
      <c r="G1245" s="278" t="str">
        <f>IFNA(IF(VLOOKUP(RC_OUT[BLOCK],RC_IN[[BLOCK]:[BLOCK LOC]],2,FALSE)=0,"",VLOOKUP(RC_OUT[BLOCK],RC_IN[[BLOCK]:[BLOCK LOC]],2,FALSE)),"")</f>
        <v/>
      </c>
      <c r="I1245" s="263" t="str">
        <f>IFERROR(AVERAGEIFS(RC_IN[MC],RC_IN[BLOCK],RC_OUT[BLOCK]),"")</f>
        <v/>
      </c>
      <c r="J1245" s="264">
        <f t="shared" si="1"/>
        <v>0</v>
      </c>
      <c r="K1245" s="246"/>
      <c r="L1245" s="246"/>
      <c r="M1245" s="249" t="str">
        <f t="shared" si="2"/>
        <v/>
      </c>
      <c r="N1245" s="266">
        <f t="shared" si="3"/>
        <v>0</v>
      </c>
      <c r="O1245" s="247"/>
      <c r="P1245" s="247"/>
      <c r="Q1245" s="247"/>
      <c r="R1245" s="247"/>
      <c r="S1245" s="247"/>
      <c r="T1245" s="247"/>
      <c r="U1245" s="247"/>
      <c r="V1245" s="247"/>
      <c r="W1245" s="247"/>
      <c r="X1245" s="247"/>
    </row>
    <row r="1246">
      <c r="A1246" s="282">
        <v>45944.0</v>
      </c>
      <c r="B1246" s="275" t="s">
        <v>1125</v>
      </c>
      <c r="C1246" s="275" t="s">
        <v>1330</v>
      </c>
      <c r="D1246" s="276">
        <v>8283.0</v>
      </c>
      <c r="E1246" s="275" t="s">
        <v>1017</v>
      </c>
      <c r="F1246" s="277" t="s">
        <v>1059</v>
      </c>
      <c r="G1246" s="278" t="str">
        <f>IFNA(IF(VLOOKUP(RC_OUT[BLOCK],RC_IN[[BLOCK]:[BLOCK LOC]],2,FALSE)=0,"",VLOOKUP(RC_OUT[BLOCK],RC_IN[[BLOCK]:[BLOCK LOC]],2,FALSE)),"")</f>
        <v/>
      </c>
      <c r="I1246" s="263" t="str">
        <f>IFERROR(AVERAGEIFS(RC_IN[MC],RC_IN[BLOCK],RC_OUT[BLOCK]),"")</f>
        <v/>
      </c>
      <c r="J1246" s="264">
        <f t="shared" si="1"/>
        <v>0</v>
      </c>
      <c r="K1246" s="246"/>
      <c r="L1246" s="246"/>
      <c r="M1246" s="249" t="str">
        <f t="shared" si="2"/>
        <v/>
      </c>
      <c r="N1246" s="266">
        <f t="shared" si="3"/>
        <v>0</v>
      </c>
      <c r="O1246" s="247"/>
      <c r="P1246" s="247"/>
      <c r="Q1246" s="247"/>
      <c r="R1246" s="247"/>
      <c r="S1246" s="247"/>
      <c r="T1246" s="247"/>
      <c r="U1246" s="247"/>
      <c r="V1246" s="247"/>
      <c r="W1246" s="247"/>
      <c r="X1246" s="247"/>
    </row>
    <row r="1247">
      <c r="A1247" s="282">
        <v>45944.0</v>
      </c>
      <c r="B1247" s="275" t="s">
        <v>1125</v>
      </c>
      <c r="C1247" s="275" t="s">
        <v>1331</v>
      </c>
      <c r="D1247" s="276">
        <v>10865.0</v>
      </c>
      <c r="E1247" s="275" t="s">
        <v>1017</v>
      </c>
      <c r="F1247" s="279"/>
      <c r="G1247" s="278" t="str">
        <f>IFNA(IF(VLOOKUP(RC_OUT[BLOCK],RC_IN[[BLOCK]:[BLOCK LOC]],2,FALSE)=0,"",VLOOKUP(RC_OUT[BLOCK],RC_IN[[BLOCK]:[BLOCK LOC]],2,FALSE)),"")</f>
        <v/>
      </c>
      <c r="I1247" s="263" t="str">
        <f>IFERROR(AVERAGEIFS(RC_IN[MC],RC_IN[BLOCK],RC_OUT[BLOCK]),"")</f>
        <v/>
      </c>
      <c r="J1247" s="264">
        <f t="shared" si="1"/>
        <v>0</v>
      </c>
      <c r="K1247" s="246"/>
      <c r="L1247" s="246"/>
      <c r="M1247" s="249" t="str">
        <f t="shared" si="2"/>
        <v/>
      </c>
      <c r="N1247" s="266">
        <f t="shared" si="3"/>
        <v>0</v>
      </c>
      <c r="O1247" s="247"/>
      <c r="P1247" s="247"/>
      <c r="Q1247" s="247"/>
      <c r="R1247" s="247"/>
      <c r="S1247" s="247"/>
      <c r="T1247" s="247"/>
      <c r="U1247" s="247"/>
      <c r="V1247" s="247"/>
      <c r="W1247" s="247"/>
      <c r="X1247" s="247"/>
    </row>
    <row r="1248">
      <c r="A1248" s="282">
        <v>45944.0</v>
      </c>
      <c r="B1248" s="275" t="s">
        <v>1125</v>
      </c>
      <c r="C1248" s="275" t="s">
        <v>1332</v>
      </c>
      <c r="D1248" s="276">
        <v>14189.0</v>
      </c>
      <c r="E1248" s="275" t="s">
        <v>1017</v>
      </c>
      <c r="F1248" s="279"/>
      <c r="G1248" s="278" t="str">
        <f>IFNA(IF(VLOOKUP(RC_OUT[BLOCK],RC_IN[[BLOCK]:[BLOCK LOC]],2,FALSE)=0,"",VLOOKUP(RC_OUT[BLOCK],RC_IN[[BLOCK]:[BLOCK LOC]],2,FALSE)),"")</f>
        <v/>
      </c>
      <c r="I1248" s="263" t="str">
        <f>IFERROR(AVERAGEIFS(RC_IN[MC],RC_IN[BLOCK],RC_OUT[BLOCK]),"")</f>
        <v/>
      </c>
      <c r="J1248" s="264">
        <f t="shared" si="1"/>
        <v>0</v>
      </c>
      <c r="K1248" s="246"/>
      <c r="L1248" s="246"/>
      <c r="M1248" s="249" t="str">
        <f t="shared" si="2"/>
        <v/>
      </c>
      <c r="N1248" s="266">
        <f t="shared" si="3"/>
        <v>0</v>
      </c>
      <c r="O1248" s="247"/>
      <c r="P1248" s="247"/>
      <c r="Q1248" s="247"/>
      <c r="R1248" s="247"/>
      <c r="S1248" s="247"/>
      <c r="T1248" s="247"/>
      <c r="U1248" s="247"/>
      <c r="V1248" s="247"/>
      <c r="W1248" s="247"/>
      <c r="X1248" s="247"/>
    </row>
    <row r="1249">
      <c r="A1249" s="274"/>
      <c r="B1249" s="274"/>
      <c r="C1249" s="274"/>
      <c r="D1249" s="283"/>
      <c r="E1249" s="274"/>
      <c r="F1249" s="279"/>
      <c r="G1249" s="278" t="str">
        <f>IFNA(IF(VLOOKUP(RC_OUT[BLOCK],RC_IN[[BLOCK]:[BLOCK LOC]],2,FALSE)=0,"",VLOOKUP(RC_OUT[BLOCK],RC_IN[[BLOCK]:[BLOCK LOC]],2,FALSE)),"")</f>
        <v/>
      </c>
      <c r="I1249" s="263" t="str">
        <f>IFERROR(AVERAGEIFS(RC_IN[MC],RC_IN[BLOCK],RC_OUT[BLOCK]),"")</f>
        <v/>
      </c>
      <c r="J1249" s="264">
        <f t="shared" si="1"/>
        <v>0</v>
      </c>
      <c r="K1249" s="246"/>
      <c r="L1249" s="246"/>
      <c r="M1249" s="249" t="str">
        <f t="shared" si="2"/>
        <v/>
      </c>
      <c r="N1249" s="266">
        <f t="shared" si="3"/>
        <v>0</v>
      </c>
      <c r="O1249" s="247"/>
      <c r="P1249" s="247"/>
      <c r="Q1249" s="247"/>
      <c r="R1249" s="247"/>
      <c r="S1249" s="247"/>
      <c r="T1249" s="247"/>
      <c r="U1249" s="247"/>
      <c r="V1249" s="247"/>
      <c r="W1249" s="247"/>
      <c r="X1249" s="247"/>
    </row>
    <row r="1250">
      <c r="A1250" s="282">
        <v>45945.0</v>
      </c>
      <c r="B1250" s="275" t="s">
        <v>1125</v>
      </c>
      <c r="C1250" s="275" t="s">
        <v>1331</v>
      </c>
      <c r="D1250" s="276">
        <v>10996.0</v>
      </c>
      <c r="E1250" s="275" t="s">
        <v>1017</v>
      </c>
      <c r="F1250" s="279"/>
      <c r="G1250" s="278" t="str">
        <f>IFNA(IF(VLOOKUP(RC_OUT[BLOCK],RC_IN[[BLOCK]:[BLOCK LOC]],2,FALSE)=0,"",VLOOKUP(RC_OUT[BLOCK],RC_IN[[BLOCK]:[BLOCK LOC]],2,FALSE)),"")</f>
        <v/>
      </c>
      <c r="I1250" s="263" t="str">
        <f>IFERROR(AVERAGEIFS(RC_IN[MC],RC_IN[BLOCK],RC_OUT[BLOCK]),"")</f>
        <v/>
      </c>
      <c r="J1250" s="264">
        <f t="shared" si="1"/>
        <v>0</v>
      </c>
      <c r="K1250" s="246"/>
      <c r="L1250" s="246"/>
      <c r="M1250" s="249" t="str">
        <f t="shared" si="2"/>
        <v/>
      </c>
      <c r="N1250" s="266">
        <f t="shared" si="3"/>
        <v>0</v>
      </c>
      <c r="O1250" s="247"/>
      <c r="P1250" s="247"/>
      <c r="Q1250" s="247"/>
      <c r="R1250" s="247"/>
      <c r="S1250" s="247"/>
      <c r="T1250" s="247"/>
      <c r="U1250" s="247"/>
      <c r="V1250" s="247"/>
      <c r="W1250" s="247"/>
      <c r="X1250" s="247"/>
    </row>
    <row r="1251">
      <c r="A1251" s="282">
        <v>45945.0</v>
      </c>
      <c r="B1251" s="275" t="s">
        <v>1125</v>
      </c>
      <c r="C1251" s="275" t="s">
        <v>1332</v>
      </c>
      <c r="D1251" s="276">
        <v>10159.0</v>
      </c>
      <c r="E1251" s="275" t="s">
        <v>1017</v>
      </c>
      <c r="F1251" s="279"/>
      <c r="G1251" s="278" t="str">
        <f>IFNA(IF(VLOOKUP(RC_OUT[BLOCK],RC_IN[[BLOCK]:[BLOCK LOC]],2,FALSE)=0,"",VLOOKUP(RC_OUT[BLOCK],RC_IN[[BLOCK]:[BLOCK LOC]],2,FALSE)),"")</f>
        <v/>
      </c>
      <c r="I1251" s="263" t="str">
        <f>IFERROR(AVERAGEIFS(RC_IN[MC],RC_IN[BLOCK],RC_OUT[BLOCK]),"")</f>
        <v/>
      </c>
      <c r="J1251" s="264">
        <f t="shared" si="1"/>
        <v>0</v>
      </c>
      <c r="K1251" s="246"/>
      <c r="L1251" s="246"/>
      <c r="M1251" s="249" t="str">
        <f t="shared" si="2"/>
        <v/>
      </c>
      <c r="N1251" s="266">
        <f t="shared" si="3"/>
        <v>0</v>
      </c>
      <c r="O1251" s="247"/>
      <c r="P1251" s="247"/>
      <c r="Q1251" s="247"/>
      <c r="R1251" s="247"/>
      <c r="S1251" s="247"/>
      <c r="T1251" s="247"/>
      <c r="U1251" s="247"/>
      <c r="V1251" s="247"/>
      <c r="W1251" s="247"/>
      <c r="X1251" s="247"/>
    </row>
    <row r="1252">
      <c r="A1252" s="282">
        <v>45945.0</v>
      </c>
      <c r="B1252" s="275" t="s">
        <v>1125</v>
      </c>
      <c r="C1252" s="275" t="s">
        <v>1333</v>
      </c>
      <c r="D1252" s="276">
        <v>8535.0</v>
      </c>
      <c r="E1252" s="275" t="s">
        <v>1017</v>
      </c>
      <c r="F1252" s="279"/>
      <c r="G1252" s="278" t="str">
        <f>IFNA(IF(VLOOKUP(RC_OUT[BLOCK],RC_IN[[BLOCK]:[BLOCK LOC]],2,FALSE)=0,"",VLOOKUP(RC_OUT[BLOCK],RC_IN[[BLOCK]:[BLOCK LOC]],2,FALSE)),"")</f>
        <v/>
      </c>
      <c r="I1252" s="263" t="str">
        <f>IFERROR(AVERAGEIFS(RC_IN[MC],RC_IN[BLOCK],RC_OUT[BLOCK]),"")</f>
        <v/>
      </c>
      <c r="J1252" s="264">
        <f t="shared" si="1"/>
        <v>0</v>
      </c>
      <c r="K1252" s="246"/>
      <c r="L1252" s="246"/>
      <c r="M1252" s="249" t="str">
        <f t="shared" si="2"/>
        <v/>
      </c>
      <c r="N1252" s="266">
        <f t="shared" si="3"/>
        <v>0</v>
      </c>
      <c r="O1252" s="247"/>
      <c r="P1252" s="247"/>
      <c r="Q1252" s="247"/>
      <c r="R1252" s="247"/>
      <c r="S1252" s="247"/>
      <c r="T1252" s="247"/>
      <c r="U1252" s="247"/>
      <c r="V1252" s="247"/>
      <c r="W1252" s="247"/>
      <c r="X1252" s="247"/>
    </row>
    <row r="1253">
      <c r="A1253" s="274"/>
      <c r="B1253" s="274"/>
      <c r="C1253" s="274"/>
      <c r="D1253" s="283"/>
      <c r="E1253" s="274"/>
      <c r="F1253" s="279"/>
      <c r="G1253" s="278" t="str">
        <f>IFNA(IF(VLOOKUP(RC_OUT[BLOCK],RC_IN[[BLOCK]:[BLOCK LOC]],2,FALSE)=0,"",VLOOKUP(RC_OUT[BLOCK],RC_IN[[BLOCK]:[BLOCK LOC]],2,FALSE)),"")</f>
        <v/>
      </c>
      <c r="I1253" s="263" t="str">
        <f>IFERROR(AVERAGEIFS(RC_IN[MC],RC_IN[BLOCK],RC_OUT[BLOCK]),"")</f>
        <v/>
      </c>
      <c r="J1253" s="264">
        <f t="shared" si="1"/>
        <v>0</v>
      </c>
      <c r="K1253" s="246"/>
      <c r="L1253" s="246"/>
      <c r="M1253" s="249" t="str">
        <f t="shared" si="2"/>
        <v/>
      </c>
      <c r="N1253" s="266">
        <f t="shared" si="3"/>
        <v>0</v>
      </c>
      <c r="O1253" s="247"/>
      <c r="P1253" s="247"/>
      <c r="Q1253" s="247"/>
      <c r="R1253" s="247"/>
      <c r="S1253" s="247"/>
      <c r="T1253" s="247"/>
      <c r="U1253" s="247"/>
      <c r="V1253" s="247"/>
      <c r="W1253" s="247"/>
      <c r="X1253" s="247"/>
    </row>
    <row r="1254">
      <c r="A1254" s="282">
        <v>45946.0</v>
      </c>
      <c r="B1254" s="275" t="s">
        <v>1125</v>
      </c>
      <c r="C1254" s="275" t="s">
        <v>1331</v>
      </c>
      <c r="D1254" s="276">
        <v>10681.0</v>
      </c>
      <c r="E1254" s="275" t="s">
        <v>1017</v>
      </c>
      <c r="F1254" s="279"/>
      <c r="G1254" s="278" t="str">
        <f>IFNA(IF(VLOOKUP(RC_OUT[BLOCK],RC_IN[[BLOCK]:[BLOCK LOC]],2,FALSE)=0,"",VLOOKUP(RC_OUT[BLOCK],RC_IN[[BLOCK]:[BLOCK LOC]],2,FALSE)),"")</f>
        <v/>
      </c>
      <c r="I1254" s="263" t="str">
        <f>IFERROR(AVERAGEIFS(RC_IN[MC],RC_IN[BLOCK],RC_OUT[BLOCK]),"")</f>
        <v/>
      </c>
      <c r="J1254" s="264">
        <f t="shared" si="1"/>
        <v>0</v>
      </c>
      <c r="K1254" s="246"/>
      <c r="L1254" s="246"/>
      <c r="M1254" s="249" t="str">
        <f t="shared" si="2"/>
        <v/>
      </c>
      <c r="N1254" s="266">
        <f t="shared" si="3"/>
        <v>0</v>
      </c>
      <c r="O1254" s="247"/>
      <c r="P1254" s="247"/>
      <c r="Q1254" s="247"/>
      <c r="R1254" s="247"/>
      <c r="S1254" s="247"/>
      <c r="T1254" s="247"/>
      <c r="U1254" s="247"/>
      <c r="V1254" s="247"/>
      <c r="W1254" s="247"/>
      <c r="X1254" s="247"/>
    </row>
    <row r="1255">
      <c r="A1255" s="282">
        <v>45946.0</v>
      </c>
      <c r="B1255" s="275" t="s">
        <v>1125</v>
      </c>
      <c r="C1255" s="275" t="s">
        <v>1332</v>
      </c>
      <c r="D1255" s="276">
        <v>10573.0</v>
      </c>
      <c r="E1255" s="275" t="s">
        <v>1017</v>
      </c>
      <c r="F1255" s="279"/>
      <c r="G1255" s="278" t="str">
        <f>IFNA(IF(VLOOKUP(RC_OUT[BLOCK],RC_IN[[BLOCK]:[BLOCK LOC]],2,FALSE)=0,"",VLOOKUP(RC_OUT[BLOCK],RC_IN[[BLOCK]:[BLOCK LOC]],2,FALSE)),"")</f>
        <v/>
      </c>
      <c r="I1255" s="263" t="str">
        <f>IFERROR(AVERAGEIFS(RC_IN[MC],RC_IN[BLOCK],RC_OUT[BLOCK]),"")</f>
        <v/>
      </c>
      <c r="J1255" s="264">
        <f t="shared" si="1"/>
        <v>0</v>
      </c>
      <c r="K1255" s="246"/>
      <c r="L1255" s="246"/>
      <c r="M1255" s="249" t="str">
        <f t="shared" si="2"/>
        <v/>
      </c>
      <c r="N1255" s="266">
        <f t="shared" si="3"/>
        <v>0</v>
      </c>
      <c r="O1255" s="247"/>
      <c r="P1255" s="247"/>
      <c r="Q1255" s="247"/>
      <c r="R1255" s="247"/>
      <c r="S1255" s="247"/>
      <c r="T1255" s="247"/>
      <c r="U1255" s="247"/>
      <c r="V1255" s="247"/>
      <c r="W1255" s="247"/>
      <c r="X1255" s="247"/>
    </row>
    <row r="1256">
      <c r="A1256" s="282">
        <v>45946.0</v>
      </c>
      <c r="B1256" s="275" t="s">
        <v>1125</v>
      </c>
      <c r="C1256" s="275" t="s">
        <v>1333</v>
      </c>
      <c r="D1256" s="276">
        <v>8535.0</v>
      </c>
      <c r="E1256" s="275" t="s">
        <v>1017</v>
      </c>
      <c r="F1256" s="277" t="s">
        <v>1059</v>
      </c>
      <c r="G1256" s="278" t="str">
        <f>IFNA(IF(VLOOKUP(RC_OUT[BLOCK],RC_IN[[BLOCK]:[BLOCK LOC]],2,FALSE)=0,"",VLOOKUP(RC_OUT[BLOCK],RC_IN[[BLOCK]:[BLOCK LOC]],2,FALSE)),"")</f>
        <v/>
      </c>
      <c r="I1256" s="263" t="str">
        <f>IFERROR(AVERAGEIFS(RC_IN[MC],RC_IN[BLOCK],RC_OUT[BLOCK]),"")</f>
        <v/>
      </c>
      <c r="J1256" s="264">
        <f t="shared" si="1"/>
        <v>0</v>
      </c>
      <c r="K1256" s="246"/>
      <c r="L1256" s="246"/>
      <c r="M1256" s="249" t="str">
        <f t="shared" si="2"/>
        <v/>
      </c>
      <c r="N1256" s="266">
        <f t="shared" si="3"/>
        <v>0</v>
      </c>
      <c r="O1256" s="247"/>
      <c r="P1256" s="247"/>
      <c r="Q1256" s="247"/>
      <c r="R1256" s="247"/>
      <c r="S1256" s="247"/>
      <c r="T1256" s="247"/>
      <c r="U1256" s="247"/>
      <c r="V1256" s="247"/>
      <c r="W1256" s="247"/>
      <c r="X1256" s="247"/>
    </row>
    <row r="1257">
      <c r="A1257" s="274"/>
      <c r="B1257" s="274"/>
      <c r="C1257" s="274"/>
      <c r="D1257" s="283"/>
      <c r="E1257" s="274"/>
      <c r="F1257" s="279"/>
      <c r="G1257" s="278" t="str">
        <f>IFNA(IF(VLOOKUP(RC_OUT[BLOCK],RC_IN[[BLOCK]:[BLOCK LOC]],2,FALSE)=0,"",VLOOKUP(RC_OUT[BLOCK],RC_IN[[BLOCK]:[BLOCK LOC]],2,FALSE)),"")</f>
        <v/>
      </c>
      <c r="I1257" s="263" t="str">
        <f>IFERROR(AVERAGEIFS(RC_IN[MC],RC_IN[BLOCK],RC_OUT[BLOCK]),"")</f>
        <v/>
      </c>
      <c r="J1257" s="264">
        <f t="shared" si="1"/>
        <v>0</v>
      </c>
      <c r="K1257" s="246"/>
      <c r="L1257" s="246"/>
      <c r="M1257" s="249" t="str">
        <f t="shared" si="2"/>
        <v/>
      </c>
      <c r="N1257" s="266">
        <f t="shared" si="3"/>
        <v>0</v>
      </c>
      <c r="O1257" s="247"/>
      <c r="P1257" s="247"/>
      <c r="Q1257" s="247"/>
      <c r="R1257" s="247"/>
      <c r="S1257" s="247"/>
      <c r="T1257" s="247"/>
      <c r="U1257" s="247"/>
      <c r="V1257" s="247"/>
      <c r="W1257" s="247"/>
      <c r="X1257" s="247"/>
    </row>
    <row r="1258">
      <c r="A1258" s="282">
        <v>45947.0</v>
      </c>
      <c r="B1258" s="275" t="s">
        <v>1125</v>
      </c>
      <c r="C1258" s="275" t="s">
        <v>1331</v>
      </c>
      <c r="D1258" s="276">
        <v>6262.0</v>
      </c>
      <c r="E1258" s="275" t="s">
        <v>1017</v>
      </c>
      <c r="F1258" s="277" t="s">
        <v>1059</v>
      </c>
      <c r="G1258" s="278" t="str">
        <f>IFNA(IF(VLOOKUP(RC_OUT[BLOCK],RC_IN[[BLOCK]:[BLOCK LOC]],2,FALSE)=0,"",VLOOKUP(RC_OUT[BLOCK],RC_IN[[BLOCK]:[BLOCK LOC]],2,FALSE)),"")</f>
        <v/>
      </c>
      <c r="I1258" s="263" t="str">
        <f>IFERROR(AVERAGEIFS(RC_IN[MC],RC_IN[BLOCK],RC_OUT[BLOCK]),"")</f>
        <v/>
      </c>
      <c r="J1258" s="264">
        <f t="shared" si="1"/>
        <v>0</v>
      </c>
      <c r="K1258" s="246"/>
      <c r="L1258" s="246"/>
      <c r="M1258" s="249" t="str">
        <f t="shared" si="2"/>
        <v/>
      </c>
      <c r="N1258" s="266">
        <f t="shared" si="3"/>
        <v>0</v>
      </c>
      <c r="O1258" s="247"/>
      <c r="P1258" s="247"/>
      <c r="Q1258" s="247"/>
      <c r="R1258" s="247"/>
      <c r="S1258" s="247"/>
      <c r="T1258" s="247"/>
      <c r="U1258" s="247"/>
      <c r="V1258" s="247"/>
      <c r="W1258" s="247"/>
      <c r="X1258" s="247"/>
    </row>
    <row r="1259">
      <c r="A1259" s="282">
        <v>45947.0</v>
      </c>
      <c r="B1259" s="275" t="s">
        <v>1125</v>
      </c>
      <c r="C1259" s="275" t="s">
        <v>1332</v>
      </c>
      <c r="D1259" s="276">
        <v>7449.0</v>
      </c>
      <c r="E1259" s="275" t="s">
        <v>1017</v>
      </c>
      <c r="F1259" s="279"/>
      <c r="G1259" s="278" t="str">
        <f>IFNA(IF(VLOOKUP(RC_OUT[BLOCK],RC_IN[[BLOCK]:[BLOCK LOC]],2,FALSE)=0,"",VLOOKUP(RC_OUT[BLOCK],RC_IN[[BLOCK]:[BLOCK LOC]],2,FALSE)),"")</f>
        <v/>
      </c>
      <c r="I1259" s="263" t="str">
        <f>IFERROR(AVERAGEIFS(RC_IN[MC],RC_IN[BLOCK],RC_OUT[BLOCK]),"")</f>
        <v/>
      </c>
      <c r="J1259" s="264">
        <f t="shared" si="1"/>
        <v>0</v>
      </c>
      <c r="K1259" s="246"/>
      <c r="L1259" s="246"/>
      <c r="M1259" s="249" t="str">
        <f t="shared" si="2"/>
        <v/>
      </c>
      <c r="N1259" s="266">
        <f t="shared" si="3"/>
        <v>0</v>
      </c>
      <c r="O1259" s="247"/>
      <c r="P1259" s="247"/>
      <c r="Q1259" s="247"/>
      <c r="R1259" s="247"/>
      <c r="S1259" s="247"/>
      <c r="T1259" s="247"/>
      <c r="U1259" s="247"/>
      <c r="V1259" s="247"/>
      <c r="W1259" s="247"/>
      <c r="X1259" s="247"/>
    </row>
    <row r="1260">
      <c r="A1260" s="282">
        <v>45947.0</v>
      </c>
      <c r="B1260" s="275" t="s">
        <v>1125</v>
      </c>
      <c r="C1260" s="275" t="s">
        <v>1334</v>
      </c>
      <c r="D1260" s="276">
        <v>2002.0</v>
      </c>
      <c r="E1260" s="275" t="s">
        <v>1017</v>
      </c>
      <c r="F1260" s="277" t="s">
        <v>1059</v>
      </c>
      <c r="G1260" s="278" t="str">
        <f>IFNA(IF(VLOOKUP(RC_OUT[BLOCK],RC_IN[[BLOCK]:[BLOCK LOC]],2,FALSE)=0,"",VLOOKUP(RC_OUT[BLOCK],RC_IN[[BLOCK]:[BLOCK LOC]],2,FALSE)),"")</f>
        <v/>
      </c>
      <c r="I1260" s="263" t="str">
        <f>IFERROR(AVERAGEIFS(RC_IN[MC],RC_IN[BLOCK],RC_OUT[BLOCK]),"")</f>
        <v/>
      </c>
      <c r="J1260" s="264">
        <f t="shared" si="1"/>
        <v>0</v>
      </c>
      <c r="K1260" s="246"/>
      <c r="L1260" s="246"/>
      <c r="M1260" s="249" t="str">
        <f t="shared" si="2"/>
        <v/>
      </c>
      <c r="N1260" s="266">
        <f t="shared" si="3"/>
        <v>0</v>
      </c>
      <c r="O1260" s="247"/>
      <c r="P1260" s="247"/>
      <c r="Q1260" s="247"/>
      <c r="R1260" s="247"/>
      <c r="S1260" s="247"/>
      <c r="T1260" s="247"/>
      <c r="U1260" s="247"/>
      <c r="V1260" s="247"/>
      <c r="W1260" s="247"/>
      <c r="X1260" s="247"/>
    </row>
    <row r="1261">
      <c r="A1261" s="282">
        <v>45947.0</v>
      </c>
      <c r="B1261" s="275" t="s">
        <v>1125</v>
      </c>
      <c r="C1261" s="275" t="s">
        <v>1335</v>
      </c>
      <c r="D1261" s="276">
        <v>18666.0</v>
      </c>
      <c r="E1261" s="275" t="s">
        <v>1017</v>
      </c>
      <c r="F1261" s="277" t="s">
        <v>1059</v>
      </c>
      <c r="G1261" s="278" t="str">
        <f>IFNA(IF(VLOOKUP(RC_OUT[BLOCK],RC_IN[[BLOCK]:[BLOCK LOC]],2,FALSE)=0,"",VLOOKUP(RC_OUT[BLOCK],RC_IN[[BLOCK]:[BLOCK LOC]],2,FALSE)),"")</f>
        <v/>
      </c>
      <c r="I1261" s="263" t="str">
        <f>IFERROR(AVERAGEIFS(RC_IN[MC],RC_IN[BLOCK],RC_OUT[BLOCK]),"")</f>
        <v/>
      </c>
      <c r="J1261" s="264">
        <f t="shared" si="1"/>
        <v>0</v>
      </c>
      <c r="K1261" s="246"/>
      <c r="L1261" s="246"/>
      <c r="M1261" s="249" t="str">
        <f t="shared" si="2"/>
        <v/>
      </c>
      <c r="N1261" s="266">
        <f t="shared" si="3"/>
        <v>0</v>
      </c>
      <c r="O1261" s="247"/>
      <c r="P1261" s="247"/>
      <c r="Q1261" s="247"/>
      <c r="R1261" s="247"/>
      <c r="S1261" s="247"/>
      <c r="T1261" s="247"/>
      <c r="U1261" s="247"/>
      <c r="V1261" s="247"/>
      <c r="W1261" s="247"/>
      <c r="X1261" s="247"/>
    </row>
    <row r="1262">
      <c r="A1262" s="274"/>
      <c r="B1262" s="274"/>
      <c r="C1262" s="274"/>
      <c r="D1262" s="283"/>
      <c r="E1262" s="274"/>
      <c r="F1262" s="279"/>
      <c r="G1262" s="278" t="str">
        <f>IFNA(IF(VLOOKUP(RC_OUT[BLOCK],RC_IN[[BLOCK]:[BLOCK LOC]],2,FALSE)=0,"",VLOOKUP(RC_OUT[BLOCK],RC_IN[[BLOCK]:[BLOCK LOC]],2,FALSE)),"")</f>
        <v/>
      </c>
      <c r="I1262" s="263" t="str">
        <f>IFERROR(AVERAGEIFS(RC_IN[MC],RC_IN[BLOCK],RC_OUT[BLOCK]),"")</f>
        <v/>
      </c>
      <c r="J1262" s="264">
        <f t="shared" si="1"/>
        <v>0</v>
      </c>
      <c r="K1262" s="246"/>
      <c r="L1262" s="246"/>
      <c r="M1262" s="249" t="str">
        <f t="shared" si="2"/>
        <v/>
      </c>
      <c r="N1262" s="266">
        <f t="shared" si="3"/>
        <v>0</v>
      </c>
      <c r="O1262" s="247"/>
      <c r="P1262" s="247"/>
      <c r="Q1262" s="247"/>
      <c r="R1262" s="247"/>
      <c r="S1262" s="247"/>
      <c r="T1262" s="247"/>
      <c r="U1262" s="247"/>
      <c r="V1262" s="247"/>
      <c r="W1262" s="247"/>
      <c r="X1262" s="247"/>
    </row>
    <row r="1263">
      <c r="A1263" s="282">
        <v>45948.0</v>
      </c>
      <c r="B1263" s="275" t="s">
        <v>1125</v>
      </c>
      <c r="C1263" s="275" t="s">
        <v>1332</v>
      </c>
      <c r="D1263" s="276">
        <v>11085.0</v>
      </c>
      <c r="E1263" s="275" t="s">
        <v>1017</v>
      </c>
      <c r="F1263" s="277" t="s">
        <v>1059</v>
      </c>
      <c r="G1263" s="278" t="str">
        <f>IFNA(IF(VLOOKUP(RC_OUT[BLOCK],RC_IN[[BLOCK]:[BLOCK LOC]],2,FALSE)=0,"",VLOOKUP(RC_OUT[BLOCK],RC_IN[[BLOCK]:[BLOCK LOC]],2,FALSE)),"")</f>
        <v/>
      </c>
      <c r="I1263" s="263" t="str">
        <f>IFERROR(AVERAGEIFS(RC_IN[MC],RC_IN[BLOCK],RC_OUT[BLOCK]),"")</f>
        <v/>
      </c>
      <c r="J1263" s="264">
        <f t="shared" si="1"/>
        <v>0</v>
      </c>
      <c r="K1263" s="246"/>
      <c r="L1263" s="246"/>
      <c r="M1263" s="249" t="str">
        <f t="shared" si="2"/>
        <v/>
      </c>
      <c r="N1263" s="266">
        <f t="shared" si="3"/>
        <v>0</v>
      </c>
      <c r="O1263" s="247"/>
      <c r="P1263" s="247"/>
      <c r="Q1263" s="247"/>
      <c r="R1263" s="247"/>
      <c r="S1263" s="247"/>
      <c r="T1263" s="247"/>
      <c r="U1263" s="247"/>
      <c r="V1263" s="247"/>
      <c r="W1263" s="247"/>
      <c r="X1263" s="247"/>
    </row>
    <row r="1264">
      <c r="A1264" s="282">
        <v>45948.0</v>
      </c>
      <c r="B1264" s="275" t="s">
        <v>1125</v>
      </c>
      <c r="C1264" s="275" t="s">
        <v>1336</v>
      </c>
      <c r="D1264" s="276">
        <v>13349.0</v>
      </c>
      <c r="E1264" s="275" t="s">
        <v>1017</v>
      </c>
      <c r="F1264" s="279"/>
      <c r="G1264" s="278" t="str">
        <f>IFNA(IF(VLOOKUP(RC_OUT[BLOCK],RC_IN[[BLOCK]:[BLOCK LOC]],2,FALSE)=0,"",VLOOKUP(RC_OUT[BLOCK],RC_IN[[BLOCK]:[BLOCK LOC]],2,FALSE)),"")</f>
        <v/>
      </c>
      <c r="I1264" s="263" t="str">
        <f>IFERROR(AVERAGEIFS(RC_IN[MC],RC_IN[BLOCK],RC_OUT[BLOCK]),"")</f>
        <v/>
      </c>
      <c r="J1264" s="264">
        <f t="shared" si="1"/>
        <v>0</v>
      </c>
      <c r="K1264" s="246"/>
      <c r="L1264" s="246"/>
      <c r="M1264" s="249" t="str">
        <f t="shared" si="2"/>
        <v/>
      </c>
      <c r="N1264" s="266">
        <f t="shared" si="3"/>
        <v>0</v>
      </c>
      <c r="O1264" s="247"/>
      <c r="P1264" s="247"/>
      <c r="Q1264" s="247"/>
      <c r="R1264" s="247"/>
      <c r="S1264" s="247"/>
      <c r="T1264" s="247"/>
      <c r="U1264" s="247"/>
      <c r="V1264" s="247"/>
      <c r="W1264" s="247"/>
      <c r="X1264" s="247"/>
    </row>
    <row r="1265">
      <c r="A1265" s="282">
        <v>45948.0</v>
      </c>
      <c r="B1265" s="275" t="s">
        <v>1125</v>
      </c>
      <c r="C1265" s="275" t="s">
        <v>1337</v>
      </c>
      <c r="D1265" s="276">
        <v>2445.0</v>
      </c>
      <c r="E1265" s="275" t="s">
        <v>1017</v>
      </c>
      <c r="F1265" s="279"/>
      <c r="G1265" s="278" t="str">
        <f>IFNA(IF(VLOOKUP(RC_OUT[BLOCK],RC_IN[[BLOCK]:[BLOCK LOC]],2,FALSE)=0,"",VLOOKUP(RC_OUT[BLOCK],RC_IN[[BLOCK]:[BLOCK LOC]],2,FALSE)),"")</f>
        <v/>
      </c>
      <c r="I1265" s="263" t="str">
        <f>IFERROR(AVERAGEIFS(RC_IN[MC],RC_IN[BLOCK],RC_OUT[BLOCK]),"")</f>
        <v/>
      </c>
      <c r="J1265" s="264">
        <f t="shared" si="1"/>
        <v>0</v>
      </c>
      <c r="K1265" s="246"/>
      <c r="L1265" s="246"/>
      <c r="M1265" s="249" t="str">
        <f t="shared" si="2"/>
        <v/>
      </c>
      <c r="N1265" s="266">
        <f t="shared" si="3"/>
        <v>0</v>
      </c>
      <c r="O1265" s="247"/>
      <c r="P1265" s="247"/>
      <c r="Q1265" s="247"/>
      <c r="R1265" s="247"/>
      <c r="S1265" s="247"/>
      <c r="T1265" s="247"/>
      <c r="U1265" s="247"/>
      <c r="V1265" s="247"/>
      <c r="W1265" s="247"/>
      <c r="X1265" s="247"/>
    </row>
    <row r="1266">
      <c r="A1266" s="282">
        <v>45948.0</v>
      </c>
      <c r="B1266" s="275" t="s">
        <v>1125</v>
      </c>
      <c r="C1266" s="275" t="s">
        <v>1338</v>
      </c>
      <c r="D1266" s="276">
        <v>6000.0</v>
      </c>
      <c r="E1266" s="275" t="s">
        <v>1017</v>
      </c>
      <c r="F1266" s="279"/>
      <c r="G1266" s="278" t="str">
        <f>IFNA(IF(VLOOKUP(RC_OUT[BLOCK],RC_IN[[BLOCK]:[BLOCK LOC]],2,FALSE)=0,"",VLOOKUP(RC_OUT[BLOCK],RC_IN[[BLOCK]:[BLOCK LOC]],2,FALSE)),"")</f>
        <v/>
      </c>
      <c r="I1266" s="263" t="str">
        <f>IFERROR(AVERAGEIFS(RC_IN[MC],RC_IN[BLOCK],RC_OUT[BLOCK]),"")</f>
        <v/>
      </c>
      <c r="J1266" s="264">
        <f t="shared" si="1"/>
        <v>0</v>
      </c>
      <c r="K1266" s="246"/>
      <c r="L1266" s="246"/>
      <c r="M1266" s="249" t="str">
        <f t="shared" si="2"/>
        <v/>
      </c>
      <c r="N1266" s="266">
        <f t="shared" si="3"/>
        <v>0</v>
      </c>
      <c r="O1266" s="247"/>
      <c r="P1266" s="247"/>
      <c r="Q1266" s="247"/>
      <c r="R1266" s="247"/>
      <c r="S1266" s="247"/>
      <c r="T1266" s="247"/>
      <c r="U1266" s="247"/>
      <c r="V1266" s="247"/>
      <c r="W1266" s="247"/>
      <c r="X1266" s="247"/>
    </row>
    <row r="1267">
      <c r="A1267" s="274"/>
      <c r="B1267" s="274"/>
      <c r="C1267" s="274"/>
      <c r="D1267" s="283"/>
      <c r="E1267" s="274"/>
      <c r="F1267" s="279"/>
      <c r="G1267" s="278" t="str">
        <f>IFNA(IF(VLOOKUP(RC_OUT[BLOCK],RC_IN[[BLOCK]:[BLOCK LOC]],2,FALSE)=0,"",VLOOKUP(RC_OUT[BLOCK],RC_IN[[BLOCK]:[BLOCK LOC]],2,FALSE)),"")</f>
        <v/>
      </c>
      <c r="I1267" s="263" t="str">
        <f>IFERROR(AVERAGEIFS(RC_IN[MC],RC_IN[BLOCK],RC_OUT[BLOCK]),"")</f>
        <v/>
      </c>
      <c r="J1267" s="264">
        <f t="shared" si="1"/>
        <v>0</v>
      </c>
      <c r="K1267" s="246"/>
      <c r="L1267" s="246"/>
      <c r="M1267" s="249" t="str">
        <f t="shared" si="2"/>
        <v/>
      </c>
      <c r="N1267" s="266">
        <f t="shared" si="3"/>
        <v>0</v>
      </c>
      <c r="O1267" s="247"/>
      <c r="P1267" s="247"/>
      <c r="Q1267" s="247"/>
      <c r="R1267" s="247"/>
      <c r="S1267" s="247"/>
      <c r="T1267" s="247"/>
      <c r="U1267" s="247"/>
      <c r="V1267" s="247"/>
      <c r="W1267" s="247"/>
      <c r="X1267" s="247"/>
    </row>
    <row r="1268">
      <c r="A1268" s="282">
        <v>45950.0</v>
      </c>
      <c r="B1268" s="275" t="s">
        <v>1125</v>
      </c>
      <c r="C1268" s="275" t="s">
        <v>1336</v>
      </c>
      <c r="D1268" s="276">
        <v>14349.0</v>
      </c>
      <c r="E1268" s="275" t="s">
        <v>1017</v>
      </c>
      <c r="F1268" s="279"/>
      <c r="G1268" s="278" t="str">
        <f>IFNA(IF(VLOOKUP(RC_OUT[BLOCK],RC_IN[[BLOCK]:[BLOCK LOC]],2,FALSE)=0,"",VLOOKUP(RC_OUT[BLOCK],RC_IN[[BLOCK]:[BLOCK LOC]],2,FALSE)),"")</f>
        <v/>
      </c>
      <c r="I1268" s="263" t="str">
        <f>IFERROR(AVERAGEIFS(RC_IN[MC],RC_IN[BLOCK],RC_OUT[BLOCK]),"")</f>
        <v/>
      </c>
      <c r="J1268" s="264">
        <f t="shared" si="1"/>
        <v>0</v>
      </c>
      <c r="K1268" s="246"/>
      <c r="L1268" s="246"/>
      <c r="M1268" s="249" t="str">
        <f t="shared" si="2"/>
        <v/>
      </c>
      <c r="N1268" s="266">
        <f t="shared" si="3"/>
        <v>0</v>
      </c>
      <c r="O1268" s="247"/>
      <c r="P1268" s="247"/>
      <c r="Q1268" s="247"/>
      <c r="R1268" s="247"/>
      <c r="S1268" s="247"/>
      <c r="T1268" s="247"/>
      <c r="U1268" s="247"/>
      <c r="V1268" s="247"/>
      <c r="W1268" s="247"/>
      <c r="X1268" s="247"/>
    </row>
    <row r="1269">
      <c r="A1269" s="282">
        <v>45950.0</v>
      </c>
      <c r="B1269" s="275" t="s">
        <v>1125</v>
      </c>
      <c r="C1269" s="275" t="s">
        <v>1337</v>
      </c>
      <c r="D1269" s="276">
        <v>17205.0</v>
      </c>
      <c r="E1269" s="275" t="s">
        <v>1017</v>
      </c>
      <c r="F1269" s="277" t="s">
        <v>1059</v>
      </c>
      <c r="G1269" s="278" t="str">
        <f>IFNA(IF(VLOOKUP(RC_OUT[BLOCK],RC_IN[[BLOCK]:[BLOCK LOC]],2,FALSE)=0,"",VLOOKUP(RC_OUT[BLOCK],RC_IN[[BLOCK]:[BLOCK LOC]],2,FALSE)),"")</f>
        <v/>
      </c>
      <c r="I1269" s="263" t="str">
        <f>IFERROR(AVERAGEIFS(RC_IN[MC],RC_IN[BLOCK],RC_OUT[BLOCK]),"")</f>
        <v/>
      </c>
      <c r="J1269" s="264">
        <f t="shared" si="1"/>
        <v>0</v>
      </c>
      <c r="K1269" s="246"/>
      <c r="L1269" s="246"/>
      <c r="M1269" s="249" t="str">
        <f t="shared" si="2"/>
        <v/>
      </c>
      <c r="N1269" s="266">
        <f t="shared" si="3"/>
        <v>0</v>
      </c>
      <c r="O1269" s="247"/>
      <c r="P1269" s="247"/>
      <c r="Q1269" s="247"/>
      <c r="R1269" s="247"/>
      <c r="S1269" s="247"/>
      <c r="T1269" s="247"/>
      <c r="U1269" s="247"/>
      <c r="V1269" s="247"/>
      <c r="W1269" s="247"/>
      <c r="X1269" s="247"/>
    </row>
    <row r="1270">
      <c r="A1270" s="282">
        <v>45950.0</v>
      </c>
      <c r="B1270" s="275" t="s">
        <v>1125</v>
      </c>
      <c r="C1270" s="275" t="s">
        <v>1338</v>
      </c>
      <c r="D1270" s="276">
        <v>10000.0</v>
      </c>
      <c r="E1270" s="275" t="s">
        <v>1017</v>
      </c>
      <c r="F1270" s="279"/>
      <c r="G1270" s="278" t="str">
        <f>IFNA(IF(VLOOKUP(RC_OUT[BLOCK],RC_IN[[BLOCK]:[BLOCK LOC]],2,FALSE)=0,"",VLOOKUP(RC_OUT[BLOCK],RC_IN[[BLOCK]:[BLOCK LOC]],2,FALSE)),"")</f>
        <v/>
      </c>
      <c r="I1270" s="263" t="str">
        <f>IFERROR(AVERAGEIFS(RC_IN[MC],RC_IN[BLOCK],RC_OUT[BLOCK]),"")</f>
        <v/>
      </c>
      <c r="J1270" s="264">
        <f t="shared" si="1"/>
        <v>0</v>
      </c>
      <c r="K1270" s="246"/>
      <c r="L1270" s="246"/>
      <c r="M1270" s="249" t="str">
        <f t="shared" si="2"/>
        <v/>
      </c>
      <c r="N1270" s="266">
        <f t="shared" si="3"/>
        <v>0</v>
      </c>
      <c r="O1270" s="247"/>
      <c r="P1270" s="247"/>
      <c r="Q1270" s="247"/>
      <c r="R1270" s="247"/>
      <c r="S1270" s="247"/>
      <c r="T1270" s="247"/>
      <c r="U1270" s="247"/>
      <c r="V1270" s="247"/>
      <c r="W1270" s="247"/>
      <c r="X1270" s="247"/>
    </row>
    <row r="1271">
      <c r="A1271" s="274"/>
      <c r="B1271" s="274"/>
      <c r="C1271" s="274"/>
      <c r="D1271" s="283"/>
      <c r="E1271" s="274"/>
      <c r="F1271" s="279"/>
      <c r="G1271" s="278" t="str">
        <f>IFNA(IF(VLOOKUP(RC_OUT[BLOCK],RC_IN[[BLOCK]:[BLOCK LOC]],2,FALSE)=0,"",VLOOKUP(RC_OUT[BLOCK],RC_IN[[BLOCK]:[BLOCK LOC]],2,FALSE)),"")</f>
        <v/>
      </c>
      <c r="I1271" s="263" t="str">
        <f>IFERROR(AVERAGEIFS(RC_IN[MC],RC_IN[BLOCK],RC_OUT[BLOCK]),"")</f>
        <v/>
      </c>
      <c r="J1271" s="264">
        <f t="shared" si="1"/>
        <v>0</v>
      </c>
      <c r="K1271" s="246"/>
      <c r="L1271" s="246"/>
      <c r="M1271" s="249" t="str">
        <f t="shared" si="2"/>
        <v/>
      </c>
      <c r="N1271" s="266">
        <f t="shared" si="3"/>
        <v>0</v>
      </c>
      <c r="O1271" s="247"/>
      <c r="P1271" s="247"/>
      <c r="Q1271" s="247"/>
      <c r="R1271" s="247"/>
      <c r="S1271" s="247"/>
      <c r="T1271" s="247"/>
      <c r="U1271" s="247"/>
      <c r="V1271" s="247"/>
      <c r="W1271" s="247"/>
      <c r="X1271" s="247"/>
    </row>
    <row r="1272">
      <c r="A1272" s="282">
        <v>45951.0</v>
      </c>
      <c r="B1272" s="275" t="s">
        <v>1125</v>
      </c>
      <c r="C1272" s="275" t="s">
        <v>1336</v>
      </c>
      <c r="D1272" s="276">
        <v>10397.0</v>
      </c>
      <c r="E1272" s="275" t="s">
        <v>1017</v>
      </c>
      <c r="F1272" s="277" t="s">
        <v>1059</v>
      </c>
      <c r="G1272" s="278" t="str">
        <f>IFNA(IF(VLOOKUP(RC_OUT[BLOCK],RC_IN[[BLOCK]:[BLOCK LOC]],2,FALSE)=0,"",VLOOKUP(RC_OUT[BLOCK],RC_IN[[BLOCK]:[BLOCK LOC]],2,FALSE)),"")</f>
        <v/>
      </c>
      <c r="I1272" s="263" t="str">
        <f>IFERROR(AVERAGEIFS(RC_IN[MC],RC_IN[BLOCK],RC_OUT[BLOCK]),"")</f>
        <v/>
      </c>
      <c r="J1272" s="264">
        <f t="shared" si="1"/>
        <v>0</v>
      </c>
      <c r="K1272" s="246"/>
      <c r="L1272" s="246"/>
      <c r="M1272" s="249" t="str">
        <f t="shared" si="2"/>
        <v/>
      </c>
      <c r="N1272" s="266">
        <f t="shared" si="3"/>
        <v>0</v>
      </c>
      <c r="O1272" s="247"/>
      <c r="P1272" s="247"/>
      <c r="Q1272" s="247"/>
      <c r="R1272" s="247"/>
      <c r="S1272" s="247"/>
      <c r="T1272" s="247"/>
      <c r="U1272" s="247"/>
      <c r="V1272" s="247"/>
      <c r="W1272" s="247"/>
      <c r="X1272" s="247"/>
    </row>
    <row r="1273">
      <c r="A1273" s="282">
        <v>45951.0</v>
      </c>
      <c r="B1273" s="275" t="s">
        <v>1125</v>
      </c>
      <c r="C1273" s="275" t="s">
        <v>1338</v>
      </c>
      <c r="D1273" s="276">
        <v>1875.0</v>
      </c>
      <c r="E1273" s="275" t="s">
        <v>1017</v>
      </c>
      <c r="F1273" s="277" t="s">
        <v>1059</v>
      </c>
      <c r="G1273" s="278" t="str">
        <f>IFNA(IF(VLOOKUP(RC_OUT[BLOCK],RC_IN[[BLOCK]:[BLOCK LOC]],2,FALSE)=0,"",VLOOKUP(RC_OUT[BLOCK],RC_IN[[BLOCK]:[BLOCK LOC]],2,FALSE)),"")</f>
        <v/>
      </c>
      <c r="I1273" s="263" t="str">
        <f>IFERROR(AVERAGEIFS(RC_IN[MC],RC_IN[BLOCK],RC_OUT[BLOCK]),"")</f>
        <v/>
      </c>
      <c r="J1273" s="264">
        <f t="shared" si="1"/>
        <v>0</v>
      </c>
      <c r="K1273" s="246"/>
      <c r="L1273" s="246"/>
      <c r="M1273" s="249" t="str">
        <f t="shared" si="2"/>
        <v/>
      </c>
      <c r="N1273" s="266">
        <f t="shared" si="3"/>
        <v>0</v>
      </c>
      <c r="O1273" s="247"/>
      <c r="P1273" s="247"/>
      <c r="Q1273" s="247"/>
      <c r="R1273" s="247"/>
      <c r="S1273" s="247"/>
      <c r="T1273" s="247"/>
      <c r="U1273" s="247"/>
      <c r="V1273" s="247"/>
      <c r="W1273" s="247"/>
      <c r="X1273" s="247"/>
    </row>
    <row r="1274">
      <c r="A1274" s="282">
        <v>45951.0</v>
      </c>
      <c r="B1274" s="275" t="s">
        <v>1125</v>
      </c>
      <c r="C1274" s="275" t="s">
        <v>1339</v>
      </c>
      <c r="D1274" s="276">
        <v>4409.0</v>
      </c>
      <c r="E1274" s="275" t="s">
        <v>1017</v>
      </c>
      <c r="F1274" s="279"/>
      <c r="G1274" s="278" t="str">
        <f>IFNA(IF(VLOOKUP(RC_OUT[BLOCK],RC_IN[[BLOCK]:[BLOCK LOC]],2,FALSE)=0,"",VLOOKUP(RC_OUT[BLOCK],RC_IN[[BLOCK]:[BLOCK LOC]],2,FALSE)),"")</f>
        <v/>
      </c>
      <c r="I1274" s="263" t="str">
        <f>IFERROR(AVERAGEIFS(RC_IN[MC],RC_IN[BLOCK],RC_OUT[BLOCK]),"")</f>
        <v/>
      </c>
      <c r="J1274" s="264">
        <f t="shared" si="1"/>
        <v>0</v>
      </c>
      <c r="K1274" s="246"/>
      <c r="L1274" s="246"/>
      <c r="M1274" s="249" t="str">
        <f t="shared" si="2"/>
        <v/>
      </c>
      <c r="N1274" s="266">
        <f t="shared" si="3"/>
        <v>0</v>
      </c>
      <c r="O1274" s="247"/>
      <c r="P1274" s="247"/>
      <c r="Q1274" s="247"/>
      <c r="R1274" s="247"/>
      <c r="S1274" s="247"/>
      <c r="T1274" s="247"/>
      <c r="U1274" s="247"/>
      <c r="V1274" s="247"/>
      <c r="W1274" s="247"/>
      <c r="X1274" s="247"/>
    </row>
    <row r="1275">
      <c r="A1275" s="282">
        <v>45951.0</v>
      </c>
      <c r="B1275" s="275" t="s">
        <v>1125</v>
      </c>
      <c r="C1275" s="275" t="s">
        <v>1340</v>
      </c>
      <c r="D1275" s="276">
        <v>15972.0</v>
      </c>
      <c r="E1275" s="275" t="s">
        <v>1017</v>
      </c>
      <c r="F1275" s="279"/>
      <c r="G1275" s="278" t="str">
        <f>IFNA(IF(VLOOKUP(RC_OUT[BLOCK],RC_IN[[BLOCK]:[BLOCK LOC]],2,FALSE)=0,"",VLOOKUP(RC_OUT[BLOCK],RC_IN[[BLOCK]:[BLOCK LOC]],2,FALSE)),"")</f>
        <v/>
      </c>
      <c r="I1275" s="263" t="str">
        <f>IFERROR(AVERAGEIFS(RC_IN[MC],RC_IN[BLOCK],RC_OUT[BLOCK]),"")</f>
        <v/>
      </c>
      <c r="J1275" s="264">
        <f t="shared" si="1"/>
        <v>0</v>
      </c>
      <c r="K1275" s="246"/>
      <c r="L1275" s="246"/>
      <c r="M1275" s="249" t="str">
        <f t="shared" si="2"/>
        <v/>
      </c>
      <c r="N1275" s="266">
        <f t="shared" si="3"/>
        <v>0</v>
      </c>
      <c r="O1275" s="247"/>
      <c r="P1275" s="247"/>
      <c r="Q1275" s="247"/>
      <c r="R1275" s="247"/>
      <c r="S1275" s="247"/>
      <c r="T1275" s="247"/>
      <c r="U1275" s="247"/>
      <c r="V1275" s="247"/>
      <c r="W1275" s="247"/>
      <c r="X1275" s="247"/>
    </row>
    <row r="1276">
      <c r="A1276" s="274"/>
      <c r="B1276" s="274"/>
      <c r="C1276" s="274"/>
      <c r="D1276" s="283"/>
      <c r="E1276" s="274"/>
      <c r="F1276" s="279"/>
      <c r="G1276" s="278" t="str">
        <f>IFNA(IF(VLOOKUP(RC_OUT[BLOCK],RC_IN[[BLOCK]:[BLOCK LOC]],2,FALSE)=0,"",VLOOKUP(RC_OUT[BLOCK],RC_IN[[BLOCK]:[BLOCK LOC]],2,FALSE)),"")</f>
        <v/>
      </c>
      <c r="I1276" s="263" t="str">
        <f>IFERROR(AVERAGEIFS(RC_IN[MC],RC_IN[BLOCK],RC_OUT[BLOCK]),"")</f>
        <v/>
      </c>
      <c r="J1276" s="264">
        <f t="shared" si="1"/>
        <v>0</v>
      </c>
      <c r="K1276" s="246"/>
      <c r="L1276" s="246"/>
      <c r="M1276" s="249" t="str">
        <f t="shared" si="2"/>
        <v/>
      </c>
      <c r="N1276" s="266">
        <f t="shared" si="3"/>
        <v>0</v>
      </c>
      <c r="O1276" s="247"/>
      <c r="P1276" s="247"/>
      <c r="Q1276" s="247"/>
      <c r="R1276" s="247"/>
      <c r="S1276" s="247"/>
      <c r="T1276" s="247"/>
      <c r="U1276" s="247"/>
      <c r="V1276" s="247"/>
      <c r="W1276" s="247"/>
      <c r="X1276" s="247"/>
    </row>
    <row r="1277">
      <c r="A1277" s="282">
        <v>45952.0</v>
      </c>
      <c r="B1277" s="275" t="s">
        <v>1125</v>
      </c>
      <c r="C1277" s="275" t="s">
        <v>1339</v>
      </c>
      <c r="D1277" s="276">
        <v>13089.0</v>
      </c>
      <c r="E1277" s="275" t="s">
        <v>1017</v>
      </c>
      <c r="F1277" s="279"/>
      <c r="G1277" s="278" t="str">
        <f>IFNA(IF(VLOOKUP(RC_OUT[BLOCK],RC_IN[[BLOCK]:[BLOCK LOC]],2,FALSE)=0,"",VLOOKUP(RC_OUT[BLOCK],RC_IN[[BLOCK]:[BLOCK LOC]],2,FALSE)),"")</f>
        <v/>
      </c>
      <c r="I1277" s="263" t="str">
        <f>IFERROR(AVERAGEIFS(RC_IN[MC],RC_IN[BLOCK],RC_OUT[BLOCK]),"")</f>
        <v/>
      </c>
      <c r="J1277" s="264">
        <f t="shared" si="1"/>
        <v>0</v>
      </c>
      <c r="K1277" s="246"/>
      <c r="L1277" s="246"/>
      <c r="M1277" s="249" t="str">
        <f t="shared" si="2"/>
        <v/>
      </c>
      <c r="N1277" s="266">
        <f t="shared" si="3"/>
        <v>0</v>
      </c>
      <c r="O1277" s="247"/>
      <c r="P1277" s="247"/>
      <c r="Q1277" s="247"/>
      <c r="R1277" s="247"/>
      <c r="S1277" s="247"/>
      <c r="T1277" s="247"/>
      <c r="U1277" s="247"/>
      <c r="V1277" s="247"/>
      <c r="W1277" s="247"/>
      <c r="X1277" s="247"/>
    </row>
    <row r="1278">
      <c r="A1278" s="282">
        <v>45952.0</v>
      </c>
      <c r="B1278" s="275" t="s">
        <v>1125</v>
      </c>
      <c r="C1278" s="275" t="s">
        <v>1340</v>
      </c>
      <c r="D1278" s="276">
        <v>12511.0</v>
      </c>
      <c r="E1278" s="275" t="s">
        <v>1017</v>
      </c>
      <c r="F1278" s="279"/>
      <c r="G1278" s="278" t="str">
        <f>IFNA(IF(VLOOKUP(RC_OUT[BLOCK],RC_IN[[BLOCK]:[BLOCK LOC]],2,FALSE)=0,"",VLOOKUP(RC_OUT[BLOCK],RC_IN[[BLOCK]:[BLOCK LOC]],2,FALSE)),"")</f>
        <v/>
      </c>
      <c r="I1278" s="263" t="str">
        <f>IFERROR(AVERAGEIFS(RC_IN[MC],RC_IN[BLOCK],RC_OUT[BLOCK]),"")</f>
        <v/>
      </c>
      <c r="J1278" s="264">
        <f t="shared" si="1"/>
        <v>0</v>
      </c>
      <c r="K1278" s="246"/>
      <c r="L1278" s="246"/>
      <c r="M1278" s="249" t="str">
        <f t="shared" si="2"/>
        <v/>
      </c>
      <c r="N1278" s="266">
        <f t="shared" si="3"/>
        <v>0</v>
      </c>
      <c r="O1278" s="247"/>
      <c r="P1278" s="247"/>
      <c r="Q1278" s="247"/>
      <c r="R1278" s="247"/>
      <c r="S1278" s="247"/>
      <c r="T1278" s="247"/>
      <c r="U1278" s="247"/>
      <c r="V1278" s="247"/>
      <c r="W1278" s="247"/>
      <c r="X1278" s="247"/>
    </row>
    <row r="1279">
      <c r="A1279" s="282">
        <v>45952.0</v>
      </c>
      <c r="B1279" s="275" t="s">
        <v>1125</v>
      </c>
      <c r="C1279" s="275" t="s">
        <v>1341</v>
      </c>
      <c r="D1279" s="276">
        <v>9280.0</v>
      </c>
      <c r="E1279" s="275" t="s">
        <v>1017</v>
      </c>
      <c r="F1279" s="279"/>
      <c r="G1279" s="278" t="str">
        <f>IFNA(IF(VLOOKUP(RC_OUT[BLOCK],RC_IN[[BLOCK]:[BLOCK LOC]],2,FALSE)=0,"",VLOOKUP(RC_OUT[BLOCK],RC_IN[[BLOCK]:[BLOCK LOC]],2,FALSE)),"")</f>
        <v/>
      </c>
      <c r="I1279" s="263" t="str">
        <f>IFERROR(AVERAGEIFS(RC_IN[MC],RC_IN[BLOCK],RC_OUT[BLOCK]),"")</f>
        <v/>
      </c>
      <c r="J1279" s="264">
        <f t="shared" si="1"/>
        <v>0</v>
      </c>
      <c r="K1279" s="246"/>
      <c r="L1279" s="246"/>
      <c r="M1279" s="249" t="str">
        <f t="shared" si="2"/>
        <v/>
      </c>
      <c r="N1279" s="266">
        <f t="shared" si="3"/>
        <v>0</v>
      </c>
      <c r="O1279" s="247"/>
      <c r="P1279" s="247"/>
      <c r="Q1279" s="247"/>
      <c r="R1279" s="247"/>
      <c r="S1279" s="247"/>
      <c r="T1279" s="247"/>
      <c r="U1279" s="247"/>
      <c r="V1279" s="247"/>
      <c r="W1279" s="247"/>
      <c r="X1279" s="247"/>
    </row>
    <row r="1280">
      <c r="A1280" s="274"/>
      <c r="B1280" s="274"/>
      <c r="C1280" s="274"/>
      <c r="D1280" s="283"/>
      <c r="E1280" s="274"/>
      <c r="F1280" s="279"/>
      <c r="G1280" s="278" t="str">
        <f>IFNA(IF(VLOOKUP(RC_OUT[BLOCK],RC_IN[[BLOCK]:[BLOCK LOC]],2,FALSE)=0,"",VLOOKUP(RC_OUT[BLOCK],RC_IN[[BLOCK]:[BLOCK LOC]],2,FALSE)),"")</f>
        <v/>
      </c>
      <c r="I1280" s="263" t="str">
        <f>IFERROR(AVERAGEIFS(RC_IN[MC],RC_IN[BLOCK],RC_OUT[BLOCK]),"")</f>
        <v/>
      </c>
      <c r="J1280" s="264">
        <f t="shared" si="1"/>
        <v>0</v>
      </c>
      <c r="K1280" s="246"/>
      <c r="L1280" s="246"/>
      <c r="M1280" s="249" t="str">
        <f t="shared" si="2"/>
        <v/>
      </c>
      <c r="N1280" s="266">
        <f t="shared" si="3"/>
        <v>0</v>
      </c>
      <c r="O1280" s="247"/>
      <c r="P1280" s="247"/>
      <c r="Q1280" s="247"/>
      <c r="R1280" s="247"/>
      <c r="S1280" s="247"/>
      <c r="T1280" s="247"/>
      <c r="U1280" s="247"/>
      <c r="V1280" s="247"/>
      <c r="W1280" s="247"/>
      <c r="X1280" s="247"/>
    </row>
    <row r="1281">
      <c r="A1281" s="282">
        <v>45953.0</v>
      </c>
      <c r="B1281" s="275" t="s">
        <v>1125</v>
      </c>
      <c r="C1281" s="275" t="s">
        <v>1339</v>
      </c>
      <c r="D1281" s="276">
        <v>18104.0</v>
      </c>
      <c r="E1281" s="275" t="s">
        <v>1017</v>
      </c>
      <c r="F1281" s="279"/>
      <c r="G1281" s="278" t="str">
        <f>IFNA(IF(VLOOKUP(RC_OUT[BLOCK],RC_IN[[BLOCK]:[BLOCK LOC]],2,FALSE)=0,"",VLOOKUP(RC_OUT[BLOCK],RC_IN[[BLOCK]:[BLOCK LOC]],2,FALSE)),"")</f>
        <v/>
      </c>
      <c r="I1281" s="263" t="str">
        <f>IFERROR(AVERAGEIFS(RC_IN[MC],RC_IN[BLOCK],RC_OUT[BLOCK]),"")</f>
        <v/>
      </c>
      <c r="J1281" s="264">
        <f t="shared" si="1"/>
        <v>0</v>
      </c>
      <c r="K1281" s="246"/>
      <c r="L1281" s="246"/>
      <c r="M1281" s="249" t="str">
        <f t="shared" si="2"/>
        <v/>
      </c>
      <c r="N1281" s="266">
        <f t="shared" si="3"/>
        <v>0</v>
      </c>
      <c r="O1281" s="247"/>
      <c r="P1281" s="247"/>
      <c r="Q1281" s="247"/>
      <c r="R1281" s="247"/>
      <c r="S1281" s="247"/>
      <c r="T1281" s="247"/>
      <c r="U1281" s="247"/>
      <c r="V1281" s="247"/>
      <c r="W1281" s="247"/>
      <c r="X1281" s="247"/>
    </row>
    <row r="1282">
      <c r="A1282" s="282">
        <v>45953.0</v>
      </c>
      <c r="B1282" s="275" t="s">
        <v>1125</v>
      </c>
      <c r="C1282" s="275" t="s">
        <v>1340</v>
      </c>
      <c r="D1282" s="276">
        <v>18145.0</v>
      </c>
      <c r="E1282" s="275" t="s">
        <v>1017</v>
      </c>
      <c r="F1282" s="279"/>
      <c r="G1282" s="278" t="str">
        <f>IFNA(IF(VLOOKUP(RC_OUT[BLOCK],RC_IN[[BLOCK]:[BLOCK LOC]],2,FALSE)=0,"",VLOOKUP(RC_OUT[BLOCK],RC_IN[[BLOCK]:[BLOCK LOC]],2,FALSE)),"")</f>
        <v/>
      </c>
      <c r="I1282" s="263" t="str">
        <f>IFERROR(AVERAGEIFS(RC_IN[MC],RC_IN[BLOCK],RC_OUT[BLOCK]),"")</f>
        <v/>
      </c>
      <c r="J1282" s="264">
        <f t="shared" si="1"/>
        <v>0</v>
      </c>
      <c r="K1282" s="246"/>
      <c r="L1282" s="246"/>
      <c r="M1282" s="249" t="str">
        <f t="shared" si="2"/>
        <v/>
      </c>
      <c r="N1282" s="266">
        <f t="shared" si="3"/>
        <v>0</v>
      </c>
      <c r="O1282" s="247"/>
      <c r="P1282" s="247"/>
      <c r="Q1282" s="247"/>
      <c r="R1282" s="247"/>
      <c r="S1282" s="247"/>
      <c r="T1282" s="247"/>
      <c r="U1282" s="247"/>
      <c r="V1282" s="247"/>
      <c r="W1282" s="247"/>
      <c r="X1282" s="247"/>
    </row>
    <row r="1283">
      <c r="A1283" s="282">
        <v>45953.0</v>
      </c>
      <c r="B1283" s="275" t="s">
        <v>1125</v>
      </c>
      <c r="C1283" s="275" t="s">
        <v>1341</v>
      </c>
      <c r="D1283" s="276">
        <v>9280.0</v>
      </c>
      <c r="E1283" s="275" t="s">
        <v>1017</v>
      </c>
      <c r="F1283" s="277" t="s">
        <v>1059</v>
      </c>
      <c r="G1283" s="278" t="str">
        <f>IFNA(IF(VLOOKUP(RC_OUT[BLOCK],RC_IN[[BLOCK]:[BLOCK LOC]],2,FALSE)=0,"",VLOOKUP(RC_OUT[BLOCK],RC_IN[[BLOCK]:[BLOCK LOC]],2,FALSE)),"")</f>
        <v/>
      </c>
      <c r="I1283" s="263" t="str">
        <f>IFERROR(AVERAGEIFS(RC_IN[MC],RC_IN[BLOCK],RC_OUT[BLOCK]),"")</f>
        <v/>
      </c>
      <c r="J1283" s="264">
        <f t="shared" si="1"/>
        <v>0</v>
      </c>
      <c r="K1283" s="246"/>
      <c r="L1283" s="246"/>
      <c r="M1283" s="249" t="str">
        <f t="shared" si="2"/>
        <v/>
      </c>
      <c r="N1283" s="266">
        <f t="shared" si="3"/>
        <v>0</v>
      </c>
      <c r="O1283" s="247"/>
      <c r="P1283" s="247"/>
      <c r="Q1283" s="247"/>
      <c r="R1283" s="247"/>
      <c r="S1283" s="247"/>
      <c r="T1283" s="247"/>
      <c r="U1283" s="247"/>
      <c r="V1283" s="247"/>
      <c r="W1283" s="247"/>
      <c r="X1283" s="247"/>
    </row>
    <row r="1284">
      <c r="A1284" s="274"/>
      <c r="B1284" s="274"/>
      <c r="C1284" s="274"/>
      <c r="D1284" s="283"/>
      <c r="E1284" s="274"/>
      <c r="F1284" s="279"/>
      <c r="G1284" s="278" t="str">
        <f>IFNA(IF(VLOOKUP(RC_OUT[BLOCK],RC_IN[[BLOCK]:[BLOCK LOC]],2,FALSE)=0,"",VLOOKUP(RC_OUT[BLOCK],RC_IN[[BLOCK]:[BLOCK LOC]],2,FALSE)),"")</f>
        <v/>
      </c>
      <c r="I1284" s="263" t="str">
        <f>IFERROR(AVERAGEIFS(RC_IN[MC],RC_IN[BLOCK],RC_OUT[BLOCK]),"")</f>
        <v/>
      </c>
      <c r="J1284" s="264">
        <f t="shared" si="1"/>
        <v>0</v>
      </c>
      <c r="K1284" s="246"/>
      <c r="L1284" s="246"/>
      <c r="M1284" s="249" t="str">
        <f t="shared" si="2"/>
        <v/>
      </c>
      <c r="N1284" s="266">
        <f t="shared" si="3"/>
        <v>0</v>
      </c>
      <c r="O1284" s="247"/>
      <c r="P1284" s="247"/>
      <c r="Q1284" s="247"/>
      <c r="R1284" s="247"/>
      <c r="S1284" s="247"/>
      <c r="T1284" s="247"/>
      <c r="U1284" s="247"/>
      <c r="V1284" s="247"/>
      <c r="W1284" s="247"/>
      <c r="X1284" s="247"/>
    </row>
    <row r="1285">
      <c r="A1285" s="274"/>
      <c r="B1285" s="274"/>
      <c r="C1285" s="274"/>
      <c r="D1285" s="283"/>
      <c r="E1285" s="274"/>
      <c r="F1285" s="279"/>
      <c r="G1285" s="278" t="str">
        <f>IFNA(IF(VLOOKUP(RC_OUT[BLOCK],RC_IN[[BLOCK]:[BLOCK LOC]],2,FALSE)=0,"",VLOOKUP(RC_OUT[BLOCK],RC_IN[[BLOCK]:[BLOCK LOC]],2,FALSE)),"")</f>
        <v/>
      </c>
      <c r="I1285" s="263" t="str">
        <f>IFERROR(AVERAGEIFS(RC_IN[MC],RC_IN[BLOCK],RC_OUT[BLOCK]),"")</f>
        <v/>
      </c>
      <c r="J1285" s="264">
        <f t="shared" si="1"/>
        <v>0</v>
      </c>
      <c r="K1285" s="246"/>
      <c r="L1285" s="246"/>
      <c r="M1285" s="249" t="str">
        <f t="shared" si="2"/>
        <v/>
      </c>
      <c r="N1285" s="266">
        <f t="shared" si="3"/>
        <v>0</v>
      </c>
      <c r="O1285" s="247"/>
      <c r="P1285" s="247"/>
      <c r="Q1285" s="247"/>
      <c r="R1285" s="247"/>
      <c r="S1285" s="247"/>
      <c r="T1285" s="247"/>
      <c r="U1285" s="247"/>
      <c r="V1285" s="247"/>
      <c r="W1285" s="247"/>
      <c r="X1285" s="247"/>
    </row>
    <row r="1286">
      <c r="A1286" s="282">
        <v>45976.0</v>
      </c>
      <c r="B1286" s="275" t="s">
        <v>1142</v>
      </c>
      <c r="C1286" s="275" t="s">
        <v>1339</v>
      </c>
      <c r="D1286" s="276">
        <v>13027.0</v>
      </c>
      <c r="E1286" s="275" t="s">
        <v>1017</v>
      </c>
      <c r="F1286" s="277" t="s">
        <v>1059</v>
      </c>
      <c r="G1286" s="278" t="str">
        <f>IFNA(IF(VLOOKUP(RC_OUT[BLOCK],RC_IN[[BLOCK]:[BLOCK LOC]],2,FALSE)=0,"",VLOOKUP(RC_OUT[BLOCK],RC_IN[[BLOCK]:[BLOCK LOC]],2,FALSE)),"")</f>
        <v/>
      </c>
      <c r="I1286" s="263" t="str">
        <f>IFERROR(AVERAGEIFS(RC_IN[MC],RC_IN[BLOCK],RC_OUT[BLOCK]),"")</f>
        <v/>
      </c>
      <c r="J1286" s="264">
        <f t="shared" si="1"/>
        <v>0</v>
      </c>
      <c r="K1286" s="246"/>
      <c r="L1286" s="246"/>
      <c r="M1286" s="249" t="str">
        <f t="shared" si="2"/>
        <v/>
      </c>
      <c r="N1286" s="266">
        <f t="shared" si="3"/>
        <v>0</v>
      </c>
      <c r="O1286" s="247"/>
      <c r="P1286" s="247"/>
      <c r="Q1286" s="247"/>
      <c r="R1286" s="247"/>
      <c r="S1286" s="247"/>
      <c r="T1286" s="247"/>
      <c r="U1286" s="247"/>
      <c r="V1286" s="247"/>
      <c r="W1286" s="247"/>
      <c r="X1286" s="247"/>
    </row>
    <row r="1287">
      <c r="A1287" s="282">
        <v>45976.0</v>
      </c>
      <c r="B1287" s="275" t="s">
        <v>1142</v>
      </c>
      <c r="C1287" s="275" t="s">
        <v>1340</v>
      </c>
      <c r="D1287" s="276">
        <v>7273.0</v>
      </c>
      <c r="E1287" s="275" t="s">
        <v>1017</v>
      </c>
      <c r="F1287" s="277" t="s">
        <v>1059</v>
      </c>
      <c r="G1287" s="278" t="str">
        <f>IFNA(IF(VLOOKUP(RC_OUT[BLOCK],RC_IN[[BLOCK]:[BLOCK LOC]],2,FALSE)=0,"",VLOOKUP(RC_OUT[BLOCK],RC_IN[[BLOCK]:[BLOCK LOC]],2,FALSE)),"")</f>
        <v/>
      </c>
      <c r="I1287" s="263" t="str">
        <f>IFERROR(AVERAGEIFS(RC_IN[MC],RC_IN[BLOCK],RC_OUT[BLOCK]),"")</f>
        <v/>
      </c>
      <c r="J1287" s="264">
        <f t="shared" si="1"/>
        <v>0</v>
      </c>
      <c r="K1287" s="246"/>
      <c r="L1287" s="246"/>
      <c r="M1287" s="249" t="str">
        <f t="shared" si="2"/>
        <v/>
      </c>
      <c r="N1287" s="266">
        <f t="shared" si="3"/>
        <v>0</v>
      </c>
      <c r="O1287" s="247"/>
      <c r="P1287" s="247"/>
      <c r="Q1287" s="247"/>
      <c r="R1287" s="247"/>
      <c r="S1287" s="247"/>
      <c r="T1287" s="247"/>
      <c r="U1287" s="247"/>
      <c r="V1287" s="247"/>
      <c r="W1287" s="247"/>
      <c r="X1287" s="247"/>
    </row>
    <row r="1288">
      <c r="A1288" s="282">
        <v>45976.0</v>
      </c>
      <c r="B1288" s="275" t="s">
        <v>1142</v>
      </c>
      <c r="C1288" s="275" t="s">
        <v>1342</v>
      </c>
      <c r="D1288" s="276">
        <v>21680.0</v>
      </c>
      <c r="E1288" s="275" t="s">
        <v>1017</v>
      </c>
      <c r="F1288" s="279"/>
      <c r="G1288" s="278" t="str">
        <f>IFNA(IF(VLOOKUP(RC_OUT[BLOCK],RC_IN[[BLOCK]:[BLOCK LOC]],2,FALSE)=0,"",VLOOKUP(RC_OUT[BLOCK],RC_IN[[BLOCK]:[BLOCK LOC]],2,FALSE)),"")</f>
        <v/>
      </c>
      <c r="I1288" s="263" t="str">
        <f>IFERROR(AVERAGEIFS(RC_IN[MC],RC_IN[BLOCK],RC_OUT[BLOCK]),"")</f>
        <v/>
      </c>
      <c r="J1288" s="264">
        <f t="shared" si="1"/>
        <v>0</v>
      </c>
      <c r="K1288" s="246"/>
      <c r="L1288" s="246"/>
      <c r="M1288" s="249" t="str">
        <f t="shared" si="2"/>
        <v/>
      </c>
      <c r="N1288" s="266">
        <f t="shared" si="3"/>
        <v>0</v>
      </c>
      <c r="O1288" s="247"/>
      <c r="P1288" s="247"/>
      <c r="Q1288" s="247"/>
      <c r="R1288" s="247"/>
      <c r="S1288" s="247"/>
      <c r="T1288" s="247"/>
      <c r="U1288" s="247"/>
      <c r="V1288" s="247"/>
      <c r="W1288" s="247"/>
      <c r="X1288" s="247"/>
    </row>
    <row r="1289">
      <c r="A1289" s="282">
        <v>45976.0</v>
      </c>
      <c r="B1289" s="275" t="s">
        <v>1142</v>
      </c>
      <c r="C1289" s="275" t="s">
        <v>1343</v>
      </c>
      <c r="D1289" s="276">
        <v>3962.0</v>
      </c>
      <c r="E1289" s="275" t="s">
        <v>1017</v>
      </c>
      <c r="F1289" s="279"/>
      <c r="G1289" s="278" t="str">
        <f>IFNA(IF(VLOOKUP(RC_OUT[BLOCK],RC_IN[[BLOCK]:[BLOCK LOC]],2,FALSE)=0,"",VLOOKUP(RC_OUT[BLOCK],RC_IN[[BLOCK]:[BLOCK LOC]],2,FALSE)),"")</f>
        <v/>
      </c>
      <c r="I1289" s="263" t="str">
        <f>IFERROR(AVERAGEIFS(RC_IN[MC],RC_IN[BLOCK],RC_OUT[BLOCK]),"")</f>
        <v/>
      </c>
      <c r="J1289" s="264">
        <f t="shared" si="1"/>
        <v>0</v>
      </c>
      <c r="K1289" s="246"/>
      <c r="L1289" s="246"/>
      <c r="M1289" s="249" t="str">
        <f t="shared" si="2"/>
        <v/>
      </c>
      <c r="N1289" s="266">
        <f t="shared" si="3"/>
        <v>0</v>
      </c>
      <c r="O1289" s="247"/>
      <c r="P1289" s="247"/>
      <c r="Q1289" s="247"/>
      <c r="R1289" s="247"/>
      <c r="S1289" s="247"/>
      <c r="T1289" s="247"/>
      <c r="U1289" s="247"/>
      <c r="V1289" s="247"/>
      <c r="W1289" s="247"/>
      <c r="X1289" s="247"/>
    </row>
    <row r="1290">
      <c r="A1290" s="282">
        <v>45976.0</v>
      </c>
      <c r="B1290" s="275" t="s">
        <v>1142</v>
      </c>
      <c r="C1290" s="275" t="s">
        <v>1344</v>
      </c>
      <c r="D1290" s="276">
        <v>2612.0</v>
      </c>
      <c r="E1290" s="275" t="s">
        <v>1017</v>
      </c>
      <c r="F1290" s="279"/>
      <c r="G1290" s="278" t="str">
        <f>IFNA(IF(VLOOKUP(RC_OUT[BLOCK],RC_IN[[BLOCK]:[BLOCK LOC]],2,FALSE)=0,"",VLOOKUP(RC_OUT[BLOCK],RC_IN[[BLOCK]:[BLOCK LOC]],2,FALSE)),"")</f>
        <v/>
      </c>
      <c r="I1290" s="263" t="str">
        <f>IFERROR(AVERAGEIFS(RC_IN[MC],RC_IN[BLOCK],RC_OUT[BLOCK]),"")</f>
        <v/>
      </c>
      <c r="J1290" s="264">
        <f t="shared" si="1"/>
        <v>0</v>
      </c>
      <c r="K1290" s="246"/>
      <c r="L1290" s="246"/>
      <c r="M1290" s="249" t="str">
        <f t="shared" si="2"/>
        <v/>
      </c>
      <c r="N1290" s="266">
        <f t="shared" si="3"/>
        <v>0</v>
      </c>
      <c r="O1290" s="247"/>
      <c r="P1290" s="247"/>
      <c r="Q1290" s="247"/>
      <c r="R1290" s="247"/>
      <c r="S1290" s="247"/>
      <c r="T1290" s="247"/>
      <c r="U1290" s="247"/>
      <c r="V1290" s="247"/>
      <c r="W1290" s="247"/>
      <c r="X1290" s="247"/>
    </row>
    <row r="1291">
      <c r="A1291" s="274"/>
      <c r="B1291" s="274"/>
      <c r="C1291" s="274"/>
      <c r="D1291" s="283"/>
      <c r="E1291" s="274"/>
      <c r="F1291" s="279"/>
      <c r="G1291" s="278" t="str">
        <f>IFNA(IF(VLOOKUP(RC_OUT[BLOCK],RC_IN[[BLOCK]:[BLOCK LOC]],2,FALSE)=0,"",VLOOKUP(RC_OUT[BLOCK],RC_IN[[BLOCK]:[BLOCK LOC]],2,FALSE)),"")</f>
        <v/>
      </c>
      <c r="I1291" s="263" t="str">
        <f>IFERROR(AVERAGEIFS(RC_IN[MC],RC_IN[BLOCK],RC_OUT[BLOCK]),"")</f>
        <v/>
      </c>
      <c r="J1291" s="264">
        <f t="shared" si="1"/>
        <v>0</v>
      </c>
      <c r="K1291" s="246"/>
      <c r="L1291" s="246"/>
      <c r="M1291" s="249" t="str">
        <f t="shared" si="2"/>
        <v/>
      </c>
      <c r="N1291" s="266">
        <f t="shared" si="3"/>
        <v>0</v>
      </c>
      <c r="O1291" s="247"/>
      <c r="P1291" s="247"/>
      <c r="Q1291" s="247"/>
      <c r="R1291" s="247"/>
      <c r="S1291" s="247"/>
      <c r="T1291" s="247"/>
      <c r="U1291" s="247"/>
      <c r="V1291" s="247"/>
      <c r="W1291" s="247"/>
      <c r="X1291" s="247"/>
    </row>
    <row r="1292">
      <c r="A1292" s="282">
        <v>45978.0</v>
      </c>
      <c r="B1292" s="275" t="s">
        <v>1142</v>
      </c>
      <c r="C1292" s="275" t="s">
        <v>1342</v>
      </c>
      <c r="D1292" s="276">
        <v>13010.0</v>
      </c>
      <c r="E1292" s="275" t="s">
        <v>1017</v>
      </c>
      <c r="F1292" s="279"/>
      <c r="G1292" s="278" t="str">
        <f>IFNA(IF(VLOOKUP(RC_OUT[BLOCK],RC_IN[[BLOCK]:[BLOCK LOC]],2,FALSE)=0,"",VLOOKUP(RC_OUT[BLOCK],RC_IN[[BLOCK]:[BLOCK LOC]],2,FALSE)),"")</f>
        <v/>
      </c>
      <c r="I1292" s="263" t="str">
        <f>IFERROR(AVERAGEIFS(RC_IN[MC],RC_IN[BLOCK],RC_OUT[BLOCK]),"")</f>
        <v/>
      </c>
      <c r="J1292" s="264">
        <f t="shared" si="1"/>
        <v>0</v>
      </c>
      <c r="K1292" s="246"/>
      <c r="L1292" s="246"/>
      <c r="M1292" s="249" t="str">
        <f t="shared" si="2"/>
        <v/>
      </c>
      <c r="N1292" s="266">
        <f t="shared" si="3"/>
        <v>0</v>
      </c>
      <c r="O1292" s="247"/>
      <c r="P1292" s="247"/>
      <c r="Q1292" s="247"/>
      <c r="R1292" s="247"/>
      <c r="S1292" s="247"/>
      <c r="T1292" s="247"/>
      <c r="U1292" s="247"/>
      <c r="V1292" s="247"/>
      <c r="W1292" s="247"/>
      <c r="X1292" s="247"/>
    </row>
    <row r="1293">
      <c r="A1293" s="282">
        <v>45978.0</v>
      </c>
      <c r="B1293" s="275" t="s">
        <v>1142</v>
      </c>
      <c r="C1293" s="275" t="s">
        <v>1343</v>
      </c>
      <c r="D1293" s="276">
        <v>15557.0</v>
      </c>
      <c r="E1293" s="275" t="s">
        <v>1017</v>
      </c>
      <c r="F1293" s="279"/>
      <c r="G1293" s="278" t="str">
        <f>IFNA(IF(VLOOKUP(RC_OUT[BLOCK],RC_IN[[BLOCK]:[BLOCK LOC]],2,FALSE)=0,"",VLOOKUP(RC_OUT[BLOCK],RC_IN[[BLOCK]:[BLOCK LOC]],2,FALSE)),"")</f>
        <v/>
      </c>
      <c r="I1293" s="263" t="str">
        <f>IFERROR(AVERAGEIFS(RC_IN[MC],RC_IN[BLOCK],RC_OUT[BLOCK]),"")</f>
        <v/>
      </c>
      <c r="J1293" s="264">
        <f t="shared" si="1"/>
        <v>0</v>
      </c>
      <c r="K1293" s="246"/>
      <c r="L1293" s="246"/>
      <c r="M1293" s="249" t="str">
        <f t="shared" si="2"/>
        <v/>
      </c>
      <c r="N1293" s="266">
        <f t="shared" si="3"/>
        <v>0</v>
      </c>
      <c r="O1293" s="247"/>
      <c r="P1293" s="247"/>
      <c r="Q1293" s="247"/>
      <c r="R1293" s="247"/>
      <c r="S1293" s="247"/>
      <c r="T1293" s="247"/>
      <c r="U1293" s="247"/>
      <c r="V1293" s="247"/>
      <c r="W1293" s="247"/>
      <c r="X1293" s="247"/>
    </row>
    <row r="1294">
      <c r="A1294" s="282">
        <v>45978.0</v>
      </c>
      <c r="B1294" s="275" t="s">
        <v>1142</v>
      </c>
      <c r="C1294" s="275" t="s">
        <v>1344</v>
      </c>
      <c r="D1294" s="276">
        <v>7705.0</v>
      </c>
      <c r="E1294" s="275" t="s">
        <v>1017</v>
      </c>
      <c r="F1294" s="279"/>
      <c r="G1294" s="278" t="str">
        <f>IFNA(IF(VLOOKUP(RC_OUT[BLOCK],RC_IN[[BLOCK]:[BLOCK LOC]],2,FALSE)=0,"",VLOOKUP(RC_OUT[BLOCK],RC_IN[[BLOCK]:[BLOCK LOC]],2,FALSE)),"")</f>
        <v/>
      </c>
      <c r="I1294" s="263" t="str">
        <f>IFERROR(AVERAGEIFS(RC_IN[MC],RC_IN[BLOCK],RC_OUT[BLOCK]),"")</f>
        <v/>
      </c>
      <c r="J1294" s="264">
        <f t="shared" si="1"/>
        <v>0</v>
      </c>
      <c r="K1294" s="246"/>
      <c r="L1294" s="246"/>
      <c r="M1294" s="249" t="str">
        <f t="shared" si="2"/>
        <v/>
      </c>
      <c r="N1294" s="266">
        <f t="shared" si="3"/>
        <v>0</v>
      </c>
      <c r="O1294" s="247"/>
      <c r="P1294" s="247"/>
      <c r="Q1294" s="247"/>
      <c r="R1294" s="247"/>
      <c r="S1294" s="247"/>
      <c r="T1294" s="247"/>
      <c r="U1294" s="247"/>
      <c r="V1294" s="247"/>
      <c r="W1294" s="247"/>
      <c r="X1294" s="247"/>
    </row>
    <row r="1295">
      <c r="A1295" s="274"/>
      <c r="B1295" s="274"/>
      <c r="C1295" s="274"/>
      <c r="D1295" s="283"/>
      <c r="E1295" s="274"/>
      <c r="F1295" s="279"/>
      <c r="G1295" s="278" t="str">
        <f>IFNA(IF(VLOOKUP(RC_OUT[BLOCK],RC_IN[[BLOCK]:[BLOCK LOC]],2,FALSE)=0,"",VLOOKUP(RC_OUT[BLOCK],RC_IN[[BLOCK]:[BLOCK LOC]],2,FALSE)),"")</f>
        <v/>
      </c>
      <c r="I1295" s="263" t="str">
        <f>IFERROR(AVERAGEIFS(RC_IN[MC],RC_IN[BLOCK],RC_OUT[BLOCK]),"")</f>
        <v/>
      </c>
      <c r="J1295" s="264">
        <f t="shared" si="1"/>
        <v>0</v>
      </c>
      <c r="K1295" s="246"/>
      <c r="L1295" s="246"/>
      <c r="M1295" s="249" t="str">
        <f t="shared" si="2"/>
        <v/>
      </c>
      <c r="N1295" s="266">
        <f t="shared" si="3"/>
        <v>0</v>
      </c>
      <c r="O1295" s="247"/>
      <c r="P1295" s="247"/>
      <c r="Q1295" s="247"/>
      <c r="R1295" s="247"/>
      <c r="S1295" s="247"/>
      <c r="T1295" s="247"/>
      <c r="U1295" s="247"/>
      <c r="V1295" s="247"/>
      <c r="W1295" s="247"/>
      <c r="X1295" s="247"/>
    </row>
    <row r="1296">
      <c r="A1296" s="282">
        <v>45979.0</v>
      </c>
      <c r="B1296" s="275" t="s">
        <v>1142</v>
      </c>
      <c r="C1296" s="275" t="s">
        <v>1342</v>
      </c>
      <c r="D1296" s="276">
        <v>17986.0</v>
      </c>
      <c r="E1296" s="275" t="s">
        <v>1017</v>
      </c>
      <c r="F1296" s="277" t="s">
        <v>1059</v>
      </c>
      <c r="G1296" s="278" t="str">
        <f>IFNA(IF(VLOOKUP(RC_OUT[BLOCK],RC_IN[[BLOCK]:[BLOCK LOC]],2,FALSE)=0,"",VLOOKUP(RC_OUT[BLOCK],RC_IN[[BLOCK]:[BLOCK LOC]],2,FALSE)),"")</f>
        <v/>
      </c>
      <c r="I1296" s="263" t="str">
        <f>IFERROR(AVERAGEIFS(RC_IN[MC],RC_IN[BLOCK],RC_OUT[BLOCK]),"")</f>
        <v/>
      </c>
      <c r="J1296" s="264">
        <f t="shared" si="1"/>
        <v>0</v>
      </c>
      <c r="K1296" s="246"/>
      <c r="L1296" s="246"/>
      <c r="M1296" s="249" t="str">
        <f t="shared" si="2"/>
        <v/>
      </c>
      <c r="N1296" s="266">
        <f t="shared" si="3"/>
        <v>0</v>
      </c>
      <c r="O1296" s="247"/>
      <c r="P1296" s="247"/>
      <c r="Q1296" s="247"/>
      <c r="R1296" s="247"/>
      <c r="S1296" s="247"/>
      <c r="T1296" s="247"/>
      <c r="U1296" s="247"/>
      <c r="V1296" s="247"/>
      <c r="W1296" s="247"/>
      <c r="X1296" s="247"/>
    </row>
    <row r="1297">
      <c r="A1297" s="282">
        <v>45979.0</v>
      </c>
      <c r="B1297" s="275" t="s">
        <v>1142</v>
      </c>
      <c r="C1297" s="275" t="s">
        <v>1343</v>
      </c>
      <c r="D1297" s="276">
        <v>11062.0</v>
      </c>
      <c r="E1297" s="275" t="s">
        <v>1017</v>
      </c>
      <c r="F1297" s="277" t="s">
        <v>1059</v>
      </c>
      <c r="G1297" s="278" t="str">
        <f>IFNA(IF(VLOOKUP(RC_OUT[BLOCK],RC_IN[[BLOCK]:[BLOCK LOC]],2,FALSE)=0,"",VLOOKUP(RC_OUT[BLOCK],RC_IN[[BLOCK]:[BLOCK LOC]],2,FALSE)),"")</f>
        <v/>
      </c>
      <c r="I1297" s="263" t="str">
        <f>IFERROR(AVERAGEIFS(RC_IN[MC],RC_IN[BLOCK],RC_OUT[BLOCK]),"")</f>
        <v/>
      </c>
      <c r="J1297" s="264">
        <f t="shared" si="1"/>
        <v>0</v>
      </c>
      <c r="K1297" s="246"/>
      <c r="L1297" s="246"/>
      <c r="M1297" s="249" t="str">
        <f t="shared" si="2"/>
        <v/>
      </c>
      <c r="N1297" s="266">
        <f t="shared" si="3"/>
        <v>0</v>
      </c>
      <c r="O1297" s="247"/>
      <c r="P1297" s="247"/>
      <c r="Q1297" s="247"/>
      <c r="R1297" s="247"/>
      <c r="S1297" s="247"/>
      <c r="T1297" s="247"/>
      <c r="U1297" s="247"/>
      <c r="V1297" s="247"/>
      <c r="W1297" s="247"/>
      <c r="X1297" s="247"/>
    </row>
    <row r="1298">
      <c r="A1298" s="282">
        <v>45979.0</v>
      </c>
      <c r="B1298" s="275" t="s">
        <v>1142</v>
      </c>
      <c r="C1298" s="275" t="s">
        <v>1344</v>
      </c>
      <c r="D1298" s="276">
        <v>9145.0</v>
      </c>
      <c r="E1298" s="275" t="s">
        <v>1017</v>
      </c>
      <c r="F1298" s="279"/>
      <c r="G1298" s="278" t="str">
        <f>IFNA(IF(VLOOKUP(RC_OUT[BLOCK],RC_IN[[BLOCK]:[BLOCK LOC]],2,FALSE)=0,"",VLOOKUP(RC_OUT[BLOCK],RC_IN[[BLOCK]:[BLOCK LOC]],2,FALSE)),"")</f>
        <v/>
      </c>
      <c r="I1298" s="263" t="str">
        <f>IFERROR(AVERAGEIFS(RC_IN[MC],RC_IN[BLOCK],RC_OUT[BLOCK]),"")</f>
        <v/>
      </c>
      <c r="J1298" s="264">
        <f t="shared" si="1"/>
        <v>0</v>
      </c>
      <c r="K1298" s="246"/>
      <c r="L1298" s="246"/>
      <c r="M1298" s="249" t="str">
        <f t="shared" si="2"/>
        <v/>
      </c>
      <c r="N1298" s="266">
        <f t="shared" si="3"/>
        <v>0</v>
      </c>
      <c r="O1298" s="247"/>
      <c r="P1298" s="247"/>
      <c r="Q1298" s="247"/>
      <c r="R1298" s="247"/>
      <c r="S1298" s="247"/>
      <c r="T1298" s="247"/>
      <c r="U1298" s="247"/>
      <c r="V1298" s="247"/>
      <c r="W1298" s="247"/>
      <c r="X1298" s="247"/>
    </row>
    <row r="1299">
      <c r="A1299" s="282">
        <v>45979.0</v>
      </c>
      <c r="B1299" s="275" t="s">
        <v>1142</v>
      </c>
      <c r="C1299" s="275" t="s">
        <v>1345</v>
      </c>
      <c r="D1299" s="276">
        <v>10754.0</v>
      </c>
      <c r="E1299" s="275" t="s">
        <v>1017</v>
      </c>
      <c r="F1299" s="277" t="s">
        <v>1059</v>
      </c>
      <c r="G1299" s="278" t="str">
        <f>IFNA(IF(VLOOKUP(RC_OUT[BLOCK],RC_IN[[BLOCK]:[BLOCK LOC]],2,FALSE)=0,"",VLOOKUP(RC_OUT[BLOCK],RC_IN[[BLOCK]:[BLOCK LOC]],2,FALSE)),"")</f>
        <v/>
      </c>
      <c r="I1299" s="263" t="str">
        <f>IFERROR(AVERAGEIFS(RC_IN[MC],RC_IN[BLOCK],RC_OUT[BLOCK]),"")</f>
        <v/>
      </c>
      <c r="J1299" s="264">
        <f t="shared" si="1"/>
        <v>0</v>
      </c>
      <c r="K1299" s="246"/>
      <c r="L1299" s="246"/>
      <c r="M1299" s="249" t="str">
        <f t="shared" si="2"/>
        <v/>
      </c>
      <c r="N1299" s="266">
        <f t="shared" si="3"/>
        <v>0</v>
      </c>
      <c r="O1299" s="247"/>
      <c r="P1299" s="247"/>
      <c r="Q1299" s="247"/>
      <c r="R1299" s="247"/>
      <c r="S1299" s="247"/>
      <c r="T1299" s="247"/>
      <c r="U1299" s="247"/>
      <c r="V1299" s="247"/>
      <c r="W1299" s="247"/>
      <c r="X1299" s="247"/>
    </row>
    <row r="1300">
      <c r="A1300" s="274"/>
      <c r="B1300" s="274"/>
      <c r="C1300" s="274"/>
      <c r="D1300" s="283"/>
      <c r="E1300" s="274"/>
      <c r="F1300" s="279"/>
      <c r="G1300" s="278" t="str">
        <f>IFNA(IF(VLOOKUP(RC_OUT[BLOCK],RC_IN[[BLOCK]:[BLOCK LOC]],2,FALSE)=0,"",VLOOKUP(RC_OUT[BLOCK],RC_IN[[BLOCK]:[BLOCK LOC]],2,FALSE)),"")</f>
        <v/>
      </c>
      <c r="I1300" s="263" t="str">
        <f>IFERROR(AVERAGEIFS(RC_IN[MC],RC_IN[BLOCK],RC_OUT[BLOCK]),"")</f>
        <v/>
      </c>
      <c r="J1300" s="264">
        <f t="shared" si="1"/>
        <v>0</v>
      </c>
      <c r="K1300" s="246"/>
      <c r="L1300" s="246"/>
      <c r="M1300" s="249" t="str">
        <f t="shared" si="2"/>
        <v/>
      </c>
      <c r="N1300" s="266">
        <f t="shared" si="3"/>
        <v>0</v>
      </c>
      <c r="O1300" s="247"/>
      <c r="P1300" s="247"/>
      <c r="Q1300" s="247"/>
      <c r="R1300" s="247"/>
      <c r="S1300" s="247"/>
      <c r="T1300" s="247"/>
      <c r="U1300" s="247"/>
      <c r="V1300" s="247"/>
      <c r="W1300" s="247"/>
      <c r="X1300" s="247"/>
    </row>
    <row r="1301">
      <c r="A1301" s="282">
        <v>45980.0</v>
      </c>
      <c r="B1301" s="275" t="s">
        <v>1142</v>
      </c>
      <c r="C1301" s="275" t="s">
        <v>1344</v>
      </c>
      <c r="D1301" s="276">
        <v>7041.0</v>
      </c>
      <c r="E1301" s="275" t="s">
        <v>1017</v>
      </c>
      <c r="F1301" s="279"/>
      <c r="G1301" s="278" t="str">
        <f>IFNA(IF(VLOOKUP(RC_OUT[BLOCK],RC_IN[[BLOCK]:[BLOCK LOC]],2,FALSE)=0,"",VLOOKUP(RC_OUT[BLOCK],RC_IN[[BLOCK]:[BLOCK LOC]],2,FALSE)),"")</f>
        <v/>
      </c>
      <c r="I1301" s="263" t="str">
        <f>IFERROR(AVERAGEIFS(RC_IN[MC],RC_IN[BLOCK],RC_OUT[BLOCK]),"")</f>
        <v/>
      </c>
      <c r="J1301" s="264">
        <f t="shared" si="1"/>
        <v>0</v>
      </c>
      <c r="K1301" s="246"/>
      <c r="L1301" s="246"/>
      <c r="M1301" s="249" t="str">
        <f t="shared" si="2"/>
        <v/>
      </c>
      <c r="N1301" s="266">
        <f t="shared" si="3"/>
        <v>0</v>
      </c>
      <c r="O1301" s="247"/>
      <c r="P1301" s="247"/>
      <c r="Q1301" s="247"/>
      <c r="R1301" s="247"/>
      <c r="S1301" s="247"/>
      <c r="T1301" s="247"/>
      <c r="U1301" s="247"/>
      <c r="V1301" s="247"/>
      <c r="W1301" s="247"/>
      <c r="X1301" s="247"/>
    </row>
    <row r="1302">
      <c r="A1302" s="282">
        <v>45980.0</v>
      </c>
      <c r="B1302" s="275" t="s">
        <v>1142</v>
      </c>
      <c r="C1302" s="275" t="s">
        <v>1346</v>
      </c>
      <c r="D1302" s="276">
        <v>12931.0</v>
      </c>
      <c r="E1302" s="275" t="s">
        <v>1017</v>
      </c>
      <c r="F1302" s="279"/>
      <c r="G1302" s="278" t="str">
        <f>IFNA(IF(VLOOKUP(RC_OUT[BLOCK],RC_IN[[BLOCK]:[BLOCK LOC]],2,FALSE)=0,"",VLOOKUP(RC_OUT[BLOCK],RC_IN[[BLOCK]:[BLOCK LOC]],2,FALSE)),"")</f>
        <v/>
      </c>
      <c r="I1302" s="263" t="str">
        <f>IFERROR(AVERAGEIFS(RC_IN[MC],RC_IN[BLOCK],RC_OUT[BLOCK]),"")</f>
        <v/>
      </c>
      <c r="J1302" s="264">
        <f t="shared" si="1"/>
        <v>0</v>
      </c>
      <c r="K1302" s="246"/>
      <c r="L1302" s="246"/>
      <c r="M1302" s="249" t="str">
        <f t="shared" si="2"/>
        <v/>
      </c>
      <c r="N1302" s="266">
        <f t="shared" si="3"/>
        <v>0</v>
      </c>
      <c r="O1302" s="247"/>
      <c r="P1302" s="247"/>
      <c r="Q1302" s="247"/>
      <c r="R1302" s="247"/>
      <c r="S1302" s="247"/>
      <c r="T1302" s="247"/>
      <c r="U1302" s="247"/>
      <c r="V1302" s="247"/>
      <c r="W1302" s="247"/>
      <c r="X1302" s="247"/>
    </row>
    <row r="1303">
      <c r="A1303" s="282">
        <v>45980.0</v>
      </c>
      <c r="B1303" s="275" t="s">
        <v>1142</v>
      </c>
      <c r="C1303" s="275" t="s">
        <v>1347</v>
      </c>
      <c r="D1303" s="276">
        <v>13118.0</v>
      </c>
      <c r="E1303" s="275" t="s">
        <v>1017</v>
      </c>
      <c r="F1303" s="279"/>
      <c r="G1303" s="278" t="str">
        <f>IFNA(IF(VLOOKUP(RC_OUT[BLOCK],RC_IN[[BLOCK]:[BLOCK LOC]],2,FALSE)=0,"",VLOOKUP(RC_OUT[BLOCK],RC_IN[[BLOCK]:[BLOCK LOC]],2,FALSE)),"")</f>
        <v/>
      </c>
      <c r="I1303" s="263" t="str">
        <f>IFERROR(AVERAGEIFS(RC_IN[MC],RC_IN[BLOCK],RC_OUT[BLOCK]),"")</f>
        <v/>
      </c>
      <c r="J1303" s="264">
        <f t="shared" si="1"/>
        <v>0</v>
      </c>
      <c r="K1303" s="246"/>
      <c r="L1303" s="246"/>
      <c r="M1303" s="249" t="str">
        <f t="shared" si="2"/>
        <v/>
      </c>
      <c r="N1303" s="266">
        <f t="shared" si="3"/>
        <v>0</v>
      </c>
      <c r="O1303" s="247"/>
      <c r="P1303" s="247"/>
      <c r="Q1303" s="247"/>
      <c r="R1303" s="247"/>
      <c r="S1303" s="247"/>
      <c r="T1303" s="247"/>
      <c r="U1303" s="247"/>
      <c r="V1303" s="247"/>
      <c r="W1303" s="247"/>
      <c r="X1303" s="247"/>
    </row>
    <row r="1304">
      <c r="A1304" s="274"/>
      <c r="B1304" s="274"/>
      <c r="C1304" s="274"/>
      <c r="D1304" s="283"/>
      <c r="E1304" s="274"/>
      <c r="F1304" s="279"/>
      <c r="G1304" s="278" t="str">
        <f>IFNA(IF(VLOOKUP(RC_OUT[BLOCK],RC_IN[[BLOCK]:[BLOCK LOC]],2,FALSE)=0,"",VLOOKUP(RC_OUT[BLOCK],RC_IN[[BLOCK]:[BLOCK LOC]],2,FALSE)),"")</f>
        <v/>
      </c>
      <c r="I1304" s="263" t="str">
        <f>IFERROR(AVERAGEIFS(RC_IN[MC],RC_IN[BLOCK],RC_OUT[BLOCK]),"")</f>
        <v/>
      </c>
      <c r="J1304" s="264">
        <f t="shared" si="1"/>
        <v>0</v>
      </c>
      <c r="K1304" s="246"/>
      <c r="L1304" s="246"/>
      <c r="M1304" s="249" t="str">
        <f t="shared" si="2"/>
        <v/>
      </c>
      <c r="N1304" s="266">
        <f t="shared" si="3"/>
        <v>0</v>
      </c>
      <c r="O1304" s="247"/>
      <c r="P1304" s="247"/>
      <c r="Q1304" s="247"/>
      <c r="R1304" s="247"/>
      <c r="S1304" s="247"/>
      <c r="T1304" s="247"/>
      <c r="U1304" s="247"/>
      <c r="V1304" s="247"/>
      <c r="W1304" s="247"/>
      <c r="X1304" s="247"/>
    </row>
    <row r="1305">
      <c r="A1305" s="282">
        <v>45981.0</v>
      </c>
      <c r="B1305" s="275" t="s">
        <v>1142</v>
      </c>
      <c r="C1305" s="275" t="s">
        <v>1344</v>
      </c>
      <c r="D1305" s="276">
        <v>7001.0</v>
      </c>
      <c r="E1305" s="275" t="s">
        <v>1017</v>
      </c>
      <c r="F1305" s="279"/>
      <c r="G1305" s="278" t="str">
        <f>IFNA(IF(VLOOKUP(RC_OUT[BLOCK],RC_IN[[BLOCK]:[BLOCK LOC]],2,FALSE)=0,"",VLOOKUP(RC_OUT[BLOCK],RC_IN[[BLOCK]:[BLOCK LOC]],2,FALSE)),"")</f>
        <v/>
      </c>
      <c r="I1305" s="263" t="str">
        <f>IFERROR(AVERAGEIFS(RC_IN[MC],RC_IN[BLOCK],RC_OUT[BLOCK]),"")</f>
        <v/>
      </c>
      <c r="J1305" s="264">
        <f t="shared" si="1"/>
        <v>0</v>
      </c>
      <c r="K1305" s="246"/>
      <c r="L1305" s="246"/>
      <c r="M1305" s="249" t="str">
        <f t="shared" si="2"/>
        <v/>
      </c>
      <c r="N1305" s="266">
        <f t="shared" si="3"/>
        <v>0</v>
      </c>
      <c r="O1305" s="247"/>
      <c r="P1305" s="247"/>
      <c r="Q1305" s="247"/>
      <c r="R1305" s="247"/>
      <c r="S1305" s="247"/>
      <c r="T1305" s="247"/>
      <c r="U1305" s="247"/>
      <c r="V1305" s="247"/>
      <c r="W1305" s="247"/>
      <c r="X1305" s="247"/>
    </row>
    <row r="1306">
      <c r="A1306" s="282">
        <v>45981.0</v>
      </c>
      <c r="B1306" s="275" t="s">
        <v>1142</v>
      </c>
      <c r="C1306" s="275" t="s">
        <v>1346</v>
      </c>
      <c r="D1306" s="276">
        <v>13669.0</v>
      </c>
      <c r="E1306" s="275" t="s">
        <v>1017</v>
      </c>
      <c r="F1306" s="279"/>
      <c r="G1306" s="278" t="str">
        <f>IFNA(IF(VLOOKUP(RC_OUT[BLOCK],RC_IN[[BLOCK]:[BLOCK LOC]],2,FALSE)=0,"",VLOOKUP(RC_OUT[BLOCK],RC_IN[[BLOCK]:[BLOCK LOC]],2,FALSE)),"")</f>
        <v/>
      </c>
      <c r="I1306" s="263" t="str">
        <f>IFERROR(AVERAGEIFS(RC_IN[MC],RC_IN[BLOCK],RC_OUT[BLOCK]),"")</f>
        <v/>
      </c>
      <c r="J1306" s="264">
        <f t="shared" si="1"/>
        <v>0</v>
      </c>
      <c r="K1306" s="246"/>
      <c r="L1306" s="246"/>
      <c r="M1306" s="249" t="str">
        <f t="shared" si="2"/>
        <v/>
      </c>
      <c r="N1306" s="266">
        <f t="shared" si="3"/>
        <v>0</v>
      </c>
      <c r="O1306" s="247"/>
      <c r="P1306" s="247"/>
      <c r="Q1306" s="247"/>
      <c r="R1306" s="247"/>
      <c r="S1306" s="247"/>
      <c r="T1306" s="247"/>
      <c r="U1306" s="247"/>
      <c r="V1306" s="247"/>
      <c r="W1306" s="247"/>
      <c r="X1306" s="247"/>
    </row>
    <row r="1307">
      <c r="A1307" s="282">
        <v>45981.0</v>
      </c>
      <c r="B1307" s="275" t="s">
        <v>1142</v>
      </c>
      <c r="C1307" s="275" t="s">
        <v>1347</v>
      </c>
      <c r="D1307" s="276">
        <v>13827.0</v>
      </c>
      <c r="E1307" s="275" t="s">
        <v>1017</v>
      </c>
      <c r="F1307" s="279"/>
      <c r="G1307" s="278" t="str">
        <f>IFNA(IF(VLOOKUP(RC_OUT[BLOCK],RC_IN[[BLOCK]:[BLOCK LOC]],2,FALSE)=0,"",VLOOKUP(RC_OUT[BLOCK],RC_IN[[BLOCK]:[BLOCK LOC]],2,FALSE)),"")</f>
        <v/>
      </c>
      <c r="I1307" s="263" t="str">
        <f>IFERROR(AVERAGEIFS(RC_IN[MC],RC_IN[BLOCK],RC_OUT[BLOCK]),"")</f>
        <v/>
      </c>
      <c r="J1307" s="264">
        <f t="shared" si="1"/>
        <v>0</v>
      </c>
      <c r="K1307" s="246"/>
      <c r="L1307" s="246"/>
      <c r="M1307" s="249" t="str">
        <f t="shared" si="2"/>
        <v/>
      </c>
      <c r="N1307" s="266">
        <f t="shared" si="3"/>
        <v>0</v>
      </c>
      <c r="O1307" s="247"/>
      <c r="P1307" s="247"/>
      <c r="Q1307" s="247"/>
      <c r="R1307" s="247"/>
      <c r="S1307" s="247"/>
      <c r="T1307" s="247"/>
      <c r="U1307" s="247"/>
      <c r="V1307" s="247"/>
      <c r="W1307" s="247"/>
      <c r="X1307" s="247"/>
    </row>
    <row r="1308">
      <c r="A1308" s="274"/>
      <c r="B1308" s="274"/>
      <c r="C1308" s="274"/>
      <c r="D1308" s="283"/>
      <c r="E1308" s="274"/>
      <c r="F1308" s="279"/>
      <c r="G1308" s="278" t="str">
        <f>IFNA(IF(VLOOKUP(RC_OUT[BLOCK],RC_IN[[BLOCK]:[BLOCK LOC]],2,FALSE)=0,"",VLOOKUP(RC_OUT[BLOCK],RC_IN[[BLOCK]:[BLOCK LOC]],2,FALSE)),"")</f>
        <v/>
      </c>
      <c r="I1308" s="263" t="str">
        <f>IFERROR(AVERAGEIFS(RC_IN[MC],RC_IN[BLOCK],RC_OUT[BLOCK]),"")</f>
        <v/>
      </c>
      <c r="J1308" s="264">
        <f t="shared" si="1"/>
        <v>0</v>
      </c>
      <c r="K1308" s="246"/>
      <c r="L1308" s="246"/>
      <c r="M1308" s="249" t="str">
        <f t="shared" si="2"/>
        <v/>
      </c>
      <c r="N1308" s="266">
        <f t="shared" si="3"/>
        <v>0</v>
      </c>
      <c r="O1308" s="247"/>
      <c r="P1308" s="247"/>
      <c r="Q1308" s="247"/>
      <c r="R1308" s="247"/>
      <c r="S1308" s="247"/>
      <c r="T1308" s="247"/>
      <c r="U1308" s="247"/>
      <c r="V1308" s="247"/>
      <c r="W1308" s="247"/>
      <c r="X1308" s="247"/>
    </row>
    <row r="1309">
      <c r="A1309" s="282">
        <v>45982.0</v>
      </c>
      <c r="B1309" s="275" t="s">
        <v>1142</v>
      </c>
      <c r="C1309" s="275" t="s">
        <v>1344</v>
      </c>
      <c r="D1309" s="276">
        <v>7312.0</v>
      </c>
      <c r="E1309" s="275" t="s">
        <v>1017</v>
      </c>
      <c r="F1309" s="279"/>
      <c r="G1309" s="278" t="str">
        <f>IFNA(IF(VLOOKUP(RC_OUT[BLOCK],RC_IN[[BLOCK]:[BLOCK LOC]],2,FALSE)=0,"",VLOOKUP(RC_OUT[BLOCK],RC_IN[[BLOCK]:[BLOCK LOC]],2,FALSE)),"")</f>
        <v/>
      </c>
      <c r="I1309" s="263" t="str">
        <f>IFERROR(AVERAGEIFS(RC_IN[MC],RC_IN[BLOCK],RC_OUT[BLOCK]),"")</f>
        <v/>
      </c>
      <c r="J1309" s="264">
        <f t="shared" si="1"/>
        <v>0</v>
      </c>
      <c r="K1309" s="246"/>
      <c r="L1309" s="246"/>
      <c r="M1309" s="249" t="str">
        <f t="shared" si="2"/>
        <v/>
      </c>
      <c r="N1309" s="266">
        <f t="shared" si="3"/>
        <v>0</v>
      </c>
      <c r="O1309" s="247"/>
      <c r="P1309" s="247"/>
      <c r="Q1309" s="247"/>
      <c r="R1309" s="247"/>
      <c r="S1309" s="247"/>
      <c r="T1309" s="247"/>
      <c r="U1309" s="247"/>
      <c r="V1309" s="247"/>
      <c r="W1309" s="247"/>
      <c r="X1309" s="247"/>
    </row>
    <row r="1310">
      <c r="A1310" s="282">
        <v>45982.0</v>
      </c>
      <c r="B1310" s="275" t="s">
        <v>1142</v>
      </c>
      <c r="C1310" s="275" t="s">
        <v>1346</v>
      </c>
      <c r="D1310" s="276">
        <v>14120.0</v>
      </c>
      <c r="E1310" s="275" t="s">
        <v>1017</v>
      </c>
      <c r="F1310" s="279"/>
      <c r="G1310" s="278" t="str">
        <f>IFNA(IF(VLOOKUP(RC_OUT[BLOCK],RC_IN[[BLOCK]:[BLOCK LOC]],2,FALSE)=0,"",VLOOKUP(RC_OUT[BLOCK],RC_IN[[BLOCK]:[BLOCK LOC]],2,FALSE)),"")</f>
        <v/>
      </c>
      <c r="I1310" s="263" t="str">
        <f>IFERROR(AVERAGEIFS(RC_IN[MC],RC_IN[BLOCK],RC_OUT[BLOCK]),"")</f>
        <v/>
      </c>
      <c r="J1310" s="264">
        <f t="shared" si="1"/>
        <v>0</v>
      </c>
      <c r="K1310" s="246"/>
      <c r="L1310" s="246"/>
      <c r="M1310" s="249" t="str">
        <f t="shared" si="2"/>
        <v/>
      </c>
      <c r="N1310" s="266">
        <f t="shared" si="3"/>
        <v>0</v>
      </c>
      <c r="O1310" s="247"/>
      <c r="P1310" s="247"/>
      <c r="Q1310" s="247"/>
      <c r="R1310" s="247"/>
      <c r="S1310" s="247"/>
      <c r="T1310" s="247"/>
      <c r="U1310" s="247"/>
      <c r="V1310" s="247"/>
      <c r="W1310" s="247"/>
      <c r="X1310" s="247"/>
    </row>
    <row r="1311">
      <c r="A1311" s="282">
        <v>45982.0</v>
      </c>
      <c r="B1311" s="275" t="s">
        <v>1142</v>
      </c>
      <c r="C1311" s="275" t="s">
        <v>1347</v>
      </c>
      <c r="D1311" s="276">
        <v>14602.0</v>
      </c>
      <c r="E1311" s="275" t="s">
        <v>1017</v>
      </c>
      <c r="F1311" s="279"/>
      <c r="G1311" s="278" t="str">
        <f>IFNA(IF(VLOOKUP(RC_OUT[BLOCK],RC_IN[[BLOCK]:[BLOCK LOC]],2,FALSE)=0,"",VLOOKUP(RC_OUT[BLOCK],RC_IN[[BLOCK]:[BLOCK LOC]],2,FALSE)),"")</f>
        <v/>
      </c>
      <c r="I1311" s="263" t="str">
        <f>IFERROR(AVERAGEIFS(RC_IN[MC],RC_IN[BLOCK],RC_OUT[BLOCK]),"")</f>
        <v/>
      </c>
      <c r="J1311" s="264">
        <f t="shared" si="1"/>
        <v>0</v>
      </c>
      <c r="K1311" s="246"/>
      <c r="L1311" s="246"/>
      <c r="M1311" s="249" t="str">
        <f t="shared" si="2"/>
        <v/>
      </c>
      <c r="N1311" s="266">
        <f t="shared" si="3"/>
        <v>0</v>
      </c>
      <c r="O1311" s="247"/>
      <c r="P1311" s="247"/>
      <c r="Q1311" s="247"/>
      <c r="R1311" s="247"/>
      <c r="S1311" s="247"/>
      <c r="T1311" s="247"/>
      <c r="U1311" s="247"/>
      <c r="V1311" s="247"/>
      <c r="W1311" s="247"/>
      <c r="X1311" s="247"/>
    </row>
    <row r="1312">
      <c r="A1312" s="282">
        <v>45982.0</v>
      </c>
      <c r="B1312" s="275" t="s">
        <v>1142</v>
      </c>
      <c r="C1312" s="275" t="s">
        <v>1348</v>
      </c>
      <c r="D1312" s="276">
        <v>1200.0</v>
      </c>
      <c r="E1312" s="275" t="s">
        <v>1017</v>
      </c>
      <c r="F1312" s="279"/>
      <c r="G1312" s="278" t="str">
        <f>IFNA(IF(VLOOKUP(RC_OUT[BLOCK],RC_IN[[BLOCK]:[BLOCK LOC]],2,FALSE)=0,"",VLOOKUP(RC_OUT[BLOCK],RC_IN[[BLOCK]:[BLOCK LOC]],2,FALSE)),"")</f>
        <v/>
      </c>
      <c r="I1312" s="263" t="str">
        <f>IFERROR(AVERAGEIFS(RC_IN[MC],RC_IN[BLOCK],RC_OUT[BLOCK]),"")</f>
        <v/>
      </c>
      <c r="J1312" s="264">
        <f t="shared" si="1"/>
        <v>0</v>
      </c>
      <c r="K1312" s="246"/>
      <c r="L1312" s="246"/>
      <c r="M1312" s="249" t="str">
        <f t="shared" si="2"/>
        <v/>
      </c>
      <c r="N1312" s="266">
        <f t="shared" si="3"/>
        <v>0</v>
      </c>
      <c r="O1312" s="247"/>
      <c r="P1312" s="247"/>
      <c r="Q1312" s="247"/>
      <c r="R1312" s="247"/>
      <c r="S1312" s="247"/>
      <c r="T1312" s="247"/>
      <c r="U1312" s="247"/>
      <c r="V1312" s="247"/>
      <c r="W1312" s="247"/>
      <c r="X1312" s="247"/>
    </row>
    <row r="1313">
      <c r="A1313" s="274"/>
      <c r="B1313" s="274"/>
      <c r="C1313" s="274"/>
      <c r="D1313" s="283"/>
      <c r="E1313" s="274"/>
      <c r="F1313" s="279"/>
      <c r="G1313" s="278" t="str">
        <f>IFNA(IF(VLOOKUP(RC_OUT[BLOCK],RC_IN[[BLOCK]:[BLOCK LOC]],2,FALSE)=0,"",VLOOKUP(RC_OUT[BLOCK],RC_IN[[BLOCK]:[BLOCK LOC]],2,FALSE)),"")</f>
        <v/>
      </c>
      <c r="I1313" s="263" t="str">
        <f>IFERROR(AVERAGEIFS(RC_IN[MC],RC_IN[BLOCK],RC_OUT[BLOCK]),"")</f>
        <v/>
      </c>
      <c r="J1313" s="264">
        <f t="shared" si="1"/>
        <v>0</v>
      </c>
      <c r="K1313" s="246"/>
      <c r="L1313" s="246"/>
      <c r="M1313" s="249" t="str">
        <f t="shared" si="2"/>
        <v/>
      </c>
      <c r="N1313" s="266">
        <f t="shared" si="3"/>
        <v>0</v>
      </c>
      <c r="O1313" s="247"/>
      <c r="P1313" s="247"/>
      <c r="Q1313" s="247"/>
      <c r="R1313" s="247"/>
      <c r="S1313" s="247"/>
      <c r="T1313" s="247"/>
      <c r="U1313" s="247"/>
      <c r="V1313" s="247"/>
      <c r="W1313" s="247"/>
      <c r="X1313" s="247"/>
    </row>
    <row r="1314">
      <c r="A1314" s="282">
        <v>45983.0</v>
      </c>
      <c r="B1314" s="275" t="s">
        <v>1142</v>
      </c>
      <c r="C1314" s="275" t="s">
        <v>1344</v>
      </c>
      <c r="D1314" s="276">
        <v>10793.0</v>
      </c>
      <c r="E1314" s="275" t="s">
        <v>1017</v>
      </c>
      <c r="F1314" s="279"/>
      <c r="G1314" s="278" t="str">
        <f>IFNA(IF(VLOOKUP(RC_OUT[BLOCK],RC_IN[[BLOCK]:[BLOCK LOC]],2,FALSE)=0,"",VLOOKUP(RC_OUT[BLOCK],RC_IN[[BLOCK]:[BLOCK LOC]],2,FALSE)),"")</f>
        <v/>
      </c>
      <c r="I1314" s="263" t="str">
        <f>IFERROR(AVERAGEIFS(RC_IN[MC],RC_IN[BLOCK],RC_OUT[BLOCK]),"")</f>
        <v/>
      </c>
      <c r="J1314" s="264">
        <f t="shared" si="1"/>
        <v>0</v>
      </c>
      <c r="K1314" s="246"/>
      <c r="L1314" s="246"/>
      <c r="M1314" s="249" t="str">
        <f t="shared" si="2"/>
        <v/>
      </c>
      <c r="N1314" s="266">
        <f t="shared" si="3"/>
        <v>0</v>
      </c>
      <c r="O1314" s="247"/>
      <c r="P1314" s="247"/>
      <c r="Q1314" s="247"/>
      <c r="R1314" s="247"/>
      <c r="S1314" s="247"/>
      <c r="T1314" s="247"/>
      <c r="U1314" s="247"/>
      <c r="V1314" s="247"/>
      <c r="W1314" s="247"/>
      <c r="X1314" s="247"/>
    </row>
    <row r="1315">
      <c r="A1315" s="282">
        <v>45983.0</v>
      </c>
      <c r="B1315" s="275" t="s">
        <v>1142</v>
      </c>
      <c r="C1315" s="275" t="s">
        <v>1346</v>
      </c>
      <c r="D1315" s="276">
        <v>11146.0</v>
      </c>
      <c r="E1315" s="275" t="s">
        <v>1017</v>
      </c>
      <c r="F1315" s="279"/>
      <c r="G1315" s="278" t="str">
        <f>IFNA(IF(VLOOKUP(RC_OUT[BLOCK],RC_IN[[BLOCK]:[BLOCK LOC]],2,FALSE)=0,"",VLOOKUP(RC_OUT[BLOCK],RC_IN[[BLOCK]:[BLOCK LOC]],2,FALSE)),"")</f>
        <v/>
      </c>
      <c r="I1315" s="263" t="str">
        <f>IFERROR(AVERAGEIFS(RC_IN[MC],RC_IN[BLOCK],RC_OUT[BLOCK]),"")</f>
        <v/>
      </c>
      <c r="J1315" s="264">
        <f t="shared" si="1"/>
        <v>0</v>
      </c>
      <c r="K1315" s="246"/>
      <c r="L1315" s="246"/>
      <c r="M1315" s="249" t="str">
        <f t="shared" si="2"/>
        <v/>
      </c>
      <c r="N1315" s="266">
        <f t="shared" si="3"/>
        <v>0</v>
      </c>
      <c r="O1315" s="247"/>
      <c r="P1315" s="247"/>
      <c r="Q1315" s="247"/>
      <c r="R1315" s="247"/>
      <c r="S1315" s="247"/>
      <c r="T1315" s="247"/>
      <c r="U1315" s="247"/>
      <c r="V1315" s="247"/>
      <c r="W1315" s="247"/>
      <c r="X1315" s="247"/>
    </row>
    <row r="1316">
      <c r="A1316" s="282">
        <v>45983.0</v>
      </c>
      <c r="B1316" s="275" t="s">
        <v>1142</v>
      </c>
      <c r="C1316" s="275" t="s">
        <v>1347</v>
      </c>
      <c r="D1316" s="276">
        <v>11494.0</v>
      </c>
      <c r="E1316" s="275" t="s">
        <v>1017</v>
      </c>
      <c r="F1316" s="279"/>
      <c r="G1316" s="278" t="str">
        <f>IFNA(IF(VLOOKUP(RC_OUT[BLOCK],RC_IN[[BLOCK]:[BLOCK LOC]],2,FALSE)=0,"",VLOOKUP(RC_OUT[BLOCK],RC_IN[[BLOCK]:[BLOCK LOC]],2,FALSE)),"")</f>
        <v/>
      </c>
      <c r="I1316" s="263" t="str">
        <f>IFERROR(AVERAGEIFS(RC_IN[MC],RC_IN[BLOCK],RC_OUT[BLOCK]),"")</f>
        <v/>
      </c>
      <c r="J1316" s="264">
        <f t="shared" si="1"/>
        <v>0</v>
      </c>
      <c r="K1316" s="246"/>
      <c r="L1316" s="246"/>
      <c r="M1316" s="249" t="str">
        <f t="shared" si="2"/>
        <v/>
      </c>
      <c r="N1316" s="266">
        <f t="shared" si="3"/>
        <v>0</v>
      </c>
      <c r="O1316" s="247"/>
      <c r="P1316" s="247"/>
      <c r="Q1316" s="247"/>
      <c r="R1316" s="247"/>
      <c r="S1316" s="247"/>
      <c r="T1316" s="247"/>
      <c r="U1316" s="247"/>
      <c r="V1316" s="247"/>
      <c r="W1316" s="247"/>
      <c r="X1316" s="247"/>
    </row>
    <row r="1317">
      <c r="A1317" s="282">
        <v>45983.0</v>
      </c>
      <c r="B1317" s="275" t="s">
        <v>1142</v>
      </c>
      <c r="C1317" s="275" t="s">
        <v>1348</v>
      </c>
      <c r="D1317" s="276">
        <v>600.0</v>
      </c>
      <c r="E1317" s="275" t="s">
        <v>1017</v>
      </c>
      <c r="F1317" s="279"/>
      <c r="G1317" s="278" t="str">
        <f>IFNA(IF(VLOOKUP(RC_OUT[BLOCK],RC_IN[[BLOCK]:[BLOCK LOC]],2,FALSE)=0,"",VLOOKUP(RC_OUT[BLOCK],RC_IN[[BLOCK]:[BLOCK LOC]],2,FALSE)),"")</f>
        <v/>
      </c>
      <c r="I1317" s="263" t="str">
        <f>IFERROR(AVERAGEIFS(RC_IN[MC],RC_IN[BLOCK],RC_OUT[BLOCK]),"")</f>
        <v/>
      </c>
      <c r="J1317" s="264">
        <f t="shared" si="1"/>
        <v>0</v>
      </c>
      <c r="K1317" s="246"/>
      <c r="L1317" s="246"/>
      <c r="M1317" s="249" t="str">
        <f t="shared" si="2"/>
        <v/>
      </c>
      <c r="N1317" s="266">
        <f t="shared" si="3"/>
        <v>0</v>
      </c>
      <c r="O1317" s="247"/>
      <c r="P1317" s="247"/>
      <c r="Q1317" s="247"/>
      <c r="R1317" s="247"/>
      <c r="S1317" s="247"/>
      <c r="T1317" s="247"/>
      <c r="U1317" s="247"/>
      <c r="V1317" s="247"/>
      <c r="W1317" s="247"/>
      <c r="X1317" s="247"/>
    </row>
    <row r="1318">
      <c r="A1318" s="282">
        <v>45983.0</v>
      </c>
      <c r="B1318" s="275" t="s">
        <v>1142</v>
      </c>
      <c r="C1318" s="275" t="s">
        <v>1349</v>
      </c>
      <c r="D1318" s="276">
        <v>600.0</v>
      </c>
      <c r="E1318" s="275" t="s">
        <v>1017</v>
      </c>
      <c r="F1318" s="279"/>
      <c r="G1318" s="278" t="str">
        <f>IFNA(IF(VLOOKUP(RC_OUT[BLOCK],RC_IN[[BLOCK]:[BLOCK LOC]],2,FALSE)=0,"",VLOOKUP(RC_OUT[BLOCK],RC_IN[[BLOCK]:[BLOCK LOC]],2,FALSE)),"")</f>
        <v/>
      </c>
      <c r="I1318" s="263" t="str">
        <f>IFERROR(AVERAGEIFS(RC_IN[MC],RC_IN[BLOCK],RC_OUT[BLOCK]),"")</f>
        <v/>
      </c>
      <c r="J1318" s="264">
        <f t="shared" si="1"/>
        <v>0</v>
      </c>
      <c r="K1318" s="246"/>
      <c r="L1318" s="246"/>
      <c r="M1318" s="249" t="str">
        <f t="shared" si="2"/>
        <v/>
      </c>
      <c r="N1318" s="266">
        <f t="shared" si="3"/>
        <v>0</v>
      </c>
      <c r="O1318" s="247"/>
      <c r="P1318" s="247"/>
      <c r="Q1318" s="247"/>
      <c r="R1318" s="247"/>
      <c r="S1318" s="247"/>
      <c r="T1318" s="247"/>
      <c r="U1318" s="247"/>
      <c r="V1318" s="247"/>
      <c r="W1318" s="247"/>
      <c r="X1318" s="247"/>
    </row>
    <row r="1319">
      <c r="A1319" s="274"/>
      <c r="B1319" s="274"/>
      <c r="C1319" s="274"/>
      <c r="D1319" s="283"/>
      <c r="E1319" s="274"/>
      <c r="F1319" s="279"/>
      <c r="G1319" s="278" t="str">
        <f>IFNA(IF(VLOOKUP(RC_OUT[BLOCK],RC_IN[[BLOCK]:[BLOCK LOC]],2,FALSE)=0,"",VLOOKUP(RC_OUT[BLOCK],RC_IN[[BLOCK]:[BLOCK LOC]],2,FALSE)),"")</f>
        <v/>
      </c>
      <c r="I1319" s="263" t="str">
        <f>IFERROR(AVERAGEIFS(RC_IN[MC],RC_IN[BLOCK],RC_OUT[BLOCK]),"")</f>
        <v/>
      </c>
      <c r="J1319" s="264">
        <f t="shared" si="1"/>
        <v>0</v>
      </c>
      <c r="K1319" s="246"/>
      <c r="L1319" s="246"/>
      <c r="M1319" s="249" t="str">
        <f t="shared" si="2"/>
        <v/>
      </c>
      <c r="N1319" s="266">
        <f t="shared" si="3"/>
        <v>0</v>
      </c>
      <c r="O1319" s="247"/>
      <c r="P1319" s="247"/>
      <c r="Q1319" s="247"/>
      <c r="R1319" s="247"/>
      <c r="S1319" s="247"/>
      <c r="T1319" s="247"/>
      <c r="U1319" s="247"/>
      <c r="V1319" s="247"/>
      <c r="W1319" s="247"/>
      <c r="X1319" s="247"/>
    </row>
    <row r="1320">
      <c r="A1320" s="274"/>
      <c r="B1320" s="274"/>
      <c r="C1320" s="274"/>
      <c r="D1320" s="283"/>
      <c r="E1320" s="274"/>
      <c r="F1320" s="279"/>
      <c r="G1320" s="278" t="str">
        <f>IFNA(IF(VLOOKUP(RC_OUT[BLOCK],RC_IN[[BLOCK]:[BLOCK LOC]],2,FALSE)=0,"",VLOOKUP(RC_OUT[BLOCK],RC_IN[[BLOCK]:[BLOCK LOC]],2,FALSE)),"")</f>
        <v/>
      </c>
      <c r="I1320" s="263" t="str">
        <f>IFERROR(AVERAGEIFS(RC_IN[MC],RC_IN[BLOCK],RC_OUT[BLOCK]),"")</f>
        <v/>
      </c>
      <c r="J1320" s="264">
        <f t="shared" si="1"/>
        <v>0</v>
      </c>
      <c r="K1320" s="246"/>
      <c r="L1320" s="246"/>
      <c r="M1320" s="249" t="str">
        <f t="shared" si="2"/>
        <v/>
      </c>
      <c r="N1320" s="266">
        <f t="shared" si="3"/>
        <v>0</v>
      </c>
      <c r="O1320" s="247"/>
      <c r="P1320" s="247"/>
      <c r="Q1320" s="247"/>
      <c r="R1320" s="247"/>
      <c r="S1320" s="247"/>
      <c r="T1320" s="247"/>
      <c r="U1320" s="247"/>
      <c r="V1320" s="247"/>
      <c r="W1320" s="247"/>
      <c r="X1320" s="247"/>
    </row>
    <row r="1321">
      <c r="A1321" s="282">
        <v>45985.0</v>
      </c>
      <c r="B1321" s="275" t="s">
        <v>1142</v>
      </c>
      <c r="C1321" s="275" t="s">
        <v>1344</v>
      </c>
      <c r="D1321" s="276">
        <v>2260.0</v>
      </c>
      <c r="E1321" s="275" t="s">
        <v>1017</v>
      </c>
      <c r="F1321" s="279"/>
      <c r="G1321" s="278" t="str">
        <f>IFNA(IF(VLOOKUP(RC_OUT[BLOCK],RC_IN[[BLOCK]:[BLOCK LOC]],2,FALSE)=0,"",VLOOKUP(RC_OUT[BLOCK],RC_IN[[BLOCK]:[BLOCK LOC]],2,FALSE)),"")</f>
        <v/>
      </c>
      <c r="I1321" s="263" t="str">
        <f>IFERROR(AVERAGEIFS(RC_IN[MC],RC_IN[BLOCK],RC_OUT[BLOCK]),"")</f>
        <v/>
      </c>
      <c r="J1321" s="264">
        <f t="shared" si="1"/>
        <v>0</v>
      </c>
      <c r="K1321" s="246"/>
      <c r="L1321" s="246"/>
      <c r="M1321" s="249" t="str">
        <f t="shared" si="2"/>
        <v/>
      </c>
      <c r="N1321" s="266">
        <f t="shared" si="3"/>
        <v>0</v>
      </c>
      <c r="O1321" s="247"/>
      <c r="P1321" s="247"/>
      <c r="Q1321" s="247"/>
      <c r="R1321" s="247"/>
      <c r="S1321" s="247"/>
      <c r="T1321" s="247"/>
      <c r="U1321" s="247"/>
      <c r="V1321" s="247"/>
      <c r="W1321" s="247"/>
      <c r="X1321" s="247"/>
    </row>
    <row r="1322">
      <c r="A1322" s="282">
        <v>45985.0</v>
      </c>
      <c r="B1322" s="275" t="s">
        <v>1142</v>
      </c>
      <c r="C1322" s="275" t="s">
        <v>1346</v>
      </c>
      <c r="D1322" s="276">
        <v>7324.0</v>
      </c>
      <c r="E1322" s="275" t="s">
        <v>1017</v>
      </c>
      <c r="F1322" s="279"/>
      <c r="G1322" s="278" t="str">
        <f>IFNA(IF(VLOOKUP(RC_OUT[BLOCK],RC_IN[[BLOCK]:[BLOCK LOC]],2,FALSE)=0,"",VLOOKUP(RC_OUT[BLOCK],RC_IN[[BLOCK]:[BLOCK LOC]],2,FALSE)),"")</f>
        <v/>
      </c>
      <c r="I1322" s="263" t="str">
        <f>IFERROR(AVERAGEIFS(RC_IN[MC],RC_IN[BLOCK],RC_OUT[BLOCK]),"")</f>
        <v/>
      </c>
      <c r="J1322" s="264">
        <f t="shared" si="1"/>
        <v>0</v>
      </c>
      <c r="K1322" s="246"/>
      <c r="L1322" s="246"/>
      <c r="M1322" s="249" t="str">
        <f t="shared" si="2"/>
        <v/>
      </c>
      <c r="N1322" s="266">
        <f t="shared" si="3"/>
        <v>0</v>
      </c>
      <c r="O1322" s="247"/>
      <c r="P1322" s="247"/>
      <c r="Q1322" s="247"/>
      <c r="R1322" s="247"/>
      <c r="S1322" s="247"/>
      <c r="T1322" s="247"/>
      <c r="U1322" s="247"/>
      <c r="V1322" s="247"/>
      <c r="W1322" s="247"/>
      <c r="X1322" s="247"/>
    </row>
    <row r="1323">
      <c r="A1323" s="282">
        <v>45985.0</v>
      </c>
      <c r="B1323" s="275" t="s">
        <v>1142</v>
      </c>
      <c r="C1323" s="275" t="s">
        <v>1347</v>
      </c>
      <c r="D1323" s="276">
        <v>3441.0</v>
      </c>
      <c r="E1323" s="275" t="s">
        <v>1017</v>
      </c>
      <c r="F1323" s="277" t="s">
        <v>1059</v>
      </c>
      <c r="G1323" s="278" t="str">
        <f>IFNA(IF(VLOOKUP(RC_OUT[BLOCK],RC_IN[[BLOCK]:[BLOCK LOC]],2,FALSE)=0,"",VLOOKUP(RC_OUT[BLOCK],RC_IN[[BLOCK]:[BLOCK LOC]],2,FALSE)),"")</f>
        <v/>
      </c>
      <c r="I1323" s="263" t="str">
        <f>IFERROR(AVERAGEIFS(RC_IN[MC],RC_IN[BLOCK],RC_OUT[BLOCK]),"")</f>
        <v/>
      </c>
      <c r="J1323" s="264">
        <f t="shared" si="1"/>
        <v>0</v>
      </c>
      <c r="K1323" s="246"/>
      <c r="L1323" s="246"/>
      <c r="M1323" s="249" t="str">
        <f t="shared" si="2"/>
        <v/>
      </c>
      <c r="N1323" s="266">
        <f t="shared" si="3"/>
        <v>0</v>
      </c>
      <c r="O1323" s="247"/>
      <c r="P1323" s="247"/>
      <c r="Q1323" s="247"/>
      <c r="R1323" s="247"/>
      <c r="S1323" s="247"/>
      <c r="T1323" s="247"/>
      <c r="U1323" s="247"/>
      <c r="V1323" s="247"/>
      <c r="W1323" s="247"/>
      <c r="X1323" s="247"/>
    </row>
    <row r="1324">
      <c r="A1324" s="282">
        <v>45985.0</v>
      </c>
      <c r="B1324" s="275" t="s">
        <v>1142</v>
      </c>
      <c r="C1324" s="275" t="s">
        <v>1348</v>
      </c>
      <c r="D1324" s="276">
        <v>479.0</v>
      </c>
      <c r="E1324" s="275" t="s">
        <v>1017</v>
      </c>
      <c r="F1324" s="277" t="s">
        <v>1059</v>
      </c>
      <c r="G1324" s="278" t="str">
        <f>IFNA(IF(VLOOKUP(RC_OUT[BLOCK],RC_IN[[BLOCK]:[BLOCK LOC]],2,FALSE)=0,"",VLOOKUP(RC_OUT[BLOCK],RC_IN[[BLOCK]:[BLOCK LOC]],2,FALSE)),"")</f>
        <v/>
      </c>
      <c r="I1324" s="263" t="str">
        <f>IFERROR(AVERAGEIFS(RC_IN[MC],RC_IN[BLOCK],RC_OUT[BLOCK]),"")</f>
        <v/>
      </c>
      <c r="J1324" s="264">
        <f t="shared" si="1"/>
        <v>0</v>
      </c>
      <c r="K1324" s="246"/>
      <c r="L1324" s="246"/>
      <c r="M1324" s="249" t="str">
        <f t="shared" si="2"/>
        <v/>
      </c>
      <c r="N1324" s="266">
        <f t="shared" si="3"/>
        <v>0</v>
      </c>
      <c r="O1324" s="247"/>
      <c r="P1324" s="247"/>
      <c r="Q1324" s="247"/>
      <c r="R1324" s="247"/>
      <c r="S1324" s="247"/>
      <c r="T1324" s="247"/>
      <c r="U1324" s="247"/>
      <c r="V1324" s="247"/>
      <c r="W1324" s="247"/>
      <c r="X1324" s="247"/>
    </row>
    <row r="1325">
      <c r="A1325" s="282">
        <v>45985.0</v>
      </c>
      <c r="B1325" s="275" t="s">
        <v>1142</v>
      </c>
      <c r="C1325" s="275" t="s">
        <v>1349</v>
      </c>
      <c r="D1325" s="276">
        <v>6840.0</v>
      </c>
      <c r="E1325" s="275" t="s">
        <v>1017</v>
      </c>
      <c r="F1325" s="279"/>
      <c r="G1325" s="278" t="str">
        <f>IFNA(IF(VLOOKUP(RC_OUT[BLOCK],RC_IN[[BLOCK]:[BLOCK LOC]],2,FALSE)=0,"",VLOOKUP(RC_OUT[BLOCK],RC_IN[[BLOCK]:[BLOCK LOC]],2,FALSE)),"")</f>
        <v/>
      </c>
      <c r="I1325" s="263" t="str">
        <f>IFERROR(AVERAGEIFS(RC_IN[MC],RC_IN[BLOCK],RC_OUT[BLOCK]),"")</f>
        <v/>
      </c>
      <c r="J1325" s="264">
        <f t="shared" si="1"/>
        <v>0</v>
      </c>
      <c r="K1325" s="246"/>
      <c r="L1325" s="246"/>
      <c r="M1325" s="249" t="str">
        <f t="shared" si="2"/>
        <v/>
      </c>
      <c r="N1325" s="266">
        <f t="shared" si="3"/>
        <v>0</v>
      </c>
      <c r="O1325" s="247"/>
      <c r="P1325" s="247"/>
      <c r="Q1325" s="247"/>
      <c r="R1325" s="247"/>
      <c r="S1325" s="247"/>
      <c r="T1325" s="247"/>
      <c r="U1325" s="247"/>
      <c r="V1325" s="247"/>
      <c r="W1325" s="247"/>
      <c r="X1325" s="247"/>
    </row>
    <row r="1326">
      <c r="A1326" s="282">
        <v>45985.0</v>
      </c>
      <c r="B1326" s="275" t="s">
        <v>1142</v>
      </c>
      <c r="C1326" s="275" t="s">
        <v>1350</v>
      </c>
      <c r="D1326" s="276">
        <v>4498.0</v>
      </c>
      <c r="E1326" s="275" t="s">
        <v>1017</v>
      </c>
      <c r="F1326" s="279"/>
      <c r="G1326" s="278" t="str">
        <f>IFNA(IF(VLOOKUP(RC_OUT[BLOCK],RC_IN[[BLOCK]:[BLOCK LOC]],2,FALSE)=0,"",VLOOKUP(RC_OUT[BLOCK],RC_IN[[BLOCK]:[BLOCK LOC]],2,FALSE)),"")</f>
        <v/>
      </c>
      <c r="I1326" s="263" t="str">
        <f>IFERROR(AVERAGEIFS(RC_IN[MC],RC_IN[BLOCK],RC_OUT[BLOCK]),"")</f>
        <v/>
      </c>
      <c r="J1326" s="264">
        <f t="shared" si="1"/>
        <v>0</v>
      </c>
      <c r="K1326" s="246"/>
      <c r="L1326" s="246"/>
      <c r="M1326" s="249" t="str">
        <f t="shared" si="2"/>
        <v/>
      </c>
      <c r="N1326" s="266">
        <f t="shared" si="3"/>
        <v>0</v>
      </c>
      <c r="O1326" s="247"/>
      <c r="P1326" s="247"/>
      <c r="Q1326" s="247"/>
      <c r="R1326" s="247"/>
      <c r="S1326" s="247"/>
      <c r="T1326" s="247"/>
      <c r="U1326" s="247"/>
      <c r="V1326" s="247"/>
      <c r="W1326" s="247"/>
      <c r="X1326" s="247"/>
    </row>
    <row r="1327">
      <c r="A1327" s="274"/>
      <c r="B1327" s="274"/>
      <c r="C1327" s="274"/>
      <c r="D1327" s="283"/>
      <c r="E1327" s="274"/>
      <c r="F1327" s="279"/>
      <c r="G1327" s="278" t="str">
        <f>IFNA(IF(VLOOKUP(RC_OUT[BLOCK],RC_IN[[BLOCK]:[BLOCK LOC]],2,FALSE)=0,"",VLOOKUP(RC_OUT[BLOCK],RC_IN[[BLOCK]:[BLOCK LOC]],2,FALSE)),"")</f>
        <v/>
      </c>
      <c r="I1327" s="263" t="str">
        <f>IFERROR(AVERAGEIFS(RC_IN[MC],RC_IN[BLOCK],RC_OUT[BLOCK]),"")</f>
        <v/>
      </c>
      <c r="J1327" s="264">
        <f t="shared" si="1"/>
        <v>0</v>
      </c>
      <c r="K1327" s="246"/>
      <c r="L1327" s="246"/>
      <c r="M1327" s="249" t="str">
        <f t="shared" si="2"/>
        <v/>
      </c>
      <c r="N1327" s="266">
        <f t="shared" si="3"/>
        <v>0</v>
      </c>
      <c r="O1327" s="247"/>
      <c r="P1327" s="247"/>
      <c r="Q1327" s="247"/>
      <c r="R1327" s="247"/>
      <c r="S1327" s="247"/>
      <c r="T1327" s="247"/>
      <c r="U1327" s="247"/>
      <c r="V1327" s="247"/>
      <c r="W1327" s="247"/>
      <c r="X1327" s="247"/>
    </row>
    <row r="1328">
      <c r="A1328" s="282">
        <v>45986.0</v>
      </c>
      <c r="B1328" s="275" t="s">
        <v>1142</v>
      </c>
      <c r="C1328" s="275" t="s">
        <v>1344</v>
      </c>
      <c r="D1328" s="276">
        <v>2107.0</v>
      </c>
      <c r="E1328" s="275" t="s">
        <v>1017</v>
      </c>
      <c r="F1328" s="279"/>
      <c r="G1328" s="278" t="str">
        <f>IFNA(IF(VLOOKUP(RC_OUT[BLOCK],RC_IN[[BLOCK]:[BLOCK LOC]],2,FALSE)=0,"",VLOOKUP(RC_OUT[BLOCK],RC_IN[[BLOCK]:[BLOCK LOC]],2,FALSE)),"")</f>
        <v/>
      </c>
      <c r="I1328" s="263" t="str">
        <f>IFERROR(AVERAGEIFS(RC_IN[MC],RC_IN[BLOCK],RC_OUT[BLOCK]),"")</f>
        <v/>
      </c>
      <c r="J1328" s="264">
        <f t="shared" si="1"/>
        <v>0</v>
      </c>
      <c r="K1328" s="246"/>
      <c r="L1328" s="246"/>
      <c r="M1328" s="249" t="str">
        <f t="shared" si="2"/>
        <v/>
      </c>
      <c r="N1328" s="266">
        <f t="shared" si="3"/>
        <v>0</v>
      </c>
      <c r="O1328" s="247"/>
      <c r="P1328" s="247"/>
      <c r="Q1328" s="247"/>
      <c r="R1328" s="247"/>
      <c r="S1328" s="247"/>
      <c r="T1328" s="247"/>
      <c r="U1328" s="247"/>
      <c r="V1328" s="247"/>
      <c r="W1328" s="247"/>
      <c r="X1328" s="247"/>
    </row>
    <row r="1329">
      <c r="A1329" s="282">
        <v>45986.0</v>
      </c>
      <c r="B1329" s="275" t="s">
        <v>1142</v>
      </c>
      <c r="C1329" s="275" t="s">
        <v>1346</v>
      </c>
      <c r="D1329" s="276">
        <v>5223.0</v>
      </c>
      <c r="E1329" s="275" t="s">
        <v>1017</v>
      </c>
      <c r="F1329" s="279"/>
      <c r="G1329" s="278" t="str">
        <f>IFNA(IF(VLOOKUP(RC_OUT[BLOCK],RC_IN[[BLOCK]:[BLOCK LOC]],2,FALSE)=0,"",VLOOKUP(RC_OUT[BLOCK],RC_IN[[BLOCK]:[BLOCK LOC]],2,FALSE)),"")</f>
        <v/>
      </c>
      <c r="I1329" s="263" t="str">
        <f>IFERROR(AVERAGEIFS(RC_IN[MC],RC_IN[BLOCK],RC_OUT[BLOCK]),"")</f>
        <v/>
      </c>
      <c r="J1329" s="264">
        <f t="shared" si="1"/>
        <v>0</v>
      </c>
      <c r="K1329" s="246"/>
      <c r="L1329" s="246"/>
      <c r="M1329" s="249" t="str">
        <f t="shared" si="2"/>
        <v/>
      </c>
      <c r="N1329" s="266">
        <f t="shared" si="3"/>
        <v>0</v>
      </c>
      <c r="O1329" s="247"/>
      <c r="P1329" s="247"/>
      <c r="Q1329" s="247"/>
      <c r="R1329" s="247"/>
      <c r="S1329" s="247"/>
      <c r="T1329" s="247"/>
      <c r="U1329" s="247"/>
      <c r="V1329" s="247"/>
      <c r="W1329" s="247"/>
      <c r="X1329" s="247"/>
    </row>
    <row r="1330">
      <c r="A1330" s="282">
        <v>45986.0</v>
      </c>
      <c r="B1330" s="275" t="s">
        <v>1142</v>
      </c>
      <c r="C1330" s="275" t="s">
        <v>1349</v>
      </c>
      <c r="D1330" s="276">
        <v>5000.0</v>
      </c>
      <c r="E1330" s="275" t="s">
        <v>1017</v>
      </c>
      <c r="F1330" s="279"/>
      <c r="G1330" s="278" t="str">
        <f>IFNA(IF(VLOOKUP(RC_OUT[BLOCK],RC_IN[[BLOCK]:[BLOCK LOC]],2,FALSE)=0,"",VLOOKUP(RC_OUT[BLOCK],RC_IN[[BLOCK]:[BLOCK LOC]],2,FALSE)),"")</f>
        <v/>
      </c>
      <c r="I1330" s="263" t="str">
        <f>IFERROR(AVERAGEIFS(RC_IN[MC],RC_IN[BLOCK],RC_OUT[BLOCK]),"")</f>
        <v/>
      </c>
      <c r="J1330" s="264">
        <f t="shared" si="1"/>
        <v>0</v>
      </c>
      <c r="K1330" s="246"/>
      <c r="L1330" s="246"/>
      <c r="M1330" s="249" t="str">
        <f t="shared" si="2"/>
        <v/>
      </c>
      <c r="N1330" s="266">
        <f t="shared" si="3"/>
        <v>0</v>
      </c>
      <c r="O1330" s="247"/>
      <c r="P1330" s="247"/>
      <c r="Q1330" s="247"/>
      <c r="R1330" s="247"/>
      <c r="S1330" s="247"/>
      <c r="T1330" s="247"/>
      <c r="U1330" s="247"/>
      <c r="V1330" s="247"/>
      <c r="W1330" s="247"/>
      <c r="X1330" s="247"/>
    </row>
    <row r="1331">
      <c r="A1331" s="282">
        <v>45986.0</v>
      </c>
      <c r="B1331" s="275" t="s">
        <v>1142</v>
      </c>
      <c r="C1331" s="275" t="s">
        <v>1350</v>
      </c>
      <c r="D1331" s="276">
        <v>10235.0</v>
      </c>
      <c r="E1331" s="275" t="s">
        <v>1017</v>
      </c>
      <c r="F1331" s="277" t="s">
        <v>1059</v>
      </c>
      <c r="G1331" s="278" t="str">
        <f>IFNA(IF(VLOOKUP(RC_OUT[BLOCK],RC_IN[[BLOCK]:[BLOCK LOC]],2,FALSE)=0,"",VLOOKUP(RC_OUT[BLOCK],RC_IN[[BLOCK]:[BLOCK LOC]],2,FALSE)),"")</f>
        <v/>
      </c>
      <c r="I1331" s="263" t="str">
        <f>IFERROR(AVERAGEIFS(RC_IN[MC],RC_IN[BLOCK],RC_OUT[BLOCK]),"")</f>
        <v/>
      </c>
      <c r="J1331" s="264">
        <f t="shared" si="1"/>
        <v>0</v>
      </c>
      <c r="K1331" s="246"/>
      <c r="L1331" s="246"/>
      <c r="M1331" s="249" t="str">
        <f t="shared" si="2"/>
        <v/>
      </c>
      <c r="N1331" s="266">
        <f t="shared" si="3"/>
        <v>0</v>
      </c>
      <c r="O1331" s="247"/>
      <c r="P1331" s="247"/>
      <c r="Q1331" s="247"/>
      <c r="R1331" s="247"/>
      <c r="S1331" s="247"/>
      <c r="T1331" s="247"/>
      <c r="U1331" s="247"/>
      <c r="V1331" s="247"/>
      <c r="W1331" s="247"/>
      <c r="X1331" s="247"/>
    </row>
    <row r="1332">
      <c r="A1332" s="282">
        <v>45986.0</v>
      </c>
      <c r="B1332" s="275" t="s">
        <v>1142</v>
      </c>
      <c r="C1332" s="275" t="s">
        <v>1351</v>
      </c>
      <c r="D1332" s="276">
        <v>6451.0</v>
      </c>
      <c r="E1332" s="275" t="s">
        <v>1017</v>
      </c>
      <c r="F1332" s="279"/>
      <c r="G1332" s="278" t="str">
        <f>IFNA(IF(VLOOKUP(RC_OUT[BLOCK],RC_IN[[BLOCK]:[BLOCK LOC]],2,FALSE)=0,"",VLOOKUP(RC_OUT[BLOCK],RC_IN[[BLOCK]:[BLOCK LOC]],2,FALSE)),"")</f>
        <v/>
      </c>
      <c r="I1332" s="263" t="str">
        <f>IFERROR(AVERAGEIFS(RC_IN[MC],RC_IN[BLOCK],RC_OUT[BLOCK]),"")</f>
        <v/>
      </c>
      <c r="J1332" s="264">
        <f t="shared" si="1"/>
        <v>0</v>
      </c>
      <c r="K1332" s="246"/>
      <c r="L1332" s="246"/>
      <c r="M1332" s="249" t="str">
        <f t="shared" si="2"/>
        <v/>
      </c>
      <c r="N1332" s="266">
        <f t="shared" si="3"/>
        <v>0</v>
      </c>
      <c r="O1332" s="247"/>
      <c r="P1332" s="247"/>
      <c r="Q1332" s="247"/>
      <c r="R1332" s="247"/>
      <c r="S1332" s="247"/>
      <c r="T1332" s="247"/>
      <c r="U1332" s="247"/>
      <c r="V1332" s="247"/>
      <c r="W1332" s="247"/>
      <c r="X1332" s="247"/>
    </row>
    <row r="1333">
      <c r="A1333" s="274"/>
      <c r="B1333" s="274"/>
      <c r="C1333" s="274"/>
      <c r="D1333" s="283"/>
      <c r="E1333" s="274"/>
      <c r="F1333" s="279"/>
      <c r="G1333" s="278" t="str">
        <f>IFNA(IF(VLOOKUP(RC_OUT[BLOCK],RC_IN[[BLOCK]:[BLOCK LOC]],2,FALSE)=0,"",VLOOKUP(RC_OUT[BLOCK],RC_IN[[BLOCK]:[BLOCK LOC]],2,FALSE)),"")</f>
        <v/>
      </c>
      <c r="I1333" s="263" t="str">
        <f>IFERROR(AVERAGEIFS(RC_IN[MC],RC_IN[BLOCK],RC_OUT[BLOCK]),"")</f>
        <v/>
      </c>
      <c r="J1333" s="264">
        <f t="shared" si="1"/>
        <v>0</v>
      </c>
      <c r="K1333" s="246"/>
      <c r="L1333" s="246"/>
      <c r="M1333" s="249" t="str">
        <f t="shared" si="2"/>
        <v/>
      </c>
      <c r="N1333" s="266">
        <f t="shared" si="3"/>
        <v>0</v>
      </c>
      <c r="O1333" s="247"/>
      <c r="P1333" s="247"/>
      <c r="Q1333" s="247"/>
      <c r="R1333" s="247"/>
      <c r="S1333" s="247"/>
      <c r="T1333" s="247"/>
      <c r="U1333" s="247"/>
      <c r="V1333" s="247"/>
      <c r="W1333" s="247"/>
      <c r="X1333" s="247"/>
    </row>
    <row r="1334">
      <c r="A1334" s="282">
        <v>45988.0</v>
      </c>
      <c r="B1334" s="275" t="s">
        <v>1352</v>
      </c>
      <c r="C1334" s="275" t="s">
        <v>1346</v>
      </c>
      <c r="D1334" s="276">
        <v>2528.0</v>
      </c>
      <c r="E1334" s="275" t="s">
        <v>1017</v>
      </c>
      <c r="F1334" s="279"/>
      <c r="G1334" s="278" t="str">
        <f>IFNA(IF(VLOOKUP(RC_OUT[BLOCK],RC_IN[[BLOCK]:[BLOCK LOC]],2,FALSE)=0,"",VLOOKUP(RC_OUT[BLOCK],RC_IN[[BLOCK]:[BLOCK LOC]],2,FALSE)),"")</f>
        <v/>
      </c>
      <c r="I1334" s="263" t="str">
        <f>IFERROR(AVERAGEIFS(RC_IN[MC],RC_IN[BLOCK],RC_OUT[BLOCK]),"")</f>
        <v/>
      </c>
      <c r="J1334" s="264">
        <f t="shared" si="1"/>
        <v>0</v>
      </c>
      <c r="K1334" s="246"/>
      <c r="L1334" s="246"/>
      <c r="M1334" s="249" t="str">
        <f t="shared" si="2"/>
        <v/>
      </c>
      <c r="N1334" s="266">
        <f t="shared" si="3"/>
        <v>0</v>
      </c>
      <c r="O1334" s="247"/>
      <c r="P1334" s="247"/>
      <c r="Q1334" s="247"/>
      <c r="R1334" s="247"/>
      <c r="S1334" s="247"/>
      <c r="T1334" s="247"/>
      <c r="U1334" s="247"/>
      <c r="V1334" s="247"/>
      <c r="W1334" s="247"/>
      <c r="X1334" s="247"/>
    </row>
    <row r="1335">
      <c r="A1335" s="282">
        <v>45988.0</v>
      </c>
      <c r="B1335" s="275" t="s">
        <v>1352</v>
      </c>
      <c r="C1335" s="275" t="s">
        <v>1349</v>
      </c>
      <c r="D1335" s="276">
        <v>3000.0</v>
      </c>
      <c r="E1335" s="275" t="s">
        <v>1017</v>
      </c>
      <c r="F1335" s="279"/>
      <c r="G1335" s="278" t="str">
        <f>IFNA(IF(VLOOKUP(RC_OUT[BLOCK],RC_IN[[BLOCK]:[BLOCK LOC]],2,FALSE)=0,"",VLOOKUP(RC_OUT[BLOCK],RC_IN[[BLOCK]:[BLOCK LOC]],2,FALSE)),"")</f>
        <v/>
      </c>
      <c r="I1335" s="263" t="str">
        <f>IFERROR(AVERAGEIFS(RC_IN[MC],RC_IN[BLOCK],RC_OUT[BLOCK]),"")</f>
        <v/>
      </c>
      <c r="J1335" s="264">
        <f t="shared" si="1"/>
        <v>0</v>
      </c>
      <c r="K1335" s="246"/>
      <c r="L1335" s="246"/>
      <c r="M1335" s="249" t="str">
        <f t="shared" si="2"/>
        <v/>
      </c>
      <c r="N1335" s="266">
        <f t="shared" si="3"/>
        <v>0</v>
      </c>
      <c r="O1335" s="247"/>
      <c r="P1335" s="247"/>
      <c r="Q1335" s="247"/>
      <c r="R1335" s="247"/>
      <c r="S1335" s="247"/>
      <c r="T1335" s="247"/>
      <c r="U1335" s="247"/>
      <c r="V1335" s="247"/>
      <c r="W1335" s="247"/>
      <c r="X1335" s="247"/>
    </row>
    <row r="1336">
      <c r="A1336" s="282">
        <v>45988.0</v>
      </c>
      <c r="B1336" s="275" t="s">
        <v>1352</v>
      </c>
      <c r="C1336" s="275" t="s">
        <v>1351</v>
      </c>
      <c r="D1336" s="276">
        <v>2263.0</v>
      </c>
      <c r="E1336" s="275" t="s">
        <v>1017</v>
      </c>
      <c r="F1336" s="279"/>
      <c r="G1336" s="278" t="str">
        <f>IFNA(IF(VLOOKUP(RC_OUT[BLOCK],RC_IN[[BLOCK]:[BLOCK LOC]],2,FALSE)=0,"",VLOOKUP(RC_OUT[BLOCK],RC_IN[[BLOCK]:[BLOCK LOC]],2,FALSE)),"")</f>
        <v/>
      </c>
      <c r="I1336" s="263" t="str">
        <f>IFERROR(AVERAGEIFS(RC_IN[MC],RC_IN[BLOCK],RC_OUT[BLOCK]),"")</f>
        <v/>
      </c>
      <c r="J1336" s="264">
        <f t="shared" si="1"/>
        <v>0</v>
      </c>
      <c r="K1336" s="246"/>
      <c r="L1336" s="246"/>
      <c r="M1336" s="249" t="str">
        <f t="shared" si="2"/>
        <v/>
      </c>
      <c r="N1336" s="266">
        <f t="shared" si="3"/>
        <v>0</v>
      </c>
      <c r="O1336" s="247"/>
      <c r="P1336" s="247"/>
      <c r="Q1336" s="247"/>
      <c r="R1336" s="247"/>
      <c r="S1336" s="247"/>
      <c r="T1336" s="247"/>
      <c r="U1336" s="247"/>
      <c r="V1336" s="247"/>
      <c r="W1336" s="247"/>
      <c r="X1336" s="247"/>
    </row>
    <row r="1337">
      <c r="A1337" s="282">
        <v>45988.0</v>
      </c>
      <c r="B1337" s="275" t="s">
        <v>1352</v>
      </c>
      <c r="C1337" s="275" t="s">
        <v>1353</v>
      </c>
      <c r="D1337" s="276">
        <v>5667.0</v>
      </c>
      <c r="E1337" s="275" t="s">
        <v>1017</v>
      </c>
      <c r="F1337" s="279"/>
      <c r="G1337" s="278" t="str">
        <f>IFNA(IF(VLOOKUP(RC_OUT[BLOCK],RC_IN[[BLOCK]:[BLOCK LOC]],2,FALSE)=0,"",VLOOKUP(RC_OUT[BLOCK],RC_IN[[BLOCK]:[BLOCK LOC]],2,FALSE)),"")</f>
        <v/>
      </c>
      <c r="I1337" s="263" t="str">
        <f>IFERROR(AVERAGEIFS(RC_IN[MC],RC_IN[BLOCK],RC_OUT[BLOCK]),"")</f>
        <v/>
      </c>
      <c r="J1337" s="264">
        <f t="shared" si="1"/>
        <v>0</v>
      </c>
      <c r="K1337" s="246"/>
      <c r="L1337" s="246"/>
      <c r="M1337" s="249" t="str">
        <f t="shared" si="2"/>
        <v/>
      </c>
      <c r="N1337" s="266">
        <f t="shared" si="3"/>
        <v>0</v>
      </c>
      <c r="O1337" s="247"/>
      <c r="P1337" s="247"/>
      <c r="Q1337" s="247"/>
      <c r="R1337" s="247"/>
      <c r="S1337" s="247"/>
      <c r="T1337" s="247"/>
      <c r="U1337" s="247"/>
      <c r="V1337" s="247"/>
      <c r="W1337" s="247"/>
      <c r="X1337" s="247"/>
    </row>
    <row r="1338">
      <c r="A1338" s="274"/>
      <c r="B1338" s="274"/>
      <c r="C1338" s="274"/>
      <c r="D1338" s="283"/>
      <c r="E1338" s="274"/>
      <c r="F1338" s="279"/>
      <c r="G1338" s="278" t="str">
        <f>IFNA(IF(VLOOKUP(RC_OUT[BLOCK],RC_IN[[BLOCK]:[BLOCK LOC]],2,FALSE)=0,"",VLOOKUP(RC_OUT[BLOCK],RC_IN[[BLOCK]:[BLOCK LOC]],2,FALSE)),"")</f>
        <v/>
      </c>
      <c r="I1338" s="263" t="str">
        <f>IFERROR(AVERAGEIFS(RC_IN[MC],RC_IN[BLOCK],RC_OUT[BLOCK]),"")</f>
        <v/>
      </c>
      <c r="J1338" s="264">
        <f t="shared" si="1"/>
        <v>0</v>
      </c>
      <c r="K1338" s="246"/>
      <c r="L1338" s="246"/>
      <c r="M1338" s="249" t="str">
        <f t="shared" si="2"/>
        <v/>
      </c>
      <c r="N1338" s="266">
        <f t="shared" si="3"/>
        <v>0</v>
      </c>
      <c r="O1338" s="247"/>
      <c r="P1338" s="247"/>
      <c r="Q1338" s="247"/>
      <c r="R1338" s="247"/>
      <c r="S1338" s="247"/>
      <c r="T1338" s="247"/>
      <c r="U1338" s="247"/>
      <c r="V1338" s="247"/>
      <c r="W1338" s="247"/>
      <c r="X1338" s="247"/>
    </row>
    <row r="1339">
      <c r="A1339" s="282">
        <v>45989.0</v>
      </c>
      <c r="B1339" s="275" t="s">
        <v>1352</v>
      </c>
      <c r="C1339" s="275" t="s">
        <v>1346</v>
      </c>
      <c r="D1339" s="276">
        <v>3695.0</v>
      </c>
      <c r="E1339" s="275" t="s">
        <v>1017</v>
      </c>
      <c r="F1339" s="277" t="s">
        <v>1059</v>
      </c>
      <c r="G1339" s="278" t="str">
        <f>IFNA(IF(VLOOKUP(RC_OUT[BLOCK],RC_IN[[BLOCK]:[BLOCK LOC]],2,FALSE)=0,"",VLOOKUP(RC_OUT[BLOCK],RC_IN[[BLOCK]:[BLOCK LOC]],2,FALSE)),"")</f>
        <v/>
      </c>
      <c r="I1339" s="263" t="str">
        <f>IFERROR(AVERAGEIFS(RC_IN[MC],RC_IN[BLOCK],RC_OUT[BLOCK]),"")</f>
        <v/>
      </c>
      <c r="J1339" s="264">
        <f t="shared" si="1"/>
        <v>0</v>
      </c>
      <c r="K1339" s="246"/>
      <c r="L1339" s="246"/>
      <c r="M1339" s="249" t="str">
        <f t="shared" si="2"/>
        <v/>
      </c>
      <c r="N1339" s="266">
        <f t="shared" si="3"/>
        <v>0</v>
      </c>
      <c r="O1339" s="247"/>
      <c r="P1339" s="247"/>
      <c r="Q1339" s="247"/>
      <c r="R1339" s="247"/>
      <c r="S1339" s="247"/>
      <c r="T1339" s="247"/>
      <c r="U1339" s="247"/>
      <c r="V1339" s="247"/>
      <c r="W1339" s="247"/>
      <c r="X1339" s="247"/>
    </row>
    <row r="1340">
      <c r="A1340" s="282">
        <v>45989.0</v>
      </c>
      <c r="B1340" s="275" t="s">
        <v>1352</v>
      </c>
      <c r="C1340" s="275" t="s">
        <v>1349</v>
      </c>
      <c r="D1340" s="276">
        <v>3000.0</v>
      </c>
      <c r="E1340" s="275" t="s">
        <v>1017</v>
      </c>
      <c r="F1340" s="277" t="s">
        <v>1059</v>
      </c>
      <c r="G1340" s="278" t="str">
        <f>IFNA(IF(VLOOKUP(RC_OUT[BLOCK],RC_IN[[BLOCK]:[BLOCK LOC]],2,FALSE)=0,"",VLOOKUP(RC_OUT[BLOCK],RC_IN[[BLOCK]:[BLOCK LOC]],2,FALSE)),"")</f>
        <v/>
      </c>
      <c r="I1340" s="263" t="str">
        <f>IFERROR(AVERAGEIFS(RC_IN[MC],RC_IN[BLOCK],RC_OUT[BLOCK]),"")</f>
        <v/>
      </c>
      <c r="J1340" s="264">
        <f t="shared" si="1"/>
        <v>0</v>
      </c>
      <c r="K1340" s="246"/>
      <c r="L1340" s="246"/>
      <c r="M1340" s="249" t="str">
        <f t="shared" si="2"/>
        <v/>
      </c>
      <c r="N1340" s="266">
        <f t="shared" si="3"/>
        <v>0</v>
      </c>
      <c r="O1340" s="247"/>
      <c r="P1340" s="247"/>
      <c r="Q1340" s="247"/>
      <c r="R1340" s="247"/>
      <c r="S1340" s="247"/>
      <c r="T1340" s="247"/>
      <c r="U1340" s="247"/>
      <c r="V1340" s="247"/>
      <c r="W1340" s="247"/>
      <c r="X1340" s="247"/>
    </row>
    <row r="1341">
      <c r="A1341" s="282">
        <v>45989.0</v>
      </c>
      <c r="B1341" s="275" t="s">
        <v>1352</v>
      </c>
      <c r="C1341" s="275" t="s">
        <v>1351</v>
      </c>
      <c r="D1341" s="276">
        <v>10225.0</v>
      </c>
      <c r="E1341" s="275" t="s">
        <v>1017</v>
      </c>
      <c r="F1341" s="279"/>
      <c r="G1341" s="278" t="str">
        <f>IFNA(IF(VLOOKUP(RC_OUT[BLOCK],RC_IN[[BLOCK]:[BLOCK LOC]],2,FALSE)=0,"",VLOOKUP(RC_OUT[BLOCK],RC_IN[[BLOCK]:[BLOCK LOC]],2,FALSE)),"")</f>
        <v/>
      </c>
      <c r="I1341" s="263" t="str">
        <f>IFERROR(AVERAGEIFS(RC_IN[MC],RC_IN[BLOCK],RC_OUT[BLOCK]),"")</f>
        <v/>
      </c>
      <c r="J1341" s="264">
        <f t="shared" si="1"/>
        <v>0</v>
      </c>
      <c r="K1341" s="246"/>
      <c r="L1341" s="246"/>
      <c r="M1341" s="249" t="str">
        <f t="shared" si="2"/>
        <v/>
      </c>
      <c r="N1341" s="266">
        <f t="shared" si="3"/>
        <v>0</v>
      </c>
      <c r="O1341" s="247"/>
      <c r="P1341" s="247"/>
      <c r="Q1341" s="247"/>
      <c r="R1341" s="247"/>
      <c r="S1341" s="247"/>
      <c r="T1341" s="247"/>
      <c r="U1341" s="247"/>
      <c r="V1341" s="247"/>
      <c r="W1341" s="247"/>
      <c r="X1341" s="247"/>
    </row>
    <row r="1342">
      <c r="A1342" s="282">
        <v>45989.0</v>
      </c>
      <c r="B1342" s="275" t="s">
        <v>1352</v>
      </c>
      <c r="C1342" s="275" t="s">
        <v>1353</v>
      </c>
      <c r="D1342" s="276">
        <v>19877.0</v>
      </c>
      <c r="E1342" s="275" t="s">
        <v>1017</v>
      </c>
      <c r="F1342" s="279"/>
      <c r="G1342" s="278" t="str">
        <f>IFNA(IF(VLOOKUP(RC_OUT[BLOCK],RC_IN[[BLOCK]:[BLOCK LOC]],2,FALSE)=0,"",VLOOKUP(RC_OUT[BLOCK],RC_IN[[BLOCK]:[BLOCK LOC]],2,FALSE)),"")</f>
        <v/>
      </c>
      <c r="I1342" s="263" t="str">
        <f>IFERROR(AVERAGEIFS(RC_IN[MC],RC_IN[BLOCK],RC_OUT[BLOCK]),"")</f>
        <v/>
      </c>
      <c r="J1342" s="264">
        <f t="shared" si="1"/>
        <v>0</v>
      </c>
      <c r="K1342" s="246"/>
      <c r="L1342" s="246"/>
      <c r="M1342" s="249" t="str">
        <f t="shared" si="2"/>
        <v/>
      </c>
      <c r="N1342" s="266">
        <f t="shared" si="3"/>
        <v>0</v>
      </c>
      <c r="O1342" s="247"/>
      <c r="P1342" s="247"/>
      <c r="Q1342" s="247"/>
      <c r="R1342" s="247"/>
      <c r="S1342" s="247"/>
      <c r="T1342" s="247"/>
      <c r="U1342" s="247"/>
      <c r="V1342" s="247"/>
      <c r="W1342" s="247"/>
      <c r="X1342" s="247"/>
    </row>
    <row r="1343">
      <c r="A1343" s="282">
        <v>45989.0</v>
      </c>
      <c r="B1343" s="275" t="s">
        <v>1352</v>
      </c>
      <c r="C1343" s="275" t="s">
        <v>280</v>
      </c>
      <c r="D1343" s="276">
        <v>7894.0</v>
      </c>
      <c r="E1343" s="275" t="s">
        <v>1017</v>
      </c>
      <c r="F1343" s="279"/>
      <c r="G1343" s="278" t="str">
        <f>IFNA(IF(VLOOKUP(RC_OUT[BLOCK],RC_IN[[BLOCK]:[BLOCK LOC]],2,FALSE)=0,"",VLOOKUP(RC_OUT[BLOCK],RC_IN[[BLOCK]:[BLOCK LOC]],2,FALSE)),"")</f>
        <v>D-12D</v>
      </c>
      <c r="I1343" s="263">
        <f>IFERROR(AVERAGEIFS(RC_IN[MC],RC_IN[BLOCK],RC_OUT[BLOCK]),"")</f>
        <v>12.349</v>
      </c>
      <c r="J1343" s="264">
        <f t="shared" si="1"/>
        <v>97483.006</v>
      </c>
      <c r="K1343" s="246"/>
      <c r="L1343" s="246"/>
      <c r="M1343" s="249" t="str">
        <f t="shared" si="2"/>
        <v/>
      </c>
      <c r="N1343" s="266">
        <f t="shared" si="3"/>
        <v>0</v>
      </c>
      <c r="O1343" s="247"/>
      <c r="P1343" s="247"/>
      <c r="Q1343" s="247"/>
      <c r="R1343" s="247"/>
      <c r="S1343" s="247"/>
      <c r="T1343" s="247"/>
      <c r="U1343" s="247"/>
      <c r="V1343" s="247"/>
      <c r="W1343" s="247"/>
      <c r="X1343" s="247"/>
    </row>
    <row r="1344">
      <c r="A1344" s="282">
        <v>45989.0</v>
      </c>
      <c r="B1344" s="275" t="s">
        <v>1352</v>
      </c>
      <c r="C1344" s="275" t="s">
        <v>1354</v>
      </c>
      <c r="D1344" s="276">
        <v>5337.0</v>
      </c>
      <c r="E1344" s="275" t="s">
        <v>1017</v>
      </c>
      <c r="F1344" s="279"/>
      <c r="G1344" s="278" t="str">
        <f>IFNA(IF(VLOOKUP(RC_OUT[BLOCK],RC_IN[[BLOCK]:[BLOCK LOC]],2,FALSE)=0,"",VLOOKUP(RC_OUT[BLOCK],RC_IN[[BLOCK]:[BLOCK LOC]],2,FALSE)),"")</f>
        <v/>
      </c>
      <c r="I1344" s="263" t="str">
        <f>IFERROR(AVERAGEIFS(RC_IN[MC],RC_IN[BLOCK],RC_OUT[BLOCK]),"")</f>
        <v/>
      </c>
      <c r="J1344" s="264">
        <f t="shared" si="1"/>
        <v>0</v>
      </c>
      <c r="K1344" s="246"/>
      <c r="L1344" s="246"/>
      <c r="M1344" s="249" t="str">
        <f t="shared" si="2"/>
        <v/>
      </c>
      <c r="N1344" s="266">
        <f t="shared" si="3"/>
        <v>0</v>
      </c>
      <c r="O1344" s="247"/>
      <c r="P1344" s="247"/>
      <c r="Q1344" s="247"/>
      <c r="R1344" s="247"/>
      <c r="S1344" s="247"/>
      <c r="T1344" s="247"/>
      <c r="U1344" s="247"/>
      <c r="V1344" s="247"/>
      <c r="W1344" s="247"/>
      <c r="X1344" s="247"/>
    </row>
    <row r="1345">
      <c r="A1345" s="274"/>
      <c r="B1345" s="274"/>
      <c r="C1345" s="274"/>
      <c r="D1345" s="283"/>
      <c r="E1345" s="274"/>
      <c r="F1345" s="279"/>
      <c r="G1345" s="278" t="str">
        <f>IFNA(IF(VLOOKUP(RC_OUT[BLOCK],RC_IN[[BLOCK]:[BLOCK LOC]],2,FALSE)=0,"",VLOOKUP(RC_OUT[BLOCK],RC_IN[[BLOCK]:[BLOCK LOC]],2,FALSE)),"")</f>
        <v/>
      </c>
      <c r="I1345" s="263" t="str">
        <f>IFERROR(AVERAGEIFS(RC_IN[MC],RC_IN[BLOCK],RC_OUT[BLOCK]),"")</f>
        <v/>
      </c>
      <c r="J1345" s="264">
        <f t="shared" si="1"/>
        <v>0</v>
      </c>
      <c r="K1345" s="246"/>
      <c r="L1345" s="246"/>
      <c r="M1345" s="249" t="str">
        <f t="shared" si="2"/>
        <v/>
      </c>
      <c r="N1345" s="266">
        <f t="shared" si="3"/>
        <v>0</v>
      </c>
      <c r="O1345" s="247"/>
      <c r="P1345" s="247"/>
      <c r="Q1345" s="247"/>
      <c r="R1345" s="247"/>
      <c r="S1345" s="247"/>
      <c r="T1345" s="247"/>
      <c r="U1345" s="247"/>
      <c r="V1345" s="247"/>
      <c r="W1345" s="247"/>
      <c r="X1345" s="247"/>
    </row>
    <row r="1346">
      <c r="A1346" s="282">
        <v>45990.0</v>
      </c>
      <c r="B1346" s="275" t="s">
        <v>1352</v>
      </c>
      <c r="C1346" s="275" t="s">
        <v>1351</v>
      </c>
      <c r="D1346" s="276">
        <v>2346.0</v>
      </c>
      <c r="E1346" s="275" t="s">
        <v>1017</v>
      </c>
      <c r="F1346" s="279"/>
      <c r="G1346" s="278" t="str">
        <f>IFNA(IF(VLOOKUP(RC_OUT[BLOCK],RC_IN[[BLOCK]:[BLOCK LOC]],2,FALSE)=0,"",VLOOKUP(RC_OUT[BLOCK],RC_IN[[BLOCK]:[BLOCK LOC]],2,FALSE)),"")</f>
        <v/>
      </c>
      <c r="I1346" s="263" t="str">
        <f>IFERROR(AVERAGEIFS(RC_IN[MC],RC_IN[BLOCK],RC_OUT[BLOCK]),"")</f>
        <v/>
      </c>
      <c r="J1346" s="264">
        <f t="shared" si="1"/>
        <v>0</v>
      </c>
      <c r="K1346" s="246"/>
      <c r="L1346" s="246"/>
      <c r="M1346" s="249" t="str">
        <f t="shared" si="2"/>
        <v/>
      </c>
      <c r="N1346" s="266">
        <f t="shared" si="3"/>
        <v>0</v>
      </c>
      <c r="O1346" s="247"/>
      <c r="P1346" s="247"/>
      <c r="Q1346" s="247"/>
      <c r="R1346" s="247"/>
      <c r="S1346" s="247"/>
      <c r="T1346" s="247"/>
      <c r="U1346" s="247"/>
      <c r="V1346" s="247"/>
      <c r="W1346" s="247"/>
      <c r="X1346" s="247"/>
    </row>
    <row r="1347">
      <c r="A1347" s="282">
        <v>45990.0</v>
      </c>
      <c r="B1347" s="275" t="s">
        <v>1352</v>
      </c>
      <c r="C1347" s="275" t="s">
        <v>1353</v>
      </c>
      <c r="D1347" s="276">
        <v>7526.0</v>
      </c>
      <c r="E1347" s="275" t="s">
        <v>1017</v>
      </c>
      <c r="F1347" s="277" t="s">
        <v>1059</v>
      </c>
      <c r="G1347" s="278" t="str">
        <f>IFNA(IF(VLOOKUP(RC_OUT[BLOCK],RC_IN[[BLOCK]:[BLOCK LOC]],2,FALSE)=0,"",VLOOKUP(RC_OUT[BLOCK],RC_IN[[BLOCK]:[BLOCK LOC]],2,FALSE)),"")</f>
        <v/>
      </c>
      <c r="I1347" s="263" t="str">
        <f>IFERROR(AVERAGEIFS(RC_IN[MC],RC_IN[BLOCK],RC_OUT[BLOCK]),"")</f>
        <v/>
      </c>
      <c r="J1347" s="264">
        <f t="shared" si="1"/>
        <v>0</v>
      </c>
      <c r="K1347" s="246"/>
      <c r="L1347" s="246"/>
      <c r="M1347" s="249" t="str">
        <f t="shared" si="2"/>
        <v/>
      </c>
      <c r="N1347" s="266">
        <f t="shared" si="3"/>
        <v>0</v>
      </c>
      <c r="O1347" s="247"/>
      <c r="P1347" s="247"/>
      <c r="Q1347" s="247"/>
      <c r="R1347" s="247"/>
      <c r="S1347" s="247"/>
      <c r="T1347" s="247"/>
      <c r="U1347" s="247"/>
      <c r="V1347" s="247"/>
      <c r="W1347" s="247"/>
      <c r="X1347" s="247"/>
    </row>
    <row r="1348">
      <c r="A1348" s="282">
        <v>45990.0</v>
      </c>
      <c r="B1348" s="275" t="s">
        <v>1352</v>
      </c>
      <c r="C1348" s="275" t="s">
        <v>280</v>
      </c>
      <c r="D1348" s="276">
        <v>2411.0</v>
      </c>
      <c r="E1348" s="275" t="s">
        <v>1017</v>
      </c>
      <c r="F1348" s="279"/>
      <c r="G1348" s="278" t="str">
        <f>IFNA(IF(VLOOKUP(RC_OUT[BLOCK],RC_IN[[BLOCK]:[BLOCK LOC]],2,FALSE)=0,"",VLOOKUP(RC_OUT[BLOCK],RC_IN[[BLOCK]:[BLOCK LOC]],2,FALSE)),"")</f>
        <v>D-12D</v>
      </c>
      <c r="I1348" s="263">
        <f>IFERROR(AVERAGEIFS(RC_IN[MC],RC_IN[BLOCK],RC_OUT[BLOCK]),"")</f>
        <v>12.349</v>
      </c>
      <c r="J1348" s="264">
        <f t="shared" si="1"/>
        <v>29773.439</v>
      </c>
      <c r="K1348" s="246"/>
      <c r="L1348" s="246"/>
      <c r="M1348" s="249" t="str">
        <f t="shared" si="2"/>
        <v/>
      </c>
      <c r="N1348" s="266">
        <f t="shared" si="3"/>
        <v>0</v>
      </c>
      <c r="O1348" s="247"/>
      <c r="P1348" s="247"/>
      <c r="Q1348" s="247"/>
      <c r="R1348" s="247"/>
      <c r="S1348" s="247"/>
      <c r="T1348" s="247"/>
      <c r="U1348" s="247"/>
      <c r="V1348" s="247"/>
      <c r="W1348" s="247"/>
      <c r="X1348" s="247"/>
    </row>
    <row r="1349">
      <c r="A1349" s="282">
        <v>45990.0</v>
      </c>
      <c r="B1349" s="275" t="s">
        <v>1352</v>
      </c>
      <c r="C1349" s="275" t="s">
        <v>1354</v>
      </c>
      <c r="D1349" s="276">
        <v>5116.0</v>
      </c>
      <c r="E1349" s="275" t="s">
        <v>1017</v>
      </c>
      <c r="F1349" s="279"/>
      <c r="G1349" s="278" t="str">
        <f>IFNA(IF(VLOOKUP(RC_OUT[BLOCK],RC_IN[[BLOCK]:[BLOCK LOC]],2,FALSE)=0,"",VLOOKUP(RC_OUT[BLOCK],RC_IN[[BLOCK]:[BLOCK LOC]],2,FALSE)),"")</f>
        <v/>
      </c>
      <c r="I1349" s="263" t="str">
        <f>IFERROR(AVERAGEIFS(RC_IN[MC],RC_IN[BLOCK],RC_OUT[BLOCK]),"")</f>
        <v/>
      </c>
      <c r="J1349" s="264">
        <f t="shared" si="1"/>
        <v>0</v>
      </c>
      <c r="K1349" s="246"/>
      <c r="L1349" s="246"/>
      <c r="M1349" s="249" t="str">
        <f t="shared" si="2"/>
        <v/>
      </c>
      <c r="N1349" s="266">
        <f t="shared" si="3"/>
        <v>0</v>
      </c>
      <c r="O1349" s="247"/>
      <c r="P1349" s="247"/>
      <c r="Q1349" s="247"/>
      <c r="R1349" s="247"/>
      <c r="S1349" s="247"/>
      <c r="T1349" s="247"/>
      <c r="U1349" s="247"/>
      <c r="V1349" s="247"/>
      <c r="W1349" s="247"/>
      <c r="X1349" s="247"/>
    </row>
    <row r="1350">
      <c r="A1350" s="282">
        <v>45990.0</v>
      </c>
      <c r="B1350" s="275" t="s">
        <v>1352</v>
      </c>
      <c r="C1350" s="275" t="s">
        <v>1355</v>
      </c>
      <c r="D1350" s="276">
        <v>4505.0</v>
      </c>
      <c r="E1350" s="275" t="s">
        <v>1017</v>
      </c>
      <c r="F1350" s="279"/>
      <c r="G1350" s="278" t="str">
        <f>IFNA(IF(VLOOKUP(RC_OUT[BLOCK],RC_IN[[BLOCK]:[BLOCK LOC]],2,FALSE)=0,"",VLOOKUP(RC_OUT[BLOCK],RC_IN[[BLOCK]:[BLOCK LOC]],2,FALSE)),"")</f>
        <v/>
      </c>
      <c r="I1350" s="263" t="str">
        <f>IFERROR(AVERAGEIFS(RC_IN[MC],RC_IN[BLOCK],RC_OUT[BLOCK]),"")</f>
        <v/>
      </c>
      <c r="J1350" s="264">
        <f t="shared" si="1"/>
        <v>0</v>
      </c>
      <c r="K1350" s="246"/>
      <c r="L1350" s="246"/>
      <c r="M1350" s="249" t="str">
        <f t="shared" si="2"/>
        <v/>
      </c>
      <c r="N1350" s="266">
        <f t="shared" si="3"/>
        <v>0</v>
      </c>
      <c r="O1350" s="247"/>
      <c r="P1350" s="247"/>
      <c r="Q1350" s="247"/>
      <c r="R1350" s="247"/>
      <c r="S1350" s="247"/>
      <c r="T1350" s="247"/>
      <c r="U1350" s="247"/>
      <c r="V1350" s="247"/>
      <c r="W1350" s="247"/>
      <c r="X1350" s="247"/>
    </row>
    <row r="1351">
      <c r="A1351" s="282">
        <v>45990.0</v>
      </c>
      <c r="B1351" s="275" t="s">
        <v>1352</v>
      </c>
      <c r="C1351" s="275" t="s">
        <v>1356</v>
      </c>
      <c r="D1351" s="276">
        <v>3686.0</v>
      </c>
      <c r="E1351" s="275" t="s">
        <v>1017</v>
      </c>
      <c r="F1351" s="279"/>
      <c r="G1351" s="278" t="str">
        <f>IFNA(IF(VLOOKUP(RC_OUT[BLOCK],RC_IN[[BLOCK]:[BLOCK LOC]],2,FALSE)=0,"",VLOOKUP(RC_OUT[BLOCK],RC_IN[[BLOCK]:[BLOCK LOC]],2,FALSE)),"")</f>
        <v/>
      </c>
      <c r="I1351" s="263" t="str">
        <f>IFERROR(AVERAGEIFS(RC_IN[MC],RC_IN[BLOCK],RC_OUT[BLOCK]),"")</f>
        <v/>
      </c>
      <c r="J1351" s="264">
        <f t="shared" si="1"/>
        <v>0</v>
      </c>
      <c r="K1351" s="246"/>
      <c r="L1351" s="246"/>
      <c r="M1351" s="249" t="str">
        <f t="shared" si="2"/>
        <v/>
      </c>
      <c r="N1351" s="266">
        <f t="shared" si="3"/>
        <v>0</v>
      </c>
      <c r="O1351" s="247"/>
      <c r="P1351" s="247"/>
      <c r="Q1351" s="247"/>
      <c r="R1351" s="247"/>
      <c r="S1351" s="247"/>
      <c r="T1351" s="247"/>
      <c r="U1351" s="247"/>
      <c r="V1351" s="247"/>
      <c r="W1351" s="247"/>
      <c r="X1351" s="247"/>
    </row>
    <row r="1352">
      <c r="A1352" s="282">
        <v>45990.0</v>
      </c>
      <c r="B1352" s="275" t="s">
        <v>1352</v>
      </c>
      <c r="C1352" s="275" t="s">
        <v>1357</v>
      </c>
      <c r="D1352" s="276">
        <v>2606.0</v>
      </c>
      <c r="E1352" s="275" t="s">
        <v>1017</v>
      </c>
      <c r="F1352" s="279"/>
      <c r="G1352" s="278" t="str">
        <f>IFNA(IF(VLOOKUP(RC_OUT[BLOCK],RC_IN[[BLOCK]:[BLOCK LOC]],2,FALSE)=0,"",VLOOKUP(RC_OUT[BLOCK],RC_IN[[BLOCK]:[BLOCK LOC]],2,FALSE)),"")</f>
        <v/>
      </c>
      <c r="I1352" s="263" t="str">
        <f>IFERROR(AVERAGEIFS(RC_IN[MC],RC_IN[BLOCK],RC_OUT[BLOCK]),"")</f>
        <v/>
      </c>
      <c r="J1352" s="264">
        <f t="shared" si="1"/>
        <v>0</v>
      </c>
      <c r="K1352" s="246"/>
      <c r="L1352" s="246"/>
      <c r="M1352" s="249" t="str">
        <f t="shared" si="2"/>
        <v/>
      </c>
      <c r="N1352" s="266">
        <f t="shared" si="3"/>
        <v>0</v>
      </c>
      <c r="O1352" s="247"/>
      <c r="P1352" s="247"/>
      <c r="Q1352" s="247"/>
      <c r="R1352" s="247"/>
      <c r="S1352" s="247"/>
      <c r="T1352" s="247"/>
      <c r="U1352" s="247"/>
      <c r="V1352" s="247"/>
      <c r="W1352" s="247"/>
      <c r="X1352" s="247"/>
    </row>
    <row r="1353">
      <c r="A1353" s="282">
        <v>45990.0</v>
      </c>
      <c r="B1353" s="275" t="s">
        <v>1352</v>
      </c>
      <c r="C1353" s="275" t="s">
        <v>468</v>
      </c>
      <c r="D1353" s="276">
        <v>1000.0</v>
      </c>
      <c r="E1353" s="275" t="s">
        <v>1017</v>
      </c>
      <c r="F1353" s="279"/>
      <c r="G1353" s="278" t="str">
        <f>IFNA(IF(VLOOKUP(RC_OUT[BLOCK],RC_IN[[BLOCK]:[BLOCK LOC]],2,FALSE)=0,"",VLOOKUP(RC_OUT[BLOCK],RC_IN[[BLOCK]:[BLOCK LOC]],2,FALSE)),"")</f>
        <v/>
      </c>
      <c r="I1353" s="263">
        <f>IFERROR(AVERAGEIFS(RC_IN[MC],RC_IN[BLOCK],RC_OUT[BLOCK]),"")</f>
        <v>11.54</v>
      </c>
      <c r="J1353" s="264">
        <f t="shared" si="1"/>
        <v>11540</v>
      </c>
      <c r="K1353" s="246"/>
      <c r="L1353" s="246"/>
      <c r="M1353" s="249" t="str">
        <f t="shared" si="2"/>
        <v/>
      </c>
      <c r="N1353" s="266">
        <f t="shared" si="3"/>
        <v>0</v>
      </c>
      <c r="O1353" s="247"/>
      <c r="P1353" s="247"/>
      <c r="Q1353" s="247"/>
      <c r="R1353" s="247"/>
      <c r="S1353" s="247"/>
      <c r="T1353" s="247"/>
      <c r="U1353" s="247"/>
      <c r="V1353" s="247"/>
      <c r="W1353" s="247"/>
      <c r="X1353" s="247"/>
    </row>
    <row r="1354">
      <c r="A1354" s="274"/>
      <c r="B1354" s="274"/>
      <c r="C1354" s="274"/>
      <c r="D1354" s="283"/>
      <c r="E1354" s="274"/>
      <c r="F1354" s="279"/>
      <c r="G1354" s="278" t="str">
        <f>IFNA(IF(VLOOKUP(RC_OUT[BLOCK],RC_IN[[BLOCK]:[BLOCK LOC]],2,FALSE)=0,"",VLOOKUP(RC_OUT[BLOCK],RC_IN[[BLOCK]:[BLOCK LOC]],2,FALSE)),"")</f>
        <v/>
      </c>
      <c r="I1354" s="263" t="str">
        <f>IFERROR(AVERAGEIFS(RC_IN[MC],RC_IN[BLOCK],RC_OUT[BLOCK]),"")</f>
        <v/>
      </c>
      <c r="J1354" s="264">
        <f t="shared" si="1"/>
        <v>0</v>
      </c>
      <c r="K1354" s="246"/>
      <c r="L1354" s="246"/>
      <c r="M1354" s="249" t="str">
        <f t="shared" si="2"/>
        <v/>
      </c>
      <c r="N1354" s="266">
        <f t="shared" si="3"/>
        <v>0</v>
      </c>
      <c r="O1354" s="247"/>
      <c r="P1354" s="247"/>
      <c r="Q1354" s="247"/>
      <c r="R1354" s="247"/>
      <c r="S1354" s="247"/>
      <c r="T1354" s="247"/>
      <c r="U1354" s="247"/>
      <c r="V1354" s="247"/>
      <c r="W1354" s="247"/>
      <c r="X1354" s="247"/>
    </row>
    <row r="1355">
      <c r="A1355" s="273">
        <v>45992.0</v>
      </c>
      <c r="B1355" s="275" t="s">
        <v>1352</v>
      </c>
      <c r="C1355" s="275" t="s">
        <v>1351</v>
      </c>
      <c r="D1355" s="276">
        <v>3912.0</v>
      </c>
      <c r="E1355" s="275" t="s">
        <v>1017</v>
      </c>
      <c r="F1355" s="279"/>
      <c r="G1355" s="278" t="str">
        <f>IFNA(IF(VLOOKUP(RC_OUT[BLOCK],RC_IN[[BLOCK]:[BLOCK LOC]],2,FALSE)=0,"",VLOOKUP(RC_OUT[BLOCK],RC_IN[[BLOCK]:[BLOCK LOC]],2,FALSE)),"")</f>
        <v/>
      </c>
      <c r="I1355" s="263" t="str">
        <f>IFERROR(AVERAGEIFS(RC_IN[MC],RC_IN[BLOCK],RC_OUT[BLOCK]),"")</f>
        <v/>
      </c>
      <c r="J1355" s="264">
        <f t="shared" si="1"/>
        <v>0</v>
      </c>
      <c r="K1355" s="246"/>
      <c r="L1355" s="246"/>
      <c r="M1355" s="249" t="str">
        <f t="shared" si="2"/>
        <v/>
      </c>
      <c r="N1355" s="266">
        <f t="shared" si="3"/>
        <v>0</v>
      </c>
      <c r="O1355" s="247"/>
      <c r="P1355" s="247"/>
      <c r="Q1355" s="247"/>
      <c r="R1355" s="247"/>
      <c r="S1355" s="247"/>
      <c r="T1355" s="247"/>
      <c r="U1355" s="247"/>
      <c r="V1355" s="247"/>
      <c r="W1355" s="247"/>
      <c r="X1355" s="247"/>
    </row>
    <row r="1356">
      <c r="A1356" s="273">
        <v>45992.0</v>
      </c>
      <c r="B1356" s="275" t="s">
        <v>1352</v>
      </c>
      <c r="C1356" s="275" t="s">
        <v>280</v>
      </c>
      <c r="D1356" s="276">
        <v>3600.0</v>
      </c>
      <c r="E1356" s="275" t="s">
        <v>1017</v>
      </c>
      <c r="F1356" s="279"/>
      <c r="G1356" s="278" t="str">
        <f>IFNA(IF(VLOOKUP(RC_OUT[BLOCK],RC_IN[[BLOCK]:[BLOCK LOC]],2,FALSE)=0,"",VLOOKUP(RC_OUT[BLOCK],RC_IN[[BLOCK]:[BLOCK LOC]],2,FALSE)),"")</f>
        <v>D-12D</v>
      </c>
      <c r="I1356" s="263">
        <f>IFERROR(AVERAGEIFS(RC_IN[MC],RC_IN[BLOCK],RC_OUT[BLOCK]),"")</f>
        <v>12.349</v>
      </c>
      <c r="J1356" s="264">
        <f t="shared" si="1"/>
        <v>44456.4</v>
      </c>
      <c r="K1356" s="246"/>
      <c r="L1356" s="246"/>
      <c r="M1356" s="249" t="str">
        <f t="shared" si="2"/>
        <v/>
      </c>
      <c r="N1356" s="266">
        <f t="shared" si="3"/>
        <v>0</v>
      </c>
      <c r="O1356" s="247"/>
      <c r="P1356" s="247"/>
      <c r="Q1356" s="247"/>
      <c r="R1356" s="247"/>
      <c r="S1356" s="247"/>
      <c r="T1356" s="247"/>
      <c r="U1356" s="247"/>
      <c r="V1356" s="247"/>
      <c r="W1356" s="247"/>
      <c r="X1356" s="247"/>
    </row>
    <row r="1357">
      <c r="A1357" s="273">
        <v>45992.0</v>
      </c>
      <c r="B1357" s="275" t="s">
        <v>1352</v>
      </c>
      <c r="C1357" s="275" t="s">
        <v>1354</v>
      </c>
      <c r="D1357" s="276">
        <v>13157.0</v>
      </c>
      <c r="E1357" s="275" t="s">
        <v>1017</v>
      </c>
      <c r="F1357" s="279"/>
      <c r="G1357" s="278" t="str">
        <f>IFNA(IF(VLOOKUP(RC_OUT[BLOCK],RC_IN[[BLOCK]:[BLOCK LOC]],2,FALSE)=0,"",VLOOKUP(RC_OUT[BLOCK],RC_IN[[BLOCK]:[BLOCK LOC]],2,FALSE)),"")</f>
        <v/>
      </c>
      <c r="I1357" s="263" t="str">
        <f>IFERROR(AVERAGEIFS(RC_IN[MC],RC_IN[BLOCK],RC_OUT[BLOCK]),"")</f>
        <v/>
      </c>
      <c r="J1357" s="264">
        <f t="shared" si="1"/>
        <v>0</v>
      </c>
      <c r="K1357" s="246"/>
      <c r="L1357" s="246"/>
      <c r="M1357" s="249" t="str">
        <f t="shared" si="2"/>
        <v/>
      </c>
      <c r="N1357" s="266">
        <f t="shared" si="3"/>
        <v>0</v>
      </c>
      <c r="O1357" s="247"/>
      <c r="P1357" s="247"/>
      <c r="Q1357" s="247"/>
      <c r="R1357" s="247"/>
      <c r="S1357" s="247"/>
      <c r="T1357" s="247"/>
      <c r="U1357" s="247"/>
      <c r="V1357" s="247"/>
      <c r="W1357" s="247"/>
      <c r="X1357" s="247"/>
    </row>
    <row r="1358">
      <c r="A1358" s="273">
        <v>45992.0</v>
      </c>
      <c r="B1358" s="275" t="s">
        <v>1352</v>
      </c>
      <c r="C1358" s="275" t="s">
        <v>1355</v>
      </c>
      <c r="D1358" s="276">
        <v>12014.0</v>
      </c>
      <c r="E1358" s="275" t="s">
        <v>1017</v>
      </c>
      <c r="F1358" s="279"/>
      <c r="G1358" s="278" t="str">
        <f>IFNA(IF(VLOOKUP(RC_OUT[BLOCK],RC_IN[[BLOCK]:[BLOCK LOC]],2,FALSE)=0,"",VLOOKUP(RC_OUT[BLOCK],RC_IN[[BLOCK]:[BLOCK LOC]],2,FALSE)),"")</f>
        <v/>
      </c>
      <c r="I1358" s="263" t="str">
        <f>IFERROR(AVERAGEIFS(RC_IN[MC],RC_IN[BLOCK],RC_OUT[BLOCK]),"")</f>
        <v/>
      </c>
      <c r="J1358" s="264">
        <f t="shared" si="1"/>
        <v>0</v>
      </c>
      <c r="K1358" s="246"/>
      <c r="L1358" s="246"/>
      <c r="M1358" s="249" t="str">
        <f t="shared" si="2"/>
        <v/>
      </c>
      <c r="N1358" s="266">
        <f t="shared" si="3"/>
        <v>0</v>
      </c>
      <c r="O1358" s="247"/>
      <c r="P1358" s="247"/>
      <c r="Q1358" s="247"/>
      <c r="R1358" s="247"/>
      <c r="S1358" s="247"/>
      <c r="T1358" s="247"/>
      <c r="U1358" s="247"/>
      <c r="V1358" s="247"/>
      <c r="W1358" s="247"/>
      <c r="X1358" s="247"/>
    </row>
    <row r="1359">
      <c r="A1359" s="273">
        <v>45992.0</v>
      </c>
      <c r="B1359" s="275" t="s">
        <v>1352</v>
      </c>
      <c r="C1359" s="275" t="s">
        <v>1357</v>
      </c>
      <c r="D1359" s="276">
        <v>15937.0</v>
      </c>
      <c r="E1359" s="275" t="s">
        <v>1017</v>
      </c>
      <c r="F1359" s="279"/>
      <c r="G1359" s="278" t="str">
        <f>IFNA(IF(VLOOKUP(RC_OUT[BLOCK],RC_IN[[BLOCK]:[BLOCK LOC]],2,FALSE)=0,"",VLOOKUP(RC_OUT[BLOCK],RC_IN[[BLOCK]:[BLOCK LOC]],2,FALSE)),"")</f>
        <v/>
      </c>
      <c r="I1359" s="263" t="str">
        <f>IFERROR(AVERAGEIFS(RC_IN[MC],RC_IN[BLOCK],RC_OUT[BLOCK]),"")</f>
        <v/>
      </c>
      <c r="J1359" s="264">
        <f t="shared" si="1"/>
        <v>0</v>
      </c>
      <c r="K1359" s="246"/>
      <c r="L1359" s="246"/>
      <c r="M1359" s="249" t="str">
        <f t="shared" si="2"/>
        <v/>
      </c>
      <c r="N1359" s="266">
        <f t="shared" si="3"/>
        <v>0</v>
      </c>
      <c r="O1359" s="247"/>
      <c r="P1359" s="247"/>
      <c r="Q1359" s="247"/>
      <c r="R1359" s="247"/>
      <c r="S1359" s="247"/>
      <c r="T1359" s="247"/>
      <c r="U1359" s="247"/>
      <c r="V1359" s="247"/>
      <c r="W1359" s="247"/>
      <c r="X1359" s="247"/>
    </row>
    <row r="1360">
      <c r="A1360" s="273">
        <v>45992.0</v>
      </c>
      <c r="B1360" s="275" t="s">
        <v>1352</v>
      </c>
      <c r="C1360" s="275" t="s">
        <v>468</v>
      </c>
      <c r="D1360" s="276">
        <v>600.0</v>
      </c>
      <c r="E1360" s="275" t="s">
        <v>1017</v>
      </c>
      <c r="F1360" s="279"/>
      <c r="G1360" s="278" t="str">
        <f>IFNA(IF(VLOOKUP(RC_OUT[BLOCK],RC_IN[[BLOCK]:[BLOCK LOC]],2,FALSE)=0,"",VLOOKUP(RC_OUT[BLOCK],RC_IN[[BLOCK]:[BLOCK LOC]],2,FALSE)),"")</f>
        <v/>
      </c>
      <c r="I1360" s="263">
        <f>IFERROR(AVERAGEIFS(RC_IN[MC],RC_IN[BLOCK],RC_OUT[BLOCK]),"")</f>
        <v>11.54</v>
      </c>
      <c r="J1360" s="264">
        <f t="shared" si="1"/>
        <v>6924</v>
      </c>
      <c r="K1360" s="246"/>
      <c r="L1360" s="246"/>
      <c r="M1360" s="249" t="str">
        <f t="shared" si="2"/>
        <v/>
      </c>
      <c r="N1360" s="266">
        <f t="shared" si="3"/>
        <v>0</v>
      </c>
      <c r="O1360" s="247"/>
      <c r="P1360" s="247"/>
      <c r="Q1360" s="247"/>
      <c r="R1360" s="247"/>
      <c r="S1360" s="247"/>
      <c r="T1360" s="247"/>
      <c r="U1360" s="247"/>
      <c r="V1360" s="247"/>
      <c r="W1360" s="247"/>
      <c r="X1360" s="247"/>
    </row>
    <row r="1361">
      <c r="A1361" s="274"/>
      <c r="B1361" s="274"/>
      <c r="C1361" s="274"/>
      <c r="D1361" s="283"/>
      <c r="E1361" s="274"/>
      <c r="F1361" s="279"/>
      <c r="G1361" s="278" t="str">
        <f>IFNA(IF(VLOOKUP(RC_OUT[BLOCK],RC_IN[[BLOCK]:[BLOCK LOC]],2,FALSE)=0,"",VLOOKUP(RC_OUT[BLOCK],RC_IN[[BLOCK]:[BLOCK LOC]],2,FALSE)),"")</f>
        <v/>
      </c>
      <c r="I1361" s="263" t="str">
        <f>IFERROR(AVERAGEIFS(RC_IN[MC],RC_IN[BLOCK],RC_OUT[BLOCK]),"")</f>
        <v/>
      </c>
      <c r="J1361" s="264">
        <f t="shared" si="1"/>
        <v>0</v>
      </c>
      <c r="K1361" s="246"/>
      <c r="L1361" s="246"/>
      <c r="M1361" s="249" t="str">
        <f t="shared" si="2"/>
        <v/>
      </c>
      <c r="N1361" s="266">
        <f t="shared" si="3"/>
        <v>0</v>
      </c>
      <c r="O1361" s="247"/>
      <c r="P1361" s="247"/>
      <c r="Q1361" s="247"/>
      <c r="R1361" s="247"/>
      <c r="S1361" s="247"/>
      <c r="T1361" s="247"/>
      <c r="U1361" s="247"/>
      <c r="V1361" s="247"/>
      <c r="W1361" s="247"/>
      <c r="X1361" s="247"/>
    </row>
    <row r="1362">
      <c r="A1362" s="273">
        <v>45993.0</v>
      </c>
      <c r="B1362" s="275" t="s">
        <v>1352</v>
      </c>
      <c r="C1362" s="275" t="s">
        <v>1351</v>
      </c>
      <c r="D1362" s="276">
        <v>1041.0</v>
      </c>
      <c r="E1362" s="275" t="s">
        <v>1017</v>
      </c>
      <c r="F1362" s="279"/>
      <c r="G1362" s="278" t="str">
        <f>IFNA(IF(VLOOKUP(RC_OUT[BLOCK],RC_IN[[BLOCK]:[BLOCK LOC]],2,FALSE)=0,"",VLOOKUP(RC_OUT[BLOCK],RC_IN[[BLOCK]:[BLOCK LOC]],2,FALSE)),"")</f>
        <v/>
      </c>
      <c r="I1362" s="263" t="str">
        <f>IFERROR(AVERAGEIFS(RC_IN[MC],RC_IN[BLOCK],RC_OUT[BLOCK]),"")</f>
        <v/>
      </c>
      <c r="J1362" s="264">
        <f t="shared" si="1"/>
        <v>0</v>
      </c>
      <c r="K1362" s="246"/>
      <c r="L1362" s="246"/>
      <c r="M1362" s="249" t="str">
        <f t="shared" si="2"/>
        <v/>
      </c>
      <c r="N1362" s="266">
        <f t="shared" si="3"/>
        <v>0</v>
      </c>
      <c r="O1362" s="247"/>
      <c r="P1362" s="247"/>
      <c r="Q1362" s="247"/>
      <c r="R1362" s="247"/>
      <c r="S1362" s="247"/>
      <c r="T1362" s="247"/>
      <c r="U1362" s="247"/>
      <c r="V1362" s="247"/>
      <c r="W1362" s="247"/>
      <c r="X1362" s="247"/>
    </row>
    <row r="1363">
      <c r="A1363" s="273">
        <v>45993.0</v>
      </c>
      <c r="B1363" s="275" t="s">
        <v>1352</v>
      </c>
      <c r="C1363" s="275" t="s">
        <v>1354</v>
      </c>
      <c r="D1363" s="276">
        <v>20181.0</v>
      </c>
      <c r="E1363" s="275" t="s">
        <v>1017</v>
      </c>
      <c r="F1363" s="279"/>
      <c r="G1363" s="278" t="str">
        <f>IFNA(IF(VLOOKUP(RC_OUT[BLOCK],RC_IN[[BLOCK]:[BLOCK LOC]],2,FALSE)=0,"",VLOOKUP(RC_OUT[BLOCK],RC_IN[[BLOCK]:[BLOCK LOC]],2,FALSE)),"")</f>
        <v/>
      </c>
      <c r="I1363" s="263" t="str">
        <f>IFERROR(AVERAGEIFS(RC_IN[MC],RC_IN[BLOCK],RC_OUT[BLOCK]),"")</f>
        <v/>
      </c>
      <c r="J1363" s="264">
        <f t="shared" si="1"/>
        <v>0</v>
      </c>
      <c r="K1363" s="246"/>
      <c r="L1363" s="246"/>
      <c r="M1363" s="249" t="str">
        <f t="shared" si="2"/>
        <v/>
      </c>
      <c r="N1363" s="266">
        <f t="shared" si="3"/>
        <v>0</v>
      </c>
      <c r="O1363" s="247"/>
      <c r="P1363" s="247"/>
      <c r="Q1363" s="247"/>
      <c r="R1363" s="247"/>
      <c r="S1363" s="247"/>
      <c r="T1363" s="247"/>
      <c r="U1363" s="247"/>
      <c r="V1363" s="247"/>
      <c r="W1363" s="247"/>
      <c r="X1363" s="247"/>
    </row>
    <row r="1364">
      <c r="A1364" s="273">
        <v>45993.0</v>
      </c>
      <c r="B1364" s="275" t="s">
        <v>1352</v>
      </c>
      <c r="C1364" s="275" t="s">
        <v>1355</v>
      </c>
      <c r="D1364" s="276">
        <v>18927.0</v>
      </c>
      <c r="E1364" s="275" t="s">
        <v>1017</v>
      </c>
      <c r="F1364" s="279"/>
      <c r="G1364" s="278" t="str">
        <f>IFNA(IF(VLOOKUP(RC_OUT[BLOCK],RC_IN[[BLOCK]:[BLOCK LOC]],2,FALSE)=0,"",VLOOKUP(RC_OUT[BLOCK],RC_IN[[BLOCK]:[BLOCK LOC]],2,FALSE)),"")</f>
        <v/>
      </c>
      <c r="I1364" s="263" t="str">
        <f>IFERROR(AVERAGEIFS(RC_IN[MC],RC_IN[BLOCK],RC_OUT[BLOCK]),"")</f>
        <v/>
      </c>
      <c r="J1364" s="264">
        <f t="shared" si="1"/>
        <v>0</v>
      </c>
      <c r="K1364" s="246"/>
      <c r="L1364" s="246"/>
      <c r="M1364" s="249" t="str">
        <f t="shared" si="2"/>
        <v/>
      </c>
      <c r="N1364" s="266">
        <f t="shared" si="3"/>
        <v>0</v>
      </c>
      <c r="O1364" s="247"/>
      <c r="P1364" s="247"/>
      <c r="Q1364" s="247"/>
      <c r="R1364" s="247"/>
      <c r="S1364" s="247"/>
      <c r="T1364" s="247"/>
      <c r="U1364" s="247"/>
      <c r="V1364" s="247"/>
      <c r="W1364" s="247"/>
      <c r="X1364" s="247"/>
    </row>
    <row r="1365">
      <c r="A1365" s="273">
        <v>45993.0</v>
      </c>
      <c r="B1365" s="275" t="s">
        <v>1352</v>
      </c>
      <c r="C1365" s="275" t="s">
        <v>1357</v>
      </c>
      <c r="D1365" s="276">
        <v>10113.0</v>
      </c>
      <c r="E1365" s="275" t="s">
        <v>1017</v>
      </c>
      <c r="F1365" s="279"/>
      <c r="G1365" s="278" t="str">
        <f>IFNA(IF(VLOOKUP(RC_OUT[BLOCK],RC_IN[[BLOCK]:[BLOCK LOC]],2,FALSE)=0,"",VLOOKUP(RC_OUT[BLOCK],RC_IN[[BLOCK]:[BLOCK LOC]],2,FALSE)),"")</f>
        <v/>
      </c>
      <c r="I1365" s="263" t="str">
        <f>IFERROR(AVERAGEIFS(RC_IN[MC],RC_IN[BLOCK],RC_OUT[BLOCK]),"")</f>
        <v/>
      </c>
      <c r="J1365" s="264">
        <f t="shared" si="1"/>
        <v>0</v>
      </c>
      <c r="K1365" s="246"/>
      <c r="L1365" s="246"/>
      <c r="M1365" s="249" t="str">
        <f t="shared" si="2"/>
        <v/>
      </c>
      <c r="N1365" s="266">
        <f t="shared" si="3"/>
        <v>0</v>
      </c>
      <c r="O1365" s="247"/>
      <c r="P1365" s="247"/>
      <c r="Q1365" s="247"/>
      <c r="R1365" s="247"/>
      <c r="S1365" s="247"/>
      <c r="T1365" s="247"/>
      <c r="U1365" s="247"/>
      <c r="V1365" s="247"/>
      <c r="W1365" s="247"/>
      <c r="X1365" s="247"/>
    </row>
    <row r="1366">
      <c r="A1366" s="273">
        <v>45993.0</v>
      </c>
      <c r="B1366" s="275" t="s">
        <v>1352</v>
      </c>
      <c r="C1366" s="275" t="s">
        <v>468</v>
      </c>
      <c r="D1366" s="276">
        <v>600.0</v>
      </c>
      <c r="E1366" s="275" t="s">
        <v>1017</v>
      </c>
      <c r="F1366" s="279"/>
      <c r="G1366" s="278" t="str">
        <f>IFNA(IF(VLOOKUP(RC_OUT[BLOCK],RC_IN[[BLOCK]:[BLOCK LOC]],2,FALSE)=0,"",VLOOKUP(RC_OUT[BLOCK],RC_IN[[BLOCK]:[BLOCK LOC]],2,FALSE)),"")</f>
        <v/>
      </c>
      <c r="I1366" s="263">
        <f>IFERROR(AVERAGEIFS(RC_IN[MC],RC_IN[BLOCK],RC_OUT[BLOCK]),"")</f>
        <v>11.54</v>
      </c>
      <c r="J1366" s="264">
        <f t="shared" si="1"/>
        <v>6924</v>
      </c>
      <c r="K1366" s="246"/>
      <c r="L1366" s="246"/>
      <c r="M1366" s="249" t="str">
        <f t="shared" si="2"/>
        <v/>
      </c>
      <c r="N1366" s="266">
        <f t="shared" si="3"/>
        <v>0</v>
      </c>
      <c r="O1366" s="247"/>
      <c r="P1366" s="247"/>
      <c r="Q1366" s="247"/>
      <c r="R1366" s="247"/>
      <c r="S1366" s="247"/>
      <c r="T1366" s="247"/>
      <c r="U1366" s="247"/>
      <c r="V1366" s="247"/>
      <c r="W1366" s="247"/>
      <c r="X1366" s="247"/>
    </row>
    <row r="1367">
      <c r="A1367" s="274"/>
      <c r="B1367" s="274"/>
      <c r="C1367" s="274"/>
      <c r="D1367" s="283"/>
      <c r="E1367" s="274"/>
      <c r="F1367" s="279"/>
      <c r="G1367" s="278" t="str">
        <f>IFNA(IF(VLOOKUP(RC_OUT[BLOCK],RC_IN[[BLOCK]:[BLOCK LOC]],2,FALSE)=0,"",VLOOKUP(RC_OUT[BLOCK],RC_IN[[BLOCK]:[BLOCK LOC]],2,FALSE)),"")</f>
        <v/>
      </c>
      <c r="I1367" s="263" t="str">
        <f>IFERROR(AVERAGEIFS(RC_IN[MC],RC_IN[BLOCK],RC_OUT[BLOCK]),"")</f>
        <v/>
      </c>
      <c r="J1367" s="264">
        <f t="shared" si="1"/>
        <v>0</v>
      </c>
      <c r="K1367" s="246"/>
      <c r="L1367" s="246"/>
      <c r="M1367" s="249" t="str">
        <f t="shared" si="2"/>
        <v/>
      </c>
      <c r="N1367" s="266">
        <f t="shared" si="3"/>
        <v>0</v>
      </c>
      <c r="O1367" s="247"/>
      <c r="P1367" s="247"/>
      <c r="Q1367" s="247"/>
      <c r="R1367" s="247"/>
      <c r="S1367" s="247"/>
      <c r="T1367" s="247"/>
      <c r="U1367" s="247"/>
      <c r="V1367" s="247"/>
      <c r="W1367" s="247"/>
      <c r="X1367" s="247"/>
    </row>
    <row r="1368">
      <c r="A1368" s="273">
        <v>45994.0</v>
      </c>
      <c r="B1368" s="275" t="s">
        <v>1352</v>
      </c>
      <c r="C1368" s="275" t="s">
        <v>1354</v>
      </c>
      <c r="D1368" s="276">
        <v>8087.0</v>
      </c>
      <c r="E1368" s="275" t="s">
        <v>1017</v>
      </c>
      <c r="F1368" s="277" t="s">
        <v>1059</v>
      </c>
      <c r="G1368" s="278" t="str">
        <f>IFNA(IF(VLOOKUP(RC_OUT[BLOCK],RC_IN[[BLOCK]:[BLOCK LOC]],2,FALSE)=0,"",VLOOKUP(RC_OUT[BLOCK],RC_IN[[BLOCK]:[BLOCK LOC]],2,FALSE)),"")</f>
        <v/>
      </c>
      <c r="I1368" s="263" t="str">
        <f>IFERROR(AVERAGEIFS(RC_IN[MC],RC_IN[BLOCK],RC_OUT[BLOCK]),"")</f>
        <v/>
      </c>
      <c r="J1368" s="264">
        <f t="shared" si="1"/>
        <v>0</v>
      </c>
      <c r="K1368" s="246"/>
      <c r="L1368" s="246"/>
      <c r="M1368" s="249" t="str">
        <f t="shared" si="2"/>
        <v/>
      </c>
      <c r="N1368" s="266">
        <f t="shared" si="3"/>
        <v>0</v>
      </c>
      <c r="O1368" s="247"/>
      <c r="P1368" s="247"/>
      <c r="Q1368" s="247"/>
      <c r="R1368" s="247"/>
      <c r="S1368" s="247"/>
      <c r="T1368" s="247"/>
      <c r="U1368" s="247"/>
      <c r="V1368" s="247"/>
      <c r="W1368" s="247"/>
      <c r="X1368" s="247"/>
    </row>
    <row r="1369">
      <c r="A1369" s="273">
        <v>45994.0</v>
      </c>
      <c r="B1369" s="275" t="s">
        <v>1352</v>
      </c>
      <c r="C1369" s="275" t="s">
        <v>1355</v>
      </c>
      <c r="D1369" s="276">
        <v>22764.0</v>
      </c>
      <c r="E1369" s="275" t="s">
        <v>1017</v>
      </c>
      <c r="F1369" s="277" t="s">
        <v>1059</v>
      </c>
      <c r="G1369" s="278" t="str">
        <f>IFNA(IF(VLOOKUP(RC_OUT[BLOCK],RC_IN[[BLOCK]:[BLOCK LOC]],2,FALSE)=0,"",VLOOKUP(RC_OUT[BLOCK],RC_IN[[BLOCK]:[BLOCK LOC]],2,FALSE)),"")</f>
        <v/>
      </c>
      <c r="I1369" s="263" t="str">
        <f>IFERROR(AVERAGEIFS(RC_IN[MC],RC_IN[BLOCK],RC_OUT[BLOCK]),"")</f>
        <v/>
      </c>
      <c r="J1369" s="264">
        <f t="shared" si="1"/>
        <v>0</v>
      </c>
      <c r="K1369" s="246"/>
      <c r="L1369" s="246"/>
      <c r="M1369" s="249" t="str">
        <f t="shared" si="2"/>
        <v/>
      </c>
      <c r="N1369" s="266">
        <f t="shared" si="3"/>
        <v>0</v>
      </c>
      <c r="O1369" s="247"/>
      <c r="P1369" s="247"/>
      <c r="Q1369" s="247"/>
      <c r="R1369" s="247"/>
      <c r="S1369" s="247"/>
      <c r="T1369" s="247"/>
      <c r="U1369" s="247"/>
      <c r="V1369" s="247"/>
      <c r="W1369" s="247"/>
      <c r="X1369" s="247"/>
    </row>
    <row r="1370">
      <c r="A1370" s="273">
        <v>45994.0</v>
      </c>
      <c r="B1370" s="275" t="s">
        <v>1352</v>
      </c>
      <c r="C1370" s="275" t="s">
        <v>1357</v>
      </c>
      <c r="D1370" s="276">
        <v>823.0</v>
      </c>
      <c r="E1370" s="275" t="s">
        <v>1017</v>
      </c>
      <c r="F1370" s="279"/>
      <c r="G1370" s="278" t="str">
        <f>IFNA(IF(VLOOKUP(RC_OUT[BLOCK],RC_IN[[BLOCK]:[BLOCK LOC]],2,FALSE)=0,"",VLOOKUP(RC_OUT[BLOCK],RC_IN[[BLOCK]:[BLOCK LOC]],2,FALSE)),"")</f>
        <v/>
      </c>
      <c r="I1370" s="263" t="str">
        <f>IFERROR(AVERAGEIFS(RC_IN[MC],RC_IN[BLOCK],RC_OUT[BLOCK]),"")</f>
        <v/>
      </c>
      <c r="J1370" s="264">
        <f t="shared" si="1"/>
        <v>0</v>
      </c>
      <c r="K1370" s="246"/>
      <c r="L1370" s="246"/>
      <c r="M1370" s="249" t="str">
        <f t="shared" si="2"/>
        <v/>
      </c>
      <c r="N1370" s="266">
        <f t="shared" si="3"/>
        <v>0</v>
      </c>
      <c r="O1370" s="247"/>
      <c r="P1370" s="247"/>
      <c r="Q1370" s="247"/>
      <c r="R1370" s="247"/>
      <c r="S1370" s="247"/>
      <c r="T1370" s="247"/>
      <c r="U1370" s="247"/>
      <c r="V1370" s="247"/>
      <c r="W1370" s="247"/>
      <c r="X1370" s="247"/>
    </row>
    <row r="1371">
      <c r="A1371" s="273">
        <v>45994.0</v>
      </c>
      <c r="B1371" s="275" t="s">
        <v>1352</v>
      </c>
      <c r="C1371" s="275" t="s">
        <v>468</v>
      </c>
      <c r="D1371" s="276">
        <v>600.0</v>
      </c>
      <c r="E1371" s="275" t="s">
        <v>1017</v>
      </c>
      <c r="F1371" s="279"/>
      <c r="G1371" s="278" t="str">
        <f>IFNA(IF(VLOOKUP(RC_OUT[BLOCK],RC_IN[[BLOCK]:[BLOCK LOC]],2,FALSE)=0,"",VLOOKUP(RC_OUT[BLOCK],RC_IN[[BLOCK]:[BLOCK LOC]],2,FALSE)),"")</f>
        <v/>
      </c>
      <c r="I1371" s="263">
        <f>IFERROR(AVERAGEIFS(RC_IN[MC],RC_IN[BLOCK],RC_OUT[BLOCK]),"")</f>
        <v>11.54</v>
      </c>
      <c r="J1371" s="264">
        <f t="shared" si="1"/>
        <v>6924</v>
      </c>
      <c r="K1371" s="246"/>
      <c r="L1371" s="246"/>
      <c r="M1371" s="249" t="str">
        <f t="shared" si="2"/>
        <v/>
      </c>
      <c r="N1371" s="266">
        <f t="shared" si="3"/>
        <v>0</v>
      </c>
      <c r="O1371" s="247"/>
      <c r="P1371" s="247"/>
      <c r="Q1371" s="247"/>
      <c r="R1371" s="247"/>
      <c r="S1371" s="247"/>
      <c r="T1371" s="247"/>
      <c r="U1371" s="247"/>
      <c r="V1371" s="247"/>
      <c r="W1371" s="247"/>
      <c r="X1371" s="247"/>
    </row>
    <row r="1372">
      <c r="A1372" s="273">
        <v>45994.0</v>
      </c>
      <c r="B1372" s="275" t="s">
        <v>1352</v>
      </c>
      <c r="C1372" s="275" t="s">
        <v>1356</v>
      </c>
      <c r="D1372" s="276">
        <v>3270.0</v>
      </c>
      <c r="E1372" s="275" t="s">
        <v>1017</v>
      </c>
      <c r="F1372" s="277" t="s">
        <v>1059</v>
      </c>
      <c r="G1372" s="278" t="str">
        <f>IFNA(IF(VLOOKUP(RC_OUT[BLOCK],RC_IN[[BLOCK]:[BLOCK LOC]],2,FALSE)=0,"",VLOOKUP(RC_OUT[BLOCK],RC_IN[[BLOCK]:[BLOCK LOC]],2,FALSE)),"")</f>
        <v/>
      </c>
      <c r="I1372" s="263" t="str">
        <f>IFERROR(AVERAGEIFS(RC_IN[MC],RC_IN[BLOCK],RC_OUT[BLOCK]),"")</f>
        <v/>
      </c>
      <c r="J1372" s="264">
        <f t="shared" si="1"/>
        <v>0</v>
      </c>
      <c r="K1372" s="246"/>
      <c r="L1372" s="246"/>
      <c r="M1372" s="249" t="str">
        <f t="shared" si="2"/>
        <v/>
      </c>
      <c r="N1372" s="266">
        <f t="shared" si="3"/>
        <v>0</v>
      </c>
      <c r="O1372" s="247"/>
      <c r="P1372" s="247"/>
      <c r="Q1372" s="247"/>
      <c r="R1372" s="247"/>
      <c r="S1372" s="247"/>
      <c r="T1372" s="247"/>
      <c r="U1372" s="247"/>
      <c r="V1372" s="247"/>
      <c r="W1372" s="247"/>
      <c r="X1372" s="247"/>
    </row>
    <row r="1373">
      <c r="A1373" s="273">
        <v>45994.0</v>
      </c>
      <c r="B1373" s="275" t="s">
        <v>1352</v>
      </c>
      <c r="C1373" s="275" t="s">
        <v>1358</v>
      </c>
      <c r="D1373" s="276">
        <v>13594.0</v>
      </c>
      <c r="E1373" s="275" t="s">
        <v>1017</v>
      </c>
      <c r="F1373" s="279"/>
      <c r="G1373" s="278" t="str">
        <f>IFNA(IF(VLOOKUP(RC_OUT[BLOCK],RC_IN[[BLOCK]:[BLOCK LOC]],2,FALSE)=0,"",VLOOKUP(RC_OUT[BLOCK],RC_IN[[BLOCK]:[BLOCK LOC]],2,FALSE)),"")</f>
        <v/>
      </c>
      <c r="I1373" s="263" t="str">
        <f>IFERROR(AVERAGEIFS(RC_IN[MC],RC_IN[BLOCK],RC_OUT[BLOCK]),"")</f>
        <v/>
      </c>
      <c r="J1373" s="264">
        <f t="shared" si="1"/>
        <v>0</v>
      </c>
      <c r="K1373" s="246"/>
      <c r="L1373" s="246"/>
      <c r="M1373" s="249" t="str">
        <f t="shared" si="2"/>
        <v/>
      </c>
      <c r="N1373" s="266">
        <f t="shared" si="3"/>
        <v>0</v>
      </c>
      <c r="O1373" s="247"/>
      <c r="P1373" s="247"/>
      <c r="Q1373" s="247"/>
      <c r="R1373" s="247"/>
      <c r="S1373" s="247"/>
      <c r="T1373" s="247"/>
      <c r="U1373" s="247"/>
      <c r="V1373" s="247"/>
      <c r="W1373" s="247"/>
      <c r="X1373" s="247"/>
    </row>
    <row r="1374">
      <c r="A1374" s="273">
        <v>45994.0</v>
      </c>
      <c r="B1374" s="275" t="s">
        <v>1352</v>
      </c>
      <c r="C1374" s="275" t="s">
        <v>1359</v>
      </c>
      <c r="D1374" s="276">
        <v>2664.0</v>
      </c>
      <c r="E1374" s="275" t="s">
        <v>1017</v>
      </c>
      <c r="F1374" s="277" t="s">
        <v>1059</v>
      </c>
      <c r="G1374" s="278" t="str">
        <f>IFNA(IF(VLOOKUP(RC_OUT[BLOCK],RC_IN[[BLOCK]:[BLOCK LOC]],2,FALSE)=0,"",VLOOKUP(RC_OUT[BLOCK],RC_IN[[BLOCK]:[BLOCK LOC]],2,FALSE)),"")</f>
        <v/>
      </c>
      <c r="I1374" s="263" t="str">
        <f>IFERROR(AVERAGEIFS(RC_IN[MC],RC_IN[BLOCK],RC_OUT[BLOCK]),"")</f>
        <v/>
      </c>
      <c r="J1374" s="264">
        <f t="shared" si="1"/>
        <v>0</v>
      </c>
      <c r="K1374" s="246"/>
      <c r="L1374" s="246"/>
      <c r="M1374" s="249" t="str">
        <f t="shared" si="2"/>
        <v/>
      </c>
      <c r="N1374" s="266">
        <f t="shared" si="3"/>
        <v>0</v>
      </c>
      <c r="O1374" s="247"/>
      <c r="P1374" s="247"/>
      <c r="Q1374" s="247"/>
      <c r="R1374" s="247"/>
      <c r="S1374" s="247"/>
      <c r="T1374" s="247"/>
      <c r="U1374" s="247"/>
      <c r="V1374" s="247"/>
      <c r="W1374" s="247"/>
      <c r="X1374" s="247"/>
    </row>
    <row r="1375">
      <c r="A1375" s="273">
        <v>45994.0</v>
      </c>
      <c r="B1375" s="275" t="s">
        <v>1352</v>
      </c>
      <c r="C1375" s="275" t="s">
        <v>1360</v>
      </c>
      <c r="D1375" s="276">
        <v>2188.0</v>
      </c>
      <c r="E1375" s="275" t="s">
        <v>1017</v>
      </c>
      <c r="F1375" s="277" t="s">
        <v>1059</v>
      </c>
      <c r="G1375" s="278" t="str">
        <f>IFNA(IF(VLOOKUP(RC_OUT[BLOCK],RC_IN[[BLOCK]:[BLOCK LOC]],2,FALSE)=0,"",VLOOKUP(RC_OUT[BLOCK],RC_IN[[BLOCK]:[BLOCK LOC]],2,FALSE)),"")</f>
        <v/>
      </c>
      <c r="I1375" s="263" t="str">
        <f>IFERROR(AVERAGEIFS(RC_IN[MC],RC_IN[BLOCK],RC_OUT[BLOCK]),"")</f>
        <v/>
      </c>
      <c r="J1375" s="264">
        <f t="shared" si="1"/>
        <v>0</v>
      </c>
      <c r="K1375" s="246"/>
      <c r="L1375" s="246"/>
      <c r="M1375" s="249" t="str">
        <f t="shared" si="2"/>
        <v/>
      </c>
      <c r="N1375" s="266">
        <f t="shared" si="3"/>
        <v>0</v>
      </c>
      <c r="O1375" s="247"/>
      <c r="P1375" s="247"/>
      <c r="Q1375" s="247"/>
      <c r="R1375" s="247"/>
      <c r="S1375" s="247"/>
      <c r="T1375" s="247"/>
      <c r="U1375" s="247"/>
      <c r="V1375" s="247"/>
      <c r="W1375" s="247"/>
      <c r="X1375" s="247"/>
    </row>
    <row r="1376">
      <c r="A1376" s="273">
        <v>45994.0</v>
      </c>
      <c r="B1376" s="275" t="s">
        <v>1352</v>
      </c>
      <c r="C1376" s="275" t="s">
        <v>1361</v>
      </c>
      <c r="D1376" s="276">
        <v>3790.0</v>
      </c>
      <c r="E1376" s="275" t="s">
        <v>1017</v>
      </c>
      <c r="F1376" s="279"/>
      <c r="G1376" s="278" t="str">
        <f>IFNA(IF(VLOOKUP(RC_OUT[BLOCK],RC_IN[[BLOCK]:[BLOCK LOC]],2,FALSE)=0,"",VLOOKUP(RC_OUT[BLOCK],RC_IN[[BLOCK]:[BLOCK LOC]],2,FALSE)),"")</f>
        <v/>
      </c>
      <c r="I1376" s="263" t="str">
        <f>IFERROR(AVERAGEIFS(RC_IN[MC],RC_IN[BLOCK],RC_OUT[BLOCK]),"")</f>
        <v/>
      </c>
      <c r="J1376" s="264">
        <f t="shared" si="1"/>
        <v>0</v>
      </c>
      <c r="K1376" s="246"/>
      <c r="L1376" s="246"/>
      <c r="M1376" s="249" t="str">
        <f t="shared" si="2"/>
        <v/>
      </c>
      <c r="N1376" s="266">
        <f t="shared" si="3"/>
        <v>0</v>
      </c>
      <c r="O1376" s="247"/>
      <c r="P1376" s="247"/>
      <c r="Q1376" s="247"/>
      <c r="R1376" s="247"/>
      <c r="S1376" s="247"/>
      <c r="T1376" s="247"/>
      <c r="U1376" s="247"/>
      <c r="V1376" s="247"/>
      <c r="W1376" s="247"/>
      <c r="X1376" s="247"/>
    </row>
    <row r="1377">
      <c r="A1377" s="274"/>
      <c r="B1377" s="274"/>
      <c r="C1377" s="274"/>
      <c r="D1377" s="283"/>
      <c r="E1377" s="274"/>
      <c r="F1377" s="279"/>
      <c r="G1377" s="278" t="str">
        <f>IFNA(IF(VLOOKUP(RC_OUT[BLOCK],RC_IN[[BLOCK]:[BLOCK LOC]],2,FALSE)=0,"",VLOOKUP(RC_OUT[BLOCK],RC_IN[[BLOCK]:[BLOCK LOC]],2,FALSE)),"")</f>
        <v/>
      </c>
      <c r="I1377" s="263" t="str">
        <f>IFERROR(AVERAGEIFS(RC_IN[MC],RC_IN[BLOCK],RC_OUT[BLOCK]),"")</f>
        <v/>
      </c>
      <c r="J1377" s="264">
        <f t="shared" si="1"/>
        <v>0</v>
      </c>
      <c r="K1377" s="246"/>
      <c r="L1377" s="246"/>
      <c r="M1377" s="249" t="str">
        <f t="shared" si="2"/>
        <v/>
      </c>
      <c r="N1377" s="266">
        <f t="shared" si="3"/>
        <v>0</v>
      </c>
      <c r="O1377" s="247"/>
      <c r="P1377" s="247"/>
      <c r="Q1377" s="247"/>
      <c r="R1377" s="247"/>
      <c r="S1377" s="247"/>
      <c r="T1377" s="247"/>
      <c r="U1377" s="247"/>
      <c r="V1377" s="247"/>
      <c r="W1377" s="247"/>
      <c r="X1377" s="247"/>
    </row>
    <row r="1378">
      <c r="A1378" s="273">
        <v>45995.0</v>
      </c>
      <c r="B1378" s="275" t="s">
        <v>1352</v>
      </c>
      <c r="C1378" s="275" t="s">
        <v>468</v>
      </c>
      <c r="D1378" s="276">
        <v>10000.0</v>
      </c>
      <c r="E1378" s="275" t="s">
        <v>1017</v>
      </c>
      <c r="F1378" s="279"/>
      <c r="G1378" s="278" t="str">
        <f>IFNA(IF(VLOOKUP(RC_OUT[BLOCK],RC_IN[[BLOCK]:[BLOCK LOC]],2,FALSE)=0,"",VLOOKUP(RC_OUT[BLOCK],RC_IN[[BLOCK]:[BLOCK LOC]],2,FALSE)),"")</f>
        <v/>
      </c>
      <c r="I1378" s="263">
        <f>IFERROR(AVERAGEIFS(RC_IN[MC],RC_IN[BLOCK],RC_OUT[BLOCK]),"")</f>
        <v>11.54</v>
      </c>
      <c r="J1378" s="264">
        <f t="shared" si="1"/>
        <v>115400</v>
      </c>
      <c r="K1378" s="246"/>
      <c r="L1378" s="246"/>
      <c r="M1378" s="249" t="str">
        <f t="shared" si="2"/>
        <v/>
      </c>
      <c r="N1378" s="266">
        <f t="shared" si="3"/>
        <v>0</v>
      </c>
      <c r="O1378" s="247"/>
      <c r="P1378" s="247"/>
      <c r="Q1378" s="247"/>
      <c r="R1378" s="247"/>
      <c r="S1378" s="247"/>
      <c r="T1378" s="247"/>
      <c r="U1378" s="247"/>
      <c r="V1378" s="247"/>
      <c r="W1378" s="247"/>
      <c r="X1378" s="247"/>
    </row>
    <row r="1379">
      <c r="A1379" s="273">
        <v>45995.0</v>
      </c>
      <c r="B1379" s="275" t="s">
        <v>1352</v>
      </c>
      <c r="C1379" s="275" t="s">
        <v>1361</v>
      </c>
      <c r="D1379" s="276">
        <v>7532.0</v>
      </c>
      <c r="E1379" s="275" t="s">
        <v>1017</v>
      </c>
      <c r="F1379" s="279"/>
      <c r="G1379" s="278" t="str">
        <f>IFNA(IF(VLOOKUP(RC_OUT[BLOCK],RC_IN[[BLOCK]:[BLOCK LOC]],2,FALSE)=0,"",VLOOKUP(RC_OUT[BLOCK],RC_IN[[BLOCK]:[BLOCK LOC]],2,FALSE)),"")</f>
        <v/>
      </c>
      <c r="I1379" s="263" t="str">
        <f>IFERROR(AVERAGEIFS(RC_IN[MC],RC_IN[BLOCK],RC_OUT[BLOCK]),"")</f>
        <v/>
      </c>
      <c r="J1379" s="264">
        <f t="shared" si="1"/>
        <v>0</v>
      </c>
      <c r="K1379" s="246"/>
      <c r="L1379" s="246"/>
      <c r="M1379" s="249" t="str">
        <f t="shared" si="2"/>
        <v/>
      </c>
      <c r="N1379" s="266">
        <f t="shared" si="3"/>
        <v>0</v>
      </c>
      <c r="O1379" s="247"/>
      <c r="P1379" s="247"/>
      <c r="Q1379" s="247"/>
      <c r="R1379" s="247"/>
      <c r="S1379" s="247"/>
      <c r="T1379" s="247"/>
      <c r="U1379" s="247"/>
      <c r="V1379" s="247"/>
      <c r="W1379" s="247"/>
      <c r="X1379" s="247"/>
    </row>
    <row r="1380">
      <c r="A1380" s="273">
        <v>45995.0</v>
      </c>
      <c r="B1380" s="275" t="s">
        <v>1352</v>
      </c>
      <c r="C1380" s="275" t="s">
        <v>1362</v>
      </c>
      <c r="D1380" s="276">
        <v>8543.0</v>
      </c>
      <c r="E1380" s="275" t="s">
        <v>1017</v>
      </c>
      <c r="F1380" s="279"/>
      <c r="G1380" s="278" t="str">
        <f>IFNA(IF(VLOOKUP(RC_OUT[BLOCK],RC_IN[[BLOCK]:[BLOCK LOC]],2,FALSE)=0,"",VLOOKUP(RC_OUT[BLOCK],RC_IN[[BLOCK]:[BLOCK LOC]],2,FALSE)),"")</f>
        <v/>
      </c>
      <c r="I1380" s="263" t="str">
        <f>IFERROR(AVERAGEIFS(RC_IN[MC],RC_IN[BLOCK],RC_OUT[BLOCK]),"")</f>
        <v/>
      </c>
      <c r="J1380" s="264">
        <f t="shared" si="1"/>
        <v>0</v>
      </c>
      <c r="K1380" s="246"/>
      <c r="L1380" s="246"/>
      <c r="M1380" s="249" t="str">
        <f t="shared" si="2"/>
        <v/>
      </c>
      <c r="N1380" s="266">
        <f t="shared" si="3"/>
        <v>0</v>
      </c>
      <c r="O1380" s="247"/>
      <c r="P1380" s="247"/>
      <c r="Q1380" s="247"/>
      <c r="R1380" s="247"/>
      <c r="S1380" s="247"/>
      <c r="T1380" s="247"/>
      <c r="U1380" s="247"/>
      <c r="V1380" s="247"/>
      <c r="W1380" s="247"/>
      <c r="X1380" s="247"/>
    </row>
    <row r="1381">
      <c r="A1381" s="274"/>
      <c r="B1381" s="274"/>
      <c r="C1381" s="274"/>
      <c r="D1381" s="283"/>
      <c r="E1381" s="274"/>
      <c r="F1381" s="279"/>
      <c r="G1381" s="278" t="str">
        <f>IFNA(IF(VLOOKUP(RC_OUT[BLOCK],RC_IN[[BLOCK]:[BLOCK LOC]],2,FALSE)=0,"",VLOOKUP(RC_OUT[BLOCK],RC_IN[[BLOCK]:[BLOCK LOC]],2,FALSE)),"")</f>
        <v/>
      </c>
      <c r="I1381" s="263" t="str">
        <f>IFERROR(AVERAGEIFS(RC_IN[MC],RC_IN[BLOCK],RC_OUT[BLOCK]),"")</f>
        <v/>
      </c>
      <c r="J1381" s="264">
        <f t="shared" si="1"/>
        <v>0</v>
      </c>
      <c r="K1381" s="246"/>
      <c r="L1381" s="246"/>
      <c r="M1381" s="249" t="str">
        <f t="shared" si="2"/>
        <v/>
      </c>
      <c r="N1381" s="266">
        <f t="shared" si="3"/>
        <v>0</v>
      </c>
      <c r="O1381" s="247"/>
      <c r="P1381" s="247"/>
      <c r="Q1381" s="247"/>
      <c r="R1381" s="247"/>
      <c r="S1381" s="247"/>
      <c r="T1381" s="247"/>
      <c r="U1381" s="247"/>
      <c r="V1381" s="247"/>
      <c r="W1381" s="247"/>
      <c r="X1381" s="247"/>
    </row>
    <row r="1382">
      <c r="A1382" s="273">
        <v>45996.0</v>
      </c>
      <c r="B1382" s="275" t="s">
        <v>1352</v>
      </c>
      <c r="C1382" s="275" t="s">
        <v>468</v>
      </c>
      <c r="D1382" s="276">
        <v>6610.0</v>
      </c>
      <c r="E1382" s="275" t="s">
        <v>1017</v>
      </c>
      <c r="F1382" s="277" t="s">
        <v>1059</v>
      </c>
      <c r="G1382" s="278" t="str">
        <f>IFNA(IF(VLOOKUP(RC_OUT[BLOCK],RC_IN[[BLOCK]:[BLOCK LOC]],2,FALSE)=0,"",VLOOKUP(RC_OUT[BLOCK],RC_IN[[BLOCK]:[BLOCK LOC]],2,FALSE)),"")</f>
        <v/>
      </c>
      <c r="I1382" s="263">
        <f>IFERROR(AVERAGEIFS(RC_IN[MC],RC_IN[BLOCK],RC_OUT[BLOCK]),"")</f>
        <v>11.54</v>
      </c>
      <c r="J1382" s="264">
        <f t="shared" si="1"/>
        <v>76279.4</v>
      </c>
      <c r="K1382" s="246"/>
      <c r="L1382" s="246"/>
      <c r="M1382" s="249" t="str">
        <f t="shared" si="2"/>
        <v/>
      </c>
      <c r="N1382" s="266">
        <f t="shared" si="3"/>
        <v>0</v>
      </c>
      <c r="O1382" s="247"/>
      <c r="P1382" s="247"/>
      <c r="Q1382" s="247"/>
      <c r="R1382" s="247"/>
      <c r="S1382" s="247"/>
      <c r="T1382" s="247"/>
      <c r="U1382" s="247"/>
      <c r="V1382" s="247"/>
      <c r="W1382" s="247"/>
      <c r="X1382" s="247"/>
    </row>
    <row r="1383">
      <c r="A1383" s="273">
        <v>45996.0</v>
      </c>
      <c r="B1383" s="275" t="s">
        <v>1352</v>
      </c>
      <c r="C1383" s="275" t="s">
        <v>1361</v>
      </c>
      <c r="D1383" s="276">
        <v>11958.0</v>
      </c>
      <c r="E1383" s="275" t="s">
        <v>1017</v>
      </c>
      <c r="F1383" s="279"/>
      <c r="G1383" s="278" t="str">
        <f>IFNA(IF(VLOOKUP(RC_OUT[BLOCK],RC_IN[[BLOCK]:[BLOCK LOC]],2,FALSE)=0,"",VLOOKUP(RC_OUT[BLOCK],RC_IN[[BLOCK]:[BLOCK LOC]],2,FALSE)),"")</f>
        <v/>
      </c>
      <c r="I1383" s="263" t="str">
        <f>IFERROR(AVERAGEIFS(RC_IN[MC],RC_IN[BLOCK],RC_OUT[BLOCK]),"")</f>
        <v/>
      </c>
      <c r="J1383" s="264">
        <f t="shared" si="1"/>
        <v>0</v>
      </c>
      <c r="K1383" s="246"/>
      <c r="L1383" s="246"/>
      <c r="M1383" s="249" t="str">
        <f t="shared" si="2"/>
        <v/>
      </c>
      <c r="N1383" s="266">
        <f t="shared" si="3"/>
        <v>0</v>
      </c>
      <c r="O1383" s="247"/>
      <c r="P1383" s="247"/>
      <c r="Q1383" s="247"/>
      <c r="R1383" s="247"/>
      <c r="S1383" s="247"/>
      <c r="T1383" s="247"/>
      <c r="U1383" s="247"/>
      <c r="V1383" s="247"/>
      <c r="W1383" s="247"/>
      <c r="X1383" s="247"/>
    </row>
    <row r="1384">
      <c r="A1384" s="273">
        <v>45996.0</v>
      </c>
      <c r="B1384" s="275" t="s">
        <v>1352</v>
      </c>
      <c r="C1384" s="275" t="s">
        <v>1362</v>
      </c>
      <c r="D1384" s="276">
        <v>10747.0</v>
      </c>
      <c r="E1384" s="275" t="s">
        <v>1017</v>
      </c>
      <c r="F1384" s="279"/>
      <c r="G1384" s="278" t="str">
        <f>IFNA(IF(VLOOKUP(RC_OUT[BLOCK],RC_IN[[BLOCK]:[BLOCK LOC]],2,FALSE)=0,"",VLOOKUP(RC_OUT[BLOCK],RC_IN[[BLOCK]:[BLOCK LOC]],2,FALSE)),"")</f>
        <v/>
      </c>
      <c r="I1384" s="263" t="str">
        <f>IFERROR(AVERAGEIFS(RC_IN[MC],RC_IN[BLOCK],RC_OUT[BLOCK]),"")</f>
        <v/>
      </c>
      <c r="J1384" s="264">
        <f t="shared" si="1"/>
        <v>0</v>
      </c>
      <c r="K1384" s="246"/>
      <c r="L1384" s="246"/>
      <c r="M1384" s="249" t="str">
        <f t="shared" si="2"/>
        <v/>
      </c>
      <c r="N1384" s="266">
        <f t="shared" si="3"/>
        <v>0</v>
      </c>
      <c r="O1384" s="247"/>
      <c r="P1384" s="247"/>
      <c r="Q1384" s="247"/>
      <c r="R1384" s="247"/>
      <c r="S1384" s="247"/>
      <c r="T1384" s="247"/>
      <c r="U1384" s="247"/>
      <c r="V1384" s="247"/>
      <c r="W1384" s="247"/>
      <c r="X1384" s="247"/>
    </row>
    <row r="1385">
      <c r="A1385" s="273">
        <v>45996.0</v>
      </c>
      <c r="B1385" s="275" t="s">
        <v>1352</v>
      </c>
      <c r="C1385" s="275" t="s">
        <v>501</v>
      </c>
      <c r="D1385" s="276">
        <v>700.0</v>
      </c>
      <c r="E1385" s="275" t="s">
        <v>1017</v>
      </c>
      <c r="F1385" s="279"/>
      <c r="G1385" s="278" t="str">
        <f>IFNA(IF(VLOOKUP(RC_OUT[BLOCK],RC_IN[[BLOCK]:[BLOCK LOC]],2,FALSE)=0,"",VLOOKUP(RC_OUT[BLOCK],RC_IN[[BLOCK]:[BLOCK LOC]],2,FALSE)),"")</f>
        <v/>
      </c>
      <c r="I1385" s="263">
        <f>IFERROR(AVERAGEIFS(RC_IN[MC],RC_IN[BLOCK],RC_OUT[BLOCK]),"")</f>
        <v>11.34</v>
      </c>
      <c r="J1385" s="264">
        <f t="shared" si="1"/>
        <v>7938</v>
      </c>
      <c r="K1385" s="246"/>
      <c r="L1385" s="246"/>
      <c r="M1385" s="249" t="str">
        <f t="shared" si="2"/>
        <v/>
      </c>
      <c r="N1385" s="266">
        <f t="shared" si="3"/>
        <v>0</v>
      </c>
      <c r="O1385" s="247"/>
      <c r="P1385" s="247"/>
      <c r="Q1385" s="247"/>
      <c r="R1385" s="247"/>
      <c r="S1385" s="247"/>
      <c r="T1385" s="247"/>
      <c r="U1385" s="247"/>
      <c r="V1385" s="247"/>
      <c r="W1385" s="247"/>
      <c r="X1385" s="247"/>
    </row>
    <row r="1386">
      <c r="A1386" s="274"/>
      <c r="B1386" s="274"/>
      <c r="C1386" s="274"/>
      <c r="D1386" s="283"/>
      <c r="E1386" s="274"/>
      <c r="F1386" s="279"/>
      <c r="G1386" s="278" t="str">
        <f>IFNA(IF(VLOOKUP(RC_OUT[BLOCK],RC_IN[[BLOCK]:[BLOCK LOC]],2,FALSE)=0,"",VLOOKUP(RC_OUT[BLOCK],RC_IN[[BLOCK]:[BLOCK LOC]],2,FALSE)),"")</f>
        <v/>
      </c>
      <c r="I1386" s="263" t="str">
        <f>IFERROR(AVERAGEIFS(RC_IN[MC],RC_IN[BLOCK],RC_OUT[BLOCK]),"")</f>
        <v/>
      </c>
      <c r="J1386" s="264">
        <f t="shared" si="1"/>
        <v>0</v>
      </c>
      <c r="K1386" s="246"/>
      <c r="L1386" s="246"/>
      <c r="M1386" s="249" t="str">
        <f t="shared" si="2"/>
        <v/>
      </c>
      <c r="N1386" s="266">
        <f t="shared" si="3"/>
        <v>0</v>
      </c>
      <c r="O1386" s="247"/>
      <c r="P1386" s="247"/>
      <c r="Q1386" s="247"/>
      <c r="R1386" s="247"/>
      <c r="S1386" s="247"/>
      <c r="T1386" s="247"/>
      <c r="U1386" s="247"/>
      <c r="V1386" s="247"/>
      <c r="W1386" s="247"/>
      <c r="X1386" s="247"/>
    </row>
    <row r="1387">
      <c r="A1387" s="273">
        <v>45997.0</v>
      </c>
      <c r="B1387" s="275" t="s">
        <v>1352</v>
      </c>
      <c r="C1387" s="275" t="s">
        <v>1361</v>
      </c>
      <c r="D1387" s="276">
        <v>19987.0</v>
      </c>
      <c r="E1387" s="275" t="s">
        <v>1017</v>
      </c>
      <c r="F1387" s="279"/>
      <c r="G1387" s="278" t="str">
        <f>IFNA(IF(VLOOKUP(RC_OUT[BLOCK],RC_IN[[BLOCK]:[BLOCK LOC]],2,FALSE)=0,"",VLOOKUP(RC_OUT[BLOCK],RC_IN[[BLOCK]:[BLOCK LOC]],2,FALSE)),"")</f>
        <v/>
      </c>
      <c r="I1387" s="263" t="str">
        <f>IFERROR(AVERAGEIFS(RC_IN[MC],RC_IN[BLOCK],RC_OUT[BLOCK]),"")</f>
        <v/>
      </c>
      <c r="J1387" s="264">
        <f t="shared" si="1"/>
        <v>0</v>
      </c>
      <c r="K1387" s="246"/>
      <c r="L1387" s="246"/>
      <c r="M1387" s="249" t="str">
        <f t="shared" si="2"/>
        <v/>
      </c>
      <c r="N1387" s="266">
        <f t="shared" si="3"/>
        <v>0</v>
      </c>
      <c r="O1387" s="247"/>
      <c r="P1387" s="247"/>
      <c r="Q1387" s="247"/>
      <c r="R1387" s="247"/>
      <c r="S1387" s="247"/>
      <c r="T1387" s="247"/>
      <c r="U1387" s="247"/>
      <c r="V1387" s="247"/>
      <c r="W1387" s="247"/>
      <c r="X1387" s="247"/>
    </row>
    <row r="1388">
      <c r="A1388" s="273">
        <v>45997.0</v>
      </c>
      <c r="B1388" s="275" t="s">
        <v>1352</v>
      </c>
      <c r="C1388" s="275" t="s">
        <v>1362</v>
      </c>
      <c r="D1388" s="276">
        <v>23887.0</v>
      </c>
      <c r="E1388" s="275" t="s">
        <v>1017</v>
      </c>
      <c r="F1388" s="279"/>
      <c r="G1388" s="278" t="str">
        <f>IFNA(IF(VLOOKUP(RC_OUT[BLOCK],RC_IN[[BLOCK]:[BLOCK LOC]],2,FALSE)=0,"",VLOOKUP(RC_OUT[BLOCK],RC_IN[[BLOCK]:[BLOCK LOC]],2,FALSE)),"")</f>
        <v/>
      </c>
      <c r="I1388" s="263" t="str">
        <f>IFERROR(AVERAGEIFS(RC_IN[MC],RC_IN[BLOCK],RC_OUT[BLOCK]),"")</f>
        <v/>
      </c>
      <c r="J1388" s="264">
        <f t="shared" si="1"/>
        <v>0</v>
      </c>
      <c r="K1388" s="246"/>
      <c r="L1388" s="246"/>
      <c r="M1388" s="249" t="str">
        <f t="shared" si="2"/>
        <v/>
      </c>
      <c r="N1388" s="266">
        <f t="shared" si="3"/>
        <v>0</v>
      </c>
      <c r="O1388" s="247"/>
      <c r="P1388" s="247"/>
      <c r="Q1388" s="247"/>
      <c r="R1388" s="247"/>
      <c r="S1388" s="247"/>
      <c r="T1388" s="247"/>
      <c r="U1388" s="247"/>
      <c r="V1388" s="247"/>
      <c r="W1388" s="247"/>
      <c r="X1388" s="247"/>
    </row>
    <row r="1389">
      <c r="A1389" s="273">
        <v>45997.0</v>
      </c>
      <c r="B1389" s="275" t="s">
        <v>1352</v>
      </c>
      <c r="C1389" s="275" t="s">
        <v>1357</v>
      </c>
      <c r="D1389" s="276">
        <v>2584.0</v>
      </c>
      <c r="E1389" s="275" t="s">
        <v>1017</v>
      </c>
      <c r="F1389" s="277" t="s">
        <v>1059</v>
      </c>
      <c r="G1389" s="278" t="str">
        <f>IFNA(IF(VLOOKUP(RC_OUT[BLOCK],RC_IN[[BLOCK]:[BLOCK LOC]],2,FALSE)=0,"",VLOOKUP(RC_OUT[BLOCK],RC_IN[[BLOCK]:[BLOCK LOC]],2,FALSE)),"")</f>
        <v/>
      </c>
      <c r="I1389" s="263" t="str">
        <f>IFERROR(AVERAGEIFS(RC_IN[MC],RC_IN[BLOCK],RC_OUT[BLOCK]),"")</f>
        <v/>
      </c>
      <c r="J1389" s="264">
        <f t="shared" si="1"/>
        <v>0</v>
      </c>
      <c r="K1389" s="246"/>
      <c r="L1389" s="246"/>
      <c r="M1389" s="249" t="str">
        <f t="shared" si="2"/>
        <v/>
      </c>
      <c r="N1389" s="266">
        <f t="shared" si="3"/>
        <v>0</v>
      </c>
      <c r="O1389" s="247"/>
      <c r="P1389" s="247"/>
      <c r="Q1389" s="247"/>
      <c r="R1389" s="247"/>
      <c r="S1389" s="247"/>
      <c r="T1389" s="247"/>
      <c r="U1389" s="247"/>
      <c r="V1389" s="247"/>
      <c r="W1389" s="247"/>
      <c r="X1389" s="247"/>
    </row>
    <row r="1390">
      <c r="A1390" s="273">
        <v>45997.0</v>
      </c>
      <c r="B1390" s="275" t="s">
        <v>1352</v>
      </c>
      <c r="C1390" s="275" t="s">
        <v>501</v>
      </c>
      <c r="D1390" s="276">
        <v>15445.0</v>
      </c>
      <c r="E1390" s="275" t="s">
        <v>1017</v>
      </c>
      <c r="F1390" s="277" t="s">
        <v>1059</v>
      </c>
      <c r="G1390" s="278" t="str">
        <f>IFNA(IF(VLOOKUP(RC_OUT[BLOCK],RC_IN[[BLOCK]:[BLOCK LOC]],2,FALSE)=0,"",VLOOKUP(RC_OUT[BLOCK],RC_IN[[BLOCK]:[BLOCK LOC]],2,FALSE)),"")</f>
        <v/>
      </c>
      <c r="I1390" s="263">
        <f>IFERROR(AVERAGEIFS(RC_IN[MC],RC_IN[BLOCK],RC_OUT[BLOCK]),"")</f>
        <v>11.34</v>
      </c>
      <c r="J1390" s="264">
        <f t="shared" si="1"/>
        <v>175146.3</v>
      </c>
      <c r="K1390" s="246"/>
      <c r="L1390" s="246"/>
      <c r="M1390" s="249" t="str">
        <f t="shared" si="2"/>
        <v/>
      </c>
      <c r="N1390" s="266">
        <f t="shared" si="3"/>
        <v>0</v>
      </c>
      <c r="O1390" s="247"/>
      <c r="P1390" s="247"/>
      <c r="Q1390" s="247"/>
      <c r="R1390" s="247"/>
      <c r="S1390" s="247"/>
      <c r="T1390" s="247"/>
      <c r="U1390" s="247"/>
      <c r="V1390" s="247"/>
      <c r="W1390" s="247"/>
      <c r="X1390" s="247"/>
    </row>
    <row r="1391">
      <c r="A1391" s="273">
        <v>45997.0</v>
      </c>
      <c r="B1391" s="275" t="s">
        <v>1352</v>
      </c>
      <c r="C1391" s="275" t="s">
        <v>1363</v>
      </c>
      <c r="D1391" s="276">
        <v>5636.0</v>
      </c>
      <c r="E1391" s="275" t="s">
        <v>1017</v>
      </c>
      <c r="F1391" s="279"/>
      <c r="G1391" s="278" t="str">
        <f>IFNA(IF(VLOOKUP(RC_OUT[BLOCK],RC_IN[[BLOCK]:[BLOCK LOC]],2,FALSE)=0,"",VLOOKUP(RC_OUT[BLOCK],RC_IN[[BLOCK]:[BLOCK LOC]],2,FALSE)),"")</f>
        <v/>
      </c>
      <c r="I1391" s="263" t="str">
        <f>IFERROR(AVERAGEIFS(RC_IN[MC],RC_IN[BLOCK],RC_OUT[BLOCK]),"")</f>
        <v/>
      </c>
      <c r="J1391" s="264">
        <f t="shared" si="1"/>
        <v>0</v>
      </c>
      <c r="K1391" s="246"/>
      <c r="L1391" s="246"/>
      <c r="M1391" s="249" t="str">
        <f t="shared" si="2"/>
        <v/>
      </c>
      <c r="N1391" s="266">
        <f t="shared" si="3"/>
        <v>0</v>
      </c>
      <c r="O1391" s="247"/>
      <c r="P1391" s="247"/>
      <c r="Q1391" s="247"/>
      <c r="R1391" s="247"/>
      <c r="S1391" s="247"/>
      <c r="T1391" s="247"/>
      <c r="U1391" s="247"/>
      <c r="V1391" s="247"/>
      <c r="W1391" s="247"/>
      <c r="X1391" s="247"/>
    </row>
    <row r="1392">
      <c r="A1392" s="274"/>
      <c r="B1392" s="274"/>
      <c r="C1392" s="274"/>
      <c r="D1392" s="283"/>
      <c r="E1392" s="274"/>
      <c r="F1392" s="279"/>
      <c r="G1392" s="278" t="str">
        <f>IFNA(IF(VLOOKUP(RC_OUT[BLOCK],RC_IN[[BLOCK]:[BLOCK LOC]],2,FALSE)=0,"",VLOOKUP(RC_OUT[BLOCK],RC_IN[[BLOCK]:[BLOCK LOC]],2,FALSE)),"")</f>
        <v/>
      </c>
      <c r="I1392" s="263" t="str">
        <f>IFERROR(AVERAGEIFS(RC_IN[MC],RC_IN[BLOCK],RC_OUT[BLOCK]),"")</f>
        <v/>
      </c>
      <c r="J1392" s="264">
        <f t="shared" si="1"/>
        <v>0</v>
      </c>
      <c r="K1392" s="246"/>
      <c r="L1392" s="246"/>
      <c r="M1392" s="249" t="str">
        <f t="shared" si="2"/>
        <v/>
      </c>
      <c r="N1392" s="266">
        <f t="shared" si="3"/>
        <v>0</v>
      </c>
      <c r="O1392" s="247"/>
      <c r="P1392" s="247"/>
      <c r="Q1392" s="247"/>
      <c r="R1392" s="247"/>
      <c r="S1392" s="247"/>
      <c r="T1392" s="247"/>
      <c r="U1392" s="247"/>
      <c r="V1392" s="247"/>
      <c r="W1392" s="247"/>
      <c r="X1392" s="247"/>
    </row>
    <row r="1393">
      <c r="A1393" s="273">
        <v>46000.0</v>
      </c>
      <c r="B1393" s="275" t="s">
        <v>1352</v>
      </c>
      <c r="C1393" s="275" t="s">
        <v>1361</v>
      </c>
      <c r="D1393" s="276">
        <v>4645.0</v>
      </c>
      <c r="E1393" s="275" t="s">
        <v>1017</v>
      </c>
      <c r="F1393" s="277" t="s">
        <v>1059</v>
      </c>
      <c r="G1393" s="278" t="str">
        <f>IFNA(IF(VLOOKUP(RC_OUT[BLOCK],RC_IN[[BLOCK]:[BLOCK LOC]],2,FALSE)=0,"",VLOOKUP(RC_OUT[BLOCK],RC_IN[[BLOCK]:[BLOCK LOC]],2,FALSE)),"")</f>
        <v/>
      </c>
      <c r="I1393" s="263" t="str">
        <f>IFERROR(AVERAGEIFS(RC_IN[MC],RC_IN[BLOCK],RC_OUT[BLOCK]),"")</f>
        <v/>
      </c>
      <c r="J1393" s="264">
        <f t="shared" si="1"/>
        <v>0</v>
      </c>
      <c r="K1393" s="246"/>
      <c r="L1393" s="246"/>
      <c r="M1393" s="249" t="str">
        <f t="shared" si="2"/>
        <v/>
      </c>
      <c r="N1393" s="266">
        <f t="shared" si="3"/>
        <v>0</v>
      </c>
      <c r="O1393" s="247"/>
      <c r="P1393" s="247"/>
      <c r="Q1393" s="247"/>
      <c r="R1393" s="247"/>
      <c r="S1393" s="247"/>
      <c r="T1393" s="247"/>
      <c r="U1393" s="247"/>
      <c r="V1393" s="247"/>
      <c r="W1393" s="247"/>
      <c r="X1393" s="247"/>
    </row>
    <row r="1394">
      <c r="A1394" s="273">
        <v>46000.0</v>
      </c>
      <c r="B1394" s="275" t="s">
        <v>1352</v>
      </c>
      <c r="C1394" s="275" t="s">
        <v>1362</v>
      </c>
      <c r="D1394" s="276">
        <v>16426.0</v>
      </c>
      <c r="E1394" s="275" t="s">
        <v>1017</v>
      </c>
      <c r="F1394" s="277" t="s">
        <v>1059</v>
      </c>
      <c r="G1394" s="278" t="str">
        <f>IFNA(IF(VLOOKUP(RC_OUT[BLOCK],RC_IN[[BLOCK]:[BLOCK LOC]],2,FALSE)=0,"",VLOOKUP(RC_OUT[BLOCK],RC_IN[[BLOCK]:[BLOCK LOC]],2,FALSE)),"")</f>
        <v/>
      </c>
      <c r="I1394" s="263" t="str">
        <f>IFERROR(AVERAGEIFS(RC_IN[MC],RC_IN[BLOCK],RC_OUT[BLOCK]),"")</f>
        <v/>
      </c>
      <c r="J1394" s="264">
        <f t="shared" si="1"/>
        <v>0</v>
      </c>
      <c r="K1394" s="246"/>
      <c r="L1394" s="246"/>
      <c r="M1394" s="249" t="str">
        <f t="shared" si="2"/>
        <v/>
      </c>
      <c r="N1394" s="266">
        <f t="shared" si="3"/>
        <v>0</v>
      </c>
      <c r="O1394" s="247"/>
      <c r="P1394" s="247"/>
      <c r="Q1394" s="247"/>
      <c r="R1394" s="247"/>
      <c r="S1394" s="247"/>
      <c r="T1394" s="247"/>
      <c r="U1394" s="247"/>
      <c r="V1394" s="247"/>
      <c r="W1394" s="247"/>
      <c r="X1394" s="247"/>
    </row>
    <row r="1395">
      <c r="A1395" s="273">
        <v>46000.0</v>
      </c>
      <c r="B1395" s="275" t="s">
        <v>1352</v>
      </c>
      <c r="C1395" s="275" t="s">
        <v>1364</v>
      </c>
      <c r="D1395" s="276">
        <v>19862.0</v>
      </c>
      <c r="E1395" s="275" t="s">
        <v>1017</v>
      </c>
      <c r="F1395" s="279"/>
      <c r="G1395" s="278" t="str">
        <f>IFNA(IF(VLOOKUP(RC_OUT[BLOCK],RC_IN[[BLOCK]:[BLOCK LOC]],2,FALSE)=0,"",VLOOKUP(RC_OUT[BLOCK],RC_IN[[BLOCK]:[BLOCK LOC]],2,FALSE)),"")</f>
        <v/>
      </c>
      <c r="I1395" s="263" t="str">
        <f>IFERROR(AVERAGEIFS(RC_IN[MC],RC_IN[BLOCK],RC_OUT[BLOCK]),"")</f>
        <v/>
      </c>
      <c r="J1395" s="264">
        <f t="shared" si="1"/>
        <v>0</v>
      </c>
      <c r="K1395" s="246"/>
      <c r="L1395" s="246"/>
      <c r="M1395" s="249" t="str">
        <f t="shared" si="2"/>
        <v/>
      </c>
      <c r="N1395" s="266">
        <f t="shared" si="3"/>
        <v>0</v>
      </c>
      <c r="O1395" s="247"/>
      <c r="P1395" s="247"/>
      <c r="Q1395" s="247"/>
      <c r="R1395" s="247"/>
      <c r="S1395" s="247"/>
      <c r="T1395" s="247"/>
      <c r="U1395" s="247"/>
      <c r="V1395" s="247"/>
      <c r="W1395" s="247"/>
      <c r="X1395" s="247"/>
    </row>
    <row r="1396">
      <c r="A1396" s="273">
        <v>46000.0</v>
      </c>
      <c r="B1396" s="275" t="s">
        <v>1352</v>
      </c>
      <c r="C1396" s="275" t="s">
        <v>1365</v>
      </c>
      <c r="D1396" s="276">
        <v>18567.0</v>
      </c>
      <c r="E1396" s="275" t="s">
        <v>1017</v>
      </c>
      <c r="F1396" s="279"/>
      <c r="G1396" s="278" t="str">
        <f>IFNA(IF(VLOOKUP(RC_OUT[BLOCK],RC_IN[[BLOCK]:[BLOCK LOC]],2,FALSE)=0,"",VLOOKUP(RC_OUT[BLOCK],RC_IN[[BLOCK]:[BLOCK LOC]],2,FALSE)),"")</f>
        <v/>
      </c>
      <c r="I1396" s="263" t="str">
        <f>IFERROR(AVERAGEIFS(RC_IN[MC],RC_IN[BLOCK],RC_OUT[BLOCK]),"")</f>
        <v/>
      </c>
      <c r="J1396" s="264">
        <f t="shared" si="1"/>
        <v>0</v>
      </c>
      <c r="K1396" s="246"/>
      <c r="L1396" s="246"/>
      <c r="M1396" s="249" t="str">
        <f t="shared" si="2"/>
        <v/>
      </c>
      <c r="N1396" s="266">
        <f t="shared" si="3"/>
        <v>0</v>
      </c>
      <c r="O1396" s="247"/>
      <c r="P1396" s="247"/>
      <c r="Q1396" s="247"/>
      <c r="R1396" s="247"/>
      <c r="S1396" s="247"/>
      <c r="T1396" s="247"/>
      <c r="U1396" s="247"/>
      <c r="V1396" s="247"/>
      <c r="W1396" s="247"/>
      <c r="X1396" s="247"/>
    </row>
    <row r="1397">
      <c r="A1397" s="273">
        <v>46000.0</v>
      </c>
      <c r="B1397" s="275" t="s">
        <v>1352</v>
      </c>
      <c r="C1397" s="275" t="s">
        <v>1366</v>
      </c>
      <c r="D1397" s="276">
        <v>8476.0</v>
      </c>
      <c r="E1397" s="275" t="s">
        <v>1017</v>
      </c>
      <c r="F1397" s="279"/>
      <c r="G1397" s="278" t="str">
        <f>IFNA(IF(VLOOKUP(RC_OUT[BLOCK],RC_IN[[BLOCK]:[BLOCK LOC]],2,FALSE)=0,"",VLOOKUP(RC_OUT[BLOCK],RC_IN[[BLOCK]:[BLOCK LOC]],2,FALSE)),"")</f>
        <v/>
      </c>
      <c r="I1397" s="263" t="str">
        <f>IFERROR(AVERAGEIFS(RC_IN[MC],RC_IN[BLOCK],RC_OUT[BLOCK]),"")</f>
        <v/>
      </c>
      <c r="J1397" s="264">
        <f t="shared" si="1"/>
        <v>0</v>
      </c>
      <c r="K1397" s="246"/>
      <c r="L1397" s="246"/>
      <c r="M1397" s="249" t="str">
        <f t="shared" si="2"/>
        <v/>
      </c>
      <c r="N1397" s="266">
        <f t="shared" si="3"/>
        <v>0</v>
      </c>
      <c r="O1397" s="247"/>
      <c r="P1397" s="247"/>
      <c r="Q1397" s="247"/>
      <c r="R1397" s="247"/>
      <c r="S1397" s="247"/>
      <c r="T1397" s="247"/>
      <c r="U1397" s="247"/>
      <c r="V1397" s="247"/>
      <c r="W1397" s="247"/>
      <c r="X1397" s="247"/>
    </row>
    <row r="1398">
      <c r="A1398" s="274"/>
      <c r="B1398" s="274"/>
      <c r="C1398" s="274"/>
      <c r="D1398" s="283"/>
      <c r="E1398" s="274"/>
      <c r="F1398" s="279"/>
      <c r="G1398" s="278" t="str">
        <f>IFNA(IF(VLOOKUP(RC_OUT[BLOCK],RC_IN[[BLOCK]:[BLOCK LOC]],2,FALSE)=0,"",VLOOKUP(RC_OUT[BLOCK],RC_IN[[BLOCK]:[BLOCK LOC]],2,FALSE)),"")</f>
        <v/>
      </c>
      <c r="I1398" s="263" t="str">
        <f>IFERROR(AVERAGEIFS(RC_IN[MC],RC_IN[BLOCK],RC_OUT[BLOCK]),"")</f>
        <v/>
      </c>
      <c r="J1398" s="264">
        <f t="shared" si="1"/>
        <v>0</v>
      </c>
      <c r="K1398" s="246"/>
      <c r="L1398" s="246"/>
      <c r="M1398" s="249" t="str">
        <f t="shared" si="2"/>
        <v/>
      </c>
      <c r="N1398" s="266">
        <f t="shared" si="3"/>
        <v>0</v>
      </c>
      <c r="O1398" s="247"/>
      <c r="P1398" s="247"/>
      <c r="Q1398" s="247"/>
      <c r="R1398" s="247"/>
      <c r="S1398" s="247"/>
      <c r="T1398" s="247"/>
      <c r="U1398" s="247"/>
      <c r="V1398" s="247"/>
      <c r="W1398" s="247"/>
      <c r="X1398" s="247"/>
    </row>
    <row r="1399">
      <c r="A1399" s="282">
        <v>46001.0</v>
      </c>
      <c r="B1399" s="275" t="s">
        <v>1352</v>
      </c>
      <c r="C1399" s="275" t="s">
        <v>1364</v>
      </c>
      <c r="D1399" s="276">
        <v>26678.0</v>
      </c>
      <c r="E1399" s="275" t="s">
        <v>1017</v>
      </c>
      <c r="F1399" s="279"/>
      <c r="G1399" s="278" t="str">
        <f>IFNA(IF(VLOOKUP(RC_OUT[BLOCK],RC_IN[[BLOCK]:[BLOCK LOC]],2,FALSE)=0,"",VLOOKUP(RC_OUT[BLOCK],RC_IN[[BLOCK]:[BLOCK LOC]],2,FALSE)),"")</f>
        <v/>
      </c>
      <c r="I1399" s="263" t="str">
        <f>IFERROR(AVERAGEIFS(RC_IN[MC],RC_IN[BLOCK],RC_OUT[BLOCK]),"")</f>
        <v/>
      </c>
      <c r="J1399" s="264">
        <f t="shared" si="1"/>
        <v>0</v>
      </c>
      <c r="K1399" s="246"/>
      <c r="L1399" s="246"/>
      <c r="M1399" s="249" t="str">
        <f t="shared" si="2"/>
        <v/>
      </c>
      <c r="N1399" s="266">
        <f t="shared" si="3"/>
        <v>0</v>
      </c>
      <c r="O1399" s="247"/>
      <c r="P1399" s="247"/>
      <c r="Q1399" s="247"/>
      <c r="R1399" s="247"/>
      <c r="S1399" s="247"/>
      <c r="T1399" s="247"/>
      <c r="U1399" s="247"/>
      <c r="V1399" s="247"/>
      <c r="W1399" s="247"/>
      <c r="X1399" s="247"/>
    </row>
    <row r="1400">
      <c r="A1400" s="282">
        <v>46001.0</v>
      </c>
      <c r="B1400" s="275" t="s">
        <v>1352</v>
      </c>
      <c r="C1400" s="275" t="s">
        <v>1365</v>
      </c>
      <c r="D1400" s="276">
        <v>5444.0</v>
      </c>
      <c r="E1400" s="275" t="s">
        <v>1017</v>
      </c>
      <c r="F1400" s="279"/>
      <c r="G1400" s="278" t="str">
        <f>IFNA(IF(VLOOKUP(RC_OUT[BLOCK],RC_IN[[BLOCK]:[BLOCK LOC]],2,FALSE)=0,"",VLOOKUP(RC_OUT[BLOCK],RC_IN[[BLOCK]:[BLOCK LOC]],2,FALSE)),"")</f>
        <v/>
      </c>
      <c r="I1400" s="263" t="str">
        <f>IFERROR(AVERAGEIFS(RC_IN[MC],RC_IN[BLOCK],RC_OUT[BLOCK]),"")</f>
        <v/>
      </c>
      <c r="J1400" s="264">
        <f t="shared" si="1"/>
        <v>0</v>
      </c>
      <c r="K1400" s="246"/>
      <c r="L1400" s="246"/>
      <c r="M1400" s="249" t="str">
        <f t="shared" si="2"/>
        <v/>
      </c>
      <c r="N1400" s="266">
        <f t="shared" si="3"/>
        <v>0</v>
      </c>
      <c r="O1400" s="247"/>
      <c r="P1400" s="247"/>
      <c r="Q1400" s="247"/>
      <c r="R1400" s="247"/>
      <c r="S1400" s="247"/>
      <c r="T1400" s="247"/>
      <c r="U1400" s="247"/>
      <c r="V1400" s="247"/>
      <c r="W1400" s="247"/>
      <c r="X1400" s="247"/>
    </row>
    <row r="1401">
      <c r="A1401" s="282">
        <v>46001.0</v>
      </c>
      <c r="B1401" s="275" t="s">
        <v>1352</v>
      </c>
      <c r="C1401" s="275" t="s">
        <v>1366</v>
      </c>
      <c r="D1401" s="276">
        <v>20827.0</v>
      </c>
      <c r="E1401" s="275" t="s">
        <v>1017</v>
      </c>
      <c r="F1401" s="279"/>
      <c r="G1401" s="278" t="str">
        <f>IFNA(IF(VLOOKUP(RC_OUT[BLOCK],RC_IN[[BLOCK]:[BLOCK LOC]],2,FALSE)=0,"",VLOOKUP(RC_OUT[BLOCK],RC_IN[[BLOCK]:[BLOCK LOC]],2,FALSE)),"")</f>
        <v/>
      </c>
      <c r="I1401" s="263" t="str">
        <f>IFERROR(AVERAGEIFS(RC_IN[MC],RC_IN[BLOCK],RC_OUT[BLOCK]),"")</f>
        <v/>
      </c>
      <c r="J1401" s="264">
        <f t="shared" si="1"/>
        <v>0</v>
      </c>
      <c r="K1401" s="246"/>
      <c r="L1401" s="246"/>
      <c r="M1401" s="249" t="str">
        <f t="shared" si="2"/>
        <v/>
      </c>
      <c r="N1401" s="266">
        <f t="shared" si="3"/>
        <v>0</v>
      </c>
      <c r="O1401" s="247"/>
      <c r="P1401" s="247"/>
      <c r="Q1401" s="247"/>
      <c r="R1401" s="247"/>
      <c r="S1401" s="247"/>
      <c r="T1401" s="247"/>
      <c r="U1401" s="247"/>
      <c r="V1401" s="247"/>
      <c r="W1401" s="247"/>
      <c r="X1401" s="247"/>
    </row>
    <row r="1402">
      <c r="A1402" s="274"/>
      <c r="B1402" s="274"/>
      <c r="C1402" s="274"/>
      <c r="D1402" s="283"/>
      <c r="E1402" s="274"/>
      <c r="F1402" s="279"/>
      <c r="G1402" s="278" t="str">
        <f>IFNA(IF(VLOOKUP(RC_OUT[BLOCK],RC_IN[[BLOCK]:[BLOCK LOC]],2,FALSE)=0,"",VLOOKUP(RC_OUT[BLOCK],RC_IN[[BLOCK]:[BLOCK LOC]],2,FALSE)),"")</f>
        <v/>
      </c>
      <c r="I1402" s="263" t="str">
        <f>IFERROR(AVERAGEIFS(RC_IN[MC],RC_IN[BLOCK],RC_OUT[BLOCK]),"")</f>
        <v/>
      </c>
      <c r="J1402" s="264">
        <f t="shared" si="1"/>
        <v>0</v>
      </c>
      <c r="K1402" s="246"/>
      <c r="L1402" s="246"/>
      <c r="M1402" s="249" t="str">
        <f t="shared" si="2"/>
        <v/>
      </c>
      <c r="N1402" s="266">
        <f t="shared" si="3"/>
        <v>0</v>
      </c>
      <c r="O1402" s="247"/>
      <c r="P1402" s="247"/>
      <c r="Q1402" s="247"/>
      <c r="R1402" s="247"/>
      <c r="S1402" s="247"/>
      <c r="T1402" s="247"/>
      <c r="U1402" s="247"/>
      <c r="V1402" s="247"/>
      <c r="W1402" s="247"/>
      <c r="X1402" s="247"/>
    </row>
    <row r="1403">
      <c r="A1403" s="282">
        <v>46002.0</v>
      </c>
      <c r="B1403" s="275" t="s">
        <v>1352</v>
      </c>
      <c r="C1403" s="275" t="s">
        <v>1364</v>
      </c>
      <c r="D1403" s="276">
        <v>2469.0</v>
      </c>
      <c r="E1403" s="275" t="s">
        <v>1017</v>
      </c>
      <c r="F1403" s="277" t="s">
        <v>1059</v>
      </c>
      <c r="G1403" s="278" t="str">
        <f>IFNA(IF(VLOOKUP(RC_OUT[BLOCK],RC_IN[[BLOCK]:[BLOCK LOC]],2,FALSE)=0,"",VLOOKUP(RC_OUT[BLOCK],RC_IN[[BLOCK]:[BLOCK LOC]],2,FALSE)),"")</f>
        <v/>
      </c>
      <c r="I1403" s="263" t="str">
        <f>IFERROR(AVERAGEIFS(RC_IN[MC],RC_IN[BLOCK],RC_OUT[BLOCK]),"")</f>
        <v/>
      </c>
      <c r="J1403" s="264">
        <f t="shared" si="1"/>
        <v>0</v>
      </c>
      <c r="K1403" s="246"/>
      <c r="L1403" s="246"/>
      <c r="M1403" s="249" t="str">
        <f t="shared" si="2"/>
        <v/>
      </c>
      <c r="N1403" s="266">
        <f t="shared" si="3"/>
        <v>0</v>
      </c>
      <c r="O1403" s="247"/>
      <c r="P1403" s="247"/>
      <c r="Q1403" s="247"/>
      <c r="R1403" s="247"/>
      <c r="S1403" s="247"/>
      <c r="T1403" s="247"/>
      <c r="U1403" s="247"/>
      <c r="V1403" s="247"/>
      <c r="W1403" s="247"/>
      <c r="X1403" s="247"/>
    </row>
    <row r="1404">
      <c r="A1404" s="282">
        <v>46002.0</v>
      </c>
      <c r="B1404" s="275" t="s">
        <v>1352</v>
      </c>
      <c r="C1404" s="275" t="s">
        <v>1365</v>
      </c>
      <c r="D1404" s="276">
        <v>2691.0</v>
      </c>
      <c r="E1404" s="275" t="s">
        <v>1017</v>
      </c>
      <c r="F1404" s="277" t="s">
        <v>1059</v>
      </c>
      <c r="G1404" s="278" t="str">
        <f>IFNA(IF(VLOOKUP(RC_OUT[BLOCK],RC_IN[[BLOCK]:[BLOCK LOC]],2,FALSE)=0,"",VLOOKUP(RC_OUT[BLOCK],RC_IN[[BLOCK]:[BLOCK LOC]],2,FALSE)),"")</f>
        <v/>
      </c>
      <c r="I1404" s="263" t="str">
        <f>IFERROR(AVERAGEIFS(RC_IN[MC],RC_IN[BLOCK],RC_OUT[BLOCK]),"")</f>
        <v/>
      </c>
      <c r="J1404" s="264">
        <f t="shared" si="1"/>
        <v>0</v>
      </c>
      <c r="K1404" s="246"/>
      <c r="L1404" s="246"/>
      <c r="M1404" s="249" t="str">
        <f t="shared" si="2"/>
        <v/>
      </c>
      <c r="N1404" s="266">
        <f t="shared" si="3"/>
        <v>0</v>
      </c>
      <c r="O1404" s="247"/>
      <c r="P1404" s="247"/>
      <c r="Q1404" s="247"/>
      <c r="R1404" s="247"/>
      <c r="S1404" s="247"/>
      <c r="T1404" s="247"/>
      <c r="U1404" s="247"/>
      <c r="V1404" s="247"/>
      <c r="W1404" s="247"/>
      <c r="X1404" s="247"/>
    </row>
    <row r="1405">
      <c r="A1405" s="282">
        <v>46002.0</v>
      </c>
      <c r="B1405" s="275" t="s">
        <v>1352</v>
      </c>
      <c r="C1405" s="275" t="s">
        <v>1366</v>
      </c>
      <c r="D1405" s="276">
        <v>19093.0</v>
      </c>
      <c r="E1405" s="275" t="s">
        <v>1017</v>
      </c>
      <c r="F1405" s="279"/>
      <c r="G1405" s="278" t="str">
        <f>IFNA(IF(VLOOKUP(RC_OUT[BLOCK],RC_IN[[BLOCK]:[BLOCK LOC]],2,FALSE)=0,"",VLOOKUP(RC_OUT[BLOCK],RC_IN[[BLOCK]:[BLOCK LOC]],2,FALSE)),"")</f>
        <v/>
      </c>
      <c r="I1405" s="263" t="str">
        <f>IFERROR(AVERAGEIFS(RC_IN[MC],RC_IN[BLOCK],RC_OUT[BLOCK]),"")</f>
        <v/>
      </c>
      <c r="J1405" s="264">
        <f t="shared" si="1"/>
        <v>0</v>
      </c>
      <c r="K1405" s="246"/>
      <c r="L1405" s="246"/>
      <c r="M1405" s="249" t="str">
        <f t="shared" si="2"/>
        <v/>
      </c>
      <c r="N1405" s="266">
        <f t="shared" si="3"/>
        <v>0</v>
      </c>
      <c r="O1405" s="247"/>
      <c r="P1405" s="247"/>
      <c r="Q1405" s="247"/>
      <c r="R1405" s="247"/>
      <c r="S1405" s="247"/>
      <c r="T1405" s="247"/>
      <c r="U1405" s="247"/>
      <c r="V1405" s="247"/>
      <c r="W1405" s="247"/>
      <c r="X1405" s="247"/>
    </row>
    <row r="1406">
      <c r="A1406" s="282">
        <v>46002.0</v>
      </c>
      <c r="B1406" s="275" t="s">
        <v>1352</v>
      </c>
      <c r="C1406" s="275" t="s">
        <v>1367</v>
      </c>
      <c r="D1406" s="276">
        <v>998.0</v>
      </c>
      <c r="E1406" s="275" t="s">
        <v>1017</v>
      </c>
      <c r="F1406" s="277" t="s">
        <v>1059</v>
      </c>
      <c r="G1406" s="278" t="str">
        <f>IFNA(IF(VLOOKUP(RC_OUT[BLOCK],RC_IN[[BLOCK]:[BLOCK LOC]],2,FALSE)=0,"",VLOOKUP(RC_OUT[BLOCK],RC_IN[[BLOCK]:[BLOCK LOC]],2,FALSE)),"")</f>
        <v/>
      </c>
      <c r="I1406" s="263" t="str">
        <f>IFERROR(AVERAGEIFS(RC_IN[MC],RC_IN[BLOCK],RC_OUT[BLOCK]),"")</f>
        <v/>
      </c>
      <c r="J1406" s="264">
        <f t="shared" si="1"/>
        <v>0</v>
      </c>
      <c r="K1406" s="246"/>
      <c r="L1406" s="246"/>
      <c r="M1406" s="249" t="str">
        <f t="shared" si="2"/>
        <v/>
      </c>
      <c r="N1406" s="266">
        <f t="shared" si="3"/>
        <v>0</v>
      </c>
      <c r="O1406" s="247"/>
      <c r="P1406" s="247"/>
      <c r="Q1406" s="247"/>
      <c r="R1406" s="247"/>
      <c r="S1406" s="247"/>
      <c r="T1406" s="247"/>
      <c r="U1406" s="247"/>
      <c r="V1406" s="247"/>
      <c r="W1406" s="247"/>
      <c r="X1406" s="247"/>
    </row>
    <row r="1407">
      <c r="A1407" s="282">
        <v>46002.0</v>
      </c>
      <c r="B1407" s="275" t="s">
        <v>1352</v>
      </c>
      <c r="C1407" s="275" t="s">
        <v>1368</v>
      </c>
      <c r="D1407" s="276">
        <v>17130.0</v>
      </c>
      <c r="E1407" s="275" t="s">
        <v>1017</v>
      </c>
      <c r="F1407" s="277" t="s">
        <v>1059</v>
      </c>
      <c r="G1407" s="278" t="str">
        <f>IFNA(IF(VLOOKUP(RC_OUT[BLOCK],RC_IN[[BLOCK]:[BLOCK LOC]],2,FALSE)=0,"",VLOOKUP(RC_OUT[BLOCK],RC_IN[[BLOCK]:[BLOCK LOC]],2,FALSE)),"")</f>
        <v/>
      </c>
      <c r="I1407" s="263" t="str">
        <f>IFERROR(AVERAGEIFS(RC_IN[MC],RC_IN[BLOCK],RC_OUT[BLOCK]),"")</f>
        <v/>
      </c>
      <c r="J1407" s="264">
        <f t="shared" si="1"/>
        <v>0</v>
      </c>
      <c r="K1407" s="246"/>
      <c r="L1407" s="246"/>
      <c r="M1407" s="249" t="str">
        <f t="shared" si="2"/>
        <v/>
      </c>
      <c r="N1407" s="266">
        <f t="shared" si="3"/>
        <v>0</v>
      </c>
      <c r="O1407" s="247"/>
      <c r="P1407" s="247"/>
      <c r="Q1407" s="247"/>
      <c r="R1407" s="247"/>
      <c r="S1407" s="247"/>
      <c r="T1407" s="247"/>
      <c r="U1407" s="247"/>
      <c r="V1407" s="247"/>
      <c r="W1407" s="247"/>
      <c r="X1407" s="247"/>
    </row>
    <row r="1408">
      <c r="A1408" s="282">
        <v>46002.0</v>
      </c>
      <c r="B1408" s="275" t="s">
        <v>1352</v>
      </c>
      <c r="C1408" s="275" t="s">
        <v>1369</v>
      </c>
      <c r="D1408" s="276">
        <v>16977.0</v>
      </c>
      <c r="E1408" s="275" t="s">
        <v>1017</v>
      </c>
      <c r="F1408" s="279"/>
      <c r="G1408" s="278" t="str">
        <f>IFNA(IF(VLOOKUP(RC_OUT[BLOCK],RC_IN[[BLOCK]:[BLOCK LOC]],2,FALSE)=0,"",VLOOKUP(RC_OUT[BLOCK],RC_IN[[BLOCK]:[BLOCK LOC]],2,FALSE)),"")</f>
        <v/>
      </c>
      <c r="I1408" s="263" t="str">
        <f>IFERROR(AVERAGEIFS(RC_IN[MC],RC_IN[BLOCK],RC_OUT[BLOCK]),"")</f>
        <v/>
      </c>
      <c r="J1408" s="264">
        <f t="shared" si="1"/>
        <v>0</v>
      </c>
      <c r="K1408" s="246"/>
      <c r="L1408" s="246"/>
      <c r="M1408" s="249" t="str">
        <f t="shared" si="2"/>
        <v/>
      </c>
      <c r="N1408" s="266">
        <f t="shared" si="3"/>
        <v>0</v>
      </c>
      <c r="O1408" s="247"/>
      <c r="P1408" s="247"/>
      <c r="Q1408" s="247"/>
      <c r="R1408" s="247"/>
      <c r="S1408" s="247"/>
      <c r="T1408" s="247"/>
      <c r="U1408" s="247"/>
      <c r="V1408" s="247"/>
      <c r="W1408" s="247"/>
      <c r="X1408" s="247"/>
    </row>
    <row r="1409">
      <c r="A1409" s="274"/>
      <c r="B1409" s="274"/>
      <c r="C1409" s="274"/>
      <c r="D1409" s="283"/>
      <c r="E1409" s="274"/>
      <c r="F1409" s="279"/>
      <c r="G1409" s="278" t="str">
        <f>IFNA(IF(VLOOKUP(RC_OUT[BLOCK],RC_IN[[BLOCK]:[BLOCK LOC]],2,FALSE)=0,"",VLOOKUP(RC_OUT[BLOCK],RC_IN[[BLOCK]:[BLOCK LOC]],2,FALSE)),"")</f>
        <v/>
      </c>
      <c r="I1409" s="263" t="str">
        <f>IFERROR(AVERAGEIFS(RC_IN[MC],RC_IN[BLOCK],RC_OUT[BLOCK]),"")</f>
        <v/>
      </c>
      <c r="J1409" s="264">
        <f t="shared" si="1"/>
        <v>0</v>
      </c>
      <c r="K1409" s="246"/>
      <c r="L1409" s="246"/>
      <c r="M1409" s="249" t="str">
        <f t="shared" si="2"/>
        <v/>
      </c>
      <c r="N1409" s="266">
        <f t="shared" si="3"/>
        <v>0</v>
      </c>
      <c r="O1409" s="247"/>
      <c r="P1409" s="247"/>
      <c r="Q1409" s="247"/>
      <c r="R1409" s="247"/>
      <c r="S1409" s="247"/>
      <c r="T1409" s="247"/>
      <c r="U1409" s="247"/>
      <c r="V1409" s="247"/>
      <c r="W1409" s="247"/>
      <c r="X1409" s="247"/>
    </row>
    <row r="1410">
      <c r="A1410" s="282">
        <v>46003.0</v>
      </c>
      <c r="B1410" s="275" t="s">
        <v>1352</v>
      </c>
      <c r="C1410" s="275" t="s">
        <v>1366</v>
      </c>
      <c r="D1410" s="276">
        <v>11473.0</v>
      </c>
      <c r="E1410" s="275" t="s">
        <v>1017</v>
      </c>
      <c r="F1410" s="277" t="s">
        <v>1059</v>
      </c>
      <c r="G1410" s="278" t="str">
        <f>IFNA(IF(VLOOKUP(RC_OUT[BLOCK],RC_IN[[BLOCK]:[BLOCK LOC]],2,FALSE)=0,"",VLOOKUP(RC_OUT[BLOCK],RC_IN[[BLOCK]:[BLOCK LOC]],2,FALSE)),"")</f>
        <v/>
      </c>
      <c r="I1410" s="263" t="str">
        <f>IFERROR(AVERAGEIFS(RC_IN[MC],RC_IN[BLOCK],RC_OUT[BLOCK]),"")</f>
        <v/>
      </c>
      <c r="J1410" s="264">
        <f t="shared" si="1"/>
        <v>0</v>
      </c>
      <c r="K1410" s="246"/>
      <c r="L1410" s="246"/>
      <c r="M1410" s="249" t="str">
        <f t="shared" si="2"/>
        <v/>
      </c>
      <c r="N1410" s="266">
        <f t="shared" si="3"/>
        <v>0</v>
      </c>
      <c r="O1410" s="247"/>
      <c r="P1410" s="247"/>
      <c r="Q1410" s="247"/>
      <c r="R1410" s="247"/>
      <c r="S1410" s="247"/>
      <c r="T1410" s="247"/>
      <c r="U1410" s="247"/>
      <c r="V1410" s="247"/>
      <c r="W1410" s="247"/>
      <c r="X1410" s="247"/>
    </row>
    <row r="1411">
      <c r="A1411" s="282">
        <v>46003.0</v>
      </c>
      <c r="B1411" s="275" t="s">
        <v>1352</v>
      </c>
      <c r="C1411" s="275" t="s">
        <v>1369</v>
      </c>
      <c r="D1411" s="276">
        <v>26480.0</v>
      </c>
      <c r="E1411" s="275" t="s">
        <v>1017</v>
      </c>
      <c r="F1411" s="279"/>
      <c r="G1411" s="278" t="str">
        <f>IFNA(IF(VLOOKUP(RC_OUT[BLOCK],RC_IN[[BLOCK]:[BLOCK LOC]],2,FALSE)=0,"",VLOOKUP(RC_OUT[BLOCK],RC_IN[[BLOCK]:[BLOCK LOC]],2,FALSE)),"")</f>
        <v/>
      </c>
      <c r="I1411" s="263" t="str">
        <f>IFERROR(AVERAGEIFS(RC_IN[MC],RC_IN[BLOCK],RC_OUT[BLOCK]),"")</f>
        <v/>
      </c>
      <c r="J1411" s="264">
        <f t="shared" si="1"/>
        <v>0</v>
      </c>
      <c r="K1411" s="246"/>
      <c r="L1411" s="246"/>
      <c r="M1411" s="249" t="str">
        <f t="shared" si="2"/>
        <v/>
      </c>
      <c r="N1411" s="266">
        <f t="shared" si="3"/>
        <v>0</v>
      </c>
      <c r="O1411" s="247"/>
      <c r="P1411" s="247"/>
      <c r="Q1411" s="247"/>
      <c r="R1411" s="247"/>
      <c r="S1411" s="247"/>
      <c r="T1411" s="247"/>
      <c r="U1411" s="247"/>
      <c r="V1411" s="247"/>
      <c r="W1411" s="247"/>
      <c r="X1411" s="247"/>
    </row>
    <row r="1412">
      <c r="A1412" s="282">
        <v>46003.0</v>
      </c>
      <c r="B1412" s="275" t="s">
        <v>1352</v>
      </c>
      <c r="C1412" s="275" t="s">
        <v>1363</v>
      </c>
      <c r="D1412" s="276">
        <v>3558.0</v>
      </c>
      <c r="E1412" s="275" t="s">
        <v>1017</v>
      </c>
      <c r="F1412" s="277" t="s">
        <v>1059</v>
      </c>
      <c r="G1412" s="278" t="str">
        <f>IFNA(IF(VLOOKUP(RC_OUT[BLOCK],RC_IN[[BLOCK]:[BLOCK LOC]],2,FALSE)=0,"",VLOOKUP(RC_OUT[BLOCK],RC_IN[[BLOCK]:[BLOCK LOC]],2,FALSE)),"")</f>
        <v/>
      </c>
      <c r="I1412" s="263" t="str">
        <f>IFERROR(AVERAGEIFS(RC_IN[MC],RC_IN[BLOCK],RC_OUT[BLOCK]),"")</f>
        <v/>
      </c>
      <c r="J1412" s="264">
        <f t="shared" si="1"/>
        <v>0</v>
      </c>
      <c r="K1412" s="246"/>
      <c r="L1412" s="246"/>
      <c r="M1412" s="249" t="str">
        <f t="shared" si="2"/>
        <v/>
      </c>
      <c r="N1412" s="266">
        <f t="shared" si="3"/>
        <v>0</v>
      </c>
      <c r="O1412" s="247"/>
      <c r="P1412" s="247"/>
      <c r="Q1412" s="247"/>
      <c r="R1412" s="247"/>
      <c r="S1412" s="247"/>
      <c r="T1412" s="247"/>
      <c r="U1412" s="247"/>
      <c r="V1412" s="247"/>
      <c r="W1412" s="247"/>
      <c r="X1412" s="247"/>
    </row>
    <row r="1413">
      <c r="A1413" s="282">
        <v>46003.0</v>
      </c>
      <c r="B1413" s="275" t="s">
        <v>1352</v>
      </c>
      <c r="C1413" s="275" t="s">
        <v>1370</v>
      </c>
      <c r="D1413" s="276">
        <v>14390.0</v>
      </c>
      <c r="E1413" s="275" t="s">
        <v>1017</v>
      </c>
      <c r="F1413" s="279"/>
      <c r="G1413" s="278" t="str">
        <f>IFNA(IF(VLOOKUP(RC_OUT[BLOCK],RC_IN[[BLOCK]:[BLOCK LOC]],2,FALSE)=0,"",VLOOKUP(RC_OUT[BLOCK],RC_IN[[BLOCK]:[BLOCK LOC]],2,FALSE)),"")</f>
        <v/>
      </c>
      <c r="I1413" s="263" t="str">
        <f>IFERROR(AVERAGEIFS(RC_IN[MC],RC_IN[BLOCK],RC_OUT[BLOCK]),"")</f>
        <v/>
      </c>
      <c r="J1413" s="264">
        <f t="shared" si="1"/>
        <v>0</v>
      </c>
      <c r="K1413" s="246"/>
      <c r="L1413" s="246"/>
      <c r="M1413" s="249" t="str">
        <f t="shared" si="2"/>
        <v/>
      </c>
      <c r="N1413" s="266">
        <f t="shared" si="3"/>
        <v>0</v>
      </c>
      <c r="O1413" s="247"/>
      <c r="P1413" s="247"/>
      <c r="Q1413" s="247"/>
      <c r="R1413" s="247"/>
      <c r="S1413" s="247"/>
      <c r="T1413" s="247"/>
      <c r="U1413" s="247"/>
      <c r="V1413" s="247"/>
      <c r="W1413" s="247"/>
      <c r="X1413" s="247"/>
    </row>
    <row r="1414">
      <c r="A1414" s="282">
        <v>46003.0</v>
      </c>
      <c r="B1414" s="275" t="s">
        <v>1352</v>
      </c>
      <c r="C1414" s="275" t="s">
        <v>1371</v>
      </c>
      <c r="D1414" s="276">
        <v>232.0</v>
      </c>
      <c r="E1414" s="275" t="s">
        <v>1017</v>
      </c>
      <c r="F1414" s="277" t="s">
        <v>1059</v>
      </c>
      <c r="G1414" s="278" t="str">
        <f>IFNA(IF(VLOOKUP(RC_OUT[BLOCK],RC_IN[[BLOCK]:[BLOCK LOC]],2,FALSE)=0,"",VLOOKUP(RC_OUT[BLOCK],RC_IN[[BLOCK]:[BLOCK LOC]],2,FALSE)),"")</f>
        <v/>
      </c>
      <c r="I1414" s="263" t="str">
        <f>IFERROR(AVERAGEIFS(RC_IN[MC],RC_IN[BLOCK],RC_OUT[BLOCK]),"")</f>
        <v/>
      </c>
      <c r="J1414" s="264">
        <f t="shared" si="1"/>
        <v>0</v>
      </c>
      <c r="K1414" s="246"/>
      <c r="L1414" s="246"/>
      <c r="M1414" s="249" t="str">
        <f t="shared" si="2"/>
        <v/>
      </c>
      <c r="N1414" s="266">
        <f t="shared" si="3"/>
        <v>0</v>
      </c>
      <c r="O1414" s="247"/>
      <c r="P1414" s="247"/>
      <c r="Q1414" s="247"/>
      <c r="R1414" s="247"/>
      <c r="S1414" s="247"/>
      <c r="T1414" s="247"/>
      <c r="U1414" s="247"/>
      <c r="V1414" s="247"/>
      <c r="W1414" s="247"/>
      <c r="X1414" s="247"/>
    </row>
    <row r="1415">
      <c r="A1415" s="274"/>
      <c r="B1415" s="274"/>
      <c r="C1415" s="274"/>
      <c r="D1415" s="283"/>
      <c r="E1415" s="274"/>
      <c r="F1415" s="279"/>
      <c r="G1415" s="278" t="str">
        <f>IFNA(IF(VLOOKUP(RC_OUT[BLOCK],RC_IN[[BLOCK]:[BLOCK LOC]],2,FALSE)=0,"",VLOOKUP(RC_OUT[BLOCK],RC_IN[[BLOCK]:[BLOCK LOC]],2,FALSE)),"")</f>
        <v/>
      </c>
      <c r="I1415" s="263" t="str">
        <f>IFERROR(AVERAGEIFS(RC_IN[MC],RC_IN[BLOCK],RC_OUT[BLOCK]),"")</f>
        <v/>
      </c>
      <c r="J1415" s="264">
        <f t="shared" si="1"/>
        <v>0</v>
      </c>
      <c r="K1415" s="246"/>
      <c r="L1415" s="246"/>
      <c r="M1415" s="249" t="str">
        <f t="shared" si="2"/>
        <v/>
      </c>
      <c r="N1415" s="266">
        <f t="shared" si="3"/>
        <v>0</v>
      </c>
      <c r="O1415" s="247"/>
      <c r="P1415" s="247"/>
      <c r="Q1415" s="247"/>
      <c r="R1415" s="247"/>
      <c r="S1415" s="247"/>
      <c r="T1415" s="247"/>
      <c r="U1415" s="247"/>
      <c r="V1415" s="247"/>
      <c r="W1415" s="247"/>
      <c r="X1415" s="247"/>
    </row>
    <row r="1416">
      <c r="A1416" s="282">
        <v>46004.0</v>
      </c>
      <c r="B1416" s="275" t="s">
        <v>1352</v>
      </c>
      <c r="C1416" s="275" t="s">
        <v>1351</v>
      </c>
      <c r="D1416" s="276">
        <v>3307.0</v>
      </c>
      <c r="E1416" s="275" t="s">
        <v>1017</v>
      </c>
      <c r="F1416" s="279"/>
      <c r="G1416" s="278" t="str">
        <f>IFNA(IF(VLOOKUP(RC_OUT[BLOCK],RC_IN[[BLOCK]:[BLOCK LOC]],2,FALSE)=0,"",VLOOKUP(RC_OUT[BLOCK],RC_IN[[BLOCK]:[BLOCK LOC]],2,FALSE)),"")</f>
        <v/>
      </c>
      <c r="I1416" s="263" t="str">
        <f>IFERROR(AVERAGEIFS(RC_IN[MC],RC_IN[BLOCK],RC_OUT[BLOCK]),"")</f>
        <v/>
      </c>
      <c r="J1416" s="264">
        <f t="shared" si="1"/>
        <v>0</v>
      </c>
      <c r="K1416" s="246"/>
      <c r="L1416" s="246"/>
      <c r="M1416" s="249" t="str">
        <f t="shared" si="2"/>
        <v/>
      </c>
      <c r="N1416" s="266">
        <f t="shared" si="3"/>
        <v>0</v>
      </c>
      <c r="O1416" s="247"/>
      <c r="P1416" s="247"/>
      <c r="Q1416" s="247"/>
      <c r="R1416" s="247"/>
      <c r="S1416" s="247"/>
      <c r="T1416" s="247"/>
      <c r="U1416" s="247"/>
      <c r="V1416" s="247"/>
      <c r="W1416" s="247"/>
      <c r="X1416" s="247"/>
    </row>
    <row r="1417">
      <c r="A1417" s="282">
        <v>46004.0</v>
      </c>
      <c r="B1417" s="275" t="s">
        <v>1352</v>
      </c>
      <c r="C1417" s="275" t="s">
        <v>1344</v>
      </c>
      <c r="D1417" s="276">
        <v>3708.0</v>
      </c>
      <c r="E1417" s="275" t="s">
        <v>1017</v>
      </c>
      <c r="F1417" s="279"/>
      <c r="G1417" s="278" t="str">
        <f>IFNA(IF(VLOOKUP(RC_OUT[BLOCK],RC_IN[[BLOCK]:[BLOCK LOC]],2,FALSE)=0,"",VLOOKUP(RC_OUT[BLOCK],RC_IN[[BLOCK]:[BLOCK LOC]],2,FALSE)),"")</f>
        <v/>
      </c>
      <c r="I1417" s="263" t="str">
        <f>IFERROR(AVERAGEIFS(RC_IN[MC],RC_IN[BLOCK],RC_OUT[BLOCK]),"")</f>
        <v/>
      </c>
      <c r="J1417" s="264">
        <f t="shared" si="1"/>
        <v>0</v>
      </c>
      <c r="K1417" s="246"/>
      <c r="L1417" s="246"/>
      <c r="M1417" s="249" t="str">
        <f t="shared" si="2"/>
        <v/>
      </c>
      <c r="N1417" s="266">
        <f t="shared" si="3"/>
        <v>0</v>
      </c>
      <c r="O1417" s="247"/>
      <c r="P1417" s="247"/>
      <c r="Q1417" s="247"/>
      <c r="R1417" s="247"/>
      <c r="S1417" s="247"/>
      <c r="T1417" s="247"/>
      <c r="U1417" s="247"/>
      <c r="V1417" s="247"/>
      <c r="W1417" s="247"/>
      <c r="X1417" s="247"/>
    </row>
    <row r="1418">
      <c r="A1418" s="282">
        <v>46004.0</v>
      </c>
      <c r="B1418" s="275" t="s">
        <v>1352</v>
      </c>
      <c r="C1418" s="275" t="s">
        <v>1369</v>
      </c>
      <c r="D1418" s="276">
        <v>9953.0</v>
      </c>
      <c r="E1418" s="275" t="s">
        <v>1017</v>
      </c>
      <c r="F1418" s="279"/>
      <c r="G1418" s="278" t="str">
        <f>IFNA(IF(VLOOKUP(RC_OUT[BLOCK],RC_IN[[BLOCK]:[BLOCK LOC]],2,FALSE)=0,"",VLOOKUP(RC_OUT[BLOCK],RC_IN[[BLOCK]:[BLOCK LOC]],2,FALSE)),"")</f>
        <v/>
      </c>
      <c r="I1418" s="263" t="str">
        <f>IFERROR(AVERAGEIFS(RC_IN[MC],RC_IN[BLOCK],RC_OUT[BLOCK]),"")</f>
        <v/>
      </c>
      <c r="J1418" s="264">
        <f t="shared" si="1"/>
        <v>0</v>
      </c>
      <c r="K1418" s="246"/>
      <c r="L1418" s="246"/>
      <c r="M1418" s="249" t="str">
        <f t="shared" si="2"/>
        <v/>
      </c>
      <c r="N1418" s="266">
        <f t="shared" si="3"/>
        <v>0</v>
      </c>
      <c r="O1418" s="247"/>
      <c r="P1418" s="247"/>
      <c r="Q1418" s="247"/>
      <c r="R1418" s="247"/>
      <c r="S1418" s="247"/>
      <c r="T1418" s="247"/>
      <c r="U1418" s="247"/>
      <c r="V1418" s="247"/>
      <c r="W1418" s="247"/>
      <c r="X1418" s="247"/>
    </row>
    <row r="1419">
      <c r="A1419" s="282">
        <v>46004.0</v>
      </c>
      <c r="B1419" s="275" t="s">
        <v>1352</v>
      </c>
      <c r="C1419" s="275" t="s">
        <v>1370</v>
      </c>
      <c r="D1419" s="276">
        <v>8229.0</v>
      </c>
      <c r="E1419" s="275" t="s">
        <v>1017</v>
      </c>
      <c r="F1419" s="279"/>
      <c r="G1419" s="278" t="str">
        <f>IFNA(IF(VLOOKUP(RC_OUT[BLOCK],RC_IN[[BLOCK]:[BLOCK LOC]],2,FALSE)=0,"",VLOOKUP(RC_OUT[BLOCK],RC_IN[[BLOCK]:[BLOCK LOC]],2,FALSE)),"")</f>
        <v/>
      </c>
      <c r="I1419" s="263" t="str">
        <f>IFERROR(AVERAGEIFS(RC_IN[MC],RC_IN[BLOCK],RC_OUT[BLOCK]),"")</f>
        <v/>
      </c>
      <c r="J1419" s="264">
        <f t="shared" si="1"/>
        <v>0</v>
      </c>
      <c r="K1419" s="246"/>
      <c r="L1419" s="246"/>
      <c r="M1419" s="249" t="str">
        <f t="shared" si="2"/>
        <v/>
      </c>
      <c r="N1419" s="266">
        <f t="shared" si="3"/>
        <v>0</v>
      </c>
      <c r="O1419" s="247"/>
      <c r="P1419" s="247"/>
      <c r="Q1419" s="247"/>
      <c r="R1419" s="247"/>
      <c r="S1419" s="247"/>
      <c r="T1419" s="247"/>
      <c r="U1419" s="247"/>
      <c r="V1419" s="247"/>
      <c r="W1419" s="247"/>
      <c r="X1419" s="247"/>
    </row>
    <row r="1420">
      <c r="A1420" s="274"/>
      <c r="B1420" s="274"/>
      <c r="C1420" s="274"/>
      <c r="D1420" s="283"/>
      <c r="E1420" s="274"/>
      <c r="F1420" s="279"/>
      <c r="G1420" s="278" t="str">
        <f>IFNA(IF(VLOOKUP(RC_OUT[BLOCK],RC_IN[[BLOCK]:[BLOCK LOC]],2,FALSE)=0,"",VLOOKUP(RC_OUT[BLOCK],RC_IN[[BLOCK]:[BLOCK LOC]],2,FALSE)),"")</f>
        <v/>
      </c>
      <c r="I1420" s="263" t="str">
        <f>IFERROR(AVERAGEIFS(RC_IN[MC],RC_IN[BLOCK],RC_OUT[BLOCK]),"")</f>
        <v/>
      </c>
      <c r="J1420" s="264">
        <f t="shared" si="1"/>
        <v>0</v>
      </c>
      <c r="K1420" s="246"/>
      <c r="L1420" s="246"/>
      <c r="M1420" s="249" t="str">
        <f t="shared" si="2"/>
        <v/>
      </c>
      <c r="N1420" s="266">
        <f t="shared" si="3"/>
        <v>0</v>
      </c>
      <c r="O1420" s="247"/>
      <c r="P1420" s="247"/>
      <c r="Q1420" s="247"/>
      <c r="R1420" s="247"/>
      <c r="S1420" s="247"/>
      <c r="T1420" s="247"/>
      <c r="U1420" s="247"/>
      <c r="V1420" s="247"/>
      <c r="W1420" s="247"/>
      <c r="X1420" s="247"/>
    </row>
    <row r="1421">
      <c r="A1421" s="282">
        <v>46006.0</v>
      </c>
      <c r="B1421" s="275" t="s">
        <v>1352</v>
      </c>
      <c r="C1421" s="275" t="s">
        <v>1351</v>
      </c>
      <c r="D1421" s="276">
        <v>22393.0</v>
      </c>
      <c r="E1421" s="275" t="s">
        <v>1017</v>
      </c>
      <c r="F1421" s="279"/>
      <c r="G1421" s="278" t="str">
        <f>IFNA(IF(VLOOKUP(RC_OUT[BLOCK],RC_IN[[BLOCK]:[BLOCK LOC]],2,FALSE)=0,"",VLOOKUP(RC_OUT[BLOCK],RC_IN[[BLOCK]:[BLOCK LOC]],2,FALSE)),"")</f>
        <v/>
      </c>
      <c r="I1421" s="263" t="str">
        <f>IFERROR(AVERAGEIFS(RC_IN[MC],RC_IN[BLOCK],RC_OUT[BLOCK]),"")</f>
        <v/>
      </c>
      <c r="J1421" s="264">
        <f t="shared" si="1"/>
        <v>0</v>
      </c>
      <c r="K1421" s="246"/>
      <c r="L1421" s="246"/>
      <c r="M1421" s="249" t="str">
        <f t="shared" si="2"/>
        <v/>
      </c>
      <c r="N1421" s="266">
        <f t="shared" si="3"/>
        <v>0</v>
      </c>
      <c r="O1421" s="247"/>
      <c r="P1421" s="247"/>
      <c r="Q1421" s="247"/>
      <c r="R1421" s="247"/>
      <c r="S1421" s="247"/>
      <c r="T1421" s="247"/>
      <c r="U1421" s="247"/>
      <c r="V1421" s="247"/>
      <c r="W1421" s="247"/>
      <c r="X1421" s="247"/>
    </row>
    <row r="1422">
      <c r="A1422" s="282">
        <v>46006.0</v>
      </c>
      <c r="B1422" s="275" t="s">
        <v>1352</v>
      </c>
      <c r="C1422" s="275" t="s">
        <v>1344</v>
      </c>
      <c r="D1422" s="276">
        <v>7231.0</v>
      </c>
      <c r="E1422" s="275" t="s">
        <v>1017</v>
      </c>
      <c r="F1422" s="279"/>
      <c r="G1422" s="278" t="str">
        <f>IFNA(IF(VLOOKUP(RC_OUT[BLOCK],RC_IN[[BLOCK]:[BLOCK LOC]],2,FALSE)=0,"",VLOOKUP(RC_OUT[BLOCK],RC_IN[[BLOCK]:[BLOCK LOC]],2,FALSE)),"")</f>
        <v/>
      </c>
      <c r="I1422" s="263" t="str">
        <f>IFERROR(AVERAGEIFS(RC_IN[MC],RC_IN[BLOCK],RC_OUT[BLOCK]),"")</f>
        <v/>
      </c>
      <c r="J1422" s="264">
        <f t="shared" si="1"/>
        <v>0</v>
      </c>
      <c r="K1422" s="246"/>
      <c r="L1422" s="246"/>
      <c r="M1422" s="249" t="str">
        <f t="shared" si="2"/>
        <v/>
      </c>
      <c r="N1422" s="266">
        <f t="shared" si="3"/>
        <v>0</v>
      </c>
      <c r="O1422" s="247"/>
      <c r="P1422" s="247"/>
      <c r="Q1422" s="247"/>
      <c r="R1422" s="247"/>
      <c r="S1422" s="247"/>
      <c r="T1422" s="247"/>
      <c r="U1422" s="247"/>
      <c r="V1422" s="247"/>
      <c r="W1422" s="247"/>
      <c r="X1422" s="247"/>
    </row>
    <row r="1423">
      <c r="A1423" s="282">
        <v>46006.0</v>
      </c>
      <c r="B1423" s="275" t="s">
        <v>1352</v>
      </c>
      <c r="C1423" s="275" t="s">
        <v>1369</v>
      </c>
      <c r="D1423" s="276">
        <v>4667.0</v>
      </c>
      <c r="E1423" s="275" t="s">
        <v>1017</v>
      </c>
      <c r="F1423" s="277" t="s">
        <v>1059</v>
      </c>
      <c r="G1423" s="278" t="str">
        <f>IFNA(IF(VLOOKUP(RC_OUT[BLOCK],RC_IN[[BLOCK]:[BLOCK LOC]],2,FALSE)=0,"",VLOOKUP(RC_OUT[BLOCK],RC_IN[[BLOCK]:[BLOCK LOC]],2,FALSE)),"")</f>
        <v/>
      </c>
      <c r="I1423" s="263" t="str">
        <f>IFERROR(AVERAGEIFS(RC_IN[MC],RC_IN[BLOCK],RC_OUT[BLOCK]),"")</f>
        <v/>
      </c>
      <c r="J1423" s="264">
        <f t="shared" si="1"/>
        <v>0</v>
      </c>
      <c r="K1423" s="246"/>
      <c r="L1423" s="246"/>
      <c r="M1423" s="249" t="str">
        <f t="shared" si="2"/>
        <v/>
      </c>
      <c r="N1423" s="266">
        <f t="shared" si="3"/>
        <v>0</v>
      </c>
      <c r="O1423" s="247"/>
      <c r="P1423" s="247"/>
      <c r="Q1423" s="247"/>
      <c r="R1423" s="247"/>
      <c r="S1423" s="247"/>
      <c r="T1423" s="247"/>
      <c r="U1423" s="247"/>
      <c r="V1423" s="247"/>
      <c r="W1423" s="247"/>
      <c r="X1423" s="247"/>
    </row>
    <row r="1424">
      <c r="A1424" s="282">
        <v>46006.0</v>
      </c>
      <c r="B1424" s="275" t="s">
        <v>1352</v>
      </c>
      <c r="C1424" s="275" t="s">
        <v>1370</v>
      </c>
      <c r="D1424" s="276">
        <v>16573.0</v>
      </c>
      <c r="E1424" s="275" t="s">
        <v>1017</v>
      </c>
      <c r="F1424" s="277" t="s">
        <v>1059</v>
      </c>
      <c r="G1424" s="278" t="str">
        <f>IFNA(IF(VLOOKUP(RC_OUT[BLOCK],RC_IN[[BLOCK]:[BLOCK LOC]],2,FALSE)=0,"",VLOOKUP(RC_OUT[BLOCK],RC_IN[[BLOCK]:[BLOCK LOC]],2,FALSE)),"")</f>
        <v/>
      </c>
      <c r="I1424" s="263" t="str">
        <f>IFERROR(AVERAGEIFS(RC_IN[MC],RC_IN[BLOCK],RC_OUT[BLOCK]),"")</f>
        <v/>
      </c>
      <c r="J1424" s="264">
        <f t="shared" si="1"/>
        <v>0</v>
      </c>
      <c r="K1424" s="246"/>
      <c r="L1424" s="246"/>
      <c r="M1424" s="249" t="str">
        <f t="shared" si="2"/>
        <v/>
      </c>
      <c r="N1424" s="266">
        <f t="shared" si="3"/>
        <v>0</v>
      </c>
      <c r="O1424" s="247"/>
      <c r="P1424" s="247"/>
      <c r="Q1424" s="247"/>
      <c r="R1424" s="247"/>
      <c r="S1424" s="247"/>
      <c r="T1424" s="247"/>
      <c r="U1424" s="247"/>
      <c r="V1424" s="247"/>
      <c r="W1424" s="247"/>
      <c r="X1424" s="247"/>
    </row>
    <row r="1425">
      <c r="A1425" s="274"/>
      <c r="B1425" s="274"/>
      <c r="C1425" s="274"/>
      <c r="D1425" s="283"/>
      <c r="E1425" s="274"/>
      <c r="F1425" s="279"/>
      <c r="G1425" s="278" t="str">
        <f>IFNA(IF(VLOOKUP(RC_OUT[BLOCK],RC_IN[[BLOCK]:[BLOCK LOC]],2,FALSE)=0,"",VLOOKUP(RC_OUT[BLOCK],RC_IN[[BLOCK]:[BLOCK LOC]],2,FALSE)),"")</f>
        <v/>
      </c>
      <c r="I1425" s="263" t="str">
        <f>IFERROR(AVERAGEIFS(RC_IN[MC],RC_IN[BLOCK],RC_OUT[BLOCK]),"")</f>
        <v/>
      </c>
      <c r="J1425" s="264">
        <f t="shared" si="1"/>
        <v>0</v>
      </c>
      <c r="K1425" s="246"/>
      <c r="L1425" s="246"/>
      <c r="M1425" s="249" t="str">
        <f t="shared" si="2"/>
        <v/>
      </c>
      <c r="N1425" s="266">
        <f t="shared" si="3"/>
        <v>0</v>
      </c>
      <c r="O1425" s="247"/>
      <c r="P1425" s="247"/>
      <c r="Q1425" s="247"/>
      <c r="R1425" s="247"/>
      <c r="S1425" s="247"/>
      <c r="T1425" s="247"/>
      <c r="U1425" s="247"/>
      <c r="V1425" s="247"/>
      <c r="W1425" s="247"/>
      <c r="X1425" s="247"/>
    </row>
    <row r="1426">
      <c r="A1426" s="282">
        <v>46007.0</v>
      </c>
      <c r="B1426" s="275" t="s">
        <v>1352</v>
      </c>
      <c r="C1426" s="275" t="s">
        <v>1351</v>
      </c>
      <c r="D1426" s="276">
        <v>13344.0</v>
      </c>
      <c r="E1426" s="275" t="s">
        <v>1017</v>
      </c>
      <c r="F1426" s="279"/>
      <c r="G1426" s="278" t="str">
        <f>IFNA(IF(VLOOKUP(RC_OUT[BLOCK],RC_IN[[BLOCK]:[BLOCK LOC]],2,FALSE)=0,"",VLOOKUP(RC_OUT[BLOCK],RC_IN[[BLOCK]:[BLOCK LOC]],2,FALSE)),"")</f>
        <v/>
      </c>
      <c r="I1426" s="263" t="str">
        <f>IFERROR(AVERAGEIFS(RC_IN[MC],RC_IN[BLOCK],RC_OUT[BLOCK]),"")</f>
        <v/>
      </c>
      <c r="J1426" s="264">
        <f t="shared" si="1"/>
        <v>0</v>
      </c>
      <c r="K1426" s="246"/>
      <c r="L1426" s="246"/>
      <c r="M1426" s="249" t="str">
        <f t="shared" si="2"/>
        <v/>
      </c>
      <c r="N1426" s="266">
        <f t="shared" si="3"/>
        <v>0</v>
      </c>
      <c r="O1426" s="247"/>
      <c r="P1426" s="247"/>
      <c r="Q1426" s="247"/>
      <c r="R1426" s="247"/>
      <c r="S1426" s="247"/>
      <c r="T1426" s="247"/>
      <c r="U1426" s="247"/>
      <c r="V1426" s="247"/>
      <c r="W1426" s="247"/>
      <c r="X1426" s="247"/>
    </row>
    <row r="1427">
      <c r="A1427" s="282">
        <v>46007.0</v>
      </c>
      <c r="B1427" s="275" t="s">
        <v>1352</v>
      </c>
      <c r="C1427" s="275" t="s">
        <v>1344</v>
      </c>
      <c r="D1427" s="276">
        <v>1874.0</v>
      </c>
      <c r="E1427" s="275" t="s">
        <v>1017</v>
      </c>
      <c r="F1427" s="277" t="s">
        <v>1059</v>
      </c>
      <c r="G1427" s="278" t="str">
        <f>IFNA(IF(VLOOKUP(RC_OUT[BLOCK],RC_IN[[BLOCK]:[BLOCK LOC]],2,FALSE)=0,"",VLOOKUP(RC_OUT[BLOCK],RC_IN[[BLOCK]:[BLOCK LOC]],2,FALSE)),"")</f>
        <v/>
      </c>
      <c r="I1427" s="263" t="str">
        <f>IFERROR(AVERAGEIFS(RC_IN[MC],RC_IN[BLOCK],RC_OUT[BLOCK]),"")</f>
        <v/>
      </c>
      <c r="J1427" s="264">
        <f t="shared" si="1"/>
        <v>0</v>
      </c>
      <c r="K1427" s="246"/>
      <c r="L1427" s="246"/>
      <c r="M1427" s="249" t="str">
        <f t="shared" si="2"/>
        <v/>
      </c>
      <c r="N1427" s="266">
        <f t="shared" si="3"/>
        <v>0</v>
      </c>
      <c r="O1427" s="247"/>
      <c r="P1427" s="247"/>
      <c r="Q1427" s="247"/>
      <c r="R1427" s="247"/>
      <c r="S1427" s="247"/>
      <c r="T1427" s="247"/>
      <c r="U1427" s="247"/>
      <c r="V1427" s="247"/>
      <c r="W1427" s="247"/>
      <c r="X1427" s="247"/>
    </row>
    <row r="1428">
      <c r="A1428" s="282">
        <v>46007.0</v>
      </c>
      <c r="B1428" s="275" t="s">
        <v>1352</v>
      </c>
      <c r="C1428" s="275" t="s">
        <v>280</v>
      </c>
      <c r="D1428" s="276">
        <v>7249.0</v>
      </c>
      <c r="E1428" s="275" t="s">
        <v>1017</v>
      </c>
      <c r="F1428" s="279"/>
      <c r="G1428" s="278" t="str">
        <f>IFNA(IF(VLOOKUP(RC_OUT[BLOCK],RC_IN[[BLOCK]:[BLOCK LOC]],2,FALSE)=0,"",VLOOKUP(RC_OUT[BLOCK],RC_IN[[BLOCK]:[BLOCK LOC]],2,FALSE)),"")</f>
        <v>D-12D</v>
      </c>
      <c r="I1428" s="263">
        <f>IFERROR(AVERAGEIFS(RC_IN[MC],RC_IN[BLOCK],RC_OUT[BLOCK]),"")</f>
        <v>12.349</v>
      </c>
      <c r="J1428" s="264">
        <f t="shared" si="1"/>
        <v>89517.901</v>
      </c>
      <c r="K1428" s="246"/>
      <c r="L1428" s="246"/>
      <c r="M1428" s="249" t="str">
        <f t="shared" si="2"/>
        <v/>
      </c>
      <c r="N1428" s="266">
        <f t="shared" si="3"/>
        <v>0</v>
      </c>
      <c r="O1428" s="247"/>
      <c r="P1428" s="247"/>
      <c r="Q1428" s="247"/>
      <c r="R1428" s="247"/>
      <c r="S1428" s="247"/>
      <c r="T1428" s="247"/>
      <c r="U1428" s="247"/>
      <c r="V1428" s="247"/>
      <c r="W1428" s="247"/>
      <c r="X1428" s="247"/>
    </row>
    <row r="1429">
      <c r="A1429" s="282">
        <v>46007.0</v>
      </c>
      <c r="B1429" s="275" t="s">
        <v>1352</v>
      </c>
      <c r="C1429" s="275" t="s">
        <v>1358</v>
      </c>
      <c r="D1429" s="276">
        <v>4026.0</v>
      </c>
      <c r="E1429" s="275" t="s">
        <v>1017</v>
      </c>
      <c r="F1429" s="279"/>
      <c r="G1429" s="278" t="str">
        <f>IFNA(IF(VLOOKUP(RC_OUT[BLOCK],RC_IN[[BLOCK]:[BLOCK LOC]],2,FALSE)=0,"",VLOOKUP(RC_OUT[BLOCK],RC_IN[[BLOCK]:[BLOCK LOC]],2,FALSE)),"")</f>
        <v/>
      </c>
      <c r="I1429" s="263" t="str">
        <f>IFERROR(AVERAGEIFS(RC_IN[MC],RC_IN[BLOCK],RC_OUT[BLOCK]),"")</f>
        <v/>
      </c>
      <c r="J1429" s="264">
        <f t="shared" si="1"/>
        <v>0</v>
      </c>
      <c r="K1429" s="246"/>
      <c r="L1429" s="246"/>
      <c r="M1429" s="249" t="str">
        <f t="shared" si="2"/>
        <v/>
      </c>
      <c r="N1429" s="266">
        <f t="shared" si="3"/>
        <v>0</v>
      </c>
      <c r="O1429" s="247"/>
      <c r="P1429" s="247"/>
      <c r="Q1429" s="247"/>
      <c r="R1429" s="247"/>
      <c r="S1429" s="247"/>
      <c r="T1429" s="247"/>
      <c r="U1429" s="247"/>
      <c r="V1429" s="247"/>
      <c r="W1429" s="247"/>
      <c r="X1429" s="247"/>
    </row>
    <row r="1430">
      <c r="A1430" s="274"/>
      <c r="B1430" s="274"/>
      <c r="C1430" s="274"/>
      <c r="D1430" s="283"/>
      <c r="E1430" s="274"/>
      <c r="F1430" s="279"/>
      <c r="G1430" s="278" t="str">
        <f>IFNA(IF(VLOOKUP(RC_OUT[BLOCK],RC_IN[[BLOCK]:[BLOCK LOC]],2,FALSE)=0,"",VLOOKUP(RC_OUT[BLOCK],RC_IN[[BLOCK]:[BLOCK LOC]],2,FALSE)),"")</f>
        <v/>
      </c>
      <c r="I1430" s="263" t="str">
        <f>IFERROR(AVERAGEIFS(RC_IN[MC],RC_IN[BLOCK],RC_OUT[BLOCK]),"")</f>
        <v/>
      </c>
      <c r="J1430" s="264">
        <f t="shared" si="1"/>
        <v>0</v>
      </c>
      <c r="K1430" s="246"/>
      <c r="L1430" s="246"/>
      <c r="M1430" s="249" t="str">
        <f t="shared" si="2"/>
        <v/>
      </c>
      <c r="N1430" s="266">
        <f t="shared" si="3"/>
        <v>0</v>
      </c>
      <c r="O1430" s="247"/>
      <c r="P1430" s="247"/>
      <c r="Q1430" s="247"/>
      <c r="R1430" s="247"/>
      <c r="S1430" s="247"/>
      <c r="T1430" s="247"/>
      <c r="U1430" s="247"/>
      <c r="V1430" s="247"/>
      <c r="W1430" s="247"/>
      <c r="X1430" s="247"/>
    </row>
    <row r="1431">
      <c r="A1431" s="282">
        <v>46008.0</v>
      </c>
      <c r="B1431" s="275" t="s">
        <v>1352</v>
      </c>
      <c r="C1431" s="275" t="s">
        <v>1351</v>
      </c>
      <c r="D1431" s="276">
        <v>9332.0</v>
      </c>
      <c r="E1431" s="275" t="s">
        <v>1017</v>
      </c>
      <c r="F1431" s="277" t="s">
        <v>1059</v>
      </c>
      <c r="G1431" s="278" t="str">
        <f>IFNA(IF(VLOOKUP(RC_OUT[BLOCK],RC_IN[[BLOCK]:[BLOCK LOC]],2,FALSE)=0,"",VLOOKUP(RC_OUT[BLOCK],RC_IN[[BLOCK]:[BLOCK LOC]],2,FALSE)),"")</f>
        <v/>
      </c>
      <c r="I1431" s="263" t="str">
        <f>IFERROR(AVERAGEIFS(RC_IN[MC],RC_IN[BLOCK],RC_OUT[BLOCK]),"")</f>
        <v/>
      </c>
      <c r="J1431" s="264">
        <f t="shared" si="1"/>
        <v>0</v>
      </c>
      <c r="K1431" s="246"/>
      <c r="L1431" s="246"/>
      <c r="M1431" s="249" t="str">
        <f t="shared" si="2"/>
        <v/>
      </c>
      <c r="N1431" s="266">
        <f t="shared" si="3"/>
        <v>0</v>
      </c>
      <c r="O1431" s="247"/>
      <c r="P1431" s="247"/>
      <c r="Q1431" s="247"/>
      <c r="R1431" s="247"/>
      <c r="S1431" s="247"/>
      <c r="T1431" s="247"/>
      <c r="U1431" s="247"/>
      <c r="V1431" s="247"/>
      <c r="W1431" s="247"/>
      <c r="X1431" s="247"/>
    </row>
    <row r="1432">
      <c r="A1432" s="282">
        <v>46008.0</v>
      </c>
      <c r="B1432" s="275" t="s">
        <v>1352</v>
      </c>
      <c r="C1432" s="275" t="s">
        <v>280</v>
      </c>
      <c r="D1432" s="276">
        <v>7287.0</v>
      </c>
      <c r="E1432" s="275" t="s">
        <v>1017</v>
      </c>
      <c r="F1432" s="279"/>
      <c r="G1432" s="278" t="str">
        <f>IFNA(IF(VLOOKUP(RC_OUT[BLOCK],RC_IN[[BLOCK]:[BLOCK LOC]],2,FALSE)=0,"",VLOOKUP(RC_OUT[BLOCK],RC_IN[[BLOCK]:[BLOCK LOC]],2,FALSE)),"")</f>
        <v>D-12D</v>
      </c>
      <c r="I1432" s="263">
        <f>IFERROR(AVERAGEIFS(RC_IN[MC],RC_IN[BLOCK],RC_OUT[BLOCK]),"")</f>
        <v>12.349</v>
      </c>
      <c r="J1432" s="264">
        <f t="shared" si="1"/>
        <v>89987.163</v>
      </c>
      <c r="K1432" s="246"/>
      <c r="L1432" s="246"/>
      <c r="M1432" s="249" t="str">
        <f t="shared" si="2"/>
        <v/>
      </c>
      <c r="N1432" s="266">
        <f t="shared" si="3"/>
        <v>0</v>
      </c>
      <c r="O1432" s="247"/>
      <c r="P1432" s="247"/>
      <c r="Q1432" s="247"/>
      <c r="R1432" s="247"/>
      <c r="S1432" s="247"/>
      <c r="T1432" s="247"/>
      <c r="U1432" s="247"/>
      <c r="V1432" s="247"/>
      <c r="W1432" s="247"/>
      <c r="X1432" s="247"/>
    </row>
    <row r="1433">
      <c r="A1433" s="282">
        <v>46008.0</v>
      </c>
      <c r="B1433" s="275" t="s">
        <v>1352</v>
      </c>
      <c r="C1433" s="275" t="s">
        <v>1358</v>
      </c>
      <c r="D1433" s="276">
        <v>12546.0</v>
      </c>
      <c r="E1433" s="275" t="s">
        <v>1017</v>
      </c>
      <c r="F1433" s="279"/>
      <c r="G1433" s="278" t="str">
        <f>IFNA(IF(VLOOKUP(RC_OUT[BLOCK],RC_IN[[BLOCK]:[BLOCK LOC]],2,FALSE)=0,"",VLOOKUP(RC_OUT[BLOCK],RC_IN[[BLOCK]:[BLOCK LOC]],2,FALSE)),"")</f>
        <v/>
      </c>
      <c r="I1433" s="263" t="str">
        <f>IFERROR(AVERAGEIFS(RC_IN[MC],RC_IN[BLOCK],RC_OUT[BLOCK]),"")</f>
        <v/>
      </c>
      <c r="J1433" s="264">
        <f t="shared" si="1"/>
        <v>0</v>
      </c>
      <c r="K1433" s="246"/>
      <c r="L1433" s="246"/>
      <c r="M1433" s="249" t="str">
        <f t="shared" si="2"/>
        <v/>
      </c>
      <c r="N1433" s="266">
        <f t="shared" si="3"/>
        <v>0</v>
      </c>
      <c r="O1433" s="247"/>
      <c r="P1433" s="247"/>
      <c r="Q1433" s="247"/>
      <c r="R1433" s="247"/>
      <c r="S1433" s="247"/>
      <c r="T1433" s="247"/>
      <c r="U1433" s="247"/>
      <c r="V1433" s="247"/>
      <c r="W1433" s="247"/>
      <c r="X1433" s="247"/>
    </row>
    <row r="1434">
      <c r="A1434" s="282">
        <v>46008.0</v>
      </c>
      <c r="B1434" s="275" t="s">
        <v>1352</v>
      </c>
      <c r="C1434" s="275" t="s">
        <v>1372</v>
      </c>
      <c r="D1434" s="276">
        <v>8700.0</v>
      </c>
      <c r="E1434" s="275" t="s">
        <v>1017</v>
      </c>
      <c r="F1434" s="279"/>
      <c r="G1434" s="278" t="str">
        <f>IFNA(IF(VLOOKUP(RC_OUT[BLOCK],RC_IN[[BLOCK]:[BLOCK LOC]],2,FALSE)=0,"",VLOOKUP(RC_OUT[BLOCK],RC_IN[[BLOCK]:[BLOCK LOC]],2,FALSE)),"")</f>
        <v/>
      </c>
      <c r="I1434" s="263" t="str">
        <f>IFERROR(AVERAGEIFS(RC_IN[MC],RC_IN[BLOCK],RC_OUT[BLOCK]),"")</f>
        <v/>
      </c>
      <c r="J1434" s="264">
        <f t="shared" si="1"/>
        <v>0</v>
      </c>
      <c r="K1434" s="246"/>
      <c r="L1434" s="246"/>
      <c r="M1434" s="249" t="str">
        <f t="shared" si="2"/>
        <v/>
      </c>
      <c r="N1434" s="266">
        <f t="shared" si="3"/>
        <v>0</v>
      </c>
      <c r="O1434" s="247"/>
      <c r="P1434" s="247"/>
      <c r="Q1434" s="247"/>
      <c r="R1434" s="247"/>
      <c r="S1434" s="247"/>
      <c r="T1434" s="247"/>
      <c r="U1434" s="247"/>
      <c r="V1434" s="247"/>
      <c r="W1434" s="247"/>
      <c r="X1434" s="247"/>
    </row>
    <row r="1435">
      <c r="A1435" s="274"/>
      <c r="B1435" s="274"/>
      <c r="C1435" s="274"/>
      <c r="D1435" s="283"/>
      <c r="E1435" s="274"/>
      <c r="F1435" s="279"/>
      <c r="G1435" s="278" t="str">
        <f>IFNA(IF(VLOOKUP(RC_OUT[BLOCK],RC_IN[[BLOCK]:[BLOCK LOC]],2,FALSE)=0,"",VLOOKUP(RC_OUT[BLOCK],RC_IN[[BLOCK]:[BLOCK LOC]],2,FALSE)),"")</f>
        <v/>
      </c>
      <c r="I1435" s="263" t="str">
        <f>IFERROR(AVERAGEIFS(RC_IN[MC],RC_IN[BLOCK],RC_OUT[BLOCK]),"")</f>
        <v/>
      </c>
      <c r="J1435" s="264">
        <f t="shared" si="1"/>
        <v>0</v>
      </c>
      <c r="K1435" s="246"/>
      <c r="L1435" s="246"/>
      <c r="M1435" s="249" t="str">
        <f t="shared" si="2"/>
        <v/>
      </c>
      <c r="N1435" s="266">
        <f t="shared" si="3"/>
        <v>0</v>
      </c>
      <c r="O1435" s="247"/>
      <c r="P1435" s="247"/>
      <c r="Q1435" s="247"/>
      <c r="R1435" s="247"/>
      <c r="S1435" s="247"/>
      <c r="T1435" s="247"/>
      <c r="U1435" s="247"/>
      <c r="V1435" s="247"/>
      <c r="W1435" s="247"/>
      <c r="X1435" s="247"/>
    </row>
    <row r="1436">
      <c r="A1436" s="282">
        <v>46009.0</v>
      </c>
      <c r="B1436" s="275" t="s">
        <v>1352</v>
      </c>
      <c r="C1436" s="275" t="s">
        <v>280</v>
      </c>
      <c r="D1436" s="276">
        <v>6193.0</v>
      </c>
      <c r="E1436" s="275" t="s">
        <v>1017</v>
      </c>
      <c r="F1436" s="279"/>
      <c r="G1436" s="278" t="str">
        <f>IFNA(IF(VLOOKUP(RC_OUT[BLOCK],RC_IN[[BLOCK]:[BLOCK LOC]],2,FALSE)=0,"",VLOOKUP(RC_OUT[BLOCK],RC_IN[[BLOCK]:[BLOCK LOC]],2,FALSE)),"")</f>
        <v>D-12D</v>
      </c>
      <c r="I1436" s="263">
        <f>IFERROR(AVERAGEIFS(RC_IN[MC],RC_IN[BLOCK],RC_OUT[BLOCK]),"")</f>
        <v>12.349</v>
      </c>
      <c r="J1436" s="264">
        <f t="shared" si="1"/>
        <v>76477.357</v>
      </c>
      <c r="K1436" s="246"/>
      <c r="L1436" s="246"/>
      <c r="M1436" s="249" t="str">
        <f t="shared" si="2"/>
        <v/>
      </c>
      <c r="N1436" s="266">
        <f t="shared" si="3"/>
        <v>0</v>
      </c>
      <c r="O1436" s="247"/>
      <c r="P1436" s="247"/>
      <c r="Q1436" s="247"/>
      <c r="R1436" s="247"/>
      <c r="S1436" s="247"/>
      <c r="T1436" s="247"/>
      <c r="U1436" s="247"/>
      <c r="V1436" s="247"/>
      <c r="W1436" s="247"/>
      <c r="X1436" s="247"/>
    </row>
    <row r="1437">
      <c r="A1437" s="282">
        <v>46009.0</v>
      </c>
      <c r="B1437" s="275" t="s">
        <v>1352</v>
      </c>
      <c r="C1437" s="275" t="s">
        <v>1358</v>
      </c>
      <c r="D1437" s="276">
        <v>10504.0</v>
      </c>
      <c r="E1437" s="275" t="s">
        <v>1017</v>
      </c>
      <c r="F1437" s="279"/>
      <c r="G1437" s="278" t="str">
        <f>IFNA(IF(VLOOKUP(RC_OUT[BLOCK],RC_IN[[BLOCK]:[BLOCK LOC]],2,FALSE)=0,"",VLOOKUP(RC_OUT[BLOCK],RC_IN[[BLOCK]:[BLOCK LOC]],2,FALSE)),"")</f>
        <v/>
      </c>
      <c r="I1437" s="263" t="str">
        <f>IFERROR(AVERAGEIFS(RC_IN[MC],RC_IN[BLOCK],RC_OUT[BLOCK]),"")</f>
        <v/>
      </c>
      <c r="J1437" s="264">
        <f t="shared" si="1"/>
        <v>0</v>
      </c>
      <c r="K1437" s="246"/>
      <c r="L1437" s="246"/>
      <c r="M1437" s="249" t="str">
        <f t="shared" si="2"/>
        <v/>
      </c>
      <c r="N1437" s="266">
        <f t="shared" si="3"/>
        <v>0</v>
      </c>
      <c r="O1437" s="247"/>
      <c r="P1437" s="247"/>
      <c r="Q1437" s="247"/>
      <c r="R1437" s="247"/>
      <c r="S1437" s="247"/>
      <c r="T1437" s="247"/>
      <c r="U1437" s="247"/>
      <c r="V1437" s="247"/>
      <c r="W1437" s="247"/>
      <c r="X1437" s="247"/>
    </row>
    <row r="1438">
      <c r="A1438" s="282">
        <v>46009.0</v>
      </c>
      <c r="B1438" s="275" t="s">
        <v>1352</v>
      </c>
      <c r="C1438" s="275" t="s">
        <v>1372</v>
      </c>
      <c r="D1438" s="276">
        <v>15504.0</v>
      </c>
      <c r="E1438" s="275" t="s">
        <v>1017</v>
      </c>
      <c r="F1438" s="279"/>
      <c r="G1438" s="278" t="str">
        <f>IFNA(IF(VLOOKUP(RC_OUT[BLOCK],RC_IN[[BLOCK]:[BLOCK LOC]],2,FALSE)=0,"",VLOOKUP(RC_OUT[BLOCK],RC_IN[[BLOCK]:[BLOCK LOC]],2,FALSE)),"")</f>
        <v/>
      </c>
      <c r="I1438" s="263" t="str">
        <f>IFERROR(AVERAGEIFS(RC_IN[MC],RC_IN[BLOCK],RC_OUT[BLOCK]),"")</f>
        <v/>
      </c>
      <c r="J1438" s="264">
        <f t="shared" si="1"/>
        <v>0</v>
      </c>
      <c r="K1438" s="246"/>
      <c r="L1438" s="246"/>
      <c r="M1438" s="249" t="str">
        <f t="shared" si="2"/>
        <v/>
      </c>
      <c r="N1438" s="266">
        <f t="shared" si="3"/>
        <v>0</v>
      </c>
      <c r="O1438" s="247"/>
      <c r="P1438" s="247"/>
      <c r="Q1438" s="247"/>
      <c r="R1438" s="247"/>
      <c r="S1438" s="247"/>
      <c r="T1438" s="247"/>
      <c r="U1438" s="247"/>
      <c r="V1438" s="247"/>
      <c r="W1438" s="247"/>
      <c r="X1438" s="247"/>
    </row>
    <row r="1439">
      <c r="A1439" s="282">
        <v>46009.0</v>
      </c>
      <c r="B1439" s="275" t="s">
        <v>1352</v>
      </c>
      <c r="C1439" s="275" t="s">
        <v>1373</v>
      </c>
      <c r="D1439" s="276">
        <v>4505.0</v>
      </c>
      <c r="E1439" s="275" t="s">
        <v>1017</v>
      </c>
      <c r="F1439" s="279"/>
      <c r="G1439" s="278" t="str">
        <f>IFNA(IF(VLOOKUP(RC_OUT[BLOCK],RC_IN[[BLOCK]:[BLOCK LOC]],2,FALSE)=0,"",VLOOKUP(RC_OUT[BLOCK],RC_IN[[BLOCK]:[BLOCK LOC]],2,FALSE)),"")</f>
        <v/>
      </c>
      <c r="I1439" s="263" t="str">
        <f>IFERROR(AVERAGEIFS(RC_IN[MC],RC_IN[BLOCK],RC_OUT[BLOCK]),"")</f>
        <v/>
      </c>
      <c r="J1439" s="264">
        <f t="shared" si="1"/>
        <v>0</v>
      </c>
      <c r="K1439" s="246"/>
      <c r="L1439" s="246"/>
      <c r="M1439" s="249" t="str">
        <f t="shared" si="2"/>
        <v/>
      </c>
      <c r="N1439" s="266">
        <f t="shared" si="3"/>
        <v>0</v>
      </c>
      <c r="O1439" s="247"/>
      <c r="P1439" s="247"/>
      <c r="Q1439" s="247"/>
      <c r="R1439" s="247"/>
      <c r="S1439" s="247"/>
      <c r="T1439" s="247"/>
      <c r="U1439" s="247"/>
      <c r="V1439" s="247"/>
      <c r="W1439" s="247"/>
      <c r="X1439" s="247"/>
    </row>
    <row r="1440">
      <c r="A1440" s="274"/>
      <c r="B1440" s="274"/>
      <c r="C1440" s="274"/>
      <c r="D1440" s="283"/>
      <c r="E1440" s="274"/>
      <c r="F1440" s="279"/>
      <c r="G1440" s="278" t="str">
        <f>IFNA(IF(VLOOKUP(RC_OUT[BLOCK],RC_IN[[BLOCK]:[BLOCK LOC]],2,FALSE)=0,"",VLOOKUP(RC_OUT[BLOCK],RC_IN[[BLOCK]:[BLOCK LOC]],2,FALSE)),"")</f>
        <v/>
      </c>
      <c r="I1440" s="263" t="str">
        <f>IFERROR(AVERAGEIFS(RC_IN[MC],RC_IN[BLOCK],RC_OUT[BLOCK]),"")</f>
        <v/>
      </c>
      <c r="J1440" s="264">
        <f t="shared" si="1"/>
        <v>0</v>
      </c>
      <c r="K1440" s="246"/>
      <c r="L1440" s="246"/>
      <c r="M1440" s="249" t="str">
        <f t="shared" si="2"/>
        <v/>
      </c>
      <c r="N1440" s="266">
        <f t="shared" si="3"/>
        <v>0</v>
      </c>
      <c r="O1440" s="247"/>
      <c r="P1440" s="247"/>
      <c r="Q1440" s="247"/>
      <c r="R1440" s="247"/>
      <c r="S1440" s="247"/>
      <c r="T1440" s="247"/>
      <c r="U1440" s="247"/>
      <c r="V1440" s="247"/>
      <c r="W1440" s="247"/>
      <c r="X1440" s="247"/>
    </row>
    <row r="1441">
      <c r="A1441" s="282">
        <v>46010.0</v>
      </c>
      <c r="B1441" s="275" t="s">
        <v>1352</v>
      </c>
      <c r="C1441" s="275" t="s">
        <v>280</v>
      </c>
      <c r="D1441" s="276">
        <v>6145.0</v>
      </c>
      <c r="E1441" s="275" t="s">
        <v>1017</v>
      </c>
      <c r="F1441" s="279"/>
      <c r="G1441" s="278" t="str">
        <f>IFNA(IF(VLOOKUP(RC_OUT[BLOCK],RC_IN[[BLOCK]:[BLOCK LOC]],2,FALSE)=0,"",VLOOKUP(RC_OUT[BLOCK],RC_IN[[BLOCK]:[BLOCK LOC]],2,FALSE)),"")</f>
        <v>D-12D</v>
      </c>
      <c r="I1441" s="263">
        <f>IFERROR(AVERAGEIFS(RC_IN[MC],RC_IN[BLOCK],RC_OUT[BLOCK]),"")</f>
        <v>12.349</v>
      </c>
      <c r="J1441" s="264">
        <f t="shared" si="1"/>
        <v>75884.605</v>
      </c>
      <c r="K1441" s="246"/>
      <c r="L1441" s="246"/>
      <c r="M1441" s="249" t="str">
        <f t="shared" si="2"/>
        <v/>
      </c>
      <c r="N1441" s="266">
        <f t="shared" si="3"/>
        <v>0</v>
      </c>
      <c r="O1441" s="247"/>
      <c r="P1441" s="247"/>
      <c r="Q1441" s="247"/>
      <c r="R1441" s="247"/>
      <c r="S1441" s="247"/>
      <c r="T1441" s="247"/>
      <c r="U1441" s="247"/>
      <c r="V1441" s="247"/>
      <c r="W1441" s="247"/>
      <c r="X1441" s="247"/>
    </row>
    <row r="1442">
      <c r="A1442" s="282">
        <v>46010.0</v>
      </c>
      <c r="B1442" s="275" t="s">
        <v>1352</v>
      </c>
      <c r="C1442" s="275" t="s">
        <v>1358</v>
      </c>
      <c r="D1442" s="276">
        <v>8690.0</v>
      </c>
      <c r="E1442" s="275" t="s">
        <v>1017</v>
      </c>
      <c r="F1442" s="279"/>
      <c r="G1442" s="278" t="str">
        <f>IFNA(IF(VLOOKUP(RC_OUT[BLOCK],RC_IN[[BLOCK]:[BLOCK LOC]],2,FALSE)=0,"",VLOOKUP(RC_OUT[BLOCK],RC_IN[[BLOCK]:[BLOCK LOC]],2,FALSE)),"")</f>
        <v/>
      </c>
      <c r="I1442" s="263" t="str">
        <f>IFERROR(AVERAGEIFS(RC_IN[MC],RC_IN[BLOCK],RC_OUT[BLOCK]),"")</f>
        <v/>
      </c>
      <c r="J1442" s="264">
        <f t="shared" si="1"/>
        <v>0</v>
      </c>
      <c r="K1442" s="246"/>
      <c r="L1442" s="246"/>
      <c r="M1442" s="249" t="str">
        <f t="shared" si="2"/>
        <v/>
      </c>
      <c r="N1442" s="266">
        <f t="shared" si="3"/>
        <v>0</v>
      </c>
      <c r="O1442" s="247"/>
      <c r="P1442" s="247"/>
      <c r="Q1442" s="247"/>
      <c r="R1442" s="247"/>
      <c r="S1442" s="247"/>
      <c r="T1442" s="247"/>
      <c r="U1442" s="247"/>
      <c r="V1442" s="247"/>
      <c r="W1442" s="247"/>
      <c r="X1442" s="247"/>
    </row>
    <row r="1443">
      <c r="A1443" s="282">
        <v>46010.0</v>
      </c>
      <c r="B1443" s="275" t="s">
        <v>1352</v>
      </c>
      <c r="C1443" s="275" t="s">
        <v>1372</v>
      </c>
      <c r="D1443" s="276">
        <v>16585.0</v>
      </c>
      <c r="E1443" s="275" t="s">
        <v>1017</v>
      </c>
      <c r="F1443" s="279"/>
      <c r="G1443" s="278" t="str">
        <f>IFNA(IF(VLOOKUP(RC_OUT[BLOCK],RC_IN[[BLOCK]:[BLOCK LOC]],2,FALSE)=0,"",VLOOKUP(RC_OUT[BLOCK],RC_IN[[BLOCK]:[BLOCK LOC]],2,FALSE)),"")</f>
        <v/>
      </c>
      <c r="I1443" s="263" t="str">
        <f>IFERROR(AVERAGEIFS(RC_IN[MC],RC_IN[BLOCK],RC_OUT[BLOCK]),"")</f>
        <v/>
      </c>
      <c r="J1443" s="264">
        <f t="shared" si="1"/>
        <v>0</v>
      </c>
      <c r="K1443" s="246"/>
      <c r="L1443" s="246"/>
      <c r="M1443" s="249" t="str">
        <f t="shared" si="2"/>
        <v/>
      </c>
      <c r="N1443" s="266">
        <f t="shared" si="3"/>
        <v>0</v>
      </c>
      <c r="O1443" s="247"/>
      <c r="P1443" s="247"/>
      <c r="Q1443" s="247"/>
      <c r="R1443" s="247"/>
      <c r="S1443" s="247"/>
      <c r="T1443" s="247"/>
      <c r="U1443" s="247"/>
      <c r="V1443" s="247"/>
      <c r="W1443" s="247"/>
      <c r="X1443" s="247"/>
    </row>
    <row r="1444">
      <c r="A1444" s="282">
        <v>46010.0</v>
      </c>
      <c r="B1444" s="275" t="s">
        <v>1352</v>
      </c>
      <c r="C1444" s="275" t="s">
        <v>1373</v>
      </c>
      <c r="D1444" s="276">
        <v>10000.0</v>
      </c>
      <c r="E1444" s="275" t="s">
        <v>1017</v>
      </c>
      <c r="F1444" s="277" t="s">
        <v>1059</v>
      </c>
      <c r="G1444" s="278" t="str">
        <f>IFNA(IF(VLOOKUP(RC_OUT[BLOCK],RC_IN[[BLOCK]:[BLOCK LOC]],2,FALSE)=0,"",VLOOKUP(RC_OUT[BLOCK],RC_IN[[BLOCK]:[BLOCK LOC]],2,FALSE)),"")</f>
        <v/>
      </c>
      <c r="I1444" s="263" t="str">
        <f>IFERROR(AVERAGEIFS(RC_IN[MC],RC_IN[BLOCK],RC_OUT[BLOCK]),"")</f>
        <v/>
      </c>
      <c r="J1444" s="264">
        <f t="shared" si="1"/>
        <v>0</v>
      </c>
      <c r="K1444" s="246"/>
      <c r="L1444" s="246"/>
      <c r="M1444" s="249" t="str">
        <f t="shared" si="2"/>
        <v/>
      </c>
      <c r="N1444" s="266">
        <f t="shared" si="3"/>
        <v>0</v>
      </c>
      <c r="O1444" s="247"/>
      <c r="P1444" s="247"/>
      <c r="Q1444" s="247"/>
      <c r="R1444" s="247"/>
      <c r="S1444" s="247"/>
      <c r="T1444" s="247"/>
      <c r="U1444" s="247"/>
      <c r="V1444" s="247"/>
      <c r="W1444" s="247"/>
      <c r="X1444" s="247"/>
    </row>
    <row r="1445">
      <c r="A1445" s="274"/>
      <c r="B1445" s="274"/>
      <c r="C1445" s="274"/>
      <c r="D1445" s="283"/>
      <c r="E1445" s="274"/>
      <c r="F1445" s="279"/>
      <c r="G1445" s="278" t="str">
        <f>IFNA(IF(VLOOKUP(RC_OUT[BLOCK],RC_IN[[BLOCK]:[BLOCK LOC]],2,FALSE)=0,"",VLOOKUP(RC_OUT[BLOCK],RC_IN[[BLOCK]:[BLOCK LOC]],2,FALSE)),"")</f>
        <v/>
      </c>
      <c r="I1445" s="263" t="str">
        <f>IFERROR(AVERAGEIFS(RC_IN[MC],RC_IN[BLOCK],RC_OUT[BLOCK]),"")</f>
        <v/>
      </c>
      <c r="J1445" s="264">
        <f t="shared" si="1"/>
        <v>0</v>
      </c>
      <c r="K1445" s="246"/>
      <c r="L1445" s="246"/>
      <c r="M1445" s="249" t="str">
        <f t="shared" si="2"/>
        <v/>
      </c>
      <c r="N1445" s="266">
        <f t="shared" si="3"/>
        <v>0</v>
      </c>
      <c r="O1445" s="247"/>
      <c r="P1445" s="247"/>
      <c r="Q1445" s="247"/>
      <c r="R1445" s="247"/>
      <c r="S1445" s="247"/>
      <c r="T1445" s="247"/>
      <c r="U1445" s="247"/>
      <c r="V1445" s="247"/>
      <c r="W1445" s="247"/>
      <c r="X1445" s="247"/>
    </row>
    <row r="1446">
      <c r="A1446" s="282">
        <v>46011.0</v>
      </c>
      <c r="B1446" s="275" t="s">
        <v>1352</v>
      </c>
      <c r="C1446" s="275" t="s">
        <v>280</v>
      </c>
      <c r="D1446" s="276">
        <v>2307.0</v>
      </c>
      <c r="E1446" s="275" t="s">
        <v>1017</v>
      </c>
      <c r="F1446" s="279"/>
      <c r="G1446" s="278" t="str">
        <f>IFNA(IF(VLOOKUP(RC_OUT[BLOCK],RC_IN[[BLOCK]:[BLOCK LOC]],2,FALSE)=0,"",VLOOKUP(RC_OUT[BLOCK],RC_IN[[BLOCK]:[BLOCK LOC]],2,FALSE)),"")</f>
        <v>D-12D</v>
      </c>
      <c r="I1446" s="263">
        <f>IFERROR(AVERAGEIFS(RC_IN[MC],RC_IN[BLOCK],RC_OUT[BLOCK]),"")</f>
        <v>12.349</v>
      </c>
      <c r="J1446" s="264">
        <f t="shared" si="1"/>
        <v>28489.143</v>
      </c>
      <c r="K1446" s="246"/>
      <c r="L1446" s="246"/>
      <c r="M1446" s="249" t="str">
        <f t="shared" si="2"/>
        <v/>
      </c>
      <c r="N1446" s="266">
        <f t="shared" si="3"/>
        <v>0</v>
      </c>
      <c r="O1446" s="247"/>
      <c r="P1446" s="247"/>
      <c r="Q1446" s="247"/>
      <c r="R1446" s="247"/>
      <c r="S1446" s="247"/>
      <c r="T1446" s="247"/>
      <c r="U1446" s="247"/>
      <c r="V1446" s="247"/>
      <c r="W1446" s="247"/>
      <c r="X1446" s="247"/>
    </row>
    <row r="1447">
      <c r="A1447" s="282">
        <v>46011.0</v>
      </c>
      <c r="B1447" s="275" t="s">
        <v>1352</v>
      </c>
      <c r="C1447" s="275" t="s">
        <v>1358</v>
      </c>
      <c r="D1447" s="276">
        <v>3700.0</v>
      </c>
      <c r="E1447" s="275" t="s">
        <v>1017</v>
      </c>
      <c r="F1447" s="279"/>
      <c r="G1447" s="278" t="str">
        <f>IFNA(IF(VLOOKUP(RC_OUT[BLOCK],RC_IN[[BLOCK]:[BLOCK LOC]],2,FALSE)=0,"",VLOOKUP(RC_OUT[BLOCK],RC_IN[[BLOCK]:[BLOCK LOC]],2,FALSE)),"")</f>
        <v/>
      </c>
      <c r="I1447" s="263" t="str">
        <f>IFERROR(AVERAGEIFS(RC_IN[MC],RC_IN[BLOCK],RC_OUT[BLOCK]),"")</f>
        <v/>
      </c>
      <c r="J1447" s="264">
        <f t="shared" si="1"/>
        <v>0</v>
      </c>
      <c r="K1447" s="246"/>
      <c r="L1447" s="246"/>
      <c r="M1447" s="249" t="str">
        <f t="shared" si="2"/>
        <v/>
      </c>
      <c r="N1447" s="266">
        <f t="shared" si="3"/>
        <v>0</v>
      </c>
      <c r="O1447" s="247"/>
      <c r="P1447" s="247"/>
      <c r="Q1447" s="247"/>
      <c r="R1447" s="247"/>
      <c r="S1447" s="247"/>
      <c r="T1447" s="247"/>
      <c r="U1447" s="247"/>
      <c r="V1447" s="247"/>
      <c r="W1447" s="247"/>
      <c r="X1447" s="247"/>
    </row>
    <row r="1448">
      <c r="A1448" s="282">
        <v>46011.0</v>
      </c>
      <c r="B1448" s="275" t="s">
        <v>1352</v>
      </c>
      <c r="C1448" s="275" t="s">
        <v>1372</v>
      </c>
      <c r="D1448" s="276">
        <v>5521.0</v>
      </c>
      <c r="E1448" s="275" t="s">
        <v>1017</v>
      </c>
      <c r="F1448" s="279"/>
      <c r="G1448" s="278" t="str">
        <f>IFNA(IF(VLOOKUP(RC_OUT[BLOCK],RC_IN[[BLOCK]:[BLOCK LOC]],2,FALSE)=0,"",VLOOKUP(RC_OUT[BLOCK],RC_IN[[BLOCK]:[BLOCK LOC]],2,FALSE)),"")</f>
        <v/>
      </c>
      <c r="I1448" s="263" t="str">
        <f>IFERROR(AVERAGEIFS(RC_IN[MC],RC_IN[BLOCK],RC_OUT[BLOCK]),"")</f>
        <v/>
      </c>
      <c r="J1448" s="264">
        <f t="shared" si="1"/>
        <v>0</v>
      </c>
      <c r="K1448" s="246"/>
      <c r="L1448" s="246"/>
      <c r="M1448" s="249" t="str">
        <f t="shared" si="2"/>
        <v/>
      </c>
      <c r="N1448" s="266">
        <f t="shared" si="3"/>
        <v>0</v>
      </c>
      <c r="O1448" s="247"/>
      <c r="P1448" s="247"/>
      <c r="Q1448" s="247"/>
      <c r="R1448" s="247"/>
      <c r="S1448" s="247"/>
      <c r="T1448" s="247"/>
      <c r="U1448" s="247"/>
      <c r="V1448" s="247"/>
      <c r="W1448" s="247"/>
      <c r="X1448" s="247"/>
    </row>
    <row r="1449">
      <c r="A1449" s="274"/>
      <c r="B1449" s="274"/>
      <c r="C1449" s="274"/>
      <c r="D1449" s="283"/>
      <c r="E1449" s="274"/>
      <c r="F1449" s="279"/>
      <c r="G1449" s="278" t="str">
        <f>IFNA(IF(VLOOKUP(RC_OUT[BLOCK],RC_IN[[BLOCK]:[BLOCK LOC]],2,FALSE)=0,"",VLOOKUP(RC_OUT[BLOCK],RC_IN[[BLOCK]:[BLOCK LOC]],2,FALSE)),"")</f>
        <v/>
      </c>
      <c r="I1449" s="263" t="str">
        <f>IFERROR(AVERAGEIFS(RC_IN[MC],RC_IN[BLOCK],RC_OUT[BLOCK]),"")</f>
        <v/>
      </c>
      <c r="J1449" s="264">
        <f t="shared" si="1"/>
        <v>0</v>
      </c>
      <c r="K1449" s="246"/>
      <c r="L1449" s="246"/>
      <c r="M1449" s="249" t="str">
        <f t="shared" si="2"/>
        <v/>
      </c>
      <c r="N1449" s="266">
        <f t="shared" si="3"/>
        <v>0</v>
      </c>
      <c r="O1449" s="247"/>
      <c r="P1449" s="247"/>
      <c r="Q1449" s="247"/>
      <c r="R1449" s="247"/>
      <c r="S1449" s="247"/>
      <c r="T1449" s="247"/>
      <c r="U1449" s="247"/>
      <c r="V1449" s="247"/>
      <c r="W1449" s="247"/>
      <c r="X1449" s="247"/>
    </row>
    <row r="1450">
      <c r="A1450" s="282">
        <v>46013.0</v>
      </c>
      <c r="B1450" s="275" t="s">
        <v>1352</v>
      </c>
      <c r="C1450" s="275" t="s">
        <v>280</v>
      </c>
      <c r="D1450" s="276">
        <v>3384.0</v>
      </c>
      <c r="E1450" s="275" t="s">
        <v>1017</v>
      </c>
      <c r="F1450" s="279"/>
      <c r="G1450" s="278" t="str">
        <f>IFNA(IF(VLOOKUP(RC_OUT[BLOCK],RC_IN[[BLOCK]:[BLOCK LOC]],2,FALSE)=0,"",VLOOKUP(RC_OUT[BLOCK],RC_IN[[BLOCK]:[BLOCK LOC]],2,FALSE)),"")</f>
        <v>D-12D</v>
      </c>
      <c r="I1450" s="263">
        <f>IFERROR(AVERAGEIFS(RC_IN[MC],RC_IN[BLOCK],RC_OUT[BLOCK]),"")</f>
        <v>12.349</v>
      </c>
      <c r="J1450" s="264">
        <f t="shared" si="1"/>
        <v>41789.016</v>
      </c>
      <c r="K1450" s="246"/>
      <c r="L1450" s="246"/>
      <c r="M1450" s="249" t="str">
        <f t="shared" si="2"/>
        <v/>
      </c>
      <c r="N1450" s="266">
        <f t="shared" si="3"/>
        <v>0</v>
      </c>
      <c r="O1450" s="247"/>
      <c r="P1450" s="247"/>
      <c r="Q1450" s="247"/>
      <c r="R1450" s="247"/>
      <c r="S1450" s="247"/>
      <c r="T1450" s="247"/>
      <c r="U1450" s="247"/>
      <c r="V1450" s="247"/>
      <c r="W1450" s="247"/>
      <c r="X1450" s="247"/>
    </row>
    <row r="1451">
      <c r="A1451" s="282">
        <v>46013.0</v>
      </c>
      <c r="B1451" s="275" t="s">
        <v>1352</v>
      </c>
      <c r="C1451" s="275" t="s">
        <v>1358</v>
      </c>
      <c r="D1451" s="276">
        <v>5028.0</v>
      </c>
      <c r="E1451" s="275" t="s">
        <v>1017</v>
      </c>
      <c r="F1451" s="277" t="s">
        <v>1059</v>
      </c>
      <c r="G1451" s="278" t="str">
        <f>IFNA(IF(VLOOKUP(RC_OUT[BLOCK],RC_IN[[BLOCK]:[BLOCK LOC]],2,FALSE)=0,"",VLOOKUP(RC_OUT[BLOCK],RC_IN[[BLOCK]:[BLOCK LOC]],2,FALSE)),"")</f>
        <v/>
      </c>
      <c r="I1451" s="263" t="str">
        <f>IFERROR(AVERAGEIFS(RC_IN[MC],RC_IN[BLOCK],RC_OUT[BLOCK]),"")</f>
        <v/>
      </c>
      <c r="J1451" s="264">
        <f t="shared" si="1"/>
        <v>0</v>
      </c>
      <c r="K1451" s="246"/>
      <c r="L1451" s="246"/>
      <c r="M1451" s="249" t="str">
        <f t="shared" si="2"/>
        <v/>
      </c>
      <c r="N1451" s="266">
        <f t="shared" si="3"/>
        <v>0</v>
      </c>
      <c r="O1451" s="247"/>
      <c r="P1451" s="247"/>
      <c r="Q1451" s="247"/>
      <c r="R1451" s="247"/>
      <c r="S1451" s="247"/>
      <c r="T1451" s="247"/>
      <c r="U1451" s="247"/>
      <c r="V1451" s="247"/>
      <c r="W1451" s="247"/>
      <c r="X1451" s="247"/>
    </row>
    <row r="1452">
      <c r="A1452" s="282">
        <v>46013.0</v>
      </c>
      <c r="B1452" s="275" t="s">
        <v>1352</v>
      </c>
      <c r="C1452" s="275" t="s">
        <v>1372</v>
      </c>
      <c r="D1452" s="276">
        <v>5751.0</v>
      </c>
      <c r="E1452" s="275" t="s">
        <v>1017</v>
      </c>
      <c r="F1452" s="277" t="s">
        <v>1059</v>
      </c>
      <c r="G1452" s="278" t="str">
        <f>IFNA(IF(VLOOKUP(RC_OUT[BLOCK],RC_IN[[BLOCK]:[BLOCK LOC]],2,FALSE)=0,"",VLOOKUP(RC_OUT[BLOCK],RC_IN[[BLOCK]:[BLOCK LOC]],2,FALSE)),"")</f>
        <v/>
      </c>
      <c r="I1452" s="263" t="str">
        <f>IFERROR(AVERAGEIFS(RC_IN[MC],RC_IN[BLOCK],RC_OUT[BLOCK]),"")</f>
        <v/>
      </c>
      <c r="J1452" s="264">
        <f t="shared" si="1"/>
        <v>0</v>
      </c>
      <c r="K1452" s="246"/>
      <c r="L1452" s="246"/>
      <c r="M1452" s="249" t="str">
        <f t="shared" si="2"/>
        <v/>
      </c>
      <c r="N1452" s="266">
        <f t="shared" si="3"/>
        <v>0</v>
      </c>
      <c r="O1452" s="247"/>
      <c r="P1452" s="247"/>
      <c r="Q1452" s="247"/>
      <c r="R1452" s="247"/>
      <c r="S1452" s="247"/>
      <c r="T1452" s="247"/>
      <c r="U1452" s="247"/>
      <c r="V1452" s="247"/>
      <c r="W1452" s="247"/>
      <c r="X1452" s="247"/>
    </row>
    <row r="1453">
      <c r="A1453" s="282">
        <v>46013.0</v>
      </c>
      <c r="B1453" s="275" t="s">
        <v>1352</v>
      </c>
      <c r="C1453" s="275" t="s">
        <v>284</v>
      </c>
      <c r="D1453" s="276">
        <v>3819.0</v>
      </c>
      <c r="E1453" s="275" t="s">
        <v>1017</v>
      </c>
      <c r="F1453" s="279"/>
      <c r="G1453" s="278" t="str">
        <f>IFNA(IF(VLOOKUP(RC_OUT[BLOCK],RC_IN[[BLOCK]:[BLOCK LOC]],2,FALSE)=0,"",VLOOKUP(RC_OUT[BLOCK],RC_IN[[BLOCK]:[BLOCK LOC]],2,FALSE)),"")</f>
        <v>A-17B</v>
      </c>
      <c r="I1453" s="263">
        <f>IFERROR(AVERAGEIFS(RC_IN[MC],RC_IN[BLOCK],RC_OUT[BLOCK]),"")</f>
        <v>11.505</v>
      </c>
      <c r="J1453" s="264">
        <f t="shared" si="1"/>
        <v>43937.595</v>
      </c>
      <c r="K1453" s="246"/>
      <c r="L1453" s="246"/>
      <c r="M1453" s="249" t="str">
        <f t="shared" si="2"/>
        <v/>
      </c>
      <c r="N1453" s="266">
        <f t="shared" si="3"/>
        <v>0</v>
      </c>
      <c r="O1453" s="247"/>
      <c r="P1453" s="247"/>
      <c r="Q1453" s="247"/>
      <c r="R1453" s="247"/>
      <c r="S1453" s="247"/>
      <c r="T1453" s="247"/>
      <c r="U1453" s="247"/>
      <c r="V1453" s="247"/>
      <c r="W1453" s="247"/>
      <c r="X1453" s="247"/>
    </row>
    <row r="1454">
      <c r="A1454" s="282">
        <v>46013.0</v>
      </c>
      <c r="B1454" s="275" t="s">
        <v>1352</v>
      </c>
      <c r="C1454" s="275" t="s">
        <v>533</v>
      </c>
      <c r="D1454" s="276">
        <v>3285.0</v>
      </c>
      <c r="E1454" s="275" t="s">
        <v>1017</v>
      </c>
      <c r="F1454" s="279"/>
      <c r="G1454" s="278" t="str">
        <f>IFNA(IF(VLOOKUP(RC_OUT[BLOCK],RC_IN[[BLOCK]:[BLOCK LOC]],2,FALSE)=0,"",VLOOKUP(RC_OUT[BLOCK],RC_IN[[BLOCK]:[BLOCK LOC]],2,FALSE)),"")</f>
        <v/>
      </c>
      <c r="I1454" s="263">
        <f>IFERROR(AVERAGEIFS(RC_IN[MC],RC_IN[BLOCK],RC_OUT[BLOCK]),"")</f>
        <v>11.74</v>
      </c>
      <c r="J1454" s="264">
        <f t="shared" si="1"/>
        <v>38565.9</v>
      </c>
      <c r="K1454" s="246"/>
      <c r="L1454" s="246"/>
      <c r="M1454" s="249" t="str">
        <f t="shared" si="2"/>
        <v/>
      </c>
      <c r="N1454" s="266">
        <f t="shared" si="3"/>
        <v>0</v>
      </c>
      <c r="O1454" s="247"/>
      <c r="P1454" s="247"/>
      <c r="Q1454" s="247"/>
      <c r="R1454" s="247"/>
      <c r="S1454" s="247"/>
      <c r="T1454" s="247"/>
      <c r="U1454" s="247"/>
      <c r="V1454" s="247"/>
      <c r="W1454" s="247"/>
      <c r="X1454" s="247"/>
    </row>
    <row r="1455">
      <c r="A1455" s="274"/>
      <c r="B1455" s="274"/>
      <c r="C1455" s="274"/>
      <c r="D1455" s="283"/>
      <c r="E1455" s="274"/>
      <c r="F1455" s="279"/>
      <c r="G1455" s="278" t="str">
        <f>IFNA(IF(VLOOKUP(RC_OUT[BLOCK],RC_IN[[BLOCK]:[BLOCK LOC]],2,FALSE)=0,"",VLOOKUP(RC_OUT[BLOCK],RC_IN[[BLOCK]:[BLOCK LOC]],2,FALSE)),"")</f>
        <v/>
      </c>
      <c r="I1455" s="263" t="str">
        <f>IFERROR(AVERAGEIFS(RC_IN[MC],RC_IN[BLOCK],RC_OUT[BLOCK]),"")</f>
        <v/>
      </c>
      <c r="J1455" s="264">
        <f t="shared" si="1"/>
        <v>0</v>
      </c>
      <c r="K1455" s="246"/>
      <c r="L1455" s="246"/>
      <c r="M1455" s="249" t="str">
        <f t="shared" si="2"/>
        <v/>
      </c>
      <c r="N1455" s="266">
        <f t="shared" si="3"/>
        <v>0</v>
      </c>
      <c r="O1455" s="247"/>
      <c r="P1455" s="247"/>
      <c r="Q1455" s="247"/>
      <c r="R1455" s="247"/>
      <c r="S1455" s="247"/>
      <c r="T1455" s="247"/>
      <c r="U1455" s="247"/>
      <c r="V1455" s="247"/>
      <c r="W1455" s="247"/>
      <c r="X1455" s="247"/>
    </row>
    <row r="1456">
      <c r="A1456" s="282">
        <v>46014.0</v>
      </c>
      <c r="B1456" s="275" t="s">
        <v>1352</v>
      </c>
      <c r="C1456" s="275" t="s">
        <v>280</v>
      </c>
      <c r="D1456" s="276">
        <v>2250.0</v>
      </c>
      <c r="E1456" s="275" t="s">
        <v>1017</v>
      </c>
      <c r="F1456" s="279"/>
      <c r="G1456" s="278" t="str">
        <f>IFNA(IF(VLOOKUP(RC_OUT[BLOCK],RC_IN[[BLOCK]:[BLOCK LOC]],2,FALSE)=0,"",VLOOKUP(RC_OUT[BLOCK],RC_IN[[BLOCK]:[BLOCK LOC]],2,FALSE)),"")</f>
        <v>D-12D</v>
      </c>
      <c r="I1456" s="263">
        <f>IFERROR(AVERAGEIFS(RC_IN[MC],RC_IN[BLOCK],RC_OUT[BLOCK]),"")</f>
        <v>12.349</v>
      </c>
      <c r="J1456" s="264">
        <f t="shared" si="1"/>
        <v>27785.25</v>
      </c>
      <c r="K1456" s="284">
        <f t="shared" ref="K1456:L1456" si="5">A1456</f>
        <v>46014</v>
      </c>
      <c r="L1456" s="246" t="str">
        <f t="shared" si="5"/>
        <v>DECEMBER</v>
      </c>
      <c r="M1456" s="249">
        <f t="shared" si="2"/>
        <v>11.50901515</v>
      </c>
      <c r="N1456" s="266">
        <f t="shared" si="3"/>
        <v>20927</v>
      </c>
      <c r="O1456" s="247"/>
      <c r="P1456" s="247"/>
      <c r="Q1456" s="247"/>
      <c r="R1456" s="247"/>
      <c r="S1456" s="247"/>
      <c r="T1456" s="247"/>
      <c r="U1456" s="247"/>
      <c r="V1456" s="247"/>
      <c r="W1456" s="247"/>
      <c r="X1456" s="247"/>
    </row>
    <row r="1457">
      <c r="A1457" s="282">
        <v>46014.0</v>
      </c>
      <c r="B1457" s="275" t="s">
        <v>1352</v>
      </c>
      <c r="C1457" s="275" t="s">
        <v>284</v>
      </c>
      <c r="D1457" s="276">
        <v>6082.0</v>
      </c>
      <c r="E1457" s="275" t="s">
        <v>1017</v>
      </c>
      <c r="F1457" s="279"/>
      <c r="G1457" s="278" t="str">
        <f>IFNA(IF(VLOOKUP(RC_OUT[BLOCK],RC_IN[[BLOCK]:[BLOCK LOC]],2,FALSE)=0,"",VLOOKUP(RC_OUT[BLOCK],RC_IN[[BLOCK]:[BLOCK LOC]],2,FALSE)),"")</f>
        <v>A-17B</v>
      </c>
      <c r="I1457" s="263">
        <f>IFERROR(AVERAGEIFS(RC_IN[MC],RC_IN[BLOCK],RC_OUT[BLOCK]),"")</f>
        <v>11.505</v>
      </c>
      <c r="J1457" s="264">
        <f t="shared" si="1"/>
        <v>69973.41</v>
      </c>
      <c r="K1457" s="246"/>
      <c r="L1457" s="246"/>
      <c r="M1457" s="249" t="str">
        <f t="shared" si="2"/>
        <v/>
      </c>
      <c r="N1457" s="266">
        <f t="shared" si="3"/>
        <v>0</v>
      </c>
      <c r="O1457" s="247"/>
      <c r="P1457" s="247"/>
      <c r="Q1457" s="247"/>
      <c r="R1457" s="247"/>
      <c r="S1457" s="247"/>
      <c r="T1457" s="247"/>
      <c r="U1457" s="247"/>
      <c r="V1457" s="247"/>
      <c r="W1457" s="247"/>
      <c r="X1457" s="247"/>
    </row>
    <row r="1458">
      <c r="A1458" s="282">
        <v>46014.0</v>
      </c>
      <c r="B1458" s="275" t="s">
        <v>1352</v>
      </c>
      <c r="C1458" s="275" t="s">
        <v>533</v>
      </c>
      <c r="D1458" s="276">
        <v>10000.0</v>
      </c>
      <c r="E1458" s="275" t="s">
        <v>1017</v>
      </c>
      <c r="F1458" s="277"/>
      <c r="G1458" s="278" t="str">
        <f>IFNA(IF(VLOOKUP(RC_OUT[BLOCK],RC_IN[[BLOCK]:[BLOCK LOC]],2,FALSE)=0,"",VLOOKUP(RC_OUT[BLOCK],RC_IN[[BLOCK]:[BLOCK LOC]],2,FALSE)),"")</f>
        <v/>
      </c>
      <c r="I1458" s="263">
        <f>IFERROR(AVERAGEIFS(RC_IN[MC],RC_IN[BLOCK],RC_OUT[BLOCK]),"")</f>
        <v>11.74</v>
      </c>
      <c r="J1458" s="264">
        <f t="shared" si="1"/>
        <v>117400</v>
      </c>
      <c r="K1458" s="246"/>
      <c r="L1458" s="246"/>
      <c r="M1458" s="249" t="str">
        <f t="shared" si="2"/>
        <v/>
      </c>
      <c r="N1458" s="266">
        <f t="shared" si="3"/>
        <v>0</v>
      </c>
      <c r="O1458" s="247"/>
      <c r="P1458" s="247"/>
      <c r="Q1458" s="247"/>
      <c r="R1458" s="247"/>
      <c r="S1458" s="247"/>
      <c r="T1458" s="247"/>
      <c r="U1458" s="247"/>
      <c r="V1458" s="247"/>
      <c r="W1458" s="247"/>
      <c r="X1458" s="247"/>
    </row>
    <row r="1459">
      <c r="A1459" s="282">
        <v>46014.0</v>
      </c>
      <c r="B1459" s="275" t="s">
        <v>1352</v>
      </c>
      <c r="C1459" s="275" t="s">
        <v>359</v>
      </c>
      <c r="D1459" s="276">
        <v>2595.0</v>
      </c>
      <c r="E1459" s="275" t="s">
        <v>1017</v>
      </c>
      <c r="F1459" s="279"/>
      <c r="G1459" s="278" t="str">
        <f>IFNA(IF(VLOOKUP(RC_OUT[BLOCK],RC_IN[[BLOCK]:[BLOCK LOC]],2,FALSE)=0,"",VLOOKUP(RC_OUT[BLOCK],RC_IN[[BLOCK]:[BLOCK LOC]],2,FALSE)),"")</f>
        <v>D-1B</v>
      </c>
      <c r="I1459" s="263">
        <f>IFERROR(AVERAGEIFS(RC_IN[MC],RC_IN[BLOCK],RC_OUT[BLOCK]),"")</f>
        <v>9.9</v>
      </c>
      <c r="J1459" s="264">
        <f t="shared" si="1"/>
        <v>25690.5</v>
      </c>
      <c r="K1459" s="246"/>
      <c r="L1459" s="246"/>
      <c r="M1459" s="249" t="str">
        <f t="shared" si="2"/>
        <v/>
      </c>
      <c r="N1459" s="266">
        <f t="shared" si="3"/>
        <v>0</v>
      </c>
      <c r="O1459" s="247"/>
      <c r="P1459" s="247"/>
      <c r="Q1459" s="247"/>
      <c r="R1459" s="247"/>
      <c r="S1459" s="247"/>
      <c r="T1459" s="247"/>
      <c r="U1459" s="247"/>
      <c r="V1459" s="247"/>
      <c r="W1459" s="247"/>
      <c r="X1459" s="247"/>
    </row>
    <row r="1460">
      <c r="A1460" s="274"/>
      <c r="B1460" s="274"/>
      <c r="C1460" s="274"/>
      <c r="D1460" s="283"/>
      <c r="E1460" s="274"/>
      <c r="F1460" s="279"/>
      <c r="G1460" s="278" t="str">
        <f>IFNA(IF(VLOOKUP(RC_OUT[BLOCK],RC_IN[[BLOCK]:[BLOCK LOC]],2,FALSE)=0,"",VLOOKUP(RC_OUT[BLOCK],RC_IN[[BLOCK]:[BLOCK LOC]],2,FALSE)),"")</f>
        <v/>
      </c>
      <c r="I1460" s="263" t="str">
        <f>IFERROR(AVERAGEIFS(RC_IN[MC],RC_IN[BLOCK],RC_OUT[BLOCK]),"")</f>
        <v/>
      </c>
      <c r="J1460" s="264">
        <f t="shared" si="1"/>
        <v>0</v>
      </c>
      <c r="K1460" s="246"/>
      <c r="L1460" s="246"/>
      <c r="M1460" s="249" t="str">
        <f t="shared" si="2"/>
        <v/>
      </c>
      <c r="N1460" s="266">
        <f t="shared" si="3"/>
        <v>0</v>
      </c>
      <c r="O1460" s="247"/>
      <c r="P1460" s="247"/>
      <c r="Q1460" s="247"/>
      <c r="R1460" s="247"/>
      <c r="S1460" s="247"/>
      <c r="T1460" s="247"/>
      <c r="U1460" s="247"/>
      <c r="V1460" s="247"/>
      <c r="W1460" s="247"/>
      <c r="X1460" s="247"/>
    </row>
    <row r="1461">
      <c r="A1461" s="282">
        <v>46017.0</v>
      </c>
      <c r="B1461" s="275" t="s">
        <v>1352</v>
      </c>
      <c r="C1461" s="275" t="s">
        <v>280</v>
      </c>
      <c r="D1461" s="276">
        <v>8002.0</v>
      </c>
      <c r="E1461" s="275" t="s">
        <v>1017</v>
      </c>
      <c r="F1461" s="279"/>
      <c r="G1461" s="278" t="str">
        <f>IFNA(IF(VLOOKUP(RC_OUT[BLOCK],RC_IN[[BLOCK]:[BLOCK LOC]],2,FALSE)=0,"",VLOOKUP(RC_OUT[BLOCK],RC_IN[[BLOCK]:[BLOCK LOC]],2,FALSE)),"")</f>
        <v>D-12D</v>
      </c>
      <c r="I1461" s="263">
        <f>IFERROR(AVERAGEIFS(RC_IN[MC],RC_IN[BLOCK],RC_OUT[BLOCK]),"")</f>
        <v>12.349</v>
      </c>
      <c r="J1461" s="264">
        <f t="shared" si="1"/>
        <v>98816.698</v>
      </c>
      <c r="K1461" s="284">
        <f t="shared" ref="K1461:L1461" si="6">A1461</f>
        <v>46017</v>
      </c>
      <c r="L1461" s="246" t="str">
        <f t="shared" si="6"/>
        <v>DECEMBER</v>
      </c>
      <c r="M1461" s="249">
        <f t="shared" si="2"/>
        <v>11.21303367</v>
      </c>
      <c r="N1461" s="266">
        <f t="shared" si="3"/>
        <v>45596</v>
      </c>
      <c r="O1461" s="247"/>
      <c r="P1461" s="247"/>
      <c r="Q1461" s="247"/>
      <c r="R1461" s="247"/>
      <c r="S1461" s="247"/>
      <c r="T1461" s="247"/>
      <c r="U1461" s="247"/>
      <c r="V1461" s="247"/>
      <c r="W1461" s="247"/>
      <c r="X1461" s="247"/>
    </row>
    <row r="1462">
      <c r="A1462" s="282">
        <v>46017.0</v>
      </c>
      <c r="B1462" s="275" t="s">
        <v>1352</v>
      </c>
      <c r="C1462" s="275" t="s">
        <v>284</v>
      </c>
      <c r="D1462" s="276">
        <v>19397.0</v>
      </c>
      <c r="E1462" s="275" t="s">
        <v>1017</v>
      </c>
      <c r="F1462" s="279"/>
      <c r="G1462" s="278" t="str">
        <f>IFNA(IF(VLOOKUP(RC_OUT[BLOCK],RC_IN[[BLOCK]:[BLOCK LOC]],2,FALSE)=0,"",VLOOKUP(RC_OUT[BLOCK],RC_IN[[BLOCK]:[BLOCK LOC]],2,FALSE)),"")</f>
        <v>A-17B</v>
      </c>
      <c r="I1462" s="263">
        <f>IFERROR(AVERAGEIFS(RC_IN[MC],RC_IN[BLOCK],RC_OUT[BLOCK]),"")</f>
        <v>11.505</v>
      </c>
      <c r="J1462" s="264">
        <f t="shared" si="1"/>
        <v>223162.485</v>
      </c>
      <c r="K1462" s="246"/>
      <c r="L1462" s="246"/>
      <c r="M1462" s="249" t="str">
        <f t="shared" si="2"/>
        <v/>
      </c>
      <c r="N1462" s="266">
        <f t="shared" si="3"/>
        <v>0</v>
      </c>
      <c r="O1462" s="247"/>
      <c r="P1462" s="247"/>
      <c r="Q1462" s="247"/>
      <c r="R1462" s="247"/>
      <c r="S1462" s="247"/>
      <c r="T1462" s="247"/>
      <c r="U1462" s="247"/>
      <c r="V1462" s="247"/>
      <c r="W1462" s="247"/>
      <c r="X1462" s="247"/>
    </row>
    <row r="1463">
      <c r="A1463" s="282">
        <v>46017.0</v>
      </c>
      <c r="B1463" s="275" t="s">
        <v>1352</v>
      </c>
      <c r="C1463" s="275" t="s">
        <v>533</v>
      </c>
      <c r="D1463" s="276">
        <v>500.0</v>
      </c>
      <c r="E1463" s="275" t="s">
        <v>1017</v>
      </c>
      <c r="F1463" s="277" t="s">
        <v>1059</v>
      </c>
      <c r="G1463" s="278" t="str">
        <f>IFNA(IF(VLOOKUP(RC_OUT[BLOCK],RC_IN[[BLOCK]:[BLOCK LOC]],2,FALSE)=0,"",VLOOKUP(RC_OUT[BLOCK],RC_IN[[BLOCK]:[BLOCK LOC]],2,FALSE)),"")</f>
        <v/>
      </c>
      <c r="I1463" s="263">
        <f>IFERROR(AVERAGEIFS(RC_IN[MC],RC_IN[BLOCK],RC_OUT[BLOCK]),"")</f>
        <v>11.74</v>
      </c>
      <c r="J1463" s="264">
        <f t="shared" si="1"/>
        <v>5870</v>
      </c>
      <c r="K1463" s="246"/>
      <c r="L1463" s="246"/>
      <c r="M1463" s="249" t="str">
        <f t="shared" si="2"/>
        <v/>
      </c>
      <c r="N1463" s="266">
        <f t="shared" si="3"/>
        <v>0</v>
      </c>
      <c r="O1463" s="247"/>
      <c r="P1463" s="247"/>
      <c r="Q1463" s="247"/>
      <c r="R1463" s="247"/>
      <c r="S1463" s="247"/>
      <c r="T1463" s="247"/>
      <c r="U1463" s="247"/>
      <c r="V1463" s="247"/>
      <c r="W1463" s="247"/>
      <c r="X1463" s="247"/>
    </row>
    <row r="1464">
      <c r="A1464" s="282">
        <v>46017.0</v>
      </c>
      <c r="B1464" s="275" t="s">
        <v>1352</v>
      </c>
      <c r="C1464" s="275" t="s">
        <v>359</v>
      </c>
      <c r="D1464" s="276">
        <v>11697.0</v>
      </c>
      <c r="E1464" s="275" t="s">
        <v>1017</v>
      </c>
      <c r="F1464" s="279"/>
      <c r="G1464" s="278" t="str">
        <f>IFNA(IF(VLOOKUP(RC_OUT[BLOCK],RC_IN[[BLOCK]:[BLOCK LOC]],2,FALSE)=0,"",VLOOKUP(RC_OUT[BLOCK],RC_IN[[BLOCK]:[BLOCK LOC]],2,FALSE)),"")</f>
        <v>D-1B</v>
      </c>
      <c r="I1464" s="263">
        <f>IFERROR(AVERAGEIFS(RC_IN[MC],RC_IN[BLOCK],RC_OUT[BLOCK]),"")</f>
        <v>9.9</v>
      </c>
      <c r="J1464" s="264">
        <f t="shared" si="1"/>
        <v>115800.3</v>
      </c>
      <c r="K1464" s="246"/>
      <c r="L1464" s="246"/>
      <c r="M1464" s="249" t="str">
        <f t="shared" si="2"/>
        <v/>
      </c>
      <c r="N1464" s="266">
        <f t="shared" si="3"/>
        <v>0</v>
      </c>
      <c r="O1464" s="247"/>
      <c r="P1464" s="247"/>
      <c r="Q1464" s="247"/>
      <c r="R1464" s="247"/>
      <c r="S1464" s="247"/>
      <c r="T1464" s="247"/>
      <c r="U1464" s="247"/>
      <c r="V1464" s="247"/>
      <c r="W1464" s="247"/>
      <c r="X1464" s="247"/>
    </row>
    <row r="1465">
      <c r="A1465" s="282">
        <v>46017.0</v>
      </c>
      <c r="B1465" s="275" t="s">
        <v>1352</v>
      </c>
      <c r="C1465" s="275" t="s">
        <v>542</v>
      </c>
      <c r="D1465" s="276">
        <v>6000.0</v>
      </c>
      <c r="E1465" s="275" t="s">
        <v>1017</v>
      </c>
      <c r="F1465" s="279"/>
      <c r="G1465" s="278" t="str">
        <f>IFNA(IF(VLOOKUP(RC_OUT[BLOCK],RC_IN[[BLOCK]:[BLOCK LOC]],2,FALSE)=0,"",VLOOKUP(RC_OUT[BLOCK],RC_IN[[BLOCK]:[BLOCK LOC]],2,FALSE)),"")</f>
        <v/>
      </c>
      <c r="I1465" s="263">
        <f>IFERROR(AVERAGEIFS(RC_IN[MC],RC_IN[BLOCK],RC_OUT[BLOCK]),"")</f>
        <v>11.27</v>
      </c>
      <c r="J1465" s="264">
        <f t="shared" si="1"/>
        <v>67620</v>
      </c>
      <c r="K1465" s="246"/>
      <c r="L1465" s="246"/>
      <c r="M1465" s="249" t="str">
        <f t="shared" si="2"/>
        <v/>
      </c>
      <c r="N1465" s="266">
        <f t="shared" si="3"/>
        <v>0</v>
      </c>
      <c r="O1465" s="247"/>
      <c r="P1465" s="247"/>
      <c r="Q1465" s="247"/>
      <c r="R1465" s="247"/>
      <c r="S1465" s="247"/>
      <c r="T1465" s="247"/>
      <c r="U1465" s="247"/>
      <c r="V1465" s="247"/>
      <c r="W1465" s="247"/>
      <c r="X1465" s="247"/>
    </row>
    <row r="1466">
      <c r="A1466" s="274"/>
      <c r="B1466" s="274"/>
      <c r="C1466" s="274"/>
      <c r="D1466" s="283"/>
      <c r="E1466" s="274"/>
      <c r="F1466" s="279"/>
      <c r="G1466" s="278" t="str">
        <f>IFNA(IF(VLOOKUP(RC_OUT[BLOCK],RC_IN[[BLOCK]:[BLOCK LOC]],2,FALSE)=0,"",VLOOKUP(RC_OUT[BLOCK],RC_IN[[BLOCK]:[BLOCK LOC]],2,FALSE)),"")</f>
        <v/>
      </c>
      <c r="I1466" s="263" t="str">
        <f>IFERROR(AVERAGEIFS(RC_IN[MC],RC_IN[BLOCK],RC_OUT[BLOCK]),"")</f>
        <v/>
      </c>
      <c r="J1466" s="264">
        <f t="shared" si="1"/>
        <v>0</v>
      </c>
      <c r="K1466" s="246"/>
      <c r="L1466" s="246"/>
      <c r="M1466" s="249" t="str">
        <f t="shared" si="2"/>
        <v/>
      </c>
      <c r="N1466" s="266">
        <f t="shared" si="3"/>
        <v>0</v>
      </c>
      <c r="O1466" s="247"/>
      <c r="P1466" s="247"/>
      <c r="Q1466" s="247"/>
      <c r="R1466" s="247"/>
      <c r="S1466" s="247"/>
      <c r="T1466" s="247"/>
      <c r="U1466" s="247"/>
      <c r="V1466" s="247"/>
      <c r="W1466" s="247"/>
      <c r="X1466" s="247"/>
    </row>
    <row r="1467">
      <c r="A1467" s="282">
        <v>46018.0</v>
      </c>
      <c r="B1467" s="275" t="s">
        <v>1352</v>
      </c>
      <c r="C1467" s="275" t="s">
        <v>280</v>
      </c>
      <c r="D1467" s="276">
        <v>5767.0</v>
      </c>
      <c r="E1467" s="275" t="s">
        <v>1017</v>
      </c>
      <c r="F1467" s="279"/>
      <c r="G1467" s="278" t="str">
        <f>IFNA(IF(VLOOKUP(RC_OUT[BLOCK],RC_IN[[BLOCK]:[BLOCK LOC]],2,FALSE)=0,"",VLOOKUP(RC_OUT[BLOCK],RC_IN[[BLOCK]:[BLOCK LOC]],2,FALSE)),"")</f>
        <v>D-12D</v>
      </c>
      <c r="I1467" s="263">
        <f>IFERROR(AVERAGEIFS(RC_IN[MC],RC_IN[BLOCK],RC_OUT[BLOCK]),"")</f>
        <v>12.349</v>
      </c>
      <c r="J1467" s="264">
        <f t="shared" si="1"/>
        <v>71216.683</v>
      </c>
      <c r="K1467" s="284">
        <f t="shared" ref="K1467:L1467" si="7">A1467</f>
        <v>46018</v>
      </c>
      <c r="L1467" s="246" t="str">
        <f t="shared" si="7"/>
        <v>DECEMBER</v>
      </c>
      <c r="M1467" s="249">
        <f t="shared" si="2"/>
        <v>11.17770767</v>
      </c>
      <c r="N1467" s="266">
        <f t="shared" si="3"/>
        <v>33661</v>
      </c>
      <c r="O1467" s="247"/>
      <c r="P1467" s="247"/>
      <c r="Q1467" s="247"/>
      <c r="R1467" s="247"/>
      <c r="S1467" s="247"/>
      <c r="T1467" s="247"/>
      <c r="U1467" s="247"/>
      <c r="V1467" s="247"/>
      <c r="W1467" s="247"/>
      <c r="X1467" s="247"/>
    </row>
    <row r="1468">
      <c r="A1468" s="282">
        <v>46018.0</v>
      </c>
      <c r="B1468" s="275" t="s">
        <v>1352</v>
      </c>
      <c r="C1468" s="275" t="s">
        <v>284</v>
      </c>
      <c r="D1468" s="276">
        <v>13597.0</v>
      </c>
      <c r="E1468" s="275" t="s">
        <v>1017</v>
      </c>
      <c r="F1468" s="279"/>
      <c r="G1468" s="278" t="str">
        <f>IFNA(IF(VLOOKUP(RC_OUT[BLOCK],RC_IN[[BLOCK]:[BLOCK LOC]],2,FALSE)=0,"",VLOOKUP(RC_OUT[BLOCK],RC_IN[[BLOCK]:[BLOCK LOC]],2,FALSE)),"")</f>
        <v>A-17B</v>
      </c>
      <c r="I1468" s="263">
        <f>IFERROR(AVERAGEIFS(RC_IN[MC],RC_IN[BLOCK],RC_OUT[BLOCK]),"")</f>
        <v>11.505</v>
      </c>
      <c r="J1468" s="264">
        <f t="shared" si="1"/>
        <v>156433.485</v>
      </c>
      <c r="K1468" s="246"/>
      <c r="L1468" s="246"/>
      <c r="M1468" s="249" t="str">
        <f t="shared" si="2"/>
        <v/>
      </c>
      <c r="N1468" s="266">
        <f t="shared" si="3"/>
        <v>0</v>
      </c>
      <c r="O1468" s="247"/>
      <c r="P1468" s="247"/>
      <c r="Q1468" s="247"/>
      <c r="R1468" s="247"/>
      <c r="S1468" s="247"/>
      <c r="T1468" s="247"/>
      <c r="U1468" s="247"/>
      <c r="V1468" s="247"/>
      <c r="W1468" s="247"/>
      <c r="X1468" s="247"/>
    </row>
    <row r="1469">
      <c r="A1469" s="282">
        <v>46018.0</v>
      </c>
      <c r="B1469" s="275" t="s">
        <v>1352</v>
      </c>
      <c r="C1469" s="275" t="s">
        <v>359</v>
      </c>
      <c r="D1469" s="276">
        <v>9142.0</v>
      </c>
      <c r="E1469" s="275" t="s">
        <v>1017</v>
      </c>
      <c r="F1469" s="279"/>
      <c r="G1469" s="278" t="str">
        <f>IFNA(IF(VLOOKUP(RC_OUT[BLOCK],RC_IN[[BLOCK]:[BLOCK LOC]],2,FALSE)=0,"",VLOOKUP(RC_OUT[BLOCK],RC_IN[[BLOCK]:[BLOCK LOC]],2,FALSE)),"")</f>
        <v>D-1B</v>
      </c>
      <c r="I1469" s="263">
        <f>IFERROR(AVERAGEIFS(RC_IN[MC],RC_IN[BLOCK],RC_OUT[BLOCK]),"")</f>
        <v>9.9</v>
      </c>
      <c r="J1469" s="264">
        <f t="shared" si="1"/>
        <v>90505.8</v>
      </c>
      <c r="K1469" s="246"/>
      <c r="L1469" s="246"/>
      <c r="M1469" s="249" t="str">
        <f t="shared" si="2"/>
        <v/>
      </c>
      <c r="N1469" s="266">
        <f t="shared" si="3"/>
        <v>0</v>
      </c>
      <c r="O1469" s="247"/>
      <c r="P1469" s="247"/>
      <c r="Q1469" s="247"/>
      <c r="R1469" s="247"/>
      <c r="S1469" s="247"/>
      <c r="T1469" s="247"/>
      <c r="U1469" s="247"/>
      <c r="V1469" s="247"/>
      <c r="W1469" s="247"/>
      <c r="X1469" s="247"/>
    </row>
    <row r="1470">
      <c r="A1470" s="282">
        <v>46018.0</v>
      </c>
      <c r="B1470" s="275" t="s">
        <v>1352</v>
      </c>
      <c r="C1470" s="275" t="s">
        <v>542</v>
      </c>
      <c r="D1470" s="276">
        <v>5155.0</v>
      </c>
      <c r="E1470" s="275" t="s">
        <v>1017</v>
      </c>
      <c r="F1470" s="279"/>
      <c r="G1470" s="278" t="str">
        <f>IFNA(IF(VLOOKUP(RC_OUT[BLOCK],RC_IN[[BLOCK]:[BLOCK LOC]],2,FALSE)=0,"",VLOOKUP(RC_OUT[BLOCK],RC_IN[[BLOCK]:[BLOCK LOC]],2,FALSE)),"")</f>
        <v/>
      </c>
      <c r="I1470" s="263">
        <f>IFERROR(AVERAGEIFS(RC_IN[MC],RC_IN[BLOCK],RC_OUT[BLOCK]),"")</f>
        <v>11.27</v>
      </c>
      <c r="J1470" s="264">
        <f t="shared" si="1"/>
        <v>58096.85</v>
      </c>
      <c r="K1470" s="246"/>
      <c r="L1470" s="246"/>
      <c r="M1470" s="249" t="str">
        <f t="shared" si="2"/>
        <v/>
      </c>
      <c r="N1470" s="266">
        <f t="shared" si="3"/>
        <v>0</v>
      </c>
      <c r="O1470" s="247"/>
      <c r="P1470" s="247"/>
      <c r="Q1470" s="247"/>
      <c r="R1470" s="247"/>
      <c r="S1470" s="247"/>
      <c r="T1470" s="247"/>
      <c r="U1470" s="247"/>
      <c r="V1470" s="247"/>
      <c r="W1470" s="247"/>
      <c r="X1470" s="247"/>
    </row>
    <row r="1471">
      <c r="A1471" s="274"/>
      <c r="B1471" s="274"/>
      <c r="C1471" s="274"/>
      <c r="D1471" s="283"/>
      <c r="E1471" s="274"/>
      <c r="F1471" s="279"/>
      <c r="G1471" s="278" t="str">
        <f>IFNA(IF(VLOOKUP(RC_OUT[BLOCK],RC_IN[[BLOCK]:[BLOCK LOC]],2,FALSE)=0,"",VLOOKUP(RC_OUT[BLOCK],RC_IN[[BLOCK]:[BLOCK LOC]],2,FALSE)),"")</f>
        <v/>
      </c>
      <c r="I1471" s="263" t="str">
        <f>IFERROR(AVERAGEIFS(RC_IN[MC],RC_IN[BLOCK],RC_OUT[BLOCK]),"")</f>
        <v/>
      </c>
      <c r="J1471" s="264">
        <f t="shared" si="1"/>
        <v>0</v>
      </c>
      <c r="K1471" s="246"/>
      <c r="L1471" s="246"/>
      <c r="M1471" s="249" t="str">
        <f t="shared" si="2"/>
        <v/>
      </c>
      <c r="N1471" s="266">
        <f t="shared" si="3"/>
        <v>0</v>
      </c>
      <c r="O1471" s="247"/>
      <c r="P1471" s="247"/>
      <c r="Q1471" s="247"/>
      <c r="R1471" s="247"/>
      <c r="S1471" s="247"/>
      <c r="T1471" s="247"/>
      <c r="U1471" s="247"/>
      <c r="V1471" s="247"/>
      <c r="W1471" s="247"/>
      <c r="X1471" s="247"/>
    </row>
    <row r="1472">
      <c r="A1472" s="274"/>
      <c r="B1472" s="274"/>
      <c r="C1472" s="274"/>
      <c r="D1472" s="283"/>
      <c r="E1472" s="274"/>
      <c r="F1472" s="279"/>
      <c r="G1472" s="278" t="str">
        <f>IFNA(IF(VLOOKUP(RC_OUT[BLOCK],RC_IN[[BLOCK]:[BLOCK LOC]],2,FALSE)=0,"",VLOOKUP(RC_OUT[BLOCK],RC_IN[[BLOCK]:[BLOCK LOC]],2,FALSE)),"")</f>
        <v/>
      </c>
      <c r="I1472" s="263" t="str">
        <f>IFERROR(AVERAGEIFS(RC_IN[MC],RC_IN[BLOCK],RC_OUT[BLOCK]),"")</f>
        <v/>
      </c>
      <c r="J1472" s="264">
        <f t="shared" si="1"/>
        <v>0</v>
      </c>
      <c r="K1472" s="246"/>
      <c r="L1472" s="246"/>
      <c r="M1472" s="249" t="str">
        <f t="shared" si="2"/>
        <v/>
      </c>
      <c r="N1472" s="266">
        <f t="shared" si="3"/>
        <v>0</v>
      </c>
      <c r="O1472" s="247"/>
      <c r="P1472" s="247"/>
      <c r="Q1472" s="247"/>
      <c r="R1472" s="247"/>
      <c r="S1472" s="247"/>
      <c r="T1472" s="247"/>
      <c r="U1472" s="247"/>
      <c r="V1472" s="247"/>
      <c r="W1472" s="247"/>
      <c r="X1472" s="247"/>
    </row>
    <row r="1473">
      <c r="A1473" s="282">
        <v>46024.0</v>
      </c>
      <c r="B1473" s="275" t="s">
        <v>1147</v>
      </c>
      <c r="C1473" s="275" t="s">
        <v>280</v>
      </c>
      <c r="D1473" s="276">
        <v>3376.0</v>
      </c>
      <c r="E1473" s="275" t="s">
        <v>1017</v>
      </c>
      <c r="F1473" s="279"/>
      <c r="G1473" s="278" t="str">
        <f>IFNA(IF(VLOOKUP(RC_OUT[BLOCK],RC_IN[[BLOCK]:[BLOCK LOC]],2,FALSE)=0,"",VLOOKUP(RC_OUT[BLOCK],RC_IN[[BLOCK]:[BLOCK LOC]],2,FALSE)),"")</f>
        <v>D-12D</v>
      </c>
      <c r="I1473" s="263">
        <f>IFERROR(AVERAGEIFS(RC_IN[MC],RC_IN[BLOCK],RC_OUT[BLOCK]),"")</f>
        <v>12.349</v>
      </c>
      <c r="J1473" s="264">
        <f t="shared" si="1"/>
        <v>41690.224</v>
      </c>
      <c r="K1473" s="284">
        <f t="shared" ref="K1473:L1473" si="8">A1473</f>
        <v>46024</v>
      </c>
      <c r="L1473" s="246" t="str">
        <f t="shared" si="8"/>
        <v>JANUARY</v>
      </c>
      <c r="M1473" s="249">
        <f t="shared" si="2"/>
        <v>11.25010275</v>
      </c>
      <c r="N1473" s="266">
        <f t="shared" si="3"/>
        <v>20721</v>
      </c>
      <c r="O1473" s="247"/>
      <c r="P1473" s="247"/>
      <c r="Q1473" s="247"/>
      <c r="R1473" s="247"/>
      <c r="S1473" s="247"/>
      <c r="T1473" s="247"/>
      <c r="U1473" s="247"/>
      <c r="V1473" s="247"/>
      <c r="W1473" s="247"/>
      <c r="X1473" s="247"/>
    </row>
    <row r="1474">
      <c r="A1474" s="282">
        <v>46024.0</v>
      </c>
      <c r="B1474" s="275" t="s">
        <v>1147</v>
      </c>
      <c r="C1474" s="275" t="s">
        <v>284</v>
      </c>
      <c r="D1474" s="276">
        <v>8011.0</v>
      </c>
      <c r="E1474" s="275" t="s">
        <v>1017</v>
      </c>
      <c r="F1474" s="279"/>
      <c r="G1474" s="278" t="str">
        <f>IFNA(IF(VLOOKUP(RC_OUT[BLOCK],RC_IN[[BLOCK]:[BLOCK LOC]],2,FALSE)=0,"",VLOOKUP(RC_OUT[BLOCK],RC_IN[[BLOCK]:[BLOCK LOC]],2,FALSE)),"")</f>
        <v>A-17B</v>
      </c>
      <c r="I1474" s="263">
        <f>IFERROR(AVERAGEIFS(RC_IN[MC],RC_IN[BLOCK],RC_OUT[BLOCK]),"")</f>
        <v>11.505</v>
      </c>
      <c r="J1474" s="264">
        <f t="shared" si="1"/>
        <v>92166.555</v>
      </c>
      <c r="K1474" s="246"/>
      <c r="L1474" s="246"/>
      <c r="M1474" s="249" t="str">
        <f t="shared" si="2"/>
        <v/>
      </c>
      <c r="N1474" s="266">
        <f t="shared" si="3"/>
        <v>0</v>
      </c>
      <c r="O1474" s="247"/>
      <c r="P1474" s="247"/>
      <c r="Q1474" s="247"/>
      <c r="R1474" s="247"/>
      <c r="S1474" s="247"/>
      <c r="T1474" s="247"/>
      <c r="U1474" s="247"/>
      <c r="V1474" s="247"/>
      <c r="W1474" s="247"/>
      <c r="X1474" s="247"/>
    </row>
    <row r="1475">
      <c r="A1475" s="282">
        <v>46024.0</v>
      </c>
      <c r="B1475" s="275" t="s">
        <v>1147</v>
      </c>
      <c r="C1475" s="275" t="s">
        <v>359</v>
      </c>
      <c r="D1475" s="276">
        <v>4334.0</v>
      </c>
      <c r="E1475" s="275" t="s">
        <v>1017</v>
      </c>
      <c r="F1475" s="279"/>
      <c r="G1475" s="278" t="str">
        <f>IFNA(IF(VLOOKUP(RC_OUT[BLOCK],RC_IN[[BLOCK]:[BLOCK LOC]],2,FALSE)=0,"",VLOOKUP(RC_OUT[BLOCK],RC_IN[[BLOCK]:[BLOCK LOC]],2,FALSE)),"")</f>
        <v>D-1B</v>
      </c>
      <c r="I1475" s="263">
        <f>IFERROR(AVERAGEIFS(RC_IN[MC],RC_IN[BLOCK],RC_OUT[BLOCK]),"")</f>
        <v>9.9</v>
      </c>
      <c r="J1475" s="264">
        <f t="shared" si="1"/>
        <v>42906.6</v>
      </c>
      <c r="K1475" s="246"/>
      <c r="L1475" s="246"/>
      <c r="M1475" s="249" t="str">
        <f t="shared" si="2"/>
        <v/>
      </c>
      <c r="N1475" s="266">
        <f t="shared" si="3"/>
        <v>0</v>
      </c>
      <c r="O1475" s="247"/>
      <c r="P1475" s="247"/>
      <c r="Q1475" s="247"/>
      <c r="R1475" s="247"/>
      <c r="S1475" s="247"/>
      <c r="T1475" s="247"/>
      <c r="U1475" s="247"/>
      <c r="V1475" s="247"/>
      <c r="W1475" s="247"/>
      <c r="X1475" s="247"/>
    </row>
    <row r="1476">
      <c r="A1476" s="282">
        <v>46024.0</v>
      </c>
      <c r="B1476" s="275" t="s">
        <v>1147</v>
      </c>
      <c r="C1476" s="275" t="s">
        <v>542</v>
      </c>
      <c r="D1476" s="276">
        <v>5000.0</v>
      </c>
      <c r="E1476" s="275" t="s">
        <v>1017</v>
      </c>
      <c r="F1476" s="277" t="s">
        <v>1059</v>
      </c>
      <c r="G1476" s="278" t="str">
        <f>IFNA(IF(VLOOKUP(RC_OUT[BLOCK],RC_IN[[BLOCK]:[BLOCK LOC]],2,FALSE)=0,"",VLOOKUP(RC_OUT[BLOCK],RC_IN[[BLOCK]:[BLOCK LOC]],2,FALSE)),"")</f>
        <v/>
      </c>
      <c r="I1476" s="263">
        <f>IFERROR(AVERAGEIFS(RC_IN[MC],RC_IN[BLOCK],RC_OUT[BLOCK]),"")</f>
        <v>11.27</v>
      </c>
      <c r="J1476" s="264">
        <f t="shared" si="1"/>
        <v>56350</v>
      </c>
      <c r="K1476" s="246"/>
      <c r="L1476" s="246"/>
      <c r="M1476" s="249" t="str">
        <f t="shared" si="2"/>
        <v/>
      </c>
      <c r="N1476" s="266">
        <f t="shared" si="3"/>
        <v>0</v>
      </c>
      <c r="O1476" s="247"/>
      <c r="P1476" s="247"/>
      <c r="Q1476" s="247"/>
      <c r="R1476" s="247"/>
      <c r="S1476" s="247"/>
      <c r="T1476" s="247"/>
      <c r="U1476" s="247"/>
      <c r="V1476" s="247"/>
      <c r="W1476" s="247"/>
      <c r="X1476" s="247"/>
    </row>
    <row r="1477">
      <c r="A1477" s="274"/>
      <c r="B1477" s="274"/>
      <c r="C1477" s="274"/>
      <c r="D1477" s="283"/>
      <c r="E1477" s="274"/>
      <c r="F1477" s="279"/>
      <c r="G1477" s="278" t="str">
        <f>IFNA(IF(VLOOKUP(RC_OUT[BLOCK],RC_IN[[BLOCK]:[BLOCK LOC]],2,FALSE)=0,"",VLOOKUP(RC_OUT[BLOCK],RC_IN[[BLOCK]:[BLOCK LOC]],2,FALSE)),"")</f>
        <v/>
      </c>
      <c r="I1477" s="263" t="str">
        <f>IFERROR(AVERAGEIFS(RC_IN[MC],RC_IN[BLOCK],RC_OUT[BLOCK]),"")</f>
        <v/>
      </c>
      <c r="J1477" s="264">
        <f t="shared" si="1"/>
        <v>0</v>
      </c>
      <c r="K1477" s="246"/>
      <c r="L1477" s="246"/>
      <c r="M1477" s="249" t="str">
        <f t="shared" si="2"/>
        <v/>
      </c>
      <c r="N1477" s="266">
        <f t="shared" si="3"/>
        <v>0</v>
      </c>
      <c r="O1477" s="247"/>
      <c r="P1477" s="247"/>
      <c r="Q1477" s="247"/>
      <c r="R1477" s="247"/>
      <c r="S1477" s="247"/>
      <c r="T1477" s="247"/>
      <c r="U1477" s="247"/>
      <c r="V1477" s="247"/>
      <c r="W1477" s="247"/>
      <c r="X1477" s="247"/>
    </row>
    <row r="1478">
      <c r="A1478" s="282">
        <v>46025.0</v>
      </c>
      <c r="B1478" s="275" t="s">
        <v>1147</v>
      </c>
      <c r="C1478" s="275" t="s">
        <v>280</v>
      </c>
      <c r="D1478" s="276">
        <v>3332.0</v>
      </c>
      <c r="E1478" s="275" t="s">
        <v>1017</v>
      </c>
      <c r="F1478" s="277" t="s">
        <v>1059</v>
      </c>
      <c r="G1478" s="278" t="str">
        <f>IFNA(IF(VLOOKUP(RC_OUT[BLOCK],RC_IN[[BLOCK]:[BLOCK LOC]],2,FALSE)=0,"",VLOOKUP(RC_OUT[BLOCK],RC_IN[[BLOCK]:[BLOCK LOC]],2,FALSE)),"")</f>
        <v>D-12D</v>
      </c>
      <c r="I1478" s="263">
        <f>IFERROR(AVERAGEIFS(RC_IN[MC],RC_IN[BLOCK],RC_OUT[BLOCK]),"")</f>
        <v>12.349</v>
      </c>
      <c r="J1478" s="264">
        <f t="shared" si="1"/>
        <v>41146.868</v>
      </c>
      <c r="K1478" s="284">
        <f t="shared" ref="K1478:L1478" si="9">A1478</f>
        <v>46025</v>
      </c>
      <c r="L1478" s="246" t="str">
        <f t="shared" si="9"/>
        <v>JANUARY</v>
      </c>
      <c r="M1478" s="249">
        <f t="shared" si="2"/>
        <v>10.89430338</v>
      </c>
      <c r="N1478" s="266">
        <f t="shared" si="3"/>
        <v>39063</v>
      </c>
      <c r="O1478" s="247"/>
      <c r="P1478" s="247"/>
      <c r="Q1478" s="247"/>
      <c r="R1478" s="247"/>
      <c r="S1478" s="247"/>
      <c r="T1478" s="247"/>
      <c r="U1478" s="247"/>
      <c r="V1478" s="247"/>
      <c r="W1478" s="247"/>
      <c r="X1478" s="247"/>
    </row>
    <row r="1479">
      <c r="A1479" s="282">
        <v>46025.0</v>
      </c>
      <c r="B1479" s="275" t="s">
        <v>1147</v>
      </c>
      <c r="C1479" s="275" t="s">
        <v>284</v>
      </c>
      <c r="D1479" s="276">
        <v>12061.0</v>
      </c>
      <c r="E1479" s="275" t="s">
        <v>1017</v>
      </c>
      <c r="F1479" s="279"/>
      <c r="G1479" s="278" t="str">
        <f>IFNA(IF(VLOOKUP(RC_OUT[BLOCK],RC_IN[[BLOCK]:[BLOCK LOC]],2,FALSE)=0,"",VLOOKUP(RC_OUT[BLOCK],RC_IN[[BLOCK]:[BLOCK LOC]],2,FALSE)),"")</f>
        <v>A-17B</v>
      </c>
      <c r="I1479" s="263">
        <f>IFERROR(AVERAGEIFS(RC_IN[MC],RC_IN[BLOCK],RC_OUT[BLOCK]),"")</f>
        <v>11.505</v>
      </c>
      <c r="J1479" s="264">
        <f t="shared" si="1"/>
        <v>138761.805</v>
      </c>
      <c r="K1479" s="246"/>
      <c r="L1479" s="246"/>
      <c r="M1479" s="249" t="str">
        <f t="shared" si="2"/>
        <v/>
      </c>
      <c r="N1479" s="266">
        <f t="shared" si="3"/>
        <v>0</v>
      </c>
      <c r="O1479" s="247"/>
      <c r="P1479" s="247"/>
      <c r="Q1479" s="247"/>
      <c r="R1479" s="247"/>
      <c r="S1479" s="247"/>
      <c r="T1479" s="247"/>
      <c r="U1479" s="247"/>
      <c r="V1479" s="247"/>
      <c r="W1479" s="247"/>
      <c r="X1479" s="247"/>
    </row>
    <row r="1480">
      <c r="A1480" s="282">
        <v>46025.0</v>
      </c>
      <c r="B1480" s="275" t="s">
        <v>1147</v>
      </c>
      <c r="C1480" s="275" t="s">
        <v>359</v>
      </c>
      <c r="D1480" s="276">
        <v>7495.0</v>
      </c>
      <c r="E1480" s="275" t="s">
        <v>1017</v>
      </c>
      <c r="F1480" s="279"/>
      <c r="G1480" s="278" t="str">
        <f>IFNA(IF(VLOOKUP(RC_OUT[BLOCK],RC_IN[[BLOCK]:[BLOCK LOC]],2,FALSE)=0,"",VLOOKUP(RC_OUT[BLOCK],RC_IN[[BLOCK]:[BLOCK LOC]],2,FALSE)),"")</f>
        <v>D-1B</v>
      </c>
      <c r="I1480" s="263">
        <f>IFERROR(AVERAGEIFS(RC_IN[MC],RC_IN[BLOCK],RC_OUT[BLOCK]),"")</f>
        <v>9.9</v>
      </c>
      <c r="J1480" s="264">
        <f t="shared" si="1"/>
        <v>74200.5</v>
      </c>
      <c r="K1480" s="246"/>
      <c r="L1480" s="246"/>
      <c r="M1480" s="249" t="str">
        <f t="shared" si="2"/>
        <v/>
      </c>
      <c r="N1480" s="266">
        <f t="shared" si="3"/>
        <v>0</v>
      </c>
      <c r="O1480" s="247"/>
      <c r="P1480" s="247"/>
      <c r="Q1480" s="247"/>
      <c r="R1480" s="247"/>
      <c r="S1480" s="247"/>
      <c r="T1480" s="247"/>
      <c r="U1480" s="247"/>
      <c r="V1480" s="247"/>
      <c r="W1480" s="247"/>
      <c r="X1480" s="247"/>
    </row>
    <row r="1481">
      <c r="A1481" s="282">
        <v>46025.0</v>
      </c>
      <c r="B1481" s="275" t="s">
        <v>1147</v>
      </c>
      <c r="C1481" s="275" t="s">
        <v>551</v>
      </c>
      <c r="D1481" s="276">
        <v>16175.0</v>
      </c>
      <c r="E1481" s="275" t="s">
        <v>1017</v>
      </c>
      <c r="F1481" s="277" t="s">
        <v>1059</v>
      </c>
      <c r="G1481" s="278" t="str">
        <f>IFNA(IF(VLOOKUP(RC_OUT[BLOCK],RC_IN[[BLOCK]:[BLOCK LOC]],2,FALSE)=0,"",VLOOKUP(RC_OUT[BLOCK],RC_IN[[BLOCK]:[BLOCK LOC]],2,FALSE)),"")</f>
        <v/>
      </c>
      <c r="I1481" s="263">
        <f>IFERROR(AVERAGEIFS(RC_IN[MC],RC_IN[BLOCK],RC_OUT[BLOCK]),"")</f>
        <v>10.6</v>
      </c>
      <c r="J1481" s="264">
        <f t="shared" si="1"/>
        <v>171455</v>
      </c>
      <c r="K1481" s="246"/>
      <c r="L1481" s="246"/>
      <c r="M1481" s="249" t="str">
        <f t="shared" si="2"/>
        <v/>
      </c>
      <c r="N1481" s="266">
        <f t="shared" si="3"/>
        <v>0</v>
      </c>
      <c r="O1481" s="247"/>
      <c r="P1481" s="247"/>
      <c r="Q1481" s="247"/>
      <c r="R1481" s="247"/>
      <c r="S1481" s="247"/>
      <c r="T1481" s="247"/>
      <c r="U1481" s="247"/>
      <c r="V1481" s="247"/>
      <c r="W1481" s="247"/>
      <c r="X1481" s="247"/>
    </row>
    <row r="1482">
      <c r="A1482" s="274"/>
      <c r="B1482" s="274"/>
      <c r="C1482" s="274"/>
      <c r="D1482" s="283"/>
      <c r="E1482" s="274"/>
      <c r="F1482" s="279"/>
      <c r="G1482" s="278" t="str">
        <f>IFNA(IF(VLOOKUP(RC_OUT[BLOCK],RC_IN[[BLOCK]:[BLOCK LOC]],2,FALSE)=0,"",VLOOKUP(RC_OUT[BLOCK],RC_IN[[BLOCK]:[BLOCK LOC]],2,FALSE)),"")</f>
        <v/>
      </c>
      <c r="I1482" s="263" t="str">
        <f>IFERROR(AVERAGEIFS(RC_IN[MC],RC_IN[BLOCK],RC_OUT[BLOCK]),"")</f>
        <v/>
      </c>
      <c r="J1482" s="264">
        <f t="shared" si="1"/>
        <v>0</v>
      </c>
      <c r="K1482" s="246"/>
      <c r="L1482" s="246"/>
      <c r="M1482" s="249" t="str">
        <f t="shared" si="2"/>
        <v/>
      </c>
      <c r="N1482" s="266">
        <f t="shared" si="3"/>
        <v>0</v>
      </c>
      <c r="O1482" s="247"/>
      <c r="P1482" s="247"/>
      <c r="Q1482" s="247"/>
      <c r="R1482" s="247"/>
      <c r="S1482" s="247"/>
      <c r="T1482" s="247"/>
      <c r="U1482" s="247"/>
      <c r="V1482" s="247"/>
      <c r="W1482" s="247"/>
      <c r="X1482" s="247"/>
    </row>
    <row r="1483">
      <c r="A1483" s="282">
        <v>46027.0</v>
      </c>
      <c r="B1483" s="275" t="s">
        <v>1147</v>
      </c>
      <c r="C1483" s="275" t="s">
        <v>284</v>
      </c>
      <c r="D1483" s="276">
        <v>6583.0</v>
      </c>
      <c r="E1483" s="275" t="s">
        <v>1017</v>
      </c>
      <c r="F1483" s="277" t="s">
        <v>1059</v>
      </c>
      <c r="G1483" s="278" t="str">
        <f>IFNA(IF(VLOOKUP(RC_OUT[BLOCK],RC_IN[[BLOCK]:[BLOCK LOC]],2,FALSE)=0,"",VLOOKUP(RC_OUT[BLOCK],RC_IN[[BLOCK]:[BLOCK LOC]],2,FALSE)),"")</f>
        <v>A-17B</v>
      </c>
      <c r="I1483" s="263">
        <f>IFERROR(AVERAGEIFS(RC_IN[MC],RC_IN[BLOCK],RC_OUT[BLOCK]),"")</f>
        <v>11.505</v>
      </c>
      <c r="J1483" s="264">
        <f t="shared" si="1"/>
        <v>75737.415</v>
      </c>
      <c r="K1483" s="284">
        <f t="shared" ref="K1483:L1483" si="10">A1483</f>
        <v>46027</v>
      </c>
      <c r="L1483" s="246" t="str">
        <f t="shared" si="10"/>
        <v>JANUARY</v>
      </c>
      <c r="M1483" s="249">
        <f t="shared" si="2"/>
        <v>10.25149808</v>
      </c>
      <c r="N1483" s="266">
        <f t="shared" si="3"/>
        <v>38991</v>
      </c>
      <c r="O1483" s="247"/>
      <c r="P1483" s="247"/>
      <c r="Q1483" s="247"/>
      <c r="R1483" s="247"/>
      <c r="S1483" s="247"/>
      <c r="T1483" s="247"/>
      <c r="U1483" s="247"/>
      <c r="V1483" s="247"/>
      <c r="W1483" s="247"/>
      <c r="X1483" s="247"/>
    </row>
    <row r="1484">
      <c r="A1484" s="282">
        <v>46027.0</v>
      </c>
      <c r="B1484" s="275" t="s">
        <v>1147</v>
      </c>
      <c r="C1484" s="275" t="s">
        <v>359</v>
      </c>
      <c r="D1484" s="276">
        <v>16100.0</v>
      </c>
      <c r="E1484" s="275" t="s">
        <v>1017</v>
      </c>
      <c r="F1484" s="277" t="s">
        <v>1059</v>
      </c>
      <c r="G1484" s="278" t="str">
        <f>IFNA(IF(VLOOKUP(RC_OUT[BLOCK],RC_IN[[BLOCK]:[BLOCK LOC]],2,FALSE)=0,"",VLOOKUP(RC_OUT[BLOCK],RC_IN[[BLOCK]:[BLOCK LOC]],2,FALSE)),"")</f>
        <v>D-1B</v>
      </c>
      <c r="I1484" s="263">
        <f>IFERROR(AVERAGEIFS(RC_IN[MC],RC_IN[BLOCK],RC_OUT[BLOCK]),"")</f>
        <v>9.9</v>
      </c>
      <c r="J1484" s="264">
        <f t="shared" si="1"/>
        <v>159390</v>
      </c>
      <c r="K1484" s="246"/>
      <c r="L1484" s="246"/>
      <c r="M1484" s="249" t="str">
        <f t="shared" si="2"/>
        <v/>
      </c>
      <c r="N1484" s="266">
        <f t="shared" si="3"/>
        <v>0</v>
      </c>
      <c r="O1484" s="247"/>
      <c r="P1484" s="247"/>
      <c r="Q1484" s="247"/>
      <c r="R1484" s="247"/>
      <c r="S1484" s="247"/>
      <c r="T1484" s="247"/>
      <c r="U1484" s="247"/>
      <c r="V1484" s="247"/>
      <c r="W1484" s="247"/>
      <c r="X1484" s="247"/>
    </row>
    <row r="1485">
      <c r="A1485" s="282">
        <v>46027.0</v>
      </c>
      <c r="B1485" s="275" t="s">
        <v>1147</v>
      </c>
      <c r="C1485" s="275" t="s">
        <v>256</v>
      </c>
      <c r="D1485" s="276">
        <v>5998.0</v>
      </c>
      <c r="E1485" s="275" t="s">
        <v>1017</v>
      </c>
      <c r="F1485" s="279"/>
      <c r="G1485" s="278" t="str">
        <f>IFNA(IF(VLOOKUP(RC_OUT[BLOCK],RC_IN[[BLOCK]:[BLOCK LOC]],2,FALSE)=0,"",VLOOKUP(RC_OUT[BLOCK],RC_IN[[BLOCK]:[BLOCK LOC]],2,FALSE)),"")</f>
        <v>A-17A</v>
      </c>
      <c r="I1485" s="263">
        <f>IFERROR(AVERAGEIFS(RC_IN[MC],RC_IN[BLOCK],RC_OUT[BLOCK]),"")</f>
        <v>11.62666667</v>
      </c>
      <c r="J1485" s="264">
        <f t="shared" si="1"/>
        <v>69736.74667</v>
      </c>
      <c r="K1485" s="246"/>
      <c r="L1485" s="246"/>
      <c r="M1485" s="249" t="str">
        <f t="shared" si="2"/>
        <v/>
      </c>
      <c r="N1485" s="266">
        <f t="shared" si="3"/>
        <v>0</v>
      </c>
      <c r="O1485" s="247"/>
      <c r="P1485" s="247"/>
      <c r="Q1485" s="247"/>
      <c r="R1485" s="247"/>
      <c r="S1485" s="247"/>
      <c r="T1485" s="247"/>
      <c r="U1485" s="247"/>
      <c r="V1485" s="247"/>
      <c r="W1485" s="247"/>
      <c r="X1485" s="247"/>
    </row>
    <row r="1486">
      <c r="A1486" s="282">
        <v>46027.0</v>
      </c>
      <c r="B1486" s="275" t="s">
        <v>1147</v>
      </c>
      <c r="C1486" s="275" t="s">
        <v>552</v>
      </c>
      <c r="D1486" s="276">
        <v>10310.0</v>
      </c>
      <c r="E1486" s="275" t="s">
        <v>1017</v>
      </c>
      <c r="F1486" s="277" t="s">
        <v>1059</v>
      </c>
      <c r="G1486" s="278" t="str">
        <f>IFNA(IF(VLOOKUP(RC_OUT[BLOCK],RC_IN[[BLOCK]:[BLOCK LOC]],2,FALSE)=0,"",VLOOKUP(RC_OUT[BLOCK],RC_IN[[BLOCK]:[BLOCK LOC]],2,FALSE)),"")</f>
        <v/>
      </c>
      <c r="I1486" s="263">
        <f>IFERROR(AVERAGEIFS(RC_IN[MC],RC_IN[BLOCK],RC_OUT[BLOCK]),"")</f>
        <v>9.2</v>
      </c>
      <c r="J1486" s="264">
        <f t="shared" si="1"/>
        <v>94852</v>
      </c>
      <c r="K1486" s="246"/>
      <c r="L1486" s="246"/>
      <c r="M1486" s="249" t="str">
        <f t="shared" si="2"/>
        <v/>
      </c>
      <c r="N1486" s="266">
        <f t="shared" si="3"/>
        <v>0</v>
      </c>
      <c r="O1486" s="247"/>
      <c r="P1486" s="247"/>
      <c r="Q1486" s="247"/>
      <c r="R1486" s="247"/>
      <c r="S1486" s="247"/>
      <c r="T1486" s="247"/>
      <c r="U1486" s="247"/>
      <c r="V1486" s="247"/>
      <c r="W1486" s="247"/>
      <c r="X1486" s="247"/>
    </row>
    <row r="1487">
      <c r="A1487" s="274"/>
      <c r="B1487" s="274"/>
      <c r="C1487" s="274"/>
      <c r="D1487" s="283"/>
      <c r="E1487" s="274"/>
      <c r="F1487" s="279"/>
      <c r="G1487" s="278" t="str">
        <f>IFNA(IF(VLOOKUP(RC_OUT[BLOCK],RC_IN[[BLOCK]:[BLOCK LOC]],2,FALSE)=0,"",VLOOKUP(RC_OUT[BLOCK],RC_IN[[BLOCK]:[BLOCK LOC]],2,FALSE)),"")</f>
        <v/>
      </c>
      <c r="I1487" s="263" t="str">
        <f>IFERROR(AVERAGEIFS(RC_IN[MC],RC_IN[BLOCK],RC_OUT[BLOCK]),"")</f>
        <v/>
      </c>
      <c r="J1487" s="264">
        <f t="shared" si="1"/>
        <v>0</v>
      </c>
      <c r="K1487" s="246"/>
      <c r="L1487" s="246"/>
      <c r="M1487" s="249" t="str">
        <f t="shared" si="2"/>
        <v/>
      </c>
      <c r="N1487" s="266">
        <f t="shared" si="3"/>
        <v>0</v>
      </c>
      <c r="O1487" s="247"/>
      <c r="P1487" s="247"/>
      <c r="Q1487" s="247"/>
      <c r="R1487" s="247"/>
      <c r="S1487" s="247"/>
      <c r="T1487" s="247"/>
      <c r="U1487" s="247"/>
      <c r="V1487" s="247"/>
      <c r="W1487" s="247"/>
      <c r="X1487" s="247"/>
    </row>
    <row r="1488">
      <c r="A1488" s="282">
        <v>46028.0</v>
      </c>
      <c r="B1488" s="275" t="s">
        <v>1147</v>
      </c>
      <c r="C1488" s="275" t="s">
        <v>256</v>
      </c>
      <c r="D1488" s="276">
        <v>14286.0</v>
      </c>
      <c r="E1488" s="275" t="s">
        <v>1017</v>
      </c>
      <c r="F1488" s="279"/>
      <c r="G1488" s="278" t="str">
        <f>IFNA(IF(VLOOKUP(RC_OUT[BLOCK],RC_IN[[BLOCK]:[BLOCK LOC]],2,FALSE)=0,"",VLOOKUP(RC_OUT[BLOCK],RC_IN[[BLOCK]:[BLOCK LOC]],2,FALSE)),"")</f>
        <v>A-17A</v>
      </c>
      <c r="I1488" s="263">
        <f>IFERROR(AVERAGEIFS(RC_IN[MC],RC_IN[BLOCK],RC_OUT[BLOCK]),"")</f>
        <v>11.62666667</v>
      </c>
      <c r="J1488" s="264">
        <f t="shared" si="1"/>
        <v>166098.56</v>
      </c>
      <c r="K1488" s="284">
        <f t="shared" ref="K1488:L1488" si="11">A1488</f>
        <v>46028</v>
      </c>
      <c r="L1488" s="246" t="str">
        <f t="shared" si="11"/>
        <v>JANUARY</v>
      </c>
      <c r="M1488" s="249">
        <f t="shared" si="2"/>
        <v>10.89456271</v>
      </c>
      <c r="N1488" s="266">
        <f t="shared" si="3"/>
        <v>39768</v>
      </c>
      <c r="O1488" s="247"/>
      <c r="P1488" s="247"/>
      <c r="Q1488" s="247"/>
      <c r="R1488" s="247"/>
      <c r="S1488" s="247"/>
      <c r="T1488" s="247"/>
      <c r="U1488" s="247"/>
      <c r="V1488" s="247"/>
      <c r="W1488" s="247"/>
      <c r="X1488" s="247"/>
    </row>
    <row r="1489">
      <c r="A1489" s="282">
        <v>46028.0</v>
      </c>
      <c r="B1489" s="275" t="s">
        <v>1147</v>
      </c>
      <c r="C1489" s="275" t="s">
        <v>559</v>
      </c>
      <c r="D1489" s="276">
        <v>10000.0</v>
      </c>
      <c r="E1489" s="275" t="s">
        <v>1017</v>
      </c>
      <c r="F1489" s="279"/>
      <c r="G1489" s="278" t="str">
        <f>IFNA(IF(VLOOKUP(RC_OUT[BLOCK],RC_IN[[BLOCK]:[BLOCK LOC]],2,FALSE)=0,"",VLOOKUP(RC_OUT[BLOCK],RC_IN[[BLOCK]:[BLOCK LOC]],2,FALSE)),"")</f>
        <v/>
      </c>
      <c r="I1489" s="263">
        <f>IFERROR(AVERAGEIFS(RC_IN[MC],RC_IN[BLOCK],RC_OUT[BLOCK]),"")</f>
        <v>12</v>
      </c>
      <c r="J1489" s="264">
        <f t="shared" si="1"/>
        <v>120000</v>
      </c>
      <c r="K1489" s="246"/>
      <c r="L1489" s="246"/>
      <c r="M1489" s="249" t="str">
        <f t="shared" si="2"/>
        <v/>
      </c>
      <c r="N1489" s="266">
        <f t="shared" si="3"/>
        <v>0</v>
      </c>
      <c r="O1489" s="247"/>
      <c r="P1489" s="247"/>
      <c r="Q1489" s="247"/>
      <c r="R1489" s="247"/>
      <c r="S1489" s="247"/>
      <c r="T1489" s="247"/>
      <c r="U1489" s="247"/>
      <c r="V1489" s="247"/>
      <c r="W1489" s="247"/>
      <c r="X1489" s="247"/>
    </row>
    <row r="1490">
      <c r="A1490" s="282">
        <v>46028.0</v>
      </c>
      <c r="B1490" s="275" t="s">
        <v>1147</v>
      </c>
      <c r="C1490" s="275" t="s">
        <v>356</v>
      </c>
      <c r="D1490" s="276">
        <v>15482.0</v>
      </c>
      <c r="E1490" s="275" t="s">
        <v>1017</v>
      </c>
      <c r="F1490" s="279"/>
      <c r="G1490" s="278" t="str">
        <f>IFNA(IF(VLOOKUP(RC_OUT[BLOCK],RC_IN[[BLOCK]:[BLOCK LOC]],2,FALSE)=0,"",VLOOKUP(RC_OUT[BLOCK],RC_IN[[BLOCK]:[BLOCK LOC]],2,FALSE)),"")</f>
        <v>D-1C</v>
      </c>
      <c r="I1490" s="263">
        <f>IFERROR(AVERAGEIFS(RC_IN[MC],RC_IN[BLOCK],RC_OUT[BLOCK]),"")</f>
        <v>9.505</v>
      </c>
      <c r="J1490" s="264">
        <f t="shared" si="1"/>
        <v>147156.41</v>
      </c>
      <c r="K1490" s="246"/>
      <c r="L1490" s="246"/>
      <c r="M1490" s="249" t="str">
        <f t="shared" si="2"/>
        <v/>
      </c>
      <c r="N1490" s="266">
        <f t="shared" si="3"/>
        <v>0</v>
      </c>
      <c r="O1490" s="247"/>
      <c r="P1490" s="247"/>
      <c r="Q1490" s="247"/>
      <c r="R1490" s="247"/>
      <c r="S1490" s="247"/>
      <c r="T1490" s="247"/>
      <c r="U1490" s="247"/>
      <c r="V1490" s="247"/>
      <c r="W1490" s="247"/>
      <c r="X1490" s="247"/>
    </row>
    <row r="1491">
      <c r="A1491" s="274"/>
      <c r="B1491" s="274"/>
      <c r="C1491" s="274"/>
      <c r="D1491" s="283"/>
      <c r="E1491" s="274"/>
      <c r="F1491" s="279"/>
      <c r="G1491" s="278" t="str">
        <f>IFNA(IF(VLOOKUP(RC_OUT[BLOCK],RC_IN[[BLOCK]:[BLOCK LOC]],2,FALSE)=0,"",VLOOKUP(RC_OUT[BLOCK],RC_IN[[BLOCK]:[BLOCK LOC]],2,FALSE)),"")</f>
        <v/>
      </c>
      <c r="I1491" s="263" t="str">
        <f>IFERROR(AVERAGEIFS(RC_IN[MC],RC_IN[BLOCK],RC_OUT[BLOCK]),"")</f>
        <v/>
      </c>
      <c r="J1491" s="264">
        <f t="shared" si="1"/>
        <v>0</v>
      </c>
      <c r="K1491" s="246"/>
      <c r="L1491" s="246"/>
      <c r="M1491" s="249" t="str">
        <f t="shared" si="2"/>
        <v/>
      </c>
      <c r="N1491" s="266">
        <f t="shared" si="3"/>
        <v>0</v>
      </c>
      <c r="O1491" s="247"/>
      <c r="P1491" s="247"/>
      <c r="Q1491" s="247"/>
      <c r="R1491" s="247"/>
      <c r="S1491" s="247"/>
      <c r="T1491" s="247"/>
      <c r="U1491" s="247"/>
      <c r="V1491" s="247"/>
      <c r="W1491" s="247"/>
      <c r="X1491" s="247"/>
    </row>
    <row r="1492">
      <c r="A1492" s="282">
        <v>46029.0</v>
      </c>
      <c r="B1492" s="275" t="s">
        <v>1147</v>
      </c>
      <c r="C1492" s="275" t="s">
        <v>256</v>
      </c>
      <c r="D1492" s="276">
        <v>11416.0</v>
      </c>
      <c r="E1492" s="275" t="s">
        <v>1017</v>
      </c>
      <c r="F1492" s="279"/>
      <c r="G1492" s="278" t="str">
        <f>IFNA(IF(VLOOKUP(RC_OUT[BLOCK],RC_IN[[BLOCK]:[BLOCK LOC]],2,FALSE)=0,"",VLOOKUP(RC_OUT[BLOCK],RC_IN[[BLOCK]:[BLOCK LOC]],2,FALSE)),"")</f>
        <v>A-17A</v>
      </c>
      <c r="I1492" s="263">
        <f>IFERROR(AVERAGEIFS(RC_IN[MC],RC_IN[BLOCK],RC_OUT[BLOCK]),"")</f>
        <v>11.62666667</v>
      </c>
      <c r="J1492" s="264">
        <f t="shared" si="1"/>
        <v>132730.0267</v>
      </c>
      <c r="K1492" s="284">
        <f t="shared" ref="K1492:L1492" si="12">A1492</f>
        <v>46029</v>
      </c>
      <c r="L1492" s="246" t="str">
        <f t="shared" si="12"/>
        <v>JANUARY</v>
      </c>
      <c r="M1492" s="249">
        <f t="shared" si="2"/>
        <v>11.02030981</v>
      </c>
      <c r="N1492" s="266">
        <f t="shared" si="3"/>
        <v>37786</v>
      </c>
      <c r="O1492" s="247"/>
      <c r="P1492" s="247"/>
      <c r="Q1492" s="247"/>
      <c r="R1492" s="247"/>
      <c r="S1492" s="247"/>
      <c r="T1492" s="247"/>
      <c r="U1492" s="247"/>
      <c r="V1492" s="247"/>
      <c r="W1492" s="247"/>
      <c r="X1492" s="247"/>
    </row>
    <row r="1493">
      <c r="A1493" s="282">
        <v>46029.0</v>
      </c>
      <c r="B1493" s="275" t="s">
        <v>1147</v>
      </c>
      <c r="C1493" s="275" t="s">
        <v>559</v>
      </c>
      <c r="D1493" s="276">
        <v>6770.0</v>
      </c>
      <c r="E1493" s="275" t="s">
        <v>1017</v>
      </c>
      <c r="F1493" s="277" t="s">
        <v>1059</v>
      </c>
      <c r="G1493" s="278" t="str">
        <f>IFNA(IF(VLOOKUP(RC_OUT[BLOCK],RC_IN[[BLOCK]:[BLOCK LOC]],2,FALSE)=0,"",VLOOKUP(RC_OUT[BLOCK],RC_IN[[BLOCK]:[BLOCK LOC]],2,FALSE)),"")</f>
        <v/>
      </c>
      <c r="I1493" s="263">
        <f>IFERROR(AVERAGEIFS(RC_IN[MC],RC_IN[BLOCK],RC_OUT[BLOCK]),"")</f>
        <v>12</v>
      </c>
      <c r="J1493" s="264">
        <f t="shared" si="1"/>
        <v>81240</v>
      </c>
      <c r="K1493" s="246"/>
      <c r="L1493" s="246"/>
      <c r="M1493" s="249" t="str">
        <f t="shared" si="2"/>
        <v/>
      </c>
      <c r="N1493" s="266">
        <f t="shared" si="3"/>
        <v>0</v>
      </c>
      <c r="O1493" s="247"/>
      <c r="P1493" s="247"/>
      <c r="Q1493" s="247"/>
      <c r="R1493" s="247"/>
      <c r="S1493" s="247"/>
      <c r="T1493" s="247"/>
      <c r="U1493" s="247"/>
      <c r="V1493" s="247"/>
      <c r="W1493" s="247"/>
      <c r="X1493" s="247"/>
    </row>
    <row r="1494">
      <c r="A1494" s="282">
        <v>46029.0</v>
      </c>
      <c r="B1494" s="275" t="s">
        <v>1147</v>
      </c>
      <c r="C1494" s="275" t="s">
        <v>356</v>
      </c>
      <c r="D1494" s="276">
        <v>11080.0</v>
      </c>
      <c r="E1494" s="275" t="s">
        <v>1017</v>
      </c>
      <c r="F1494" s="279"/>
      <c r="G1494" s="278" t="str">
        <f>IFNA(IF(VLOOKUP(RC_OUT[BLOCK],RC_IN[[BLOCK]:[BLOCK LOC]],2,FALSE)=0,"",VLOOKUP(RC_OUT[BLOCK],RC_IN[[BLOCK]:[BLOCK LOC]],2,FALSE)),"")</f>
        <v>D-1C</v>
      </c>
      <c r="I1494" s="263">
        <f>IFERROR(AVERAGEIFS(RC_IN[MC],RC_IN[BLOCK],RC_OUT[BLOCK]),"")</f>
        <v>9.505</v>
      </c>
      <c r="J1494" s="264">
        <f t="shared" si="1"/>
        <v>105315.4</v>
      </c>
      <c r="K1494" s="246"/>
      <c r="L1494" s="246"/>
      <c r="M1494" s="249" t="str">
        <f t="shared" si="2"/>
        <v/>
      </c>
      <c r="N1494" s="266">
        <f t="shared" si="3"/>
        <v>0</v>
      </c>
      <c r="O1494" s="247"/>
      <c r="P1494" s="247"/>
      <c r="Q1494" s="247"/>
      <c r="R1494" s="247"/>
      <c r="S1494" s="247"/>
      <c r="T1494" s="247"/>
      <c r="U1494" s="247"/>
      <c r="V1494" s="247"/>
      <c r="W1494" s="247"/>
      <c r="X1494" s="247"/>
    </row>
    <row r="1495">
      <c r="A1495" s="282">
        <v>46029.0</v>
      </c>
      <c r="B1495" s="275" t="s">
        <v>1147</v>
      </c>
      <c r="C1495" s="275" t="s">
        <v>569</v>
      </c>
      <c r="D1495" s="276">
        <v>8520.0</v>
      </c>
      <c r="E1495" s="275" t="s">
        <v>1017</v>
      </c>
      <c r="F1495" s="279"/>
      <c r="G1495" s="278" t="str">
        <f>IFNA(IF(VLOOKUP(RC_OUT[BLOCK],RC_IN[[BLOCK]:[BLOCK LOC]],2,FALSE)=0,"",VLOOKUP(RC_OUT[BLOCK],RC_IN[[BLOCK]:[BLOCK LOC]],2,FALSE)),"")</f>
        <v/>
      </c>
      <c r="I1495" s="263">
        <f>IFERROR(AVERAGEIFS(RC_IN[MC],RC_IN[BLOCK],RC_OUT[BLOCK]),"")</f>
        <v>11.4</v>
      </c>
      <c r="J1495" s="264">
        <f t="shared" si="1"/>
        <v>97128</v>
      </c>
      <c r="K1495" s="246"/>
      <c r="L1495" s="246"/>
      <c r="M1495" s="249" t="str">
        <f t="shared" si="2"/>
        <v/>
      </c>
      <c r="N1495" s="266">
        <f t="shared" si="3"/>
        <v>0</v>
      </c>
      <c r="O1495" s="247"/>
      <c r="P1495" s="247"/>
      <c r="Q1495" s="247"/>
      <c r="R1495" s="247"/>
      <c r="S1495" s="247"/>
      <c r="T1495" s="247"/>
      <c r="U1495" s="247"/>
      <c r="V1495" s="247"/>
      <c r="W1495" s="247"/>
      <c r="X1495" s="247"/>
    </row>
    <row r="1496">
      <c r="A1496" s="274"/>
      <c r="B1496" s="274"/>
      <c r="C1496" s="274"/>
      <c r="D1496" s="283"/>
      <c r="E1496" s="274"/>
      <c r="F1496" s="279"/>
      <c r="G1496" s="278" t="str">
        <f>IFNA(IF(VLOOKUP(RC_OUT[BLOCK],RC_IN[[BLOCK]:[BLOCK LOC]],2,FALSE)=0,"",VLOOKUP(RC_OUT[BLOCK],RC_IN[[BLOCK]:[BLOCK LOC]],2,FALSE)),"")</f>
        <v/>
      </c>
      <c r="I1496" s="263" t="str">
        <f>IFERROR(AVERAGEIFS(RC_IN[MC],RC_IN[BLOCK],RC_OUT[BLOCK]),"")</f>
        <v/>
      </c>
      <c r="J1496" s="264">
        <f t="shared" si="1"/>
        <v>0</v>
      </c>
      <c r="K1496" s="246"/>
      <c r="L1496" s="246"/>
      <c r="M1496" s="249" t="str">
        <f t="shared" si="2"/>
        <v/>
      </c>
      <c r="N1496" s="266">
        <f t="shared" si="3"/>
        <v>0</v>
      </c>
      <c r="O1496" s="247"/>
      <c r="P1496" s="247"/>
      <c r="Q1496" s="247"/>
      <c r="R1496" s="247"/>
      <c r="S1496" s="247"/>
      <c r="T1496" s="247"/>
      <c r="U1496" s="247"/>
      <c r="V1496" s="247"/>
      <c r="W1496" s="247"/>
      <c r="X1496" s="247"/>
    </row>
    <row r="1497">
      <c r="A1497" s="282">
        <v>46030.0</v>
      </c>
      <c r="B1497" s="275" t="s">
        <v>1147</v>
      </c>
      <c r="C1497" s="275" t="s">
        <v>256</v>
      </c>
      <c r="D1497" s="276">
        <v>14390.0</v>
      </c>
      <c r="E1497" s="275" t="s">
        <v>1017</v>
      </c>
      <c r="F1497" s="279"/>
      <c r="G1497" s="278" t="str">
        <f>IFNA(IF(VLOOKUP(RC_OUT[BLOCK],RC_IN[[BLOCK]:[BLOCK LOC]],2,FALSE)=0,"",VLOOKUP(RC_OUT[BLOCK],RC_IN[[BLOCK]:[BLOCK LOC]],2,FALSE)),"")</f>
        <v>A-17A</v>
      </c>
      <c r="I1497" s="263">
        <f>IFERROR(AVERAGEIFS(RC_IN[MC],RC_IN[BLOCK],RC_OUT[BLOCK]),"")</f>
        <v>11.62666667</v>
      </c>
      <c r="J1497" s="264">
        <f t="shared" si="1"/>
        <v>167307.7333</v>
      </c>
      <c r="K1497" s="284">
        <f t="shared" ref="K1497:L1497" si="13">A1497</f>
        <v>46030</v>
      </c>
      <c r="L1497" s="246" t="str">
        <f t="shared" si="13"/>
        <v>JANUARY</v>
      </c>
      <c r="M1497" s="249">
        <f t="shared" si="2"/>
        <v>10.81933536</v>
      </c>
      <c r="N1497" s="266">
        <f t="shared" si="3"/>
        <v>37647</v>
      </c>
      <c r="O1497" s="247"/>
      <c r="P1497" s="247"/>
      <c r="Q1497" s="247"/>
      <c r="R1497" s="247"/>
      <c r="S1497" s="247"/>
      <c r="T1497" s="247"/>
      <c r="U1497" s="247"/>
      <c r="V1497" s="247"/>
      <c r="W1497" s="247"/>
      <c r="X1497" s="247"/>
    </row>
    <row r="1498">
      <c r="A1498" s="282">
        <v>46030.0</v>
      </c>
      <c r="B1498" s="275" t="s">
        <v>1147</v>
      </c>
      <c r="C1498" s="275" t="s">
        <v>356</v>
      </c>
      <c r="D1498" s="276">
        <v>13257.0</v>
      </c>
      <c r="E1498" s="275" t="s">
        <v>1017</v>
      </c>
      <c r="F1498" s="279"/>
      <c r="G1498" s="278" t="str">
        <f>IFNA(IF(VLOOKUP(RC_OUT[BLOCK],RC_IN[[BLOCK]:[BLOCK LOC]],2,FALSE)=0,"",VLOOKUP(RC_OUT[BLOCK],RC_IN[[BLOCK]:[BLOCK LOC]],2,FALSE)),"")</f>
        <v>D-1C</v>
      </c>
      <c r="I1498" s="263">
        <f>IFERROR(AVERAGEIFS(RC_IN[MC],RC_IN[BLOCK],RC_OUT[BLOCK]),"")</f>
        <v>9.505</v>
      </c>
      <c r="J1498" s="264">
        <f t="shared" si="1"/>
        <v>126007.785</v>
      </c>
      <c r="K1498" s="246"/>
      <c r="L1498" s="246"/>
      <c r="M1498" s="249" t="str">
        <f t="shared" si="2"/>
        <v/>
      </c>
      <c r="N1498" s="266">
        <f t="shared" si="3"/>
        <v>0</v>
      </c>
      <c r="O1498" s="247"/>
      <c r="P1498" s="247"/>
      <c r="Q1498" s="247"/>
      <c r="R1498" s="247"/>
      <c r="S1498" s="247"/>
      <c r="T1498" s="247"/>
      <c r="U1498" s="247"/>
      <c r="V1498" s="247"/>
      <c r="W1498" s="247"/>
      <c r="X1498" s="247"/>
    </row>
    <row r="1499">
      <c r="A1499" s="282">
        <v>46030.0</v>
      </c>
      <c r="B1499" s="275" t="s">
        <v>1147</v>
      </c>
      <c r="C1499" s="275" t="s">
        <v>569</v>
      </c>
      <c r="D1499" s="276">
        <v>10000.0</v>
      </c>
      <c r="E1499" s="275" t="s">
        <v>1017</v>
      </c>
      <c r="F1499" s="277" t="s">
        <v>1059</v>
      </c>
      <c r="G1499" s="278" t="str">
        <f>IFNA(IF(VLOOKUP(RC_OUT[BLOCK],RC_IN[[BLOCK]:[BLOCK LOC]],2,FALSE)=0,"",VLOOKUP(RC_OUT[BLOCK],RC_IN[[BLOCK]:[BLOCK LOC]],2,FALSE)),"")</f>
        <v/>
      </c>
      <c r="I1499" s="263">
        <f>IFERROR(AVERAGEIFS(RC_IN[MC],RC_IN[BLOCK],RC_OUT[BLOCK]),"")</f>
        <v>11.4</v>
      </c>
      <c r="J1499" s="264">
        <f t="shared" si="1"/>
        <v>114000</v>
      </c>
      <c r="K1499" s="246"/>
      <c r="L1499" s="246"/>
      <c r="M1499" s="249" t="str">
        <f t="shared" si="2"/>
        <v/>
      </c>
      <c r="N1499" s="266">
        <f t="shared" si="3"/>
        <v>0</v>
      </c>
      <c r="O1499" s="247"/>
      <c r="P1499" s="247"/>
      <c r="Q1499" s="247"/>
      <c r="R1499" s="247"/>
      <c r="S1499" s="247"/>
      <c r="T1499" s="247"/>
      <c r="U1499" s="247"/>
      <c r="V1499" s="247"/>
      <c r="W1499" s="247"/>
      <c r="X1499" s="247"/>
    </row>
    <row r="1500">
      <c r="A1500" s="274"/>
      <c r="B1500" s="274"/>
      <c r="C1500" s="274"/>
      <c r="D1500" s="283"/>
      <c r="E1500" s="274"/>
      <c r="F1500" s="279"/>
      <c r="G1500" s="278" t="str">
        <f>IFNA(IF(VLOOKUP(RC_OUT[BLOCK],RC_IN[[BLOCK]:[BLOCK LOC]],2,FALSE)=0,"",VLOOKUP(RC_OUT[BLOCK],RC_IN[[BLOCK]:[BLOCK LOC]],2,FALSE)),"")</f>
        <v/>
      </c>
      <c r="I1500" s="263" t="str">
        <f>IFERROR(AVERAGEIFS(RC_IN[MC],RC_IN[BLOCK],RC_OUT[BLOCK]),"")</f>
        <v/>
      </c>
      <c r="J1500" s="264">
        <f t="shared" si="1"/>
        <v>0</v>
      </c>
      <c r="K1500" s="246"/>
      <c r="L1500" s="246"/>
      <c r="M1500" s="249" t="str">
        <f t="shared" si="2"/>
        <v/>
      </c>
      <c r="N1500" s="266">
        <f t="shared" si="3"/>
        <v>0</v>
      </c>
      <c r="O1500" s="247"/>
      <c r="P1500" s="247"/>
      <c r="Q1500" s="247"/>
      <c r="R1500" s="247"/>
      <c r="S1500" s="247"/>
      <c r="T1500" s="247"/>
      <c r="U1500" s="247"/>
      <c r="V1500" s="247"/>
      <c r="W1500" s="247"/>
      <c r="X1500" s="247"/>
    </row>
    <row r="1501">
      <c r="A1501" s="282">
        <v>46031.0</v>
      </c>
      <c r="B1501" s="275" t="s">
        <v>1147</v>
      </c>
      <c r="C1501" s="275" t="s">
        <v>256</v>
      </c>
      <c r="D1501" s="276">
        <v>2804.0</v>
      </c>
      <c r="E1501" s="275" t="s">
        <v>1017</v>
      </c>
      <c r="F1501" s="277" t="s">
        <v>1059</v>
      </c>
      <c r="G1501" s="278" t="str">
        <f>IFNA(IF(VLOOKUP(RC_OUT[BLOCK],RC_IN[[BLOCK]:[BLOCK LOC]],2,FALSE)=0,"",VLOOKUP(RC_OUT[BLOCK],RC_IN[[BLOCK]:[BLOCK LOC]],2,FALSE)),"")</f>
        <v>A-17A</v>
      </c>
      <c r="I1501" s="263">
        <f>IFERROR(AVERAGEIFS(RC_IN[MC],RC_IN[BLOCK],RC_OUT[BLOCK]),"")</f>
        <v>11.62666667</v>
      </c>
      <c r="J1501" s="264">
        <f t="shared" si="1"/>
        <v>32601.17333</v>
      </c>
      <c r="K1501" s="284">
        <f t="shared" ref="K1501:L1501" si="14">A1501</f>
        <v>46031</v>
      </c>
      <c r="L1501" s="246" t="str">
        <f t="shared" si="14"/>
        <v>JANUARY</v>
      </c>
      <c r="M1501" s="249">
        <f t="shared" si="2"/>
        <v>10.56588459</v>
      </c>
      <c r="N1501" s="266">
        <f t="shared" si="3"/>
        <v>37213</v>
      </c>
      <c r="O1501" s="247"/>
      <c r="P1501" s="247"/>
      <c r="Q1501" s="247"/>
      <c r="R1501" s="247"/>
      <c r="S1501" s="247"/>
      <c r="T1501" s="247"/>
      <c r="U1501" s="247"/>
      <c r="V1501" s="247"/>
      <c r="W1501" s="247"/>
      <c r="X1501" s="247"/>
    </row>
    <row r="1502">
      <c r="A1502" s="282">
        <v>46031.0</v>
      </c>
      <c r="B1502" s="275" t="s">
        <v>1147</v>
      </c>
      <c r="C1502" s="275" t="s">
        <v>356</v>
      </c>
      <c r="D1502" s="276">
        <v>8716.0</v>
      </c>
      <c r="E1502" s="275" t="s">
        <v>1017</v>
      </c>
      <c r="F1502" s="277" t="s">
        <v>1059</v>
      </c>
      <c r="G1502" s="278" t="str">
        <f>IFNA(IF(VLOOKUP(RC_OUT[BLOCK],RC_IN[[BLOCK]:[BLOCK LOC]],2,FALSE)=0,"",VLOOKUP(RC_OUT[BLOCK],RC_IN[[BLOCK]:[BLOCK LOC]],2,FALSE)),"")</f>
        <v>D-1C</v>
      </c>
      <c r="I1502" s="263">
        <f>IFERROR(AVERAGEIFS(RC_IN[MC],RC_IN[BLOCK],RC_OUT[BLOCK]),"")</f>
        <v>9.505</v>
      </c>
      <c r="J1502" s="264">
        <f t="shared" si="1"/>
        <v>82845.58</v>
      </c>
      <c r="K1502" s="246"/>
      <c r="L1502" s="246"/>
      <c r="M1502" s="249" t="str">
        <f t="shared" si="2"/>
        <v/>
      </c>
      <c r="N1502" s="266">
        <f t="shared" si="3"/>
        <v>0</v>
      </c>
      <c r="O1502" s="247"/>
      <c r="P1502" s="247"/>
      <c r="Q1502" s="247"/>
      <c r="R1502" s="247"/>
      <c r="S1502" s="247"/>
      <c r="T1502" s="247"/>
      <c r="U1502" s="247"/>
      <c r="V1502" s="247"/>
      <c r="W1502" s="247"/>
      <c r="X1502" s="247"/>
    </row>
    <row r="1503">
      <c r="A1503" s="282">
        <v>46031.0</v>
      </c>
      <c r="B1503" s="275" t="s">
        <v>1147</v>
      </c>
      <c r="C1503" s="275" t="s">
        <v>493</v>
      </c>
      <c r="D1503" s="276">
        <v>11518.0</v>
      </c>
      <c r="E1503" s="275" t="s">
        <v>1017</v>
      </c>
      <c r="F1503" s="279"/>
      <c r="G1503" s="278" t="str">
        <f>IFNA(IF(VLOOKUP(RC_OUT[BLOCK],RC_IN[[BLOCK]:[BLOCK LOC]],2,FALSE)=0,"",VLOOKUP(RC_OUT[BLOCK],RC_IN[[BLOCK]:[BLOCK LOC]],2,FALSE)),"")</f>
        <v>C-10A</v>
      </c>
      <c r="I1503" s="263">
        <f>IFERROR(AVERAGEIFS(RC_IN[MC],RC_IN[BLOCK],RC_OUT[BLOCK]),"")</f>
        <v>11.07</v>
      </c>
      <c r="J1503" s="264">
        <f t="shared" si="1"/>
        <v>127504.26</v>
      </c>
      <c r="K1503" s="246"/>
      <c r="L1503" s="246"/>
      <c r="M1503" s="249" t="str">
        <f t="shared" si="2"/>
        <v/>
      </c>
      <c r="N1503" s="266">
        <f t="shared" si="3"/>
        <v>0</v>
      </c>
      <c r="O1503" s="247"/>
      <c r="P1503" s="247"/>
      <c r="Q1503" s="247"/>
      <c r="R1503" s="247"/>
      <c r="S1503" s="247"/>
      <c r="T1503" s="247"/>
      <c r="U1503" s="247"/>
      <c r="V1503" s="247"/>
      <c r="W1503" s="247"/>
      <c r="X1503" s="247"/>
    </row>
    <row r="1504">
      <c r="A1504" s="282">
        <v>46031.0</v>
      </c>
      <c r="B1504" s="275" t="s">
        <v>1147</v>
      </c>
      <c r="C1504" s="275" t="s">
        <v>290</v>
      </c>
      <c r="D1504" s="276">
        <v>4175.0</v>
      </c>
      <c r="E1504" s="275" t="s">
        <v>1017</v>
      </c>
      <c r="F1504" s="279"/>
      <c r="G1504" s="278" t="str">
        <f>IFNA(IF(VLOOKUP(RC_OUT[BLOCK],RC_IN[[BLOCK]:[BLOCK LOC]],2,FALSE)=0,"",VLOOKUP(RC_OUT[BLOCK],RC_IN[[BLOCK]:[BLOCK LOC]],2,FALSE)),"")</f>
        <v>D-1D</v>
      </c>
      <c r="I1504" s="263">
        <f>IFERROR(AVERAGEIFS(RC_IN[MC],RC_IN[BLOCK],RC_OUT[BLOCK]),"")</f>
        <v>9.47</v>
      </c>
      <c r="J1504" s="264">
        <f t="shared" si="1"/>
        <v>39537.25</v>
      </c>
      <c r="K1504" s="246"/>
      <c r="L1504" s="246"/>
      <c r="M1504" s="249" t="str">
        <f t="shared" si="2"/>
        <v/>
      </c>
      <c r="N1504" s="266">
        <f t="shared" si="3"/>
        <v>0</v>
      </c>
      <c r="O1504" s="247"/>
      <c r="P1504" s="247"/>
      <c r="Q1504" s="247"/>
      <c r="R1504" s="247"/>
      <c r="S1504" s="247"/>
      <c r="T1504" s="247"/>
      <c r="U1504" s="247"/>
      <c r="V1504" s="247"/>
      <c r="W1504" s="247"/>
      <c r="X1504" s="247"/>
    </row>
    <row r="1505">
      <c r="A1505" s="282">
        <v>46031.0</v>
      </c>
      <c r="B1505" s="275" t="s">
        <v>1147</v>
      </c>
      <c r="C1505" s="275" t="s">
        <v>583</v>
      </c>
      <c r="D1505" s="276">
        <v>10000.0</v>
      </c>
      <c r="E1505" s="275" t="s">
        <v>1017</v>
      </c>
      <c r="F1505" s="279"/>
      <c r="G1505" s="278" t="str">
        <f>IFNA(IF(VLOOKUP(RC_OUT[BLOCK],RC_IN[[BLOCK]:[BLOCK LOC]],2,FALSE)=0,"",VLOOKUP(RC_OUT[BLOCK],RC_IN[[BLOCK]:[BLOCK LOC]],2,FALSE)),"")</f>
        <v/>
      </c>
      <c r="I1505" s="263">
        <f>IFERROR(AVERAGEIFS(RC_IN[MC],RC_IN[BLOCK],RC_OUT[BLOCK]),"")</f>
        <v>11.07</v>
      </c>
      <c r="J1505" s="264">
        <f t="shared" si="1"/>
        <v>110700</v>
      </c>
      <c r="K1505" s="246"/>
      <c r="L1505" s="246"/>
      <c r="M1505" s="249" t="str">
        <f t="shared" si="2"/>
        <v/>
      </c>
      <c r="N1505" s="266">
        <f t="shared" si="3"/>
        <v>0</v>
      </c>
      <c r="O1505" s="247"/>
      <c r="P1505" s="247"/>
      <c r="Q1505" s="247"/>
      <c r="R1505" s="247"/>
      <c r="S1505" s="247"/>
      <c r="T1505" s="247"/>
      <c r="U1505" s="247"/>
      <c r="V1505" s="247"/>
      <c r="W1505" s="247"/>
      <c r="X1505" s="247"/>
    </row>
    <row r="1506">
      <c r="A1506" s="274"/>
      <c r="B1506" s="274"/>
      <c r="C1506" s="274"/>
      <c r="D1506" s="283"/>
      <c r="E1506" s="274"/>
      <c r="F1506" s="279"/>
      <c r="G1506" s="278" t="str">
        <f>IFNA(IF(VLOOKUP(RC_OUT[BLOCK],RC_IN[[BLOCK]:[BLOCK LOC]],2,FALSE)=0,"",VLOOKUP(RC_OUT[BLOCK],RC_IN[[BLOCK]:[BLOCK LOC]],2,FALSE)),"")</f>
        <v/>
      </c>
      <c r="I1506" s="263" t="str">
        <f>IFERROR(AVERAGEIFS(RC_IN[MC],RC_IN[BLOCK],RC_OUT[BLOCK]),"")</f>
        <v/>
      </c>
      <c r="J1506" s="264">
        <f t="shared" si="1"/>
        <v>0</v>
      </c>
      <c r="K1506" s="246"/>
      <c r="L1506" s="246"/>
      <c r="M1506" s="249" t="str">
        <f t="shared" si="2"/>
        <v/>
      </c>
      <c r="N1506" s="266">
        <f t="shared" si="3"/>
        <v>0</v>
      </c>
      <c r="O1506" s="247"/>
      <c r="P1506" s="247"/>
      <c r="Q1506" s="247"/>
      <c r="R1506" s="247"/>
      <c r="S1506" s="247"/>
      <c r="T1506" s="247"/>
      <c r="U1506" s="247"/>
      <c r="V1506" s="247"/>
      <c r="W1506" s="247"/>
      <c r="X1506" s="247"/>
    </row>
    <row r="1507">
      <c r="A1507" s="282">
        <v>46032.0</v>
      </c>
      <c r="B1507" s="275" t="s">
        <v>1147</v>
      </c>
      <c r="C1507" s="275" t="s">
        <v>493</v>
      </c>
      <c r="D1507" s="276">
        <v>11243.0</v>
      </c>
      <c r="E1507" s="275" t="s">
        <v>1017</v>
      </c>
      <c r="F1507" s="279"/>
      <c r="G1507" s="278" t="str">
        <f>IFNA(IF(VLOOKUP(RC_OUT[BLOCK],RC_IN[[BLOCK]:[BLOCK LOC]],2,FALSE)=0,"",VLOOKUP(RC_OUT[BLOCK],RC_IN[[BLOCK]:[BLOCK LOC]],2,FALSE)),"")</f>
        <v>C-10A</v>
      </c>
      <c r="I1507" s="263">
        <f>IFERROR(AVERAGEIFS(RC_IN[MC],RC_IN[BLOCK],RC_OUT[BLOCK]),"")</f>
        <v>11.07</v>
      </c>
      <c r="J1507" s="264">
        <f t="shared" si="1"/>
        <v>124460.01</v>
      </c>
      <c r="K1507" s="284">
        <f t="shared" ref="K1507:L1507" si="15">A1507</f>
        <v>46032</v>
      </c>
      <c r="L1507" s="246" t="str">
        <f t="shared" si="15"/>
        <v>JANUARY</v>
      </c>
      <c r="M1507" s="249">
        <f t="shared" si="2"/>
        <v>10.51195717</v>
      </c>
      <c r="N1507" s="266">
        <f t="shared" si="3"/>
        <v>28858</v>
      </c>
      <c r="O1507" s="247"/>
      <c r="P1507" s="247"/>
      <c r="Q1507" s="247"/>
      <c r="R1507" s="247"/>
      <c r="S1507" s="247"/>
      <c r="T1507" s="247"/>
      <c r="U1507" s="247"/>
      <c r="V1507" s="247"/>
      <c r="W1507" s="247"/>
      <c r="X1507" s="247"/>
    </row>
    <row r="1508">
      <c r="A1508" s="282">
        <v>46032.0</v>
      </c>
      <c r="B1508" s="275" t="s">
        <v>1147</v>
      </c>
      <c r="C1508" s="275" t="s">
        <v>290</v>
      </c>
      <c r="D1508" s="276">
        <v>10065.0</v>
      </c>
      <c r="E1508" s="275" t="s">
        <v>1017</v>
      </c>
      <c r="F1508" s="279"/>
      <c r="G1508" s="278" t="str">
        <f>IFNA(IF(VLOOKUP(RC_OUT[BLOCK],RC_IN[[BLOCK]:[BLOCK LOC]],2,FALSE)=0,"",VLOOKUP(RC_OUT[BLOCK],RC_IN[[BLOCK]:[BLOCK LOC]],2,FALSE)),"")</f>
        <v>D-1D</v>
      </c>
      <c r="I1508" s="263">
        <f>IFERROR(AVERAGEIFS(RC_IN[MC],RC_IN[BLOCK],RC_OUT[BLOCK]),"")</f>
        <v>9.47</v>
      </c>
      <c r="J1508" s="264">
        <f t="shared" si="1"/>
        <v>95315.55</v>
      </c>
      <c r="K1508" s="246"/>
      <c r="L1508" s="246"/>
      <c r="M1508" s="249" t="str">
        <f t="shared" si="2"/>
        <v/>
      </c>
      <c r="N1508" s="266">
        <f t="shared" si="3"/>
        <v>0</v>
      </c>
      <c r="O1508" s="247"/>
      <c r="P1508" s="247"/>
      <c r="Q1508" s="247"/>
      <c r="R1508" s="247"/>
      <c r="S1508" s="247"/>
      <c r="T1508" s="247"/>
      <c r="U1508" s="247"/>
      <c r="V1508" s="247"/>
      <c r="W1508" s="247"/>
      <c r="X1508" s="247"/>
    </row>
    <row r="1509">
      <c r="A1509" s="282">
        <v>46032.0</v>
      </c>
      <c r="B1509" s="275" t="s">
        <v>1147</v>
      </c>
      <c r="C1509" s="275" t="s">
        <v>583</v>
      </c>
      <c r="D1509" s="276">
        <v>7550.0</v>
      </c>
      <c r="E1509" s="275" t="s">
        <v>1017</v>
      </c>
      <c r="F1509" s="277" t="s">
        <v>1059</v>
      </c>
      <c r="G1509" s="278" t="str">
        <f>IFNA(IF(VLOOKUP(RC_OUT[BLOCK],RC_IN[[BLOCK]:[BLOCK LOC]],2,FALSE)=0,"",VLOOKUP(RC_OUT[BLOCK],RC_IN[[BLOCK]:[BLOCK LOC]],2,FALSE)),"")</f>
        <v/>
      </c>
      <c r="I1509" s="263">
        <f>IFERROR(AVERAGEIFS(RC_IN[MC],RC_IN[BLOCK],RC_OUT[BLOCK]),"")</f>
        <v>11.07</v>
      </c>
      <c r="J1509" s="264">
        <f t="shared" si="1"/>
        <v>83578.5</v>
      </c>
      <c r="K1509" s="246"/>
      <c r="L1509" s="246"/>
      <c r="M1509" s="249" t="str">
        <f t="shared" si="2"/>
        <v/>
      </c>
      <c r="N1509" s="266">
        <f t="shared" si="3"/>
        <v>0</v>
      </c>
      <c r="O1509" s="247"/>
      <c r="P1509" s="247"/>
      <c r="Q1509" s="247"/>
      <c r="R1509" s="247"/>
      <c r="S1509" s="247"/>
      <c r="T1509" s="247"/>
      <c r="U1509" s="247"/>
      <c r="V1509" s="247"/>
      <c r="W1509" s="247"/>
      <c r="X1509" s="247"/>
    </row>
    <row r="1510">
      <c r="A1510" s="274"/>
      <c r="B1510" s="274"/>
      <c r="C1510" s="274"/>
      <c r="D1510" s="283"/>
      <c r="E1510" s="274"/>
      <c r="F1510" s="279"/>
      <c r="G1510" s="278" t="str">
        <f>IFNA(IF(VLOOKUP(RC_OUT[BLOCK],RC_IN[[BLOCK]:[BLOCK LOC]],2,FALSE)=0,"",VLOOKUP(RC_OUT[BLOCK],RC_IN[[BLOCK]:[BLOCK LOC]],2,FALSE)),"")</f>
        <v/>
      </c>
      <c r="I1510" s="263" t="str">
        <f>IFERROR(AVERAGEIFS(RC_IN[MC],RC_IN[BLOCK],RC_OUT[BLOCK]),"")</f>
        <v/>
      </c>
      <c r="J1510" s="264">
        <f t="shared" si="1"/>
        <v>0</v>
      </c>
      <c r="K1510" s="246"/>
      <c r="L1510" s="246"/>
      <c r="M1510" s="249" t="str">
        <f t="shared" si="2"/>
        <v/>
      </c>
      <c r="N1510" s="266">
        <f t="shared" si="3"/>
        <v>0</v>
      </c>
      <c r="O1510" s="247"/>
      <c r="P1510" s="247"/>
      <c r="Q1510" s="247"/>
      <c r="R1510" s="247"/>
      <c r="S1510" s="247"/>
      <c r="T1510" s="247"/>
      <c r="U1510" s="247"/>
      <c r="V1510" s="247"/>
      <c r="W1510" s="247"/>
      <c r="X1510" s="247"/>
    </row>
    <row r="1511">
      <c r="A1511" s="282">
        <v>46034.0</v>
      </c>
      <c r="B1511" s="275" t="s">
        <v>1147</v>
      </c>
      <c r="C1511" s="275" t="s">
        <v>493</v>
      </c>
      <c r="D1511" s="276">
        <v>10356.0</v>
      </c>
      <c r="E1511" s="275" t="s">
        <v>1017</v>
      </c>
      <c r="F1511" s="277" t="s">
        <v>1059</v>
      </c>
      <c r="G1511" s="278" t="str">
        <f>IFNA(IF(VLOOKUP(RC_OUT[BLOCK],RC_IN[[BLOCK]:[BLOCK LOC]],2,FALSE)=0,"",VLOOKUP(RC_OUT[BLOCK],RC_IN[[BLOCK]:[BLOCK LOC]],2,FALSE)),"")</f>
        <v>C-10A</v>
      </c>
      <c r="I1511" s="263">
        <f>IFERROR(AVERAGEIFS(RC_IN[MC],RC_IN[BLOCK],RC_OUT[BLOCK]),"")</f>
        <v>11.07</v>
      </c>
      <c r="J1511" s="264">
        <f t="shared" si="1"/>
        <v>114640.92</v>
      </c>
      <c r="K1511" s="284">
        <f t="shared" ref="K1511:L1511" si="16">A1511</f>
        <v>46034</v>
      </c>
      <c r="L1511" s="246" t="str">
        <f t="shared" si="16"/>
        <v>JANUARY</v>
      </c>
      <c r="M1511" s="249">
        <f t="shared" si="2"/>
        <v>10.70742965</v>
      </c>
      <c r="N1511" s="266">
        <f t="shared" si="3"/>
        <v>37206</v>
      </c>
      <c r="O1511" s="247"/>
      <c r="P1511" s="247"/>
      <c r="Q1511" s="247"/>
      <c r="R1511" s="247"/>
      <c r="S1511" s="247"/>
      <c r="T1511" s="247"/>
      <c r="U1511" s="247"/>
      <c r="V1511" s="247"/>
      <c r="W1511" s="247"/>
      <c r="X1511" s="247"/>
    </row>
    <row r="1512">
      <c r="A1512" s="282">
        <v>46034.0</v>
      </c>
      <c r="B1512" s="275" t="s">
        <v>1147</v>
      </c>
      <c r="C1512" s="275" t="s">
        <v>290</v>
      </c>
      <c r="D1512" s="276">
        <v>13139.0</v>
      </c>
      <c r="E1512" s="275" t="s">
        <v>1017</v>
      </c>
      <c r="F1512" s="279"/>
      <c r="G1512" s="278" t="str">
        <f>IFNA(IF(VLOOKUP(RC_OUT[BLOCK],RC_IN[[BLOCK]:[BLOCK LOC]],2,FALSE)=0,"",VLOOKUP(RC_OUT[BLOCK],RC_IN[[BLOCK]:[BLOCK LOC]],2,FALSE)),"")</f>
        <v>D-1D</v>
      </c>
      <c r="I1512" s="263">
        <f>IFERROR(AVERAGEIFS(RC_IN[MC],RC_IN[BLOCK],RC_OUT[BLOCK]),"")</f>
        <v>9.47</v>
      </c>
      <c r="J1512" s="264">
        <f t="shared" si="1"/>
        <v>124426.33</v>
      </c>
      <c r="K1512" s="246"/>
      <c r="L1512" s="246"/>
      <c r="M1512" s="249" t="str">
        <f t="shared" si="2"/>
        <v/>
      </c>
      <c r="N1512" s="266">
        <f t="shared" si="3"/>
        <v>0</v>
      </c>
      <c r="O1512" s="247"/>
      <c r="P1512" s="247"/>
      <c r="Q1512" s="247"/>
      <c r="R1512" s="247"/>
      <c r="S1512" s="247"/>
      <c r="T1512" s="247"/>
      <c r="U1512" s="247"/>
      <c r="V1512" s="247"/>
      <c r="W1512" s="247"/>
      <c r="X1512" s="247"/>
    </row>
    <row r="1513">
      <c r="A1513" s="282">
        <v>46034.0</v>
      </c>
      <c r="B1513" s="275" t="s">
        <v>1147</v>
      </c>
      <c r="C1513" s="275" t="s">
        <v>446</v>
      </c>
      <c r="D1513" s="276">
        <v>2711.0</v>
      </c>
      <c r="E1513" s="275" t="s">
        <v>1017</v>
      </c>
      <c r="F1513" s="279"/>
      <c r="G1513" s="278" t="str">
        <f>IFNA(IF(VLOOKUP(RC_OUT[BLOCK],RC_IN[[BLOCK]:[BLOCK LOC]],2,FALSE)=0,"",VLOOKUP(RC_OUT[BLOCK],RC_IN[[BLOCK]:[BLOCK LOC]],2,FALSE)),"")</f>
        <v>C-8A</v>
      </c>
      <c r="I1513" s="263">
        <f>IFERROR(AVERAGEIFS(RC_IN[MC],RC_IN[BLOCK],RC_OUT[BLOCK]),"")</f>
        <v>10.6025</v>
      </c>
      <c r="J1513" s="264">
        <f t="shared" si="1"/>
        <v>28743.3775</v>
      </c>
      <c r="K1513" s="246"/>
      <c r="L1513" s="246"/>
      <c r="M1513" s="249" t="str">
        <f t="shared" si="2"/>
        <v/>
      </c>
      <c r="N1513" s="266">
        <f t="shared" si="3"/>
        <v>0</v>
      </c>
      <c r="O1513" s="247"/>
      <c r="P1513" s="247"/>
      <c r="Q1513" s="247"/>
      <c r="R1513" s="247"/>
      <c r="S1513" s="247"/>
      <c r="T1513" s="247"/>
      <c r="U1513" s="247"/>
      <c r="V1513" s="247"/>
      <c r="W1513" s="247"/>
      <c r="X1513" s="247"/>
    </row>
    <row r="1514">
      <c r="A1514" s="282">
        <v>46034.0</v>
      </c>
      <c r="B1514" s="275" t="s">
        <v>1147</v>
      </c>
      <c r="C1514" s="275" t="s">
        <v>588</v>
      </c>
      <c r="D1514" s="276">
        <v>11000.0</v>
      </c>
      <c r="E1514" s="275" t="s">
        <v>1017</v>
      </c>
      <c r="F1514" s="279"/>
      <c r="G1514" s="278" t="str">
        <f>IFNA(IF(VLOOKUP(RC_OUT[BLOCK],RC_IN[[BLOCK]:[BLOCK LOC]],2,FALSE)=0,"",VLOOKUP(RC_OUT[BLOCK],RC_IN[[BLOCK]:[BLOCK LOC]],2,FALSE)),"")</f>
        <v/>
      </c>
      <c r="I1514" s="263">
        <f>IFERROR(AVERAGEIFS(RC_IN[MC],RC_IN[BLOCK],RC_OUT[BLOCK]),"")</f>
        <v>11.87</v>
      </c>
      <c r="J1514" s="264">
        <f t="shared" si="1"/>
        <v>130570</v>
      </c>
      <c r="K1514" s="246"/>
      <c r="L1514" s="246"/>
      <c r="M1514" s="249" t="str">
        <f t="shared" si="2"/>
        <v/>
      </c>
      <c r="N1514" s="266">
        <f t="shared" si="3"/>
        <v>0</v>
      </c>
      <c r="O1514" s="247"/>
      <c r="P1514" s="247"/>
      <c r="Q1514" s="247"/>
      <c r="R1514" s="247"/>
      <c r="S1514" s="247"/>
      <c r="T1514" s="247"/>
      <c r="U1514" s="247"/>
      <c r="V1514" s="247"/>
      <c r="W1514" s="247"/>
      <c r="X1514" s="247"/>
    </row>
    <row r="1515">
      <c r="A1515" s="274"/>
      <c r="B1515" s="274"/>
      <c r="C1515" s="274"/>
      <c r="D1515" s="283"/>
      <c r="E1515" s="274"/>
      <c r="F1515" s="279"/>
      <c r="G1515" s="278" t="str">
        <f>IFNA(IF(VLOOKUP(RC_OUT[BLOCK],RC_IN[[BLOCK]:[BLOCK LOC]],2,FALSE)=0,"",VLOOKUP(RC_OUT[BLOCK],RC_IN[[BLOCK]:[BLOCK LOC]],2,FALSE)),"")</f>
        <v/>
      </c>
      <c r="I1515" s="263" t="str">
        <f>IFERROR(AVERAGEIFS(RC_IN[MC],RC_IN[BLOCK],RC_OUT[BLOCK]),"")</f>
        <v/>
      </c>
      <c r="J1515" s="264">
        <f t="shared" si="1"/>
        <v>0</v>
      </c>
      <c r="K1515" s="246"/>
      <c r="L1515" s="246"/>
      <c r="M1515" s="249" t="str">
        <f t="shared" si="2"/>
        <v/>
      </c>
      <c r="N1515" s="266">
        <f t="shared" si="3"/>
        <v>0</v>
      </c>
      <c r="O1515" s="247"/>
      <c r="P1515" s="247"/>
      <c r="Q1515" s="247"/>
      <c r="R1515" s="247"/>
      <c r="S1515" s="247"/>
      <c r="T1515" s="247"/>
      <c r="U1515" s="247"/>
      <c r="V1515" s="247"/>
      <c r="W1515" s="247"/>
      <c r="X1515" s="247"/>
    </row>
    <row r="1516">
      <c r="A1516" s="282">
        <v>46035.0</v>
      </c>
      <c r="B1516" s="275" t="s">
        <v>1147</v>
      </c>
      <c r="C1516" s="275" t="s">
        <v>290</v>
      </c>
      <c r="D1516" s="276">
        <v>11067.0</v>
      </c>
      <c r="E1516" s="275" t="s">
        <v>1017</v>
      </c>
      <c r="F1516" s="279"/>
      <c r="G1516" s="278" t="str">
        <f>IFNA(IF(VLOOKUP(RC_OUT[BLOCK],RC_IN[[BLOCK]:[BLOCK LOC]],2,FALSE)=0,"",VLOOKUP(RC_OUT[BLOCK],RC_IN[[BLOCK]:[BLOCK LOC]],2,FALSE)),"")</f>
        <v>D-1D</v>
      </c>
      <c r="I1516" s="263">
        <f>IFERROR(AVERAGEIFS(RC_IN[MC],RC_IN[BLOCK],RC_OUT[BLOCK]),"")</f>
        <v>9.47</v>
      </c>
      <c r="J1516" s="264">
        <f t="shared" si="1"/>
        <v>104804.49</v>
      </c>
      <c r="K1516" s="284">
        <f t="shared" ref="K1516:L1516" si="17">A1516</f>
        <v>46035</v>
      </c>
      <c r="L1516" s="246" t="str">
        <f t="shared" si="17"/>
        <v>JANUARY</v>
      </c>
      <c r="M1516" s="249">
        <f t="shared" si="2"/>
        <v>10.60973594</v>
      </c>
      <c r="N1516" s="266">
        <f t="shared" si="3"/>
        <v>36213</v>
      </c>
      <c r="O1516" s="247"/>
      <c r="P1516" s="247"/>
      <c r="Q1516" s="247"/>
      <c r="R1516" s="247"/>
      <c r="S1516" s="247"/>
      <c r="T1516" s="247"/>
      <c r="U1516" s="247"/>
      <c r="V1516" s="247"/>
      <c r="W1516" s="247"/>
      <c r="X1516" s="247"/>
    </row>
    <row r="1517">
      <c r="A1517" s="282">
        <v>46035.0</v>
      </c>
      <c r="B1517" s="275" t="s">
        <v>1147</v>
      </c>
      <c r="C1517" s="275" t="s">
        <v>446</v>
      </c>
      <c r="D1517" s="276">
        <v>15051.0</v>
      </c>
      <c r="E1517" s="275" t="s">
        <v>1017</v>
      </c>
      <c r="F1517" s="279"/>
      <c r="G1517" s="278" t="str">
        <f>IFNA(IF(VLOOKUP(RC_OUT[BLOCK],RC_IN[[BLOCK]:[BLOCK LOC]],2,FALSE)=0,"",VLOOKUP(RC_OUT[BLOCK],RC_IN[[BLOCK]:[BLOCK LOC]],2,FALSE)),"")</f>
        <v>C-8A</v>
      </c>
      <c r="I1517" s="263">
        <f>IFERROR(AVERAGEIFS(RC_IN[MC],RC_IN[BLOCK],RC_OUT[BLOCK]),"")</f>
        <v>10.6025</v>
      </c>
      <c r="J1517" s="264">
        <f t="shared" si="1"/>
        <v>159578.2275</v>
      </c>
      <c r="K1517" s="246"/>
      <c r="L1517" s="246"/>
      <c r="M1517" s="249" t="str">
        <f t="shared" si="2"/>
        <v/>
      </c>
      <c r="N1517" s="266">
        <f t="shared" si="3"/>
        <v>0</v>
      </c>
      <c r="O1517" s="247"/>
      <c r="P1517" s="247"/>
      <c r="Q1517" s="247"/>
      <c r="R1517" s="247"/>
      <c r="S1517" s="247"/>
      <c r="T1517" s="247"/>
      <c r="U1517" s="247"/>
      <c r="V1517" s="247"/>
      <c r="W1517" s="247"/>
      <c r="X1517" s="247"/>
    </row>
    <row r="1518">
      <c r="A1518" s="282">
        <v>46035.0</v>
      </c>
      <c r="B1518" s="275" t="s">
        <v>1147</v>
      </c>
      <c r="C1518" s="275" t="s">
        <v>588</v>
      </c>
      <c r="D1518" s="276">
        <v>10095.0</v>
      </c>
      <c r="E1518" s="275" t="s">
        <v>1017</v>
      </c>
      <c r="F1518" s="277" t="s">
        <v>1059</v>
      </c>
      <c r="G1518" s="278" t="str">
        <f>IFNA(IF(VLOOKUP(RC_OUT[BLOCK],RC_IN[[BLOCK]:[BLOCK LOC]],2,FALSE)=0,"",VLOOKUP(RC_OUT[BLOCK],RC_IN[[BLOCK]:[BLOCK LOC]],2,FALSE)),"")</f>
        <v/>
      </c>
      <c r="I1518" s="263">
        <f>IFERROR(AVERAGEIFS(RC_IN[MC],RC_IN[BLOCK],RC_OUT[BLOCK]),"")</f>
        <v>11.87</v>
      </c>
      <c r="J1518" s="264">
        <f t="shared" si="1"/>
        <v>119827.65</v>
      </c>
      <c r="K1518" s="246"/>
      <c r="L1518" s="246"/>
      <c r="M1518" s="249" t="str">
        <f t="shared" si="2"/>
        <v/>
      </c>
      <c r="N1518" s="266">
        <f t="shared" si="3"/>
        <v>0</v>
      </c>
      <c r="O1518" s="247"/>
      <c r="P1518" s="247"/>
      <c r="Q1518" s="247"/>
      <c r="R1518" s="247"/>
      <c r="S1518" s="247"/>
      <c r="T1518" s="247"/>
      <c r="U1518" s="247"/>
      <c r="V1518" s="247"/>
      <c r="W1518" s="247"/>
      <c r="X1518" s="247"/>
    </row>
    <row r="1519">
      <c r="A1519" s="274"/>
      <c r="B1519" s="274"/>
      <c r="C1519" s="274"/>
      <c r="D1519" s="283"/>
      <c r="E1519" s="274"/>
      <c r="F1519" s="279"/>
      <c r="G1519" s="278" t="str">
        <f>IFNA(IF(VLOOKUP(RC_OUT[BLOCK],RC_IN[[BLOCK]:[BLOCK LOC]],2,FALSE)=0,"",VLOOKUP(RC_OUT[BLOCK],RC_IN[[BLOCK]:[BLOCK LOC]],2,FALSE)),"")</f>
        <v/>
      </c>
      <c r="I1519" s="263" t="str">
        <f>IFERROR(AVERAGEIFS(RC_IN[MC],RC_IN[BLOCK],RC_OUT[BLOCK]),"")</f>
        <v/>
      </c>
      <c r="J1519" s="264">
        <f t="shared" si="1"/>
        <v>0</v>
      </c>
      <c r="K1519" s="246"/>
      <c r="L1519" s="246"/>
      <c r="M1519" s="249" t="str">
        <f t="shared" si="2"/>
        <v/>
      </c>
      <c r="N1519" s="266">
        <f t="shared" si="3"/>
        <v>0</v>
      </c>
      <c r="O1519" s="247"/>
      <c r="P1519" s="247"/>
      <c r="Q1519" s="247"/>
      <c r="R1519" s="247"/>
      <c r="S1519" s="247"/>
      <c r="T1519" s="247"/>
      <c r="U1519" s="247"/>
      <c r="V1519" s="247"/>
      <c r="W1519" s="247"/>
      <c r="X1519" s="247"/>
    </row>
    <row r="1520">
      <c r="A1520" s="282">
        <v>46036.0</v>
      </c>
      <c r="B1520" s="275" t="s">
        <v>1147</v>
      </c>
      <c r="C1520" s="275" t="s">
        <v>290</v>
      </c>
      <c r="D1520" s="276">
        <v>9776.0</v>
      </c>
      <c r="E1520" s="275" t="s">
        <v>1017</v>
      </c>
      <c r="F1520" s="279"/>
      <c r="G1520" s="278" t="str">
        <f>IFNA(IF(VLOOKUP(RC_OUT[BLOCK],RC_IN[[BLOCK]:[BLOCK LOC]],2,FALSE)=0,"",VLOOKUP(RC_OUT[BLOCK],RC_IN[[BLOCK]:[BLOCK LOC]],2,FALSE)),"")</f>
        <v>D-1D</v>
      </c>
      <c r="I1520" s="263">
        <f>IFERROR(AVERAGEIFS(RC_IN[MC],RC_IN[BLOCK],RC_OUT[BLOCK]),"")</f>
        <v>9.47</v>
      </c>
      <c r="J1520" s="264">
        <f t="shared" si="1"/>
        <v>92578.72</v>
      </c>
      <c r="K1520" s="284">
        <f t="shared" ref="K1520:L1520" si="18">A1520</f>
        <v>46036</v>
      </c>
      <c r="L1520" s="246" t="str">
        <f t="shared" si="18"/>
        <v>JANUARY</v>
      </c>
      <c r="M1520" s="249">
        <f t="shared" si="2"/>
        <v>10.17729231</v>
      </c>
      <c r="N1520" s="266">
        <f t="shared" si="3"/>
        <v>27120</v>
      </c>
      <c r="O1520" s="247"/>
      <c r="P1520" s="247"/>
      <c r="Q1520" s="247"/>
      <c r="R1520" s="247"/>
      <c r="S1520" s="247"/>
      <c r="T1520" s="247"/>
      <c r="U1520" s="247"/>
      <c r="V1520" s="247"/>
      <c r="W1520" s="247"/>
      <c r="X1520" s="247"/>
    </row>
    <row r="1521">
      <c r="A1521" s="282">
        <v>46036.0</v>
      </c>
      <c r="B1521" s="275" t="s">
        <v>1147</v>
      </c>
      <c r="C1521" s="275" t="s">
        <v>446</v>
      </c>
      <c r="D1521" s="276">
        <v>9979.0</v>
      </c>
      <c r="E1521" s="275" t="s">
        <v>1017</v>
      </c>
      <c r="F1521" s="279"/>
      <c r="G1521" s="278" t="str">
        <f>IFNA(IF(VLOOKUP(RC_OUT[BLOCK],RC_IN[[BLOCK]:[BLOCK LOC]],2,FALSE)=0,"",VLOOKUP(RC_OUT[BLOCK],RC_IN[[BLOCK]:[BLOCK LOC]],2,FALSE)),"")</f>
        <v>C-8A</v>
      </c>
      <c r="I1521" s="263">
        <f>IFERROR(AVERAGEIFS(RC_IN[MC],RC_IN[BLOCK],RC_OUT[BLOCK]),"")</f>
        <v>10.6025</v>
      </c>
      <c r="J1521" s="264">
        <f t="shared" si="1"/>
        <v>105802.3475</v>
      </c>
      <c r="K1521" s="246"/>
      <c r="L1521" s="246"/>
      <c r="M1521" s="249" t="str">
        <f t="shared" si="2"/>
        <v/>
      </c>
      <c r="N1521" s="266">
        <f t="shared" si="3"/>
        <v>0</v>
      </c>
      <c r="O1521" s="247"/>
      <c r="P1521" s="247"/>
      <c r="Q1521" s="247"/>
      <c r="R1521" s="247"/>
      <c r="S1521" s="247"/>
      <c r="T1521" s="247"/>
      <c r="U1521" s="247"/>
      <c r="V1521" s="247"/>
      <c r="W1521" s="247"/>
      <c r="X1521" s="247"/>
    </row>
    <row r="1522">
      <c r="A1522" s="282">
        <v>46036.0</v>
      </c>
      <c r="B1522" s="275" t="s">
        <v>1147</v>
      </c>
      <c r="C1522" s="275" t="s">
        <v>600</v>
      </c>
      <c r="D1522" s="276">
        <v>7365.0</v>
      </c>
      <c r="E1522" s="275" t="s">
        <v>1017</v>
      </c>
      <c r="F1522" s="279"/>
      <c r="G1522" s="278" t="str">
        <f>IFNA(IF(VLOOKUP(RC_OUT[BLOCK],RC_IN[[BLOCK]:[BLOCK LOC]],2,FALSE)=0,"",VLOOKUP(RC_OUT[BLOCK],RC_IN[[BLOCK]:[BLOCK LOC]],2,FALSE)),"")</f>
        <v/>
      </c>
      <c r="I1522" s="263">
        <f>IFERROR(AVERAGEIFS(RC_IN[MC],RC_IN[BLOCK],RC_OUT[BLOCK]),"")</f>
        <v>10.54</v>
      </c>
      <c r="J1522" s="264">
        <f t="shared" si="1"/>
        <v>77627.1</v>
      </c>
      <c r="K1522" s="246"/>
      <c r="L1522" s="246"/>
      <c r="M1522" s="249" t="str">
        <f t="shared" si="2"/>
        <v/>
      </c>
      <c r="N1522" s="266">
        <f t="shared" si="3"/>
        <v>0</v>
      </c>
      <c r="O1522" s="247"/>
      <c r="P1522" s="247"/>
      <c r="Q1522" s="247"/>
      <c r="R1522" s="247"/>
      <c r="S1522" s="247"/>
      <c r="T1522" s="247"/>
      <c r="U1522" s="247"/>
      <c r="V1522" s="247"/>
      <c r="W1522" s="247"/>
      <c r="X1522" s="247"/>
    </row>
    <row r="1523">
      <c r="A1523" s="274"/>
      <c r="B1523" s="274"/>
      <c r="C1523" s="274"/>
      <c r="D1523" s="283"/>
      <c r="E1523" s="274"/>
      <c r="F1523" s="279"/>
      <c r="G1523" s="278" t="str">
        <f>IFNA(IF(VLOOKUP(RC_OUT[BLOCK],RC_IN[[BLOCK]:[BLOCK LOC]],2,FALSE)=0,"",VLOOKUP(RC_OUT[BLOCK],RC_IN[[BLOCK]:[BLOCK LOC]],2,FALSE)),"")</f>
        <v/>
      </c>
      <c r="I1523" s="263" t="str">
        <f>IFERROR(AVERAGEIFS(RC_IN[MC],RC_IN[BLOCK],RC_OUT[BLOCK]),"")</f>
        <v/>
      </c>
      <c r="J1523" s="264">
        <f t="shared" si="1"/>
        <v>0</v>
      </c>
      <c r="K1523" s="246"/>
      <c r="L1523" s="246"/>
      <c r="M1523" s="249" t="str">
        <f t="shared" si="2"/>
        <v/>
      </c>
      <c r="N1523" s="266">
        <f t="shared" si="3"/>
        <v>0</v>
      </c>
      <c r="O1523" s="247"/>
      <c r="P1523" s="247"/>
      <c r="Q1523" s="247"/>
      <c r="R1523" s="247"/>
      <c r="S1523" s="247"/>
      <c r="T1523" s="247"/>
      <c r="U1523" s="247"/>
      <c r="V1523" s="247"/>
      <c r="W1523" s="247"/>
      <c r="X1523" s="247"/>
    </row>
    <row r="1524">
      <c r="A1524" s="282">
        <v>46037.0</v>
      </c>
      <c r="B1524" s="275" t="s">
        <v>1147</v>
      </c>
      <c r="C1524" s="275" t="s">
        <v>290</v>
      </c>
      <c r="D1524" s="276">
        <v>9222.0</v>
      </c>
      <c r="E1524" s="275" t="s">
        <v>1017</v>
      </c>
      <c r="F1524" s="277" t="s">
        <v>1059</v>
      </c>
      <c r="G1524" s="278" t="str">
        <f>IFNA(IF(VLOOKUP(RC_OUT[BLOCK],RC_IN[[BLOCK]:[BLOCK LOC]],2,FALSE)=0,"",VLOOKUP(RC_OUT[BLOCK],RC_IN[[BLOCK]:[BLOCK LOC]],2,FALSE)),"")</f>
        <v>D-1D</v>
      </c>
      <c r="I1524" s="263">
        <f>IFERROR(AVERAGEIFS(RC_IN[MC],RC_IN[BLOCK],RC_OUT[BLOCK]),"")</f>
        <v>9.47</v>
      </c>
      <c r="J1524" s="264">
        <f t="shared" si="1"/>
        <v>87332.34</v>
      </c>
      <c r="K1524" s="284">
        <f t="shared" ref="K1524:L1524" si="19">A1524</f>
        <v>46037</v>
      </c>
      <c r="L1524" s="246" t="str">
        <f t="shared" si="19"/>
        <v>JANUARY</v>
      </c>
      <c r="M1524" s="249">
        <f t="shared" si="2"/>
        <v>10.2140063</v>
      </c>
      <c r="N1524" s="266">
        <f t="shared" si="3"/>
        <v>28331</v>
      </c>
      <c r="O1524" s="247"/>
      <c r="P1524" s="247"/>
      <c r="Q1524" s="247"/>
      <c r="R1524" s="247"/>
      <c r="S1524" s="247"/>
      <c r="T1524" s="247"/>
      <c r="U1524" s="247"/>
      <c r="V1524" s="247"/>
      <c r="W1524" s="247"/>
      <c r="X1524" s="247"/>
    </row>
    <row r="1525">
      <c r="A1525" s="282">
        <v>46037.0</v>
      </c>
      <c r="B1525" s="275" t="s">
        <v>1147</v>
      </c>
      <c r="C1525" s="275" t="s">
        <v>446</v>
      </c>
      <c r="D1525" s="276">
        <v>10109.0</v>
      </c>
      <c r="E1525" s="275" t="s">
        <v>1017</v>
      </c>
      <c r="F1525" s="279"/>
      <c r="G1525" s="278" t="str">
        <f>IFNA(IF(VLOOKUP(RC_OUT[BLOCK],RC_IN[[BLOCK]:[BLOCK LOC]],2,FALSE)=0,"",VLOOKUP(RC_OUT[BLOCK],RC_IN[[BLOCK]:[BLOCK LOC]],2,FALSE)),"")</f>
        <v>C-8A</v>
      </c>
      <c r="I1525" s="263">
        <f>IFERROR(AVERAGEIFS(RC_IN[MC],RC_IN[BLOCK],RC_OUT[BLOCK]),"")</f>
        <v>10.6025</v>
      </c>
      <c r="J1525" s="264">
        <f t="shared" si="1"/>
        <v>107180.6725</v>
      </c>
      <c r="K1525" s="246"/>
      <c r="L1525" s="246"/>
      <c r="M1525" s="249" t="str">
        <f t="shared" si="2"/>
        <v/>
      </c>
      <c r="N1525" s="266">
        <f t="shared" si="3"/>
        <v>0</v>
      </c>
      <c r="O1525" s="247"/>
      <c r="P1525" s="247"/>
      <c r="Q1525" s="247"/>
      <c r="R1525" s="247"/>
      <c r="S1525" s="247"/>
      <c r="T1525" s="247"/>
      <c r="U1525" s="247"/>
      <c r="V1525" s="247"/>
      <c r="W1525" s="247"/>
      <c r="X1525" s="247"/>
    </row>
    <row r="1526">
      <c r="A1526" s="282">
        <v>46037.0</v>
      </c>
      <c r="B1526" s="275" t="s">
        <v>1147</v>
      </c>
      <c r="C1526" s="275" t="s">
        <v>600</v>
      </c>
      <c r="D1526" s="276">
        <v>9000.0</v>
      </c>
      <c r="E1526" s="275" t="s">
        <v>1017</v>
      </c>
      <c r="F1526" s="277" t="s">
        <v>1059</v>
      </c>
      <c r="G1526" s="278" t="str">
        <f>IFNA(IF(VLOOKUP(RC_OUT[BLOCK],RC_IN[[BLOCK]:[BLOCK LOC]],2,FALSE)=0,"",VLOOKUP(RC_OUT[BLOCK],RC_IN[[BLOCK]:[BLOCK LOC]],2,FALSE)),"")</f>
        <v/>
      </c>
      <c r="I1526" s="263">
        <f>IFERROR(AVERAGEIFS(RC_IN[MC],RC_IN[BLOCK],RC_OUT[BLOCK]),"")</f>
        <v>10.54</v>
      </c>
      <c r="J1526" s="264">
        <f t="shared" si="1"/>
        <v>94860</v>
      </c>
      <c r="K1526" s="246"/>
      <c r="L1526" s="246"/>
      <c r="M1526" s="249" t="str">
        <f t="shared" si="2"/>
        <v/>
      </c>
      <c r="N1526" s="266">
        <f t="shared" si="3"/>
        <v>0</v>
      </c>
      <c r="O1526" s="247"/>
      <c r="P1526" s="247"/>
      <c r="Q1526" s="247"/>
      <c r="R1526" s="247"/>
      <c r="S1526" s="247"/>
      <c r="T1526" s="247"/>
      <c r="U1526" s="247"/>
      <c r="V1526" s="247"/>
      <c r="W1526" s="247"/>
      <c r="X1526" s="247"/>
    </row>
    <row r="1527">
      <c r="A1527" s="274"/>
      <c r="B1527" s="274"/>
      <c r="C1527" s="274"/>
      <c r="D1527" s="283"/>
      <c r="E1527" s="274"/>
      <c r="F1527" s="279"/>
      <c r="G1527" s="278" t="str">
        <f>IFNA(IF(VLOOKUP(RC_OUT[BLOCK],RC_IN[[BLOCK]:[BLOCK LOC]],2,FALSE)=0,"",VLOOKUP(RC_OUT[BLOCK],RC_IN[[BLOCK]:[BLOCK LOC]],2,FALSE)),"")</f>
        <v/>
      </c>
      <c r="I1527" s="263" t="str">
        <f>IFERROR(AVERAGEIFS(RC_IN[MC],RC_IN[BLOCK],RC_OUT[BLOCK]),"")</f>
        <v/>
      </c>
      <c r="J1527" s="264">
        <f t="shared" si="1"/>
        <v>0</v>
      </c>
      <c r="K1527" s="246"/>
      <c r="L1527" s="246"/>
      <c r="M1527" s="249" t="str">
        <f t="shared" si="2"/>
        <v/>
      </c>
      <c r="N1527" s="266">
        <f t="shared" si="3"/>
        <v>0</v>
      </c>
      <c r="O1527" s="247"/>
      <c r="P1527" s="247"/>
      <c r="Q1527" s="247"/>
      <c r="R1527" s="247"/>
      <c r="S1527" s="247"/>
      <c r="T1527" s="247"/>
      <c r="U1527" s="247"/>
      <c r="V1527" s="247"/>
      <c r="W1527" s="247"/>
      <c r="X1527" s="247"/>
    </row>
    <row r="1528">
      <c r="A1528" s="282">
        <v>46038.0</v>
      </c>
      <c r="B1528" s="275" t="s">
        <v>1147</v>
      </c>
      <c r="C1528" s="275" t="s">
        <v>446</v>
      </c>
      <c r="D1528" s="276">
        <v>14161.0</v>
      </c>
      <c r="E1528" s="275" t="s">
        <v>1017</v>
      </c>
      <c r="F1528" s="279"/>
      <c r="G1528" s="278" t="str">
        <f>IFNA(IF(VLOOKUP(RC_OUT[BLOCK],RC_IN[[BLOCK]:[BLOCK LOC]],2,FALSE)=0,"",VLOOKUP(RC_OUT[BLOCK],RC_IN[[BLOCK]:[BLOCK LOC]],2,FALSE)),"")</f>
        <v>C-8A</v>
      </c>
      <c r="I1528" s="263">
        <f>IFERROR(AVERAGEIFS(RC_IN[MC],RC_IN[BLOCK],RC_OUT[BLOCK]),"")</f>
        <v>10.6025</v>
      </c>
      <c r="J1528" s="264">
        <f t="shared" si="1"/>
        <v>150142.0025</v>
      </c>
      <c r="K1528" s="284">
        <f t="shared" ref="K1528:L1528" si="20">A1528</f>
        <v>46038</v>
      </c>
      <c r="L1528" s="246" t="str">
        <f t="shared" si="20"/>
        <v>JANUARY</v>
      </c>
      <c r="M1528" s="249">
        <f t="shared" si="2"/>
        <v>10.74481988</v>
      </c>
      <c r="N1528" s="266">
        <f t="shared" si="3"/>
        <v>35462</v>
      </c>
      <c r="O1528" s="247"/>
      <c r="P1528" s="247"/>
      <c r="Q1528" s="247"/>
      <c r="R1528" s="247"/>
      <c r="S1528" s="247"/>
      <c r="T1528" s="247"/>
      <c r="U1528" s="247"/>
      <c r="V1528" s="247"/>
      <c r="W1528" s="247"/>
      <c r="X1528" s="247"/>
    </row>
    <row r="1529">
      <c r="A1529" s="282">
        <v>46038.0</v>
      </c>
      <c r="B1529" s="275" t="s">
        <v>1147</v>
      </c>
      <c r="C1529" s="275" t="s">
        <v>498</v>
      </c>
      <c r="D1529" s="276">
        <v>15301.0</v>
      </c>
      <c r="E1529" s="275" t="s">
        <v>1017</v>
      </c>
      <c r="F1529" s="279"/>
      <c r="G1529" s="278" t="str">
        <f>IFNA(IF(VLOOKUP(RC_OUT[BLOCK],RC_IN[[BLOCK]:[BLOCK LOC]],2,FALSE)=0,"",VLOOKUP(RC_OUT[BLOCK],RC_IN[[BLOCK]:[BLOCK LOC]],2,FALSE)),"")</f>
        <v>D-2D</v>
      </c>
      <c r="I1529" s="263">
        <f>IFERROR(AVERAGEIFS(RC_IN[MC],RC_IN[BLOCK],RC_OUT[BLOCK]),"")</f>
        <v>10.8</v>
      </c>
      <c r="J1529" s="264">
        <f t="shared" si="1"/>
        <v>165250.8</v>
      </c>
      <c r="K1529" s="246"/>
      <c r="L1529" s="246"/>
      <c r="M1529" s="249" t="str">
        <f t="shared" si="2"/>
        <v/>
      </c>
      <c r="N1529" s="266">
        <f t="shared" si="3"/>
        <v>0</v>
      </c>
      <c r="O1529" s="247"/>
      <c r="P1529" s="247"/>
      <c r="Q1529" s="247"/>
      <c r="R1529" s="247"/>
      <c r="S1529" s="247"/>
      <c r="T1529" s="247"/>
      <c r="U1529" s="247"/>
      <c r="V1529" s="247"/>
      <c r="W1529" s="247"/>
      <c r="X1529" s="247"/>
    </row>
    <row r="1530">
      <c r="A1530" s="282">
        <v>46038.0</v>
      </c>
      <c r="B1530" s="275" t="s">
        <v>1147</v>
      </c>
      <c r="C1530" s="275" t="s">
        <v>615</v>
      </c>
      <c r="D1530" s="276">
        <v>6000.0</v>
      </c>
      <c r="E1530" s="275" t="s">
        <v>1017</v>
      </c>
      <c r="F1530" s="279"/>
      <c r="G1530" s="278" t="str">
        <f>IFNA(IF(VLOOKUP(RC_OUT[BLOCK],RC_IN[[BLOCK]:[BLOCK LOC]],2,FALSE)=0,"",VLOOKUP(RC_OUT[BLOCK],RC_IN[[BLOCK]:[BLOCK LOC]],2,FALSE)),"")</f>
        <v/>
      </c>
      <c r="I1530" s="263">
        <f>IFERROR(AVERAGEIFS(RC_IN[MC],RC_IN[BLOCK],RC_OUT[BLOCK]),"")</f>
        <v>10.94</v>
      </c>
      <c r="J1530" s="264">
        <f t="shared" si="1"/>
        <v>65640</v>
      </c>
      <c r="K1530" s="246"/>
      <c r="L1530" s="246"/>
      <c r="M1530" s="249" t="str">
        <f t="shared" si="2"/>
        <v/>
      </c>
      <c r="N1530" s="266">
        <f t="shared" si="3"/>
        <v>0</v>
      </c>
      <c r="O1530" s="247"/>
      <c r="P1530" s="247"/>
      <c r="Q1530" s="247"/>
      <c r="R1530" s="247"/>
      <c r="S1530" s="247"/>
      <c r="T1530" s="247"/>
      <c r="U1530" s="247"/>
      <c r="V1530" s="247"/>
      <c r="W1530" s="247"/>
      <c r="X1530" s="247"/>
    </row>
    <row r="1531">
      <c r="A1531" s="274"/>
      <c r="B1531" s="274"/>
      <c r="C1531" s="274"/>
      <c r="D1531" s="283"/>
      <c r="E1531" s="274"/>
      <c r="F1531" s="279"/>
      <c r="G1531" s="278" t="str">
        <f>IFNA(IF(VLOOKUP(RC_OUT[BLOCK],RC_IN[[BLOCK]:[BLOCK LOC]],2,FALSE)=0,"",VLOOKUP(RC_OUT[BLOCK],RC_IN[[BLOCK]:[BLOCK LOC]],2,FALSE)),"")</f>
        <v/>
      </c>
      <c r="I1531" s="263" t="str">
        <f>IFERROR(AVERAGEIFS(RC_IN[MC],RC_IN[BLOCK],RC_OUT[BLOCK]),"")</f>
        <v/>
      </c>
      <c r="J1531" s="264">
        <f t="shared" si="1"/>
        <v>0</v>
      </c>
      <c r="K1531" s="246"/>
      <c r="L1531" s="246"/>
      <c r="M1531" s="249" t="str">
        <f t="shared" si="2"/>
        <v/>
      </c>
      <c r="N1531" s="266">
        <f t="shared" si="3"/>
        <v>0</v>
      </c>
      <c r="O1531" s="247"/>
      <c r="P1531" s="247"/>
      <c r="Q1531" s="247"/>
      <c r="R1531" s="247"/>
      <c r="S1531" s="247"/>
      <c r="T1531" s="247"/>
      <c r="U1531" s="247"/>
      <c r="V1531" s="247"/>
      <c r="W1531" s="247"/>
      <c r="X1531" s="247"/>
    </row>
    <row r="1532">
      <c r="A1532" s="282">
        <v>46039.0</v>
      </c>
      <c r="B1532" s="275" t="s">
        <v>1147</v>
      </c>
      <c r="C1532" s="275" t="s">
        <v>446</v>
      </c>
      <c r="D1532" s="276">
        <v>10081.0</v>
      </c>
      <c r="E1532" s="275" t="s">
        <v>1017</v>
      </c>
      <c r="F1532" s="277" t="s">
        <v>1059</v>
      </c>
      <c r="G1532" s="278" t="str">
        <f>IFNA(IF(VLOOKUP(RC_OUT[BLOCK],RC_IN[[BLOCK]:[BLOCK LOC]],2,FALSE)=0,"",VLOOKUP(RC_OUT[BLOCK],RC_IN[[BLOCK]:[BLOCK LOC]],2,FALSE)),"")</f>
        <v>C-8A</v>
      </c>
      <c r="I1532" s="263">
        <f>IFERROR(AVERAGEIFS(RC_IN[MC],RC_IN[BLOCK],RC_OUT[BLOCK]),"")</f>
        <v>10.6025</v>
      </c>
      <c r="J1532" s="264">
        <f t="shared" si="1"/>
        <v>106883.8025</v>
      </c>
      <c r="K1532" s="284">
        <f t="shared" ref="K1532:L1532" si="21">A1532</f>
        <v>46039</v>
      </c>
      <c r="L1532" s="246" t="str">
        <f t="shared" si="21"/>
        <v>JANUARY</v>
      </c>
      <c r="M1532" s="249">
        <f t="shared" si="2"/>
        <v>11.45013702</v>
      </c>
      <c r="N1532" s="266">
        <f t="shared" si="3"/>
        <v>29722</v>
      </c>
      <c r="O1532" s="247"/>
      <c r="P1532" s="247"/>
      <c r="Q1532" s="247"/>
      <c r="R1532" s="247"/>
      <c r="S1532" s="247"/>
      <c r="T1532" s="247"/>
      <c r="U1532" s="247"/>
      <c r="V1532" s="247"/>
      <c r="W1532" s="247"/>
      <c r="X1532" s="247"/>
    </row>
    <row r="1533">
      <c r="A1533" s="282">
        <v>46039.0</v>
      </c>
      <c r="B1533" s="275" t="s">
        <v>1147</v>
      </c>
      <c r="C1533" s="275" t="s">
        <v>498</v>
      </c>
      <c r="D1533" s="276">
        <v>10030.0</v>
      </c>
      <c r="E1533" s="275" t="s">
        <v>1017</v>
      </c>
      <c r="F1533" s="279"/>
      <c r="G1533" s="278" t="str">
        <f>IFNA(IF(VLOOKUP(RC_OUT[BLOCK],RC_IN[[BLOCK]:[BLOCK LOC]],2,FALSE)=0,"",VLOOKUP(RC_OUT[BLOCK],RC_IN[[BLOCK]:[BLOCK LOC]],2,FALSE)),"")</f>
        <v>D-2D</v>
      </c>
      <c r="I1533" s="263">
        <f>IFERROR(AVERAGEIFS(RC_IN[MC],RC_IN[BLOCK],RC_OUT[BLOCK]),"")</f>
        <v>10.8</v>
      </c>
      <c r="J1533" s="264">
        <f t="shared" si="1"/>
        <v>108324</v>
      </c>
      <c r="K1533" s="246"/>
      <c r="L1533" s="246"/>
      <c r="M1533" s="249" t="str">
        <f t="shared" si="2"/>
        <v/>
      </c>
      <c r="N1533" s="266">
        <f t="shared" si="3"/>
        <v>0</v>
      </c>
      <c r="O1533" s="247"/>
      <c r="P1533" s="247"/>
      <c r="Q1533" s="247"/>
      <c r="R1533" s="247"/>
      <c r="S1533" s="247"/>
      <c r="T1533" s="247"/>
      <c r="U1533" s="247"/>
      <c r="V1533" s="247"/>
      <c r="W1533" s="247"/>
      <c r="X1533" s="247"/>
    </row>
    <row r="1534">
      <c r="A1534" s="282">
        <v>46039.0</v>
      </c>
      <c r="B1534" s="275" t="s">
        <v>1147</v>
      </c>
      <c r="C1534" s="275" t="s">
        <v>615</v>
      </c>
      <c r="D1534" s="276">
        <v>6000.0</v>
      </c>
      <c r="E1534" s="275" t="s">
        <v>1017</v>
      </c>
      <c r="F1534" s="279"/>
      <c r="G1534" s="278" t="str">
        <f>IFNA(IF(VLOOKUP(RC_OUT[BLOCK],RC_IN[[BLOCK]:[BLOCK LOC]],2,FALSE)=0,"",VLOOKUP(RC_OUT[BLOCK],RC_IN[[BLOCK]:[BLOCK LOC]],2,FALSE)),"")</f>
        <v/>
      </c>
      <c r="I1534" s="263">
        <f>IFERROR(AVERAGEIFS(RC_IN[MC],RC_IN[BLOCK],RC_OUT[BLOCK]),"")</f>
        <v>10.94</v>
      </c>
      <c r="J1534" s="264">
        <f t="shared" si="1"/>
        <v>65640</v>
      </c>
      <c r="K1534" s="246"/>
      <c r="L1534" s="246"/>
      <c r="M1534" s="249" t="str">
        <f t="shared" si="2"/>
        <v/>
      </c>
      <c r="N1534" s="266">
        <f t="shared" si="3"/>
        <v>0</v>
      </c>
      <c r="O1534" s="247"/>
      <c r="P1534" s="247"/>
      <c r="Q1534" s="247"/>
      <c r="R1534" s="247"/>
      <c r="S1534" s="247"/>
      <c r="T1534" s="247"/>
      <c r="U1534" s="247"/>
      <c r="V1534" s="247"/>
      <c r="W1534" s="247"/>
      <c r="X1534" s="247"/>
    </row>
    <row r="1535">
      <c r="A1535" s="274"/>
      <c r="B1535" s="274"/>
      <c r="C1535" s="274"/>
      <c r="D1535" s="283"/>
      <c r="E1535" s="274"/>
      <c r="F1535" s="279"/>
      <c r="G1535" s="278" t="str">
        <f>IFNA(IF(VLOOKUP(RC_OUT[BLOCK],RC_IN[[BLOCK]:[BLOCK LOC]],2,FALSE)=0,"",VLOOKUP(RC_OUT[BLOCK],RC_IN[[BLOCK]:[BLOCK LOC]],2,FALSE)),"")</f>
        <v/>
      </c>
      <c r="I1535" s="263" t="str">
        <f>IFERROR(AVERAGEIFS(RC_IN[MC],RC_IN[BLOCK],RC_OUT[BLOCK]),"")</f>
        <v/>
      </c>
      <c r="J1535" s="264">
        <f t="shared" si="1"/>
        <v>0</v>
      </c>
      <c r="K1535" s="246"/>
      <c r="L1535" s="246"/>
      <c r="M1535" s="249" t="str">
        <f t="shared" si="2"/>
        <v/>
      </c>
      <c r="N1535" s="266">
        <f t="shared" si="3"/>
        <v>0</v>
      </c>
      <c r="O1535" s="247"/>
      <c r="P1535" s="247"/>
      <c r="Q1535" s="247"/>
      <c r="R1535" s="247"/>
      <c r="S1535" s="247"/>
      <c r="T1535" s="247"/>
      <c r="U1535" s="247"/>
      <c r="V1535" s="247"/>
      <c r="W1535" s="247"/>
      <c r="X1535" s="247"/>
    </row>
    <row r="1536">
      <c r="A1536" s="282">
        <v>46041.0</v>
      </c>
      <c r="B1536" s="275" t="s">
        <v>1147</v>
      </c>
      <c r="C1536" s="275" t="s">
        <v>498</v>
      </c>
      <c r="D1536" s="276">
        <v>4551.0</v>
      </c>
      <c r="E1536" s="275" t="s">
        <v>1017</v>
      </c>
      <c r="F1536" s="277" t="s">
        <v>1059</v>
      </c>
      <c r="G1536" s="278" t="str">
        <f>IFNA(IF(VLOOKUP(RC_OUT[BLOCK],RC_IN[[BLOCK]:[BLOCK LOC]],2,FALSE)=0,"",VLOOKUP(RC_OUT[BLOCK],RC_IN[[BLOCK]:[BLOCK LOC]],2,FALSE)),"")</f>
        <v>D-2D</v>
      </c>
      <c r="I1536" s="263">
        <f>IFERROR(AVERAGEIFS(RC_IN[MC],RC_IN[BLOCK],RC_OUT[BLOCK]),"")</f>
        <v>10.8</v>
      </c>
      <c r="J1536" s="264">
        <f t="shared" si="1"/>
        <v>49150.8</v>
      </c>
      <c r="K1536" s="284">
        <f t="shared" ref="K1536:L1536" si="22">A1536</f>
        <v>46041</v>
      </c>
      <c r="L1536" s="246" t="str">
        <f t="shared" si="22"/>
        <v>JANUARY</v>
      </c>
      <c r="M1536" s="249">
        <f t="shared" si="2"/>
        <v>10.89291042</v>
      </c>
      <c r="N1536" s="266">
        <f t="shared" si="3"/>
        <v>42195</v>
      </c>
      <c r="O1536" s="247"/>
      <c r="P1536" s="247"/>
      <c r="Q1536" s="247"/>
      <c r="R1536" s="247"/>
      <c r="S1536" s="247"/>
      <c r="T1536" s="247"/>
      <c r="U1536" s="247"/>
      <c r="V1536" s="247"/>
      <c r="W1536" s="247"/>
      <c r="X1536" s="247"/>
    </row>
    <row r="1537">
      <c r="A1537" s="282">
        <v>46041.0</v>
      </c>
      <c r="B1537" s="275" t="s">
        <v>1147</v>
      </c>
      <c r="C1537" s="275" t="s">
        <v>615</v>
      </c>
      <c r="D1537" s="276">
        <v>4700.0</v>
      </c>
      <c r="E1537" s="275" t="s">
        <v>1017</v>
      </c>
      <c r="F1537" s="277" t="s">
        <v>1059</v>
      </c>
      <c r="G1537" s="278" t="str">
        <f>IFNA(IF(VLOOKUP(RC_OUT[BLOCK],RC_IN[[BLOCK]:[BLOCK LOC]],2,FALSE)=0,"",VLOOKUP(RC_OUT[BLOCK],RC_IN[[BLOCK]:[BLOCK LOC]],2,FALSE)),"")</f>
        <v/>
      </c>
      <c r="I1537" s="263">
        <f>IFERROR(AVERAGEIFS(RC_IN[MC],RC_IN[BLOCK],RC_OUT[BLOCK]),"")</f>
        <v>10.94</v>
      </c>
      <c r="J1537" s="264">
        <f t="shared" si="1"/>
        <v>51418</v>
      </c>
      <c r="K1537" s="246"/>
      <c r="L1537" s="246"/>
      <c r="M1537" s="249" t="str">
        <f t="shared" si="2"/>
        <v/>
      </c>
      <c r="N1537" s="266">
        <f t="shared" si="3"/>
        <v>0</v>
      </c>
      <c r="O1537" s="247"/>
      <c r="P1537" s="247"/>
      <c r="Q1537" s="247"/>
      <c r="R1537" s="247"/>
      <c r="S1537" s="247"/>
      <c r="T1537" s="247"/>
      <c r="U1537" s="247"/>
      <c r="V1537" s="247"/>
      <c r="W1537" s="247"/>
      <c r="X1537" s="247"/>
    </row>
    <row r="1538">
      <c r="A1538" s="282">
        <v>46041.0</v>
      </c>
      <c r="B1538" s="275" t="s">
        <v>1147</v>
      </c>
      <c r="C1538" s="275" t="s">
        <v>454</v>
      </c>
      <c r="D1538" s="276">
        <v>19886.0</v>
      </c>
      <c r="E1538" s="275" t="s">
        <v>1017</v>
      </c>
      <c r="F1538" s="279"/>
      <c r="G1538" s="278" t="str">
        <f>IFNA(IF(VLOOKUP(RC_OUT[BLOCK],RC_IN[[BLOCK]:[BLOCK LOC]],2,FALSE)=0,"",VLOOKUP(RC_OUT[BLOCK],RC_IN[[BLOCK]:[BLOCK LOC]],2,FALSE)),"")</f>
        <v>C-8B</v>
      </c>
      <c r="I1538" s="263">
        <f>IFERROR(AVERAGEIFS(RC_IN[MC],RC_IN[BLOCK],RC_OUT[BLOCK]),"")</f>
        <v>11.5025</v>
      </c>
      <c r="J1538" s="264">
        <f t="shared" si="1"/>
        <v>228738.715</v>
      </c>
      <c r="K1538" s="246"/>
      <c r="L1538" s="246"/>
      <c r="M1538" s="249" t="str">
        <f t="shared" si="2"/>
        <v/>
      </c>
      <c r="N1538" s="266">
        <f t="shared" si="3"/>
        <v>0</v>
      </c>
      <c r="O1538" s="247"/>
      <c r="P1538" s="247"/>
      <c r="Q1538" s="247"/>
      <c r="R1538" s="247"/>
      <c r="S1538" s="247"/>
      <c r="T1538" s="247"/>
      <c r="U1538" s="247"/>
      <c r="V1538" s="247"/>
      <c r="W1538" s="247"/>
      <c r="X1538" s="247"/>
    </row>
    <row r="1539">
      <c r="A1539" s="282">
        <v>46041.0</v>
      </c>
      <c r="B1539" s="275" t="s">
        <v>1147</v>
      </c>
      <c r="C1539" s="275" t="s">
        <v>412</v>
      </c>
      <c r="D1539" s="276">
        <v>13058.0</v>
      </c>
      <c r="E1539" s="275" t="s">
        <v>1017</v>
      </c>
      <c r="F1539" s="279"/>
      <c r="G1539" s="278" t="str">
        <f>IFNA(IF(VLOOKUP(RC_OUT[BLOCK],RC_IN[[BLOCK]:[BLOCK LOC]],2,FALSE)=0,"",VLOOKUP(RC_OUT[BLOCK],RC_IN[[BLOCK]:[BLOCK LOC]],2,FALSE)),"")</f>
        <v>D-3D</v>
      </c>
      <c r="I1539" s="263">
        <f>IFERROR(AVERAGEIFS(RC_IN[MC],RC_IN[BLOCK],RC_OUT[BLOCK]),"")</f>
        <v>9.98</v>
      </c>
      <c r="J1539" s="264">
        <f t="shared" si="1"/>
        <v>130318.84</v>
      </c>
      <c r="K1539" s="246"/>
      <c r="L1539" s="246"/>
      <c r="M1539" s="249" t="str">
        <f t="shared" si="2"/>
        <v/>
      </c>
      <c r="N1539" s="266">
        <f t="shared" si="3"/>
        <v>0</v>
      </c>
      <c r="O1539" s="247"/>
      <c r="P1539" s="247"/>
      <c r="Q1539" s="247"/>
      <c r="R1539" s="247"/>
      <c r="S1539" s="247"/>
      <c r="T1539" s="247"/>
      <c r="U1539" s="247"/>
      <c r="V1539" s="247"/>
      <c r="W1539" s="247"/>
      <c r="X1539" s="247"/>
    </row>
    <row r="1540">
      <c r="A1540" s="274"/>
      <c r="B1540" s="274"/>
      <c r="C1540" s="274"/>
      <c r="D1540" s="283"/>
      <c r="E1540" s="274"/>
      <c r="F1540" s="279"/>
      <c r="G1540" s="278" t="str">
        <f>IFNA(IF(VLOOKUP(RC_OUT[BLOCK],RC_IN[[BLOCK]:[BLOCK LOC]],2,FALSE)=0,"",VLOOKUP(RC_OUT[BLOCK],RC_IN[[BLOCK]:[BLOCK LOC]],2,FALSE)),"")</f>
        <v/>
      </c>
      <c r="I1540" s="263" t="str">
        <f>IFERROR(AVERAGEIFS(RC_IN[MC],RC_IN[BLOCK],RC_OUT[BLOCK]),"")</f>
        <v/>
      </c>
      <c r="J1540" s="264">
        <f t="shared" si="1"/>
        <v>0</v>
      </c>
      <c r="K1540" s="246"/>
      <c r="L1540" s="246"/>
      <c r="M1540" s="249" t="str">
        <f t="shared" si="2"/>
        <v/>
      </c>
      <c r="N1540" s="266">
        <f t="shared" si="3"/>
        <v>0</v>
      </c>
      <c r="O1540" s="247"/>
      <c r="P1540" s="247"/>
      <c r="Q1540" s="247"/>
      <c r="R1540" s="247"/>
      <c r="S1540" s="247"/>
      <c r="T1540" s="247"/>
      <c r="U1540" s="247"/>
      <c r="V1540" s="247"/>
      <c r="W1540" s="247"/>
      <c r="X1540" s="247"/>
    </row>
    <row r="1541">
      <c r="A1541" s="282">
        <v>46042.0</v>
      </c>
      <c r="B1541" s="275" t="s">
        <v>1147</v>
      </c>
      <c r="C1541" s="275" t="s">
        <v>454</v>
      </c>
      <c r="D1541" s="276">
        <v>11847.0</v>
      </c>
      <c r="E1541" s="275" t="s">
        <v>1017</v>
      </c>
      <c r="F1541" s="279"/>
      <c r="G1541" s="278" t="str">
        <f>IFNA(IF(VLOOKUP(RC_OUT[BLOCK],RC_IN[[BLOCK]:[BLOCK LOC]],2,FALSE)=0,"",VLOOKUP(RC_OUT[BLOCK],RC_IN[[BLOCK]:[BLOCK LOC]],2,FALSE)),"")</f>
        <v>C-8B</v>
      </c>
      <c r="I1541" s="263">
        <f>IFERROR(AVERAGEIFS(RC_IN[MC],RC_IN[BLOCK],RC_OUT[BLOCK]),"")</f>
        <v>11.5025</v>
      </c>
      <c r="J1541" s="264">
        <f t="shared" si="1"/>
        <v>136270.1175</v>
      </c>
      <c r="K1541" s="284">
        <f t="shared" ref="K1541:L1541" si="23">A1541</f>
        <v>46042</v>
      </c>
      <c r="L1541" s="246" t="str">
        <f t="shared" si="23"/>
        <v>JANUARY</v>
      </c>
      <c r="M1541" s="249">
        <f t="shared" si="2"/>
        <v>10.49549178</v>
      </c>
      <c r="N1541" s="266">
        <f t="shared" si="3"/>
        <v>34990</v>
      </c>
      <c r="O1541" s="247"/>
      <c r="P1541" s="247"/>
      <c r="Q1541" s="247"/>
      <c r="R1541" s="247"/>
      <c r="S1541" s="247"/>
      <c r="T1541" s="247"/>
      <c r="U1541" s="247"/>
      <c r="V1541" s="247"/>
      <c r="W1541" s="247"/>
      <c r="X1541" s="247"/>
    </row>
    <row r="1542">
      <c r="A1542" s="282">
        <v>46042.0</v>
      </c>
      <c r="B1542" s="275" t="s">
        <v>1147</v>
      </c>
      <c r="C1542" s="275" t="s">
        <v>412</v>
      </c>
      <c r="D1542" s="276">
        <v>23143.0</v>
      </c>
      <c r="E1542" s="275" t="s">
        <v>1017</v>
      </c>
      <c r="F1542" s="279"/>
      <c r="G1542" s="278" t="str">
        <f>IFNA(IF(VLOOKUP(RC_OUT[BLOCK],RC_IN[[BLOCK]:[BLOCK LOC]],2,FALSE)=0,"",VLOOKUP(RC_OUT[BLOCK],RC_IN[[BLOCK]:[BLOCK LOC]],2,FALSE)),"")</f>
        <v>D-3D</v>
      </c>
      <c r="I1542" s="263">
        <f>IFERROR(AVERAGEIFS(RC_IN[MC],RC_IN[BLOCK],RC_OUT[BLOCK]),"")</f>
        <v>9.98</v>
      </c>
      <c r="J1542" s="264">
        <f t="shared" si="1"/>
        <v>230967.14</v>
      </c>
      <c r="K1542" s="246"/>
      <c r="L1542" s="246"/>
      <c r="M1542" s="249" t="str">
        <f t="shared" si="2"/>
        <v/>
      </c>
      <c r="N1542" s="266">
        <f t="shared" si="3"/>
        <v>0</v>
      </c>
      <c r="O1542" s="247"/>
      <c r="P1542" s="247"/>
      <c r="Q1542" s="247"/>
      <c r="R1542" s="247"/>
      <c r="S1542" s="247"/>
      <c r="T1542" s="247"/>
      <c r="U1542" s="247"/>
      <c r="V1542" s="247"/>
      <c r="W1542" s="247"/>
      <c r="X1542" s="247"/>
    </row>
    <row r="1543">
      <c r="A1543" s="274"/>
      <c r="B1543" s="274"/>
      <c r="C1543" s="274"/>
      <c r="D1543" s="283"/>
      <c r="E1543" s="274"/>
      <c r="F1543" s="279"/>
      <c r="G1543" s="278" t="str">
        <f>IFNA(IF(VLOOKUP(RC_OUT[BLOCK],RC_IN[[BLOCK]:[BLOCK LOC]],2,FALSE)=0,"",VLOOKUP(RC_OUT[BLOCK],RC_IN[[BLOCK]:[BLOCK LOC]],2,FALSE)),"")</f>
        <v/>
      </c>
      <c r="I1543" s="263" t="str">
        <f>IFERROR(AVERAGEIFS(RC_IN[MC],RC_IN[BLOCK],RC_OUT[BLOCK]),"")</f>
        <v/>
      </c>
      <c r="J1543" s="264">
        <f t="shared" si="1"/>
        <v>0</v>
      </c>
      <c r="K1543" s="246"/>
      <c r="L1543" s="246"/>
      <c r="M1543" s="249" t="str">
        <f t="shared" si="2"/>
        <v/>
      </c>
      <c r="N1543" s="266">
        <f t="shared" si="3"/>
        <v>0</v>
      </c>
      <c r="O1543" s="247"/>
      <c r="P1543" s="247"/>
      <c r="Q1543" s="247"/>
      <c r="R1543" s="247"/>
      <c r="S1543" s="247"/>
      <c r="T1543" s="247"/>
      <c r="U1543" s="247"/>
      <c r="V1543" s="247"/>
      <c r="W1543" s="247"/>
      <c r="X1543" s="247"/>
    </row>
    <row r="1544">
      <c r="A1544" s="282">
        <v>46043.0</v>
      </c>
      <c r="B1544" s="275" t="s">
        <v>1147</v>
      </c>
      <c r="C1544" s="275" t="s">
        <v>454</v>
      </c>
      <c r="D1544" s="276">
        <v>11318.0</v>
      </c>
      <c r="E1544" s="275" t="s">
        <v>1017</v>
      </c>
      <c r="F1544" s="279"/>
      <c r="G1544" s="278" t="str">
        <f>IFNA(IF(VLOOKUP(RC_OUT[BLOCK],RC_IN[[BLOCK]:[BLOCK LOC]],2,FALSE)=0,"",VLOOKUP(RC_OUT[BLOCK],RC_IN[[BLOCK]:[BLOCK LOC]],2,FALSE)),"")</f>
        <v>C-8B</v>
      </c>
      <c r="I1544" s="263">
        <f>IFERROR(AVERAGEIFS(RC_IN[MC],RC_IN[BLOCK],RC_OUT[BLOCK]),"")</f>
        <v>11.5025</v>
      </c>
      <c r="J1544" s="264">
        <f t="shared" si="1"/>
        <v>130185.295</v>
      </c>
      <c r="K1544" s="284">
        <f t="shared" ref="K1544:L1544" si="24">A1544</f>
        <v>46043</v>
      </c>
      <c r="L1544" s="246" t="str">
        <f t="shared" si="24"/>
        <v>JANUARY</v>
      </c>
      <c r="M1544" s="249">
        <f t="shared" si="2"/>
        <v>10.49245034</v>
      </c>
      <c r="N1544" s="266">
        <f t="shared" si="3"/>
        <v>33626</v>
      </c>
      <c r="O1544" s="247"/>
      <c r="P1544" s="247"/>
      <c r="Q1544" s="247"/>
      <c r="R1544" s="247"/>
      <c r="S1544" s="247"/>
      <c r="T1544" s="247"/>
      <c r="U1544" s="247"/>
      <c r="V1544" s="247"/>
      <c r="W1544" s="247"/>
      <c r="X1544" s="247"/>
    </row>
    <row r="1545">
      <c r="A1545" s="282">
        <v>46043.0</v>
      </c>
      <c r="B1545" s="275" t="s">
        <v>1147</v>
      </c>
      <c r="C1545" s="275" t="s">
        <v>412</v>
      </c>
      <c r="D1545" s="276">
        <v>22308.0</v>
      </c>
      <c r="E1545" s="275" t="s">
        <v>1017</v>
      </c>
      <c r="F1545" s="279"/>
      <c r="G1545" s="278" t="str">
        <f>IFNA(IF(VLOOKUP(RC_OUT[BLOCK],RC_IN[[BLOCK]:[BLOCK LOC]],2,FALSE)=0,"",VLOOKUP(RC_OUT[BLOCK],RC_IN[[BLOCK]:[BLOCK LOC]],2,FALSE)),"")</f>
        <v>D-3D</v>
      </c>
      <c r="I1545" s="263">
        <f>IFERROR(AVERAGEIFS(RC_IN[MC],RC_IN[BLOCK],RC_OUT[BLOCK]),"")</f>
        <v>9.98</v>
      </c>
      <c r="J1545" s="264">
        <f t="shared" si="1"/>
        <v>222633.84</v>
      </c>
      <c r="K1545" s="246"/>
      <c r="L1545" s="246"/>
      <c r="M1545" s="249" t="str">
        <f t="shared" si="2"/>
        <v/>
      </c>
      <c r="N1545" s="266">
        <f t="shared" si="3"/>
        <v>0</v>
      </c>
      <c r="O1545" s="247"/>
      <c r="P1545" s="247"/>
      <c r="Q1545" s="247"/>
      <c r="R1545" s="247"/>
      <c r="S1545" s="247"/>
      <c r="T1545" s="247"/>
      <c r="U1545" s="247"/>
      <c r="V1545" s="247"/>
      <c r="W1545" s="247"/>
      <c r="X1545" s="247"/>
    </row>
    <row r="1546">
      <c r="A1546" s="274"/>
      <c r="B1546" s="274"/>
      <c r="C1546" s="274"/>
      <c r="D1546" s="283"/>
      <c r="E1546" s="274"/>
      <c r="F1546" s="279"/>
      <c r="G1546" s="278" t="str">
        <f>IFNA(IF(VLOOKUP(RC_OUT[BLOCK],RC_IN[[BLOCK]:[BLOCK LOC]],2,FALSE)=0,"",VLOOKUP(RC_OUT[BLOCK],RC_IN[[BLOCK]:[BLOCK LOC]],2,FALSE)),"")</f>
        <v/>
      </c>
      <c r="I1546" s="263" t="str">
        <f>IFERROR(AVERAGEIFS(RC_IN[MC],RC_IN[BLOCK],RC_OUT[BLOCK]),"")</f>
        <v/>
      </c>
      <c r="J1546" s="264">
        <f t="shared" si="1"/>
        <v>0</v>
      </c>
      <c r="K1546" s="246"/>
      <c r="L1546" s="246"/>
      <c r="M1546" s="249" t="str">
        <f t="shared" si="2"/>
        <v/>
      </c>
      <c r="N1546" s="266">
        <f t="shared" si="3"/>
        <v>0</v>
      </c>
      <c r="O1546" s="247"/>
      <c r="P1546" s="247"/>
      <c r="Q1546" s="247"/>
      <c r="R1546" s="247"/>
      <c r="S1546" s="247"/>
      <c r="T1546" s="247"/>
      <c r="U1546" s="247"/>
      <c r="V1546" s="247"/>
      <c r="W1546" s="247"/>
      <c r="X1546" s="247"/>
    </row>
    <row r="1547">
      <c r="A1547" s="282">
        <v>46044.0</v>
      </c>
      <c r="B1547" s="275" t="s">
        <v>1147</v>
      </c>
      <c r="C1547" s="275" t="s">
        <v>454</v>
      </c>
      <c r="D1547" s="276">
        <v>10535.0</v>
      </c>
      <c r="E1547" s="275" t="s">
        <v>1017</v>
      </c>
      <c r="F1547" s="277" t="s">
        <v>1059</v>
      </c>
      <c r="G1547" s="278" t="str">
        <f>IFNA(IF(VLOOKUP(RC_OUT[BLOCK],RC_IN[[BLOCK]:[BLOCK LOC]],2,FALSE)=0,"",VLOOKUP(RC_OUT[BLOCK],RC_IN[[BLOCK]:[BLOCK LOC]],2,FALSE)),"")</f>
        <v>C-8B</v>
      </c>
      <c r="I1547" s="263">
        <f>IFERROR(AVERAGEIFS(RC_IN[MC],RC_IN[BLOCK],RC_OUT[BLOCK]),"")</f>
        <v>11.5025</v>
      </c>
      <c r="J1547" s="264">
        <f t="shared" si="1"/>
        <v>121178.8375</v>
      </c>
      <c r="K1547" s="284">
        <f t="shared" ref="K1547:L1547" si="25">A1547</f>
        <v>46044</v>
      </c>
      <c r="L1547" s="246" t="str">
        <f t="shared" si="25"/>
        <v>JANUARY</v>
      </c>
      <c r="M1547" s="249">
        <f t="shared" si="2"/>
        <v>10.79064561</v>
      </c>
      <c r="N1547" s="266">
        <f t="shared" si="3"/>
        <v>29565</v>
      </c>
      <c r="O1547" s="247"/>
      <c r="P1547" s="247"/>
      <c r="Q1547" s="247"/>
      <c r="R1547" s="247"/>
      <c r="S1547" s="247"/>
      <c r="T1547" s="247"/>
      <c r="U1547" s="247"/>
      <c r="V1547" s="247"/>
      <c r="W1547" s="247"/>
      <c r="X1547" s="247"/>
    </row>
    <row r="1548">
      <c r="A1548" s="282">
        <v>46044.0</v>
      </c>
      <c r="B1548" s="275" t="s">
        <v>1147</v>
      </c>
      <c r="C1548" s="275" t="s">
        <v>412</v>
      </c>
      <c r="D1548" s="276">
        <v>15015.0</v>
      </c>
      <c r="E1548" s="275" t="s">
        <v>1017</v>
      </c>
      <c r="F1548" s="277" t="s">
        <v>1059</v>
      </c>
      <c r="G1548" s="278" t="str">
        <f>IFNA(IF(VLOOKUP(RC_OUT[BLOCK],RC_IN[[BLOCK]:[BLOCK LOC]],2,FALSE)=0,"",VLOOKUP(RC_OUT[BLOCK],RC_IN[[BLOCK]:[BLOCK LOC]],2,FALSE)),"")</f>
        <v>D-3D</v>
      </c>
      <c r="I1548" s="263">
        <f>IFERROR(AVERAGEIFS(RC_IN[MC],RC_IN[BLOCK],RC_OUT[BLOCK]),"")</f>
        <v>9.98</v>
      </c>
      <c r="J1548" s="264">
        <f t="shared" si="1"/>
        <v>149849.7</v>
      </c>
      <c r="K1548" s="246"/>
      <c r="L1548" s="246"/>
      <c r="M1548" s="249" t="str">
        <f t="shared" si="2"/>
        <v/>
      </c>
      <c r="N1548" s="266">
        <f t="shared" si="3"/>
        <v>0</v>
      </c>
      <c r="O1548" s="247"/>
      <c r="P1548" s="247"/>
      <c r="Q1548" s="247"/>
      <c r="R1548" s="247"/>
      <c r="S1548" s="247"/>
      <c r="T1548" s="247"/>
      <c r="U1548" s="247"/>
      <c r="V1548" s="247"/>
      <c r="W1548" s="247"/>
      <c r="X1548" s="247"/>
    </row>
    <row r="1549">
      <c r="A1549" s="282">
        <v>46044.0</v>
      </c>
      <c r="B1549" s="275" t="s">
        <v>1147</v>
      </c>
      <c r="C1549" s="275" t="s">
        <v>502</v>
      </c>
      <c r="D1549" s="276">
        <v>2785.0</v>
      </c>
      <c r="E1549" s="275" t="s">
        <v>1017</v>
      </c>
      <c r="F1549" s="279"/>
      <c r="G1549" s="278" t="str">
        <f>IFNA(IF(VLOOKUP(RC_OUT[BLOCK],RC_IN[[BLOCK]:[BLOCK LOC]],2,FALSE)=0,"",VLOOKUP(RC_OUT[BLOCK],RC_IN[[BLOCK]:[BLOCK LOC]],2,FALSE)),"")</f>
        <v>D-11D</v>
      </c>
      <c r="I1549" s="263">
        <f>IFERROR(AVERAGEIFS(RC_IN[MC],RC_IN[BLOCK],RC_OUT[BLOCK]),"")</f>
        <v>12.08</v>
      </c>
      <c r="J1549" s="264">
        <f t="shared" si="1"/>
        <v>33642.8</v>
      </c>
      <c r="K1549" s="246"/>
      <c r="L1549" s="246"/>
      <c r="M1549" s="249" t="str">
        <f t="shared" si="2"/>
        <v/>
      </c>
      <c r="N1549" s="266">
        <f t="shared" si="3"/>
        <v>0</v>
      </c>
      <c r="O1549" s="247"/>
      <c r="P1549" s="247"/>
      <c r="Q1549" s="247"/>
      <c r="R1549" s="247"/>
      <c r="S1549" s="247"/>
      <c r="T1549" s="247"/>
      <c r="U1549" s="247"/>
      <c r="V1549" s="247"/>
      <c r="W1549" s="247"/>
      <c r="X1549" s="247"/>
    </row>
    <row r="1550">
      <c r="A1550" s="282">
        <v>46044.0</v>
      </c>
      <c r="B1550" s="275" t="s">
        <v>1147</v>
      </c>
      <c r="C1550" s="275" t="s">
        <v>636</v>
      </c>
      <c r="D1550" s="276">
        <v>1230.0</v>
      </c>
      <c r="E1550" s="275" t="s">
        <v>1017</v>
      </c>
      <c r="F1550" s="279"/>
      <c r="G1550" s="278" t="str">
        <f>IFNA(IF(VLOOKUP(RC_OUT[BLOCK],RC_IN[[BLOCK]:[BLOCK LOC]],2,FALSE)=0,"",VLOOKUP(RC_OUT[BLOCK],RC_IN[[BLOCK]:[BLOCK LOC]],2,FALSE)),"")</f>
        <v/>
      </c>
      <c r="I1550" s="263">
        <f>IFERROR(AVERAGEIFS(RC_IN[MC],RC_IN[BLOCK],RC_OUT[BLOCK]),"")</f>
        <v>11.67</v>
      </c>
      <c r="J1550" s="264">
        <f t="shared" si="1"/>
        <v>14354.1</v>
      </c>
      <c r="K1550" s="246"/>
      <c r="L1550" s="246"/>
      <c r="M1550" s="249" t="str">
        <f t="shared" si="2"/>
        <v/>
      </c>
      <c r="N1550" s="266">
        <f t="shared" si="3"/>
        <v>0</v>
      </c>
      <c r="O1550" s="247"/>
      <c r="P1550" s="247"/>
      <c r="Q1550" s="247"/>
      <c r="R1550" s="247"/>
      <c r="S1550" s="247"/>
      <c r="T1550" s="247"/>
      <c r="U1550" s="247"/>
      <c r="V1550" s="247"/>
      <c r="W1550" s="247"/>
      <c r="X1550" s="247"/>
    </row>
    <row r="1551">
      <c r="A1551" s="274"/>
      <c r="B1551" s="274"/>
      <c r="C1551" s="274"/>
      <c r="D1551" s="283"/>
      <c r="E1551" s="274"/>
      <c r="F1551" s="279"/>
      <c r="G1551" s="278" t="str">
        <f>IFNA(IF(VLOOKUP(RC_OUT[BLOCK],RC_IN[[BLOCK]:[BLOCK LOC]],2,FALSE)=0,"",VLOOKUP(RC_OUT[BLOCK],RC_IN[[BLOCK]:[BLOCK LOC]],2,FALSE)),"")</f>
        <v/>
      </c>
      <c r="I1551" s="263" t="str">
        <f>IFERROR(AVERAGEIFS(RC_IN[MC],RC_IN[BLOCK],RC_OUT[BLOCK]),"")</f>
        <v/>
      </c>
      <c r="J1551" s="264">
        <f t="shared" si="1"/>
        <v>0</v>
      </c>
      <c r="K1551" s="246"/>
      <c r="L1551" s="246"/>
      <c r="M1551" s="249" t="str">
        <f t="shared" si="2"/>
        <v/>
      </c>
      <c r="N1551" s="266">
        <f t="shared" si="3"/>
        <v>0</v>
      </c>
      <c r="O1551" s="247"/>
      <c r="P1551" s="247"/>
      <c r="Q1551" s="247"/>
      <c r="R1551" s="247"/>
      <c r="S1551" s="247"/>
      <c r="T1551" s="247"/>
      <c r="U1551" s="247"/>
      <c r="V1551" s="247"/>
      <c r="W1551" s="247"/>
      <c r="X1551" s="247"/>
    </row>
    <row r="1552">
      <c r="A1552" s="282">
        <v>46045.0</v>
      </c>
      <c r="B1552" s="275" t="s">
        <v>1147</v>
      </c>
      <c r="C1552" s="275" t="s">
        <v>502</v>
      </c>
      <c r="D1552" s="276">
        <v>9281.0</v>
      </c>
      <c r="E1552" s="275" t="s">
        <v>1017</v>
      </c>
      <c r="F1552" s="279"/>
      <c r="G1552" s="278" t="str">
        <f>IFNA(IF(VLOOKUP(RC_OUT[BLOCK],RC_IN[[BLOCK]:[BLOCK LOC]],2,FALSE)=0,"",VLOOKUP(RC_OUT[BLOCK],RC_IN[[BLOCK]:[BLOCK LOC]],2,FALSE)),"")</f>
        <v>D-11D</v>
      </c>
      <c r="I1552" s="263">
        <f>IFERROR(AVERAGEIFS(RC_IN[MC],RC_IN[BLOCK],RC_OUT[BLOCK]),"")</f>
        <v>12.08</v>
      </c>
      <c r="J1552" s="264">
        <f t="shared" si="1"/>
        <v>112114.48</v>
      </c>
      <c r="K1552" s="284">
        <f t="shared" ref="K1552:L1552" si="26">A1552</f>
        <v>46045</v>
      </c>
      <c r="L1552" s="246" t="str">
        <f t="shared" si="26"/>
        <v>JANUARY</v>
      </c>
      <c r="M1552" s="249">
        <f t="shared" si="2"/>
        <v>11.68051831</v>
      </c>
      <c r="N1552" s="266">
        <f t="shared" si="3"/>
        <v>25390</v>
      </c>
      <c r="O1552" s="247"/>
      <c r="P1552" s="247"/>
      <c r="Q1552" s="247"/>
      <c r="R1552" s="247"/>
      <c r="S1552" s="247"/>
      <c r="T1552" s="247"/>
      <c r="U1552" s="247"/>
      <c r="V1552" s="247"/>
      <c r="W1552" s="247"/>
      <c r="X1552" s="247"/>
    </row>
    <row r="1553">
      <c r="A1553" s="282">
        <v>46045.0</v>
      </c>
      <c r="B1553" s="275" t="s">
        <v>1147</v>
      </c>
      <c r="C1553" s="275" t="s">
        <v>636</v>
      </c>
      <c r="D1553" s="276">
        <v>6000.0</v>
      </c>
      <c r="E1553" s="275" t="s">
        <v>1017</v>
      </c>
      <c r="F1553" s="279"/>
      <c r="G1553" s="278" t="str">
        <f>IFNA(IF(VLOOKUP(RC_OUT[BLOCK],RC_IN[[BLOCK]:[BLOCK LOC]],2,FALSE)=0,"",VLOOKUP(RC_OUT[BLOCK],RC_IN[[BLOCK]:[BLOCK LOC]],2,FALSE)),"")</f>
        <v/>
      </c>
      <c r="I1553" s="263">
        <f>IFERROR(AVERAGEIFS(RC_IN[MC],RC_IN[BLOCK],RC_OUT[BLOCK]),"")</f>
        <v>11.67</v>
      </c>
      <c r="J1553" s="264">
        <f t="shared" si="1"/>
        <v>70020</v>
      </c>
      <c r="K1553" s="246"/>
      <c r="L1553" s="246"/>
      <c r="M1553" s="249" t="str">
        <f t="shared" si="2"/>
        <v/>
      </c>
      <c r="N1553" s="266">
        <f t="shared" si="3"/>
        <v>0</v>
      </c>
      <c r="O1553" s="247"/>
      <c r="P1553" s="247"/>
      <c r="Q1553" s="247"/>
      <c r="R1553" s="247"/>
      <c r="S1553" s="247"/>
      <c r="T1553" s="247"/>
      <c r="U1553" s="247"/>
      <c r="V1553" s="247"/>
      <c r="W1553" s="247"/>
      <c r="X1553" s="247"/>
    </row>
    <row r="1554">
      <c r="A1554" s="282">
        <v>46045.0</v>
      </c>
      <c r="B1554" s="275" t="s">
        <v>1147</v>
      </c>
      <c r="C1554" s="275" t="s">
        <v>300</v>
      </c>
      <c r="D1554" s="276">
        <v>10109.0</v>
      </c>
      <c r="E1554" s="275" t="s">
        <v>1017</v>
      </c>
      <c r="F1554" s="279"/>
      <c r="G1554" s="278" t="str">
        <f>IFNA(IF(VLOOKUP(RC_OUT[BLOCK],RC_IN[[BLOCK]:[BLOCK LOC]],2,FALSE)=0,"",VLOOKUP(RC_OUT[BLOCK],RC_IN[[BLOCK]:[BLOCK LOC]],2,FALSE)),"")</f>
        <v>D-5D</v>
      </c>
      <c r="I1554" s="263">
        <f>IFERROR(AVERAGEIFS(RC_IN[MC],RC_IN[BLOCK],RC_OUT[BLOCK]),"")</f>
        <v>11.32</v>
      </c>
      <c r="J1554" s="264">
        <f t="shared" si="1"/>
        <v>114433.88</v>
      </c>
      <c r="K1554" s="246"/>
      <c r="L1554" s="246"/>
      <c r="M1554" s="249" t="str">
        <f t="shared" si="2"/>
        <v/>
      </c>
      <c r="N1554" s="266">
        <f t="shared" si="3"/>
        <v>0</v>
      </c>
      <c r="O1554" s="247"/>
      <c r="P1554" s="247"/>
      <c r="Q1554" s="247"/>
      <c r="R1554" s="247"/>
      <c r="S1554" s="247"/>
      <c r="T1554" s="247"/>
      <c r="U1554" s="247"/>
      <c r="V1554" s="247"/>
      <c r="W1554" s="247"/>
      <c r="X1554" s="247"/>
    </row>
    <row r="1555">
      <c r="A1555" s="274"/>
      <c r="B1555" s="274"/>
      <c r="C1555" s="274"/>
      <c r="D1555" s="283"/>
      <c r="E1555" s="274"/>
      <c r="F1555" s="279"/>
      <c r="G1555" s="278" t="str">
        <f>IFNA(IF(VLOOKUP(RC_OUT[BLOCK],RC_IN[[BLOCK]:[BLOCK LOC]],2,FALSE)=0,"",VLOOKUP(RC_OUT[BLOCK],RC_IN[[BLOCK]:[BLOCK LOC]],2,FALSE)),"")</f>
        <v/>
      </c>
      <c r="I1555" s="263" t="str">
        <f>IFERROR(AVERAGEIFS(RC_IN[MC],RC_IN[BLOCK],RC_OUT[BLOCK]),"")</f>
        <v/>
      </c>
      <c r="J1555" s="264">
        <f t="shared" si="1"/>
        <v>0</v>
      </c>
      <c r="K1555" s="246"/>
      <c r="L1555" s="246"/>
      <c r="M1555" s="249" t="str">
        <f t="shared" si="2"/>
        <v/>
      </c>
      <c r="N1555" s="266">
        <f t="shared" si="3"/>
        <v>0</v>
      </c>
      <c r="O1555" s="247"/>
      <c r="P1555" s="247"/>
      <c r="Q1555" s="247"/>
      <c r="R1555" s="247"/>
      <c r="S1555" s="247"/>
      <c r="T1555" s="247"/>
      <c r="U1555" s="247"/>
      <c r="V1555" s="247"/>
      <c r="W1555" s="247"/>
      <c r="X1555" s="247"/>
    </row>
    <row r="1556">
      <c r="A1556" s="282">
        <v>46046.0</v>
      </c>
      <c r="B1556" s="275" t="s">
        <v>1147</v>
      </c>
      <c r="C1556" s="275" t="s">
        <v>502</v>
      </c>
      <c r="D1556" s="276">
        <v>13553.0</v>
      </c>
      <c r="E1556" s="275" t="s">
        <v>1017</v>
      </c>
      <c r="F1556" s="279"/>
      <c r="G1556" s="278" t="str">
        <f>IFNA(IF(VLOOKUP(RC_OUT[BLOCK],RC_IN[[BLOCK]:[BLOCK LOC]],2,FALSE)=0,"",VLOOKUP(RC_OUT[BLOCK],RC_IN[[BLOCK]:[BLOCK LOC]],2,FALSE)),"")</f>
        <v>D-11D</v>
      </c>
      <c r="I1556" s="263">
        <f>IFERROR(AVERAGEIFS(RC_IN[MC],RC_IN[BLOCK],RC_OUT[BLOCK]),"")</f>
        <v>12.08</v>
      </c>
      <c r="J1556" s="264">
        <f t="shared" si="1"/>
        <v>163720.24</v>
      </c>
      <c r="K1556" s="284">
        <f t="shared" ref="K1556:L1556" si="27">A1556</f>
        <v>46046</v>
      </c>
      <c r="L1556" s="246" t="str">
        <f t="shared" si="27"/>
        <v>JANUARY</v>
      </c>
      <c r="M1556" s="249">
        <f t="shared" si="2"/>
        <v>11.70392583</v>
      </c>
      <c r="N1556" s="266">
        <f t="shared" si="3"/>
        <v>31387</v>
      </c>
      <c r="O1556" s="247"/>
      <c r="P1556" s="247"/>
      <c r="Q1556" s="247"/>
      <c r="R1556" s="247"/>
      <c r="S1556" s="247"/>
      <c r="T1556" s="247"/>
      <c r="U1556" s="247"/>
      <c r="V1556" s="247"/>
      <c r="W1556" s="247"/>
      <c r="X1556" s="247"/>
    </row>
    <row r="1557">
      <c r="A1557" s="282">
        <v>46046.0</v>
      </c>
      <c r="B1557" s="275" t="s">
        <v>1147</v>
      </c>
      <c r="C1557" s="275" t="s">
        <v>636</v>
      </c>
      <c r="D1557" s="276">
        <v>5000.0</v>
      </c>
      <c r="E1557" s="275" t="s">
        <v>1017</v>
      </c>
      <c r="F1557" s="279"/>
      <c r="G1557" s="278" t="str">
        <f>IFNA(IF(VLOOKUP(RC_OUT[BLOCK],RC_IN[[BLOCK]:[BLOCK LOC]],2,FALSE)=0,"",VLOOKUP(RC_OUT[BLOCK],RC_IN[[BLOCK]:[BLOCK LOC]],2,FALSE)),"")</f>
        <v/>
      </c>
      <c r="I1557" s="263">
        <f>IFERROR(AVERAGEIFS(RC_IN[MC],RC_IN[BLOCK],RC_OUT[BLOCK]),"")</f>
        <v>11.67</v>
      </c>
      <c r="J1557" s="264">
        <f t="shared" si="1"/>
        <v>58350</v>
      </c>
      <c r="K1557" s="246"/>
      <c r="L1557" s="246"/>
      <c r="M1557" s="249" t="str">
        <f t="shared" si="2"/>
        <v/>
      </c>
      <c r="N1557" s="266">
        <f t="shared" si="3"/>
        <v>0</v>
      </c>
      <c r="O1557" s="247"/>
      <c r="P1557" s="247"/>
      <c r="Q1557" s="247"/>
      <c r="R1557" s="247"/>
      <c r="S1557" s="247"/>
      <c r="T1557" s="247"/>
      <c r="U1557" s="247"/>
      <c r="V1557" s="247"/>
      <c r="W1557" s="247"/>
      <c r="X1557" s="247"/>
    </row>
    <row r="1558">
      <c r="A1558" s="282">
        <v>46046.0</v>
      </c>
      <c r="B1558" s="275" t="s">
        <v>1147</v>
      </c>
      <c r="C1558" s="275" t="s">
        <v>300</v>
      </c>
      <c r="D1558" s="276">
        <v>12834.0</v>
      </c>
      <c r="E1558" s="275" t="s">
        <v>1017</v>
      </c>
      <c r="F1558" s="279"/>
      <c r="G1558" s="278" t="str">
        <f>IFNA(IF(VLOOKUP(RC_OUT[BLOCK],RC_IN[[BLOCK]:[BLOCK LOC]],2,FALSE)=0,"",VLOOKUP(RC_OUT[BLOCK],RC_IN[[BLOCK]:[BLOCK LOC]],2,FALSE)),"")</f>
        <v>D-5D</v>
      </c>
      <c r="I1558" s="263">
        <f>IFERROR(AVERAGEIFS(RC_IN[MC],RC_IN[BLOCK],RC_OUT[BLOCK]),"")</f>
        <v>11.32</v>
      </c>
      <c r="J1558" s="264">
        <f t="shared" si="1"/>
        <v>145280.88</v>
      </c>
      <c r="K1558" s="246"/>
      <c r="L1558" s="246"/>
      <c r="M1558" s="249" t="str">
        <f t="shared" si="2"/>
        <v/>
      </c>
      <c r="N1558" s="266">
        <f t="shared" si="3"/>
        <v>0</v>
      </c>
      <c r="O1558" s="247"/>
      <c r="P1558" s="247"/>
      <c r="Q1558" s="247"/>
      <c r="R1558" s="247"/>
      <c r="S1558" s="247"/>
      <c r="T1558" s="247"/>
      <c r="U1558" s="247"/>
      <c r="V1558" s="247"/>
      <c r="W1558" s="247"/>
      <c r="X1558" s="247"/>
    </row>
    <row r="1559">
      <c r="A1559" s="274"/>
      <c r="B1559" s="274"/>
      <c r="C1559" s="274"/>
      <c r="D1559" s="283"/>
      <c r="E1559" s="274"/>
      <c r="F1559" s="279"/>
      <c r="G1559" s="278" t="str">
        <f>IFNA(IF(VLOOKUP(RC_OUT[BLOCK],RC_IN[[BLOCK]:[BLOCK LOC]],2,FALSE)=0,"",VLOOKUP(RC_OUT[BLOCK],RC_IN[[BLOCK]:[BLOCK LOC]],2,FALSE)),"")</f>
        <v/>
      </c>
      <c r="I1559" s="263" t="str">
        <f>IFERROR(AVERAGEIFS(RC_IN[MC],RC_IN[BLOCK],RC_OUT[BLOCK]),"")</f>
        <v/>
      </c>
      <c r="J1559" s="264">
        <f t="shared" si="1"/>
        <v>0</v>
      </c>
      <c r="K1559" s="246"/>
      <c r="L1559" s="246"/>
      <c r="M1559" s="249" t="str">
        <f t="shared" si="2"/>
        <v/>
      </c>
      <c r="N1559" s="266">
        <f t="shared" si="3"/>
        <v>0</v>
      </c>
      <c r="O1559" s="247"/>
      <c r="P1559" s="247"/>
      <c r="Q1559" s="247"/>
      <c r="R1559" s="247"/>
      <c r="S1559" s="247"/>
      <c r="T1559" s="247"/>
      <c r="U1559" s="247"/>
      <c r="V1559" s="247"/>
      <c r="W1559" s="247"/>
      <c r="X1559" s="247"/>
    </row>
    <row r="1560">
      <c r="A1560" s="282">
        <v>46048.0</v>
      </c>
      <c r="B1560" s="275" t="s">
        <v>1147</v>
      </c>
      <c r="C1560" s="275" t="s">
        <v>502</v>
      </c>
      <c r="D1560" s="276">
        <v>15967.0</v>
      </c>
      <c r="E1560" s="275" t="s">
        <v>1017</v>
      </c>
      <c r="F1560" s="279"/>
      <c r="G1560" s="278" t="str">
        <f>IFNA(IF(VLOOKUP(RC_OUT[BLOCK],RC_IN[[BLOCK]:[BLOCK LOC]],2,FALSE)=0,"",VLOOKUP(RC_OUT[BLOCK],RC_IN[[BLOCK]:[BLOCK LOC]],2,FALSE)),"")</f>
        <v>D-11D</v>
      </c>
      <c r="I1560" s="263">
        <f>IFERROR(AVERAGEIFS(RC_IN[MC],RC_IN[BLOCK],RC_OUT[BLOCK]),"")</f>
        <v>12.08</v>
      </c>
      <c r="J1560" s="264">
        <f t="shared" si="1"/>
        <v>192881.36</v>
      </c>
      <c r="K1560" s="284">
        <f t="shared" ref="K1560:L1560" si="28">A1560</f>
        <v>46048</v>
      </c>
      <c r="L1560" s="246" t="str">
        <f t="shared" si="28"/>
        <v>JANUARY</v>
      </c>
      <c r="M1560" s="249">
        <f t="shared" si="2"/>
        <v>11.72251207</v>
      </c>
      <c r="N1560" s="266">
        <f t="shared" si="3"/>
        <v>44951</v>
      </c>
      <c r="O1560" s="247"/>
      <c r="P1560" s="247"/>
      <c r="Q1560" s="247"/>
      <c r="R1560" s="247"/>
      <c r="S1560" s="247"/>
      <c r="T1560" s="247"/>
      <c r="U1560" s="247"/>
      <c r="V1560" s="247"/>
      <c r="W1560" s="247"/>
      <c r="X1560" s="247"/>
    </row>
    <row r="1561">
      <c r="A1561" s="282">
        <v>46048.0</v>
      </c>
      <c r="B1561" s="275" t="s">
        <v>1147</v>
      </c>
      <c r="C1561" s="275" t="s">
        <v>636</v>
      </c>
      <c r="D1561" s="276">
        <v>5000.0</v>
      </c>
      <c r="E1561" s="275" t="s">
        <v>1017</v>
      </c>
      <c r="F1561" s="277" t="s">
        <v>1059</v>
      </c>
      <c r="G1561" s="278" t="str">
        <f>IFNA(IF(VLOOKUP(RC_OUT[BLOCK],RC_IN[[BLOCK]:[BLOCK LOC]],2,FALSE)=0,"",VLOOKUP(RC_OUT[BLOCK],RC_IN[[BLOCK]:[BLOCK LOC]],2,FALSE)),"")</f>
        <v/>
      </c>
      <c r="I1561" s="263">
        <f>IFERROR(AVERAGEIFS(RC_IN[MC],RC_IN[BLOCK],RC_OUT[BLOCK]),"")</f>
        <v>11.67</v>
      </c>
      <c r="J1561" s="264">
        <f t="shared" si="1"/>
        <v>58350</v>
      </c>
      <c r="K1561" s="246"/>
      <c r="L1561" s="246"/>
      <c r="M1561" s="249" t="str">
        <f t="shared" si="2"/>
        <v/>
      </c>
      <c r="N1561" s="266">
        <f t="shared" si="3"/>
        <v>0</v>
      </c>
      <c r="O1561" s="247"/>
      <c r="P1561" s="247"/>
      <c r="Q1561" s="247"/>
      <c r="R1561" s="247"/>
      <c r="S1561" s="247"/>
      <c r="T1561" s="247"/>
      <c r="U1561" s="247"/>
      <c r="V1561" s="247"/>
      <c r="W1561" s="247"/>
      <c r="X1561" s="247"/>
    </row>
    <row r="1562">
      <c r="A1562" s="282">
        <v>46048.0</v>
      </c>
      <c r="B1562" s="275" t="s">
        <v>1147</v>
      </c>
      <c r="C1562" s="275" t="s">
        <v>300</v>
      </c>
      <c r="D1562" s="276">
        <v>13964.0</v>
      </c>
      <c r="E1562" s="275" t="s">
        <v>1017</v>
      </c>
      <c r="F1562" s="279"/>
      <c r="G1562" s="278" t="str">
        <f>IFNA(IF(VLOOKUP(RC_OUT[BLOCK],RC_IN[[BLOCK]:[BLOCK LOC]],2,FALSE)=0,"",VLOOKUP(RC_OUT[BLOCK],RC_IN[[BLOCK]:[BLOCK LOC]],2,FALSE)),"")</f>
        <v>D-5D</v>
      </c>
      <c r="I1562" s="263">
        <f>IFERROR(AVERAGEIFS(RC_IN[MC],RC_IN[BLOCK],RC_OUT[BLOCK]),"")</f>
        <v>11.32</v>
      </c>
      <c r="J1562" s="264">
        <f t="shared" si="1"/>
        <v>158072.48</v>
      </c>
      <c r="K1562" s="246"/>
      <c r="L1562" s="246"/>
      <c r="M1562" s="249" t="str">
        <f t="shared" si="2"/>
        <v/>
      </c>
      <c r="N1562" s="266">
        <f t="shared" si="3"/>
        <v>0</v>
      </c>
      <c r="O1562" s="247"/>
      <c r="P1562" s="247"/>
      <c r="Q1562" s="247"/>
      <c r="R1562" s="247"/>
      <c r="S1562" s="247"/>
      <c r="T1562" s="247"/>
      <c r="U1562" s="247"/>
      <c r="V1562" s="247"/>
      <c r="W1562" s="247"/>
      <c r="X1562" s="247"/>
    </row>
    <row r="1563">
      <c r="A1563" s="282">
        <v>46048.0</v>
      </c>
      <c r="B1563" s="275" t="s">
        <v>1147</v>
      </c>
      <c r="C1563" s="275" t="s">
        <v>642</v>
      </c>
      <c r="D1563" s="276">
        <v>10020.0</v>
      </c>
      <c r="E1563" s="275" t="s">
        <v>1017</v>
      </c>
      <c r="F1563" s="279"/>
      <c r="G1563" s="278" t="str">
        <f>IFNA(IF(VLOOKUP(RC_OUT[BLOCK],RC_IN[[BLOCK]:[BLOCK LOC]],2,FALSE)=0,"",VLOOKUP(RC_OUT[BLOCK],RC_IN[[BLOCK]:[BLOCK LOC]],2,FALSE)),"")</f>
        <v/>
      </c>
      <c r="I1563" s="263">
        <f>IFERROR(AVERAGEIFS(RC_IN[MC],RC_IN[BLOCK],RC_OUT[BLOCK]),"")</f>
        <v>11.74</v>
      </c>
      <c r="J1563" s="264">
        <f t="shared" si="1"/>
        <v>117634.8</v>
      </c>
      <c r="K1563" s="246"/>
      <c r="L1563" s="246"/>
      <c r="M1563" s="249" t="str">
        <f t="shared" si="2"/>
        <v/>
      </c>
      <c r="N1563" s="266">
        <f t="shared" si="3"/>
        <v>0</v>
      </c>
      <c r="O1563" s="247"/>
      <c r="P1563" s="247"/>
      <c r="Q1563" s="247"/>
      <c r="R1563" s="247"/>
      <c r="S1563" s="247"/>
      <c r="T1563" s="247"/>
      <c r="U1563" s="247"/>
      <c r="V1563" s="247"/>
      <c r="W1563" s="247"/>
      <c r="X1563" s="247"/>
    </row>
    <row r="1564">
      <c r="A1564" s="274"/>
      <c r="B1564" s="274"/>
      <c r="C1564" s="274"/>
      <c r="D1564" s="283"/>
      <c r="E1564" s="274"/>
      <c r="F1564" s="279"/>
      <c r="G1564" s="278" t="str">
        <f>IFNA(IF(VLOOKUP(RC_OUT[BLOCK],RC_IN[[BLOCK]:[BLOCK LOC]],2,FALSE)=0,"",VLOOKUP(RC_OUT[BLOCK],RC_IN[[BLOCK]:[BLOCK LOC]],2,FALSE)),"")</f>
        <v/>
      </c>
      <c r="I1564" s="263" t="str">
        <f>IFERROR(AVERAGEIFS(RC_IN[MC],RC_IN[BLOCK],RC_OUT[BLOCK]),"")</f>
        <v/>
      </c>
      <c r="J1564" s="264">
        <f t="shared" si="1"/>
        <v>0</v>
      </c>
      <c r="K1564" s="246"/>
      <c r="L1564" s="246"/>
      <c r="M1564" s="249" t="str">
        <f t="shared" si="2"/>
        <v/>
      </c>
      <c r="N1564" s="266">
        <f t="shared" si="3"/>
        <v>0</v>
      </c>
      <c r="O1564" s="247"/>
      <c r="P1564" s="247"/>
      <c r="Q1564" s="247"/>
      <c r="R1564" s="247"/>
      <c r="S1564" s="247"/>
      <c r="T1564" s="247"/>
      <c r="U1564" s="247"/>
      <c r="V1564" s="247"/>
      <c r="W1564" s="247"/>
      <c r="X1564" s="247"/>
    </row>
    <row r="1565">
      <c r="A1565" s="282">
        <v>46049.0</v>
      </c>
      <c r="B1565" s="275" t="s">
        <v>1147</v>
      </c>
      <c r="C1565" s="275" t="s">
        <v>502</v>
      </c>
      <c r="D1565" s="276">
        <v>14763.0</v>
      </c>
      <c r="E1565" s="275" t="s">
        <v>1017</v>
      </c>
      <c r="F1565" s="279"/>
      <c r="G1565" s="278" t="str">
        <f>IFNA(IF(VLOOKUP(RC_OUT[BLOCK],RC_IN[[BLOCK]:[BLOCK LOC]],2,FALSE)=0,"",VLOOKUP(RC_OUT[BLOCK],RC_IN[[BLOCK]:[BLOCK LOC]],2,FALSE)),"")</f>
        <v>D-11D</v>
      </c>
      <c r="I1565" s="263">
        <f>IFERROR(AVERAGEIFS(RC_IN[MC],RC_IN[BLOCK],RC_OUT[BLOCK]),"")</f>
        <v>12.08</v>
      </c>
      <c r="J1565" s="264">
        <f t="shared" si="1"/>
        <v>178337.04</v>
      </c>
      <c r="K1565" s="284">
        <f t="shared" ref="K1565:L1565" si="29">A1565</f>
        <v>46049</v>
      </c>
      <c r="L1565" s="246" t="str">
        <f t="shared" si="29"/>
        <v>JANUARY</v>
      </c>
      <c r="M1565" s="249">
        <f t="shared" si="2"/>
        <v>11.69930621</v>
      </c>
      <c r="N1565" s="266">
        <f t="shared" si="3"/>
        <v>37331</v>
      </c>
      <c r="O1565" s="247"/>
      <c r="P1565" s="247"/>
      <c r="Q1565" s="247"/>
      <c r="R1565" s="247"/>
      <c r="S1565" s="247"/>
      <c r="T1565" s="247"/>
      <c r="U1565" s="247"/>
      <c r="V1565" s="247"/>
      <c r="W1565" s="247"/>
      <c r="X1565" s="247"/>
    </row>
    <row r="1566">
      <c r="A1566" s="282">
        <v>46049.0</v>
      </c>
      <c r="B1566" s="275" t="s">
        <v>1147</v>
      </c>
      <c r="C1566" s="275" t="s">
        <v>300</v>
      </c>
      <c r="D1566" s="276">
        <v>15568.0</v>
      </c>
      <c r="E1566" s="275" t="s">
        <v>1017</v>
      </c>
      <c r="F1566" s="279"/>
      <c r="G1566" s="278" t="str">
        <f>IFNA(IF(VLOOKUP(RC_OUT[BLOCK],RC_IN[[BLOCK]:[BLOCK LOC]],2,FALSE)=0,"",VLOOKUP(RC_OUT[BLOCK],RC_IN[[BLOCK]:[BLOCK LOC]],2,FALSE)),"")</f>
        <v>D-5D</v>
      </c>
      <c r="I1566" s="263">
        <f>IFERROR(AVERAGEIFS(RC_IN[MC],RC_IN[BLOCK],RC_OUT[BLOCK]),"")</f>
        <v>11.32</v>
      </c>
      <c r="J1566" s="264">
        <f t="shared" si="1"/>
        <v>176229.76</v>
      </c>
      <c r="K1566" s="246"/>
      <c r="L1566" s="246"/>
      <c r="M1566" s="249" t="str">
        <f t="shared" si="2"/>
        <v/>
      </c>
      <c r="N1566" s="266">
        <f t="shared" si="3"/>
        <v>0</v>
      </c>
      <c r="O1566" s="247"/>
      <c r="P1566" s="247"/>
      <c r="Q1566" s="247"/>
      <c r="R1566" s="247"/>
      <c r="S1566" s="247"/>
      <c r="T1566" s="247"/>
      <c r="U1566" s="247"/>
      <c r="V1566" s="247"/>
      <c r="W1566" s="247"/>
      <c r="X1566" s="247"/>
    </row>
    <row r="1567">
      <c r="A1567" s="282">
        <v>46049.0</v>
      </c>
      <c r="B1567" s="275" t="s">
        <v>1147</v>
      </c>
      <c r="C1567" s="275" t="s">
        <v>642</v>
      </c>
      <c r="D1567" s="276">
        <v>7000.0</v>
      </c>
      <c r="E1567" s="275" t="s">
        <v>1017</v>
      </c>
      <c r="F1567" s="277" t="s">
        <v>1059</v>
      </c>
      <c r="G1567" s="278" t="str">
        <f>IFNA(IF(VLOOKUP(RC_OUT[BLOCK],RC_IN[[BLOCK]:[BLOCK LOC]],2,FALSE)=0,"",VLOOKUP(RC_OUT[BLOCK],RC_IN[[BLOCK]:[BLOCK LOC]],2,FALSE)),"")</f>
        <v/>
      </c>
      <c r="I1567" s="263">
        <f>IFERROR(AVERAGEIFS(RC_IN[MC],RC_IN[BLOCK],RC_OUT[BLOCK]),"")</f>
        <v>11.74</v>
      </c>
      <c r="J1567" s="264">
        <f t="shared" si="1"/>
        <v>82180</v>
      </c>
      <c r="K1567" s="246"/>
      <c r="L1567" s="246"/>
      <c r="M1567" s="249" t="str">
        <f t="shared" si="2"/>
        <v/>
      </c>
      <c r="N1567" s="266">
        <f t="shared" si="3"/>
        <v>0</v>
      </c>
      <c r="O1567" s="247"/>
      <c r="P1567" s="247"/>
      <c r="Q1567" s="247"/>
      <c r="R1567" s="247"/>
      <c r="S1567" s="247"/>
      <c r="T1567" s="247"/>
      <c r="U1567" s="247"/>
      <c r="V1567" s="247"/>
      <c r="W1567" s="247"/>
      <c r="X1567" s="247"/>
    </row>
    <row r="1568">
      <c r="A1568" s="274"/>
      <c r="B1568" s="274"/>
      <c r="C1568" s="274"/>
      <c r="D1568" s="283"/>
      <c r="E1568" s="274"/>
      <c r="F1568" s="279"/>
      <c r="G1568" s="278" t="str">
        <f>IFNA(IF(VLOOKUP(RC_OUT[BLOCK],RC_IN[[BLOCK]:[BLOCK LOC]],2,FALSE)=0,"",VLOOKUP(RC_OUT[BLOCK],RC_IN[[BLOCK]:[BLOCK LOC]],2,FALSE)),"")</f>
        <v/>
      </c>
      <c r="I1568" s="263" t="str">
        <f>IFERROR(AVERAGEIFS(RC_IN[MC],RC_IN[BLOCK],RC_OUT[BLOCK]),"")</f>
        <v/>
      </c>
      <c r="J1568" s="264">
        <f t="shared" si="1"/>
        <v>0</v>
      </c>
      <c r="K1568" s="246"/>
      <c r="L1568" s="246"/>
      <c r="M1568" s="249" t="str">
        <f t="shared" si="2"/>
        <v/>
      </c>
      <c r="N1568" s="266">
        <f t="shared" si="3"/>
        <v>0</v>
      </c>
      <c r="O1568" s="247"/>
      <c r="P1568" s="247"/>
      <c r="Q1568" s="247"/>
      <c r="R1568" s="247"/>
      <c r="S1568" s="247"/>
      <c r="T1568" s="247"/>
      <c r="U1568" s="247"/>
      <c r="V1568" s="247"/>
      <c r="W1568" s="247"/>
      <c r="X1568" s="247"/>
    </row>
    <row r="1569">
      <c r="A1569" s="282">
        <v>46050.0</v>
      </c>
      <c r="B1569" s="275" t="s">
        <v>1147</v>
      </c>
      <c r="C1569" s="275" t="s">
        <v>502</v>
      </c>
      <c r="D1569" s="276">
        <v>9911.0</v>
      </c>
      <c r="E1569" s="275" t="s">
        <v>1017</v>
      </c>
      <c r="F1569" s="279"/>
      <c r="G1569" s="278" t="str">
        <f>IFNA(IF(VLOOKUP(RC_OUT[BLOCK],RC_IN[[BLOCK]:[BLOCK LOC]],2,FALSE)=0,"",VLOOKUP(RC_OUT[BLOCK],RC_IN[[BLOCK]:[BLOCK LOC]],2,FALSE)),"")</f>
        <v>D-11D</v>
      </c>
      <c r="I1569" s="263">
        <f>IFERROR(AVERAGEIFS(RC_IN[MC],RC_IN[BLOCK],RC_OUT[BLOCK]),"")</f>
        <v>12.08</v>
      </c>
      <c r="J1569" s="264">
        <f t="shared" si="1"/>
        <v>119724.88</v>
      </c>
      <c r="K1569" s="284">
        <f t="shared" ref="K1569:L1569" si="30">A1569</f>
        <v>46050</v>
      </c>
      <c r="L1569" s="246" t="str">
        <f t="shared" si="30"/>
        <v>JANUARY</v>
      </c>
      <c r="M1569" s="249">
        <f t="shared" si="2"/>
        <v>12.1533686</v>
      </c>
      <c r="N1569" s="266">
        <f t="shared" si="3"/>
        <v>25328</v>
      </c>
      <c r="O1569" s="247"/>
      <c r="P1569" s="247"/>
      <c r="Q1569" s="247"/>
      <c r="R1569" s="247"/>
      <c r="S1569" s="247"/>
      <c r="T1569" s="247"/>
      <c r="U1569" s="247"/>
      <c r="V1569" s="247"/>
      <c r="W1569" s="247"/>
      <c r="X1569" s="247"/>
    </row>
    <row r="1570">
      <c r="A1570" s="282">
        <v>46050.0</v>
      </c>
      <c r="B1570" s="275" t="s">
        <v>1147</v>
      </c>
      <c r="C1570" s="275" t="s">
        <v>300</v>
      </c>
      <c r="D1570" s="276">
        <v>7839.0</v>
      </c>
      <c r="E1570" s="275" t="s">
        <v>1017</v>
      </c>
      <c r="F1570" s="279"/>
      <c r="G1570" s="278" t="str">
        <f>IFNA(IF(VLOOKUP(RC_OUT[BLOCK],RC_IN[[BLOCK]:[BLOCK LOC]],2,FALSE)=0,"",VLOOKUP(RC_OUT[BLOCK],RC_IN[[BLOCK]:[BLOCK LOC]],2,FALSE)),"")</f>
        <v>D-5D</v>
      </c>
      <c r="I1570" s="263">
        <f>IFERROR(AVERAGEIFS(RC_IN[MC],RC_IN[BLOCK],RC_OUT[BLOCK]),"")</f>
        <v>11.32</v>
      </c>
      <c r="J1570" s="264">
        <f t="shared" si="1"/>
        <v>88737.48</v>
      </c>
      <c r="K1570" s="246"/>
      <c r="L1570" s="246"/>
      <c r="M1570" s="249" t="str">
        <f t="shared" si="2"/>
        <v/>
      </c>
      <c r="N1570" s="266">
        <f t="shared" si="3"/>
        <v>0</v>
      </c>
      <c r="O1570" s="247"/>
      <c r="P1570" s="247"/>
      <c r="Q1570" s="247"/>
      <c r="R1570" s="247"/>
      <c r="S1570" s="247"/>
      <c r="T1570" s="247"/>
      <c r="U1570" s="247"/>
      <c r="V1570" s="247"/>
      <c r="W1570" s="247"/>
      <c r="X1570" s="247"/>
    </row>
    <row r="1571">
      <c r="A1571" s="282">
        <v>46050.0</v>
      </c>
      <c r="B1571" s="275" t="s">
        <v>1147</v>
      </c>
      <c r="C1571" s="275" t="s">
        <v>649</v>
      </c>
      <c r="D1571" s="276">
        <v>5450.0</v>
      </c>
      <c r="E1571" s="275" t="s">
        <v>1017</v>
      </c>
      <c r="F1571" s="279"/>
      <c r="G1571" s="278" t="str">
        <f>IFNA(IF(VLOOKUP(RC_OUT[BLOCK],RC_IN[[BLOCK]:[BLOCK LOC]],2,FALSE)=0,"",VLOOKUP(RC_OUT[BLOCK],RC_IN[[BLOCK]:[BLOCK LOC]],2,FALSE)),"")</f>
        <v/>
      </c>
      <c r="I1571" s="263">
        <f>IFERROR(AVERAGEIFS(RC_IN[MC],RC_IN[BLOCK],RC_OUT[BLOCK]),"")</f>
        <v>11.8</v>
      </c>
      <c r="J1571" s="264">
        <f t="shared" si="1"/>
        <v>64310</v>
      </c>
      <c r="K1571" s="246"/>
      <c r="L1571" s="246"/>
      <c r="M1571" s="249" t="str">
        <f t="shared" si="2"/>
        <v/>
      </c>
      <c r="N1571" s="266">
        <f t="shared" si="3"/>
        <v>0</v>
      </c>
      <c r="O1571" s="247"/>
      <c r="P1571" s="247"/>
      <c r="Q1571" s="247"/>
      <c r="R1571" s="247"/>
      <c r="S1571" s="247"/>
      <c r="T1571" s="247"/>
      <c r="U1571" s="247"/>
      <c r="V1571" s="247"/>
      <c r="W1571" s="247"/>
      <c r="X1571" s="247"/>
    </row>
    <row r="1572">
      <c r="A1572" s="274"/>
      <c r="B1572" s="274"/>
      <c r="C1572" s="274"/>
      <c r="D1572" s="283"/>
      <c r="E1572" s="274"/>
      <c r="F1572" s="279"/>
      <c r="G1572" s="278" t="str">
        <f>IFNA(IF(VLOOKUP(RC_OUT[BLOCK],RC_IN[[BLOCK]:[BLOCK LOC]],2,FALSE)=0,"",VLOOKUP(RC_OUT[BLOCK],RC_IN[[BLOCK]:[BLOCK LOC]],2,FALSE)),"")</f>
        <v/>
      </c>
      <c r="I1572" s="263" t="str">
        <f>IFERROR(AVERAGEIFS(RC_IN[MC],RC_IN[BLOCK],RC_OUT[BLOCK]),"")</f>
        <v/>
      </c>
      <c r="J1572" s="264">
        <f t="shared" si="1"/>
        <v>0</v>
      </c>
      <c r="K1572" s="246"/>
      <c r="L1572" s="246"/>
      <c r="M1572" s="249" t="str">
        <f t="shared" si="2"/>
        <v/>
      </c>
      <c r="N1572" s="266">
        <f t="shared" si="3"/>
        <v>0</v>
      </c>
      <c r="O1572" s="247"/>
      <c r="P1572" s="247"/>
      <c r="Q1572" s="247"/>
      <c r="R1572" s="247"/>
      <c r="S1572" s="247"/>
      <c r="T1572" s="247"/>
      <c r="U1572" s="247"/>
      <c r="V1572" s="247"/>
      <c r="W1572" s="247"/>
      <c r="X1572" s="247"/>
    </row>
    <row r="1573">
      <c r="A1573" s="282">
        <v>46051.0</v>
      </c>
      <c r="B1573" s="275" t="s">
        <v>1147</v>
      </c>
      <c r="C1573" s="275" t="s">
        <v>502</v>
      </c>
      <c r="D1573" s="276">
        <v>4926.0</v>
      </c>
      <c r="E1573" s="275" t="s">
        <v>1017</v>
      </c>
      <c r="F1573" s="277" t="s">
        <v>1059</v>
      </c>
      <c r="G1573" s="278" t="str">
        <f>IFNA(IF(VLOOKUP(RC_OUT[BLOCK],RC_IN[[BLOCK]:[BLOCK LOC]],2,FALSE)=0,"",VLOOKUP(RC_OUT[BLOCK],RC_IN[[BLOCK]:[BLOCK LOC]],2,FALSE)),"")</f>
        <v>D-11D</v>
      </c>
      <c r="I1573" s="263">
        <f>IFERROR(AVERAGEIFS(RC_IN[MC],RC_IN[BLOCK],RC_OUT[BLOCK]),"")</f>
        <v>12.08</v>
      </c>
      <c r="J1573" s="264">
        <f t="shared" si="1"/>
        <v>59506.08</v>
      </c>
      <c r="K1573" s="284">
        <f t="shared" ref="K1573:L1573" si="31">A1573</f>
        <v>46051</v>
      </c>
      <c r="L1573" s="246" t="str">
        <f t="shared" si="31"/>
        <v>JANUARY</v>
      </c>
      <c r="M1573" s="249">
        <f t="shared" si="2"/>
        <v>12.68504694</v>
      </c>
      <c r="N1573" s="266">
        <f t="shared" si="3"/>
        <v>35473</v>
      </c>
      <c r="O1573" s="247"/>
      <c r="P1573" s="247"/>
      <c r="Q1573" s="247"/>
      <c r="R1573" s="247"/>
      <c r="S1573" s="247"/>
      <c r="T1573" s="247"/>
      <c r="U1573" s="247"/>
      <c r="V1573" s="247"/>
      <c r="W1573" s="247"/>
      <c r="X1573" s="247"/>
    </row>
    <row r="1574">
      <c r="A1574" s="282">
        <v>46051.0</v>
      </c>
      <c r="B1574" s="275" t="s">
        <v>1147</v>
      </c>
      <c r="C1574" s="275" t="s">
        <v>300</v>
      </c>
      <c r="D1574" s="276">
        <v>10990.0</v>
      </c>
      <c r="E1574" s="275" t="s">
        <v>1017</v>
      </c>
      <c r="F1574" s="279"/>
      <c r="G1574" s="278" t="str">
        <f>IFNA(IF(VLOOKUP(RC_OUT[BLOCK],RC_IN[[BLOCK]:[BLOCK LOC]],2,FALSE)=0,"",VLOOKUP(RC_OUT[BLOCK],RC_IN[[BLOCK]:[BLOCK LOC]],2,FALSE)),"")</f>
        <v>D-5D</v>
      </c>
      <c r="I1574" s="263">
        <f>IFERROR(AVERAGEIFS(RC_IN[MC],RC_IN[BLOCK],RC_OUT[BLOCK]),"")</f>
        <v>11.32</v>
      </c>
      <c r="J1574" s="264">
        <f t="shared" si="1"/>
        <v>124406.8</v>
      </c>
      <c r="K1574" s="246"/>
      <c r="L1574" s="246"/>
      <c r="M1574" s="249" t="str">
        <f t="shared" si="2"/>
        <v/>
      </c>
      <c r="N1574" s="266">
        <f t="shared" si="3"/>
        <v>0</v>
      </c>
      <c r="O1574" s="247"/>
      <c r="P1574" s="247"/>
      <c r="Q1574" s="247"/>
      <c r="R1574" s="247"/>
      <c r="S1574" s="247"/>
      <c r="T1574" s="247"/>
      <c r="U1574" s="247"/>
      <c r="V1574" s="247"/>
      <c r="W1574" s="247"/>
      <c r="X1574" s="247"/>
    </row>
    <row r="1575">
      <c r="A1575" s="282">
        <v>46051.0</v>
      </c>
      <c r="B1575" s="275" t="s">
        <v>1147</v>
      </c>
      <c r="C1575" s="275" t="s">
        <v>649</v>
      </c>
      <c r="D1575" s="276">
        <v>12000.0</v>
      </c>
      <c r="E1575" s="275" t="s">
        <v>1017</v>
      </c>
      <c r="F1575" s="277" t="s">
        <v>1059</v>
      </c>
      <c r="G1575" s="278" t="str">
        <f>IFNA(IF(VLOOKUP(RC_OUT[BLOCK],RC_IN[[BLOCK]:[BLOCK LOC]],2,FALSE)=0,"",VLOOKUP(RC_OUT[BLOCK],RC_IN[[BLOCK]:[BLOCK LOC]],2,FALSE)),"")</f>
        <v/>
      </c>
      <c r="I1575" s="263">
        <f>IFERROR(AVERAGEIFS(RC_IN[MC],RC_IN[BLOCK],RC_OUT[BLOCK]),"")</f>
        <v>11.8</v>
      </c>
      <c r="J1575" s="264">
        <f t="shared" si="1"/>
        <v>141600</v>
      </c>
      <c r="K1575" s="246"/>
      <c r="L1575" s="246"/>
      <c r="M1575" s="249" t="str">
        <f t="shared" si="2"/>
        <v/>
      </c>
      <c r="N1575" s="266">
        <f t="shared" si="3"/>
        <v>0</v>
      </c>
      <c r="O1575" s="247"/>
      <c r="P1575" s="247"/>
      <c r="Q1575" s="247"/>
      <c r="R1575" s="247"/>
      <c r="S1575" s="247"/>
      <c r="T1575" s="247"/>
      <c r="U1575" s="247"/>
      <c r="V1575" s="247"/>
      <c r="W1575" s="247"/>
      <c r="X1575" s="247"/>
    </row>
    <row r="1576">
      <c r="A1576" s="274"/>
      <c r="B1576" s="274"/>
      <c r="C1576" s="274"/>
      <c r="D1576" s="283"/>
      <c r="E1576" s="274"/>
      <c r="F1576" s="279"/>
      <c r="G1576" s="278" t="str">
        <f>IFNA(IF(VLOOKUP(RC_OUT[BLOCK],RC_IN[[BLOCK]:[BLOCK LOC]],2,FALSE)=0,"",VLOOKUP(RC_OUT[BLOCK],RC_IN[[BLOCK]:[BLOCK LOC]],2,FALSE)),"")</f>
        <v/>
      </c>
      <c r="I1576" s="263" t="str">
        <f>IFERROR(AVERAGEIFS(RC_IN[MC],RC_IN[BLOCK],RC_OUT[BLOCK]),"")</f>
        <v/>
      </c>
      <c r="J1576" s="264">
        <f t="shared" si="1"/>
        <v>0</v>
      </c>
      <c r="K1576" s="246"/>
      <c r="L1576" s="246"/>
      <c r="M1576" s="249" t="str">
        <f t="shared" si="2"/>
        <v/>
      </c>
      <c r="N1576" s="266">
        <f t="shared" si="3"/>
        <v>0</v>
      </c>
      <c r="O1576" s="247"/>
      <c r="P1576" s="247"/>
      <c r="Q1576" s="247"/>
      <c r="R1576" s="247"/>
      <c r="S1576" s="247"/>
      <c r="T1576" s="247"/>
      <c r="U1576" s="247"/>
      <c r="V1576" s="247"/>
      <c r="W1576" s="247"/>
      <c r="X1576" s="247"/>
    </row>
    <row r="1577">
      <c r="A1577" s="282">
        <v>46052.0</v>
      </c>
      <c r="B1577" s="275" t="s">
        <v>1147</v>
      </c>
      <c r="C1577" s="275" t="s">
        <v>300</v>
      </c>
      <c r="D1577" s="276">
        <v>10003.0</v>
      </c>
      <c r="E1577" s="275" t="s">
        <v>1017</v>
      </c>
      <c r="F1577" s="277" t="s">
        <v>1059</v>
      </c>
      <c r="G1577" s="278" t="str">
        <f>IFNA(IF(VLOOKUP(RC_OUT[BLOCK],RC_IN[[BLOCK]:[BLOCK LOC]],2,FALSE)=0,"",VLOOKUP(RC_OUT[BLOCK],RC_IN[[BLOCK]:[BLOCK LOC]],2,FALSE)),"")</f>
        <v>D-5D</v>
      </c>
      <c r="I1577" s="263">
        <f>IFERROR(AVERAGEIFS(RC_IN[MC],RC_IN[BLOCK],RC_OUT[BLOCK]),"")</f>
        <v>11.32</v>
      </c>
      <c r="J1577" s="264">
        <f t="shared" si="1"/>
        <v>113233.96</v>
      </c>
      <c r="K1577" s="284">
        <f t="shared" ref="K1577:L1577" si="32">A1577</f>
        <v>46052</v>
      </c>
      <c r="L1577" s="246" t="str">
        <f t="shared" si="32"/>
        <v>JANUARY</v>
      </c>
      <c r="M1577" s="249">
        <f t="shared" si="2"/>
        <v>12.94302424</v>
      </c>
      <c r="N1577" s="266">
        <f t="shared" si="3"/>
        <v>37096</v>
      </c>
      <c r="O1577" s="247"/>
      <c r="P1577" s="247"/>
      <c r="Q1577" s="247"/>
      <c r="R1577" s="247"/>
      <c r="S1577" s="247"/>
      <c r="T1577" s="247"/>
      <c r="U1577" s="247"/>
      <c r="V1577" s="247"/>
      <c r="W1577" s="247"/>
      <c r="X1577" s="247"/>
    </row>
    <row r="1578">
      <c r="A1578" s="282">
        <v>46052.0</v>
      </c>
      <c r="B1578" s="275" t="s">
        <v>1147</v>
      </c>
      <c r="C1578" s="275" t="s">
        <v>429</v>
      </c>
      <c r="D1578" s="276">
        <v>5651.0</v>
      </c>
      <c r="E1578" s="275" t="s">
        <v>1017</v>
      </c>
      <c r="F1578" s="279"/>
      <c r="G1578" s="278" t="str">
        <f>IFNA(IF(VLOOKUP(RC_OUT[BLOCK],RC_IN[[BLOCK]:[BLOCK LOC]],2,FALSE)=0,"",VLOOKUP(RC_OUT[BLOCK],RC_IN[[BLOCK]:[BLOCK LOC]],2,FALSE)),"")</f>
        <v>D-18D</v>
      </c>
      <c r="I1578" s="263">
        <f>IFERROR(AVERAGEIFS(RC_IN[MC],RC_IN[BLOCK],RC_OUT[BLOCK]),"")</f>
        <v>13.68857143</v>
      </c>
      <c r="J1578" s="264">
        <f t="shared" si="1"/>
        <v>77354.11714</v>
      </c>
      <c r="K1578" s="246"/>
      <c r="L1578" s="246"/>
      <c r="M1578" s="249" t="str">
        <f t="shared" si="2"/>
        <v/>
      </c>
      <c r="N1578" s="266">
        <f t="shared" si="3"/>
        <v>0</v>
      </c>
      <c r="O1578" s="247"/>
      <c r="P1578" s="247"/>
      <c r="Q1578" s="247"/>
      <c r="R1578" s="247"/>
      <c r="S1578" s="247"/>
      <c r="T1578" s="247"/>
      <c r="U1578" s="247"/>
      <c r="V1578" s="247"/>
      <c r="W1578" s="247"/>
      <c r="X1578" s="247"/>
    </row>
    <row r="1579">
      <c r="A1579" s="282">
        <v>46052.0</v>
      </c>
      <c r="B1579" s="275" t="s">
        <v>1147</v>
      </c>
      <c r="C1579" s="275" t="s">
        <v>320</v>
      </c>
      <c r="D1579" s="276">
        <v>4233.0</v>
      </c>
      <c r="E1579" s="275" t="s">
        <v>1017</v>
      </c>
      <c r="F1579" s="279"/>
      <c r="G1579" s="278" t="str">
        <f>IFNA(IF(VLOOKUP(RC_OUT[BLOCK],RC_IN[[BLOCK]:[BLOCK LOC]],2,FALSE)=0,"",VLOOKUP(RC_OUT[BLOCK],RC_IN[[BLOCK]:[BLOCK LOC]],2,FALSE)),"")</f>
        <v>D-5C</v>
      </c>
      <c r="I1579" s="263">
        <f>IFERROR(AVERAGEIFS(RC_IN[MC],RC_IN[BLOCK],RC_OUT[BLOCK]),"")</f>
        <v>9.64</v>
      </c>
      <c r="J1579" s="264">
        <f t="shared" si="1"/>
        <v>40806.12</v>
      </c>
      <c r="K1579" s="246"/>
      <c r="L1579" s="246"/>
      <c r="M1579" s="249" t="str">
        <f t="shared" si="2"/>
        <v/>
      </c>
      <c r="N1579" s="266">
        <f t="shared" si="3"/>
        <v>0</v>
      </c>
      <c r="O1579" s="247"/>
      <c r="P1579" s="247"/>
      <c r="Q1579" s="247"/>
      <c r="R1579" s="247"/>
      <c r="S1579" s="247"/>
      <c r="T1579" s="247"/>
      <c r="U1579" s="247"/>
      <c r="V1579" s="247"/>
      <c r="W1579" s="247"/>
      <c r="X1579" s="247"/>
    </row>
    <row r="1580">
      <c r="A1580" s="285">
        <v>46052.0</v>
      </c>
      <c r="B1580" s="286" t="s">
        <v>1147</v>
      </c>
      <c r="C1580" s="286" t="s">
        <v>655</v>
      </c>
      <c r="D1580" s="287">
        <v>8400.0</v>
      </c>
      <c r="E1580" s="286" t="s">
        <v>1017</v>
      </c>
      <c r="F1580" s="288"/>
      <c r="G1580" s="289" t="str">
        <f>IFNA(IF(VLOOKUP(RC_OUT[BLOCK],RC_IN[[BLOCK]:[BLOCK LOC]],2,FALSE)=0,"",VLOOKUP(RC_OUT[BLOCK],RC_IN[[BLOCK]:[BLOCK LOC]],2,FALSE)),"")</f>
        <v/>
      </c>
      <c r="I1580" s="263">
        <f>IFERROR(AVERAGEIFS(RC_IN[MC],RC_IN[BLOCK],RC_OUT[BLOCK]),"")</f>
        <v>12.34</v>
      </c>
      <c r="J1580" s="264">
        <f t="shared" si="1"/>
        <v>103656</v>
      </c>
      <c r="K1580" s="246"/>
      <c r="L1580" s="246"/>
      <c r="M1580" s="249" t="str">
        <f t="shared" si="2"/>
        <v/>
      </c>
      <c r="N1580" s="266">
        <f t="shared" si="3"/>
        <v>0</v>
      </c>
      <c r="O1580" s="247"/>
      <c r="P1580" s="247"/>
      <c r="Q1580" s="247"/>
      <c r="R1580" s="247"/>
      <c r="S1580" s="247"/>
      <c r="T1580" s="247"/>
      <c r="U1580" s="247"/>
      <c r="V1580" s="247"/>
      <c r="W1580" s="247"/>
      <c r="X1580" s="247"/>
    </row>
    <row r="1581">
      <c r="A1581" s="290"/>
      <c r="B1581" s="290"/>
      <c r="C1581" s="290"/>
      <c r="D1581" s="291"/>
      <c r="E1581" s="290"/>
      <c r="F1581" s="292"/>
      <c r="G1581" s="293" t="str">
        <f>IFNA(IF(VLOOKUP(RC_OUT[BLOCK],RC_IN[[BLOCK]:[BLOCK LOC]],2,FALSE)=0,"",VLOOKUP(RC_OUT[BLOCK],RC_IN[[BLOCK]:[BLOCK LOC]],2,FALSE)),"")</f>
        <v/>
      </c>
      <c r="I1581" s="263" t="str">
        <f>IFERROR(AVERAGEIFS(RC_IN[MC],RC_IN[BLOCK],RC_OUT[BLOCK]),"")</f>
        <v/>
      </c>
      <c r="J1581" s="264">
        <f t="shared" si="1"/>
        <v>0</v>
      </c>
      <c r="K1581" s="246"/>
      <c r="L1581" s="246"/>
      <c r="M1581" s="249"/>
      <c r="N1581" s="266">
        <f t="shared" si="3"/>
        <v>0</v>
      </c>
      <c r="O1581" s="247"/>
      <c r="P1581" s="247"/>
      <c r="Q1581" s="247"/>
      <c r="R1581" s="247"/>
      <c r="S1581" s="247"/>
      <c r="T1581" s="247"/>
      <c r="U1581" s="247"/>
      <c r="V1581" s="247"/>
      <c r="W1581" s="247"/>
      <c r="X1581" s="247"/>
    </row>
    <row r="1582">
      <c r="A1582" s="294">
        <v>46039.0</v>
      </c>
      <c r="B1582" s="295" t="s">
        <v>1147</v>
      </c>
      <c r="C1582" s="295" t="s">
        <v>525</v>
      </c>
      <c r="D1582" s="296">
        <v>3611.0</v>
      </c>
      <c r="E1582" s="295" t="s">
        <v>1374</v>
      </c>
      <c r="F1582" s="292"/>
      <c r="G1582" s="293" t="str">
        <f>IFNA(IF(VLOOKUP(RC_OUT[BLOCK],RC_IN[[BLOCK]:[BLOCK LOC]],2,FALSE)=0,"",VLOOKUP(RC_OUT[BLOCK],RC_IN[[BLOCK]:[BLOCK LOC]],2,FALSE)),"")</f>
        <v>D-20D</v>
      </c>
      <c r="I1582" s="263">
        <f>IFERROR(AVERAGEIFS(RC_IN[MC],RC_IN[BLOCK],RC_OUT[BLOCK]),"")</f>
        <v>16.47</v>
      </c>
      <c r="J1582" s="264">
        <f t="shared" si="1"/>
        <v>59473.17</v>
      </c>
      <c r="K1582" s="246"/>
      <c r="L1582" s="246"/>
      <c r="M1582" s="249"/>
      <c r="N1582" s="266">
        <f t="shared" si="3"/>
        <v>0</v>
      </c>
      <c r="O1582" s="247"/>
      <c r="P1582" s="247"/>
      <c r="Q1582" s="247"/>
      <c r="R1582" s="247"/>
      <c r="S1582" s="247"/>
      <c r="T1582" s="247"/>
      <c r="U1582" s="247"/>
      <c r="V1582" s="247"/>
      <c r="W1582" s="247"/>
      <c r="X1582" s="247"/>
    </row>
    <row r="1583">
      <c r="A1583" s="294">
        <v>46040.0</v>
      </c>
      <c r="B1583" s="295" t="s">
        <v>1147</v>
      </c>
      <c r="C1583" s="295" t="s">
        <v>525</v>
      </c>
      <c r="D1583" s="296">
        <v>11779.0</v>
      </c>
      <c r="E1583" s="295" t="s">
        <v>1374</v>
      </c>
      <c r="F1583" s="292"/>
      <c r="G1583" s="293" t="str">
        <f>IFNA(IF(VLOOKUP(RC_OUT[BLOCK],RC_IN[[BLOCK]:[BLOCK LOC]],2,FALSE)=0,"",VLOOKUP(RC_OUT[BLOCK],RC_IN[[BLOCK]:[BLOCK LOC]],2,FALSE)),"")</f>
        <v>D-20D</v>
      </c>
      <c r="I1583" s="263">
        <f>IFERROR(AVERAGEIFS(RC_IN[MC],RC_IN[BLOCK],RC_OUT[BLOCK]),"")</f>
        <v>16.47</v>
      </c>
      <c r="J1583" s="264">
        <f t="shared" si="1"/>
        <v>194000.13</v>
      </c>
      <c r="K1583" s="246"/>
      <c r="L1583" s="246"/>
      <c r="M1583" s="249"/>
      <c r="N1583" s="266">
        <f t="shared" si="3"/>
        <v>0</v>
      </c>
      <c r="O1583" s="247"/>
      <c r="P1583" s="247"/>
      <c r="Q1583" s="247"/>
      <c r="R1583" s="247"/>
      <c r="S1583" s="247"/>
      <c r="T1583" s="247"/>
      <c r="U1583" s="247"/>
      <c r="V1583" s="247"/>
      <c r="W1583" s="247"/>
      <c r="X1583" s="247"/>
    </row>
    <row r="1584">
      <c r="A1584" s="294">
        <v>46050.0</v>
      </c>
      <c r="B1584" s="295" t="s">
        <v>1147</v>
      </c>
      <c r="C1584" s="295" t="s">
        <v>525</v>
      </c>
      <c r="D1584" s="296">
        <v>2128.0</v>
      </c>
      <c r="E1584" s="295" t="s">
        <v>1374</v>
      </c>
      <c r="F1584" s="292"/>
      <c r="G1584" s="293" t="str">
        <f>IFNA(IF(VLOOKUP(RC_OUT[BLOCK],RC_IN[[BLOCK]:[BLOCK LOC]],2,FALSE)=0,"",VLOOKUP(RC_OUT[BLOCK],RC_IN[[BLOCK]:[BLOCK LOC]],2,FALSE)),"")</f>
        <v>D-20D</v>
      </c>
      <c r="I1584" s="263">
        <f>IFERROR(AVERAGEIFS(RC_IN[MC],RC_IN[BLOCK],RC_OUT[BLOCK]),"")</f>
        <v>16.47</v>
      </c>
      <c r="J1584" s="264">
        <f t="shared" si="1"/>
        <v>35048.16</v>
      </c>
      <c r="K1584" s="246"/>
      <c r="L1584" s="246"/>
      <c r="M1584" s="249"/>
      <c r="N1584" s="266">
        <f t="shared" si="3"/>
        <v>0</v>
      </c>
      <c r="O1584" s="247"/>
      <c r="P1584" s="247"/>
      <c r="Q1584" s="247"/>
      <c r="R1584" s="247"/>
      <c r="S1584" s="247"/>
      <c r="T1584" s="247"/>
      <c r="U1584" s="247"/>
      <c r="V1584" s="247"/>
      <c r="W1584" s="247"/>
      <c r="X1584" s="247"/>
    </row>
    <row r="1585">
      <c r="A1585" s="294">
        <v>46051.0</v>
      </c>
      <c r="B1585" s="295" t="s">
        <v>1147</v>
      </c>
      <c r="C1585" s="295" t="s">
        <v>525</v>
      </c>
      <c r="D1585" s="296">
        <v>7557.0</v>
      </c>
      <c r="E1585" s="295" t="s">
        <v>1374</v>
      </c>
      <c r="F1585" s="292"/>
      <c r="G1585" s="293" t="str">
        <f>IFNA(IF(VLOOKUP(RC_OUT[BLOCK],RC_IN[[BLOCK]:[BLOCK LOC]],2,FALSE)=0,"",VLOOKUP(RC_OUT[BLOCK],RC_IN[[BLOCK]:[BLOCK LOC]],2,FALSE)),"")</f>
        <v>D-20D</v>
      </c>
      <c r="I1585" s="263">
        <f>IFERROR(AVERAGEIFS(RC_IN[MC],RC_IN[BLOCK],RC_OUT[BLOCK]),"")</f>
        <v>16.47</v>
      </c>
      <c r="J1585" s="264">
        <f t="shared" si="1"/>
        <v>124463.79</v>
      </c>
      <c r="K1585" s="246"/>
      <c r="L1585" s="246"/>
      <c r="M1585" s="249"/>
      <c r="N1585" s="266">
        <f t="shared" si="3"/>
        <v>0</v>
      </c>
      <c r="O1585" s="247"/>
      <c r="P1585" s="247"/>
      <c r="Q1585" s="247"/>
      <c r="R1585" s="247"/>
      <c r="S1585" s="247"/>
      <c r="T1585" s="247"/>
      <c r="U1585" s="247"/>
      <c r="V1585" s="247"/>
      <c r="W1585" s="247"/>
      <c r="X1585" s="247"/>
    </row>
    <row r="1586">
      <c r="A1586" s="290"/>
      <c r="B1586" s="290"/>
      <c r="C1586" s="290"/>
      <c r="D1586" s="291"/>
      <c r="E1586" s="290"/>
      <c r="F1586" s="292"/>
      <c r="G1586" s="293" t="str">
        <f>IFNA(IF(VLOOKUP(RC_OUT[BLOCK],RC_IN[[BLOCK]:[BLOCK LOC]],2,FALSE)=0,"",VLOOKUP(RC_OUT[BLOCK],RC_IN[[BLOCK]:[BLOCK LOC]],2,FALSE)),"")</f>
        <v/>
      </c>
      <c r="I1586" s="263" t="str">
        <f>IFERROR(AVERAGEIFS(RC_IN[MC],RC_IN[BLOCK],RC_OUT[BLOCK]),"")</f>
        <v/>
      </c>
      <c r="J1586" s="264">
        <f t="shared" si="1"/>
        <v>0</v>
      </c>
      <c r="K1586" s="246"/>
      <c r="L1586" s="246"/>
      <c r="M1586" s="249"/>
      <c r="N1586" s="266">
        <f t="shared" si="3"/>
        <v>0</v>
      </c>
      <c r="O1586" s="247"/>
      <c r="P1586" s="247"/>
      <c r="Q1586" s="247"/>
      <c r="R1586" s="247"/>
      <c r="S1586" s="247"/>
      <c r="T1586" s="247"/>
      <c r="U1586" s="247"/>
      <c r="V1586" s="247"/>
      <c r="W1586" s="247"/>
      <c r="X1586" s="247"/>
    </row>
    <row r="1587">
      <c r="A1587" s="294">
        <v>46055.0</v>
      </c>
      <c r="B1587" s="295" t="s">
        <v>1162</v>
      </c>
      <c r="C1587" s="295" t="s">
        <v>320</v>
      </c>
      <c r="D1587" s="296">
        <v>5580.0</v>
      </c>
      <c r="E1587" s="295" t="s">
        <v>1017</v>
      </c>
      <c r="F1587" s="292"/>
      <c r="G1587" s="293" t="str">
        <f>IFNA(IF(VLOOKUP(RC_OUT[BLOCK],RC_IN[[BLOCK]:[BLOCK LOC]],2,FALSE)=0,"",VLOOKUP(RC_OUT[BLOCK],RC_IN[[BLOCK]:[BLOCK LOC]],2,FALSE)),"")</f>
        <v>D-5C</v>
      </c>
      <c r="I1587" s="263">
        <f>IFERROR(AVERAGEIFS(RC_IN[MC],RC_IN[BLOCK],RC_OUT[BLOCK]),"")</f>
        <v>9.64</v>
      </c>
      <c r="J1587" s="264">
        <f t="shared" si="1"/>
        <v>53791.2</v>
      </c>
      <c r="K1587" s="284">
        <f t="shared" ref="K1587:L1587" si="33">A1587</f>
        <v>46055</v>
      </c>
      <c r="L1587" s="246" t="str">
        <f t="shared" si="33"/>
        <v>FEBRUARY</v>
      </c>
      <c r="M1587" s="249">
        <f>IFERROR(SUMIFS(J:J,A:A,K1587,B:B,L1587)/SUMIFS(D:D,A:A,K1587,B:B,L1587),"")</f>
        <v>10.97635592</v>
      </c>
      <c r="N1587" s="266">
        <f t="shared" si="3"/>
        <v>20499</v>
      </c>
      <c r="O1587" s="247"/>
      <c r="P1587" s="247"/>
      <c r="Q1587" s="247"/>
      <c r="R1587" s="247"/>
      <c r="S1587" s="247"/>
      <c r="T1587" s="247"/>
      <c r="U1587" s="247"/>
      <c r="V1587" s="247"/>
      <c r="W1587" s="247"/>
      <c r="X1587" s="247"/>
    </row>
    <row r="1588">
      <c r="A1588" s="294">
        <v>46055.0</v>
      </c>
      <c r="B1588" s="295" t="s">
        <v>1162</v>
      </c>
      <c r="C1588" s="295" t="s">
        <v>655</v>
      </c>
      <c r="D1588" s="296">
        <v>8487.0</v>
      </c>
      <c r="E1588" s="295" t="s">
        <v>1017</v>
      </c>
      <c r="F1588" s="297" t="s">
        <v>1059</v>
      </c>
      <c r="G1588" s="293" t="str">
        <f>IFNA(IF(VLOOKUP(RC_OUT[BLOCK],RC_IN[[BLOCK]:[BLOCK LOC]],2,FALSE)=0,"",VLOOKUP(RC_OUT[BLOCK],RC_IN[[BLOCK]:[BLOCK LOC]],2,FALSE)),"")</f>
        <v/>
      </c>
      <c r="I1588" s="263">
        <f>IFERROR(AVERAGEIFS(RC_IN[MC],RC_IN[BLOCK],RC_OUT[BLOCK]),"")</f>
        <v>12.34</v>
      </c>
      <c r="J1588" s="264">
        <f t="shared" si="1"/>
        <v>104729.58</v>
      </c>
      <c r="K1588" s="246"/>
      <c r="L1588" s="246"/>
      <c r="M1588" s="249"/>
      <c r="N1588" s="266">
        <f t="shared" si="3"/>
        <v>0</v>
      </c>
      <c r="O1588" s="247"/>
      <c r="P1588" s="247"/>
      <c r="Q1588" s="247"/>
      <c r="R1588" s="247"/>
      <c r="S1588" s="247"/>
      <c r="T1588" s="247"/>
      <c r="U1588" s="247"/>
      <c r="V1588" s="247"/>
      <c r="W1588" s="247"/>
      <c r="X1588" s="247"/>
    </row>
    <row r="1589">
      <c r="A1589" s="294">
        <v>46055.0</v>
      </c>
      <c r="B1589" s="295" t="s">
        <v>1162</v>
      </c>
      <c r="C1589" s="295" t="s">
        <v>540</v>
      </c>
      <c r="D1589" s="296">
        <v>4917.0</v>
      </c>
      <c r="E1589" s="295" t="s">
        <v>1017</v>
      </c>
      <c r="F1589" s="292"/>
      <c r="G1589" s="293" t="str">
        <f>IFNA(IF(VLOOKUP(RC_OUT[BLOCK],RC_IN[[BLOCK]:[BLOCK LOC]],2,FALSE)=0,"",VLOOKUP(RC_OUT[BLOCK],RC_IN[[BLOCK]:[BLOCK LOC]],2,FALSE)),"")</f>
        <v>C-17B</v>
      </c>
      <c r="I1589" s="263">
        <f>IFERROR(AVERAGEIFS(RC_IN[MC],RC_IN[BLOCK],RC_OUT[BLOCK]),"")</f>
        <v>9.87</v>
      </c>
      <c r="J1589" s="264">
        <f t="shared" si="1"/>
        <v>48530.79</v>
      </c>
      <c r="K1589" s="246"/>
      <c r="L1589" s="246"/>
      <c r="M1589" s="249"/>
      <c r="N1589" s="266">
        <f t="shared" si="3"/>
        <v>0</v>
      </c>
      <c r="O1589" s="247"/>
      <c r="P1589" s="247"/>
      <c r="Q1589" s="247"/>
      <c r="R1589" s="247"/>
      <c r="S1589" s="247"/>
      <c r="T1589" s="247"/>
      <c r="U1589" s="247"/>
      <c r="V1589" s="247"/>
      <c r="W1589" s="247"/>
      <c r="X1589" s="247"/>
    </row>
    <row r="1590">
      <c r="A1590" s="294">
        <v>46055.0</v>
      </c>
      <c r="B1590" s="295" t="s">
        <v>1162</v>
      </c>
      <c r="C1590" s="295" t="s">
        <v>515</v>
      </c>
      <c r="D1590" s="296">
        <v>1515.0</v>
      </c>
      <c r="E1590" s="295" t="s">
        <v>1017</v>
      </c>
      <c r="F1590" s="292"/>
      <c r="G1590" s="293" t="str">
        <f>IFNA(IF(VLOOKUP(RC_OUT[BLOCK],RC_IN[[BLOCK]:[BLOCK LOC]],2,FALSE)=0,"",VLOOKUP(RC_OUT[BLOCK],RC_IN[[BLOCK]:[BLOCK LOC]],2,FALSE)),"")</f>
        <v>A-19C</v>
      </c>
      <c r="I1590" s="263">
        <f>IFERROR(AVERAGEIFS(RC_IN[MC],RC_IN[BLOCK],RC_OUT[BLOCK]),"")</f>
        <v>11.85</v>
      </c>
      <c r="J1590" s="264">
        <f t="shared" si="1"/>
        <v>17952.75</v>
      </c>
      <c r="K1590" s="246"/>
      <c r="L1590" s="246"/>
      <c r="M1590" s="249"/>
      <c r="N1590" s="266">
        <f t="shared" si="3"/>
        <v>0</v>
      </c>
      <c r="O1590" s="247"/>
      <c r="P1590" s="247"/>
      <c r="Q1590" s="247"/>
      <c r="R1590" s="247"/>
      <c r="S1590" s="247"/>
      <c r="T1590" s="247"/>
      <c r="U1590" s="247"/>
      <c r="V1590" s="247"/>
      <c r="W1590" s="247"/>
      <c r="X1590" s="247"/>
    </row>
    <row r="1591">
      <c r="A1591" s="290"/>
      <c r="B1591" s="290"/>
      <c r="C1591" s="290"/>
      <c r="D1591" s="291"/>
      <c r="E1591" s="290"/>
      <c r="F1591" s="292"/>
      <c r="G1591" s="293" t="str">
        <f>IFNA(IF(VLOOKUP(RC_OUT[BLOCK],RC_IN[[BLOCK]:[BLOCK LOC]],2,FALSE)=0,"",VLOOKUP(RC_OUT[BLOCK],RC_IN[[BLOCK]:[BLOCK LOC]],2,FALSE)),"")</f>
        <v/>
      </c>
      <c r="I1591" s="263" t="str">
        <f>IFERROR(AVERAGEIFS(RC_IN[MC],RC_IN[BLOCK],RC_OUT[BLOCK]),"")</f>
        <v/>
      </c>
      <c r="J1591" s="264">
        <f t="shared" si="1"/>
        <v>0</v>
      </c>
      <c r="K1591" s="246"/>
      <c r="L1591" s="246"/>
      <c r="M1591" s="249"/>
      <c r="N1591" s="266">
        <f t="shared" si="3"/>
        <v>0</v>
      </c>
      <c r="O1591" s="247"/>
      <c r="P1591" s="247"/>
      <c r="Q1591" s="247"/>
      <c r="R1591" s="247"/>
      <c r="S1591" s="247"/>
      <c r="T1591" s="247"/>
      <c r="U1591" s="247"/>
      <c r="V1591" s="247"/>
      <c r="W1591" s="247"/>
      <c r="X1591" s="247"/>
    </row>
    <row r="1592">
      <c r="A1592" s="294">
        <v>46052.0</v>
      </c>
      <c r="B1592" s="295" t="s">
        <v>1147</v>
      </c>
      <c r="C1592" s="295" t="s">
        <v>525</v>
      </c>
      <c r="D1592" s="296">
        <v>8809.0</v>
      </c>
      <c r="E1592" s="295" t="s">
        <v>1374</v>
      </c>
      <c r="F1592" s="292"/>
      <c r="G1592" s="293" t="str">
        <f>IFNA(IF(VLOOKUP(RC_OUT[BLOCK],RC_IN[[BLOCK]:[BLOCK LOC]],2,FALSE)=0,"",VLOOKUP(RC_OUT[BLOCK],RC_IN[[BLOCK]:[BLOCK LOC]],2,FALSE)),"")</f>
        <v>D-20D</v>
      </c>
      <c r="I1592" s="263">
        <f>IFERROR(AVERAGEIFS(RC_IN[MC],RC_IN[BLOCK],RC_OUT[BLOCK]),"")</f>
        <v>16.47</v>
      </c>
      <c r="J1592" s="264">
        <f t="shared" si="1"/>
        <v>145084.23</v>
      </c>
      <c r="K1592" s="246"/>
      <c r="L1592" s="246"/>
      <c r="M1592" s="249"/>
      <c r="N1592" s="266">
        <f t="shared" si="3"/>
        <v>0</v>
      </c>
      <c r="O1592" s="247"/>
      <c r="P1592" s="247"/>
      <c r="Q1592" s="247"/>
      <c r="R1592" s="247"/>
      <c r="S1592" s="247"/>
      <c r="T1592" s="247"/>
      <c r="U1592" s="247"/>
      <c r="V1592" s="247"/>
      <c r="W1592" s="247"/>
      <c r="X1592" s="247"/>
    </row>
    <row r="1593">
      <c r="A1593" s="294">
        <v>46053.0</v>
      </c>
      <c r="B1593" s="295" t="s">
        <v>1147</v>
      </c>
      <c r="C1593" s="295" t="s">
        <v>525</v>
      </c>
      <c r="D1593" s="296">
        <v>8685.0</v>
      </c>
      <c r="E1593" s="295" t="s">
        <v>1374</v>
      </c>
      <c r="F1593" s="292"/>
      <c r="G1593" s="293" t="str">
        <f>IFNA(IF(VLOOKUP(RC_OUT[BLOCK],RC_IN[[BLOCK]:[BLOCK LOC]],2,FALSE)=0,"",VLOOKUP(RC_OUT[BLOCK],RC_IN[[BLOCK]:[BLOCK LOC]],2,FALSE)),"")</f>
        <v>D-20D</v>
      </c>
      <c r="I1593" s="263">
        <f>IFERROR(AVERAGEIFS(RC_IN[MC],RC_IN[BLOCK],RC_OUT[BLOCK]),"")</f>
        <v>16.47</v>
      </c>
      <c r="J1593" s="264">
        <f t="shared" si="1"/>
        <v>143041.95</v>
      </c>
      <c r="K1593" s="246"/>
      <c r="L1593" s="246"/>
      <c r="M1593" s="249"/>
      <c r="N1593" s="266">
        <f t="shared" si="3"/>
        <v>0</v>
      </c>
      <c r="O1593" s="247"/>
      <c r="P1593" s="247"/>
      <c r="Q1593" s="247"/>
      <c r="R1593" s="247"/>
      <c r="S1593" s="247"/>
      <c r="T1593" s="247"/>
      <c r="U1593" s="247"/>
      <c r="V1593" s="247"/>
      <c r="W1593" s="247"/>
      <c r="X1593" s="247"/>
    </row>
    <row r="1594">
      <c r="A1594" s="294">
        <v>46054.0</v>
      </c>
      <c r="B1594" s="295" t="s">
        <v>1147</v>
      </c>
      <c r="C1594" s="295" t="s">
        <v>525</v>
      </c>
      <c r="D1594" s="296">
        <v>2404.0</v>
      </c>
      <c r="E1594" s="295" t="s">
        <v>1374</v>
      </c>
      <c r="F1594" s="297" t="s">
        <v>1059</v>
      </c>
      <c r="G1594" s="293" t="str">
        <f>IFNA(IF(VLOOKUP(RC_OUT[BLOCK],RC_IN[[BLOCK]:[BLOCK LOC]],2,FALSE)=0,"",VLOOKUP(RC_OUT[BLOCK],RC_IN[[BLOCK]:[BLOCK LOC]],2,FALSE)),"")</f>
        <v>D-20D</v>
      </c>
      <c r="I1594" s="263">
        <f>IFERROR(AVERAGEIFS(RC_IN[MC],RC_IN[BLOCK],RC_OUT[BLOCK]),"")</f>
        <v>16.47</v>
      </c>
      <c r="J1594" s="264">
        <f t="shared" si="1"/>
        <v>39593.88</v>
      </c>
      <c r="K1594" s="246"/>
      <c r="L1594" s="246"/>
      <c r="M1594" s="249"/>
      <c r="N1594" s="266">
        <f t="shared" si="3"/>
        <v>0</v>
      </c>
      <c r="O1594" s="247"/>
      <c r="P1594" s="247"/>
      <c r="Q1594" s="247"/>
      <c r="R1594" s="247"/>
      <c r="S1594" s="247"/>
      <c r="T1594" s="247"/>
      <c r="U1594" s="247"/>
      <c r="V1594" s="247"/>
      <c r="W1594" s="247"/>
      <c r="X1594" s="247"/>
    </row>
    <row r="1595">
      <c r="A1595" s="294">
        <v>46054.0</v>
      </c>
      <c r="B1595" s="295" t="s">
        <v>1147</v>
      </c>
      <c r="C1595" s="295" t="s">
        <v>593</v>
      </c>
      <c r="D1595" s="296">
        <v>9303.0</v>
      </c>
      <c r="E1595" s="295" t="s">
        <v>1374</v>
      </c>
      <c r="F1595" s="292"/>
      <c r="G1595" s="293" t="str">
        <f>IFNA(IF(VLOOKUP(RC_OUT[BLOCK],RC_IN[[BLOCK]:[BLOCK LOC]],2,FALSE)=0,"",VLOOKUP(RC_OUT[BLOCK],RC_IN[[BLOCK]:[BLOCK LOC]],2,FALSE)),"")</f>
        <v>D-20C</v>
      </c>
      <c r="I1595" s="263">
        <f>IFERROR(AVERAGEIFS(RC_IN[MC],RC_IN[BLOCK],RC_OUT[BLOCK]),"")</f>
        <v>16.96</v>
      </c>
      <c r="J1595" s="264">
        <f t="shared" si="1"/>
        <v>157778.88</v>
      </c>
      <c r="K1595" s="246"/>
      <c r="L1595" s="246"/>
      <c r="M1595" s="249"/>
      <c r="N1595" s="266">
        <f t="shared" si="3"/>
        <v>0</v>
      </c>
      <c r="O1595" s="247"/>
      <c r="P1595" s="247"/>
      <c r="Q1595" s="247"/>
      <c r="R1595" s="247"/>
      <c r="S1595" s="247"/>
      <c r="T1595" s="247"/>
      <c r="U1595" s="247"/>
      <c r="V1595" s="247"/>
      <c r="W1595" s="247"/>
      <c r="X1595" s="247"/>
    </row>
    <row r="1596">
      <c r="A1596" s="294">
        <v>46055.0</v>
      </c>
      <c r="B1596" s="295" t="s">
        <v>1147</v>
      </c>
      <c r="C1596" s="295" t="s">
        <v>593</v>
      </c>
      <c r="D1596" s="296">
        <v>8997.0</v>
      </c>
      <c r="E1596" s="295" t="s">
        <v>1374</v>
      </c>
      <c r="F1596" s="292"/>
      <c r="G1596" s="293" t="str">
        <f>IFNA(IF(VLOOKUP(RC_OUT[BLOCK],RC_IN[[BLOCK]:[BLOCK LOC]],2,FALSE)=0,"",VLOOKUP(RC_OUT[BLOCK],RC_IN[[BLOCK]:[BLOCK LOC]],2,FALSE)),"")</f>
        <v>D-20C</v>
      </c>
      <c r="I1596" s="263">
        <f>IFERROR(AVERAGEIFS(RC_IN[MC],RC_IN[BLOCK],RC_OUT[BLOCK]),"")</f>
        <v>16.96</v>
      </c>
      <c r="J1596" s="264">
        <f t="shared" si="1"/>
        <v>152589.12</v>
      </c>
      <c r="K1596" s="246"/>
      <c r="L1596" s="246"/>
      <c r="M1596" s="249"/>
      <c r="N1596" s="266">
        <f t="shared" si="3"/>
        <v>0</v>
      </c>
      <c r="O1596" s="247"/>
      <c r="P1596" s="247"/>
      <c r="Q1596" s="247"/>
      <c r="R1596" s="247"/>
      <c r="S1596" s="247"/>
      <c r="T1596" s="247"/>
      <c r="U1596" s="247"/>
      <c r="V1596" s="247"/>
      <c r="W1596" s="247"/>
      <c r="X1596" s="247"/>
    </row>
    <row r="1597">
      <c r="A1597" s="294"/>
      <c r="B1597" s="295"/>
      <c r="C1597" s="295"/>
      <c r="D1597" s="296"/>
      <c r="E1597" s="295"/>
      <c r="F1597" s="292"/>
      <c r="G1597" s="293" t="str">
        <f>IFNA(IF(VLOOKUP(RC_OUT[BLOCK],RC_IN[[BLOCK]:[BLOCK LOC]],2,FALSE)=0,"",VLOOKUP(RC_OUT[BLOCK],RC_IN[[BLOCK]:[BLOCK LOC]],2,FALSE)),"")</f>
        <v/>
      </c>
      <c r="I1597" s="263" t="str">
        <f>IFERROR(AVERAGEIFS(RC_IN[MC],RC_IN[BLOCK],RC_OUT[BLOCK]),"")</f>
        <v/>
      </c>
      <c r="J1597" s="264">
        <f t="shared" si="1"/>
        <v>0</v>
      </c>
      <c r="K1597" s="246"/>
      <c r="L1597" s="246"/>
      <c r="M1597" s="249"/>
      <c r="N1597" s="266">
        <f t="shared" si="3"/>
        <v>0</v>
      </c>
      <c r="O1597" s="247"/>
      <c r="P1597" s="247"/>
      <c r="Q1597" s="247"/>
      <c r="R1597" s="247"/>
      <c r="S1597" s="247"/>
      <c r="T1597" s="247"/>
      <c r="U1597" s="247"/>
      <c r="V1597" s="247"/>
      <c r="W1597" s="247"/>
      <c r="X1597" s="247"/>
    </row>
    <row r="1598">
      <c r="A1598" s="294">
        <v>46056.0</v>
      </c>
      <c r="B1598" s="295" t="s">
        <v>1147</v>
      </c>
      <c r="C1598" s="295" t="s">
        <v>593</v>
      </c>
      <c r="D1598" s="296">
        <v>10823.0</v>
      </c>
      <c r="E1598" s="295" t="s">
        <v>1374</v>
      </c>
      <c r="F1598" s="292"/>
      <c r="G1598" s="293" t="str">
        <f>IFNA(IF(VLOOKUP(RC_OUT[BLOCK],RC_IN[[BLOCK]:[BLOCK LOC]],2,FALSE)=0,"",VLOOKUP(RC_OUT[BLOCK],RC_IN[[BLOCK]:[BLOCK LOC]],2,FALSE)),"")</f>
        <v>D-20C</v>
      </c>
      <c r="I1598" s="263">
        <f>IFERROR(AVERAGEIFS(RC_IN[MC],RC_IN[BLOCK],RC_OUT[BLOCK]),"")</f>
        <v>16.96</v>
      </c>
      <c r="J1598" s="264">
        <f t="shared" si="1"/>
        <v>183558.08</v>
      </c>
      <c r="K1598" s="246"/>
      <c r="L1598" s="246"/>
      <c r="M1598" s="249"/>
      <c r="N1598" s="266">
        <f t="shared" si="3"/>
        <v>0</v>
      </c>
      <c r="O1598" s="247"/>
      <c r="P1598" s="247"/>
      <c r="Q1598" s="247"/>
      <c r="R1598" s="247"/>
      <c r="S1598" s="247"/>
      <c r="T1598" s="247"/>
      <c r="U1598" s="247"/>
      <c r="V1598" s="247"/>
      <c r="W1598" s="247"/>
      <c r="X1598" s="247"/>
    </row>
    <row r="1599">
      <c r="A1599" s="294">
        <v>46056.0</v>
      </c>
      <c r="B1599" s="295" t="s">
        <v>1162</v>
      </c>
      <c r="C1599" s="295" t="s">
        <v>320</v>
      </c>
      <c r="D1599" s="296">
        <v>3430.0</v>
      </c>
      <c r="E1599" s="295" t="s">
        <v>1017</v>
      </c>
      <c r="F1599" s="292"/>
      <c r="G1599" s="293" t="str">
        <f>IFNA(IF(VLOOKUP(RC_OUT[BLOCK],RC_IN[[BLOCK]:[BLOCK LOC]],2,FALSE)=0,"",VLOOKUP(RC_OUT[BLOCK],RC_IN[[BLOCK]:[BLOCK LOC]],2,FALSE)),"")</f>
        <v>D-5C</v>
      </c>
      <c r="I1599" s="263">
        <f>IFERROR(AVERAGEIFS(RC_IN[MC],RC_IN[BLOCK],RC_OUT[BLOCK]),"")</f>
        <v>9.64</v>
      </c>
      <c r="J1599" s="264">
        <f t="shared" si="1"/>
        <v>33065.2</v>
      </c>
      <c r="K1599" s="284">
        <f t="shared" ref="K1599:L1599" si="34">A1599</f>
        <v>46056</v>
      </c>
      <c r="L1599" s="246" t="str">
        <f t="shared" si="34"/>
        <v>FEBRUARY</v>
      </c>
      <c r="M1599" s="249">
        <f>IFERROR(SUMIFS(J:J,A:A,K1599,B:B,L1599)/SUMIFS(D:D,A:A,K1599,B:B,L1599),"")</f>
        <v>10.13641472</v>
      </c>
      <c r="N1599" s="266">
        <f t="shared" si="3"/>
        <v>35007</v>
      </c>
      <c r="O1599" s="247"/>
      <c r="P1599" s="247"/>
      <c r="Q1599" s="247"/>
      <c r="R1599" s="247"/>
      <c r="S1599" s="247"/>
      <c r="T1599" s="247"/>
      <c r="U1599" s="247"/>
      <c r="V1599" s="247"/>
      <c r="W1599" s="247"/>
      <c r="X1599" s="247"/>
    </row>
    <row r="1600">
      <c r="A1600" s="294">
        <v>46056.0</v>
      </c>
      <c r="B1600" s="295" t="s">
        <v>1162</v>
      </c>
      <c r="C1600" s="295" t="s">
        <v>540</v>
      </c>
      <c r="D1600" s="296">
        <v>22181.0</v>
      </c>
      <c r="E1600" s="295" t="s">
        <v>1017</v>
      </c>
      <c r="F1600" s="292"/>
      <c r="G1600" s="293" t="str">
        <f>IFNA(IF(VLOOKUP(RC_OUT[BLOCK],RC_IN[[BLOCK]:[BLOCK LOC]],2,FALSE)=0,"",VLOOKUP(RC_OUT[BLOCK],RC_IN[[BLOCK]:[BLOCK LOC]],2,FALSE)),"")</f>
        <v>C-17B</v>
      </c>
      <c r="I1600" s="263">
        <f>IFERROR(AVERAGEIFS(RC_IN[MC],RC_IN[BLOCK],RC_OUT[BLOCK]),"")</f>
        <v>9.87</v>
      </c>
      <c r="J1600" s="264">
        <f t="shared" si="1"/>
        <v>218926.47</v>
      </c>
      <c r="K1600" s="246"/>
      <c r="L1600" s="246"/>
      <c r="M1600" s="249"/>
      <c r="N1600" s="266">
        <f t="shared" si="3"/>
        <v>0</v>
      </c>
      <c r="O1600" s="247"/>
      <c r="P1600" s="247"/>
      <c r="Q1600" s="247"/>
      <c r="R1600" s="247"/>
      <c r="S1600" s="247"/>
      <c r="T1600" s="247"/>
      <c r="U1600" s="247"/>
      <c r="V1600" s="247"/>
      <c r="W1600" s="247"/>
      <c r="X1600" s="247"/>
    </row>
    <row r="1601">
      <c r="A1601" s="294">
        <v>46056.0</v>
      </c>
      <c r="B1601" s="295" t="s">
        <v>1162</v>
      </c>
      <c r="C1601" s="295" t="s">
        <v>515</v>
      </c>
      <c r="D1601" s="296">
        <v>2916.0</v>
      </c>
      <c r="E1601" s="295" t="s">
        <v>1017</v>
      </c>
      <c r="F1601" s="292"/>
      <c r="G1601" s="293" t="str">
        <f>IFNA(IF(VLOOKUP(RC_OUT[BLOCK],RC_IN[[BLOCK]:[BLOCK LOC]],2,FALSE)=0,"",VLOOKUP(RC_OUT[BLOCK],RC_IN[[BLOCK]:[BLOCK LOC]],2,FALSE)),"")</f>
        <v>A-19C</v>
      </c>
      <c r="I1601" s="263">
        <f>IFERROR(AVERAGEIFS(RC_IN[MC],RC_IN[BLOCK],RC_OUT[BLOCK]),"")</f>
        <v>11.85</v>
      </c>
      <c r="J1601" s="264">
        <f t="shared" si="1"/>
        <v>34554.6</v>
      </c>
      <c r="K1601" s="246"/>
      <c r="L1601" s="246"/>
      <c r="M1601" s="249"/>
      <c r="N1601" s="266">
        <f t="shared" si="3"/>
        <v>0</v>
      </c>
      <c r="O1601" s="247"/>
      <c r="P1601" s="247"/>
      <c r="Q1601" s="247"/>
      <c r="R1601" s="247"/>
      <c r="S1601" s="247"/>
      <c r="T1601" s="247"/>
      <c r="U1601" s="247"/>
      <c r="V1601" s="247"/>
      <c r="W1601" s="247"/>
      <c r="X1601" s="247"/>
    </row>
    <row r="1602">
      <c r="A1602" s="294">
        <v>46056.0</v>
      </c>
      <c r="B1602" s="295" t="s">
        <v>1162</v>
      </c>
      <c r="C1602" s="295" t="s">
        <v>665</v>
      </c>
      <c r="D1602" s="296">
        <v>6480.0</v>
      </c>
      <c r="E1602" s="295" t="s">
        <v>1017</v>
      </c>
      <c r="F1602" s="292"/>
      <c r="G1602" s="293" t="str">
        <f>IFNA(IF(VLOOKUP(RC_OUT[BLOCK],RC_IN[[BLOCK]:[BLOCK LOC]],2,FALSE)=0,"",VLOOKUP(RC_OUT[BLOCK],RC_IN[[BLOCK]:[BLOCK LOC]],2,FALSE)),"")</f>
        <v/>
      </c>
      <c r="I1602" s="263">
        <f>IFERROR(AVERAGEIFS(RC_IN[MC],RC_IN[BLOCK],RC_OUT[BLOCK]),"")</f>
        <v>10.54</v>
      </c>
      <c r="J1602" s="264">
        <f t="shared" si="1"/>
        <v>68299.2</v>
      </c>
      <c r="K1602" s="246"/>
      <c r="L1602" s="246"/>
      <c r="M1602" s="249"/>
      <c r="N1602" s="266">
        <f t="shared" si="3"/>
        <v>0</v>
      </c>
      <c r="O1602" s="247"/>
      <c r="P1602" s="247"/>
      <c r="Q1602" s="247"/>
      <c r="R1602" s="247"/>
      <c r="S1602" s="247"/>
      <c r="T1602" s="247"/>
      <c r="U1602" s="247"/>
      <c r="V1602" s="247"/>
      <c r="W1602" s="247"/>
      <c r="X1602" s="247"/>
    </row>
    <row r="1603">
      <c r="A1603" s="294"/>
      <c r="B1603" s="295"/>
      <c r="C1603" s="295"/>
      <c r="D1603" s="296"/>
      <c r="E1603" s="295"/>
      <c r="F1603" s="292"/>
      <c r="G1603" s="293" t="str">
        <f>IFNA(IF(VLOOKUP(RC_OUT[BLOCK],RC_IN[[BLOCK]:[BLOCK LOC]],2,FALSE)=0,"",VLOOKUP(RC_OUT[BLOCK],RC_IN[[BLOCK]:[BLOCK LOC]],2,FALSE)),"")</f>
        <v/>
      </c>
      <c r="I1603" s="263" t="str">
        <f>IFERROR(AVERAGEIFS(RC_IN[MC],RC_IN[BLOCK],RC_OUT[BLOCK]),"")</f>
        <v/>
      </c>
      <c r="J1603" s="264">
        <f t="shared" si="1"/>
        <v>0</v>
      </c>
      <c r="K1603" s="246"/>
      <c r="L1603" s="246"/>
      <c r="M1603" s="249"/>
      <c r="N1603" s="266">
        <f t="shared" si="3"/>
        <v>0</v>
      </c>
      <c r="O1603" s="247"/>
      <c r="P1603" s="247"/>
      <c r="Q1603" s="247"/>
      <c r="R1603" s="247"/>
      <c r="S1603" s="247"/>
      <c r="T1603" s="247"/>
      <c r="U1603" s="247"/>
      <c r="V1603" s="247"/>
      <c r="W1603" s="247"/>
      <c r="X1603" s="247"/>
    </row>
    <row r="1604">
      <c r="A1604" s="294">
        <v>46057.0</v>
      </c>
      <c r="B1604" s="295" t="s">
        <v>1162</v>
      </c>
      <c r="C1604" s="295" t="s">
        <v>540</v>
      </c>
      <c r="D1604" s="296">
        <v>18621.0</v>
      </c>
      <c r="E1604" s="295" t="s">
        <v>1017</v>
      </c>
      <c r="F1604" s="292"/>
      <c r="G1604" s="293" t="str">
        <f>IFNA(IF(VLOOKUP(RC_OUT[BLOCK],RC_IN[[BLOCK]:[BLOCK LOC]],2,FALSE)=0,"",VLOOKUP(RC_OUT[BLOCK],RC_IN[[BLOCK]:[BLOCK LOC]],2,FALSE)),"")</f>
        <v>C-17B</v>
      </c>
      <c r="I1604" s="263">
        <f>IFERROR(AVERAGEIFS(RC_IN[MC],RC_IN[BLOCK],RC_OUT[BLOCK]),"")</f>
        <v>9.87</v>
      </c>
      <c r="J1604" s="264">
        <f t="shared" si="1"/>
        <v>183789.27</v>
      </c>
      <c r="K1604" s="284">
        <f t="shared" ref="K1604:L1604" si="35">A1604</f>
        <v>46057</v>
      </c>
      <c r="L1604" s="246" t="str">
        <f t="shared" si="35"/>
        <v>FEBRUARY</v>
      </c>
      <c r="M1604" s="249">
        <f>IFERROR(SUMIFS(J:J,A:A,K1604,B:B,L1604)/SUMIFS(D:D,A:A,K1604,B:B,L1604),"")</f>
        <v>11.40970253</v>
      </c>
      <c r="N1604" s="266">
        <f t="shared" si="3"/>
        <v>29516</v>
      </c>
      <c r="O1604" s="247"/>
      <c r="P1604" s="247"/>
      <c r="Q1604" s="247"/>
      <c r="R1604" s="247"/>
      <c r="S1604" s="247"/>
      <c r="T1604" s="247"/>
      <c r="U1604" s="247"/>
      <c r="V1604" s="247"/>
      <c r="W1604" s="247"/>
      <c r="X1604" s="247"/>
    </row>
    <row r="1605">
      <c r="A1605" s="294">
        <v>46057.0</v>
      </c>
      <c r="B1605" s="295" t="s">
        <v>1162</v>
      </c>
      <c r="C1605" s="295" t="s">
        <v>515</v>
      </c>
      <c r="D1605" s="296">
        <v>2953.0</v>
      </c>
      <c r="E1605" s="295" t="s">
        <v>1017</v>
      </c>
      <c r="F1605" s="292"/>
      <c r="G1605" s="293" t="str">
        <f>IFNA(IF(VLOOKUP(RC_OUT[BLOCK],RC_IN[[BLOCK]:[BLOCK LOC]],2,FALSE)=0,"",VLOOKUP(RC_OUT[BLOCK],RC_IN[[BLOCK]:[BLOCK LOC]],2,FALSE)),"")</f>
        <v>A-19C</v>
      </c>
      <c r="I1605" s="263">
        <f>IFERROR(AVERAGEIFS(RC_IN[MC],RC_IN[BLOCK],RC_OUT[BLOCK]),"")</f>
        <v>11.85</v>
      </c>
      <c r="J1605" s="264">
        <f t="shared" si="1"/>
        <v>34993.05</v>
      </c>
      <c r="K1605" s="246"/>
      <c r="L1605" s="246"/>
      <c r="M1605" s="249"/>
      <c r="N1605" s="266">
        <f t="shared" si="3"/>
        <v>0</v>
      </c>
      <c r="O1605" s="247"/>
      <c r="P1605" s="247"/>
      <c r="Q1605" s="247"/>
      <c r="R1605" s="247"/>
      <c r="S1605" s="247"/>
      <c r="T1605" s="247"/>
      <c r="U1605" s="247"/>
      <c r="V1605" s="247"/>
      <c r="W1605" s="247"/>
      <c r="X1605" s="247"/>
    </row>
    <row r="1606">
      <c r="A1606" s="294">
        <v>46057.0</v>
      </c>
      <c r="B1606" s="295" t="s">
        <v>1162</v>
      </c>
      <c r="C1606" s="295" t="s">
        <v>665</v>
      </c>
      <c r="D1606" s="296">
        <v>1200.0</v>
      </c>
      <c r="E1606" s="295" t="s">
        <v>1017</v>
      </c>
      <c r="F1606" s="292"/>
      <c r="G1606" s="293" t="str">
        <f>IFNA(IF(VLOOKUP(RC_OUT[BLOCK],RC_IN[[BLOCK]:[BLOCK LOC]],2,FALSE)=0,"",VLOOKUP(RC_OUT[BLOCK],RC_IN[[BLOCK]:[BLOCK LOC]],2,FALSE)),"")</f>
        <v/>
      </c>
      <c r="I1606" s="263">
        <f>IFERROR(AVERAGEIFS(RC_IN[MC],RC_IN[BLOCK],RC_OUT[BLOCK]),"")</f>
        <v>10.54</v>
      </c>
      <c r="J1606" s="264">
        <f t="shared" si="1"/>
        <v>12648</v>
      </c>
      <c r="K1606" s="246"/>
      <c r="L1606" s="246"/>
      <c r="M1606" s="249"/>
      <c r="N1606" s="266">
        <f t="shared" si="3"/>
        <v>0</v>
      </c>
      <c r="O1606" s="247"/>
      <c r="P1606" s="247"/>
      <c r="Q1606" s="247"/>
      <c r="R1606" s="247"/>
      <c r="S1606" s="247"/>
      <c r="T1606" s="247"/>
      <c r="U1606" s="247"/>
      <c r="V1606" s="247"/>
      <c r="W1606" s="247"/>
      <c r="X1606" s="247"/>
    </row>
    <row r="1607">
      <c r="A1607" s="294">
        <v>46057.0</v>
      </c>
      <c r="B1607" s="295" t="s">
        <v>1162</v>
      </c>
      <c r="C1607" s="295" t="s">
        <v>311</v>
      </c>
      <c r="D1607" s="296">
        <v>3899.0</v>
      </c>
      <c r="E1607" s="295" t="s">
        <v>1017</v>
      </c>
      <c r="F1607" s="297" t="s">
        <v>1059</v>
      </c>
      <c r="G1607" s="293" t="str">
        <f>IFNA(IF(VLOOKUP(RC_OUT[BLOCK],RC_IN[[BLOCK]:[BLOCK LOC]],2,FALSE)=0,"",VLOOKUP(RC_OUT[BLOCK],RC_IN[[BLOCK]:[BLOCK LOC]],2,FALSE)),"")</f>
        <v>A-3A</v>
      </c>
      <c r="I1607" s="263">
        <f>IFERROR(AVERAGEIFS(RC_IN[MC],RC_IN[BLOCK],RC_OUT[BLOCK]),"")</f>
        <v>19.54</v>
      </c>
      <c r="J1607" s="264">
        <f t="shared" si="1"/>
        <v>76186.46</v>
      </c>
      <c r="K1607" s="246"/>
      <c r="L1607" s="246"/>
      <c r="M1607" s="249"/>
      <c r="N1607" s="266">
        <f t="shared" si="3"/>
        <v>0</v>
      </c>
      <c r="O1607" s="247"/>
      <c r="P1607" s="247"/>
      <c r="Q1607" s="247"/>
      <c r="R1607" s="247"/>
      <c r="S1607" s="247"/>
      <c r="T1607" s="247"/>
      <c r="U1607" s="247"/>
      <c r="V1607" s="247"/>
      <c r="W1607" s="247"/>
      <c r="X1607" s="247"/>
    </row>
    <row r="1608">
      <c r="A1608" s="294">
        <v>46057.0</v>
      </c>
      <c r="B1608" s="295" t="s">
        <v>1162</v>
      </c>
      <c r="C1608" s="295" t="s">
        <v>581</v>
      </c>
      <c r="D1608" s="296">
        <v>453.0</v>
      </c>
      <c r="E1608" s="295" t="s">
        <v>1017</v>
      </c>
      <c r="F1608" s="297" t="s">
        <v>1059</v>
      </c>
      <c r="G1608" s="293" t="str">
        <f>IFNA(IF(VLOOKUP(RC_OUT[BLOCK],RC_IN[[BLOCK]:[BLOCK LOC]],2,FALSE)=0,"",VLOOKUP(RC_OUT[BLOCK],RC_IN[[BLOCK]:[BLOCK LOC]],2,FALSE)),"")</f>
        <v>A-3B</v>
      </c>
      <c r="I1608" s="263">
        <f>IFERROR(AVERAGEIFS(RC_IN[MC],RC_IN[BLOCK],RC_OUT[BLOCK]),"")</f>
        <v>9.8</v>
      </c>
      <c r="J1608" s="264">
        <f t="shared" si="1"/>
        <v>4439.4</v>
      </c>
      <c r="K1608" s="246"/>
      <c r="L1608" s="246"/>
      <c r="M1608" s="249"/>
      <c r="N1608" s="266">
        <f t="shared" si="3"/>
        <v>0</v>
      </c>
      <c r="O1608" s="247"/>
      <c r="P1608" s="247"/>
      <c r="Q1608" s="247"/>
      <c r="R1608" s="247"/>
      <c r="S1608" s="247"/>
      <c r="T1608" s="247"/>
      <c r="U1608" s="247"/>
      <c r="V1608" s="247"/>
      <c r="W1608" s="247"/>
      <c r="X1608" s="247"/>
    </row>
    <row r="1609">
      <c r="A1609" s="294">
        <v>46057.0</v>
      </c>
      <c r="B1609" s="295" t="s">
        <v>1162</v>
      </c>
      <c r="C1609" s="295" t="s">
        <v>566</v>
      </c>
      <c r="D1609" s="296">
        <v>2390.0</v>
      </c>
      <c r="E1609" s="295" t="s">
        <v>1017</v>
      </c>
      <c r="F1609" s="297" t="s">
        <v>1059</v>
      </c>
      <c r="G1609" s="293" t="str">
        <f>IFNA(IF(VLOOKUP(RC_OUT[BLOCK],RC_IN[[BLOCK]:[BLOCK LOC]],2,FALSE)=0,"",VLOOKUP(RC_OUT[BLOCK],RC_IN[[BLOCK]:[BLOCK LOC]],2,FALSE)),"")</f>
        <v>A-3C</v>
      </c>
      <c r="I1609" s="263">
        <f>IFERROR(AVERAGEIFS(RC_IN[MC],RC_IN[BLOCK],RC_OUT[BLOCK]),"")</f>
        <v>10.34</v>
      </c>
      <c r="J1609" s="264">
        <f t="shared" si="1"/>
        <v>24712.6</v>
      </c>
      <c r="K1609" s="246"/>
      <c r="L1609" s="246"/>
      <c r="M1609" s="249"/>
      <c r="N1609" s="266">
        <f t="shared" si="3"/>
        <v>0</v>
      </c>
      <c r="O1609" s="247"/>
      <c r="P1609" s="247"/>
      <c r="Q1609" s="247"/>
      <c r="R1609" s="247"/>
      <c r="S1609" s="247"/>
      <c r="T1609" s="247"/>
      <c r="U1609" s="247"/>
      <c r="V1609" s="247"/>
      <c r="W1609" s="247"/>
      <c r="X1609" s="247"/>
    </row>
    <row r="1610">
      <c r="A1610" s="294"/>
      <c r="B1610" s="295"/>
      <c r="C1610" s="295"/>
      <c r="D1610" s="296"/>
      <c r="E1610" s="295"/>
      <c r="F1610" s="292"/>
      <c r="G1610" s="293" t="str">
        <f>IFNA(IF(VLOOKUP(RC_OUT[BLOCK],RC_IN[[BLOCK]:[BLOCK LOC]],2,FALSE)=0,"",VLOOKUP(RC_OUT[BLOCK],RC_IN[[BLOCK]:[BLOCK LOC]],2,FALSE)),"")</f>
        <v/>
      </c>
      <c r="I1610" s="263" t="str">
        <f>IFERROR(AVERAGEIFS(RC_IN[MC],RC_IN[BLOCK],RC_OUT[BLOCK]),"")</f>
        <v/>
      </c>
      <c r="J1610" s="264">
        <f t="shared" si="1"/>
        <v>0</v>
      </c>
      <c r="K1610" s="246"/>
      <c r="L1610" s="246"/>
      <c r="M1610" s="249"/>
      <c r="N1610" s="266">
        <f t="shared" si="3"/>
        <v>0</v>
      </c>
      <c r="O1610" s="247"/>
      <c r="P1610" s="247"/>
      <c r="Q1610" s="247"/>
      <c r="R1610" s="247"/>
      <c r="S1610" s="247"/>
      <c r="T1610" s="247"/>
      <c r="U1610" s="247"/>
      <c r="V1610" s="247"/>
      <c r="W1610" s="247"/>
      <c r="X1610" s="247"/>
    </row>
    <row r="1611">
      <c r="A1611" s="294">
        <v>46058.0</v>
      </c>
      <c r="B1611" s="295" t="s">
        <v>1162</v>
      </c>
      <c r="C1611" s="295" t="s">
        <v>540</v>
      </c>
      <c r="D1611" s="296">
        <v>16218.0</v>
      </c>
      <c r="E1611" s="295" t="s">
        <v>1017</v>
      </c>
      <c r="F1611" s="297" t="s">
        <v>1059</v>
      </c>
      <c r="G1611" s="293" t="str">
        <f>IFNA(IF(VLOOKUP(RC_OUT[BLOCK],RC_IN[[BLOCK]:[BLOCK LOC]],2,FALSE)=0,"",VLOOKUP(RC_OUT[BLOCK],RC_IN[[BLOCK]:[BLOCK LOC]],2,FALSE)),"")</f>
        <v>C-17B</v>
      </c>
      <c r="I1611" s="263">
        <f>IFERROR(AVERAGEIFS(RC_IN[MC],RC_IN[BLOCK],RC_OUT[BLOCK]),"")</f>
        <v>9.87</v>
      </c>
      <c r="J1611" s="264">
        <f t="shared" si="1"/>
        <v>160071.66</v>
      </c>
      <c r="K1611" s="284">
        <f t="shared" ref="K1611:L1611" si="36">A1611</f>
        <v>46058</v>
      </c>
      <c r="L1611" s="246" t="str">
        <f t="shared" si="36"/>
        <v>FEBRUARY</v>
      </c>
      <c r="M1611" s="249">
        <f>IFERROR(SUMIFS(J:J,A:A,K1611,B:B,L1611)/SUMIFS(D:D,A:A,K1611,B:B,L1611),"")</f>
        <v>9.909513851</v>
      </c>
      <c r="N1611" s="266">
        <f t="shared" si="3"/>
        <v>29637</v>
      </c>
      <c r="O1611" s="247"/>
      <c r="P1611" s="247"/>
      <c r="Q1611" s="247"/>
      <c r="R1611" s="247"/>
      <c r="S1611" s="247"/>
      <c r="T1611" s="247"/>
      <c r="U1611" s="247"/>
      <c r="V1611" s="247"/>
      <c r="W1611" s="247"/>
      <c r="X1611" s="247"/>
    </row>
    <row r="1612">
      <c r="A1612" s="294">
        <v>46058.0</v>
      </c>
      <c r="B1612" s="295" t="s">
        <v>1162</v>
      </c>
      <c r="C1612" s="295" t="s">
        <v>515</v>
      </c>
      <c r="D1612" s="296">
        <v>2456.0</v>
      </c>
      <c r="E1612" s="295" t="s">
        <v>1017</v>
      </c>
      <c r="F1612" s="292"/>
      <c r="G1612" s="293" t="str">
        <f>IFNA(IF(VLOOKUP(RC_OUT[BLOCK],RC_IN[[BLOCK]:[BLOCK LOC]],2,FALSE)=0,"",VLOOKUP(RC_OUT[BLOCK],RC_IN[[BLOCK]:[BLOCK LOC]],2,FALSE)),"")</f>
        <v>A-19C</v>
      </c>
      <c r="I1612" s="263">
        <f>IFERROR(AVERAGEIFS(RC_IN[MC],RC_IN[BLOCK],RC_OUT[BLOCK]),"")</f>
        <v>11.85</v>
      </c>
      <c r="J1612" s="264">
        <f t="shared" si="1"/>
        <v>29103.6</v>
      </c>
      <c r="K1612" s="246"/>
      <c r="L1612" s="246"/>
      <c r="M1612" s="249"/>
      <c r="N1612" s="266">
        <f t="shared" si="3"/>
        <v>0</v>
      </c>
      <c r="O1612" s="247"/>
      <c r="P1612" s="247"/>
      <c r="Q1612" s="247"/>
      <c r="R1612" s="247"/>
      <c r="S1612" s="247"/>
      <c r="T1612" s="247"/>
      <c r="U1612" s="247"/>
      <c r="V1612" s="247"/>
      <c r="W1612" s="247"/>
      <c r="X1612" s="247"/>
    </row>
    <row r="1613">
      <c r="A1613" s="294">
        <v>46058.0</v>
      </c>
      <c r="B1613" s="295" t="s">
        <v>1162</v>
      </c>
      <c r="C1613" s="295" t="s">
        <v>665</v>
      </c>
      <c r="D1613" s="296">
        <v>800.0</v>
      </c>
      <c r="E1613" s="295" t="s">
        <v>1017</v>
      </c>
      <c r="F1613" s="292"/>
      <c r="G1613" s="293" t="str">
        <f>IFNA(IF(VLOOKUP(RC_OUT[BLOCK],RC_IN[[BLOCK]:[BLOCK LOC]],2,FALSE)=0,"",VLOOKUP(RC_OUT[BLOCK],RC_IN[[BLOCK]:[BLOCK LOC]],2,FALSE)),"")</f>
        <v/>
      </c>
      <c r="I1613" s="263">
        <f>IFERROR(AVERAGEIFS(RC_IN[MC],RC_IN[BLOCK],RC_OUT[BLOCK]),"")</f>
        <v>10.54</v>
      </c>
      <c r="J1613" s="264">
        <f t="shared" si="1"/>
        <v>8432</v>
      </c>
      <c r="K1613" s="246"/>
      <c r="L1613" s="246"/>
      <c r="M1613" s="249"/>
      <c r="N1613" s="266">
        <f t="shared" si="3"/>
        <v>0</v>
      </c>
      <c r="O1613" s="247"/>
      <c r="P1613" s="247"/>
      <c r="Q1613" s="247"/>
      <c r="R1613" s="247"/>
      <c r="S1613" s="247"/>
      <c r="T1613" s="247"/>
      <c r="U1613" s="247"/>
      <c r="V1613" s="247"/>
      <c r="W1613" s="247"/>
      <c r="X1613" s="247"/>
    </row>
    <row r="1614">
      <c r="A1614" s="294">
        <v>46058.0</v>
      </c>
      <c r="B1614" s="295" t="s">
        <v>1162</v>
      </c>
      <c r="C1614" s="295" t="s">
        <v>530</v>
      </c>
      <c r="D1614" s="296">
        <v>10163.0</v>
      </c>
      <c r="E1614" s="295" t="s">
        <v>1017</v>
      </c>
      <c r="F1614" s="292"/>
      <c r="G1614" s="293" t="str">
        <f>IFNA(IF(VLOOKUP(RC_OUT[BLOCK],RC_IN[[BLOCK]:[BLOCK LOC]],2,FALSE)=0,"",VLOOKUP(RC_OUT[BLOCK],RC_IN[[BLOCK]:[BLOCK LOC]],2,FALSE)),"")</f>
        <v>C-17A</v>
      </c>
      <c r="I1614" s="263">
        <f>IFERROR(AVERAGEIFS(RC_IN[MC],RC_IN[BLOCK],RC_OUT[BLOCK]),"")</f>
        <v>9.454</v>
      </c>
      <c r="J1614" s="264">
        <f t="shared" si="1"/>
        <v>96081.002</v>
      </c>
      <c r="K1614" s="246"/>
      <c r="L1614" s="246"/>
      <c r="M1614" s="249"/>
      <c r="N1614" s="266">
        <f t="shared" si="3"/>
        <v>0</v>
      </c>
      <c r="O1614" s="247"/>
      <c r="P1614" s="247"/>
      <c r="Q1614" s="247"/>
      <c r="R1614" s="247"/>
      <c r="S1614" s="247"/>
      <c r="T1614" s="247"/>
      <c r="U1614" s="247"/>
      <c r="V1614" s="247"/>
      <c r="W1614" s="247"/>
      <c r="X1614" s="247"/>
    </row>
    <row r="1615">
      <c r="A1615" s="294">
        <v>46058.0</v>
      </c>
      <c r="B1615" s="295" t="s">
        <v>1147</v>
      </c>
      <c r="C1615" s="295" t="s">
        <v>593</v>
      </c>
      <c r="D1615" s="296">
        <v>8952.0</v>
      </c>
      <c r="E1615" s="295" t="s">
        <v>1374</v>
      </c>
      <c r="F1615" s="292"/>
      <c r="G1615" s="293" t="str">
        <f>IFNA(IF(VLOOKUP(RC_OUT[BLOCK],RC_IN[[BLOCK]:[BLOCK LOC]],2,FALSE)=0,"",VLOOKUP(RC_OUT[BLOCK],RC_IN[[BLOCK]:[BLOCK LOC]],2,FALSE)),"")</f>
        <v>D-20C</v>
      </c>
      <c r="I1615" s="263">
        <f>IFERROR(AVERAGEIFS(RC_IN[MC],RC_IN[BLOCK],RC_OUT[BLOCK]),"")</f>
        <v>16.96</v>
      </c>
      <c r="J1615" s="264">
        <f t="shared" si="1"/>
        <v>151825.92</v>
      </c>
      <c r="K1615" s="246"/>
      <c r="L1615" s="246"/>
      <c r="M1615" s="249"/>
      <c r="N1615" s="266">
        <f t="shared" si="3"/>
        <v>0</v>
      </c>
      <c r="O1615" s="247"/>
      <c r="P1615" s="247"/>
      <c r="Q1615" s="247"/>
      <c r="R1615" s="247"/>
      <c r="S1615" s="247"/>
      <c r="T1615" s="247"/>
      <c r="U1615" s="247"/>
      <c r="V1615" s="247"/>
      <c r="W1615" s="247"/>
      <c r="X1615" s="247"/>
    </row>
    <row r="1616">
      <c r="A1616" s="294"/>
      <c r="B1616" s="295"/>
      <c r="C1616" s="295"/>
      <c r="D1616" s="296"/>
      <c r="E1616" s="295"/>
      <c r="F1616" s="292"/>
      <c r="G1616" s="293" t="str">
        <f>IFNA(IF(VLOOKUP(RC_OUT[BLOCK],RC_IN[[BLOCK]:[BLOCK LOC]],2,FALSE)=0,"",VLOOKUP(RC_OUT[BLOCK],RC_IN[[BLOCK]:[BLOCK LOC]],2,FALSE)),"")</f>
        <v/>
      </c>
      <c r="I1616" s="263" t="str">
        <f>IFERROR(AVERAGEIFS(RC_IN[MC],RC_IN[BLOCK],RC_OUT[BLOCK]),"")</f>
        <v/>
      </c>
      <c r="J1616" s="264">
        <f t="shared" si="1"/>
        <v>0</v>
      </c>
      <c r="K1616" s="246"/>
      <c r="L1616" s="246"/>
      <c r="M1616" s="249"/>
      <c r="N1616" s="266">
        <f t="shared" si="3"/>
        <v>0</v>
      </c>
      <c r="O1616" s="247"/>
      <c r="P1616" s="247"/>
      <c r="Q1616" s="247"/>
      <c r="R1616" s="247"/>
      <c r="S1616" s="247"/>
      <c r="T1616" s="247"/>
      <c r="U1616" s="247"/>
      <c r="V1616" s="247"/>
      <c r="W1616" s="247"/>
      <c r="X1616" s="247"/>
    </row>
    <row r="1617">
      <c r="A1617" s="294">
        <v>46059.0</v>
      </c>
      <c r="B1617" s="295" t="s">
        <v>1162</v>
      </c>
      <c r="C1617" s="295" t="s">
        <v>515</v>
      </c>
      <c r="D1617" s="296">
        <v>2490.0</v>
      </c>
      <c r="E1617" s="295" t="s">
        <v>1017</v>
      </c>
      <c r="F1617" s="292"/>
      <c r="G1617" s="293" t="str">
        <f>IFNA(IF(VLOOKUP(RC_OUT[BLOCK],RC_IN[[BLOCK]:[BLOCK LOC]],2,FALSE)=0,"",VLOOKUP(RC_OUT[BLOCK],RC_IN[[BLOCK]:[BLOCK LOC]],2,FALSE)),"")</f>
        <v>A-19C</v>
      </c>
      <c r="I1617" s="263">
        <f>IFERROR(AVERAGEIFS(RC_IN[MC],RC_IN[BLOCK],RC_OUT[BLOCK]),"")</f>
        <v>11.85</v>
      </c>
      <c r="J1617" s="264">
        <f t="shared" si="1"/>
        <v>29506.5</v>
      </c>
      <c r="K1617" s="284">
        <f t="shared" ref="K1617:L1617" si="37">A1617</f>
        <v>46059</v>
      </c>
      <c r="L1617" s="246" t="str">
        <f t="shared" si="37"/>
        <v>FEBRUARY</v>
      </c>
      <c r="M1617" s="249">
        <f>IFERROR(SUMIFS(J:J,A:A,K1617,B:B,L1617)/SUMIFS(D:D,A:A,K1617,B:B,L1617),"")</f>
        <v>9.966734635</v>
      </c>
      <c r="N1617" s="266">
        <f t="shared" si="3"/>
        <v>22226</v>
      </c>
      <c r="O1617" s="247"/>
      <c r="P1617" s="247"/>
      <c r="Q1617" s="247"/>
      <c r="R1617" s="247"/>
      <c r="S1617" s="247"/>
      <c r="T1617" s="247"/>
      <c r="U1617" s="247"/>
      <c r="V1617" s="247"/>
      <c r="W1617" s="247"/>
      <c r="X1617" s="247"/>
    </row>
    <row r="1618">
      <c r="A1618" s="294">
        <v>46059.0</v>
      </c>
      <c r="B1618" s="295" t="s">
        <v>1162</v>
      </c>
      <c r="C1618" s="295" t="s">
        <v>665</v>
      </c>
      <c r="D1618" s="296">
        <v>5000.0</v>
      </c>
      <c r="E1618" s="295" t="s">
        <v>1017</v>
      </c>
      <c r="F1618" s="292"/>
      <c r="G1618" s="293" t="str">
        <f>IFNA(IF(VLOOKUP(RC_OUT[BLOCK],RC_IN[[BLOCK]:[BLOCK LOC]],2,FALSE)=0,"",VLOOKUP(RC_OUT[BLOCK],RC_IN[[BLOCK]:[BLOCK LOC]],2,FALSE)),"")</f>
        <v/>
      </c>
      <c r="I1618" s="263">
        <f>IFERROR(AVERAGEIFS(RC_IN[MC],RC_IN[BLOCK],RC_OUT[BLOCK]),"")</f>
        <v>10.54</v>
      </c>
      <c r="J1618" s="264">
        <f t="shared" si="1"/>
        <v>52700</v>
      </c>
      <c r="K1618" s="246"/>
      <c r="L1618" s="246"/>
      <c r="M1618" s="249"/>
      <c r="N1618" s="266">
        <f t="shared" si="3"/>
        <v>0</v>
      </c>
      <c r="O1618" s="247"/>
      <c r="P1618" s="247"/>
      <c r="Q1618" s="247"/>
      <c r="R1618" s="247"/>
      <c r="S1618" s="247"/>
      <c r="T1618" s="247"/>
      <c r="U1618" s="247"/>
      <c r="V1618" s="247"/>
      <c r="W1618" s="247"/>
      <c r="X1618" s="247"/>
    </row>
    <row r="1619">
      <c r="A1619" s="294">
        <v>46059.0</v>
      </c>
      <c r="B1619" s="295" t="s">
        <v>1162</v>
      </c>
      <c r="C1619" s="295" t="s">
        <v>530</v>
      </c>
      <c r="D1619" s="296">
        <v>14736.0</v>
      </c>
      <c r="E1619" s="295" t="s">
        <v>1017</v>
      </c>
      <c r="F1619" s="292"/>
      <c r="G1619" s="293" t="str">
        <f>IFNA(IF(VLOOKUP(RC_OUT[BLOCK],RC_IN[[BLOCK]:[BLOCK LOC]],2,FALSE)=0,"",VLOOKUP(RC_OUT[BLOCK],RC_IN[[BLOCK]:[BLOCK LOC]],2,FALSE)),"")</f>
        <v>C-17A</v>
      </c>
      <c r="I1619" s="263">
        <f>IFERROR(AVERAGEIFS(RC_IN[MC],RC_IN[BLOCK],RC_OUT[BLOCK]),"")</f>
        <v>9.454</v>
      </c>
      <c r="J1619" s="264">
        <f t="shared" si="1"/>
        <v>139314.144</v>
      </c>
      <c r="K1619" s="246"/>
      <c r="L1619" s="246"/>
      <c r="M1619" s="249"/>
      <c r="N1619" s="266">
        <f t="shared" si="3"/>
        <v>0</v>
      </c>
      <c r="O1619" s="247"/>
      <c r="P1619" s="247"/>
      <c r="Q1619" s="247"/>
      <c r="R1619" s="247"/>
      <c r="S1619" s="247"/>
      <c r="T1619" s="247"/>
      <c r="U1619" s="247"/>
      <c r="V1619" s="247"/>
      <c r="W1619" s="247"/>
      <c r="X1619" s="247"/>
    </row>
    <row r="1620">
      <c r="A1620" s="294"/>
      <c r="B1620" s="295"/>
      <c r="C1620" s="295"/>
      <c r="D1620" s="296"/>
      <c r="E1620" s="295"/>
      <c r="F1620" s="292"/>
      <c r="G1620" s="293" t="str">
        <f>IFNA(IF(VLOOKUP(RC_OUT[BLOCK],RC_IN[[BLOCK]:[BLOCK LOC]],2,FALSE)=0,"",VLOOKUP(RC_OUT[BLOCK],RC_IN[[BLOCK]:[BLOCK LOC]],2,FALSE)),"")</f>
        <v/>
      </c>
      <c r="I1620" s="263" t="str">
        <f>IFERROR(AVERAGEIFS(RC_IN[MC],RC_IN[BLOCK],RC_OUT[BLOCK]),"")</f>
        <v/>
      </c>
      <c r="J1620" s="264">
        <f t="shared" si="1"/>
        <v>0</v>
      </c>
      <c r="K1620" s="246"/>
      <c r="L1620" s="246"/>
      <c r="M1620" s="249"/>
      <c r="N1620" s="266">
        <f t="shared" si="3"/>
        <v>0</v>
      </c>
      <c r="O1620" s="247"/>
      <c r="P1620" s="247"/>
      <c r="Q1620" s="247"/>
      <c r="R1620" s="247"/>
      <c r="S1620" s="247"/>
      <c r="T1620" s="247"/>
      <c r="U1620" s="247"/>
      <c r="V1620" s="247"/>
      <c r="W1620" s="247"/>
      <c r="X1620" s="247"/>
    </row>
    <row r="1621">
      <c r="A1621" s="294">
        <v>46060.0</v>
      </c>
      <c r="B1621" s="295" t="s">
        <v>1162</v>
      </c>
      <c r="C1621" s="295" t="s">
        <v>515</v>
      </c>
      <c r="D1621" s="296">
        <v>2875.0</v>
      </c>
      <c r="E1621" s="295" t="s">
        <v>1017</v>
      </c>
      <c r="F1621" s="292"/>
      <c r="G1621" s="293" t="str">
        <f>IFNA(IF(VLOOKUP(RC_OUT[BLOCK],RC_IN[[BLOCK]:[BLOCK LOC]],2,FALSE)=0,"",VLOOKUP(RC_OUT[BLOCK],RC_IN[[BLOCK]:[BLOCK LOC]],2,FALSE)),"")</f>
        <v>A-19C</v>
      </c>
      <c r="I1621" s="263">
        <f>IFERROR(AVERAGEIFS(RC_IN[MC],RC_IN[BLOCK],RC_OUT[BLOCK]),"")</f>
        <v>11.85</v>
      </c>
      <c r="J1621" s="264">
        <f t="shared" si="1"/>
        <v>34068.75</v>
      </c>
      <c r="K1621" s="284">
        <f t="shared" ref="K1621:L1621" si="38">A1621</f>
        <v>46060</v>
      </c>
      <c r="L1621" s="246" t="str">
        <f t="shared" si="38"/>
        <v>FEBRUARY</v>
      </c>
      <c r="M1621" s="249">
        <f>IFERROR(SUMIFS(J:J,A:A,K1621,B:B,L1621)/SUMIFS(D:D,A:A,K1621,B:B,L1621),"")</f>
        <v>10.07307074</v>
      </c>
      <c r="N1621" s="266">
        <f t="shared" si="3"/>
        <v>35915</v>
      </c>
      <c r="O1621" s="247"/>
      <c r="P1621" s="247"/>
      <c r="Q1621" s="247"/>
      <c r="R1621" s="247"/>
      <c r="S1621" s="247"/>
      <c r="T1621" s="247"/>
      <c r="U1621" s="247"/>
      <c r="V1621" s="247"/>
      <c r="W1621" s="247"/>
      <c r="X1621" s="247"/>
    </row>
    <row r="1622">
      <c r="A1622" s="294">
        <v>46060.0</v>
      </c>
      <c r="B1622" s="295" t="s">
        <v>1162</v>
      </c>
      <c r="C1622" s="295" t="s">
        <v>665</v>
      </c>
      <c r="D1622" s="296">
        <v>3000.0</v>
      </c>
      <c r="E1622" s="295" t="s">
        <v>1017</v>
      </c>
      <c r="F1622" s="297" t="s">
        <v>1059</v>
      </c>
      <c r="G1622" s="293" t="str">
        <f>IFNA(IF(VLOOKUP(RC_OUT[BLOCK],RC_IN[[BLOCK]:[BLOCK LOC]],2,FALSE)=0,"",VLOOKUP(RC_OUT[BLOCK],RC_IN[[BLOCK]:[BLOCK LOC]],2,FALSE)),"")</f>
        <v/>
      </c>
      <c r="I1622" s="263">
        <f>IFERROR(AVERAGEIFS(RC_IN[MC],RC_IN[BLOCK],RC_OUT[BLOCK]),"")</f>
        <v>10.54</v>
      </c>
      <c r="J1622" s="264">
        <f t="shared" si="1"/>
        <v>31620</v>
      </c>
      <c r="K1622" s="246"/>
      <c r="L1622" s="246"/>
      <c r="M1622" s="249"/>
      <c r="N1622" s="266">
        <f t="shared" si="3"/>
        <v>0</v>
      </c>
      <c r="O1622" s="247"/>
      <c r="P1622" s="247"/>
      <c r="Q1622" s="247"/>
      <c r="R1622" s="247"/>
      <c r="S1622" s="247"/>
      <c r="T1622" s="247"/>
      <c r="U1622" s="247"/>
      <c r="V1622" s="247"/>
      <c r="W1622" s="247"/>
      <c r="X1622" s="247"/>
    </row>
    <row r="1623">
      <c r="A1623" s="294">
        <v>46060.0</v>
      </c>
      <c r="B1623" s="295" t="s">
        <v>1162</v>
      </c>
      <c r="C1623" s="295" t="s">
        <v>530</v>
      </c>
      <c r="D1623" s="296">
        <v>12825.0</v>
      </c>
      <c r="E1623" s="295" t="s">
        <v>1017</v>
      </c>
      <c r="F1623" s="292"/>
      <c r="G1623" s="293" t="str">
        <f>IFNA(IF(VLOOKUP(RC_OUT[BLOCK],RC_IN[[BLOCK]:[BLOCK LOC]],2,FALSE)=0,"",VLOOKUP(RC_OUT[BLOCK],RC_IN[[BLOCK]:[BLOCK LOC]],2,FALSE)),"")</f>
        <v>C-17A</v>
      </c>
      <c r="I1623" s="263">
        <f>IFERROR(AVERAGEIFS(RC_IN[MC],RC_IN[BLOCK],RC_OUT[BLOCK]),"")</f>
        <v>9.454</v>
      </c>
      <c r="J1623" s="264">
        <f t="shared" si="1"/>
        <v>121247.55</v>
      </c>
      <c r="K1623" s="246"/>
      <c r="L1623" s="246"/>
      <c r="M1623" s="249"/>
      <c r="N1623" s="266">
        <f t="shared" si="3"/>
        <v>0</v>
      </c>
      <c r="O1623" s="247"/>
      <c r="P1623" s="247"/>
      <c r="Q1623" s="247"/>
      <c r="R1623" s="247"/>
      <c r="S1623" s="247"/>
      <c r="T1623" s="247"/>
      <c r="U1623" s="247"/>
      <c r="V1623" s="247"/>
      <c r="W1623" s="247"/>
      <c r="X1623" s="247"/>
    </row>
    <row r="1624">
      <c r="A1624" s="294">
        <v>46060.0</v>
      </c>
      <c r="B1624" s="295" t="s">
        <v>1162</v>
      </c>
      <c r="C1624" s="295" t="s">
        <v>673</v>
      </c>
      <c r="D1624" s="296">
        <v>7000.0</v>
      </c>
      <c r="E1624" s="295" t="s">
        <v>1017</v>
      </c>
      <c r="F1624" s="292"/>
      <c r="G1624" s="293" t="str">
        <f>IFNA(IF(VLOOKUP(RC_OUT[BLOCK],RC_IN[[BLOCK]:[BLOCK LOC]],2,FALSE)=0,"",VLOOKUP(RC_OUT[BLOCK],RC_IN[[BLOCK]:[BLOCK LOC]],2,FALSE)),"")</f>
        <v/>
      </c>
      <c r="I1624" s="263">
        <f>IFERROR(AVERAGEIFS(RC_IN[MC],RC_IN[BLOCK],RC_OUT[BLOCK]),"")</f>
        <v>11.27</v>
      </c>
      <c r="J1624" s="264">
        <f t="shared" si="1"/>
        <v>78890</v>
      </c>
      <c r="K1624" s="246"/>
      <c r="L1624" s="246"/>
      <c r="M1624" s="249"/>
      <c r="N1624" s="266">
        <f t="shared" si="3"/>
        <v>0</v>
      </c>
      <c r="O1624" s="247"/>
      <c r="P1624" s="247"/>
      <c r="Q1624" s="247"/>
      <c r="R1624" s="247"/>
      <c r="S1624" s="247"/>
      <c r="T1624" s="247"/>
      <c r="U1624" s="247"/>
      <c r="V1624" s="247"/>
      <c r="W1624" s="247"/>
      <c r="X1624" s="247"/>
    </row>
    <row r="1625">
      <c r="A1625" s="294">
        <v>46060.0</v>
      </c>
      <c r="B1625" s="295" t="s">
        <v>1162</v>
      </c>
      <c r="C1625" s="295" t="s">
        <v>619</v>
      </c>
      <c r="D1625" s="296">
        <v>10215.0</v>
      </c>
      <c r="E1625" s="295" t="s">
        <v>1017</v>
      </c>
      <c r="F1625" s="292"/>
      <c r="G1625" s="293" t="str">
        <f>IFNA(IF(VLOOKUP(RC_OUT[BLOCK],RC_IN[[BLOCK]:[BLOCK LOC]],2,FALSE)=0,"",VLOOKUP(RC_OUT[BLOCK],RC_IN[[BLOCK]:[BLOCK LOC]],2,FALSE)),"")</f>
        <v>A-4A</v>
      </c>
      <c r="I1625" s="263">
        <f>IFERROR(AVERAGEIFS(RC_IN[MC],RC_IN[BLOCK],RC_OUT[BLOCK]),"")</f>
        <v>9.392857143</v>
      </c>
      <c r="J1625" s="264">
        <f t="shared" si="1"/>
        <v>95948.03571</v>
      </c>
      <c r="K1625" s="246"/>
      <c r="L1625" s="246"/>
      <c r="M1625" s="249"/>
      <c r="N1625" s="266">
        <f t="shared" si="3"/>
        <v>0</v>
      </c>
      <c r="O1625" s="247"/>
      <c r="P1625" s="247"/>
      <c r="Q1625" s="247"/>
      <c r="R1625" s="247"/>
      <c r="S1625" s="247"/>
      <c r="T1625" s="247"/>
      <c r="U1625" s="247"/>
      <c r="V1625" s="247"/>
      <c r="W1625" s="247"/>
      <c r="X1625" s="247"/>
    </row>
    <row r="1626">
      <c r="A1626" s="294">
        <v>46060.0</v>
      </c>
      <c r="B1626" s="295" t="s">
        <v>1147</v>
      </c>
      <c r="C1626" s="295" t="s">
        <v>593</v>
      </c>
      <c r="D1626" s="296">
        <v>9302.0</v>
      </c>
      <c r="E1626" s="295" t="s">
        <v>1374</v>
      </c>
      <c r="F1626" s="292"/>
      <c r="G1626" s="293" t="str">
        <f>IFNA(IF(VLOOKUP(RC_OUT[BLOCK],RC_IN[[BLOCK]:[BLOCK LOC]],2,FALSE)=0,"",VLOOKUP(RC_OUT[BLOCK],RC_IN[[BLOCK]:[BLOCK LOC]],2,FALSE)),"")</f>
        <v>D-20C</v>
      </c>
      <c r="I1626" s="263">
        <f>IFERROR(AVERAGEIFS(RC_IN[MC],RC_IN[BLOCK],RC_OUT[BLOCK]),"")</f>
        <v>16.96</v>
      </c>
      <c r="J1626" s="264">
        <f t="shared" si="1"/>
        <v>157761.92</v>
      </c>
      <c r="K1626" s="246"/>
      <c r="L1626" s="246"/>
      <c r="M1626" s="249"/>
      <c r="N1626" s="266">
        <f t="shared" si="3"/>
        <v>0</v>
      </c>
      <c r="O1626" s="247"/>
      <c r="P1626" s="247"/>
      <c r="Q1626" s="247"/>
      <c r="R1626" s="247"/>
      <c r="S1626" s="247"/>
      <c r="T1626" s="247"/>
      <c r="U1626" s="247"/>
      <c r="V1626" s="247"/>
      <c r="W1626" s="247"/>
      <c r="X1626" s="247"/>
    </row>
    <row r="1627">
      <c r="A1627" s="294"/>
      <c r="B1627" s="295"/>
      <c r="C1627" s="295"/>
      <c r="D1627" s="296"/>
      <c r="E1627" s="295"/>
      <c r="F1627" s="292"/>
      <c r="G1627" s="293" t="str">
        <f>IFNA(IF(VLOOKUP(RC_OUT[BLOCK],RC_IN[[BLOCK]:[BLOCK LOC]],2,FALSE)=0,"",VLOOKUP(RC_OUT[BLOCK],RC_IN[[BLOCK]:[BLOCK LOC]],2,FALSE)),"")</f>
        <v/>
      </c>
      <c r="I1627" s="263" t="str">
        <f>IFERROR(AVERAGEIFS(RC_IN[MC],RC_IN[BLOCK],RC_OUT[BLOCK]),"")</f>
        <v/>
      </c>
      <c r="J1627" s="264">
        <f t="shared" si="1"/>
        <v>0</v>
      </c>
      <c r="K1627" s="246"/>
      <c r="L1627" s="246"/>
      <c r="M1627" s="249"/>
      <c r="N1627" s="266">
        <f t="shared" si="3"/>
        <v>0</v>
      </c>
      <c r="O1627" s="247"/>
      <c r="P1627" s="247"/>
      <c r="Q1627" s="247"/>
      <c r="R1627" s="247"/>
      <c r="S1627" s="247"/>
      <c r="T1627" s="247"/>
      <c r="U1627" s="247"/>
      <c r="V1627" s="247"/>
      <c r="W1627" s="247"/>
      <c r="X1627" s="247"/>
    </row>
    <row r="1628">
      <c r="A1628" s="294">
        <v>46061.0</v>
      </c>
      <c r="B1628" s="295" t="s">
        <v>1147</v>
      </c>
      <c r="C1628" s="295" t="s">
        <v>593</v>
      </c>
      <c r="D1628" s="296">
        <v>12623.0</v>
      </c>
      <c r="E1628" s="295" t="s">
        <v>1374</v>
      </c>
      <c r="F1628" s="297" t="s">
        <v>1059</v>
      </c>
      <c r="G1628" s="293" t="str">
        <f>IFNA(IF(VLOOKUP(RC_OUT[BLOCK],RC_IN[[BLOCK]:[BLOCK LOC]],2,FALSE)=0,"",VLOOKUP(RC_OUT[BLOCK],RC_IN[[BLOCK]:[BLOCK LOC]],2,FALSE)),"")</f>
        <v>D-20C</v>
      </c>
      <c r="I1628" s="263">
        <f>IFERROR(AVERAGEIFS(RC_IN[MC],RC_IN[BLOCK],RC_OUT[BLOCK]),"")</f>
        <v>16.96</v>
      </c>
      <c r="J1628" s="264">
        <f t="shared" si="1"/>
        <v>214086.08</v>
      </c>
      <c r="K1628" s="246"/>
      <c r="L1628" s="246"/>
      <c r="M1628" s="249"/>
      <c r="N1628" s="266">
        <f t="shared" si="3"/>
        <v>0</v>
      </c>
      <c r="O1628" s="247"/>
      <c r="P1628" s="247"/>
      <c r="Q1628" s="247"/>
      <c r="R1628" s="247"/>
      <c r="S1628" s="247"/>
      <c r="T1628" s="247"/>
      <c r="U1628" s="247"/>
      <c r="V1628" s="247"/>
      <c r="W1628" s="247"/>
      <c r="X1628" s="247"/>
    </row>
    <row r="1629">
      <c r="A1629" s="294"/>
      <c r="B1629" s="295"/>
      <c r="C1629" s="295"/>
      <c r="D1629" s="296"/>
      <c r="E1629" s="295"/>
      <c r="F1629" s="292"/>
      <c r="G1629" s="293" t="str">
        <f>IFNA(IF(VLOOKUP(RC_OUT[BLOCK],RC_IN[[BLOCK]:[BLOCK LOC]],2,FALSE)=0,"",VLOOKUP(RC_OUT[BLOCK],RC_IN[[BLOCK]:[BLOCK LOC]],2,FALSE)),"")</f>
        <v/>
      </c>
      <c r="I1629" s="263" t="str">
        <f>IFERROR(AVERAGEIFS(RC_IN[MC],RC_IN[BLOCK],RC_OUT[BLOCK]),"")</f>
        <v/>
      </c>
      <c r="J1629" s="264">
        <f t="shared" si="1"/>
        <v>0</v>
      </c>
      <c r="K1629" s="246"/>
      <c r="L1629" s="246"/>
      <c r="M1629" s="249"/>
      <c r="N1629" s="266">
        <f t="shared" si="3"/>
        <v>0</v>
      </c>
      <c r="O1629" s="247"/>
      <c r="P1629" s="247"/>
      <c r="Q1629" s="247"/>
      <c r="R1629" s="247"/>
      <c r="S1629" s="247"/>
      <c r="T1629" s="247"/>
      <c r="U1629" s="247"/>
      <c r="V1629" s="247"/>
      <c r="W1629" s="247"/>
      <c r="X1629" s="247"/>
    </row>
    <row r="1630">
      <c r="A1630" s="294">
        <v>46062.0</v>
      </c>
      <c r="B1630" s="295" t="s">
        <v>1162</v>
      </c>
      <c r="C1630" s="295" t="s">
        <v>515</v>
      </c>
      <c r="D1630" s="296">
        <v>1480.0</v>
      </c>
      <c r="E1630" s="295" t="s">
        <v>1017</v>
      </c>
      <c r="F1630" s="292"/>
      <c r="G1630" s="293" t="str">
        <f>IFNA(IF(VLOOKUP(RC_OUT[BLOCK],RC_IN[[BLOCK]:[BLOCK LOC]],2,FALSE)=0,"",VLOOKUP(RC_OUT[BLOCK],RC_IN[[BLOCK]:[BLOCK LOC]],2,FALSE)),"")</f>
        <v>A-19C</v>
      </c>
      <c r="I1630" s="263">
        <f>IFERROR(AVERAGEIFS(RC_IN[MC],RC_IN[BLOCK],RC_OUT[BLOCK]),"")</f>
        <v>11.85</v>
      </c>
      <c r="J1630" s="264">
        <f t="shared" si="1"/>
        <v>17538</v>
      </c>
      <c r="K1630" s="284">
        <f t="shared" ref="K1630:L1630" si="39">A1630</f>
        <v>46062</v>
      </c>
      <c r="L1630" s="246" t="str">
        <f t="shared" si="39"/>
        <v>FEBRUARY</v>
      </c>
      <c r="M1630" s="249">
        <f>IFERROR(SUMIFS(J:J,A:A,K1630,B:B,L1630)/SUMIFS(D:D,A:A,K1630,B:B,L1630),"")</f>
        <v>9.788526222</v>
      </c>
      <c r="N1630" s="266">
        <f t="shared" si="3"/>
        <v>30324</v>
      </c>
      <c r="O1630" s="247"/>
      <c r="P1630" s="247"/>
      <c r="Q1630" s="247"/>
      <c r="R1630" s="247"/>
      <c r="S1630" s="247"/>
      <c r="T1630" s="247"/>
      <c r="U1630" s="247"/>
      <c r="V1630" s="247"/>
      <c r="W1630" s="247"/>
      <c r="X1630" s="247"/>
    </row>
    <row r="1631">
      <c r="A1631" s="294">
        <v>46062.0</v>
      </c>
      <c r="B1631" s="295" t="s">
        <v>1162</v>
      </c>
      <c r="C1631" s="295" t="s">
        <v>530</v>
      </c>
      <c r="D1631" s="296">
        <v>13953.0</v>
      </c>
      <c r="E1631" s="295" t="s">
        <v>1017</v>
      </c>
      <c r="F1631" s="292"/>
      <c r="G1631" s="293" t="str">
        <f>IFNA(IF(VLOOKUP(RC_OUT[BLOCK],RC_IN[[BLOCK]:[BLOCK LOC]],2,FALSE)=0,"",VLOOKUP(RC_OUT[BLOCK],RC_IN[[BLOCK]:[BLOCK LOC]],2,FALSE)),"")</f>
        <v>C-17A</v>
      </c>
      <c r="I1631" s="263">
        <f>IFERROR(AVERAGEIFS(RC_IN[MC],RC_IN[BLOCK],RC_OUT[BLOCK]),"")</f>
        <v>9.454</v>
      </c>
      <c r="J1631" s="264">
        <f t="shared" si="1"/>
        <v>131911.662</v>
      </c>
      <c r="K1631" s="246"/>
      <c r="L1631" s="246"/>
      <c r="M1631" s="249"/>
      <c r="N1631" s="266">
        <f t="shared" si="3"/>
        <v>0</v>
      </c>
      <c r="O1631" s="247"/>
      <c r="P1631" s="247"/>
      <c r="Q1631" s="247"/>
      <c r="R1631" s="247"/>
      <c r="S1631" s="247"/>
      <c r="T1631" s="247"/>
      <c r="U1631" s="247"/>
      <c r="V1631" s="247"/>
      <c r="W1631" s="247"/>
      <c r="X1631" s="247"/>
    </row>
    <row r="1632">
      <c r="A1632" s="294">
        <v>46062.0</v>
      </c>
      <c r="B1632" s="295" t="s">
        <v>1162</v>
      </c>
      <c r="C1632" s="295" t="s">
        <v>673</v>
      </c>
      <c r="D1632" s="296">
        <v>4000.0</v>
      </c>
      <c r="E1632" s="295" t="s">
        <v>1017</v>
      </c>
      <c r="F1632" s="292"/>
      <c r="G1632" s="293" t="str">
        <f>IFNA(IF(VLOOKUP(RC_OUT[BLOCK],RC_IN[[BLOCK]:[BLOCK LOC]],2,FALSE)=0,"",VLOOKUP(RC_OUT[BLOCK],RC_IN[[BLOCK]:[BLOCK LOC]],2,FALSE)),"")</f>
        <v/>
      </c>
      <c r="I1632" s="263">
        <f>IFERROR(AVERAGEIFS(RC_IN[MC],RC_IN[BLOCK],RC_OUT[BLOCK]),"")</f>
        <v>11.27</v>
      </c>
      <c r="J1632" s="264">
        <f t="shared" si="1"/>
        <v>45080</v>
      </c>
      <c r="K1632" s="246"/>
      <c r="L1632" s="246"/>
      <c r="M1632" s="249"/>
      <c r="N1632" s="266">
        <f t="shared" si="3"/>
        <v>0</v>
      </c>
      <c r="O1632" s="247"/>
      <c r="P1632" s="247"/>
      <c r="Q1632" s="247"/>
      <c r="R1632" s="247"/>
      <c r="S1632" s="247"/>
      <c r="T1632" s="247"/>
      <c r="U1632" s="247"/>
      <c r="V1632" s="247"/>
      <c r="W1632" s="247"/>
      <c r="X1632" s="247"/>
    </row>
    <row r="1633">
      <c r="A1633" s="294">
        <v>46062.0</v>
      </c>
      <c r="B1633" s="295" t="s">
        <v>1162</v>
      </c>
      <c r="C1633" s="295" t="s">
        <v>619</v>
      </c>
      <c r="D1633" s="296">
        <v>10891.0</v>
      </c>
      <c r="E1633" s="295" t="s">
        <v>1017</v>
      </c>
      <c r="F1633" s="292"/>
      <c r="G1633" s="293" t="str">
        <f>IFNA(IF(VLOOKUP(RC_OUT[BLOCK],RC_IN[[BLOCK]:[BLOCK LOC]],2,FALSE)=0,"",VLOOKUP(RC_OUT[BLOCK],RC_IN[[BLOCK]:[BLOCK LOC]],2,FALSE)),"")</f>
        <v>A-4A</v>
      </c>
      <c r="I1633" s="263">
        <f>IFERROR(AVERAGEIFS(RC_IN[MC],RC_IN[BLOCK],RC_OUT[BLOCK]),"")</f>
        <v>9.392857143</v>
      </c>
      <c r="J1633" s="264">
        <f t="shared" si="1"/>
        <v>102297.6071</v>
      </c>
      <c r="K1633" s="246"/>
      <c r="L1633" s="246"/>
      <c r="M1633" s="249"/>
      <c r="N1633" s="266">
        <f t="shared" si="3"/>
        <v>0</v>
      </c>
      <c r="O1633" s="247"/>
      <c r="P1633" s="247"/>
      <c r="Q1633" s="247"/>
      <c r="R1633" s="247"/>
      <c r="S1633" s="247"/>
      <c r="T1633" s="247"/>
      <c r="U1633" s="247"/>
      <c r="V1633" s="247"/>
      <c r="W1633" s="247"/>
      <c r="X1633" s="247"/>
    </row>
    <row r="1634">
      <c r="A1634" s="294">
        <v>46062.0</v>
      </c>
      <c r="B1634" s="295" t="s">
        <v>1147</v>
      </c>
      <c r="C1634" s="295" t="s">
        <v>435</v>
      </c>
      <c r="D1634" s="296">
        <v>6902.0</v>
      </c>
      <c r="E1634" s="295" t="s">
        <v>1374</v>
      </c>
      <c r="F1634" s="292"/>
      <c r="G1634" s="293" t="str">
        <f>IFNA(IF(VLOOKUP(RC_OUT[BLOCK],RC_IN[[BLOCK]:[BLOCK LOC]],2,FALSE)=0,"",VLOOKUP(RC_OUT[BLOCK],RC_IN[[BLOCK]:[BLOCK LOC]],2,FALSE)),"")</f>
        <v>D-19D</v>
      </c>
      <c r="I1634" s="263">
        <f>IFERROR(AVERAGEIFS(RC_IN[MC],RC_IN[BLOCK],RC_OUT[BLOCK]),"")</f>
        <v>14.6375</v>
      </c>
      <c r="J1634" s="264">
        <f t="shared" si="1"/>
        <v>101028.025</v>
      </c>
      <c r="K1634" s="246"/>
      <c r="L1634" s="246"/>
      <c r="M1634" s="249"/>
      <c r="N1634" s="266">
        <f t="shared" si="3"/>
        <v>0</v>
      </c>
      <c r="O1634" s="247"/>
      <c r="P1634" s="247"/>
      <c r="Q1634" s="247"/>
      <c r="R1634" s="247"/>
      <c r="S1634" s="247"/>
      <c r="T1634" s="247"/>
      <c r="U1634" s="247"/>
      <c r="V1634" s="247"/>
      <c r="W1634" s="247"/>
      <c r="X1634" s="247"/>
    </row>
    <row r="1635">
      <c r="A1635" s="294"/>
      <c r="B1635" s="295"/>
      <c r="C1635" s="295"/>
      <c r="D1635" s="296"/>
      <c r="E1635" s="295"/>
      <c r="F1635" s="292"/>
      <c r="G1635" s="293" t="str">
        <f>IFNA(IF(VLOOKUP(RC_OUT[BLOCK],RC_IN[[BLOCK]:[BLOCK LOC]],2,FALSE)=0,"",VLOOKUP(RC_OUT[BLOCK],RC_IN[[BLOCK]:[BLOCK LOC]],2,FALSE)),"")</f>
        <v/>
      </c>
      <c r="I1635" s="263" t="str">
        <f>IFERROR(AVERAGEIFS(RC_IN[MC],RC_IN[BLOCK],RC_OUT[BLOCK]),"")</f>
        <v/>
      </c>
      <c r="J1635" s="264">
        <f t="shared" si="1"/>
        <v>0</v>
      </c>
      <c r="K1635" s="246"/>
      <c r="L1635" s="246"/>
      <c r="M1635" s="249"/>
      <c r="N1635" s="266">
        <f t="shared" si="3"/>
        <v>0</v>
      </c>
      <c r="O1635" s="247"/>
      <c r="P1635" s="247"/>
      <c r="Q1635" s="247"/>
      <c r="R1635" s="247"/>
      <c r="S1635" s="247"/>
      <c r="T1635" s="247"/>
      <c r="U1635" s="247"/>
      <c r="V1635" s="247"/>
      <c r="W1635" s="247"/>
      <c r="X1635" s="247"/>
    </row>
    <row r="1636">
      <c r="A1636" s="294">
        <v>46063.0</v>
      </c>
      <c r="B1636" s="295" t="s">
        <v>1162</v>
      </c>
      <c r="C1636" s="295" t="s">
        <v>515</v>
      </c>
      <c r="D1636" s="296">
        <v>1314.0</v>
      </c>
      <c r="E1636" s="295" t="s">
        <v>1017</v>
      </c>
      <c r="F1636" s="292"/>
      <c r="G1636" s="293" t="str">
        <f>IFNA(IF(VLOOKUP(RC_OUT[BLOCK],RC_IN[[BLOCK]:[BLOCK LOC]],2,FALSE)=0,"",VLOOKUP(RC_OUT[BLOCK],RC_IN[[BLOCK]:[BLOCK LOC]],2,FALSE)),"")</f>
        <v>A-19C</v>
      </c>
      <c r="I1636" s="263">
        <f>IFERROR(AVERAGEIFS(RC_IN[MC],RC_IN[BLOCK],RC_OUT[BLOCK]),"")</f>
        <v>11.85</v>
      </c>
      <c r="J1636" s="264">
        <f t="shared" si="1"/>
        <v>15570.9</v>
      </c>
      <c r="K1636" s="284">
        <f t="shared" ref="K1636:L1636" si="40">A1636</f>
        <v>46063</v>
      </c>
      <c r="L1636" s="246" t="str">
        <f t="shared" si="40"/>
        <v>FEBRUARY</v>
      </c>
      <c r="M1636" s="249">
        <f>IFERROR(SUMIFS(J:J,A:A,K1636,B:B,L1636)/SUMIFS(D:D,A:A,K1636,B:B,L1636),"")</f>
        <v>10.13362916</v>
      </c>
      <c r="N1636" s="266">
        <f t="shared" si="3"/>
        <v>27439</v>
      </c>
      <c r="O1636" s="247"/>
      <c r="P1636" s="247"/>
      <c r="Q1636" s="247"/>
      <c r="R1636" s="247"/>
      <c r="S1636" s="247"/>
      <c r="T1636" s="247"/>
      <c r="U1636" s="247"/>
      <c r="V1636" s="247"/>
      <c r="W1636" s="247"/>
      <c r="X1636" s="247"/>
    </row>
    <row r="1637">
      <c r="A1637" s="294">
        <v>46063.0</v>
      </c>
      <c r="B1637" s="295" t="s">
        <v>1162</v>
      </c>
      <c r="C1637" s="295" t="s">
        <v>530</v>
      </c>
      <c r="D1637" s="296">
        <v>5128.0</v>
      </c>
      <c r="E1637" s="295" t="s">
        <v>1017</v>
      </c>
      <c r="F1637" s="297" t="s">
        <v>1059</v>
      </c>
      <c r="G1637" s="293" t="str">
        <f>IFNA(IF(VLOOKUP(RC_OUT[BLOCK],RC_IN[[BLOCK]:[BLOCK LOC]],2,FALSE)=0,"",VLOOKUP(RC_OUT[BLOCK],RC_IN[[BLOCK]:[BLOCK LOC]],2,FALSE)),"")</f>
        <v>C-17A</v>
      </c>
      <c r="I1637" s="263">
        <f>IFERROR(AVERAGEIFS(RC_IN[MC],RC_IN[BLOCK],RC_OUT[BLOCK]),"")</f>
        <v>9.454</v>
      </c>
      <c r="J1637" s="264">
        <f t="shared" si="1"/>
        <v>48480.112</v>
      </c>
      <c r="K1637" s="246"/>
      <c r="L1637" s="246"/>
      <c r="M1637" s="249"/>
      <c r="N1637" s="266">
        <f t="shared" si="3"/>
        <v>0</v>
      </c>
      <c r="O1637" s="247"/>
      <c r="P1637" s="247"/>
      <c r="Q1637" s="247"/>
      <c r="R1637" s="247"/>
      <c r="S1637" s="247"/>
      <c r="T1637" s="247"/>
      <c r="U1637" s="247"/>
      <c r="V1637" s="247"/>
      <c r="W1637" s="247"/>
      <c r="X1637" s="247"/>
    </row>
    <row r="1638">
      <c r="A1638" s="294">
        <v>46063.0</v>
      </c>
      <c r="B1638" s="295" t="s">
        <v>1162</v>
      </c>
      <c r="C1638" s="295" t="s">
        <v>673</v>
      </c>
      <c r="D1638" s="296">
        <v>6480.0</v>
      </c>
      <c r="E1638" s="295" t="s">
        <v>1017</v>
      </c>
      <c r="F1638" s="297" t="s">
        <v>1059</v>
      </c>
      <c r="G1638" s="293" t="str">
        <f>IFNA(IF(VLOOKUP(RC_OUT[BLOCK],RC_IN[[BLOCK]:[BLOCK LOC]],2,FALSE)=0,"",VLOOKUP(RC_OUT[BLOCK],RC_IN[[BLOCK]:[BLOCK LOC]],2,FALSE)),"")</f>
        <v/>
      </c>
      <c r="I1638" s="263">
        <f>IFERROR(AVERAGEIFS(RC_IN[MC],RC_IN[BLOCK],RC_OUT[BLOCK]),"")</f>
        <v>11.27</v>
      </c>
      <c r="J1638" s="264">
        <f t="shared" si="1"/>
        <v>73029.6</v>
      </c>
      <c r="K1638" s="246"/>
      <c r="L1638" s="246"/>
      <c r="M1638" s="249"/>
      <c r="N1638" s="266">
        <f t="shared" si="3"/>
        <v>0</v>
      </c>
      <c r="O1638" s="247"/>
      <c r="P1638" s="247"/>
      <c r="Q1638" s="247"/>
      <c r="R1638" s="247"/>
      <c r="S1638" s="247"/>
      <c r="T1638" s="247"/>
      <c r="U1638" s="247"/>
      <c r="V1638" s="247"/>
      <c r="W1638" s="247"/>
      <c r="X1638" s="247"/>
    </row>
    <row r="1639">
      <c r="A1639" s="294">
        <v>46063.0</v>
      </c>
      <c r="B1639" s="295" t="s">
        <v>1162</v>
      </c>
      <c r="C1639" s="295" t="s">
        <v>619</v>
      </c>
      <c r="D1639" s="296">
        <v>9789.0</v>
      </c>
      <c r="E1639" s="295" t="s">
        <v>1017</v>
      </c>
      <c r="F1639" s="292"/>
      <c r="G1639" s="293" t="str">
        <f>IFNA(IF(VLOOKUP(RC_OUT[BLOCK],RC_IN[[BLOCK]:[BLOCK LOC]],2,FALSE)=0,"",VLOOKUP(RC_OUT[BLOCK],RC_IN[[BLOCK]:[BLOCK LOC]],2,FALSE)),"")</f>
        <v>A-4A</v>
      </c>
      <c r="I1639" s="263">
        <f>IFERROR(AVERAGEIFS(RC_IN[MC],RC_IN[BLOCK],RC_OUT[BLOCK]),"")</f>
        <v>9.392857143</v>
      </c>
      <c r="J1639" s="264">
        <f t="shared" si="1"/>
        <v>91946.67857</v>
      </c>
      <c r="K1639" s="246"/>
      <c r="L1639" s="246"/>
      <c r="M1639" s="249"/>
      <c r="N1639" s="266">
        <f t="shared" si="3"/>
        <v>0</v>
      </c>
      <c r="O1639" s="247"/>
      <c r="P1639" s="247"/>
      <c r="Q1639" s="247"/>
      <c r="R1639" s="247"/>
      <c r="S1639" s="247"/>
      <c r="T1639" s="247"/>
      <c r="U1639" s="247"/>
      <c r="V1639" s="247"/>
      <c r="W1639" s="247"/>
      <c r="X1639" s="247"/>
    </row>
    <row r="1640">
      <c r="A1640" s="294">
        <v>46063.0</v>
      </c>
      <c r="B1640" s="295" t="s">
        <v>1162</v>
      </c>
      <c r="C1640" s="295" t="s">
        <v>507</v>
      </c>
      <c r="D1640" s="296">
        <v>4728.0</v>
      </c>
      <c r="E1640" s="295" t="s">
        <v>1017</v>
      </c>
      <c r="F1640" s="292"/>
      <c r="G1640" s="293" t="str">
        <f>IFNA(IF(VLOOKUP(RC_OUT[BLOCK],RC_IN[[BLOCK]:[BLOCK LOC]],2,FALSE)=0,"",VLOOKUP(RC_OUT[BLOCK],RC_IN[[BLOCK]:[BLOCK LOC]],2,FALSE)),"")</f>
        <v>C-18B</v>
      </c>
      <c r="I1640" s="263">
        <f>IFERROR(AVERAGEIFS(RC_IN[MC],RC_IN[BLOCK],RC_OUT[BLOCK]),"")</f>
        <v>10.37</v>
      </c>
      <c r="J1640" s="264">
        <f t="shared" si="1"/>
        <v>49029.36</v>
      </c>
      <c r="K1640" s="246"/>
      <c r="L1640" s="246"/>
      <c r="M1640" s="249"/>
      <c r="N1640" s="266">
        <f t="shared" si="3"/>
        <v>0</v>
      </c>
      <c r="O1640" s="247"/>
      <c r="P1640" s="247"/>
      <c r="Q1640" s="247"/>
      <c r="R1640" s="247"/>
      <c r="S1640" s="247"/>
      <c r="T1640" s="247"/>
      <c r="U1640" s="247"/>
      <c r="V1640" s="247"/>
      <c r="W1640" s="247"/>
      <c r="X1640" s="247"/>
    </row>
    <row r="1641">
      <c r="A1641" s="294">
        <v>46063.0</v>
      </c>
      <c r="B1641" s="295" t="s">
        <v>1147</v>
      </c>
      <c r="C1641" s="295" t="s">
        <v>435</v>
      </c>
      <c r="D1641" s="296">
        <v>7905.0</v>
      </c>
      <c r="E1641" s="295" t="s">
        <v>1374</v>
      </c>
      <c r="F1641" s="292"/>
      <c r="G1641" s="293" t="str">
        <f>IFNA(IF(VLOOKUP(RC_OUT[BLOCK],RC_IN[[BLOCK]:[BLOCK LOC]],2,FALSE)=0,"",VLOOKUP(RC_OUT[BLOCK],RC_IN[[BLOCK]:[BLOCK LOC]],2,FALSE)),"")</f>
        <v>D-19D</v>
      </c>
      <c r="I1641" s="263">
        <f>IFERROR(AVERAGEIFS(RC_IN[MC],RC_IN[BLOCK],RC_OUT[BLOCK]),"")</f>
        <v>14.6375</v>
      </c>
      <c r="J1641" s="264">
        <f t="shared" si="1"/>
        <v>115709.4375</v>
      </c>
      <c r="K1641" s="246"/>
      <c r="L1641" s="246"/>
      <c r="M1641" s="249"/>
      <c r="N1641" s="266">
        <f t="shared" si="3"/>
        <v>0</v>
      </c>
      <c r="O1641" s="247"/>
      <c r="P1641" s="247"/>
      <c r="Q1641" s="247"/>
      <c r="R1641" s="247"/>
      <c r="S1641" s="247"/>
      <c r="T1641" s="247"/>
      <c r="U1641" s="247"/>
      <c r="V1641" s="247"/>
      <c r="W1641" s="247"/>
      <c r="X1641" s="247"/>
    </row>
    <row r="1642">
      <c r="A1642" s="294"/>
      <c r="B1642" s="295"/>
      <c r="C1642" s="295"/>
      <c r="D1642" s="296"/>
      <c r="E1642" s="295"/>
      <c r="F1642" s="292"/>
      <c r="G1642" s="293" t="str">
        <f>IFNA(IF(VLOOKUP(RC_OUT[BLOCK],RC_IN[[BLOCK]:[BLOCK LOC]],2,FALSE)=0,"",VLOOKUP(RC_OUT[BLOCK],RC_IN[[BLOCK]:[BLOCK LOC]],2,FALSE)),"")</f>
        <v/>
      </c>
      <c r="I1642" s="263" t="str">
        <f>IFERROR(AVERAGEIFS(RC_IN[MC],RC_IN[BLOCK],RC_OUT[BLOCK]),"")</f>
        <v/>
      </c>
      <c r="J1642" s="264">
        <f t="shared" si="1"/>
        <v>0</v>
      </c>
      <c r="K1642" s="246"/>
      <c r="L1642" s="246"/>
      <c r="M1642" s="249"/>
      <c r="N1642" s="266">
        <f t="shared" si="3"/>
        <v>0</v>
      </c>
      <c r="O1642" s="247"/>
      <c r="P1642" s="247"/>
      <c r="Q1642" s="247"/>
      <c r="R1642" s="247"/>
      <c r="S1642" s="247"/>
      <c r="T1642" s="247"/>
      <c r="U1642" s="247"/>
      <c r="V1642" s="247"/>
      <c r="W1642" s="247"/>
      <c r="X1642" s="247"/>
    </row>
    <row r="1643">
      <c r="A1643" s="294">
        <v>46064.0</v>
      </c>
      <c r="B1643" s="295" t="s">
        <v>1147</v>
      </c>
      <c r="C1643" s="295" t="s">
        <v>435</v>
      </c>
      <c r="D1643" s="296">
        <v>7825.0</v>
      </c>
      <c r="E1643" s="295" t="s">
        <v>1374</v>
      </c>
      <c r="F1643" s="292"/>
      <c r="G1643" s="293" t="str">
        <f>IFNA(IF(VLOOKUP(RC_OUT[BLOCK],RC_IN[[BLOCK]:[BLOCK LOC]],2,FALSE)=0,"",VLOOKUP(RC_OUT[BLOCK],RC_IN[[BLOCK]:[BLOCK LOC]],2,FALSE)),"")</f>
        <v>D-19D</v>
      </c>
      <c r="I1643" s="263">
        <f>IFERROR(AVERAGEIFS(RC_IN[MC],RC_IN[BLOCK],RC_OUT[BLOCK]),"")</f>
        <v>14.6375</v>
      </c>
      <c r="J1643" s="264">
        <f t="shared" si="1"/>
        <v>114538.4375</v>
      </c>
      <c r="K1643" s="246"/>
      <c r="L1643" s="246"/>
      <c r="M1643" s="249"/>
      <c r="N1643" s="266">
        <f t="shared" si="3"/>
        <v>0</v>
      </c>
      <c r="O1643" s="247"/>
      <c r="P1643" s="247"/>
      <c r="Q1643" s="247"/>
      <c r="R1643" s="247"/>
      <c r="S1643" s="247"/>
      <c r="T1643" s="247"/>
      <c r="U1643" s="247"/>
      <c r="V1643" s="247"/>
      <c r="W1643" s="247"/>
      <c r="X1643" s="247"/>
    </row>
    <row r="1644">
      <c r="A1644" s="294">
        <v>46064.0</v>
      </c>
      <c r="B1644" s="295" t="s">
        <v>1162</v>
      </c>
      <c r="C1644" s="295" t="s">
        <v>515</v>
      </c>
      <c r="D1644" s="296">
        <v>1425.0</v>
      </c>
      <c r="E1644" s="295" t="s">
        <v>1017</v>
      </c>
      <c r="F1644" s="292"/>
      <c r="G1644" s="293" t="str">
        <f>IFNA(IF(VLOOKUP(RC_OUT[BLOCK],RC_IN[[BLOCK]:[BLOCK LOC]],2,FALSE)=0,"",VLOOKUP(RC_OUT[BLOCK],RC_IN[[BLOCK]:[BLOCK LOC]],2,FALSE)),"")</f>
        <v>A-19C</v>
      </c>
      <c r="I1644" s="263">
        <f>IFERROR(AVERAGEIFS(RC_IN[MC],RC_IN[BLOCK],RC_OUT[BLOCK]),"")</f>
        <v>11.85</v>
      </c>
      <c r="J1644" s="264">
        <f t="shared" si="1"/>
        <v>16886.25</v>
      </c>
      <c r="K1644" s="284">
        <f t="shared" ref="K1644:L1644" si="41">A1644</f>
        <v>46064</v>
      </c>
      <c r="L1644" s="246" t="str">
        <f t="shared" si="41"/>
        <v>FEBRUARY</v>
      </c>
      <c r="M1644" s="249">
        <f>IFERROR(SUMIFS(J:J,A:A,K1644,B:B,L1644)/SUMIFS(D:D,A:A,K1644,B:B,L1644),"")</f>
        <v>10.64707899</v>
      </c>
      <c r="N1644" s="266">
        <f t="shared" si="3"/>
        <v>39256</v>
      </c>
      <c r="O1644" s="247"/>
      <c r="P1644" s="247"/>
      <c r="Q1644" s="247"/>
      <c r="R1644" s="247"/>
      <c r="S1644" s="247"/>
      <c r="T1644" s="247"/>
      <c r="U1644" s="247"/>
      <c r="V1644" s="247"/>
      <c r="W1644" s="247"/>
      <c r="X1644" s="247"/>
    </row>
    <row r="1645">
      <c r="A1645" s="294">
        <v>46064.0</v>
      </c>
      <c r="B1645" s="295" t="s">
        <v>1162</v>
      </c>
      <c r="C1645" s="295" t="s">
        <v>619</v>
      </c>
      <c r="D1645" s="296">
        <v>4824.0</v>
      </c>
      <c r="E1645" s="295" t="s">
        <v>1017</v>
      </c>
      <c r="F1645" s="297" t="s">
        <v>1059</v>
      </c>
      <c r="G1645" s="293" t="str">
        <f>IFNA(IF(VLOOKUP(RC_OUT[BLOCK],RC_IN[[BLOCK]:[BLOCK LOC]],2,FALSE)=0,"",VLOOKUP(RC_OUT[BLOCK],RC_IN[[BLOCK]:[BLOCK LOC]],2,FALSE)),"")</f>
        <v>A-4A</v>
      </c>
      <c r="I1645" s="263">
        <f>IFERROR(AVERAGEIFS(RC_IN[MC],RC_IN[BLOCK],RC_OUT[BLOCK]),"")</f>
        <v>9.392857143</v>
      </c>
      <c r="J1645" s="264">
        <f t="shared" si="1"/>
        <v>45311.14286</v>
      </c>
      <c r="K1645" s="246"/>
      <c r="L1645" s="246"/>
      <c r="M1645" s="249"/>
      <c r="N1645" s="266">
        <f t="shared" si="3"/>
        <v>0</v>
      </c>
      <c r="O1645" s="247"/>
      <c r="P1645" s="247"/>
      <c r="Q1645" s="247"/>
      <c r="R1645" s="247"/>
      <c r="S1645" s="247"/>
      <c r="T1645" s="247"/>
      <c r="U1645" s="247"/>
      <c r="V1645" s="247"/>
      <c r="W1645" s="247"/>
      <c r="X1645" s="247"/>
    </row>
    <row r="1646">
      <c r="A1646" s="294">
        <v>46064.0</v>
      </c>
      <c r="B1646" s="295" t="s">
        <v>1162</v>
      </c>
      <c r="C1646" s="295" t="s">
        <v>507</v>
      </c>
      <c r="D1646" s="296">
        <v>10144.0</v>
      </c>
      <c r="E1646" s="295" t="s">
        <v>1017</v>
      </c>
      <c r="F1646" s="292"/>
      <c r="G1646" s="293" t="str">
        <f>IFNA(IF(VLOOKUP(RC_OUT[BLOCK],RC_IN[[BLOCK]:[BLOCK LOC]],2,FALSE)=0,"",VLOOKUP(RC_OUT[BLOCK],RC_IN[[BLOCK]:[BLOCK LOC]],2,FALSE)),"")</f>
        <v>C-18B</v>
      </c>
      <c r="I1646" s="263">
        <f>IFERROR(AVERAGEIFS(RC_IN[MC],RC_IN[BLOCK],RC_OUT[BLOCK]),"")</f>
        <v>10.37</v>
      </c>
      <c r="J1646" s="264">
        <f t="shared" si="1"/>
        <v>105193.28</v>
      </c>
      <c r="K1646" s="246"/>
      <c r="L1646" s="246"/>
      <c r="M1646" s="249"/>
      <c r="N1646" s="266">
        <f t="shared" si="3"/>
        <v>0</v>
      </c>
      <c r="O1646" s="247"/>
      <c r="P1646" s="247"/>
      <c r="Q1646" s="247"/>
      <c r="R1646" s="247"/>
      <c r="S1646" s="247"/>
      <c r="T1646" s="247"/>
      <c r="U1646" s="247"/>
      <c r="V1646" s="247"/>
      <c r="W1646" s="247"/>
      <c r="X1646" s="247"/>
    </row>
    <row r="1647">
      <c r="A1647" s="294">
        <v>46064.0</v>
      </c>
      <c r="B1647" s="295" t="s">
        <v>1162</v>
      </c>
      <c r="C1647" s="295" t="s">
        <v>660</v>
      </c>
      <c r="D1647" s="296">
        <v>4908.0</v>
      </c>
      <c r="E1647" s="295" t="s">
        <v>1017</v>
      </c>
      <c r="F1647" s="292"/>
      <c r="G1647" s="293" t="str">
        <f>IFNA(IF(VLOOKUP(RC_OUT[BLOCK],RC_IN[[BLOCK]:[BLOCK LOC]],2,FALSE)=0,"",VLOOKUP(RC_OUT[BLOCK],RC_IN[[BLOCK]:[BLOCK LOC]],2,FALSE)),"")</f>
        <v>A-4C</v>
      </c>
      <c r="I1647" s="263">
        <f>IFERROR(AVERAGEIFS(RC_IN[MC],RC_IN[BLOCK],RC_OUT[BLOCK]),"")</f>
        <v>8.836666667</v>
      </c>
      <c r="J1647" s="264">
        <f t="shared" si="1"/>
        <v>43370.36</v>
      </c>
      <c r="K1647" s="246"/>
      <c r="L1647" s="246"/>
      <c r="M1647" s="249"/>
      <c r="N1647" s="266">
        <f t="shared" si="3"/>
        <v>0</v>
      </c>
      <c r="O1647" s="247"/>
      <c r="P1647" s="247"/>
      <c r="Q1647" s="247"/>
      <c r="R1647" s="247"/>
      <c r="S1647" s="247"/>
      <c r="T1647" s="247"/>
      <c r="U1647" s="247"/>
      <c r="V1647" s="247"/>
      <c r="W1647" s="247"/>
      <c r="X1647" s="247"/>
    </row>
    <row r="1648">
      <c r="A1648" s="294">
        <v>46064.0</v>
      </c>
      <c r="B1648" s="295" t="s">
        <v>1162</v>
      </c>
      <c r="C1648" s="295" t="s">
        <v>684</v>
      </c>
      <c r="D1648" s="296">
        <v>17955.0</v>
      </c>
      <c r="E1648" s="295" t="s">
        <v>1017</v>
      </c>
      <c r="F1648" s="292"/>
      <c r="G1648" s="293" t="str">
        <f>IFNA(IF(VLOOKUP(RC_OUT[BLOCK],RC_IN[[BLOCK]:[BLOCK LOC]],2,FALSE)=0,"",VLOOKUP(RC_OUT[BLOCK],RC_IN[[BLOCK]:[BLOCK LOC]],2,FALSE)),"")</f>
        <v/>
      </c>
      <c r="I1648" s="263">
        <f>IFERROR(AVERAGEIFS(RC_IN[MC],RC_IN[BLOCK],RC_OUT[BLOCK]),"")</f>
        <v>11.54</v>
      </c>
      <c r="J1648" s="264">
        <f t="shared" si="1"/>
        <v>207200.7</v>
      </c>
      <c r="K1648" s="246"/>
      <c r="L1648" s="246"/>
      <c r="M1648" s="249"/>
      <c r="N1648" s="266">
        <f t="shared" si="3"/>
        <v>0</v>
      </c>
      <c r="O1648" s="247"/>
      <c r="P1648" s="247"/>
      <c r="Q1648" s="247"/>
      <c r="R1648" s="247"/>
      <c r="S1648" s="247"/>
      <c r="T1648" s="247"/>
      <c r="U1648" s="247"/>
      <c r="V1648" s="247"/>
      <c r="W1648" s="247"/>
      <c r="X1648" s="247"/>
    </row>
    <row r="1649">
      <c r="A1649" s="294"/>
      <c r="B1649" s="295"/>
      <c r="C1649" s="295"/>
      <c r="D1649" s="296"/>
      <c r="E1649" s="295"/>
      <c r="F1649" s="292"/>
      <c r="G1649" s="293" t="str">
        <f>IFNA(IF(VLOOKUP(RC_OUT[BLOCK],RC_IN[[BLOCK]:[BLOCK LOC]],2,FALSE)=0,"",VLOOKUP(RC_OUT[BLOCK],RC_IN[[BLOCK]:[BLOCK LOC]],2,FALSE)),"")</f>
        <v/>
      </c>
      <c r="I1649" s="263" t="str">
        <f>IFERROR(AVERAGEIFS(RC_IN[MC],RC_IN[BLOCK],RC_OUT[BLOCK]),"")</f>
        <v/>
      </c>
      <c r="J1649" s="264">
        <f t="shared" si="1"/>
        <v>0</v>
      </c>
      <c r="K1649" s="246"/>
      <c r="L1649" s="246"/>
      <c r="M1649" s="249"/>
      <c r="N1649" s="266">
        <f t="shared" si="3"/>
        <v>0</v>
      </c>
      <c r="O1649" s="247"/>
      <c r="P1649" s="247"/>
      <c r="Q1649" s="247"/>
      <c r="R1649" s="247"/>
      <c r="S1649" s="247"/>
      <c r="T1649" s="247"/>
      <c r="U1649" s="247"/>
      <c r="V1649" s="247"/>
      <c r="W1649" s="247"/>
      <c r="X1649" s="247"/>
    </row>
    <row r="1650">
      <c r="A1650" s="294">
        <v>46065.0</v>
      </c>
      <c r="B1650" s="295" t="s">
        <v>1162</v>
      </c>
      <c r="C1650" s="295" t="s">
        <v>515</v>
      </c>
      <c r="D1650" s="296">
        <v>1189.0</v>
      </c>
      <c r="E1650" s="295" t="s">
        <v>1017</v>
      </c>
      <c r="F1650" s="292"/>
      <c r="G1650" s="293" t="str">
        <f>IFNA(IF(VLOOKUP(RC_OUT[BLOCK],RC_IN[[BLOCK]:[BLOCK LOC]],2,FALSE)=0,"",VLOOKUP(RC_OUT[BLOCK],RC_IN[[BLOCK]:[BLOCK LOC]],2,FALSE)),"")</f>
        <v>A-19C</v>
      </c>
      <c r="I1650" s="263">
        <f>IFERROR(AVERAGEIFS(RC_IN[MC],RC_IN[BLOCK],RC_OUT[BLOCK]),"")</f>
        <v>11.85</v>
      </c>
      <c r="J1650" s="264">
        <f t="shared" si="1"/>
        <v>14089.65</v>
      </c>
      <c r="K1650" s="284">
        <f t="shared" ref="K1650:L1650" si="42">A1650</f>
        <v>46065</v>
      </c>
      <c r="L1650" s="246" t="str">
        <f t="shared" si="42"/>
        <v>FEBRUARY</v>
      </c>
      <c r="M1650" s="249">
        <f>IFERROR(SUMIFS(J:J,A:A,K1650,B:B,L1650)/SUMIFS(D:D,A:A,K1650,B:B,L1650),"")</f>
        <v>10.34573338</v>
      </c>
      <c r="N1650" s="266">
        <f t="shared" si="3"/>
        <v>39127</v>
      </c>
      <c r="O1650" s="247"/>
      <c r="P1650" s="247"/>
      <c r="Q1650" s="247"/>
      <c r="R1650" s="247"/>
      <c r="S1650" s="247"/>
      <c r="T1650" s="247"/>
      <c r="U1650" s="247"/>
      <c r="V1650" s="247"/>
      <c r="W1650" s="247"/>
      <c r="X1650" s="247"/>
    </row>
    <row r="1651">
      <c r="A1651" s="294">
        <v>46065.0</v>
      </c>
      <c r="B1651" s="295" t="s">
        <v>1162</v>
      </c>
      <c r="C1651" s="295" t="s">
        <v>507</v>
      </c>
      <c r="D1651" s="296">
        <v>9823.0</v>
      </c>
      <c r="E1651" s="295" t="s">
        <v>1017</v>
      </c>
      <c r="F1651" s="292"/>
      <c r="G1651" s="293" t="str">
        <f>IFNA(IF(VLOOKUP(RC_OUT[BLOCK],RC_IN[[BLOCK]:[BLOCK LOC]],2,FALSE)=0,"",VLOOKUP(RC_OUT[BLOCK],RC_IN[[BLOCK]:[BLOCK LOC]],2,FALSE)),"")</f>
        <v>C-18B</v>
      </c>
      <c r="I1651" s="263">
        <f>IFERROR(AVERAGEIFS(RC_IN[MC],RC_IN[BLOCK],RC_OUT[BLOCK]),"")</f>
        <v>10.37</v>
      </c>
      <c r="J1651" s="264">
        <f t="shared" si="1"/>
        <v>101864.51</v>
      </c>
      <c r="K1651" s="246"/>
      <c r="L1651" s="246"/>
      <c r="M1651" s="249"/>
      <c r="N1651" s="266">
        <f t="shared" si="3"/>
        <v>0</v>
      </c>
      <c r="O1651" s="247"/>
      <c r="P1651" s="247"/>
      <c r="Q1651" s="247"/>
      <c r="R1651" s="247"/>
      <c r="S1651" s="247"/>
      <c r="T1651" s="247"/>
      <c r="U1651" s="247"/>
      <c r="V1651" s="247"/>
      <c r="W1651" s="247"/>
      <c r="X1651" s="247"/>
    </row>
    <row r="1652">
      <c r="A1652" s="294">
        <v>46065.0</v>
      </c>
      <c r="B1652" s="295" t="s">
        <v>1162</v>
      </c>
      <c r="C1652" s="295" t="s">
        <v>660</v>
      </c>
      <c r="D1652" s="296">
        <v>10575.0</v>
      </c>
      <c r="E1652" s="295" t="s">
        <v>1017</v>
      </c>
      <c r="F1652" s="292"/>
      <c r="G1652" s="293" t="str">
        <f>IFNA(IF(VLOOKUP(RC_OUT[BLOCK],RC_IN[[BLOCK]:[BLOCK LOC]],2,FALSE)=0,"",VLOOKUP(RC_OUT[BLOCK],RC_IN[[BLOCK]:[BLOCK LOC]],2,FALSE)),"")</f>
        <v>A-4C</v>
      </c>
      <c r="I1652" s="263">
        <f>IFERROR(AVERAGEIFS(RC_IN[MC],RC_IN[BLOCK],RC_OUT[BLOCK]),"")</f>
        <v>8.836666667</v>
      </c>
      <c r="J1652" s="264">
        <f t="shared" si="1"/>
        <v>93447.75</v>
      </c>
      <c r="K1652" s="246"/>
      <c r="L1652" s="246"/>
      <c r="M1652" s="249"/>
      <c r="N1652" s="266">
        <f t="shared" si="3"/>
        <v>0</v>
      </c>
      <c r="O1652" s="247"/>
      <c r="P1652" s="247"/>
      <c r="Q1652" s="247"/>
      <c r="R1652" s="247"/>
      <c r="S1652" s="247"/>
      <c r="T1652" s="247"/>
      <c r="U1652" s="247"/>
      <c r="V1652" s="247"/>
      <c r="W1652" s="247"/>
      <c r="X1652" s="247"/>
    </row>
    <row r="1653">
      <c r="A1653" s="294">
        <v>46065.0</v>
      </c>
      <c r="B1653" s="295" t="s">
        <v>1162</v>
      </c>
      <c r="C1653" s="295" t="s">
        <v>696</v>
      </c>
      <c r="D1653" s="296">
        <v>17540.0</v>
      </c>
      <c r="E1653" s="295" t="s">
        <v>1017</v>
      </c>
      <c r="F1653" s="297" t="s">
        <v>1059</v>
      </c>
      <c r="G1653" s="293" t="str">
        <f>IFNA(IF(VLOOKUP(RC_OUT[BLOCK],RC_IN[[BLOCK]:[BLOCK LOC]],2,FALSE)=0,"",VLOOKUP(RC_OUT[BLOCK],RC_IN[[BLOCK]:[BLOCK LOC]],2,FALSE)),"")</f>
        <v/>
      </c>
      <c r="I1653" s="263">
        <f>IFERROR(AVERAGEIFS(RC_IN[MC],RC_IN[BLOCK],RC_OUT[BLOCK]),"")</f>
        <v>11.14</v>
      </c>
      <c r="J1653" s="264">
        <f t="shared" si="1"/>
        <v>195395.6</v>
      </c>
      <c r="K1653" s="246"/>
      <c r="L1653" s="246"/>
      <c r="M1653" s="249"/>
      <c r="N1653" s="266">
        <f t="shared" si="3"/>
        <v>0</v>
      </c>
      <c r="O1653" s="247"/>
      <c r="P1653" s="247"/>
      <c r="Q1653" s="247"/>
      <c r="R1653" s="247"/>
      <c r="S1653" s="247"/>
      <c r="T1653" s="247"/>
      <c r="U1653" s="247"/>
      <c r="V1653" s="247"/>
      <c r="W1653" s="247"/>
      <c r="X1653" s="247"/>
    </row>
    <row r="1654">
      <c r="A1654" s="294">
        <v>46065.0</v>
      </c>
      <c r="B1654" s="295" t="s">
        <v>1147</v>
      </c>
      <c r="C1654" s="295" t="s">
        <v>435</v>
      </c>
      <c r="D1654" s="296">
        <v>8452.0</v>
      </c>
      <c r="E1654" s="295" t="s">
        <v>1374</v>
      </c>
      <c r="F1654" s="292"/>
      <c r="G1654" s="293" t="str">
        <f>IFNA(IF(VLOOKUP(RC_OUT[BLOCK],RC_IN[[BLOCK]:[BLOCK LOC]],2,FALSE)=0,"",VLOOKUP(RC_OUT[BLOCK],RC_IN[[BLOCK]:[BLOCK LOC]],2,FALSE)),"")</f>
        <v>D-19D</v>
      </c>
      <c r="I1654" s="263">
        <f>IFERROR(AVERAGEIFS(RC_IN[MC],RC_IN[BLOCK],RC_OUT[BLOCK]),"")</f>
        <v>14.6375</v>
      </c>
      <c r="J1654" s="264">
        <f t="shared" si="1"/>
        <v>123716.15</v>
      </c>
      <c r="K1654" s="246"/>
      <c r="L1654" s="246"/>
      <c r="M1654" s="249"/>
      <c r="N1654" s="266">
        <f t="shared" si="3"/>
        <v>0</v>
      </c>
      <c r="O1654" s="247"/>
      <c r="P1654" s="247"/>
      <c r="Q1654" s="247"/>
      <c r="R1654" s="247"/>
      <c r="S1654" s="247"/>
      <c r="T1654" s="247"/>
      <c r="U1654" s="247"/>
      <c r="V1654" s="247"/>
      <c r="W1654" s="247"/>
      <c r="X1654" s="247"/>
    </row>
    <row r="1655">
      <c r="A1655" s="294"/>
      <c r="B1655" s="295"/>
      <c r="C1655" s="295"/>
      <c r="D1655" s="296"/>
      <c r="E1655" s="295"/>
      <c r="F1655" s="292"/>
      <c r="G1655" s="293" t="str">
        <f>IFNA(IF(VLOOKUP(RC_OUT[BLOCK],RC_IN[[BLOCK]:[BLOCK LOC]],2,FALSE)=0,"",VLOOKUP(RC_OUT[BLOCK],RC_IN[[BLOCK]:[BLOCK LOC]],2,FALSE)),"")</f>
        <v/>
      </c>
      <c r="I1655" s="263" t="str">
        <f>IFERROR(AVERAGEIFS(RC_IN[MC],RC_IN[BLOCK],RC_OUT[BLOCK]),"")</f>
        <v/>
      </c>
      <c r="J1655" s="264">
        <f t="shared" si="1"/>
        <v>0</v>
      </c>
      <c r="K1655" s="246"/>
      <c r="L1655" s="246"/>
      <c r="M1655" s="249"/>
      <c r="N1655" s="266">
        <f t="shared" si="3"/>
        <v>0</v>
      </c>
      <c r="O1655" s="247"/>
      <c r="P1655" s="247"/>
      <c r="Q1655" s="247"/>
      <c r="R1655" s="247"/>
      <c r="S1655" s="247"/>
      <c r="T1655" s="247"/>
      <c r="U1655" s="247"/>
      <c r="V1655" s="247"/>
      <c r="W1655" s="247"/>
      <c r="X1655" s="247"/>
    </row>
    <row r="1656">
      <c r="A1656" s="294">
        <v>46066.0</v>
      </c>
      <c r="B1656" s="295" t="s">
        <v>1162</v>
      </c>
      <c r="C1656" s="295" t="s">
        <v>515</v>
      </c>
      <c r="D1656" s="296">
        <v>1310.0</v>
      </c>
      <c r="E1656" s="295" t="s">
        <v>1017</v>
      </c>
      <c r="F1656" s="292"/>
      <c r="G1656" s="293" t="str">
        <f>IFNA(IF(VLOOKUP(RC_OUT[BLOCK],RC_IN[[BLOCK]:[BLOCK LOC]],2,FALSE)=0,"",VLOOKUP(RC_OUT[BLOCK],RC_IN[[BLOCK]:[BLOCK LOC]],2,FALSE)),"")</f>
        <v>A-19C</v>
      </c>
      <c r="I1656" s="263">
        <f>IFERROR(AVERAGEIFS(RC_IN[MC],RC_IN[BLOCK],RC_OUT[BLOCK]),"")</f>
        <v>11.85</v>
      </c>
      <c r="J1656" s="264">
        <f t="shared" si="1"/>
        <v>15523.5</v>
      </c>
      <c r="K1656" s="246"/>
      <c r="L1656" s="246"/>
      <c r="M1656" s="249"/>
      <c r="N1656" s="266">
        <f t="shared" si="3"/>
        <v>0</v>
      </c>
      <c r="O1656" s="247"/>
      <c r="P1656" s="247"/>
      <c r="Q1656" s="247"/>
      <c r="R1656" s="247"/>
      <c r="S1656" s="247"/>
      <c r="T1656" s="247"/>
      <c r="U1656" s="247"/>
      <c r="V1656" s="247"/>
      <c r="W1656" s="247"/>
      <c r="X1656" s="247"/>
    </row>
    <row r="1657">
      <c r="A1657" s="294">
        <v>46066.0</v>
      </c>
      <c r="B1657" s="295" t="s">
        <v>1162</v>
      </c>
      <c r="C1657" s="295" t="s">
        <v>507</v>
      </c>
      <c r="D1657" s="296">
        <v>9572.0</v>
      </c>
      <c r="E1657" s="295" t="s">
        <v>1017</v>
      </c>
      <c r="F1657" s="292"/>
      <c r="G1657" s="293" t="str">
        <f>IFNA(IF(VLOOKUP(RC_OUT[BLOCK],RC_IN[[BLOCK]:[BLOCK LOC]],2,FALSE)=0,"",VLOOKUP(RC_OUT[BLOCK],RC_IN[[BLOCK]:[BLOCK LOC]],2,FALSE)),"")</f>
        <v>C-18B</v>
      </c>
      <c r="I1657" s="263">
        <f>IFERROR(AVERAGEIFS(RC_IN[MC],RC_IN[BLOCK],RC_OUT[BLOCK]),"")</f>
        <v>10.37</v>
      </c>
      <c r="J1657" s="264">
        <f t="shared" si="1"/>
        <v>99261.64</v>
      </c>
      <c r="K1657" s="246"/>
      <c r="L1657" s="246"/>
      <c r="M1657" s="249"/>
      <c r="N1657" s="266">
        <f t="shared" si="3"/>
        <v>0</v>
      </c>
      <c r="O1657" s="247"/>
      <c r="P1657" s="247"/>
      <c r="Q1657" s="247"/>
      <c r="R1657" s="247"/>
      <c r="S1657" s="247"/>
      <c r="T1657" s="247"/>
      <c r="U1657" s="247"/>
      <c r="V1657" s="247"/>
      <c r="W1657" s="247"/>
      <c r="X1657" s="247"/>
    </row>
    <row r="1658">
      <c r="A1658" s="294">
        <v>46066.0</v>
      </c>
      <c r="B1658" s="295" t="s">
        <v>1162</v>
      </c>
      <c r="C1658" s="295" t="s">
        <v>660</v>
      </c>
      <c r="D1658" s="296">
        <v>10049.0</v>
      </c>
      <c r="E1658" s="295" t="s">
        <v>1017</v>
      </c>
      <c r="F1658" s="292"/>
      <c r="G1658" s="293" t="str">
        <f>IFNA(IF(VLOOKUP(RC_OUT[BLOCK],RC_IN[[BLOCK]:[BLOCK LOC]],2,FALSE)=0,"",VLOOKUP(RC_OUT[BLOCK],RC_IN[[BLOCK]:[BLOCK LOC]],2,FALSE)),"")</f>
        <v>A-4C</v>
      </c>
      <c r="I1658" s="263">
        <f>IFERROR(AVERAGEIFS(RC_IN[MC],RC_IN[BLOCK],RC_OUT[BLOCK]),"")</f>
        <v>8.836666667</v>
      </c>
      <c r="J1658" s="264">
        <f t="shared" si="1"/>
        <v>88799.66333</v>
      </c>
      <c r="K1658" s="246"/>
      <c r="L1658" s="246"/>
      <c r="M1658" s="249"/>
      <c r="N1658" s="266">
        <f t="shared" si="3"/>
        <v>0</v>
      </c>
      <c r="O1658" s="247"/>
      <c r="P1658" s="247"/>
      <c r="Q1658" s="247"/>
      <c r="R1658" s="247"/>
      <c r="S1658" s="247"/>
      <c r="T1658" s="247"/>
      <c r="U1658" s="247"/>
      <c r="V1658" s="247"/>
      <c r="W1658" s="247"/>
      <c r="X1658" s="247"/>
    </row>
    <row r="1659">
      <c r="A1659" s="294">
        <v>46066.0</v>
      </c>
      <c r="B1659" s="295" t="s">
        <v>1162</v>
      </c>
      <c r="C1659" s="295" t="s">
        <v>699</v>
      </c>
      <c r="D1659" s="296">
        <v>5000.0</v>
      </c>
      <c r="E1659" s="295" t="s">
        <v>1017</v>
      </c>
      <c r="F1659" s="292"/>
      <c r="G1659" s="293" t="str">
        <f>IFNA(IF(VLOOKUP(RC_OUT[BLOCK],RC_IN[[BLOCK]:[BLOCK LOC]],2,FALSE)=0,"",VLOOKUP(RC_OUT[BLOCK],RC_IN[[BLOCK]:[BLOCK LOC]],2,FALSE)),"")</f>
        <v/>
      </c>
      <c r="I1659" s="263">
        <f>IFERROR(AVERAGEIFS(RC_IN[MC],RC_IN[BLOCK],RC_OUT[BLOCK]),"")</f>
        <v>9.87</v>
      </c>
      <c r="J1659" s="264">
        <f t="shared" si="1"/>
        <v>49350</v>
      </c>
      <c r="K1659" s="246"/>
      <c r="L1659" s="246"/>
      <c r="M1659" s="249"/>
      <c r="N1659" s="266">
        <f t="shared" si="3"/>
        <v>0</v>
      </c>
      <c r="O1659" s="247"/>
      <c r="P1659" s="247"/>
      <c r="Q1659" s="247"/>
      <c r="R1659" s="247"/>
      <c r="S1659" s="247"/>
      <c r="T1659" s="247"/>
      <c r="U1659" s="247"/>
      <c r="V1659" s="247"/>
      <c r="W1659" s="247"/>
      <c r="X1659" s="247"/>
    </row>
    <row r="1660">
      <c r="A1660" s="294"/>
      <c r="B1660" s="295"/>
      <c r="C1660" s="295"/>
      <c r="D1660" s="296"/>
      <c r="E1660" s="295"/>
      <c r="F1660" s="292"/>
      <c r="G1660" s="293" t="str">
        <f>IFNA(IF(VLOOKUP(RC_OUT[BLOCK],RC_IN[[BLOCK]:[BLOCK LOC]],2,FALSE)=0,"",VLOOKUP(RC_OUT[BLOCK],RC_IN[[BLOCK]:[BLOCK LOC]],2,FALSE)),"")</f>
        <v/>
      </c>
      <c r="I1660" s="263" t="str">
        <f>IFERROR(AVERAGEIFS(RC_IN[MC],RC_IN[BLOCK],RC_OUT[BLOCK]),"")</f>
        <v/>
      </c>
      <c r="J1660" s="264">
        <f t="shared" si="1"/>
        <v>0</v>
      </c>
      <c r="K1660" s="246"/>
      <c r="L1660" s="246"/>
      <c r="M1660" s="249"/>
      <c r="N1660" s="266">
        <f t="shared" si="3"/>
        <v>0</v>
      </c>
      <c r="O1660" s="247"/>
      <c r="P1660" s="247"/>
      <c r="Q1660" s="247"/>
      <c r="R1660" s="247"/>
      <c r="S1660" s="247"/>
      <c r="T1660" s="247"/>
      <c r="U1660" s="247"/>
      <c r="V1660" s="247"/>
      <c r="W1660" s="247"/>
      <c r="X1660" s="247"/>
    </row>
    <row r="1661">
      <c r="A1661" s="294">
        <v>46067.0</v>
      </c>
      <c r="B1661" s="295" t="s">
        <v>1162</v>
      </c>
      <c r="C1661" s="295" t="s">
        <v>515</v>
      </c>
      <c r="D1661" s="296">
        <v>1173.0</v>
      </c>
      <c r="E1661" s="295" t="s">
        <v>1017</v>
      </c>
      <c r="F1661" s="292"/>
      <c r="G1661" s="293" t="str">
        <f>IFNA(IF(VLOOKUP(RC_OUT[BLOCK],RC_IN[[BLOCK]:[BLOCK LOC]],2,FALSE)=0,"",VLOOKUP(RC_OUT[BLOCK],RC_IN[[BLOCK]:[BLOCK LOC]],2,FALSE)),"")</f>
        <v>A-19C</v>
      </c>
      <c r="I1661" s="263">
        <f>IFERROR(AVERAGEIFS(RC_IN[MC],RC_IN[BLOCK],RC_OUT[BLOCK]),"")</f>
        <v>11.85</v>
      </c>
      <c r="J1661" s="264">
        <f t="shared" si="1"/>
        <v>13900.05</v>
      </c>
      <c r="K1661" s="246"/>
      <c r="L1661" s="246"/>
      <c r="M1661" s="249"/>
      <c r="N1661" s="266">
        <f t="shared" si="3"/>
        <v>0</v>
      </c>
      <c r="O1661" s="247"/>
      <c r="P1661" s="247"/>
      <c r="Q1661" s="247"/>
      <c r="R1661" s="247"/>
      <c r="S1661" s="247"/>
      <c r="T1661" s="247"/>
      <c r="U1661" s="247"/>
      <c r="V1661" s="247"/>
      <c r="W1661" s="247"/>
      <c r="X1661" s="247"/>
    </row>
    <row r="1662">
      <c r="A1662" s="294">
        <v>46067.0</v>
      </c>
      <c r="B1662" s="295" t="s">
        <v>1162</v>
      </c>
      <c r="C1662" s="295" t="s">
        <v>507</v>
      </c>
      <c r="D1662" s="296">
        <v>8812.0</v>
      </c>
      <c r="E1662" s="295" t="s">
        <v>1017</v>
      </c>
      <c r="F1662" s="292"/>
      <c r="G1662" s="293" t="str">
        <f>IFNA(IF(VLOOKUP(RC_OUT[BLOCK],RC_IN[[BLOCK]:[BLOCK LOC]],2,FALSE)=0,"",VLOOKUP(RC_OUT[BLOCK],RC_IN[[BLOCK]:[BLOCK LOC]],2,FALSE)),"")</f>
        <v>C-18B</v>
      </c>
      <c r="I1662" s="263">
        <f>IFERROR(AVERAGEIFS(RC_IN[MC],RC_IN[BLOCK],RC_OUT[BLOCK]),"")</f>
        <v>10.37</v>
      </c>
      <c r="J1662" s="264">
        <f t="shared" si="1"/>
        <v>91380.44</v>
      </c>
      <c r="K1662" s="246"/>
      <c r="L1662" s="246"/>
      <c r="M1662" s="249"/>
      <c r="N1662" s="266">
        <f t="shared" si="3"/>
        <v>0</v>
      </c>
      <c r="O1662" s="247"/>
      <c r="P1662" s="247"/>
      <c r="Q1662" s="247"/>
      <c r="R1662" s="247"/>
      <c r="S1662" s="247"/>
      <c r="T1662" s="247"/>
      <c r="U1662" s="247"/>
      <c r="V1662" s="247"/>
      <c r="W1662" s="247"/>
      <c r="X1662" s="247"/>
    </row>
    <row r="1663">
      <c r="A1663" s="294">
        <v>46067.0</v>
      </c>
      <c r="B1663" s="295" t="s">
        <v>1162</v>
      </c>
      <c r="C1663" s="295" t="s">
        <v>660</v>
      </c>
      <c r="D1663" s="296">
        <v>10565.0</v>
      </c>
      <c r="E1663" s="295" t="s">
        <v>1017</v>
      </c>
      <c r="F1663" s="292"/>
      <c r="G1663" s="293" t="str">
        <f>IFNA(IF(VLOOKUP(RC_OUT[BLOCK],RC_IN[[BLOCK]:[BLOCK LOC]],2,FALSE)=0,"",VLOOKUP(RC_OUT[BLOCK],RC_IN[[BLOCK]:[BLOCK LOC]],2,FALSE)),"")</f>
        <v>A-4C</v>
      </c>
      <c r="I1663" s="263">
        <f>IFERROR(AVERAGEIFS(RC_IN[MC],RC_IN[BLOCK],RC_OUT[BLOCK]),"")</f>
        <v>8.836666667</v>
      </c>
      <c r="J1663" s="264">
        <f t="shared" si="1"/>
        <v>93359.38333</v>
      </c>
      <c r="K1663" s="246"/>
      <c r="L1663" s="246"/>
      <c r="M1663" s="249"/>
      <c r="N1663" s="266">
        <f t="shared" si="3"/>
        <v>0</v>
      </c>
      <c r="O1663" s="247"/>
      <c r="P1663" s="247"/>
      <c r="Q1663" s="247"/>
      <c r="R1663" s="247"/>
      <c r="S1663" s="247"/>
      <c r="T1663" s="247"/>
      <c r="U1663" s="247"/>
      <c r="V1663" s="247"/>
      <c r="W1663" s="247"/>
      <c r="X1663" s="247"/>
    </row>
    <row r="1664">
      <c r="A1664" s="294">
        <v>46067.0</v>
      </c>
      <c r="B1664" s="295" t="s">
        <v>1162</v>
      </c>
      <c r="C1664" s="295" t="s">
        <v>699</v>
      </c>
      <c r="D1664" s="296">
        <v>7000.0</v>
      </c>
      <c r="E1664" s="295" t="s">
        <v>1017</v>
      </c>
      <c r="F1664" s="292"/>
      <c r="G1664" s="293" t="str">
        <f>IFNA(IF(VLOOKUP(RC_OUT[BLOCK],RC_IN[[BLOCK]:[BLOCK LOC]],2,FALSE)=0,"",VLOOKUP(RC_OUT[BLOCK],RC_IN[[BLOCK]:[BLOCK LOC]],2,FALSE)),"")</f>
        <v/>
      </c>
      <c r="I1664" s="263">
        <f>IFERROR(AVERAGEIFS(RC_IN[MC],RC_IN[BLOCK],RC_OUT[BLOCK]),"")</f>
        <v>9.87</v>
      </c>
      <c r="J1664" s="264">
        <f t="shared" si="1"/>
        <v>69090</v>
      </c>
      <c r="K1664" s="246"/>
      <c r="L1664" s="246"/>
      <c r="M1664" s="249"/>
      <c r="N1664" s="266">
        <f t="shared" si="3"/>
        <v>0</v>
      </c>
      <c r="O1664" s="247"/>
      <c r="P1664" s="247"/>
      <c r="Q1664" s="247"/>
      <c r="R1664" s="247"/>
      <c r="S1664" s="247"/>
      <c r="T1664" s="247"/>
      <c r="U1664" s="247"/>
      <c r="V1664" s="247"/>
      <c r="W1664" s="247"/>
      <c r="X1664" s="247"/>
    </row>
    <row r="1665">
      <c r="A1665" s="294">
        <v>46067.0</v>
      </c>
      <c r="B1665" s="295" t="s">
        <v>1147</v>
      </c>
      <c r="C1665" s="295" t="s">
        <v>435</v>
      </c>
      <c r="D1665" s="296">
        <v>8346.0</v>
      </c>
      <c r="E1665" s="295" t="s">
        <v>1374</v>
      </c>
      <c r="F1665" s="292"/>
      <c r="G1665" s="293" t="str">
        <f>IFNA(IF(VLOOKUP(RC_OUT[BLOCK],RC_IN[[BLOCK]:[BLOCK LOC]],2,FALSE)=0,"",VLOOKUP(RC_OUT[BLOCK],RC_IN[[BLOCK]:[BLOCK LOC]],2,FALSE)),"")</f>
        <v>D-19D</v>
      </c>
      <c r="I1665" s="263">
        <f>IFERROR(AVERAGEIFS(RC_IN[MC],RC_IN[BLOCK],RC_OUT[BLOCK]),"")</f>
        <v>14.6375</v>
      </c>
      <c r="J1665" s="264">
        <f t="shared" si="1"/>
        <v>122164.575</v>
      </c>
      <c r="K1665" s="246"/>
      <c r="L1665" s="246"/>
      <c r="M1665" s="249"/>
      <c r="N1665" s="266">
        <f t="shared" si="3"/>
        <v>0</v>
      </c>
      <c r="O1665" s="247"/>
      <c r="P1665" s="247"/>
      <c r="Q1665" s="247"/>
      <c r="R1665" s="247"/>
      <c r="S1665" s="247"/>
      <c r="T1665" s="247"/>
      <c r="U1665" s="247"/>
      <c r="V1665" s="247"/>
      <c r="W1665" s="247"/>
      <c r="X1665" s="247"/>
    </row>
    <row r="1666">
      <c r="A1666" s="294"/>
      <c r="B1666" s="295"/>
      <c r="C1666" s="295"/>
      <c r="D1666" s="296"/>
      <c r="E1666" s="295"/>
      <c r="F1666" s="292"/>
      <c r="G1666" s="293" t="str">
        <f>IFNA(IF(VLOOKUP(RC_OUT[BLOCK],RC_IN[[BLOCK]:[BLOCK LOC]],2,FALSE)=0,"",VLOOKUP(RC_OUT[BLOCK],RC_IN[[BLOCK]:[BLOCK LOC]],2,FALSE)),"")</f>
        <v/>
      </c>
      <c r="I1666" s="263" t="str">
        <f>IFERROR(AVERAGEIFS(RC_IN[MC],RC_IN[BLOCK],RC_OUT[BLOCK]),"")</f>
        <v/>
      </c>
      <c r="J1666" s="264">
        <f t="shared" si="1"/>
        <v>0</v>
      </c>
      <c r="K1666" s="246"/>
      <c r="L1666" s="246"/>
      <c r="M1666" s="249"/>
      <c r="N1666" s="266">
        <f t="shared" si="3"/>
        <v>0</v>
      </c>
      <c r="O1666" s="247"/>
      <c r="P1666" s="247"/>
      <c r="Q1666" s="247"/>
      <c r="R1666" s="247"/>
      <c r="S1666" s="247"/>
      <c r="T1666" s="247"/>
      <c r="U1666" s="247"/>
      <c r="V1666" s="247"/>
      <c r="W1666" s="247"/>
      <c r="X1666" s="247"/>
    </row>
    <row r="1667">
      <c r="A1667" s="294">
        <v>46068.0</v>
      </c>
      <c r="B1667" s="295" t="s">
        <v>1147</v>
      </c>
      <c r="C1667" s="295" t="s">
        <v>435</v>
      </c>
      <c r="D1667" s="296">
        <v>17608.0</v>
      </c>
      <c r="E1667" s="295" t="s">
        <v>1374</v>
      </c>
      <c r="F1667" s="292"/>
      <c r="G1667" s="293" t="str">
        <f>IFNA(IF(VLOOKUP(RC_OUT[BLOCK],RC_IN[[BLOCK]:[BLOCK LOC]],2,FALSE)=0,"",VLOOKUP(RC_OUT[BLOCK],RC_IN[[BLOCK]:[BLOCK LOC]],2,FALSE)),"")</f>
        <v>D-19D</v>
      </c>
      <c r="I1667" s="263">
        <f>IFERROR(AVERAGEIFS(RC_IN[MC],RC_IN[BLOCK],RC_OUT[BLOCK]),"")</f>
        <v>14.6375</v>
      </c>
      <c r="J1667" s="264">
        <f t="shared" si="1"/>
        <v>257737.1</v>
      </c>
      <c r="K1667" s="246"/>
      <c r="L1667" s="246"/>
      <c r="M1667" s="249"/>
      <c r="N1667" s="266">
        <f t="shared" si="3"/>
        <v>0</v>
      </c>
      <c r="O1667" s="247"/>
      <c r="P1667" s="247"/>
      <c r="Q1667" s="247"/>
      <c r="R1667" s="247"/>
      <c r="S1667" s="247"/>
      <c r="T1667" s="247"/>
      <c r="U1667" s="247"/>
      <c r="V1667" s="247"/>
      <c r="W1667" s="247"/>
      <c r="X1667" s="247"/>
    </row>
    <row r="1668">
      <c r="A1668" s="294">
        <v>46069.0</v>
      </c>
      <c r="B1668" s="295" t="s">
        <v>1147</v>
      </c>
      <c r="C1668" s="295" t="s">
        <v>435</v>
      </c>
      <c r="D1668" s="296">
        <v>2416.0</v>
      </c>
      <c r="E1668" s="295" t="s">
        <v>1374</v>
      </c>
      <c r="F1668" s="297" t="s">
        <v>1059</v>
      </c>
      <c r="G1668" s="293" t="str">
        <f>IFNA(IF(VLOOKUP(RC_OUT[BLOCK],RC_IN[[BLOCK]:[BLOCK LOC]],2,FALSE)=0,"",VLOOKUP(RC_OUT[BLOCK],RC_IN[[BLOCK]:[BLOCK LOC]],2,FALSE)),"")</f>
        <v>D-19D</v>
      </c>
      <c r="I1668" s="263">
        <f>IFERROR(AVERAGEIFS(RC_IN[MC],RC_IN[BLOCK],RC_OUT[BLOCK]),"")</f>
        <v>14.6375</v>
      </c>
      <c r="J1668" s="264">
        <f t="shared" si="1"/>
        <v>35364.2</v>
      </c>
      <c r="K1668" s="246"/>
      <c r="L1668" s="246"/>
      <c r="M1668" s="249"/>
      <c r="N1668" s="266">
        <f t="shared" si="3"/>
        <v>0</v>
      </c>
      <c r="O1668" s="247"/>
      <c r="P1668" s="247"/>
      <c r="Q1668" s="247"/>
      <c r="R1668" s="247"/>
      <c r="S1668" s="247"/>
      <c r="T1668" s="247"/>
      <c r="U1668" s="247"/>
      <c r="V1668" s="247"/>
      <c r="W1668" s="247"/>
      <c r="X1668" s="247"/>
    </row>
    <row r="1669">
      <c r="A1669" s="294">
        <v>46069.0</v>
      </c>
      <c r="B1669" s="295" t="s">
        <v>1147</v>
      </c>
      <c r="C1669" s="295" t="s">
        <v>685</v>
      </c>
      <c r="D1669" s="296">
        <v>15139.0</v>
      </c>
      <c r="E1669" s="295" t="s">
        <v>1374</v>
      </c>
      <c r="F1669" s="292"/>
      <c r="G1669" s="293" t="str">
        <f>IFNA(IF(VLOOKUP(RC_OUT[BLOCK],RC_IN[[BLOCK]:[BLOCK LOC]],2,FALSE)=0,"",VLOOKUP(RC_OUT[BLOCK],RC_IN[[BLOCK]:[BLOCK LOC]],2,FALSE)),"")</f>
        <v>D-20D</v>
      </c>
      <c r="I1669" s="263">
        <f>IFERROR(AVERAGEIFS(RC_IN[MC],RC_IN[BLOCK],RC_OUT[BLOCK]),"")</f>
        <v>17.07</v>
      </c>
      <c r="J1669" s="264">
        <f t="shared" si="1"/>
        <v>258422.73</v>
      </c>
      <c r="K1669" s="246"/>
      <c r="L1669" s="246"/>
      <c r="M1669" s="249"/>
      <c r="N1669" s="266">
        <f t="shared" si="3"/>
        <v>0</v>
      </c>
      <c r="O1669" s="247"/>
      <c r="P1669" s="247"/>
      <c r="Q1669" s="247"/>
      <c r="R1669" s="247"/>
      <c r="S1669" s="247"/>
      <c r="T1669" s="247"/>
      <c r="U1669" s="247"/>
      <c r="V1669" s="247"/>
      <c r="W1669" s="247"/>
      <c r="X1669" s="247"/>
    </row>
    <row r="1670">
      <c r="A1670" s="294"/>
      <c r="B1670" s="295"/>
      <c r="C1670" s="295"/>
      <c r="D1670" s="296"/>
      <c r="E1670" s="295"/>
      <c r="F1670" s="292"/>
      <c r="G1670" s="293" t="str">
        <f>IFNA(IF(VLOOKUP(RC_OUT[BLOCK],RC_IN[[BLOCK]:[BLOCK LOC]],2,FALSE)=0,"",VLOOKUP(RC_OUT[BLOCK],RC_IN[[BLOCK]:[BLOCK LOC]],2,FALSE)),"")</f>
        <v/>
      </c>
      <c r="I1670" s="263" t="str">
        <f>IFERROR(AVERAGEIFS(RC_IN[MC],RC_IN[BLOCK],RC_OUT[BLOCK]),"")</f>
        <v/>
      </c>
      <c r="J1670" s="264">
        <f t="shared" si="1"/>
        <v>0</v>
      </c>
      <c r="K1670" s="246"/>
      <c r="L1670" s="246"/>
      <c r="M1670" s="249"/>
      <c r="N1670" s="266">
        <f t="shared" si="3"/>
        <v>0</v>
      </c>
      <c r="O1670" s="247"/>
      <c r="P1670" s="247"/>
      <c r="Q1670" s="247"/>
      <c r="R1670" s="247"/>
      <c r="S1670" s="247"/>
      <c r="T1670" s="247"/>
      <c r="U1670" s="247"/>
      <c r="V1670" s="247"/>
      <c r="W1670" s="247"/>
      <c r="X1670" s="247"/>
    </row>
    <row r="1671">
      <c r="A1671" s="294">
        <v>46070.0</v>
      </c>
      <c r="B1671" s="295" t="s">
        <v>1162</v>
      </c>
      <c r="C1671" s="295" t="s">
        <v>515</v>
      </c>
      <c r="D1671" s="296">
        <v>1243.0</v>
      </c>
      <c r="E1671" s="295" t="s">
        <v>1017</v>
      </c>
      <c r="F1671" s="292"/>
      <c r="G1671" s="293" t="str">
        <f>IFNA(IF(VLOOKUP(RC_OUT[BLOCK],RC_IN[[BLOCK]:[BLOCK LOC]],2,FALSE)=0,"",VLOOKUP(RC_OUT[BLOCK],RC_IN[[BLOCK]:[BLOCK LOC]],2,FALSE)),"")</f>
        <v>A-19C</v>
      </c>
      <c r="I1671" s="263">
        <f>IFERROR(AVERAGEIFS(RC_IN[MC],RC_IN[BLOCK],RC_OUT[BLOCK]),"")</f>
        <v>11.85</v>
      </c>
      <c r="J1671" s="264">
        <f t="shared" si="1"/>
        <v>14729.55</v>
      </c>
      <c r="K1671" s="246"/>
      <c r="L1671" s="246"/>
      <c r="M1671" s="249"/>
      <c r="N1671" s="266">
        <f t="shared" si="3"/>
        <v>0</v>
      </c>
      <c r="O1671" s="247"/>
      <c r="P1671" s="247"/>
      <c r="Q1671" s="247"/>
      <c r="R1671" s="247"/>
      <c r="S1671" s="247"/>
      <c r="T1671" s="247"/>
      <c r="U1671" s="247"/>
      <c r="V1671" s="247"/>
      <c r="W1671" s="247"/>
      <c r="X1671" s="247"/>
    </row>
    <row r="1672">
      <c r="A1672" s="294">
        <v>46070.0</v>
      </c>
      <c r="B1672" s="295" t="s">
        <v>1162</v>
      </c>
      <c r="C1672" s="295" t="s">
        <v>507</v>
      </c>
      <c r="D1672" s="296">
        <v>8705.0</v>
      </c>
      <c r="E1672" s="295" t="s">
        <v>1017</v>
      </c>
      <c r="F1672" s="292"/>
      <c r="G1672" s="293" t="str">
        <f>IFNA(IF(VLOOKUP(RC_OUT[BLOCK],RC_IN[[BLOCK]:[BLOCK LOC]],2,FALSE)=0,"",VLOOKUP(RC_OUT[BLOCK],RC_IN[[BLOCK]:[BLOCK LOC]],2,FALSE)),"")</f>
        <v>C-18B</v>
      </c>
      <c r="I1672" s="263">
        <f>IFERROR(AVERAGEIFS(RC_IN[MC],RC_IN[BLOCK],RC_OUT[BLOCK]),"")</f>
        <v>10.37</v>
      </c>
      <c r="J1672" s="264">
        <f t="shared" si="1"/>
        <v>90270.85</v>
      </c>
      <c r="K1672" s="246"/>
      <c r="L1672" s="246"/>
      <c r="M1672" s="249"/>
      <c r="N1672" s="266">
        <f t="shared" si="3"/>
        <v>0</v>
      </c>
      <c r="O1672" s="247"/>
      <c r="P1672" s="247"/>
      <c r="Q1672" s="247"/>
      <c r="R1672" s="247"/>
      <c r="S1672" s="247"/>
      <c r="T1672" s="247"/>
      <c r="U1672" s="247"/>
      <c r="V1672" s="247"/>
      <c r="W1672" s="247"/>
      <c r="X1672" s="247"/>
    </row>
    <row r="1673">
      <c r="A1673" s="294">
        <v>46070.0</v>
      </c>
      <c r="B1673" s="295" t="s">
        <v>1162</v>
      </c>
      <c r="C1673" s="295" t="s">
        <v>660</v>
      </c>
      <c r="D1673" s="296">
        <v>10419.0</v>
      </c>
      <c r="E1673" s="295" t="s">
        <v>1017</v>
      </c>
      <c r="F1673" s="292"/>
      <c r="G1673" s="293" t="str">
        <f>IFNA(IF(VLOOKUP(RC_OUT[BLOCK],RC_IN[[BLOCK]:[BLOCK LOC]],2,FALSE)=0,"",VLOOKUP(RC_OUT[BLOCK],RC_IN[[BLOCK]:[BLOCK LOC]],2,FALSE)),"")</f>
        <v>A-4C</v>
      </c>
      <c r="I1673" s="263">
        <f>IFERROR(AVERAGEIFS(RC_IN[MC],RC_IN[BLOCK],RC_OUT[BLOCK]),"")</f>
        <v>8.836666667</v>
      </c>
      <c r="J1673" s="264">
        <f t="shared" si="1"/>
        <v>92069.23</v>
      </c>
      <c r="K1673" s="246"/>
      <c r="L1673" s="246"/>
      <c r="M1673" s="249"/>
      <c r="N1673" s="266">
        <f t="shared" si="3"/>
        <v>0</v>
      </c>
      <c r="O1673" s="247"/>
      <c r="P1673" s="247"/>
      <c r="Q1673" s="247"/>
      <c r="R1673" s="247"/>
      <c r="S1673" s="247"/>
      <c r="T1673" s="247"/>
      <c r="U1673" s="247"/>
      <c r="V1673" s="247"/>
      <c r="W1673" s="247"/>
      <c r="X1673" s="247"/>
    </row>
    <row r="1674">
      <c r="A1674" s="294">
        <v>46070.0</v>
      </c>
      <c r="B1674" s="295" t="s">
        <v>1162</v>
      </c>
      <c r="C1674" s="295" t="s">
        <v>699</v>
      </c>
      <c r="D1674" s="296">
        <v>4380.0</v>
      </c>
      <c r="E1674" s="295" t="s">
        <v>1017</v>
      </c>
      <c r="F1674" s="297" t="s">
        <v>1059</v>
      </c>
      <c r="G1674" s="293" t="str">
        <f>IFNA(IF(VLOOKUP(RC_OUT[BLOCK],RC_IN[[BLOCK]:[BLOCK LOC]],2,FALSE)=0,"",VLOOKUP(RC_OUT[BLOCK],RC_IN[[BLOCK]:[BLOCK LOC]],2,FALSE)),"")</f>
        <v/>
      </c>
      <c r="I1674" s="263">
        <f>IFERROR(AVERAGEIFS(RC_IN[MC],RC_IN[BLOCK],RC_OUT[BLOCK]),"")</f>
        <v>9.87</v>
      </c>
      <c r="J1674" s="264">
        <f t="shared" si="1"/>
        <v>43230.6</v>
      </c>
      <c r="K1674" s="246"/>
      <c r="L1674" s="246"/>
      <c r="M1674" s="249"/>
      <c r="N1674" s="266">
        <f t="shared" si="3"/>
        <v>0</v>
      </c>
      <c r="O1674" s="247"/>
      <c r="P1674" s="247"/>
      <c r="Q1674" s="247"/>
      <c r="R1674" s="247"/>
      <c r="S1674" s="247"/>
      <c r="T1674" s="247"/>
      <c r="U1674" s="247"/>
      <c r="V1674" s="247"/>
      <c r="W1674" s="247"/>
      <c r="X1674" s="247"/>
    </row>
    <row r="1675">
      <c r="A1675" s="294">
        <v>46070.0</v>
      </c>
      <c r="B1675" s="295" t="s">
        <v>1162</v>
      </c>
      <c r="C1675" s="295" t="s">
        <v>702</v>
      </c>
      <c r="D1675" s="296">
        <v>17265.0</v>
      </c>
      <c r="E1675" s="295" t="s">
        <v>1017</v>
      </c>
      <c r="F1675" s="297" t="s">
        <v>1059</v>
      </c>
      <c r="G1675" s="293" t="str">
        <f>IFNA(IF(VLOOKUP(RC_OUT[BLOCK],RC_IN[[BLOCK]:[BLOCK LOC]],2,FALSE)=0,"",VLOOKUP(RC_OUT[BLOCK],RC_IN[[BLOCK]:[BLOCK LOC]],2,FALSE)),"")</f>
        <v/>
      </c>
      <c r="I1675" s="263">
        <f>IFERROR(AVERAGEIFS(RC_IN[MC],RC_IN[BLOCK],RC_OUT[BLOCK]),"")</f>
        <v>10.94</v>
      </c>
      <c r="J1675" s="264">
        <f t="shared" si="1"/>
        <v>188879.1</v>
      </c>
      <c r="K1675" s="246"/>
      <c r="L1675" s="246"/>
      <c r="M1675" s="249"/>
      <c r="N1675" s="266">
        <f t="shared" si="3"/>
        <v>0</v>
      </c>
      <c r="O1675" s="247"/>
      <c r="P1675" s="247"/>
      <c r="Q1675" s="247"/>
      <c r="R1675" s="247"/>
      <c r="S1675" s="247"/>
      <c r="T1675" s="247"/>
      <c r="U1675" s="247"/>
      <c r="V1675" s="247"/>
      <c r="W1675" s="247"/>
      <c r="X1675" s="247"/>
    </row>
    <row r="1676">
      <c r="A1676" s="294">
        <v>46070.0</v>
      </c>
      <c r="B1676" s="295" t="s">
        <v>1147</v>
      </c>
      <c r="C1676" s="295" t="s">
        <v>685</v>
      </c>
      <c r="D1676" s="296">
        <v>1925.0</v>
      </c>
      <c r="E1676" s="295" t="s">
        <v>1374</v>
      </c>
      <c r="F1676" s="297" t="s">
        <v>1059</v>
      </c>
      <c r="G1676" s="293" t="str">
        <f>IFNA(IF(VLOOKUP(RC_OUT[BLOCK],RC_IN[[BLOCK]:[BLOCK LOC]],2,FALSE)=0,"",VLOOKUP(RC_OUT[BLOCK],RC_IN[[BLOCK]:[BLOCK LOC]],2,FALSE)),"")</f>
        <v>D-20D</v>
      </c>
      <c r="I1676" s="263">
        <f>IFERROR(AVERAGEIFS(RC_IN[MC],RC_IN[BLOCK],RC_OUT[BLOCK]),"")</f>
        <v>17.07</v>
      </c>
      <c r="J1676" s="264">
        <f t="shared" si="1"/>
        <v>32859.75</v>
      </c>
      <c r="K1676" s="246"/>
      <c r="L1676" s="246"/>
      <c r="M1676" s="249"/>
      <c r="N1676" s="266">
        <f t="shared" si="3"/>
        <v>0</v>
      </c>
      <c r="O1676" s="247"/>
      <c r="P1676" s="247"/>
      <c r="Q1676" s="247"/>
      <c r="R1676" s="247"/>
      <c r="S1676" s="247"/>
      <c r="T1676" s="247"/>
      <c r="U1676" s="247"/>
      <c r="V1676" s="247"/>
      <c r="W1676" s="247"/>
      <c r="X1676" s="247"/>
    </row>
    <row r="1677">
      <c r="A1677" s="294">
        <v>46070.0</v>
      </c>
      <c r="B1677" s="295" t="s">
        <v>1147</v>
      </c>
      <c r="C1677" s="295" t="s">
        <v>563</v>
      </c>
      <c r="D1677" s="296">
        <v>4668.0</v>
      </c>
      <c r="E1677" s="295" t="s">
        <v>1374</v>
      </c>
      <c r="F1677" s="292"/>
      <c r="G1677" s="293" t="str">
        <f>IFNA(IF(VLOOKUP(RC_OUT[BLOCK],RC_IN[[BLOCK]:[BLOCK LOC]],2,FALSE)=0,"",VLOOKUP(RC_OUT[BLOCK],RC_IN[[BLOCK]:[BLOCK LOC]],2,FALSE)),"")</f>
        <v>D-18C</v>
      </c>
      <c r="I1677" s="263">
        <f>IFERROR(AVERAGEIFS(RC_IN[MC],RC_IN[BLOCK],RC_OUT[BLOCK]),"")</f>
        <v>14.035</v>
      </c>
      <c r="J1677" s="264">
        <f t="shared" si="1"/>
        <v>65515.38</v>
      </c>
      <c r="K1677" s="246"/>
      <c r="L1677" s="246"/>
      <c r="M1677" s="249"/>
      <c r="N1677" s="266">
        <f t="shared" si="3"/>
        <v>0</v>
      </c>
      <c r="O1677" s="247"/>
      <c r="P1677" s="247"/>
      <c r="Q1677" s="247"/>
      <c r="R1677" s="247"/>
      <c r="S1677" s="247"/>
      <c r="T1677" s="247"/>
      <c r="U1677" s="247"/>
      <c r="V1677" s="247"/>
      <c r="W1677" s="247"/>
      <c r="X1677" s="247"/>
    </row>
    <row r="1678">
      <c r="A1678" s="294"/>
      <c r="B1678" s="295"/>
      <c r="C1678" s="295"/>
      <c r="D1678" s="296"/>
      <c r="E1678" s="295"/>
      <c r="F1678" s="292"/>
      <c r="G1678" s="293" t="str">
        <f>IFNA(IF(VLOOKUP(RC_OUT[BLOCK],RC_IN[[BLOCK]:[BLOCK LOC]],2,FALSE)=0,"",VLOOKUP(RC_OUT[BLOCK],RC_IN[[BLOCK]:[BLOCK LOC]],2,FALSE)),"")</f>
        <v/>
      </c>
      <c r="I1678" s="263" t="str">
        <f>IFERROR(AVERAGEIFS(RC_IN[MC],RC_IN[BLOCK],RC_OUT[BLOCK]),"")</f>
        <v/>
      </c>
      <c r="J1678" s="264">
        <f t="shared" si="1"/>
        <v>0</v>
      </c>
      <c r="K1678" s="246"/>
      <c r="L1678" s="246"/>
      <c r="M1678" s="249"/>
      <c r="N1678" s="266">
        <f t="shared" si="3"/>
        <v>0</v>
      </c>
      <c r="O1678" s="247"/>
      <c r="P1678" s="247"/>
      <c r="Q1678" s="247"/>
      <c r="R1678" s="247"/>
      <c r="S1678" s="247"/>
      <c r="T1678" s="247"/>
      <c r="U1678" s="247"/>
      <c r="V1678" s="247"/>
      <c r="W1678" s="247"/>
      <c r="X1678" s="247"/>
    </row>
    <row r="1679">
      <c r="A1679" s="294">
        <v>46071.0</v>
      </c>
      <c r="B1679" s="295" t="s">
        <v>1162</v>
      </c>
      <c r="C1679" s="295" t="s">
        <v>515</v>
      </c>
      <c r="D1679" s="296">
        <v>2355.0</v>
      </c>
      <c r="E1679" s="295" t="s">
        <v>1017</v>
      </c>
      <c r="F1679" s="292"/>
      <c r="G1679" s="293" t="str">
        <f>IFNA(IF(VLOOKUP(RC_OUT[BLOCK],RC_IN[[BLOCK]:[BLOCK LOC]],2,FALSE)=0,"",VLOOKUP(RC_OUT[BLOCK],RC_IN[[BLOCK]:[BLOCK LOC]],2,FALSE)),"")</f>
        <v>A-19C</v>
      </c>
      <c r="I1679" s="263">
        <f>IFERROR(AVERAGEIFS(RC_IN[MC],RC_IN[BLOCK],RC_OUT[BLOCK]),"")</f>
        <v>11.85</v>
      </c>
      <c r="J1679" s="264">
        <f t="shared" si="1"/>
        <v>27906.75</v>
      </c>
      <c r="K1679" s="246"/>
      <c r="L1679" s="246"/>
      <c r="M1679" s="249"/>
      <c r="N1679" s="266">
        <f t="shared" si="3"/>
        <v>0</v>
      </c>
      <c r="O1679" s="247"/>
      <c r="P1679" s="247"/>
      <c r="Q1679" s="247"/>
      <c r="R1679" s="247"/>
      <c r="S1679" s="247"/>
      <c r="T1679" s="247"/>
      <c r="U1679" s="247"/>
      <c r="V1679" s="247"/>
      <c r="W1679" s="247"/>
      <c r="X1679" s="247"/>
    </row>
    <row r="1680">
      <c r="A1680" s="294">
        <v>46071.0</v>
      </c>
      <c r="B1680" s="295" t="s">
        <v>1162</v>
      </c>
      <c r="C1680" s="295" t="s">
        <v>507</v>
      </c>
      <c r="D1680" s="296">
        <v>8167.0</v>
      </c>
      <c r="E1680" s="295" t="s">
        <v>1017</v>
      </c>
      <c r="F1680" s="297" t="s">
        <v>1059</v>
      </c>
      <c r="G1680" s="293" t="str">
        <f>IFNA(IF(VLOOKUP(RC_OUT[BLOCK],RC_IN[[BLOCK]:[BLOCK LOC]],2,FALSE)=0,"",VLOOKUP(RC_OUT[BLOCK],RC_IN[[BLOCK]:[BLOCK LOC]],2,FALSE)),"")</f>
        <v>C-18B</v>
      </c>
      <c r="I1680" s="263">
        <f>IFERROR(AVERAGEIFS(RC_IN[MC],RC_IN[BLOCK],RC_OUT[BLOCK]),"")</f>
        <v>10.37</v>
      </c>
      <c r="J1680" s="264">
        <f t="shared" si="1"/>
        <v>84691.79</v>
      </c>
      <c r="K1680" s="246"/>
      <c r="L1680" s="246"/>
      <c r="M1680" s="249"/>
      <c r="N1680" s="266">
        <f t="shared" si="3"/>
        <v>0</v>
      </c>
      <c r="O1680" s="247"/>
      <c r="P1680" s="247"/>
      <c r="Q1680" s="247"/>
      <c r="R1680" s="247"/>
      <c r="S1680" s="247"/>
      <c r="T1680" s="247"/>
      <c r="U1680" s="247"/>
      <c r="V1680" s="247"/>
      <c r="W1680" s="247"/>
      <c r="X1680" s="247"/>
    </row>
    <row r="1681">
      <c r="A1681" s="294">
        <v>46071.0</v>
      </c>
      <c r="B1681" s="295" t="s">
        <v>1162</v>
      </c>
      <c r="C1681" s="295" t="s">
        <v>660</v>
      </c>
      <c r="D1681" s="296">
        <v>10649.0</v>
      </c>
      <c r="E1681" s="295" t="s">
        <v>1017</v>
      </c>
      <c r="F1681" s="297" t="s">
        <v>1059</v>
      </c>
      <c r="G1681" s="293" t="str">
        <f>IFNA(IF(VLOOKUP(RC_OUT[BLOCK],RC_IN[[BLOCK]:[BLOCK LOC]],2,FALSE)=0,"",VLOOKUP(RC_OUT[BLOCK],RC_IN[[BLOCK]:[BLOCK LOC]],2,FALSE)),"")</f>
        <v>A-4C</v>
      </c>
      <c r="I1681" s="263">
        <f>IFERROR(AVERAGEIFS(RC_IN[MC],RC_IN[BLOCK],RC_OUT[BLOCK]),"")</f>
        <v>8.836666667</v>
      </c>
      <c r="J1681" s="264">
        <f t="shared" si="1"/>
        <v>94101.66333</v>
      </c>
      <c r="K1681" s="246"/>
      <c r="L1681" s="246"/>
      <c r="M1681" s="249"/>
      <c r="N1681" s="266">
        <f t="shared" si="3"/>
        <v>0</v>
      </c>
      <c r="O1681" s="247"/>
      <c r="P1681" s="247"/>
      <c r="Q1681" s="247"/>
      <c r="R1681" s="247"/>
      <c r="S1681" s="247"/>
      <c r="T1681" s="247"/>
      <c r="U1681" s="247"/>
      <c r="V1681" s="247"/>
      <c r="W1681" s="247"/>
      <c r="X1681" s="247"/>
    </row>
    <row r="1682">
      <c r="A1682" s="294">
        <v>46071.0</v>
      </c>
      <c r="B1682" s="295" t="s">
        <v>1162</v>
      </c>
      <c r="C1682" s="295" t="s">
        <v>676</v>
      </c>
      <c r="D1682" s="296">
        <v>5124.0</v>
      </c>
      <c r="E1682" s="295" t="s">
        <v>1017</v>
      </c>
      <c r="F1682" s="292"/>
      <c r="G1682" s="293" t="str">
        <f>IFNA(IF(VLOOKUP(RC_OUT[BLOCK],RC_IN[[BLOCK]:[BLOCK LOC]],2,FALSE)=0,"",VLOOKUP(RC_OUT[BLOCK],RC_IN[[BLOCK]:[BLOCK LOC]],2,FALSE)),"")</f>
        <v>C-10B</v>
      </c>
      <c r="I1682" s="263">
        <f>IFERROR(AVERAGEIFS(RC_IN[MC],RC_IN[BLOCK],RC_OUT[BLOCK]),"")</f>
        <v>9.57</v>
      </c>
      <c r="J1682" s="264">
        <f t="shared" si="1"/>
        <v>49036.68</v>
      </c>
      <c r="K1682" s="246"/>
      <c r="L1682" s="246"/>
      <c r="M1682" s="249"/>
      <c r="N1682" s="266">
        <f t="shared" si="3"/>
        <v>0</v>
      </c>
      <c r="O1682" s="247"/>
      <c r="P1682" s="247"/>
      <c r="Q1682" s="247"/>
      <c r="R1682" s="247"/>
      <c r="S1682" s="247"/>
      <c r="T1682" s="247"/>
      <c r="U1682" s="247"/>
      <c r="V1682" s="247"/>
      <c r="W1682" s="247"/>
      <c r="X1682" s="247"/>
    </row>
    <row r="1683">
      <c r="A1683" s="294">
        <v>46071.0</v>
      </c>
      <c r="B1683" s="295" t="s">
        <v>1162</v>
      </c>
      <c r="C1683" s="295" t="s">
        <v>726</v>
      </c>
      <c r="D1683" s="296">
        <v>9870.0</v>
      </c>
      <c r="E1683" s="295" t="s">
        <v>1017</v>
      </c>
      <c r="F1683" s="292"/>
      <c r="G1683" s="293" t="str">
        <f>IFNA(IF(VLOOKUP(RC_OUT[BLOCK],RC_IN[[BLOCK]:[BLOCK LOC]],2,FALSE)=0,"",VLOOKUP(RC_OUT[BLOCK],RC_IN[[BLOCK]:[BLOCK LOC]],2,FALSE)),"")</f>
        <v/>
      </c>
      <c r="I1683" s="263">
        <f>IFERROR(AVERAGEIFS(RC_IN[MC],RC_IN[BLOCK],RC_OUT[BLOCK]),"")</f>
        <v>10.54</v>
      </c>
      <c r="J1683" s="264">
        <f t="shared" si="1"/>
        <v>104029.8</v>
      </c>
      <c r="K1683" s="246"/>
      <c r="L1683" s="246"/>
      <c r="M1683" s="249"/>
      <c r="N1683" s="266">
        <f t="shared" si="3"/>
        <v>0</v>
      </c>
      <c r="O1683" s="247"/>
      <c r="P1683" s="247"/>
      <c r="Q1683" s="247"/>
      <c r="R1683" s="247"/>
      <c r="S1683" s="247"/>
      <c r="T1683" s="247"/>
      <c r="U1683" s="247"/>
      <c r="V1683" s="247"/>
      <c r="W1683" s="247"/>
      <c r="X1683" s="247"/>
    </row>
    <row r="1684">
      <c r="A1684" s="294"/>
      <c r="B1684" s="295"/>
      <c r="C1684" s="295"/>
      <c r="D1684" s="296"/>
      <c r="E1684" s="295"/>
      <c r="F1684" s="292"/>
      <c r="G1684" s="293" t="str">
        <f>IFNA(IF(VLOOKUP(RC_OUT[BLOCK],RC_IN[[BLOCK]:[BLOCK LOC]],2,FALSE)=0,"",VLOOKUP(RC_OUT[BLOCK],RC_IN[[BLOCK]:[BLOCK LOC]],2,FALSE)),"")</f>
        <v/>
      </c>
      <c r="I1684" s="263" t="str">
        <f>IFERROR(AVERAGEIFS(RC_IN[MC],RC_IN[BLOCK],RC_OUT[BLOCK]),"")</f>
        <v/>
      </c>
      <c r="J1684" s="264">
        <f t="shared" si="1"/>
        <v>0</v>
      </c>
      <c r="K1684" s="246"/>
      <c r="L1684" s="246"/>
      <c r="M1684" s="249"/>
      <c r="N1684" s="266">
        <f t="shared" si="3"/>
        <v>0</v>
      </c>
      <c r="O1684" s="247"/>
      <c r="P1684" s="247"/>
      <c r="Q1684" s="247"/>
      <c r="R1684" s="247"/>
      <c r="S1684" s="247"/>
      <c r="T1684" s="247"/>
      <c r="U1684" s="247"/>
      <c r="V1684" s="247"/>
      <c r="W1684" s="247"/>
      <c r="X1684" s="247"/>
    </row>
    <row r="1685">
      <c r="A1685" s="294">
        <v>46072.0</v>
      </c>
      <c r="B1685" s="295" t="s">
        <v>1162</v>
      </c>
      <c r="C1685" s="295" t="s">
        <v>515</v>
      </c>
      <c r="D1685" s="296">
        <v>2251.0</v>
      </c>
      <c r="E1685" s="295" t="s">
        <v>1017</v>
      </c>
      <c r="F1685" s="292"/>
      <c r="G1685" s="293" t="str">
        <f>IFNA(IF(VLOOKUP(RC_OUT[BLOCK],RC_IN[[BLOCK]:[BLOCK LOC]],2,FALSE)=0,"",VLOOKUP(RC_OUT[BLOCK],RC_IN[[BLOCK]:[BLOCK LOC]],2,FALSE)),"")</f>
        <v>A-19C</v>
      </c>
      <c r="I1685" s="263">
        <f>IFERROR(AVERAGEIFS(RC_IN[MC],RC_IN[BLOCK],RC_OUT[BLOCK]),"")</f>
        <v>11.85</v>
      </c>
      <c r="J1685" s="264">
        <f t="shared" si="1"/>
        <v>26674.35</v>
      </c>
      <c r="K1685" s="246"/>
      <c r="L1685" s="246"/>
      <c r="M1685" s="249"/>
      <c r="N1685" s="266">
        <f t="shared" si="3"/>
        <v>0</v>
      </c>
      <c r="O1685" s="247"/>
      <c r="P1685" s="247"/>
      <c r="Q1685" s="247"/>
      <c r="R1685" s="247"/>
      <c r="S1685" s="247"/>
      <c r="T1685" s="247"/>
      <c r="U1685" s="247"/>
      <c r="V1685" s="247"/>
      <c r="W1685" s="247"/>
      <c r="X1685" s="247"/>
    </row>
    <row r="1686">
      <c r="A1686" s="294">
        <v>46072.0</v>
      </c>
      <c r="B1686" s="295" t="s">
        <v>1162</v>
      </c>
      <c r="C1686" s="295" t="s">
        <v>676</v>
      </c>
      <c r="D1686" s="296">
        <v>5005.0</v>
      </c>
      <c r="E1686" s="295" t="s">
        <v>1017</v>
      </c>
      <c r="F1686" s="292"/>
      <c r="G1686" s="293" t="str">
        <f>IFNA(IF(VLOOKUP(RC_OUT[BLOCK],RC_IN[[BLOCK]:[BLOCK LOC]],2,FALSE)=0,"",VLOOKUP(RC_OUT[BLOCK],RC_IN[[BLOCK]:[BLOCK LOC]],2,FALSE)),"")</f>
        <v>C-10B</v>
      </c>
      <c r="I1686" s="263">
        <f>IFERROR(AVERAGEIFS(RC_IN[MC],RC_IN[BLOCK],RC_OUT[BLOCK]),"")</f>
        <v>9.57</v>
      </c>
      <c r="J1686" s="264">
        <f t="shared" si="1"/>
        <v>47897.85</v>
      </c>
      <c r="K1686" s="246"/>
      <c r="L1686" s="246"/>
      <c r="M1686" s="249"/>
      <c r="N1686" s="266">
        <f t="shared" si="3"/>
        <v>0</v>
      </c>
      <c r="O1686" s="247"/>
      <c r="P1686" s="247"/>
      <c r="Q1686" s="247"/>
      <c r="R1686" s="247"/>
      <c r="S1686" s="247"/>
      <c r="T1686" s="247"/>
      <c r="U1686" s="247"/>
      <c r="V1686" s="247"/>
      <c r="W1686" s="247"/>
      <c r="X1686" s="247"/>
    </row>
    <row r="1687">
      <c r="A1687" s="294">
        <v>46072.0</v>
      </c>
      <c r="B1687" s="295" t="s">
        <v>1162</v>
      </c>
      <c r="C1687" s="295" t="s">
        <v>726</v>
      </c>
      <c r="D1687" s="296">
        <v>5000.0</v>
      </c>
      <c r="E1687" s="295" t="s">
        <v>1017</v>
      </c>
      <c r="F1687" s="292"/>
      <c r="G1687" s="293" t="str">
        <f>IFNA(IF(VLOOKUP(RC_OUT[BLOCK],RC_IN[[BLOCK]:[BLOCK LOC]],2,FALSE)=0,"",VLOOKUP(RC_OUT[BLOCK],RC_IN[[BLOCK]:[BLOCK LOC]],2,FALSE)),"")</f>
        <v/>
      </c>
      <c r="I1687" s="263">
        <f>IFERROR(AVERAGEIFS(RC_IN[MC],RC_IN[BLOCK],RC_OUT[BLOCK]),"")</f>
        <v>10.54</v>
      </c>
      <c r="J1687" s="264">
        <f t="shared" si="1"/>
        <v>52700</v>
      </c>
      <c r="K1687" s="246"/>
      <c r="L1687" s="246"/>
      <c r="M1687" s="249"/>
      <c r="N1687" s="266">
        <f t="shared" si="3"/>
        <v>0</v>
      </c>
      <c r="O1687" s="247"/>
      <c r="P1687" s="247"/>
      <c r="Q1687" s="247"/>
      <c r="R1687" s="247"/>
      <c r="S1687" s="247"/>
      <c r="T1687" s="247"/>
      <c r="U1687" s="247"/>
      <c r="V1687" s="247"/>
      <c r="W1687" s="247"/>
      <c r="X1687" s="247"/>
    </row>
    <row r="1688">
      <c r="A1688" s="294">
        <v>46072.0</v>
      </c>
      <c r="B1688" s="295" t="s">
        <v>1162</v>
      </c>
      <c r="C1688" s="295" t="s">
        <v>522</v>
      </c>
      <c r="D1688" s="296">
        <v>10551.0</v>
      </c>
      <c r="E1688" s="295" t="s">
        <v>1017</v>
      </c>
      <c r="F1688" s="292"/>
      <c r="G1688" s="293" t="str">
        <f>IFNA(IF(VLOOKUP(RC_OUT[BLOCK],RC_IN[[BLOCK]:[BLOCK LOC]],2,FALSE)=0,"",VLOOKUP(RC_OUT[BLOCK],RC_IN[[BLOCK]:[BLOCK LOC]],2,FALSE)),"")</f>
        <v>C-18A</v>
      </c>
      <c r="I1688" s="263">
        <f>IFERROR(AVERAGEIFS(RC_IN[MC],RC_IN[BLOCK],RC_OUT[BLOCK]),"")</f>
        <v>10.536</v>
      </c>
      <c r="J1688" s="264">
        <f t="shared" si="1"/>
        <v>111165.336</v>
      </c>
      <c r="K1688" s="246"/>
      <c r="L1688" s="246"/>
      <c r="M1688" s="249"/>
      <c r="N1688" s="266">
        <f t="shared" si="3"/>
        <v>0</v>
      </c>
      <c r="O1688" s="247"/>
      <c r="P1688" s="247"/>
      <c r="Q1688" s="247"/>
      <c r="R1688" s="247"/>
      <c r="S1688" s="247"/>
      <c r="T1688" s="247"/>
      <c r="U1688" s="247"/>
      <c r="V1688" s="247"/>
      <c r="W1688" s="247"/>
      <c r="X1688" s="247"/>
    </row>
    <row r="1689">
      <c r="A1689" s="294">
        <v>46072.0</v>
      </c>
      <c r="B1689" s="295" t="s">
        <v>1162</v>
      </c>
      <c r="C1689" s="295" t="s">
        <v>691</v>
      </c>
      <c r="D1689" s="296">
        <v>10206.0</v>
      </c>
      <c r="E1689" s="295" t="s">
        <v>1017</v>
      </c>
      <c r="F1689" s="292"/>
      <c r="G1689" s="293" t="str">
        <f>IFNA(IF(VLOOKUP(RC_OUT[BLOCK],RC_IN[[BLOCK]:[BLOCK LOC]],2,FALSE)=0,"",VLOOKUP(RC_OUT[BLOCK],RC_IN[[BLOCK]:[BLOCK LOC]],2,FALSE)),"")</f>
        <v>A-3B</v>
      </c>
      <c r="I1689" s="263">
        <f>IFERROR(AVERAGEIFS(RC_IN[MC],RC_IN[BLOCK],RC_OUT[BLOCK]),"")</f>
        <v>9.051428571</v>
      </c>
      <c r="J1689" s="264">
        <f t="shared" si="1"/>
        <v>92378.88</v>
      </c>
      <c r="K1689" s="246"/>
      <c r="L1689" s="246"/>
      <c r="M1689" s="249"/>
      <c r="N1689" s="266">
        <f t="shared" si="3"/>
        <v>0</v>
      </c>
      <c r="O1689" s="247"/>
      <c r="P1689" s="247"/>
      <c r="Q1689" s="247"/>
      <c r="R1689" s="247"/>
      <c r="S1689" s="247"/>
      <c r="T1689" s="247"/>
      <c r="U1689" s="247"/>
      <c r="V1689" s="247"/>
      <c r="W1689" s="247"/>
      <c r="X1689" s="247"/>
    </row>
    <row r="1690">
      <c r="A1690" s="294"/>
      <c r="B1690" s="295"/>
      <c r="C1690" s="295"/>
      <c r="D1690" s="296"/>
      <c r="E1690" s="295"/>
      <c r="F1690" s="292"/>
      <c r="G1690" s="293" t="str">
        <f>IFNA(IF(VLOOKUP(RC_OUT[BLOCK],RC_IN[[BLOCK]:[BLOCK LOC]],2,FALSE)=0,"",VLOOKUP(RC_OUT[BLOCK],RC_IN[[BLOCK]:[BLOCK LOC]],2,FALSE)),"")</f>
        <v/>
      </c>
      <c r="I1690" s="263" t="str">
        <f>IFERROR(AVERAGEIFS(RC_IN[MC],RC_IN[BLOCK],RC_OUT[BLOCK]),"")</f>
        <v/>
      </c>
      <c r="J1690" s="264">
        <f t="shared" si="1"/>
        <v>0</v>
      </c>
      <c r="K1690" s="246"/>
      <c r="L1690" s="246"/>
      <c r="M1690" s="249"/>
      <c r="N1690" s="266">
        <f t="shared" si="3"/>
        <v>0</v>
      </c>
      <c r="O1690" s="247"/>
      <c r="P1690" s="247"/>
      <c r="Q1690" s="247"/>
      <c r="R1690" s="247"/>
      <c r="S1690" s="247"/>
      <c r="T1690" s="247"/>
      <c r="U1690" s="247"/>
      <c r="V1690" s="247"/>
      <c r="W1690" s="247"/>
      <c r="X1690" s="247"/>
    </row>
    <row r="1691">
      <c r="A1691" s="294">
        <v>46073.0</v>
      </c>
      <c r="B1691" s="295" t="s">
        <v>1162</v>
      </c>
      <c r="C1691" s="295" t="s">
        <v>515</v>
      </c>
      <c r="D1691" s="296">
        <v>1122.0</v>
      </c>
      <c r="E1691" s="295" t="s">
        <v>1017</v>
      </c>
      <c r="F1691" s="292"/>
      <c r="G1691" s="293" t="str">
        <f>IFNA(IF(VLOOKUP(RC_OUT[BLOCK],RC_IN[[BLOCK]:[BLOCK LOC]],2,FALSE)=0,"",VLOOKUP(RC_OUT[BLOCK],RC_IN[[BLOCK]:[BLOCK LOC]],2,FALSE)),"")</f>
        <v>A-19C</v>
      </c>
      <c r="I1691" s="263">
        <f>IFERROR(AVERAGEIFS(RC_IN[MC],RC_IN[BLOCK],RC_OUT[BLOCK]),"")</f>
        <v>11.85</v>
      </c>
      <c r="J1691" s="264">
        <f t="shared" si="1"/>
        <v>13295.7</v>
      </c>
      <c r="K1691" s="246"/>
      <c r="L1691" s="246"/>
      <c r="M1691" s="249"/>
      <c r="N1691" s="266">
        <f t="shared" si="3"/>
        <v>0</v>
      </c>
      <c r="O1691" s="247"/>
      <c r="P1691" s="247"/>
      <c r="Q1691" s="247"/>
      <c r="R1691" s="247"/>
      <c r="S1691" s="247"/>
      <c r="T1691" s="247"/>
      <c r="U1691" s="247"/>
      <c r="V1691" s="247"/>
      <c r="W1691" s="247"/>
      <c r="X1691" s="247"/>
    </row>
    <row r="1692">
      <c r="A1692" s="294">
        <v>46073.0</v>
      </c>
      <c r="B1692" s="295" t="s">
        <v>1162</v>
      </c>
      <c r="C1692" s="295" t="s">
        <v>676</v>
      </c>
      <c r="D1692" s="296">
        <v>2150.0</v>
      </c>
      <c r="E1692" s="295" t="s">
        <v>1017</v>
      </c>
      <c r="F1692" s="292"/>
      <c r="G1692" s="293" t="str">
        <f>IFNA(IF(VLOOKUP(RC_OUT[BLOCK],RC_IN[[BLOCK]:[BLOCK LOC]],2,FALSE)=0,"",VLOOKUP(RC_OUT[BLOCK],RC_IN[[BLOCK]:[BLOCK LOC]],2,FALSE)),"")</f>
        <v>C-10B</v>
      </c>
      <c r="I1692" s="263">
        <f>IFERROR(AVERAGEIFS(RC_IN[MC],RC_IN[BLOCK],RC_OUT[BLOCK]),"")</f>
        <v>9.57</v>
      </c>
      <c r="J1692" s="264">
        <f t="shared" si="1"/>
        <v>20575.5</v>
      </c>
      <c r="K1692" s="246"/>
      <c r="L1692" s="246"/>
      <c r="M1692" s="249"/>
      <c r="N1692" s="266">
        <f t="shared" si="3"/>
        <v>0</v>
      </c>
      <c r="O1692" s="247"/>
      <c r="P1692" s="247"/>
      <c r="Q1692" s="247"/>
      <c r="R1692" s="247"/>
      <c r="S1692" s="247"/>
      <c r="T1692" s="247"/>
      <c r="U1692" s="247"/>
      <c r="V1692" s="247"/>
      <c r="W1692" s="247"/>
      <c r="X1692" s="247"/>
    </row>
    <row r="1693">
      <c r="A1693" s="294">
        <v>46073.0</v>
      </c>
      <c r="B1693" s="295" t="s">
        <v>1162</v>
      </c>
      <c r="C1693" s="295" t="s">
        <v>726</v>
      </c>
      <c r="D1693" s="296">
        <v>5000.0</v>
      </c>
      <c r="E1693" s="295" t="s">
        <v>1017</v>
      </c>
      <c r="F1693" s="297" t="s">
        <v>1059</v>
      </c>
      <c r="G1693" s="293" t="str">
        <f>IFNA(IF(VLOOKUP(RC_OUT[BLOCK],RC_IN[[BLOCK]:[BLOCK LOC]],2,FALSE)=0,"",VLOOKUP(RC_OUT[BLOCK],RC_IN[[BLOCK]:[BLOCK LOC]],2,FALSE)),"")</f>
        <v/>
      </c>
      <c r="I1693" s="263">
        <f>IFERROR(AVERAGEIFS(RC_IN[MC],RC_IN[BLOCK],RC_OUT[BLOCK]),"")</f>
        <v>10.54</v>
      </c>
      <c r="J1693" s="264">
        <f t="shared" si="1"/>
        <v>52700</v>
      </c>
      <c r="K1693" s="246"/>
      <c r="L1693" s="246"/>
      <c r="M1693" s="249"/>
      <c r="N1693" s="266">
        <f t="shared" si="3"/>
        <v>0</v>
      </c>
      <c r="O1693" s="247"/>
      <c r="P1693" s="247"/>
      <c r="Q1693" s="247"/>
      <c r="R1693" s="247"/>
      <c r="S1693" s="247"/>
      <c r="T1693" s="247"/>
      <c r="U1693" s="247"/>
      <c r="V1693" s="247"/>
      <c r="W1693" s="247"/>
      <c r="X1693" s="247"/>
    </row>
    <row r="1694">
      <c r="A1694" s="294">
        <v>46073.0</v>
      </c>
      <c r="B1694" s="295" t="s">
        <v>1162</v>
      </c>
      <c r="C1694" s="295" t="s">
        <v>522</v>
      </c>
      <c r="D1694" s="296">
        <v>12935.0</v>
      </c>
      <c r="E1694" s="295" t="s">
        <v>1017</v>
      </c>
      <c r="F1694" s="292"/>
      <c r="G1694" s="293" t="str">
        <f>IFNA(IF(VLOOKUP(RC_OUT[BLOCK],RC_IN[[BLOCK]:[BLOCK LOC]],2,FALSE)=0,"",VLOOKUP(RC_OUT[BLOCK],RC_IN[[BLOCK]:[BLOCK LOC]],2,FALSE)),"")</f>
        <v>C-18A</v>
      </c>
      <c r="I1694" s="263">
        <f>IFERROR(AVERAGEIFS(RC_IN[MC],RC_IN[BLOCK],RC_OUT[BLOCK]),"")</f>
        <v>10.536</v>
      </c>
      <c r="J1694" s="264">
        <f t="shared" si="1"/>
        <v>136283.16</v>
      </c>
      <c r="K1694" s="246"/>
      <c r="L1694" s="246"/>
      <c r="M1694" s="249"/>
      <c r="N1694" s="266">
        <f t="shared" si="3"/>
        <v>0</v>
      </c>
      <c r="O1694" s="247"/>
      <c r="P1694" s="247"/>
      <c r="Q1694" s="247"/>
      <c r="R1694" s="247"/>
      <c r="S1694" s="247"/>
      <c r="T1694" s="247"/>
      <c r="U1694" s="247"/>
      <c r="V1694" s="247"/>
      <c r="W1694" s="247"/>
      <c r="X1694" s="247"/>
    </row>
    <row r="1695">
      <c r="A1695" s="294">
        <v>46073.0</v>
      </c>
      <c r="B1695" s="295" t="s">
        <v>1162</v>
      </c>
      <c r="C1695" s="295" t="s">
        <v>691</v>
      </c>
      <c r="D1695" s="296">
        <v>10662.0</v>
      </c>
      <c r="E1695" s="295" t="s">
        <v>1017</v>
      </c>
      <c r="F1695" s="292"/>
      <c r="G1695" s="293" t="str">
        <f>IFNA(IF(VLOOKUP(RC_OUT[BLOCK],RC_IN[[BLOCK]:[BLOCK LOC]],2,FALSE)=0,"",VLOOKUP(RC_OUT[BLOCK],RC_IN[[BLOCK]:[BLOCK LOC]],2,FALSE)),"")</f>
        <v>A-3B</v>
      </c>
      <c r="I1695" s="263">
        <f>IFERROR(AVERAGEIFS(RC_IN[MC],RC_IN[BLOCK],RC_OUT[BLOCK]),"")</f>
        <v>9.051428571</v>
      </c>
      <c r="J1695" s="264">
        <f t="shared" si="1"/>
        <v>96506.33143</v>
      </c>
      <c r="K1695" s="246"/>
      <c r="L1695" s="246"/>
      <c r="M1695" s="249"/>
      <c r="N1695" s="266">
        <f t="shared" si="3"/>
        <v>0</v>
      </c>
      <c r="O1695" s="247"/>
      <c r="P1695" s="247"/>
      <c r="Q1695" s="247"/>
      <c r="R1695" s="247"/>
      <c r="S1695" s="247"/>
      <c r="T1695" s="247"/>
      <c r="U1695" s="247"/>
      <c r="V1695" s="247"/>
      <c r="W1695" s="247"/>
      <c r="X1695" s="247"/>
    </row>
    <row r="1696">
      <c r="A1696" s="294"/>
      <c r="B1696" s="295"/>
      <c r="C1696" s="295"/>
      <c r="D1696" s="296"/>
      <c r="E1696" s="295"/>
      <c r="F1696" s="292"/>
      <c r="G1696" s="293" t="str">
        <f>IFNA(IF(VLOOKUP(RC_OUT[BLOCK],RC_IN[[BLOCK]:[BLOCK LOC]],2,FALSE)=0,"",VLOOKUP(RC_OUT[BLOCK],RC_IN[[BLOCK]:[BLOCK LOC]],2,FALSE)),"")</f>
        <v/>
      </c>
      <c r="I1696" s="263" t="str">
        <f>IFERROR(AVERAGEIFS(RC_IN[MC],RC_IN[BLOCK],RC_OUT[BLOCK]),"")</f>
        <v/>
      </c>
      <c r="J1696" s="264">
        <f t="shared" si="1"/>
        <v>0</v>
      </c>
      <c r="K1696" s="246"/>
      <c r="L1696" s="246"/>
      <c r="M1696" s="249"/>
      <c r="N1696" s="266">
        <f t="shared" si="3"/>
        <v>0</v>
      </c>
      <c r="O1696" s="247"/>
      <c r="P1696" s="247"/>
      <c r="Q1696" s="247"/>
      <c r="R1696" s="247"/>
      <c r="S1696" s="247"/>
      <c r="T1696" s="247"/>
      <c r="U1696" s="247"/>
      <c r="V1696" s="247"/>
      <c r="W1696" s="247"/>
      <c r="X1696" s="247"/>
    </row>
    <row r="1697">
      <c r="A1697" s="294">
        <v>46074.0</v>
      </c>
      <c r="B1697" s="295" t="s">
        <v>1162</v>
      </c>
      <c r="C1697" s="295" t="s">
        <v>515</v>
      </c>
      <c r="D1697" s="296">
        <v>1212.0</v>
      </c>
      <c r="E1697" s="295" t="s">
        <v>1017</v>
      </c>
      <c r="F1697" s="292"/>
      <c r="G1697" s="293" t="str">
        <f>IFNA(IF(VLOOKUP(RC_OUT[BLOCK],RC_IN[[BLOCK]:[BLOCK LOC]],2,FALSE)=0,"",VLOOKUP(RC_OUT[BLOCK],RC_IN[[BLOCK]:[BLOCK LOC]],2,FALSE)),"")</f>
        <v>A-19C</v>
      </c>
      <c r="I1697" s="263">
        <f>IFERROR(AVERAGEIFS(RC_IN[MC],RC_IN[BLOCK],RC_OUT[BLOCK]),"")</f>
        <v>11.85</v>
      </c>
      <c r="J1697" s="264">
        <f t="shared" si="1"/>
        <v>14362.2</v>
      </c>
      <c r="K1697" s="246"/>
      <c r="L1697" s="246"/>
      <c r="M1697" s="249"/>
      <c r="N1697" s="266">
        <f t="shared" si="3"/>
        <v>0</v>
      </c>
      <c r="O1697" s="247"/>
      <c r="P1697" s="247"/>
      <c r="Q1697" s="247"/>
      <c r="R1697" s="247"/>
      <c r="S1697" s="247"/>
      <c r="T1697" s="247"/>
      <c r="U1697" s="247"/>
      <c r="V1697" s="247"/>
      <c r="W1697" s="247"/>
      <c r="X1697" s="247"/>
    </row>
    <row r="1698">
      <c r="A1698" s="294">
        <v>46074.0</v>
      </c>
      <c r="B1698" s="295" t="s">
        <v>1162</v>
      </c>
      <c r="C1698" s="295" t="s">
        <v>676</v>
      </c>
      <c r="D1698" s="296">
        <v>2167.0</v>
      </c>
      <c r="E1698" s="295" t="s">
        <v>1017</v>
      </c>
      <c r="F1698" s="292"/>
      <c r="G1698" s="293" t="str">
        <f>IFNA(IF(VLOOKUP(RC_OUT[BLOCK],RC_IN[[BLOCK]:[BLOCK LOC]],2,FALSE)=0,"",VLOOKUP(RC_OUT[BLOCK],RC_IN[[BLOCK]:[BLOCK LOC]],2,FALSE)),"")</f>
        <v>C-10B</v>
      </c>
      <c r="I1698" s="263">
        <f>IFERROR(AVERAGEIFS(RC_IN[MC],RC_IN[BLOCK],RC_OUT[BLOCK]),"")</f>
        <v>9.57</v>
      </c>
      <c r="J1698" s="264">
        <f t="shared" si="1"/>
        <v>20738.19</v>
      </c>
      <c r="K1698" s="246"/>
      <c r="L1698" s="246"/>
      <c r="M1698" s="249"/>
      <c r="N1698" s="266">
        <f t="shared" si="3"/>
        <v>0</v>
      </c>
      <c r="O1698" s="247"/>
      <c r="P1698" s="247"/>
      <c r="Q1698" s="247"/>
      <c r="R1698" s="247"/>
      <c r="S1698" s="247"/>
      <c r="T1698" s="247"/>
      <c r="U1698" s="247"/>
      <c r="V1698" s="247"/>
      <c r="W1698" s="247"/>
      <c r="X1698" s="247"/>
    </row>
    <row r="1699">
      <c r="A1699" s="294">
        <v>46074.0</v>
      </c>
      <c r="B1699" s="295" t="s">
        <v>1162</v>
      </c>
      <c r="C1699" s="295" t="s">
        <v>522</v>
      </c>
      <c r="D1699" s="296">
        <v>10141.0</v>
      </c>
      <c r="E1699" s="295" t="s">
        <v>1017</v>
      </c>
      <c r="F1699" s="292"/>
      <c r="G1699" s="293" t="str">
        <f>IFNA(IF(VLOOKUP(RC_OUT[BLOCK],RC_IN[[BLOCK]:[BLOCK LOC]],2,FALSE)=0,"",VLOOKUP(RC_OUT[BLOCK],RC_IN[[BLOCK]:[BLOCK LOC]],2,FALSE)),"")</f>
        <v>C-18A</v>
      </c>
      <c r="I1699" s="263">
        <f>IFERROR(AVERAGEIFS(RC_IN[MC],RC_IN[BLOCK],RC_OUT[BLOCK]),"")</f>
        <v>10.536</v>
      </c>
      <c r="J1699" s="264">
        <f t="shared" si="1"/>
        <v>106845.576</v>
      </c>
      <c r="K1699" s="246"/>
      <c r="L1699" s="246"/>
      <c r="M1699" s="249"/>
      <c r="N1699" s="266">
        <f t="shared" si="3"/>
        <v>0</v>
      </c>
      <c r="O1699" s="247"/>
      <c r="P1699" s="247"/>
      <c r="Q1699" s="247"/>
      <c r="R1699" s="247"/>
      <c r="S1699" s="247"/>
      <c r="T1699" s="247"/>
      <c r="U1699" s="247"/>
      <c r="V1699" s="247"/>
      <c r="W1699" s="247"/>
      <c r="X1699" s="247"/>
    </row>
    <row r="1700">
      <c r="A1700" s="294">
        <v>46074.0</v>
      </c>
      <c r="B1700" s="295" t="s">
        <v>1162</v>
      </c>
      <c r="C1700" s="295" t="s">
        <v>691</v>
      </c>
      <c r="D1700" s="296">
        <v>6625.0</v>
      </c>
      <c r="E1700" s="295" t="s">
        <v>1017</v>
      </c>
      <c r="F1700" s="292"/>
      <c r="G1700" s="293" t="str">
        <f>IFNA(IF(VLOOKUP(RC_OUT[BLOCK],RC_IN[[BLOCK]:[BLOCK LOC]],2,FALSE)=0,"",VLOOKUP(RC_OUT[BLOCK],RC_IN[[BLOCK]:[BLOCK LOC]],2,FALSE)),"")</f>
        <v>A-3B</v>
      </c>
      <c r="I1700" s="263">
        <f>IFERROR(AVERAGEIFS(RC_IN[MC],RC_IN[BLOCK],RC_OUT[BLOCK]),"")</f>
        <v>9.051428571</v>
      </c>
      <c r="J1700" s="264">
        <f t="shared" si="1"/>
        <v>59965.71429</v>
      </c>
      <c r="K1700" s="246"/>
      <c r="L1700" s="246"/>
      <c r="M1700" s="249"/>
      <c r="N1700" s="266">
        <f t="shared" si="3"/>
        <v>0</v>
      </c>
      <c r="O1700" s="247"/>
      <c r="P1700" s="247"/>
      <c r="Q1700" s="247"/>
      <c r="R1700" s="247"/>
      <c r="S1700" s="247"/>
      <c r="T1700" s="247"/>
      <c r="U1700" s="247"/>
      <c r="V1700" s="247"/>
      <c r="W1700" s="247"/>
      <c r="X1700" s="247"/>
    </row>
    <row r="1701">
      <c r="A1701" s="294">
        <v>46074.0</v>
      </c>
      <c r="B1701" s="295" t="s">
        <v>1162</v>
      </c>
      <c r="C1701" s="295" t="s">
        <v>734</v>
      </c>
      <c r="D1701" s="296">
        <v>8825.0</v>
      </c>
      <c r="E1701" s="295" t="s">
        <v>1017</v>
      </c>
      <c r="F1701" s="292"/>
      <c r="G1701" s="293" t="str">
        <f>IFNA(IF(VLOOKUP(RC_OUT[BLOCK],RC_IN[[BLOCK]:[BLOCK LOC]],2,FALSE)=0,"",VLOOKUP(RC_OUT[BLOCK],RC_IN[[BLOCK]:[BLOCK LOC]],2,FALSE)),"")</f>
        <v/>
      </c>
      <c r="I1701" s="263">
        <f>IFERROR(AVERAGEIFS(RC_IN[MC],RC_IN[BLOCK],RC_OUT[BLOCK]),"")</f>
        <v>10.27</v>
      </c>
      <c r="J1701" s="264">
        <f t="shared" si="1"/>
        <v>90632.75</v>
      </c>
      <c r="K1701" s="246"/>
      <c r="L1701" s="246"/>
      <c r="M1701" s="249"/>
      <c r="N1701" s="266">
        <f t="shared" si="3"/>
        <v>0</v>
      </c>
      <c r="O1701" s="247"/>
      <c r="P1701" s="247"/>
      <c r="Q1701" s="247"/>
      <c r="R1701" s="247"/>
      <c r="S1701" s="247"/>
      <c r="T1701" s="247"/>
      <c r="U1701" s="247"/>
      <c r="V1701" s="247"/>
      <c r="W1701" s="247"/>
      <c r="X1701" s="247"/>
    </row>
    <row r="1702">
      <c r="A1702" s="294"/>
      <c r="B1702" s="295"/>
      <c r="C1702" s="295"/>
      <c r="D1702" s="296"/>
      <c r="E1702" s="295"/>
      <c r="F1702" s="292"/>
      <c r="G1702" s="293" t="str">
        <f>IFNA(IF(VLOOKUP(RC_OUT[BLOCK],RC_IN[[BLOCK]:[BLOCK LOC]],2,FALSE)=0,"",VLOOKUP(RC_OUT[BLOCK],RC_IN[[BLOCK]:[BLOCK LOC]],2,FALSE)),"")</f>
        <v/>
      </c>
      <c r="I1702" s="263" t="str">
        <f>IFERROR(AVERAGEIFS(RC_IN[MC],RC_IN[BLOCK],RC_OUT[BLOCK]),"")</f>
        <v/>
      </c>
      <c r="J1702" s="264">
        <f t="shared" si="1"/>
        <v>0</v>
      </c>
      <c r="K1702" s="246"/>
      <c r="L1702" s="246"/>
      <c r="M1702" s="249"/>
      <c r="N1702" s="266">
        <f t="shared" si="3"/>
        <v>0</v>
      </c>
      <c r="O1702" s="247"/>
      <c r="P1702" s="247"/>
      <c r="Q1702" s="247"/>
      <c r="R1702" s="247"/>
      <c r="S1702" s="247"/>
      <c r="T1702" s="247"/>
      <c r="U1702" s="247"/>
      <c r="V1702" s="247"/>
      <c r="W1702" s="247"/>
      <c r="X1702" s="247"/>
    </row>
    <row r="1703">
      <c r="A1703" s="294">
        <v>46076.0</v>
      </c>
      <c r="B1703" s="295" t="s">
        <v>1162</v>
      </c>
      <c r="C1703" s="295" t="s">
        <v>320</v>
      </c>
      <c r="D1703" s="296">
        <v>11833.0</v>
      </c>
      <c r="E1703" s="295" t="s">
        <v>1017</v>
      </c>
      <c r="F1703" s="292"/>
      <c r="G1703" s="293" t="str">
        <f>IFNA(IF(VLOOKUP(RC_OUT[BLOCK],RC_IN[[BLOCK]:[BLOCK LOC]],2,FALSE)=0,"",VLOOKUP(RC_OUT[BLOCK],RC_IN[[BLOCK]:[BLOCK LOC]],2,FALSE)),"")</f>
        <v>D-5C</v>
      </c>
      <c r="I1703" s="263">
        <f>IFERROR(AVERAGEIFS(RC_IN[MC],RC_IN[BLOCK],RC_OUT[BLOCK]),"")</f>
        <v>9.64</v>
      </c>
      <c r="J1703" s="264">
        <f t="shared" si="1"/>
        <v>114070.12</v>
      </c>
      <c r="K1703" s="246"/>
      <c r="L1703" s="246"/>
      <c r="M1703" s="249"/>
      <c r="N1703" s="266">
        <f t="shared" si="3"/>
        <v>0</v>
      </c>
      <c r="O1703" s="247"/>
      <c r="P1703" s="247"/>
      <c r="Q1703" s="247"/>
      <c r="R1703" s="247"/>
      <c r="S1703" s="247"/>
      <c r="T1703" s="247"/>
      <c r="U1703" s="247"/>
      <c r="V1703" s="247"/>
      <c r="W1703" s="247"/>
      <c r="X1703" s="247"/>
    </row>
    <row r="1704">
      <c r="A1704" s="294">
        <v>46076.0</v>
      </c>
      <c r="B1704" s="295" t="s">
        <v>1162</v>
      </c>
      <c r="C1704" s="295" t="s">
        <v>429</v>
      </c>
      <c r="D1704" s="296">
        <v>1405.0</v>
      </c>
      <c r="E1704" s="295" t="s">
        <v>1017</v>
      </c>
      <c r="F1704" s="292"/>
      <c r="G1704" s="293" t="str">
        <f>IFNA(IF(VLOOKUP(RC_OUT[BLOCK],RC_IN[[BLOCK]:[BLOCK LOC]],2,FALSE)=0,"",VLOOKUP(RC_OUT[BLOCK],RC_IN[[BLOCK]:[BLOCK LOC]],2,FALSE)),"")</f>
        <v>D-18D</v>
      </c>
      <c r="I1704" s="263">
        <f>IFERROR(AVERAGEIFS(RC_IN[MC],RC_IN[BLOCK],RC_OUT[BLOCK]),"")</f>
        <v>13.68857143</v>
      </c>
      <c r="J1704" s="264">
        <f t="shared" si="1"/>
        <v>19232.44286</v>
      </c>
      <c r="K1704" s="246"/>
      <c r="L1704" s="246"/>
      <c r="M1704" s="249"/>
      <c r="N1704" s="266">
        <f t="shared" si="3"/>
        <v>0</v>
      </c>
      <c r="O1704" s="247"/>
      <c r="P1704" s="247"/>
      <c r="Q1704" s="247"/>
      <c r="R1704" s="247"/>
      <c r="S1704" s="247"/>
      <c r="T1704" s="247"/>
      <c r="U1704" s="247"/>
      <c r="V1704" s="247"/>
      <c r="W1704" s="247"/>
      <c r="X1704" s="247"/>
    </row>
    <row r="1705">
      <c r="A1705" s="294">
        <v>46076.0</v>
      </c>
      <c r="B1705" s="295" t="s">
        <v>1162</v>
      </c>
      <c r="C1705" s="295" t="s">
        <v>515</v>
      </c>
      <c r="D1705" s="296" t="s">
        <v>1375</v>
      </c>
      <c r="E1705" s="295" t="s">
        <v>1017</v>
      </c>
      <c r="F1705" s="292"/>
      <c r="G1705" s="293" t="str">
        <f>IFNA(IF(VLOOKUP(RC_OUT[BLOCK],RC_IN[[BLOCK]:[BLOCK LOC]],2,FALSE)=0,"",VLOOKUP(RC_OUT[BLOCK],RC_IN[[BLOCK]:[BLOCK LOC]],2,FALSE)),"")</f>
        <v>A-19C</v>
      </c>
      <c r="I1705" s="263">
        <f>IFERROR(AVERAGEIFS(RC_IN[MC],RC_IN[BLOCK],RC_OUT[BLOCK]),"")</f>
        <v>11.85</v>
      </c>
      <c r="J1705" s="264" t="str">
        <f t="shared" si="1"/>
        <v>#VALUE!</v>
      </c>
      <c r="K1705" s="246"/>
      <c r="L1705" s="246"/>
      <c r="M1705" s="249"/>
      <c r="N1705" s="266">
        <f t="shared" si="3"/>
        <v>0</v>
      </c>
      <c r="O1705" s="247"/>
      <c r="P1705" s="247"/>
      <c r="Q1705" s="247"/>
      <c r="R1705" s="247"/>
      <c r="S1705" s="247"/>
      <c r="T1705" s="247"/>
      <c r="U1705" s="247"/>
      <c r="V1705" s="247"/>
      <c r="W1705" s="247"/>
      <c r="X1705" s="247"/>
    </row>
    <row r="1706">
      <c r="A1706" s="294">
        <v>46076.0</v>
      </c>
      <c r="B1706" s="295" t="s">
        <v>1162</v>
      </c>
      <c r="C1706" s="295" t="s">
        <v>676</v>
      </c>
      <c r="D1706" s="296">
        <v>4506.0</v>
      </c>
      <c r="E1706" s="295" t="s">
        <v>1017</v>
      </c>
      <c r="F1706" s="292"/>
      <c r="G1706" s="293" t="str">
        <f>IFNA(IF(VLOOKUP(RC_OUT[BLOCK],RC_IN[[BLOCK]:[BLOCK LOC]],2,FALSE)=0,"",VLOOKUP(RC_OUT[BLOCK],RC_IN[[BLOCK]:[BLOCK LOC]],2,FALSE)),"")</f>
        <v>C-10B</v>
      </c>
      <c r="I1706" s="263">
        <f>IFERROR(AVERAGEIFS(RC_IN[MC],RC_IN[BLOCK],RC_OUT[BLOCK]),"")</f>
        <v>9.57</v>
      </c>
      <c r="J1706" s="264">
        <f t="shared" si="1"/>
        <v>43122.42</v>
      </c>
      <c r="K1706" s="246"/>
      <c r="L1706" s="246"/>
      <c r="M1706" s="249"/>
      <c r="N1706" s="266">
        <f t="shared" si="3"/>
        <v>0</v>
      </c>
      <c r="O1706" s="247"/>
      <c r="P1706" s="247"/>
      <c r="Q1706" s="247"/>
      <c r="R1706" s="247"/>
      <c r="S1706" s="247"/>
      <c r="T1706" s="247"/>
      <c r="U1706" s="247"/>
      <c r="V1706" s="247"/>
      <c r="W1706" s="247"/>
      <c r="X1706" s="247"/>
    </row>
    <row r="1707">
      <c r="A1707" s="294">
        <v>46076.0</v>
      </c>
      <c r="B1707" s="295" t="s">
        <v>1162</v>
      </c>
      <c r="C1707" s="295" t="s">
        <v>691</v>
      </c>
      <c r="D1707" s="296">
        <v>12898.0</v>
      </c>
      <c r="E1707" s="295" t="s">
        <v>1017</v>
      </c>
      <c r="F1707" s="297" t="s">
        <v>1059</v>
      </c>
      <c r="G1707" s="293" t="str">
        <f>IFNA(IF(VLOOKUP(RC_OUT[BLOCK],RC_IN[[BLOCK]:[BLOCK LOC]],2,FALSE)=0,"",VLOOKUP(RC_OUT[BLOCK],RC_IN[[BLOCK]:[BLOCK LOC]],2,FALSE)),"")</f>
        <v>A-3B</v>
      </c>
      <c r="I1707" s="263">
        <f>IFERROR(AVERAGEIFS(RC_IN[MC],RC_IN[BLOCK],RC_OUT[BLOCK]),"")</f>
        <v>9.051428571</v>
      </c>
      <c r="J1707" s="264">
        <f t="shared" si="1"/>
        <v>116745.3257</v>
      </c>
      <c r="K1707" s="246"/>
      <c r="L1707" s="246"/>
      <c r="M1707" s="249"/>
      <c r="N1707" s="266">
        <f t="shared" si="3"/>
        <v>0</v>
      </c>
      <c r="O1707" s="247"/>
      <c r="P1707" s="247"/>
      <c r="Q1707" s="247"/>
      <c r="R1707" s="247"/>
      <c r="S1707" s="247"/>
      <c r="T1707" s="247"/>
      <c r="U1707" s="247"/>
      <c r="V1707" s="247"/>
      <c r="W1707" s="247"/>
      <c r="X1707" s="247"/>
    </row>
    <row r="1708">
      <c r="A1708" s="294">
        <v>46076.0</v>
      </c>
      <c r="B1708" s="295" t="s">
        <v>1162</v>
      </c>
      <c r="C1708" s="295" t="s">
        <v>522</v>
      </c>
      <c r="D1708" s="296">
        <v>3055.0</v>
      </c>
      <c r="E1708" s="295" t="s">
        <v>1017</v>
      </c>
      <c r="F1708" s="292"/>
      <c r="G1708" s="293" t="str">
        <f>IFNA(IF(VLOOKUP(RC_OUT[BLOCK],RC_IN[[BLOCK]:[BLOCK LOC]],2,FALSE)=0,"",VLOOKUP(RC_OUT[BLOCK],RC_IN[[BLOCK]:[BLOCK LOC]],2,FALSE)),"")</f>
        <v>C-18A</v>
      </c>
      <c r="I1708" s="263">
        <f>IFERROR(AVERAGEIFS(RC_IN[MC],RC_IN[BLOCK],RC_OUT[BLOCK]),"")</f>
        <v>10.536</v>
      </c>
      <c r="J1708" s="264">
        <f t="shared" si="1"/>
        <v>32187.48</v>
      </c>
      <c r="K1708" s="246"/>
      <c r="L1708" s="246"/>
      <c r="M1708" s="249"/>
      <c r="N1708" s="266">
        <f t="shared" si="3"/>
        <v>0</v>
      </c>
      <c r="O1708" s="247"/>
      <c r="P1708" s="247"/>
      <c r="Q1708" s="247"/>
      <c r="R1708" s="247"/>
      <c r="S1708" s="247"/>
      <c r="T1708" s="247"/>
      <c r="U1708" s="247"/>
      <c r="V1708" s="247"/>
      <c r="W1708" s="247"/>
      <c r="X1708" s="247"/>
    </row>
    <row r="1709">
      <c r="A1709" s="294">
        <v>46076.0</v>
      </c>
      <c r="B1709" s="295" t="s">
        <v>1162</v>
      </c>
      <c r="C1709" s="295" t="s">
        <v>734</v>
      </c>
      <c r="D1709" s="296">
        <v>10000.0</v>
      </c>
      <c r="E1709" s="295" t="s">
        <v>1017</v>
      </c>
      <c r="F1709" s="297" t="s">
        <v>1059</v>
      </c>
      <c r="G1709" s="293" t="str">
        <f>IFNA(IF(VLOOKUP(RC_OUT[BLOCK],RC_IN[[BLOCK]:[BLOCK LOC]],2,FALSE)=0,"",VLOOKUP(RC_OUT[BLOCK],RC_IN[[BLOCK]:[BLOCK LOC]],2,FALSE)),"")</f>
        <v/>
      </c>
      <c r="I1709" s="263">
        <f>IFERROR(AVERAGEIFS(RC_IN[MC],RC_IN[BLOCK],RC_OUT[BLOCK]),"")</f>
        <v>10.27</v>
      </c>
      <c r="J1709" s="264">
        <f t="shared" si="1"/>
        <v>102700</v>
      </c>
      <c r="K1709" s="246"/>
      <c r="L1709" s="246"/>
      <c r="M1709" s="249"/>
      <c r="N1709" s="266">
        <f t="shared" si="3"/>
        <v>0</v>
      </c>
      <c r="O1709" s="247"/>
      <c r="P1709" s="247"/>
      <c r="Q1709" s="247"/>
      <c r="R1709" s="247"/>
      <c r="S1709" s="247"/>
      <c r="T1709" s="247"/>
      <c r="U1709" s="247"/>
      <c r="V1709" s="247"/>
      <c r="W1709" s="247"/>
      <c r="X1709" s="247"/>
    </row>
    <row r="1710">
      <c r="A1710" s="294"/>
      <c r="B1710" s="295"/>
      <c r="C1710" s="295"/>
      <c r="D1710" s="296"/>
      <c r="E1710" s="295"/>
      <c r="F1710" s="292"/>
      <c r="G1710" s="293" t="str">
        <f>IFNA(IF(VLOOKUP(RC_OUT[BLOCK],RC_IN[[BLOCK]:[BLOCK LOC]],2,FALSE)=0,"",VLOOKUP(RC_OUT[BLOCK],RC_IN[[BLOCK]:[BLOCK LOC]],2,FALSE)),"")</f>
        <v/>
      </c>
      <c r="I1710" s="263" t="str">
        <f>IFERROR(AVERAGEIFS(RC_IN[MC],RC_IN[BLOCK],RC_OUT[BLOCK]),"")</f>
        <v/>
      </c>
      <c r="J1710" s="264">
        <f t="shared" si="1"/>
        <v>0</v>
      </c>
      <c r="K1710" s="246"/>
      <c r="L1710" s="246"/>
      <c r="M1710" s="249"/>
      <c r="N1710" s="266">
        <f t="shared" si="3"/>
        <v>0</v>
      </c>
      <c r="O1710" s="247"/>
      <c r="P1710" s="247"/>
      <c r="Q1710" s="247"/>
      <c r="R1710" s="247"/>
      <c r="S1710" s="247"/>
      <c r="T1710" s="247"/>
      <c r="U1710" s="247"/>
      <c r="V1710" s="247"/>
      <c r="W1710" s="247"/>
      <c r="X1710" s="247"/>
    </row>
    <row r="1711">
      <c r="A1711" s="294">
        <v>46077.0</v>
      </c>
      <c r="B1711" s="295" t="s">
        <v>1162</v>
      </c>
      <c r="C1711" s="295" t="s">
        <v>320</v>
      </c>
      <c r="D1711" s="296">
        <v>2391.0</v>
      </c>
      <c r="E1711" s="295" t="s">
        <v>1017</v>
      </c>
      <c r="F1711" s="292"/>
      <c r="G1711" s="293" t="str">
        <f>IFNA(IF(VLOOKUP(RC_OUT[BLOCK],RC_IN[[BLOCK]:[BLOCK LOC]],2,FALSE)=0,"",VLOOKUP(RC_OUT[BLOCK],RC_IN[[BLOCK]:[BLOCK LOC]],2,FALSE)),"")</f>
        <v>D-5C</v>
      </c>
      <c r="I1711" s="263">
        <f>IFERROR(AVERAGEIFS(RC_IN[MC],RC_IN[BLOCK],RC_OUT[BLOCK]),"")</f>
        <v>9.64</v>
      </c>
      <c r="J1711" s="264">
        <f t="shared" si="1"/>
        <v>23049.24</v>
      </c>
      <c r="K1711" s="246"/>
      <c r="L1711" s="246"/>
      <c r="M1711" s="249"/>
      <c r="N1711" s="266">
        <f t="shared" si="3"/>
        <v>0</v>
      </c>
      <c r="O1711" s="247"/>
      <c r="P1711" s="247"/>
      <c r="Q1711" s="247"/>
      <c r="R1711" s="247"/>
      <c r="S1711" s="247"/>
      <c r="T1711" s="247"/>
      <c r="U1711" s="247"/>
      <c r="V1711" s="247"/>
      <c r="W1711" s="247"/>
      <c r="X1711" s="247"/>
    </row>
    <row r="1712">
      <c r="A1712" s="294">
        <v>46077.0</v>
      </c>
      <c r="B1712" s="295" t="s">
        <v>1162</v>
      </c>
      <c r="C1712" s="295" t="s">
        <v>429</v>
      </c>
      <c r="D1712" s="296">
        <v>2975.0</v>
      </c>
      <c r="E1712" s="295" t="s">
        <v>1017</v>
      </c>
      <c r="F1712" s="292"/>
      <c r="G1712" s="293" t="str">
        <f>IFNA(IF(VLOOKUP(RC_OUT[BLOCK],RC_IN[[BLOCK]:[BLOCK LOC]],2,FALSE)=0,"",VLOOKUP(RC_OUT[BLOCK],RC_IN[[BLOCK]:[BLOCK LOC]],2,FALSE)),"")</f>
        <v>D-18D</v>
      </c>
      <c r="I1712" s="263">
        <f>IFERROR(AVERAGEIFS(RC_IN[MC],RC_IN[BLOCK],RC_OUT[BLOCK]),"")</f>
        <v>13.68857143</v>
      </c>
      <c r="J1712" s="264">
        <f t="shared" si="1"/>
        <v>40723.5</v>
      </c>
      <c r="K1712" s="246"/>
      <c r="L1712" s="246"/>
      <c r="M1712" s="249"/>
      <c r="N1712" s="266">
        <f t="shared" si="3"/>
        <v>0</v>
      </c>
      <c r="O1712" s="247"/>
      <c r="P1712" s="247"/>
      <c r="Q1712" s="247"/>
      <c r="R1712" s="247"/>
      <c r="S1712" s="247"/>
      <c r="T1712" s="247"/>
      <c r="U1712" s="247"/>
      <c r="V1712" s="247"/>
      <c r="W1712" s="247"/>
      <c r="X1712" s="247"/>
    </row>
    <row r="1713">
      <c r="A1713" s="294">
        <v>46077.0</v>
      </c>
      <c r="B1713" s="295" t="s">
        <v>1162</v>
      </c>
      <c r="C1713" s="295" t="s">
        <v>515</v>
      </c>
      <c r="D1713" s="296">
        <v>3663.0</v>
      </c>
      <c r="E1713" s="295" t="s">
        <v>1017</v>
      </c>
      <c r="F1713" s="292"/>
      <c r="G1713" s="293" t="str">
        <f>IFNA(IF(VLOOKUP(RC_OUT[BLOCK],RC_IN[[BLOCK]:[BLOCK LOC]],2,FALSE)=0,"",VLOOKUP(RC_OUT[BLOCK],RC_IN[[BLOCK]:[BLOCK LOC]],2,FALSE)),"")</f>
        <v>A-19C</v>
      </c>
      <c r="I1713" s="263">
        <f>IFERROR(AVERAGEIFS(RC_IN[MC],RC_IN[BLOCK],RC_OUT[BLOCK]),"")</f>
        <v>11.85</v>
      </c>
      <c r="J1713" s="264">
        <f t="shared" si="1"/>
        <v>43406.55</v>
      </c>
      <c r="K1713" s="246"/>
      <c r="L1713" s="246"/>
      <c r="M1713" s="249"/>
      <c r="N1713" s="266">
        <f t="shared" si="3"/>
        <v>0</v>
      </c>
      <c r="O1713" s="247"/>
      <c r="P1713" s="247"/>
      <c r="Q1713" s="247"/>
      <c r="R1713" s="247"/>
      <c r="S1713" s="247"/>
      <c r="T1713" s="247"/>
      <c r="U1713" s="247"/>
      <c r="V1713" s="247"/>
      <c r="W1713" s="247"/>
      <c r="X1713" s="247"/>
    </row>
    <row r="1714">
      <c r="A1714" s="294">
        <v>46077.0</v>
      </c>
      <c r="B1714" s="295" t="s">
        <v>1162</v>
      </c>
      <c r="C1714" s="295" t="s">
        <v>676</v>
      </c>
      <c r="D1714" s="296">
        <v>21517.0</v>
      </c>
      <c r="E1714" s="295" t="s">
        <v>1017</v>
      </c>
      <c r="F1714" s="292"/>
      <c r="G1714" s="293" t="str">
        <f>IFNA(IF(VLOOKUP(RC_OUT[BLOCK],RC_IN[[BLOCK]:[BLOCK LOC]],2,FALSE)=0,"",VLOOKUP(RC_OUT[BLOCK],RC_IN[[BLOCK]:[BLOCK LOC]],2,FALSE)),"")</f>
        <v>C-10B</v>
      </c>
      <c r="I1714" s="263">
        <f>IFERROR(AVERAGEIFS(RC_IN[MC],RC_IN[BLOCK],RC_OUT[BLOCK]),"")</f>
        <v>9.57</v>
      </c>
      <c r="J1714" s="264">
        <f t="shared" si="1"/>
        <v>205917.69</v>
      </c>
      <c r="K1714" s="246"/>
      <c r="L1714" s="246"/>
      <c r="M1714" s="249"/>
      <c r="N1714" s="266">
        <f t="shared" si="3"/>
        <v>0</v>
      </c>
      <c r="O1714" s="247"/>
      <c r="P1714" s="247"/>
      <c r="Q1714" s="247"/>
      <c r="R1714" s="247"/>
      <c r="S1714" s="247"/>
      <c r="T1714" s="247"/>
      <c r="U1714" s="247"/>
      <c r="V1714" s="247"/>
      <c r="W1714" s="247"/>
      <c r="X1714" s="247"/>
    </row>
    <row r="1715">
      <c r="A1715" s="294">
        <v>46077.0</v>
      </c>
      <c r="B1715" s="295" t="s">
        <v>1162</v>
      </c>
      <c r="C1715" s="295" t="s">
        <v>522</v>
      </c>
      <c r="D1715" s="296">
        <v>1925.0</v>
      </c>
      <c r="E1715" s="295" t="s">
        <v>1017</v>
      </c>
      <c r="F1715" s="292"/>
      <c r="G1715" s="293" t="str">
        <f>IFNA(IF(VLOOKUP(RC_OUT[BLOCK],RC_IN[[BLOCK]:[BLOCK LOC]],2,FALSE)=0,"",VLOOKUP(RC_OUT[BLOCK],RC_IN[[BLOCK]:[BLOCK LOC]],2,FALSE)),"")</f>
        <v>C-18A</v>
      </c>
      <c r="I1715" s="263">
        <f>IFERROR(AVERAGEIFS(RC_IN[MC],RC_IN[BLOCK],RC_OUT[BLOCK]),"")</f>
        <v>10.536</v>
      </c>
      <c r="J1715" s="264">
        <f t="shared" si="1"/>
        <v>20281.8</v>
      </c>
      <c r="K1715" s="246"/>
      <c r="L1715" s="246"/>
      <c r="M1715" s="249"/>
      <c r="N1715" s="266">
        <f t="shared" si="3"/>
        <v>0</v>
      </c>
      <c r="O1715" s="247"/>
      <c r="P1715" s="247"/>
      <c r="Q1715" s="247"/>
      <c r="R1715" s="247"/>
      <c r="S1715" s="247"/>
      <c r="T1715" s="247"/>
      <c r="U1715" s="247"/>
      <c r="V1715" s="247"/>
      <c r="W1715" s="247"/>
      <c r="X1715" s="247"/>
    </row>
    <row r="1716">
      <c r="A1716" s="294">
        <v>46077.0</v>
      </c>
      <c r="B1716" s="295" t="s">
        <v>1162</v>
      </c>
      <c r="C1716" s="295" t="s">
        <v>737</v>
      </c>
      <c r="D1716" s="296">
        <v>10000.0</v>
      </c>
      <c r="E1716" s="295" t="s">
        <v>1017</v>
      </c>
      <c r="F1716" s="292"/>
      <c r="G1716" s="293" t="str">
        <f>IFNA(IF(VLOOKUP(RC_OUT[BLOCK],RC_IN[[BLOCK]:[BLOCK LOC]],2,FALSE)=0,"",VLOOKUP(RC_OUT[BLOCK],RC_IN[[BLOCK]:[BLOCK LOC]],2,FALSE)),"")</f>
        <v/>
      </c>
      <c r="I1716" s="263">
        <f>IFERROR(AVERAGEIFS(RC_IN[MC],RC_IN[BLOCK],RC_OUT[BLOCK]),"")</f>
        <v>9.87</v>
      </c>
      <c r="J1716" s="264">
        <f t="shared" si="1"/>
        <v>98700</v>
      </c>
      <c r="K1716" s="246"/>
      <c r="L1716" s="246"/>
      <c r="M1716" s="249"/>
      <c r="N1716" s="266">
        <f t="shared" si="3"/>
        <v>0</v>
      </c>
      <c r="O1716" s="247"/>
      <c r="P1716" s="247"/>
      <c r="Q1716" s="247"/>
      <c r="R1716" s="247"/>
      <c r="S1716" s="247"/>
      <c r="T1716" s="247"/>
      <c r="U1716" s="247"/>
      <c r="V1716" s="247"/>
      <c r="W1716" s="247"/>
      <c r="X1716" s="247"/>
    </row>
    <row r="1717">
      <c r="A1717" s="294"/>
      <c r="B1717" s="295"/>
      <c r="C1717" s="295"/>
      <c r="D1717" s="296"/>
      <c r="E1717" s="295"/>
      <c r="F1717" s="292"/>
      <c r="G1717" s="293" t="str">
        <f>IFNA(IF(VLOOKUP(RC_OUT[BLOCK],RC_IN[[BLOCK]:[BLOCK LOC]],2,FALSE)=0,"",VLOOKUP(RC_OUT[BLOCK],RC_IN[[BLOCK]:[BLOCK LOC]],2,FALSE)),"")</f>
        <v/>
      </c>
      <c r="I1717" s="263" t="str">
        <f>IFERROR(AVERAGEIFS(RC_IN[MC],RC_IN[BLOCK],RC_OUT[BLOCK]),"")</f>
        <v/>
      </c>
      <c r="J1717" s="264">
        <f t="shared" si="1"/>
        <v>0</v>
      </c>
      <c r="K1717" s="246"/>
      <c r="L1717" s="246"/>
      <c r="M1717" s="249"/>
      <c r="N1717" s="266">
        <f t="shared" si="3"/>
        <v>0</v>
      </c>
      <c r="O1717" s="247"/>
      <c r="P1717" s="247"/>
      <c r="Q1717" s="247"/>
      <c r="R1717" s="247"/>
      <c r="S1717" s="247"/>
      <c r="T1717" s="247"/>
      <c r="U1717" s="247"/>
      <c r="V1717" s="247"/>
      <c r="W1717" s="247"/>
      <c r="X1717" s="247"/>
    </row>
    <row r="1718">
      <c r="A1718" s="294">
        <v>46078.0</v>
      </c>
      <c r="B1718" s="295" t="s">
        <v>1162</v>
      </c>
      <c r="C1718" s="295" t="s">
        <v>320</v>
      </c>
      <c r="D1718" s="296">
        <v>2682.0</v>
      </c>
      <c r="E1718" s="295" t="s">
        <v>1017</v>
      </c>
      <c r="F1718" s="292"/>
      <c r="G1718" s="293" t="str">
        <f>IFNA(IF(VLOOKUP(RC_OUT[BLOCK],RC_IN[[BLOCK]:[BLOCK LOC]],2,FALSE)=0,"",VLOOKUP(RC_OUT[BLOCK],RC_IN[[BLOCK]:[BLOCK LOC]],2,FALSE)),"")</f>
        <v>D-5C</v>
      </c>
      <c r="I1718" s="263">
        <f>IFERROR(AVERAGEIFS(RC_IN[MC],RC_IN[BLOCK],RC_OUT[BLOCK]),"")</f>
        <v>9.64</v>
      </c>
      <c r="J1718" s="264">
        <f t="shared" si="1"/>
        <v>25854.48</v>
      </c>
      <c r="K1718" s="246"/>
      <c r="L1718" s="246"/>
      <c r="M1718" s="249"/>
      <c r="N1718" s="266">
        <f t="shared" si="3"/>
        <v>0</v>
      </c>
      <c r="O1718" s="247"/>
      <c r="P1718" s="247"/>
      <c r="Q1718" s="247"/>
      <c r="R1718" s="247"/>
      <c r="S1718" s="247"/>
      <c r="T1718" s="247"/>
      <c r="U1718" s="247"/>
      <c r="V1718" s="247"/>
      <c r="W1718" s="247"/>
      <c r="X1718" s="247"/>
    </row>
    <row r="1719">
      <c r="A1719" s="294">
        <v>46078.0</v>
      </c>
      <c r="B1719" s="295" t="s">
        <v>1162</v>
      </c>
      <c r="C1719" s="295" t="s">
        <v>429</v>
      </c>
      <c r="D1719" s="296">
        <v>3045.0</v>
      </c>
      <c r="E1719" s="295" t="s">
        <v>1017</v>
      </c>
      <c r="F1719" s="292"/>
      <c r="G1719" s="293" t="str">
        <f>IFNA(IF(VLOOKUP(RC_OUT[BLOCK],RC_IN[[BLOCK]:[BLOCK LOC]],2,FALSE)=0,"",VLOOKUP(RC_OUT[BLOCK],RC_IN[[BLOCK]:[BLOCK LOC]],2,FALSE)),"")</f>
        <v>D-18D</v>
      </c>
      <c r="I1719" s="263">
        <f>IFERROR(AVERAGEIFS(RC_IN[MC],RC_IN[BLOCK],RC_OUT[BLOCK]),"")</f>
        <v>13.68857143</v>
      </c>
      <c r="J1719" s="264">
        <f t="shared" si="1"/>
        <v>41681.7</v>
      </c>
      <c r="K1719" s="246"/>
      <c r="L1719" s="246"/>
      <c r="M1719" s="249"/>
      <c r="N1719" s="266">
        <f t="shared" si="3"/>
        <v>0</v>
      </c>
      <c r="O1719" s="247"/>
      <c r="P1719" s="247"/>
      <c r="Q1719" s="247"/>
      <c r="R1719" s="247"/>
      <c r="S1719" s="247"/>
      <c r="T1719" s="247"/>
      <c r="U1719" s="247"/>
      <c r="V1719" s="247"/>
      <c r="W1719" s="247"/>
      <c r="X1719" s="247"/>
    </row>
    <row r="1720">
      <c r="A1720" s="294">
        <v>46078.0</v>
      </c>
      <c r="B1720" s="295" t="s">
        <v>1162</v>
      </c>
      <c r="C1720" s="295" t="s">
        <v>515</v>
      </c>
      <c r="D1720" s="296">
        <v>4545.0</v>
      </c>
      <c r="E1720" s="295" t="s">
        <v>1017</v>
      </c>
      <c r="F1720" s="292"/>
      <c r="G1720" s="293" t="str">
        <f>IFNA(IF(VLOOKUP(RC_OUT[BLOCK],RC_IN[[BLOCK]:[BLOCK LOC]],2,FALSE)=0,"",VLOOKUP(RC_OUT[BLOCK],RC_IN[[BLOCK]:[BLOCK LOC]],2,FALSE)),"")</f>
        <v>A-19C</v>
      </c>
      <c r="I1720" s="263">
        <f>IFERROR(AVERAGEIFS(RC_IN[MC],RC_IN[BLOCK],RC_OUT[BLOCK]),"")</f>
        <v>11.85</v>
      </c>
      <c r="J1720" s="264">
        <f t="shared" si="1"/>
        <v>53858.25</v>
      </c>
      <c r="K1720" s="246"/>
      <c r="L1720" s="246"/>
      <c r="M1720" s="249"/>
      <c r="N1720" s="266">
        <f t="shared" si="3"/>
        <v>0</v>
      </c>
      <c r="O1720" s="247"/>
      <c r="P1720" s="247"/>
      <c r="Q1720" s="247"/>
      <c r="R1720" s="247"/>
      <c r="S1720" s="247"/>
      <c r="T1720" s="247"/>
      <c r="U1720" s="247"/>
      <c r="V1720" s="247"/>
      <c r="W1720" s="247"/>
      <c r="X1720" s="247"/>
    </row>
    <row r="1721">
      <c r="A1721" s="294">
        <v>46078.0</v>
      </c>
      <c r="B1721" s="295" t="s">
        <v>1162</v>
      </c>
      <c r="C1721" s="295" t="s">
        <v>676</v>
      </c>
      <c r="D1721" s="296">
        <v>1593.0</v>
      </c>
      <c r="E1721" s="295" t="s">
        <v>1017</v>
      </c>
      <c r="F1721" s="297" t="s">
        <v>1059</v>
      </c>
      <c r="G1721" s="293" t="str">
        <f>IFNA(IF(VLOOKUP(RC_OUT[BLOCK],RC_IN[[BLOCK]:[BLOCK LOC]],2,FALSE)=0,"",VLOOKUP(RC_OUT[BLOCK],RC_IN[[BLOCK]:[BLOCK LOC]],2,FALSE)),"")</f>
        <v>C-10B</v>
      </c>
      <c r="I1721" s="263">
        <f>IFERROR(AVERAGEIFS(RC_IN[MC],RC_IN[BLOCK],RC_OUT[BLOCK]),"")</f>
        <v>9.57</v>
      </c>
      <c r="J1721" s="264">
        <f t="shared" si="1"/>
        <v>15245.01</v>
      </c>
      <c r="K1721" s="246"/>
      <c r="L1721" s="246"/>
      <c r="M1721" s="249"/>
      <c r="N1721" s="266">
        <f t="shared" si="3"/>
        <v>0</v>
      </c>
      <c r="O1721" s="247"/>
      <c r="P1721" s="247"/>
      <c r="Q1721" s="247"/>
      <c r="R1721" s="247"/>
      <c r="S1721" s="247"/>
      <c r="T1721" s="247"/>
      <c r="U1721" s="247"/>
      <c r="V1721" s="247"/>
      <c r="W1721" s="247"/>
      <c r="X1721" s="247"/>
    </row>
    <row r="1722">
      <c r="A1722" s="294">
        <v>46078.0</v>
      </c>
      <c r="B1722" s="295" t="s">
        <v>1162</v>
      </c>
      <c r="C1722" s="295" t="s">
        <v>522</v>
      </c>
      <c r="D1722" s="296">
        <v>9835.0</v>
      </c>
      <c r="E1722" s="295" t="s">
        <v>1017</v>
      </c>
      <c r="F1722" s="292"/>
      <c r="G1722" s="293" t="str">
        <f>IFNA(IF(VLOOKUP(RC_OUT[BLOCK],RC_IN[[BLOCK]:[BLOCK LOC]],2,FALSE)=0,"",VLOOKUP(RC_OUT[BLOCK],RC_IN[[BLOCK]:[BLOCK LOC]],2,FALSE)),"")</f>
        <v>C-18A</v>
      </c>
      <c r="I1722" s="263">
        <f>IFERROR(AVERAGEIFS(RC_IN[MC],RC_IN[BLOCK],RC_OUT[BLOCK]),"")</f>
        <v>10.536</v>
      </c>
      <c r="J1722" s="264">
        <f t="shared" si="1"/>
        <v>103621.56</v>
      </c>
      <c r="K1722" s="246"/>
      <c r="L1722" s="246"/>
      <c r="M1722" s="249"/>
      <c r="N1722" s="266">
        <f t="shared" si="3"/>
        <v>0</v>
      </c>
      <c r="O1722" s="247"/>
      <c r="P1722" s="247"/>
      <c r="Q1722" s="247"/>
      <c r="R1722" s="247"/>
      <c r="S1722" s="247"/>
      <c r="T1722" s="247"/>
      <c r="U1722" s="247"/>
      <c r="V1722" s="247"/>
      <c r="W1722" s="247"/>
      <c r="X1722" s="247"/>
    </row>
    <row r="1723">
      <c r="A1723" s="294">
        <v>46078.0</v>
      </c>
      <c r="B1723" s="295" t="s">
        <v>1162</v>
      </c>
      <c r="C1723" s="295" t="s">
        <v>737</v>
      </c>
      <c r="D1723" s="296">
        <v>8880.0</v>
      </c>
      <c r="E1723" s="295" t="s">
        <v>1017</v>
      </c>
      <c r="F1723" s="297" t="s">
        <v>1059</v>
      </c>
      <c r="G1723" s="293" t="str">
        <f>IFNA(IF(VLOOKUP(RC_OUT[BLOCK],RC_IN[[BLOCK]:[BLOCK LOC]],2,FALSE)=0,"",VLOOKUP(RC_OUT[BLOCK],RC_IN[[BLOCK]:[BLOCK LOC]],2,FALSE)),"")</f>
        <v/>
      </c>
      <c r="I1723" s="263">
        <f>IFERROR(AVERAGEIFS(RC_IN[MC],RC_IN[BLOCK],RC_OUT[BLOCK]),"")</f>
        <v>9.87</v>
      </c>
      <c r="J1723" s="264">
        <f t="shared" si="1"/>
        <v>87645.6</v>
      </c>
      <c r="K1723" s="246"/>
      <c r="L1723" s="246"/>
      <c r="M1723" s="249"/>
      <c r="N1723" s="266">
        <f t="shared" si="3"/>
        <v>0</v>
      </c>
      <c r="O1723" s="247"/>
      <c r="P1723" s="247"/>
      <c r="Q1723" s="247"/>
      <c r="R1723" s="247"/>
      <c r="S1723" s="247"/>
      <c r="T1723" s="247"/>
      <c r="U1723" s="247"/>
      <c r="V1723" s="247"/>
      <c r="W1723" s="247"/>
      <c r="X1723" s="247"/>
    </row>
    <row r="1724">
      <c r="A1724" s="294"/>
      <c r="B1724" s="295"/>
      <c r="C1724" s="295"/>
      <c r="D1724" s="296"/>
      <c r="E1724" s="295"/>
      <c r="F1724" s="292"/>
      <c r="G1724" s="293" t="str">
        <f>IFNA(IF(VLOOKUP(RC_OUT[BLOCK],RC_IN[[BLOCK]:[BLOCK LOC]],2,FALSE)=0,"",VLOOKUP(RC_OUT[BLOCK],RC_IN[[BLOCK]:[BLOCK LOC]],2,FALSE)),"")</f>
        <v/>
      </c>
      <c r="I1724" s="263" t="str">
        <f>IFERROR(AVERAGEIFS(RC_IN[MC],RC_IN[BLOCK],RC_OUT[BLOCK]),"")</f>
        <v/>
      </c>
      <c r="J1724" s="264">
        <f t="shared" si="1"/>
        <v>0</v>
      </c>
      <c r="K1724" s="246"/>
      <c r="L1724" s="246"/>
      <c r="M1724" s="249"/>
      <c r="N1724" s="266">
        <f t="shared" si="3"/>
        <v>0</v>
      </c>
      <c r="O1724" s="247"/>
      <c r="P1724" s="247"/>
      <c r="Q1724" s="247"/>
      <c r="R1724" s="247"/>
      <c r="S1724" s="247"/>
      <c r="T1724" s="247"/>
      <c r="U1724" s="247"/>
      <c r="V1724" s="247"/>
      <c r="W1724" s="247"/>
      <c r="X1724" s="247"/>
    </row>
    <row r="1725">
      <c r="A1725" s="294">
        <v>46079.0</v>
      </c>
      <c r="B1725" s="295" t="s">
        <v>1162</v>
      </c>
      <c r="C1725" s="295" t="s">
        <v>320</v>
      </c>
      <c r="D1725" s="296">
        <v>5397.0</v>
      </c>
      <c r="E1725" s="295" t="s">
        <v>1017</v>
      </c>
      <c r="F1725" s="292"/>
      <c r="G1725" s="293" t="str">
        <f>IFNA(IF(VLOOKUP(RC_OUT[BLOCK],RC_IN[[BLOCK]:[BLOCK LOC]],2,FALSE)=0,"",VLOOKUP(RC_OUT[BLOCK],RC_IN[[BLOCK]:[BLOCK LOC]],2,FALSE)),"")</f>
        <v>D-5C</v>
      </c>
      <c r="I1725" s="263">
        <f>IFERROR(AVERAGEIFS(RC_IN[MC],RC_IN[BLOCK],RC_OUT[BLOCK]),"")</f>
        <v>9.64</v>
      </c>
      <c r="J1725" s="264">
        <f t="shared" si="1"/>
        <v>52027.08</v>
      </c>
      <c r="K1725" s="246"/>
      <c r="L1725" s="246"/>
      <c r="M1725" s="249"/>
      <c r="N1725" s="266">
        <f t="shared" si="3"/>
        <v>0</v>
      </c>
      <c r="O1725" s="247"/>
      <c r="P1725" s="247"/>
      <c r="Q1725" s="247"/>
      <c r="R1725" s="247"/>
      <c r="S1725" s="247"/>
      <c r="T1725" s="247"/>
      <c r="U1725" s="247"/>
      <c r="V1725" s="247"/>
      <c r="W1725" s="247"/>
      <c r="X1725" s="247"/>
    </row>
    <row r="1726">
      <c r="A1726" s="294">
        <v>46079.0</v>
      </c>
      <c r="B1726" s="295" t="s">
        <v>1162</v>
      </c>
      <c r="C1726" s="295" t="s">
        <v>429</v>
      </c>
      <c r="D1726" s="296">
        <v>2687.0</v>
      </c>
      <c r="E1726" s="295" t="s">
        <v>1017</v>
      </c>
      <c r="F1726" s="292"/>
      <c r="G1726" s="293" t="str">
        <f>IFNA(IF(VLOOKUP(RC_OUT[BLOCK],RC_IN[[BLOCK]:[BLOCK LOC]],2,FALSE)=0,"",VLOOKUP(RC_OUT[BLOCK],RC_IN[[BLOCK]:[BLOCK LOC]],2,FALSE)),"")</f>
        <v>D-18D</v>
      </c>
      <c r="I1726" s="263">
        <f>IFERROR(AVERAGEIFS(RC_IN[MC],RC_IN[BLOCK],RC_OUT[BLOCK]),"")</f>
        <v>13.68857143</v>
      </c>
      <c r="J1726" s="264">
        <f t="shared" si="1"/>
        <v>36781.19143</v>
      </c>
      <c r="K1726" s="246"/>
      <c r="L1726" s="246"/>
      <c r="M1726" s="249"/>
      <c r="N1726" s="266">
        <f t="shared" si="3"/>
        <v>0</v>
      </c>
      <c r="O1726" s="247"/>
      <c r="P1726" s="247"/>
      <c r="Q1726" s="247"/>
      <c r="R1726" s="247"/>
      <c r="S1726" s="247"/>
      <c r="T1726" s="247"/>
      <c r="U1726" s="247"/>
      <c r="V1726" s="247"/>
      <c r="W1726" s="247"/>
      <c r="X1726" s="247"/>
    </row>
    <row r="1727">
      <c r="A1727" s="294">
        <v>46079.0</v>
      </c>
      <c r="B1727" s="295" t="s">
        <v>1162</v>
      </c>
      <c r="C1727" s="295" t="s">
        <v>515</v>
      </c>
      <c r="D1727" s="296">
        <v>4606.0</v>
      </c>
      <c r="E1727" s="295" t="s">
        <v>1017</v>
      </c>
      <c r="F1727" s="292"/>
      <c r="G1727" s="293" t="str">
        <f>IFNA(IF(VLOOKUP(RC_OUT[BLOCK],RC_IN[[BLOCK]:[BLOCK LOC]],2,FALSE)=0,"",VLOOKUP(RC_OUT[BLOCK],RC_IN[[BLOCK]:[BLOCK LOC]],2,FALSE)),"")</f>
        <v>A-19C</v>
      </c>
      <c r="I1727" s="263">
        <f>IFERROR(AVERAGEIFS(RC_IN[MC],RC_IN[BLOCK],RC_OUT[BLOCK]),"")</f>
        <v>11.85</v>
      </c>
      <c r="J1727" s="264">
        <f t="shared" si="1"/>
        <v>54581.1</v>
      </c>
      <c r="K1727" s="246"/>
      <c r="L1727" s="246"/>
      <c r="M1727" s="249"/>
      <c r="N1727" s="266">
        <f t="shared" si="3"/>
        <v>0</v>
      </c>
      <c r="O1727" s="247"/>
      <c r="P1727" s="247"/>
      <c r="Q1727" s="247"/>
      <c r="R1727" s="247"/>
      <c r="S1727" s="247"/>
      <c r="T1727" s="247"/>
      <c r="U1727" s="247"/>
      <c r="V1727" s="247"/>
      <c r="W1727" s="247"/>
      <c r="X1727" s="247"/>
    </row>
    <row r="1728">
      <c r="A1728" s="294">
        <v>46079.0</v>
      </c>
      <c r="B1728" s="295" t="s">
        <v>1162</v>
      </c>
      <c r="C1728" s="295" t="s">
        <v>522</v>
      </c>
      <c r="D1728" s="296">
        <v>10456.0</v>
      </c>
      <c r="E1728" s="295" t="s">
        <v>1017</v>
      </c>
      <c r="F1728" s="292"/>
      <c r="G1728" s="293" t="str">
        <f>IFNA(IF(VLOOKUP(RC_OUT[BLOCK],RC_IN[[BLOCK]:[BLOCK LOC]],2,FALSE)=0,"",VLOOKUP(RC_OUT[BLOCK],RC_IN[[BLOCK]:[BLOCK LOC]],2,FALSE)),"")</f>
        <v>C-18A</v>
      </c>
      <c r="I1728" s="263">
        <f>IFERROR(AVERAGEIFS(RC_IN[MC],RC_IN[BLOCK],RC_OUT[BLOCK]),"")</f>
        <v>10.536</v>
      </c>
      <c r="J1728" s="264">
        <f t="shared" si="1"/>
        <v>110164.416</v>
      </c>
      <c r="K1728" s="246"/>
      <c r="L1728" s="246"/>
      <c r="M1728" s="249"/>
      <c r="N1728" s="266">
        <f t="shared" si="3"/>
        <v>0</v>
      </c>
      <c r="O1728" s="247"/>
      <c r="P1728" s="247"/>
      <c r="Q1728" s="247"/>
      <c r="R1728" s="247"/>
      <c r="S1728" s="247"/>
      <c r="T1728" s="247"/>
      <c r="U1728" s="247"/>
      <c r="V1728" s="247"/>
      <c r="W1728" s="247"/>
      <c r="X1728" s="247"/>
    </row>
    <row r="1729">
      <c r="A1729" s="294">
        <v>46079.0</v>
      </c>
      <c r="B1729" s="295" t="s">
        <v>1162</v>
      </c>
      <c r="C1729" s="295" t="s">
        <v>744</v>
      </c>
      <c r="D1729" s="296">
        <v>9405.0</v>
      </c>
      <c r="E1729" s="295" t="s">
        <v>1017</v>
      </c>
      <c r="F1729" s="292"/>
      <c r="G1729" s="293" t="str">
        <f>IFNA(IF(VLOOKUP(RC_OUT[BLOCK],RC_IN[[BLOCK]:[BLOCK LOC]],2,FALSE)=0,"",VLOOKUP(RC_OUT[BLOCK],RC_IN[[BLOCK]:[BLOCK LOC]],2,FALSE)),"")</f>
        <v/>
      </c>
      <c r="I1729" s="263">
        <f>IFERROR(AVERAGEIFS(RC_IN[MC],RC_IN[BLOCK],RC_OUT[BLOCK]),"")</f>
        <v>10.34</v>
      </c>
      <c r="J1729" s="264">
        <f t="shared" si="1"/>
        <v>97247.7</v>
      </c>
      <c r="K1729" s="246"/>
      <c r="L1729" s="246"/>
      <c r="M1729" s="249"/>
      <c r="N1729" s="266">
        <f t="shared" si="3"/>
        <v>0</v>
      </c>
      <c r="O1729" s="247"/>
      <c r="P1729" s="247"/>
      <c r="Q1729" s="247"/>
      <c r="R1729" s="247"/>
      <c r="S1729" s="247"/>
      <c r="T1729" s="247"/>
      <c r="U1729" s="247"/>
      <c r="V1729" s="247"/>
      <c r="W1729" s="247"/>
      <c r="X1729" s="247"/>
    </row>
    <row r="1730">
      <c r="A1730" s="294"/>
      <c r="B1730" s="295"/>
      <c r="C1730" s="295"/>
      <c r="D1730" s="296"/>
      <c r="E1730" s="295"/>
      <c r="F1730" s="292"/>
      <c r="G1730" s="293" t="str">
        <f>IFNA(IF(VLOOKUP(RC_OUT[BLOCK],RC_IN[[BLOCK]:[BLOCK LOC]],2,FALSE)=0,"",VLOOKUP(RC_OUT[BLOCK],RC_IN[[BLOCK]:[BLOCK LOC]],2,FALSE)),"")</f>
        <v/>
      </c>
      <c r="I1730" s="263" t="str">
        <f>IFERROR(AVERAGEIFS(RC_IN[MC],RC_IN[BLOCK],RC_OUT[BLOCK]),"")</f>
        <v/>
      </c>
      <c r="J1730" s="264">
        <f t="shared" si="1"/>
        <v>0</v>
      </c>
      <c r="K1730" s="246"/>
      <c r="L1730" s="246"/>
      <c r="M1730" s="249"/>
      <c r="N1730" s="266">
        <f t="shared" si="3"/>
        <v>0</v>
      </c>
      <c r="O1730" s="247"/>
      <c r="P1730" s="247"/>
      <c r="Q1730" s="247"/>
      <c r="R1730" s="247"/>
      <c r="S1730" s="247"/>
      <c r="T1730" s="247"/>
      <c r="U1730" s="247"/>
      <c r="V1730" s="247"/>
      <c r="W1730" s="247"/>
      <c r="X1730" s="247"/>
    </row>
    <row r="1731">
      <c r="A1731" s="294">
        <v>46078.0</v>
      </c>
      <c r="B1731" s="295" t="s">
        <v>1147</v>
      </c>
      <c r="C1731" s="295" t="s">
        <v>563</v>
      </c>
      <c r="D1731" s="296">
        <v>8010.0</v>
      </c>
      <c r="E1731" s="295" t="s">
        <v>1374</v>
      </c>
      <c r="F1731" s="292"/>
      <c r="G1731" s="293" t="str">
        <f>IFNA(IF(VLOOKUP(RC_OUT[BLOCK],RC_IN[[BLOCK]:[BLOCK LOC]],2,FALSE)=0,"",VLOOKUP(RC_OUT[BLOCK],RC_IN[[BLOCK]:[BLOCK LOC]],2,FALSE)),"")</f>
        <v>D-18C</v>
      </c>
      <c r="I1731" s="263">
        <f>IFERROR(AVERAGEIFS(RC_IN[MC],RC_IN[BLOCK],RC_OUT[BLOCK]),"")</f>
        <v>14.035</v>
      </c>
      <c r="J1731" s="264">
        <f t="shared" si="1"/>
        <v>112420.35</v>
      </c>
      <c r="K1731" s="246"/>
      <c r="L1731" s="246"/>
      <c r="M1731" s="249"/>
      <c r="N1731" s="266">
        <f t="shared" si="3"/>
        <v>0</v>
      </c>
      <c r="O1731" s="247"/>
      <c r="P1731" s="247"/>
      <c r="Q1731" s="247"/>
      <c r="R1731" s="247"/>
      <c r="S1731" s="247"/>
      <c r="T1731" s="247"/>
      <c r="U1731" s="247"/>
      <c r="V1731" s="247"/>
      <c r="W1731" s="247"/>
      <c r="X1731" s="247"/>
    </row>
    <row r="1732">
      <c r="A1732" s="294">
        <v>46079.0</v>
      </c>
      <c r="B1732" s="295" t="s">
        <v>1147</v>
      </c>
      <c r="C1732" s="295" t="s">
        <v>563</v>
      </c>
      <c r="D1732" s="296">
        <v>7920.0</v>
      </c>
      <c r="E1732" s="295" t="s">
        <v>1374</v>
      </c>
      <c r="F1732" s="292"/>
      <c r="G1732" s="293" t="str">
        <f>IFNA(IF(VLOOKUP(RC_OUT[BLOCK],RC_IN[[BLOCK]:[BLOCK LOC]],2,FALSE)=0,"",VLOOKUP(RC_OUT[BLOCK],RC_IN[[BLOCK]:[BLOCK LOC]],2,FALSE)),"")</f>
        <v>D-18C</v>
      </c>
      <c r="I1732" s="263">
        <f>IFERROR(AVERAGEIFS(RC_IN[MC],RC_IN[BLOCK],RC_OUT[BLOCK]),"")</f>
        <v>14.035</v>
      </c>
      <c r="J1732" s="264">
        <f t="shared" si="1"/>
        <v>111157.2</v>
      </c>
      <c r="K1732" s="246"/>
      <c r="L1732" s="246"/>
      <c r="M1732" s="249"/>
      <c r="N1732" s="266">
        <f t="shared" si="3"/>
        <v>0</v>
      </c>
      <c r="O1732" s="247"/>
      <c r="P1732" s="247"/>
      <c r="Q1732" s="247"/>
      <c r="R1732" s="247"/>
      <c r="S1732" s="247"/>
      <c r="T1732" s="247"/>
      <c r="U1732" s="247"/>
      <c r="V1732" s="247"/>
      <c r="W1732" s="247"/>
      <c r="X1732" s="247"/>
    </row>
    <row r="1733">
      <c r="A1733" s="294">
        <v>46080.0</v>
      </c>
      <c r="B1733" s="295" t="s">
        <v>1147</v>
      </c>
      <c r="C1733" s="295" t="s">
        <v>563</v>
      </c>
      <c r="D1733" s="296">
        <v>7530.0</v>
      </c>
      <c r="E1733" s="295" t="s">
        <v>1374</v>
      </c>
      <c r="F1733" s="292"/>
      <c r="G1733" s="293" t="str">
        <f>IFNA(IF(VLOOKUP(RC_OUT[BLOCK],RC_IN[[BLOCK]:[BLOCK LOC]],2,FALSE)=0,"",VLOOKUP(RC_OUT[BLOCK],RC_IN[[BLOCK]:[BLOCK LOC]],2,FALSE)),"")</f>
        <v>D-18C</v>
      </c>
      <c r="I1733" s="263">
        <f>IFERROR(AVERAGEIFS(RC_IN[MC],RC_IN[BLOCK],RC_OUT[BLOCK]),"")</f>
        <v>14.035</v>
      </c>
      <c r="J1733" s="264">
        <f t="shared" si="1"/>
        <v>105683.55</v>
      </c>
      <c r="K1733" s="246"/>
      <c r="L1733" s="246"/>
      <c r="M1733" s="249"/>
      <c r="N1733" s="266">
        <f t="shared" si="3"/>
        <v>0</v>
      </c>
      <c r="O1733" s="247"/>
      <c r="P1733" s="247"/>
      <c r="Q1733" s="247"/>
      <c r="R1733" s="247"/>
      <c r="S1733" s="247"/>
      <c r="T1733" s="247"/>
      <c r="U1733" s="247"/>
      <c r="V1733" s="247"/>
      <c r="W1733" s="247"/>
      <c r="X1733" s="247"/>
    </row>
    <row r="1734">
      <c r="A1734" s="294"/>
      <c r="B1734" s="295"/>
      <c r="C1734" s="295"/>
      <c r="D1734" s="296"/>
      <c r="E1734" s="295"/>
      <c r="F1734" s="292"/>
      <c r="G1734" s="293" t="str">
        <f>IFNA(IF(VLOOKUP(RC_OUT[BLOCK],RC_IN[[BLOCK]:[BLOCK LOC]],2,FALSE)=0,"",VLOOKUP(RC_OUT[BLOCK],RC_IN[[BLOCK]:[BLOCK LOC]],2,FALSE)),"")</f>
        <v/>
      </c>
      <c r="I1734" s="263" t="str">
        <f>IFERROR(AVERAGEIFS(RC_IN[MC],RC_IN[BLOCK],RC_OUT[BLOCK]),"")</f>
        <v/>
      </c>
      <c r="J1734" s="264">
        <f t="shared" si="1"/>
        <v>0</v>
      </c>
      <c r="K1734" s="246"/>
      <c r="L1734" s="246"/>
      <c r="M1734" s="249"/>
      <c r="N1734" s="266">
        <f t="shared" si="3"/>
        <v>0</v>
      </c>
      <c r="O1734" s="247"/>
      <c r="P1734" s="247"/>
      <c r="Q1734" s="247"/>
      <c r="R1734" s="247"/>
      <c r="S1734" s="247"/>
      <c r="T1734" s="247"/>
      <c r="U1734" s="247"/>
      <c r="V1734" s="247"/>
      <c r="W1734" s="247"/>
      <c r="X1734" s="247"/>
    </row>
    <row r="1735">
      <c r="A1735" s="294">
        <v>46081.0</v>
      </c>
      <c r="B1735" s="295" t="s">
        <v>1178</v>
      </c>
      <c r="C1735" s="295" t="s">
        <v>320</v>
      </c>
      <c r="D1735" s="296">
        <v>4196.0</v>
      </c>
      <c r="E1735" s="295" t="s">
        <v>1017</v>
      </c>
      <c r="F1735" s="292"/>
      <c r="G1735" s="293" t="str">
        <f>IFNA(IF(VLOOKUP(RC_OUT[BLOCK],RC_IN[[BLOCK]:[BLOCK LOC]],2,FALSE)=0,"",VLOOKUP(RC_OUT[BLOCK],RC_IN[[BLOCK]:[BLOCK LOC]],2,FALSE)),"")</f>
        <v>D-5C</v>
      </c>
      <c r="I1735" s="263">
        <f>IFERROR(AVERAGEIFS(RC_IN[MC],RC_IN[BLOCK],RC_OUT[BLOCK]),"")</f>
        <v>9.64</v>
      </c>
      <c r="J1735" s="264">
        <f t="shared" si="1"/>
        <v>40449.44</v>
      </c>
      <c r="K1735" s="246"/>
      <c r="L1735" s="246"/>
      <c r="M1735" s="249"/>
      <c r="N1735" s="266">
        <f t="shared" si="3"/>
        <v>0</v>
      </c>
      <c r="O1735" s="247"/>
      <c r="P1735" s="247"/>
      <c r="Q1735" s="247"/>
      <c r="R1735" s="247"/>
      <c r="S1735" s="247"/>
      <c r="T1735" s="247"/>
      <c r="U1735" s="247"/>
      <c r="V1735" s="247"/>
      <c r="W1735" s="247"/>
      <c r="X1735" s="247"/>
    </row>
    <row r="1736">
      <c r="A1736" s="294">
        <v>46081.0</v>
      </c>
      <c r="B1736" s="295" t="s">
        <v>1178</v>
      </c>
      <c r="C1736" s="295" t="s">
        <v>429</v>
      </c>
      <c r="D1736" s="296">
        <v>2468.0</v>
      </c>
      <c r="E1736" s="295" t="s">
        <v>1017</v>
      </c>
      <c r="F1736" s="292"/>
      <c r="G1736" s="293" t="str">
        <f>IFNA(IF(VLOOKUP(RC_OUT[BLOCK],RC_IN[[BLOCK]:[BLOCK LOC]],2,FALSE)=0,"",VLOOKUP(RC_OUT[BLOCK],RC_IN[[BLOCK]:[BLOCK LOC]],2,FALSE)),"")</f>
        <v>D-18D</v>
      </c>
      <c r="I1736" s="263">
        <f>IFERROR(AVERAGEIFS(RC_IN[MC],RC_IN[BLOCK],RC_OUT[BLOCK]),"")</f>
        <v>13.68857143</v>
      </c>
      <c r="J1736" s="264">
        <f t="shared" si="1"/>
        <v>33783.39429</v>
      </c>
      <c r="K1736" s="246"/>
      <c r="L1736" s="246"/>
      <c r="M1736" s="249"/>
      <c r="N1736" s="266">
        <f t="shared" si="3"/>
        <v>0</v>
      </c>
      <c r="O1736" s="247"/>
      <c r="P1736" s="247"/>
      <c r="Q1736" s="247"/>
      <c r="R1736" s="247"/>
      <c r="S1736" s="247"/>
      <c r="T1736" s="247"/>
      <c r="U1736" s="247"/>
      <c r="V1736" s="247"/>
      <c r="W1736" s="247"/>
      <c r="X1736" s="247"/>
    </row>
    <row r="1737">
      <c r="A1737" s="294">
        <v>46081.0</v>
      </c>
      <c r="B1737" s="295" t="s">
        <v>1178</v>
      </c>
      <c r="C1737" s="295" t="s">
        <v>515</v>
      </c>
      <c r="D1737" s="296">
        <v>4626.0</v>
      </c>
      <c r="E1737" s="295" t="s">
        <v>1017</v>
      </c>
      <c r="F1737" s="292"/>
      <c r="G1737" s="293" t="str">
        <f>IFNA(IF(VLOOKUP(RC_OUT[BLOCK],RC_IN[[BLOCK]:[BLOCK LOC]],2,FALSE)=0,"",VLOOKUP(RC_OUT[BLOCK],RC_IN[[BLOCK]:[BLOCK LOC]],2,FALSE)),"")</f>
        <v>A-19C</v>
      </c>
      <c r="I1737" s="263">
        <f>IFERROR(AVERAGEIFS(RC_IN[MC],RC_IN[BLOCK],RC_OUT[BLOCK]),"")</f>
        <v>11.85</v>
      </c>
      <c r="J1737" s="264">
        <f t="shared" si="1"/>
        <v>54818.1</v>
      </c>
      <c r="K1737" s="246"/>
      <c r="L1737" s="246"/>
      <c r="M1737" s="249"/>
      <c r="N1737" s="266">
        <f t="shared" si="3"/>
        <v>0</v>
      </c>
      <c r="O1737" s="247"/>
      <c r="P1737" s="247"/>
      <c r="Q1737" s="247"/>
      <c r="R1737" s="247"/>
      <c r="S1737" s="247"/>
      <c r="T1737" s="247"/>
      <c r="U1737" s="247"/>
      <c r="V1737" s="247"/>
      <c r="W1737" s="247"/>
      <c r="X1737" s="247"/>
    </row>
    <row r="1738">
      <c r="A1738" s="294">
        <v>46081.0</v>
      </c>
      <c r="B1738" s="295" t="s">
        <v>1178</v>
      </c>
      <c r="C1738" s="295" t="s">
        <v>522</v>
      </c>
      <c r="D1738" s="296">
        <v>3256.0</v>
      </c>
      <c r="E1738" s="295" t="s">
        <v>1017</v>
      </c>
      <c r="F1738" s="297" t="s">
        <v>1059</v>
      </c>
      <c r="G1738" s="293" t="str">
        <f>IFNA(IF(VLOOKUP(RC_OUT[BLOCK],RC_IN[[BLOCK]:[BLOCK LOC]],2,FALSE)=0,"",VLOOKUP(RC_OUT[BLOCK],RC_IN[[BLOCK]:[BLOCK LOC]],2,FALSE)),"")</f>
        <v>C-18A</v>
      </c>
      <c r="I1738" s="263">
        <f>IFERROR(AVERAGEIFS(RC_IN[MC],RC_IN[BLOCK],RC_OUT[BLOCK]),"")</f>
        <v>10.536</v>
      </c>
      <c r="J1738" s="264">
        <f t="shared" si="1"/>
        <v>34305.216</v>
      </c>
      <c r="K1738" s="246"/>
      <c r="L1738" s="246"/>
      <c r="M1738" s="249"/>
      <c r="N1738" s="266">
        <f t="shared" si="3"/>
        <v>0</v>
      </c>
      <c r="O1738" s="247"/>
      <c r="P1738" s="247"/>
      <c r="Q1738" s="247"/>
      <c r="R1738" s="247"/>
      <c r="S1738" s="247"/>
      <c r="T1738" s="247"/>
      <c r="U1738" s="247"/>
      <c r="V1738" s="247"/>
      <c r="W1738" s="247"/>
      <c r="X1738" s="247"/>
    </row>
    <row r="1739">
      <c r="A1739" s="294">
        <v>46081.0</v>
      </c>
      <c r="B1739" s="295" t="s">
        <v>1178</v>
      </c>
      <c r="C1739" s="295" t="s">
        <v>744</v>
      </c>
      <c r="D1739" s="296">
        <v>3000.0</v>
      </c>
      <c r="E1739" s="295" t="s">
        <v>1017</v>
      </c>
      <c r="F1739" s="292"/>
      <c r="G1739" s="293" t="str">
        <f>IFNA(IF(VLOOKUP(RC_OUT[BLOCK],RC_IN[[BLOCK]:[BLOCK LOC]],2,FALSE)=0,"",VLOOKUP(RC_OUT[BLOCK],RC_IN[[BLOCK]:[BLOCK LOC]],2,FALSE)),"")</f>
        <v/>
      </c>
      <c r="I1739" s="263">
        <f>IFERROR(AVERAGEIFS(RC_IN[MC],RC_IN[BLOCK],RC_OUT[BLOCK]),"")</f>
        <v>10.34</v>
      </c>
      <c r="J1739" s="264">
        <f t="shared" si="1"/>
        <v>31020</v>
      </c>
      <c r="K1739" s="246"/>
      <c r="L1739" s="246"/>
      <c r="M1739" s="249"/>
      <c r="N1739" s="266">
        <f t="shared" si="3"/>
        <v>0</v>
      </c>
      <c r="O1739" s="247"/>
      <c r="P1739" s="247"/>
      <c r="Q1739" s="247"/>
      <c r="R1739" s="247"/>
      <c r="S1739" s="247"/>
      <c r="T1739" s="247"/>
      <c r="U1739" s="247"/>
      <c r="V1739" s="247"/>
      <c r="W1739" s="247"/>
      <c r="X1739" s="247"/>
    </row>
    <row r="1740">
      <c r="A1740" s="294">
        <v>46081.0</v>
      </c>
      <c r="B1740" s="295" t="s">
        <v>1178</v>
      </c>
      <c r="C1740" s="295" t="s">
        <v>578</v>
      </c>
      <c r="D1740" s="296">
        <v>7237.0</v>
      </c>
      <c r="E1740" s="295" t="s">
        <v>1017</v>
      </c>
      <c r="F1740" s="292"/>
      <c r="G1740" s="293" t="str">
        <f>IFNA(IF(VLOOKUP(RC_OUT[BLOCK],RC_IN[[BLOCK]:[BLOCK LOC]],2,FALSE)=0,"",VLOOKUP(RC_OUT[BLOCK],RC_IN[[BLOCK]:[BLOCK LOC]],2,FALSE)),"")</f>
        <v>D-16C</v>
      </c>
      <c r="I1740" s="263">
        <f>IFERROR(AVERAGEIFS(RC_IN[MC],RC_IN[BLOCK],RC_OUT[BLOCK]),"")</f>
        <v>12.38</v>
      </c>
      <c r="J1740" s="264">
        <f t="shared" si="1"/>
        <v>89594.06</v>
      </c>
      <c r="K1740" s="246"/>
      <c r="L1740" s="246"/>
      <c r="M1740" s="249"/>
      <c r="N1740" s="266">
        <f t="shared" si="3"/>
        <v>0</v>
      </c>
      <c r="O1740" s="247"/>
      <c r="P1740" s="247"/>
      <c r="Q1740" s="247"/>
      <c r="R1740" s="247"/>
      <c r="S1740" s="247"/>
      <c r="T1740" s="247"/>
      <c r="U1740" s="247"/>
      <c r="V1740" s="247"/>
      <c r="W1740" s="247"/>
      <c r="X1740" s="247"/>
    </row>
    <row r="1741">
      <c r="A1741" s="294"/>
      <c r="B1741" s="295"/>
      <c r="C1741" s="295"/>
      <c r="D1741" s="296"/>
      <c r="E1741" s="295"/>
      <c r="F1741" s="292"/>
      <c r="G1741" s="293" t="str">
        <f>IFNA(IF(VLOOKUP(RC_OUT[BLOCK],RC_IN[[BLOCK]:[BLOCK LOC]],2,FALSE)=0,"",VLOOKUP(RC_OUT[BLOCK],RC_IN[[BLOCK]:[BLOCK LOC]],2,FALSE)),"")</f>
        <v/>
      </c>
      <c r="I1741" s="263" t="str">
        <f>IFERROR(AVERAGEIFS(RC_IN[MC],RC_IN[BLOCK],RC_OUT[BLOCK]),"")</f>
        <v/>
      </c>
      <c r="J1741" s="264">
        <f t="shared" si="1"/>
        <v>0</v>
      </c>
      <c r="K1741" s="246"/>
      <c r="L1741" s="246"/>
      <c r="M1741" s="249"/>
      <c r="N1741" s="266">
        <f t="shared" si="3"/>
        <v>0</v>
      </c>
      <c r="O1741" s="247"/>
      <c r="P1741" s="247"/>
      <c r="Q1741" s="247"/>
      <c r="R1741" s="247"/>
      <c r="S1741" s="247"/>
      <c r="T1741" s="247"/>
      <c r="U1741" s="247"/>
      <c r="V1741" s="247"/>
      <c r="W1741" s="247"/>
      <c r="X1741" s="247"/>
    </row>
    <row r="1742">
      <c r="A1742" s="294">
        <v>46083.0</v>
      </c>
      <c r="B1742" s="295" t="s">
        <v>1178</v>
      </c>
      <c r="C1742" s="295" t="s">
        <v>320</v>
      </c>
      <c r="D1742" s="296">
        <v>6309.0</v>
      </c>
      <c r="E1742" s="295" t="s">
        <v>1017</v>
      </c>
      <c r="F1742" s="292"/>
      <c r="G1742" s="293" t="str">
        <f>IFNA(IF(VLOOKUP(RC_OUT[BLOCK],RC_IN[[BLOCK]:[BLOCK LOC]],2,FALSE)=0,"",VLOOKUP(RC_OUT[BLOCK],RC_IN[[BLOCK]:[BLOCK LOC]],2,FALSE)),"")</f>
        <v>D-5C</v>
      </c>
      <c r="I1742" s="263">
        <f>IFERROR(AVERAGEIFS(RC_IN[MC],RC_IN[BLOCK],RC_OUT[BLOCK]),"")</f>
        <v>9.64</v>
      </c>
      <c r="J1742" s="264">
        <f t="shared" si="1"/>
        <v>60818.76</v>
      </c>
      <c r="K1742" s="246"/>
      <c r="L1742" s="246"/>
      <c r="M1742" s="249"/>
      <c r="N1742" s="266">
        <f t="shared" si="3"/>
        <v>0</v>
      </c>
      <c r="O1742" s="247"/>
      <c r="P1742" s="247"/>
      <c r="Q1742" s="247"/>
      <c r="R1742" s="247"/>
      <c r="S1742" s="247"/>
      <c r="T1742" s="247"/>
      <c r="U1742" s="247"/>
      <c r="V1742" s="247"/>
      <c r="W1742" s="247"/>
      <c r="X1742" s="247"/>
    </row>
    <row r="1743">
      <c r="A1743" s="294">
        <v>46083.0</v>
      </c>
      <c r="B1743" s="295" t="s">
        <v>1178</v>
      </c>
      <c r="C1743" s="295" t="s">
        <v>429</v>
      </c>
      <c r="D1743" s="296">
        <v>3659.0</v>
      </c>
      <c r="E1743" s="295" t="s">
        <v>1017</v>
      </c>
      <c r="F1743" s="292"/>
      <c r="G1743" s="293" t="str">
        <f>IFNA(IF(VLOOKUP(RC_OUT[BLOCK],RC_IN[[BLOCK]:[BLOCK LOC]],2,FALSE)=0,"",VLOOKUP(RC_OUT[BLOCK],RC_IN[[BLOCK]:[BLOCK LOC]],2,FALSE)),"")</f>
        <v>D-18D</v>
      </c>
      <c r="I1743" s="263">
        <f>IFERROR(AVERAGEIFS(RC_IN[MC],RC_IN[BLOCK],RC_OUT[BLOCK]),"")</f>
        <v>13.68857143</v>
      </c>
      <c r="J1743" s="264">
        <f t="shared" si="1"/>
        <v>50086.48286</v>
      </c>
      <c r="K1743" s="246"/>
      <c r="L1743" s="246"/>
      <c r="M1743" s="249"/>
      <c r="N1743" s="266">
        <f t="shared" si="3"/>
        <v>0</v>
      </c>
      <c r="O1743" s="247"/>
      <c r="P1743" s="247"/>
      <c r="Q1743" s="247"/>
      <c r="R1743" s="247"/>
      <c r="S1743" s="247"/>
      <c r="T1743" s="247"/>
      <c r="U1743" s="247"/>
      <c r="V1743" s="247"/>
      <c r="W1743" s="247"/>
      <c r="X1743" s="247"/>
    </row>
    <row r="1744">
      <c r="A1744" s="294">
        <v>46083.0</v>
      </c>
      <c r="B1744" s="295" t="s">
        <v>1178</v>
      </c>
      <c r="C1744" s="295" t="s">
        <v>515</v>
      </c>
      <c r="D1744" s="296">
        <v>4593.0</v>
      </c>
      <c r="E1744" s="295" t="s">
        <v>1017</v>
      </c>
      <c r="F1744" s="292"/>
      <c r="G1744" s="293" t="str">
        <f>IFNA(IF(VLOOKUP(RC_OUT[BLOCK],RC_IN[[BLOCK]:[BLOCK LOC]],2,FALSE)=0,"",VLOOKUP(RC_OUT[BLOCK],RC_IN[[BLOCK]:[BLOCK LOC]],2,FALSE)),"")</f>
        <v>A-19C</v>
      </c>
      <c r="I1744" s="263">
        <f>IFERROR(AVERAGEIFS(RC_IN[MC],RC_IN[BLOCK],RC_OUT[BLOCK]),"")</f>
        <v>11.85</v>
      </c>
      <c r="J1744" s="264">
        <f t="shared" si="1"/>
        <v>54427.05</v>
      </c>
      <c r="K1744" s="246"/>
      <c r="L1744" s="246"/>
      <c r="M1744" s="249"/>
      <c r="N1744" s="266">
        <f t="shared" si="3"/>
        <v>0</v>
      </c>
      <c r="O1744" s="247"/>
      <c r="P1744" s="247"/>
      <c r="Q1744" s="247"/>
      <c r="R1744" s="247"/>
      <c r="S1744" s="247"/>
      <c r="T1744" s="247"/>
      <c r="U1744" s="247"/>
      <c r="V1744" s="247"/>
      <c r="W1744" s="247"/>
      <c r="X1744" s="247"/>
    </row>
    <row r="1745">
      <c r="A1745" s="294">
        <v>46083.0</v>
      </c>
      <c r="B1745" s="295" t="s">
        <v>1178</v>
      </c>
      <c r="C1745" s="295" t="s">
        <v>744</v>
      </c>
      <c r="D1745" s="296">
        <v>4000.0</v>
      </c>
      <c r="E1745" s="295" t="s">
        <v>1017</v>
      </c>
      <c r="F1745" s="292"/>
      <c r="G1745" s="293" t="str">
        <f>IFNA(IF(VLOOKUP(RC_OUT[BLOCK],RC_IN[[BLOCK]:[BLOCK LOC]],2,FALSE)=0,"",VLOOKUP(RC_OUT[BLOCK],RC_IN[[BLOCK]:[BLOCK LOC]],2,FALSE)),"")</f>
        <v/>
      </c>
      <c r="I1745" s="263">
        <f>IFERROR(AVERAGEIFS(RC_IN[MC],RC_IN[BLOCK],RC_OUT[BLOCK]),"")</f>
        <v>10.34</v>
      </c>
      <c r="J1745" s="264">
        <f t="shared" si="1"/>
        <v>41360</v>
      </c>
      <c r="K1745" s="246"/>
      <c r="L1745" s="246"/>
      <c r="M1745" s="249"/>
      <c r="N1745" s="266">
        <f t="shared" si="3"/>
        <v>0</v>
      </c>
      <c r="O1745" s="247"/>
      <c r="P1745" s="247"/>
      <c r="Q1745" s="247"/>
      <c r="R1745" s="247"/>
      <c r="S1745" s="247"/>
      <c r="T1745" s="247"/>
      <c r="U1745" s="247"/>
      <c r="V1745" s="247"/>
      <c r="W1745" s="247"/>
      <c r="X1745" s="247"/>
    </row>
    <row r="1746">
      <c r="A1746" s="294">
        <v>46083.0</v>
      </c>
      <c r="B1746" s="295" t="s">
        <v>1178</v>
      </c>
      <c r="C1746" s="295" t="s">
        <v>578</v>
      </c>
      <c r="D1746" s="296">
        <v>12564.0</v>
      </c>
      <c r="E1746" s="295" t="s">
        <v>1017</v>
      </c>
      <c r="F1746" s="292"/>
      <c r="G1746" s="293" t="str">
        <f>IFNA(IF(VLOOKUP(RC_OUT[BLOCK],RC_IN[[BLOCK]:[BLOCK LOC]],2,FALSE)=0,"",VLOOKUP(RC_OUT[BLOCK],RC_IN[[BLOCK]:[BLOCK LOC]],2,FALSE)),"")</f>
        <v>D-16C</v>
      </c>
      <c r="I1746" s="263">
        <f>IFERROR(AVERAGEIFS(RC_IN[MC],RC_IN[BLOCK],RC_OUT[BLOCK]),"")</f>
        <v>12.38</v>
      </c>
      <c r="J1746" s="264">
        <f t="shared" si="1"/>
        <v>155542.32</v>
      </c>
      <c r="K1746" s="246"/>
      <c r="L1746" s="246"/>
      <c r="M1746" s="249"/>
      <c r="N1746" s="266">
        <f t="shared" si="3"/>
        <v>0</v>
      </c>
      <c r="O1746" s="247"/>
      <c r="P1746" s="247"/>
      <c r="Q1746" s="247"/>
      <c r="R1746" s="247"/>
      <c r="S1746" s="247"/>
      <c r="T1746" s="247"/>
      <c r="U1746" s="247"/>
      <c r="V1746" s="247"/>
      <c r="W1746" s="247"/>
      <c r="X1746" s="247"/>
    </row>
    <row r="1747">
      <c r="A1747" s="294"/>
      <c r="B1747" s="295"/>
      <c r="C1747" s="295"/>
      <c r="D1747" s="296"/>
      <c r="E1747" s="295"/>
      <c r="F1747" s="292"/>
      <c r="G1747" s="293" t="str">
        <f>IFNA(IF(VLOOKUP(RC_OUT[BLOCK],RC_IN[[BLOCK]:[BLOCK LOC]],2,FALSE)=0,"",VLOOKUP(RC_OUT[BLOCK],RC_IN[[BLOCK]:[BLOCK LOC]],2,FALSE)),"")</f>
        <v/>
      </c>
      <c r="I1747" s="263" t="str">
        <f>IFERROR(AVERAGEIFS(RC_IN[MC],RC_IN[BLOCK],RC_OUT[BLOCK]),"")</f>
        <v/>
      </c>
      <c r="J1747" s="264">
        <f t="shared" si="1"/>
        <v>0</v>
      </c>
      <c r="K1747" s="246"/>
      <c r="L1747" s="246"/>
      <c r="M1747" s="249"/>
      <c r="N1747" s="266">
        <f t="shared" si="3"/>
        <v>0</v>
      </c>
      <c r="O1747" s="247"/>
      <c r="P1747" s="247"/>
      <c r="Q1747" s="247"/>
      <c r="R1747" s="247"/>
      <c r="S1747" s="247"/>
      <c r="T1747" s="247"/>
      <c r="U1747" s="247"/>
      <c r="V1747" s="247"/>
      <c r="W1747" s="247"/>
      <c r="X1747" s="247"/>
    </row>
    <row r="1748">
      <c r="A1748" s="294">
        <v>46084.0</v>
      </c>
      <c r="B1748" s="295" t="s">
        <v>1178</v>
      </c>
      <c r="C1748" s="295" t="s">
        <v>320</v>
      </c>
      <c r="D1748" s="296">
        <v>6474.0</v>
      </c>
      <c r="E1748" s="295" t="s">
        <v>1017</v>
      </c>
      <c r="F1748" s="292"/>
      <c r="G1748" s="293" t="str">
        <f>IFNA(IF(VLOOKUP(RC_OUT[BLOCK],RC_IN[[BLOCK]:[BLOCK LOC]],2,FALSE)=0,"",VLOOKUP(RC_OUT[BLOCK],RC_IN[[BLOCK]:[BLOCK LOC]],2,FALSE)),"")</f>
        <v>D-5C</v>
      </c>
      <c r="I1748" s="263">
        <f>IFERROR(AVERAGEIFS(RC_IN[MC],RC_IN[BLOCK],RC_OUT[BLOCK]),"")</f>
        <v>9.64</v>
      </c>
      <c r="J1748" s="264">
        <f t="shared" si="1"/>
        <v>62409.36</v>
      </c>
      <c r="K1748" s="246"/>
      <c r="L1748" s="246"/>
      <c r="M1748" s="249"/>
      <c r="N1748" s="266">
        <f t="shared" si="3"/>
        <v>0</v>
      </c>
      <c r="O1748" s="247"/>
      <c r="P1748" s="247"/>
      <c r="Q1748" s="247"/>
      <c r="R1748" s="247"/>
      <c r="S1748" s="247"/>
      <c r="T1748" s="247"/>
      <c r="U1748" s="247"/>
      <c r="V1748" s="247"/>
      <c r="W1748" s="247"/>
      <c r="X1748" s="247"/>
    </row>
    <row r="1749">
      <c r="A1749" s="294">
        <v>46084.0</v>
      </c>
      <c r="B1749" s="295" t="s">
        <v>1178</v>
      </c>
      <c r="C1749" s="295" t="s">
        <v>429</v>
      </c>
      <c r="D1749" s="296">
        <v>3430.0</v>
      </c>
      <c r="E1749" s="295" t="s">
        <v>1017</v>
      </c>
      <c r="F1749" s="292"/>
      <c r="G1749" s="293" t="str">
        <f>IFNA(IF(VLOOKUP(RC_OUT[BLOCK],RC_IN[[BLOCK]:[BLOCK LOC]],2,FALSE)=0,"",VLOOKUP(RC_OUT[BLOCK],RC_IN[[BLOCK]:[BLOCK LOC]],2,FALSE)),"")</f>
        <v>D-18D</v>
      </c>
      <c r="I1749" s="263">
        <f>IFERROR(AVERAGEIFS(RC_IN[MC],RC_IN[BLOCK],RC_OUT[BLOCK]),"")</f>
        <v>13.68857143</v>
      </c>
      <c r="J1749" s="264">
        <f t="shared" si="1"/>
        <v>46951.8</v>
      </c>
      <c r="K1749" s="246"/>
      <c r="L1749" s="246"/>
      <c r="M1749" s="249"/>
      <c r="N1749" s="266">
        <f t="shared" si="3"/>
        <v>0</v>
      </c>
      <c r="O1749" s="247"/>
      <c r="P1749" s="247"/>
      <c r="Q1749" s="247"/>
      <c r="R1749" s="247"/>
      <c r="S1749" s="247"/>
      <c r="T1749" s="247"/>
      <c r="U1749" s="247"/>
      <c r="V1749" s="247"/>
      <c r="W1749" s="247"/>
      <c r="X1749" s="247"/>
    </row>
    <row r="1750">
      <c r="A1750" s="294">
        <v>46084.0</v>
      </c>
      <c r="B1750" s="295" t="s">
        <v>1178</v>
      </c>
      <c r="C1750" s="295" t="s">
        <v>515</v>
      </c>
      <c r="D1750" s="296">
        <v>1930.0</v>
      </c>
      <c r="E1750" s="295" t="s">
        <v>1017</v>
      </c>
      <c r="F1750" s="297" t="s">
        <v>1059</v>
      </c>
      <c r="G1750" s="293" t="str">
        <f>IFNA(IF(VLOOKUP(RC_OUT[BLOCK],RC_IN[[BLOCK]:[BLOCK LOC]],2,FALSE)=0,"",VLOOKUP(RC_OUT[BLOCK],RC_IN[[BLOCK]:[BLOCK LOC]],2,FALSE)),"")</f>
        <v>A-19C</v>
      </c>
      <c r="I1750" s="263">
        <f>IFERROR(AVERAGEIFS(RC_IN[MC],RC_IN[BLOCK],RC_OUT[BLOCK]),"")</f>
        <v>11.85</v>
      </c>
      <c r="J1750" s="264">
        <f t="shared" si="1"/>
        <v>22870.5</v>
      </c>
      <c r="K1750" s="246"/>
      <c r="L1750" s="246"/>
      <c r="M1750" s="249"/>
      <c r="N1750" s="266">
        <f t="shared" si="3"/>
        <v>0</v>
      </c>
      <c r="O1750" s="247"/>
      <c r="P1750" s="247"/>
      <c r="Q1750" s="247"/>
      <c r="R1750" s="247"/>
      <c r="S1750" s="247"/>
      <c r="T1750" s="247"/>
      <c r="U1750" s="247"/>
      <c r="V1750" s="247"/>
      <c r="W1750" s="247"/>
      <c r="X1750" s="247"/>
    </row>
    <row r="1751">
      <c r="A1751" s="294">
        <v>46084.0</v>
      </c>
      <c r="B1751" s="295" t="s">
        <v>1178</v>
      </c>
      <c r="C1751" s="295" t="s">
        <v>744</v>
      </c>
      <c r="D1751" s="296">
        <v>3000.0</v>
      </c>
      <c r="E1751" s="295" t="s">
        <v>1017</v>
      </c>
      <c r="F1751" s="297" t="s">
        <v>1059</v>
      </c>
      <c r="G1751" s="293" t="str">
        <f>IFNA(IF(VLOOKUP(RC_OUT[BLOCK],RC_IN[[BLOCK]:[BLOCK LOC]],2,FALSE)=0,"",VLOOKUP(RC_OUT[BLOCK],RC_IN[[BLOCK]:[BLOCK LOC]],2,FALSE)),"")</f>
        <v/>
      </c>
      <c r="I1751" s="263">
        <f>IFERROR(AVERAGEIFS(RC_IN[MC],RC_IN[BLOCK],RC_OUT[BLOCK]),"")</f>
        <v>10.34</v>
      </c>
      <c r="J1751" s="264">
        <f t="shared" si="1"/>
        <v>31020</v>
      </c>
      <c r="K1751" s="246"/>
      <c r="L1751" s="246"/>
      <c r="M1751" s="249"/>
      <c r="N1751" s="266">
        <f t="shared" si="3"/>
        <v>0</v>
      </c>
      <c r="O1751" s="247"/>
      <c r="P1751" s="247"/>
      <c r="Q1751" s="247"/>
      <c r="R1751" s="247"/>
      <c r="S1751" s="247"/>
      <c r="T1751" s="247"/>
      <c r="U1751" s="247"/>
      <c r="V1751" s="247"/>
      <c r="W1751" s="247"/>
      <c r="X1751" s="247"/>
    </row>
    <row r="1752">
      <c r="A1752" s="294">
        <v>46084.0</v>
      </c>
      <c r="B1752" s="295" t="s">
        <v>1178</v>
      </c>
      <c r="C1752" s="295" t="s">
        <v>578</v>
      </c>
      <c r="D1752" s="296">
        <v>8868.0</v>
      </c>
      <c r="E1752" s="295" t="s">
        <v>1017</v>
      </c>
      <c r="F1752" s="297" t="s">
        <v>1059</v>
      </c>
      <c r="G1752" s="293" t="str">
        <f>IFNA(IF(VLOOKUP(RC_OUT[BLOCK],RC_IN[[BLOCK]:[BLOCK LOC]],2,FALSE)=0,"",VLOOKUP(RC_OUT[BLOCK],RC_IN[[BLOCK]:[BLOCK LOC]],2,FALSE)),"")</f>
        <v>D-16C</v>
      </c>
      <c r="I1752" s="263">
        <f>IFERROR(AVERAGEIFS(RC_IN[MC],RC_IN[BLOCK],RC_OUT[BLOCK]),"")</f>
        <v>12.38</v>
      </c>
      <c r="J1752" s="264">
        <f t="shared" si="1"/>
        <v>109785.84</v>
      </c>
      <c r="K1752" s="246"/>
      <c r="L1752" s="246"/>
      <c r="M1752" s="249"/>
      <c r="N1752" s="266">
        <f t="shared" si="3"/>
        <v>0</v>
      </c>
      <c r="O1752" s="247"/>
      <c r="P1752" s="247"/>
      <c r="Q1752" s="247"/>
      <c r="R1752" s="247"/>
      <c r="S1752" s="247"/>
      <c r="T1752" s="247"/>
      <c r="U1752" s="247"/>
      <c r="V1752" s="247"/>
      <c r="W1752" s="247"/>
      <c r="X1752" s="247"/>
    </row>
    <row r="1753">
      <c r="A1753" s="294">
        <v>46084.0</v>
      </c>
      <c r="B1753" s="295" t="s">
        <v>1178</v>
      </c>
      <c r="C1753" s="295" t="s">
        <v>517</v>
      </c>
      <c r="D1753" s="296">
        <v>7980.0</v>
      </c>
      <c r="E1753" s="295" t="s">
        <v>1017</v>
      </c>
      <c r="F1753" s="292"/>
      <c r="G1753" s="293" t="str">
        <f>IFNA(IF(VLOOKUP(RC_OUT[BLOCK],RC_IN[[BLOCK]:[BLOCK LOC]],2,FALSE)=0,"",VLOOKUP(RC_OUT[BLOCK],RC_IN[[BLOCK]:[BLOCK LOC]],2,FALSE)),"")</f>
        <v>D-13A</v>
      </c>
      <c r="I1753" s="263">
        <f>IFERROR(AVERAGEIFS(RC_IN[MC],RC_IN[BLOCK],RC_OUT[BLOCK]),"")</f>
        <v>12.3175</v>
      </c>
      <c r="J1753" s="264">
        <f t="shared" si="1"/>
        <v>98293.65</v>
      </c>
      <c r="K1753" s="246"/>
      <c r="L1753" s="246"/>
      <c r="M1753" s="249"/>
      <c r="N1753" s="266">
        <f t="shared" si="3"/>
        <v>0</v>
      </c>
      <c r="O1753" s="247"/>
      <c r="P1753" s="247"/>
      <c r="Q1753" s="247"/>
      <c r="R1753" s="247"/>
      <c r="S1753" s="247"/>
      <c r="T1753" s="247"/>
      <c r="U1753" s="247"/>
      <c r="V1753" s="247"/>
      <c r="W1753" s="247"/>
      <c r="X1753" s="247"/>
    </row>
    <row r="1754">
      <c r="A1754" s="294">
        <v>46084.0</v>
      </c>
      <c r="B1754" s="295" t="s">
        <v>1178</v>
      </c>
      <c r="C1754" s="295" t="s">
        <v>510</v>
      </c>
      <c r="D1754" s="296">
        <v>5163.0</v>
      </c>
      <c r="E1754" s="295" t="s">
        <v>1017</v>
      </c>
      <c r="F1754" s="292"/>
      <c r="G1754" s="293" t="str">
        <f>IFNA(IF(VLOOKUP(RC_OUT[BLOCK],RC_IN[[BLOCK]:[BLOCK LOC]],2,FALSE)=0,"",VLOOKUP(RC_OUT[BLOCK],RC_IN[[BLOCK]:[BLOCK LOC]],2,FALSE)),"")</f>
        <v>A-19B</v>
      </c>
      <c r="I1754" s="263">
        <f>IFERROR(AVERAGEIFS(RC_IN[MC],RC_IN[BLOCK],RC_OUT[BLOCK]),"")</f>
        <v>11.62</v>
      </c>
      <c r="J1754" s="264">
        <f t="shared" si="1"/>
        <v>59994.06</v>
      </c>
      <c r="K1754" s="246"/>
      <c r="L1754" s="246"/>
      <c r="M1754" s="249"/>
      <c r="N1754" s="266">
        <f t="shared" si="3"/>
        <v>0</v>
      </c>
      <c r="O1754" s="247"/>
      <c r="P1754" s="247"/>
      <c r="Q1754" s="247"/>
      <c r="R1754" s="247"/>
      <c r="S1754" s="247"/>
      <c r="T1754" s="247"/>
      <c r="U1754" s="247"/>
      <c r="V1754" s="247"/>
      <c r="W1754" s="247"/>
      <c r="X1754" s="247"/>
    </row>
    <row r="1755">
      <c r="A1755" s="294"/>
      <c r="B1755" s="295"/>
      <c r="C1755" s="295"/>
      <c r="D1755" s="296"/>
      <c r="E1755" s="295"/>
      <c r="F1755" s="292"/>
      <c r="G1755" s="293" t="str">
        <f>IFNA(IF(VLOOKUP(RC_OUT[BLOCK],RC_IN[[BLOCK]:[BLOCK LOC]],2,FALSE)=0,"",VLOOKUP(RC_OUT[BLOCK],RC_IN[[BLOCK]:[BLOCK LOC]],2,FALSE)),"")</f>
        <v/>
      </c>
      <c r="I1755" s="263" t="str">
        <f>IFERROR(AVERAGEIFS(RC_IN[MC],RC_IN[BLOCK],RC_OUT[BLOCK]),"")</f>
        <v/>
      </c>
      <c r="J1755" s="264">
        <f t="shared" si="1"/>
        <v>0</v>
      </c>
      <c r="K1755" s="246"/>
      <c r="L1755" s="246"/>
      <c r="M1755" s="249"/>
      <c r="N1755" s="266">
        <f t="shared" si="3"/>
        <v>0</v>
      </c>
      <c r="O1755" s="247"/>
      <c r="P1755" s="247"/>
      <c r="Q1755" s="247"/>
      <c r="R1755" s="247"/>
      <c r="S1755" s="247"/>
      <c r="T1755" s="247"/>
      <c r="U1755" s="247"/>
      <c r="V1755" s="247"/>
      <c r="W1755" s="247"/>
      <c r="X1755" s="247"/>
    </row>
    <row r="1756">
      <c r="A1756" s="294">
        <v>46085.0</v>
      </c>
      <c r="B1756" s="295" t="s">
        <v>1178</v>
      </c>
      <c r="C1756" s="295" t="s">
        <v>320</v>
      </c>
      <c r="D1756" s="296">
        <v>4265.0</v>
      </c>
      <c r="E1756" s="295" t="s">
        <v>1017</v>
      </c>
      <c r="F1756" s="292"/>
      <c r="G1756" s="293" t="str">
        <f>IFNA(IF(VLOOKUP(RC_OUT[BLOCK],RC_IN[[BLOCK]:[BLOCK LOC]],2,FALSE)=0,"",VLOOKUP(RC_OUT[BLOCK],RC_IN[[BLOCK]:[BLOCK LOC]],2,FALSE)),"")</f>
        <v>D-5C</v>
      </c>
      <c r="I1756" s="263">
        <f>IFERROR(AVERAGEIFS(RC_IN[MC],RC_IN[BLOCK],RC_OUT[BLOCK]),"")</f>
        <v>9.64</v>
      </c>
      <c r="J1756" s="264">
        <f t="shared" si="1"/>
        <v>41114.6</v>
      </c>
      <c r="K1756" s="246"/>
      <c r="L1756" s="246"/>
      <c r="M1756" s="249"/>
      <c r="N1756" s="266">
        <f t="shared" si="3"/>
        <v>0</v>
      </c>
      <c r="O1756" s="247"/>
      <c r="P1756" s="247"/>
      <c r="Q1756" s="247"/>
      <c r="R1756" s="247"/>
      <c r="S1756" s="247"/>
      <c r="T1756" s="247"/>
      <c r="U1756" s="247"/>
      <c r="V1756" s="247"/>
      <c r="W1756" s="247"/>
      <c r="X1756" s="247"/>
    </row>
    <row r="1757">
      <c r="A1757" s="294">
        <v>46085.0</v>
      </c>
      <c r="B1757" s="295" t="s">
        <v>1178</v>
      </c>
      <c r="C1757" s="295" t="s">
        <v>429</v>
      </c>
      <c r="D1757" s="296">
        <v>2326.0</v>
      </c>
      <c r="E1757" s="295" t="s">
        <v>1017</v>
      </c>
      <c r="F1757" s="292"/>
      <c r="G1757" s="293" t="str">
        <f>IFNA(IF(VLOOKUP(RC_OUT[BLOCK],RC_IN[[BLOCK]:[BLOCK LOC]],2,FALSE)=0,"",VLOOKUP(RC_OUT[BLOCK],RC_IN[[BLOCK]:[BLOCK LOC]],2,FALSE)),"")</f>
        <v>D-18D</v>
      </c>
      <c r="I1757" s="263">
        <f>IFERROR(AVERAGEIFS(RC_IN[MC],RC_IN[BLOCK],RC_OUT[BLOCK]),"")</f>
        <v>13.68857143</v>
      </c>
      <c r="J1757" s="264">
        <f t="shared" si="1"/>
        <v>31839.61714</v>
      </c>
      <c r="K1757" s="246"/>
      <c r="L1757" s="246"/>
      <c r="M1757" s="249"/>
      <c r="N1757" s="266">
        <f t="shared" si="3"/>
        <v>0</v>
      </c>
      <c r="O1757" s="247"/>
      <c r="P1757" s="247"/>
      <c r="Q1757" s="247"/>
      <c r="R1757" s="247"/>
      <c r="S1757" s="247"/>
      <c r="T1757" s="247"/>
      <c r="U1757" s="247"/>
      <c r="V1757" s="247"/>
      <c r="W1757" s="247"/>
      <c r="X1757" s="247"/>
    </row>
    <row r="1758">
      <c r="A1758" s="294">
        <v>46085.0</v>
      </c>
      <c r="B1758" s="295" t="s">
        <v>1178</v>
      </c>
      <c r="C1758" s="295" t="s">
        <v>517</v>
      </c>
      <c r="D1758" s="296">
        <v>16238.0</v>
      </c>
      <c r="E1758" s="295" t="s">
        <v>1017</v>
      </c>
      <c r="F1758" s="292"/>
      <c r="G1758" s="293" t="str">
        <f>IFNA(IF(VLOOKUP(RC_OUT[BLOCK],RC_IN[[BLOCK]:[BLOCK LOC]],2,FALSE)=0,"",VLOOKUP(RC_OUT[BLOCK],RC_IN[[BLOCK]:[BLOCK LOC]],2,FALSE)),"")</f>
        <v>D-13A</v>
      </c>
      <c r="I1758" s="263">
        <f>IFERROR(AVERAGEIFS(RC_IN[MC],RC_IN[BLOCK],RC_OUT[BLOCK]),"")</f>
        <v>12.3175</v>
      </c>
      <c r="J1758" s="264">
        <f t="shared" si="1"/>
        <v>200011.565</v>
      </c>
      <c r="K1758" s="246"/>
      <c r="L1758" s="246"/>
      <c r="M1758" s="249"/>
      <c r="N1758" s="266">
        <f t="shared" si="3"/>
        <v>0</v>
      </c>
      <c r="O1758" s="247"/>
      <c r="P1758" s="247"/>
      <c r="Q1758" s="247"/>
      <c r="R1758" s="247"/>
      <c r="S1758" s="247"/>
      <c r="T1758" s="247"/>
      <c r="U1758" s="247"/>
      <c r="V1758" s="247"/>
      <c r="W1758" s="247"/>
      <c r="X1758" s="247"/>
    </row>
    <row r="1759">
      <c r="A1759" s="294">
        <v>46085.0</v>
      </c>
      <c r="B1759" s="295" t="s">
        <v>1178</v>
      </c>
      <c r="C1759" s="295" t="s">
        <v>510</v>
      </c>
      <c r="D1759" s="296">
        <v>8062.0</v>
      </c>
      <c r="E1759" s="295" t="s">
        <v>1017</v>
      </c>
      <c r="F1759" s="292"/>
      <c r="G1759" s="293" t="str">
        <f>IFNA(IF(VLOOKUP(RC_OUT[BLOCK],RC_IN[[BLOCK]:[BLOCK LOC]],2,FALSE)=0,"",VLOOKUP(RC_OUT[BLOCK],RC_IN[[BLOCK]:[BLOCK LOC]],2,FALSE)),"")</f>
        <v>A-19B</v>
      </c>
      <c r="I1759" s="263">
        <f>IFERROR(AVERAGEIFS(RC_IN[MC],RC_IN[BLOCK],RC_OUT[BLOCK]),"")</f>
        <v>11.62</v>
      </c>
      <c r="J1759" s="264">
        <f t="shared" si="1"/>
        <v>93680.44</v>
      </c>
      <c r="K1759" s="246"/>
      <c r="L1759" s="246"/>
      <c r="M1759" s="249"/>
      <c r="N1759" s="266">
        <f t="shared" si="3"/>
        <v>0</v>
      </c>
      <c r="O1759" s="247"/>
      <c r="P1759" s="247"/>
      <c r="Q1759" s="247"/>
      <c r="R1759" s="247"/>
      <c r="S1759" s="247"/>
      <c r="T1759" s="247"/>
      <c r="U1759" s="247"/>
      <c r="V1759" s="247"/>
      <c r="W1759" s="247"/>
      <c r="X1759" s="247"/>
    </row>
    <row r="1760">
      <c r="A1760" s="294">
        <v>46085.0</v>
      </c>
      <c r="B1760" s="295" t="s">
        <v>1178</v>
      </c>
      <c r="C1760" s="295" t="s">
        <v>757</v>
      </c>
      <c r="D1760" s="296">
        <v>3130.0</v>
      </c>
      <c r="E1760" s="295" t="s">
        <v>1017</v>
      </c>
      <c r="F1760" s="292"/>
      <c r="G1760" s="293" t="str">
        <f>IFNA(IF(VLOOKUP(RC_OUT[BLOCK],RC_IN[[BLOCK]:[BLOCK LOC]],2,FALSE)=0,"",VLOOKUP(RC_OUT[BLOCK],RC_IN[[BLOCK]:[BLOCK LOC]],2,FALSE)),"")</f>
        <v/>
      </c>
      <c r="I1760" s="263">
        <f>IFERROR(AVERAGEIFS(RC_IN[MC],RC_IN[BLOCK],RC_OUT[BLOCK]),"")</f>
        <v>9.8</v>
      </c>
      <c r="J1760" s="264">
        <f t="shared" si="1"/>
        <v>30674</v>
      </c>
      <c r="K1760" s="246"/>
      <c r="L1760" s="246"/>
      <c r="M1760" s="249"/>
      <c r="N1760" s="266">
        <f t="shared" si="3"/>
        <v>0</v>
      </c>
      <c r="O1760" s="247"/>
      <c r="P1760" s="247"/>
      <c r="Q1760" s="247"/>
      <c r="R1760" s="247"/>
      <c r="S1760" s="247"/>
      <c r="T1760" s="247"/>
      <c r="U1760" s="247"/>
      <c r="V1760" s="247"/>
      <c r="W1760" s="247"/>
      <c r="X1760" s="247"/>
    </row>
    <row r="1761">
      <c r="A1761" s="294"/>
      <c r="B1761" s="295"/>
      <c r="C1761" s="295"/>
      <c r="D1761" s="296"/>
      <c r="E1761" s="295"/>
      <c r="F1761" s="292"/>
      <c r="G1761" s="293" t="str">
        <f>IFNA(IF(VLOOKUP(RC_OUT[BLOCK],RC_IN[[BLOCK]:[BLOCK LOC]],2,FALSE)=0,"",VLOOKUP(RC_OUT[BLOCK],RC_IN[[BLOCK]:[BLOCK LOC]],2,FALSE)),"")</f>
        <v/>
      </c>
      <c r="I1761" s="263" t="str">
        <f>IFERROR(AVERAGEIFS(RC_IN[MC],RC_IN[BLOCK],RC_OUT[BLOCK]),"")</f>
        <v/>
      </c>
      <c r="J1761" s="264">
        <f t="shared" si="1"/>
        <v>0</v>
      </c>
      <c r="K1761" s="246"/>
      <c r="L1761" s="246"/>
      <c r="M1761" s="249"/>
      <c r="N1761" s="266">
        <f t="shared" si="3"/>
        <v>0</v>
      </c>
      <c r="O1761" s="247"/>
      <c r="P1761" s="247"/>
      <c r="Q1761" s="247"/>
      <c r="R1761" s="247"/>
      <c r="S1761" s="247"/>
      <c r="T1761" s="247"/>
      <c r="U1761" s="247"/>
      <c r="V1761" s="247"/>
      <c r="W1761" s="247"/>
      <c r="X1761" s="247"/>
    </row>
    <row r="1762">
      <c r="A1762" s="294">
        <v>46086.0</v>
      </c>
      <c r="B1762" s="295" t="s">
        <v>1178</v>
      </c>
      <c r="C1762" s="295" t="s">
        <v>320</v>
      </c>
      <c r="D1762" s="296">
        <v>1861.0</v>
      </c>
      <c r="E1762" s="295" t="s">
        <v>1017</v>
      </c>
      <c r="F1762" s="297" t="s">
        <v>1059</v>
      </c>
      <c r="G1762" s="293" t="str">
        <f>IFNA(IF(VLOOKUP(RC_OUT[BLOCK],RC_IN[[BLOCK]:[BLOCK LOC]],2,FALSE)=0,"",VLOOKUP(RC_OUT[BLOCK],RC_IN[[BLOCK]:[BLOCK LOC]],2,FALSE)),"")</f>
        <v>D-5C</v>
      </c>
      <c r="I1762" s="263">
        <f>IFERROR(AVERAGEIFS(RC_IN[MC],RC_IN[BLOCK],RC_OUT[BLOCK]),"")</f>
        <v>9.64</v>
      </c>
      <c r="J1762" s="264">
        <f t="shared" si="1"/>
        <v>17940.04</v>
      </c>
      <c r="K1762" s="246"/>
      <c r="L1762" s="246"/>
      <c r="M1762" s="249"/>
      <c r="N1762" s="266">
        <f t="shared" si="3"/>
        <v>0</v>
      </c>
      <c r="O1762" s="247"/>
      <c r="P1762" s="247"/>
      <c r="Q1762" s="247"/>
      <c r="R1762" s="247"/>
      <c r="S1762" s="247"/>
      <c r="T1762" s="247"/>
      <c r="U1762" s="247"/>
      <c r="V1762" s="247"/>
      <c r="W1762" s="247"/>
      <c r="X1762" s="247"/>
    </row>
    <row r="1763">
      <c r="A1763" s="294">
        <v>46086.0</v>
      </c>
      <c r="B1763" s="295" t="s">
        <v>1178</v>
      </c>
      <c r="C1763" s="295" t="s">
        <v>429</v>
      </c>
      <c r="D1763" s="296">
        <v>3484.0</v>
      </c>
      <c r="E1763" s="295" t="s">
        <v>1017</v>
      </c>
      <c r="F1763" s="292"/>
      <c r="G1763" s="293" t="str">
        <f>IFNA(IF(VLOOKUP(RC_OUT[BLOCK],RC_IN[[BLOCK]:[BLOCK LOC]],2,FALSE)=0,"",VLOOKUP(RC_OUT[BLOCK],RC_IN[[BLOCK]:[BLOCK LOC]],2,FALSE)),"")</f>
        <v>D-18D</v>
      </c>
      <c r="I1763" s="263">
        <f>IFERROR(AVERAGEIFS(RC_IN[MC],RC_IN[BLOCK],RC_OUT[BLOCK]),"")</f>
        <v>13.68857143</v>
      </c>
      <c r="J1763" s="264">
        <f t="shared" si="1"/>
        <v>47690.98286</v>
      </c>
      <c r="K1763" s="246"/>
      <c r="L1763" s="246"/>
      <c r="M1763" s="249"/>
      <c r="N1763" s="266">
        <f t="shared" si="3"/>
        <v>0</v>
      </c>
      <c r="O1763" s="247"/>
      <c r="P1763" s="247"/>
      <c r="Q1763" s="247"/>
      <c r="R1763" s="247"/>
      <c r="S1763" s="247"/>
      <c r="T1763" s="247"/>
      <c r="U1763" s="247"/>
      <c r="V1763" s="247"/>
      <c r="W1763" s="247"/>
      <c r="X1763" s="247"/>
    </row>
    <row r="1764">
      <c r="A1764" s="294">
        <v>46086.0</v>
      </c>
      <c r="B1764" s="295" t="s">
        <v>1178</v>
      </c>
      <c r="C1764" s="295" t="s">
        <v>517</v>
      </c>
      <c r="D1764" s="296">
        <v>15578.0</v>
      </c>
      <c r="E1764" s="295" t="s">
        <v>1017</v>
      </c>
      <c r="F1764" s="292"/>
      <c r="G1764" s="293" t="str">
        <f>IFNA(IF(VLOOKUP(RC_OUT[BLOCK],RC_IN[[BLOCK]:[BLOCK LOC]],2,FALSE)=0,"",VLOOKUP(RC_OUT[BLOCK],RC_IN[[BLOCK]:[BLOCK LOC]],2,FALSE)),"")</f>
        <v>D-13A</v>
      </c>
      <c r="I1764" s="263">
        <f>IFERROR(AVERAGEIFS(RC_IN[MC],RC_IN[BLOCK],RC_OUT[BLOCK]),"")</f>
        <v>12.3175</v>
      </c>
      <c r="J1764" s="264">
        <f t="shared" si="1"/>
        <v>191882.015</v>
      </c>
      <c r="K1764" s="246"/>
      <c r="L1764" s="246"/>
      <c r="M1764" s="249"/>
      <c r="N1764" s="266">
        <f t="shared" si="3"/>
        <v>0</v>
      </c>
      <c r="O1764" s="247"/>
      <c r="P1764" s="247"/>
      <c r="Q1764" s="247"/>
      <c r="R1764" s="247"/>
      <c r="S1764" s="247"/>
      <c r="T1764" s="247"/>
      <c r="U1764" s="247"/>
      <c r="V1764" s="247"/>
      <c r="W1764" s="247"/>
      <c r="X1764" s="247"/>
    </row>
    <row r="1765">
      <c r="A1765" s="294">
        <v>46086.0</v>
      </c>
      <c r="B1765" s="295" t="s">
        <v>1178</v>
      </c>
      <c r="C1765" s="295" t="s">
        <v>510</v>
      </c>
      <c r="D1765" s="296">
        <v>4362.0</v>
      </c>
      <c r="E1765" s="295" t="s">
        <v>1017</v>
      </c>
      <c r="F1765" s="292"/>
      <c r="G1765" s="293" t="str">
        <f>IFNA(IF(VLOOKUP(RC_OUT[BLOCK],RC_IN[[BLOCK]:[BLOCK LOC]],2,FALSE)=0,"",VLOOKUP(RC_OUT[BLOCK],RC_IN[[BLOCK]:[BLOCK LOC]],2,FALSE)),"")</f>
        <v>A-19B</v>
      </c>
      <c r="I1765" s="263">
        <f>IFERROR(AVERAGEIFS(RC_IN[MC],RC_IN[BLOCK],RC_OUT[BLOCK]),"")</f>
        <v>11.62</v>
      </c>
      <c r="J1765" s="264">
        <f t="shared" si="1"/>
        <v>50686.44</v>
      </c>
      <c r="K1765" s="246"/>
      <c r="L1765" s="246"/>
      <c r="M1765" s="249"/>
      <c r="N1765" s="266">
        <f t="shared" si="3"/>
        <v>0</v>
      </c>
      <c r="O1765" s="247"/>
      <c r="P1765" s="247"/>
      <c r="Q1765" s="247"/>
      <c r="R1765" s="247"/>
      <c r="S1765" s="247"/>
      <c r="T1765" s="247"/>
      <c r="U1765" s="247"/>
      <c r="V1765" s="247"/>
      <c r="W1765" s="247"/>
      <c r="X1765" s="247"/>
    </row>
    <row r="1766">
      <c r="A1766" s="294">
        <v>46086.0</v>
      </c>
      <c r="B1766" s="295" t="s">
        <v>1178</v>
      </c>
      <c r="C1766" s="295" t="s">
        <v>757</v>
      </c>
      <c r="D1766" s="296">
        <v>6000.0</v>
      </c>
      <c r="E1766" s="295" t="s">
        <v>1017</v>
      </c>
      <c r="F1766" s="292"/>
      <c r="G1766" s="293" t="str">
        <f>IFNA(IF(VLOOKUP(RC_OUT[BLOCK],RC_IN[[BLOCK]:[BLOCK LOC]],2,FALSE)=0,"",VLOOKUP(RC_OUT[BLOCK],RC_IN[[BLOCK]:[BLOCK LOC]],2,FALSE)),"")</f>
        <v/>
      </c>
      <c r="I1766" s="263">
        <f>IFERROR(AVERAGEIFS(RC_IN[MC],RC_IN[BLOCK],RC_OUT[BLOCK]),"")</f>
        <v>9.8</v>
      </c>
      <c r="J1766" s="264">
        <f t="shared" si="1"/>
        <v>58800</v>
      </c>
      <c r="K1766" s="246"/>
      <c r="L1766" s="246"/>
      <c r="M1766" s="249"/>
      <c r="N1766" s="266">
        <f t="shared" si="3"/>
        <v>0</v>
      </c>
      <c r="O1766" s="247"/>
      <c r="P1766" s="247"/>
      <c r="Q1766" s="247"/>
      <c r="R1766" s="247"/>
      <c r="S1766" s="247"/>
      <c r="T1766" s="247"/>
      <c r="U1766" s="247"/>
      <c r="V1766" s="247"/>
      <c r="W1766" s="247"/>
      <c r="X1766" s="247"/>
    </row>
    <row r="1767">
      <c r="A1767" s="294">
        <v>46086.0</v>
      </c>
      <c r="B1767" s="295" t="s">
        <v>1178</v>
      </c>
      <c r="C1767" s="295" t="s">
        <v>371</v>
      </c>
      <c r="D1767" s="296">
        <v>4977.0</v>
      </c>
      <c r="E1767" s="295" t="s">
        <v>1017</v>
      </c>
      <c r="F1767" s="292"/>
      <c r="G1767" s="293" t="str">
        <f>IFNA(IF(VLOOKUP(RC_OUT[BLOCK],RC_IN[[BLOCK]:[BLOCK LOC]],2,FALSE)=0,"",VLOOKUP(RC_OUT[BLOCK],RC_IN[[BLOCK]:[BLOCK LOC]],2,FALSE)),"")</f>
        <v>D-5B</v>
      </c>
      <c r="I1767" s="263">
        <f>IFERROR(AVERAGEIFS(RC_IN[MC],RC_IN[BLOCK],RC_OUT[BLOCK]),"")</f>
        <v>9.4</v>
      </c>
      <c r="J1767" s="264">
        <f t="shared" si="1"/>
        <v>46783.8</v>
      </c>
      <c r="K1767" s="246"/>
      <c r="L1767" s="246"/>
      <c r="M1767" s="249"/>
      <c r="N1767" s="266">
        <f t="shared" si="3"/>
        <v>0</v>
      </c>
      <c r="O1767" s="247"/>
      <c r="P1767" s="247"/>
      <c r="Q1767" s="247"/>
      <c r="R1767" s="247"/>
      <c r="S1767" s="247"/>
      <c r="T1767" s="247"/>
      <c r="U1767" s="247"/>
      <c r="V1767" s="247"/>
      <c r="W1767" s="247"/>
      <c r="X1767" s="247"/>
    </row>
    <row r="1768">
      <c r="A1768" s="294"/>
      <c r="B1768" s="295"/>
      <c r="C1768" s="295"/>
      <c r="D1768" s="296"/>
      <c r="E1768" s="295"/>
      <c r="F1768" s="292"/>
      <c r="G1768" s="293" t="str">
        <f>IFNA(IF(VLOOKUP(RC_OUT[BLOCK],RC_IN[[BLOCK]:[BLOCK LOC]],2,FALSE)=0,"",VLOOKUP(RC_OUT[BLOCK],RC_IN[[BLOCK]:[BLOCK LOC]],2,FALSE)),"")</f>
        <v/>
      </c>
      <c r="I1768" s="263" t="str">
        <f>IFERROR(AVERAGEIFS(RC_IN[MC],RC_IN[BLOCK],RC_OUT[BLOCK]),"")</f>
        <v/>
      </c>
      <c r="J1768" s="264">
        <f t="shared" si="1"/>
        <v>0</v>
      </c>
      <c r="K1768" s="246"/>
      <c r="L1768" s="246"/>
      <c r="M1768" s="249"/>
      <c r="N1768" s="266">
        <f t="shared" si="3"/>
        <v>0</v>
      </c>
      <c r="O1768" s="247"/>
      <c r="P1768" s="247"/>
      <c r="Q1768" s="247"/>
      <c r="R1768" s="247"/>
      <c r="S1768" s="247"/>
      <c r="T1768" s="247"/>
      <c r="U1768" s="247"/>
      <c r="V1768" s="247"/>
      <c r="W1768" s="247"/>
      <c r="X1768" s="247"/>
    </row>
    <row r="1769">
      <c r="A1769" s="294">
        <v>46087.0</v>
      </c>
      <c r="B1769" s="295" t="s">
        <v>1178</v>
      </c>
      <c r="C1769" s="295" t="s">
        <v>429</v>
      </c>
      <c r="D1769" s="296">
        <v>2488.0</v>
      </c>
      <c r="E1769" s="295" t="s">
        <v>1017</v>
      </c>
      <c r="F1769" s="292"/>
      <c r="G1769" s="293" t="str">
        <f>IFNA(IF(VLOOKUP(RC_OUT[BLOCK],RC_IN[[BLOCK]:[BLOCK LOC]],2,FALSE)=0,"",VLOOKUP(RC_OUT[BLOCK],RC_IN[[BLOCK]:[BLOCK LOC]],2,FALSE)),"")</f>
        <v>D-18D</v>
      </c>
      <c r="I1769" s="263">
        <f>IFERROR(AVERAGEIFS(RC_IN[MC],RC_IN[BLOCK],RC_OUT[BLOCK]),"")</f>
        <v>13.68857143</v>
      </c>
      <c r="J1769" s="264">
        <f t="shared" si="1"/>
        <v>34057.16571</v>
      </c>
      <c r="K1769" s="246"/>
      <c r="L1769" s="246"/>
      <c r="M1769" s="249"/>
      <c r="N1769" s="266">
        <f t="shared" si="3"/>
        <v>0</v>
      </c>
      <c r="O1769" s="247"/>
      <c r="P1769" s="247"/>
      <c r="Q1769" s="247"/>
      <c r="R1769" s="247"/>
      <c r="S1769" s="247"/>
      <c r="T1769" s="247"/>
      <c r="U1769" s="247"/>
      <c r="V1769" s="247"/>
      <c r="W1769" s="247"/>
      <c r="X1769" s="247"/>
    </row>
    <row r="1770">
      <c r="A1770" s="294">
        <v>46087.0</v>
      </c>
      <c r="B1770" s="295" t="s">
        <v>1178</v>
      </c>
      <c r="C1770" s="295" t="s">
        <v>517</v>
      </c>
      <c r="D1770" s="296">
        <v>11843.0</v>
      </c>
      <c r="E1770" s="295" t="s">
        <v>1017</v>
      </c>
      <c r="F1770" s="292"/>
      <c r="G1770" s="293" t="str">
        <f>IFNA(IF(VLOOKUP(RC_OUT[BLOCK],RC_IN[[BLOCK]:[BLOCK LOC]],2,FALSE)=0,"",VLOOKUP(RC_OUT[BLOCK],RC_IN[[BLOCK]:[BLOCK LOC]],2,FALSE)),"")</f>
        <v>D-13A</v>
      </c>
      <c r="I1770" s="263">
        <f>IFERROR(AVERAGEIFS(RC_IN[MC],RC_IN[BLOCK],RC_OUT[BLOCK]),"")</f>
        <v>12.3175</v>
      </c>
      <c r="J1770" s="264">
        <f t="shared" si="1"/>
        <v>145876.1525</v>
      </c>
      <c r="K1770" s="246"/>
      <c r="L1770" s="246"/>
      <c r="M1770" s="249"/>
      <c r="N1770" s="266">
        <f t="shared" si="3"/>
        <v>0</v>
      </c>
      <c r="O1770" s="247"/>
      <c r="P1770" s="247"/>
      <c r="Q1770" s="247"/>
      <c r="R1770" s="247"/>
      <c r="S1770" s="247"/>
      <c r="T1770" s="247"/>
      <c r="U1770" s="247"/>
      <c r="V1770" s="247"/>
      <c r="W1770" s="247"/>
      <c r="X1770" s="247"/>
    </row>
    <row r="1771">
      <c r="A1771" s="294">
        <v>46087.0</v>
      </c>
      <c r="B1771" s="295" t="s">
        <v>1178</v>
      </c>
      <c r="C1771" s="295" t="s">
        <v>510</v>
      </c>
      <c r="D1771" s="296">
        <v>4509.0</v>
      </c>
      <c r="E1771" s="295" t="s">
        <v>1017</v>
      </c>
      <c r="F1771" s="292"/>
      <c r="G1771" s="293" t="str">
        <f>IFNA(IF(VLOOKUP(RC_OUT[BLOCK],RC_IN[[BLOCK]:[BLOCK LOC]],2,FALSE)=0,"",VLOOKUP(RC_OUT[BLOCK],RC_IN[[BLOCK]:[BLOCK LOC]],2,FALSE)),"")</f>
        <v>A-19B</v>
      </c>
      <c r="I1771" s="263">
        <f>IFERROR(AVERAGEIFS(RC_IN[MC],RC_IN[BLOCK],RC_OUT[BLOCK]),"")</f>
        <v>11.62</v>
      </c>
      <c r="J1771" s="264">
        <f t="shared" si="1"/>
        <v>52394.58</v>
      </c>
      <c r="K1771" s="246"/>
      <c r="L1771" s="246"/>
      <c r="M1771" s="249"/>
      <c r="N1771" s="266">
        <f t="shared" si="3"/>
        <v>0</v>
      </c>
      <c r="O1771" s="247"/>
      <c r="P1771" s="247"/>
      <c r="Q1771" s="247"/>
      <c r="R1771" s="247"/>
      <c r="S1771" s="247"/>
      <c r="T1771" s="247"/>
      <c r="U1771" s="247"/>
      <c r="V1771" s="247"/>
      <c r="W1771" s="247"/>
      <c r="X1771" s="247"/>
    </row>
    <row r="1772">
      <c r="A1772" s="294">
        <v>46087.0</v>
      </c>
      <c r="B1772" s="295" t="s">
        <v>1178</v>
      </c>
      <c r="C1772" s="295" t="s">
        <v>757</v>
      </c>
      <c r="D1772" s="296">
        <v>10000.0</v>
      </c>
      <c r="E1772" s="295" t="s">
        <v>1017</v>
      </c>
      <c r="F1772" s="297" t="s">
        <v>1059</v>
      </c>
      <c r="G1772" s="293" t="str">
        <f>IFNA(IF(VLOOKUP(RC_OUT[BLOCK],RC_IN[[BLOCK]:[BLOCK LOC]],2,FALSE)=0,"",VLOOKUP(RC_OUT[BLOCK],RC_IN[[BLOCK]:[BLOCK LOC]],2,FALSE)),"")</f>
        <v/>
      </c>
      <c r="I1772" s="263">
        <f>IFERROR(AVERAGEIFS(RC_IN[MC],RC_IN[BLOCK],RC_OUT[BLOCK]),"")</f>
        <v>9.8</v>
      </c>
      <c r="J1772" s="264">
        <f t="shared" si="1"/>
        <v>98000</v>
      </c>
      <c r="K1772" s="246"/>
      <c r="L1772" s="246"/>
      <c r="M1772" s="249"/>
      <c r="N1772" s="266">
        <f t="shared" si="3"/>
        <v>0</v>
      </c>
      <c r="O1772" s="247"/>
      <c r="P1772" s="247"/>
      <c r="Q1772" s="247"/>
      <c r="R1772" s="247"/>
      <c r="S1772" s="247"/>
      <c r="T1772" s="247"/>
      <c r="U1772" s="247"/>
      <c r="V1772" s="247"/>
      <c r="W1772" s="247"/>
      <c r="X1772" s="247"/>
    </row>
    <row r="1773">
      <c r="A1773" s="294">
        <v>46087.0</v>
      </c>
      <c r="B1773" s="295" t="s">
        <v>1178</v>
      </c>
      <c r="C1773" s="295" t="s">
        <v>371</v>
      </c>
      <c r="D1773" s="296">
        <v>4718.0</v>
      </c>
      <c r="E1773" s="295" t="s">
        <v>1017</v>
      </c>
      <c r="F1773" s="292"/>
      <c r="G1773" s="293" t="str">
        <f>IFNA(IF(VLOOKUP(RC_OUT[BLOCK],RC_IN[[BLOCK]:[BLOCK LOC]],2,FALSE)=0,"",VLOOKUP(RC_OUT[BLOCK],RC_IN[[BLOCK]:[BLOCK LOC]],2,FALSE)),"")</f>
        <v>D-5B</v>
      </c>
      <c r="I1773" s="263">
        <f>IFERROR(AVERAGEIFS(RC_IN[MC],RC_IN[BLOCK],RC_OUT[BLOCK]),"")</f>
        <v>9.4</v>
      </c>
      <c r="J1773" s="264">
        <f t="shared" si="1"/>
        <v>44349.2</v>
      </c>
      <c r="K1773" s="246"/>
      <c r="L1773" s="246"/>
      <c r="M1773" s="249"/>
      <c r="N1773" s="266">
        <f t="shared" si="3"/>
        <v>0</v>
      </c>
      <c r="O1773" s="247"/>
      <c r="P1773" s="247"/>
      <c r="Q1773" s="247"/>
      <c r="R1773" s="247"/>
      <c r="S1773" s="247"/>
      <c r="T1773" s="247"/>
      <c r="U1773" s="247"/>
      <c r="V1773" s="247"/>
      <c r="W1773" s="247"/>
      <c r="X1773" s="247"/>
    </row>
    <row r="1774">
      <c r="A1774" s="294"/>
      <c r="B1774" s="295"/>
      <c r="C1774" s="295"/>
      <c r="D1774" s="296"/>
      <c r="E1774" s="295"/>
      <c r="F1774" s="292"/>
      <c r="G1774" s="293" t="str">
        <f>IFNA(IF(VLOOKUP(RC_OUT[BLOCK],RC_IN[[BLOCK]:[BLOCK LOC]],2,FALSE)=0,"",VLOOKUP(RC_OUT[BLOCK],RC_IN[[BLOCK]:[BLOCK LOC]],2,FALSE)),"")</f>
        <v/>
      </c>
      <c r="I1774" s="263" t="str">
        <f>IFERROR(AVERAGEIFS(RC_IN[MC],RC_IN[BLOCK],RC_OUT[BLOCK]),"")</f>
        <v/>
      </c>
      <c r="J1774" s="264">
        <f t="shared" si="1"/>
        <v>0</v>
      </c>
      <c r="K1774" s="246"/>
      <c r="L1774" s="246"/>
      <c r="M1774" s="249"/>
      <c r="N1774" s="266">
        <f t="shared" si="3"/>
        <v>0</v>
      </c>
      <c r="O1774" s="247"/>
      <c r="P1774" s="247"/>
      <c r="Q1774" s="247"/>
      <c r="R1774" s="247"/>
      <c r="S1774" s="247"/>
      <c r="T1774" s="247"/>
      <c r="U1774" s="247"/>
      <c r="V1774" s="247"/>
      <c r="W1774" s="247"/>
      <c r="X1774" s="247"/>
    </row>
    <row r="1775">
      <c r="A1775" s="294">
        <v>46083.0</v>
      </c>
      <c r="B1775" s="295" t="s">
        <v>1147</v>
      </c>
      <c r="C1775" s="295" t="s">
        <v>563</v>
      </c>
      <c r="D1775" s="296">
        <v>2961.0</v>
      </c>
      <c r="E1775" s="295" t="s">
        <v>1374</v>
      </c>
      <c r="F1775" s="297" t="s">
        <v>1059</v>
      </c>
      <c r="G1775" s="293" t="str">
        <f>IFNA(IF(VLOOKUP(RC_OUT[BLOCK],RC_IN[[BLOCK]:[BLOCK LOC]],2,FALSE)=0,"",VLOOKUP(RC_OUT[BLOCK],RC_IN[[BLOCK]:[BLOCK LOC]],2,FALSE)),"")</f>
        <v>D-18C</v>
      </c>
      <c r="I1775" s="263">
        <f>IFERROR(AVERAGEIFS(RC_IN[MC],RC_IN[BLOCK],RC_OUT[BLOCK]),"")</f>
        <v>14.035</v>
      </c>
      <c r="J1775" s="264">
        <f t="shared" si="1"/>
        <v>41557.635</v>
      </c>
      <c r="K1775" s="246"/>
      <c r="L1775" s="246"/>
      <c r="M1775" s="249"/>
      <c r="N1775" s="266">
        <f t="shared" si="3"/>
        <v>0</v>
      </c>
      <c r="O1775" s="247"/>
      <c r="P1775" s="247"/>
      <c r="Q1775" s="247"/>
      <c r="R1775" s="247"/>
      <c r="S1775" s="247"/>
      <c r="T1775" s="247"/>
      <c r="U1775" s="247"/>
      <c r="V1775" s="247"/>
      <c r="W1775" s="247"/>
      <c r="X1775" s="247"/>
    </row>
    <row r="1776">
      <c r="A1776" s="294">
        <v>46083.0</v>
      </c>
      <c r="B1776" s="295" t="s">
        <v>1178</v>
      </c>
      <c r="C1776" s="295" t="s">
        <v>717</v>
      </c>
      <c r="D1776" s="296">
        <v>7600.0</v>
      </c>
      <c r="E1776" s="295" t="s">
        <v>1374</v>
      </c>
      <c r="F1776" s="292"/>
      <c r="G1776" s="293" t="str">
        <f>IFNA(IF(VLOOKUP(RC_OUT[BLOCK],RC_IN[[BLOCK]:[BLOCK LOC]],2,FALSE)=0,"",VLOOKUP(RC_OUT[BLOCK],RC_IN[[BLOCK]:[BLOCK LOC]],2,FALSE)),"")</f>
        <v>D-20D</v>
      </c>
      <c r="I1776" s="263">
        <f>IFERROR(AVERAGEIFS(RC_IN[MC],RC_IN[BLOCK],RC_OUT[BLOCK]),"")</f>
        <v>15.6</v>
      </c>
      <c r="J1776" s="264">
        <f t="shared" si="1"/>
        <v>118560</v>
      </c>
      <c r="K1776" s="246"/>
      <c r="L1776" s="246"/>
      <c r="M1776" s="249"/>
      <c r="N1776" s="266">
        <f t="shared" si="3"/>
        <v>0</v>
      </c>
      <c r="O1776" s="247"/>
      <c r="P1776" s="247"/>
      <c r="Q1776" s="247"/>
      <c r="R1776" s="247"/>
      <c r="S1776" s="247"/>
      <c r="T1776" s="247"/>
      <c r="U1776" s="247"/>
      <c r="V1776" s="247"/>
      <c r="W1776" s="247"/>
      <c r="X1776" s="247"/>
    </row>
    <row r="1777">
      <c r="A1777" s="294">
        <v>46084.0</v>
      </c>
      <c r="B1777" s="295" t="s">
        <v>1178</v>
      </c>
      <c r="C1777" s="295" t="s">
        <v>717</v>
      </c>
      <c r="D1777" s="296">
        <v>12108.0</v>
      </c>
      <c r="E1777" s="295" t="s">
        <v>1374</v>
      </c>
      <c r="F1777" s="292"/>
      <c r="G1777" s="293" t="str">
        <f>IFNA(IF(VLOOKUP(RC_OUT[BLOCK],RC_IN[[BLOCK]:[BLOCK LOC]],2,FALSE)=0,"",VLOOKUP(RC_OUT[BLOCK],RC_IN[[BLOCK]:[BLOCK LOC]],2,FALSE)),"")</f>
        <v>D-20D</v>
      </c>
      <c r="I1777" s="263">
        <f>IFERROR(AVERAGEIFS(RC_IN[MC],RC_IN[BLOCK],RC_OUT[BLOCK]),"")</f>
        <v>15.6</v>
      </c>
      <c r="J1777" s="264">
        <f t="shared" si="1"/>
        <v>188884.8</v>
      </c>
      <c r="K1777" s="246"/>
      <c r="L1777" s="246"/>
      <c r="M1777" s="249"/>
      <c r="N1777" s="266">
        <f t="shared" si="3"/>
        <v>0</v>
      </c>
      <c r="O1777" s="247"/>
      <c r="P1777" s="247"/>
      <c r="Q1777" s="247"/>
      <c r="R1777" s="247"/>
      <c r="S1777" s="247"/>
      <c r="T1777" s="247"/>
      <c r="U1777" s="247"/>
      <c r="V1777" s="247"/>
      <c r="W1777" s="247"/>
      <c r="X1777" s="247"/>
    </row>
    <row r="1778">
      <c r="A1778" s="294">
        <v>46085.0</v>
      </c>
      <c r="B1778" s="295" t="s">
        <v>1178</v>
      </c>
      <c r="C1778" s="295" t="s">
        <v>717</v>
      </c>
      <c r="D1778" s="296">
        <v>9486.0</v>
      </c>
      <c r="E1778" s="295" t="s">
        <v>1374</v>
      </c>
      <c r="F1778" s="297" t="s">
        <v>1059</v>
      </c>
      <c r="G1778" s="293" t="str">
        <f>IFNA(IF(VLOOKUP(RC_OUT[BLOCK],RC_IN[[BLOCK]:[BLOCK LOC]],2,FALSE)=0,"",VLOOKUP(RC_OUT[BLOCK],RC_IN[[BLOCK]:[BLOCK LOC]],2,FALSE)),"")</f>
        <v>D-20D</v>
      </c>
      <c r="I1778" s="263">
        <f>IFERROR(AVERAGEIFS(RC_IN[MC],RC_IN[BLOCK],RC_OUT[BLOCK]),"")</f>
        <v>15.6</v>
      </c>
      <c r="J1778" s="264">
        <f t="shared" si="1"/>
        <v>147981.6</v>
      </c>
      <c r="K1778" s="246"/>
      <c r="L1778" s="246"/>
      <c r="M1778" s="249"/>
      <c r="N1778" s="266">
        <f t="shared" si="3"/>
        <v>0</v>
      </c>
      <c r="O1778" s="247"/>
      <c r="P1778" s="247"/>
      <c r="Q1778" s="247"/>
      <c r="R1778" s="247"/>
      <c r="S1778" s="247"/>
      <c r="T1778" s="247"/>
      <c r="U1778" s="247"/>
      <c r="V1778" s="247"/>
      <c r="W1778" s="247"/>
      <c r="X1778" s="247"/>
    </row>
    <row r="1779">
      <c r="A1779" s="294">
        <v>46085.0</v>
      </c>
      <c r="B1779" s="295" t="s">
        <v>1178</v>
      </c>
      <c r="C1779" s="295" t="s">
        <v>735</v>
      </c>
      <c r="D1779" s="296">
        <v>3105.0</v>
      </c>
      <c r="E1779" s="295" t="s">
        <v>1374</v>
      </c>
      <c r="F1779" s="292"/>
      <c r="G1779" s="293" t="str">
        <f>IFNA(IF(VLOOKUP(RC_OUT[BLOCK],RC_IN[[BLOCK]:[BLOCK LOC]],2,FALSE)=0,"",VLOOKUP(RC_OUT[BLOCK],RC_IN[[BLOCK]:[BLOCK LOC]],2,FALSE)),"")</f>
        <v>D-20C</v>
      </c>
      <c r="I1779" s="263">
        <f>IFERROR(AVERAGEIFS(RC_IN[MC],RC_IN[BLOCK],RC_OUT[BLOCK]),"")</f>
        <v>15.07</v>
      </c>
      <c r="J1779" s="264">
        <f t="shared" si="1"/>
        <v>46792.35</v>
      </c>
      <c r="K1779" s="246"/>
      <c r="L1779" s="246"/>
      <c r="M1779" s="249"/>
      <c r="N1779" s="266">
        <f t="shared" si="3"/>
        <v>0</v>
      </c>
      <c r="O1779" s="247"/>
      <c r="P1779" s="247"/>
      <c r="Q1779" s="247"/>
      <c r="R1779" s="247"/>
      <c r="S1779" s="247"/>
      <c r="T1779" s="247"/>
      <c r="U1779" s="247"/>
      <c r="V1779" s="247"/>
      <c r="W1779" s="247"/>
      <c r="X1779" s="247"/>
    </row>
    <row r="1780">
      <c r="A1780" s="294">
        <v>46086.0</v>
      </c>
      <c r="B1780" s="295" t="s">
        <v>1178</v>
      </c>
      <c r="C1780" s="295" t="s">
        <v>735</v>
      </c>
      <c r="D1780" s="296">
        <v>11617.0</v>
      </c>
      <c r="E1780" s="295" t="s">
        <v>1374</v>
      </c>
      <c r="F1780" s="297" t="s">
        <v>1059</v>
      </c>
      <c r="G1780" s="293" t="str">
        <f>IFNA(IF(VLOOKUP(RC_OUT[BLOCK],RC_IN[[BLOCK]:[BLOCK LOC]],2,FALSE)=0,"",VLOOKUP(RC_OUT[BLOCK],RC_IN[[BLOCK]:[BLOCK LOC]],2,FALSE)),"")</f>
        <v>D-20C</v>
      </c>
      <c r="I1780" s="263">
        <f>IFERROR(AVERAGEIFS(RC_IN[MC],RC_IN[BLOCK],RC_OUT[BLOCK]),"")</f>
        <v>15.07</v>
      </c>
      <c r="J1780" s="264">
        <f t="shared" si="1"/>
        <v>175068.19</v>
      </c>
      <c r="K1780" s="246"/>
      <c r="L1780" s="246"/>
      <c r="M1780" s="249"/>
      <c r="N1780" s="266">
        <f t="shared" si="3"/>
        <v>0</v>
      </c>
      <c r="O1780" s="247"/>
      <c r="P1780" s="247"/>
      <c r="Q1780" s="247"/>
      <c r="R1780" s="247"/>
      <c r="S1780" s="247"/>
      <c r="T1780" s="247"/>
      <c r="U1780" s="247"/>
      <c r="V1780" s="247"/>
      <c r="W1780" s="247"/>
      <c r="X1780" s="247"/>
    </row>
    <row r="1781">
      <c r="A1781" s="294"/>
      <c r="B1781" s="295"/>
      <c r="C1781" s="295"/>
      <c r="D1781" s="296"/>
      <c r="E1781" s="295"/>
      <c r="F1781" s="292"/>
      <c r="G1781" s="293" t="str">
        <f>IFNA(IF(VLOOKUP(RC_OUT[BLOCK],RC_IN[[BLOCK]:[BLOCK LOC]],2,FALSE)=0,"",VLOOKUP(RC_OUT[BLOCK],RC_IN[[BLOCK]:[BLOCK LOC]],2,FALSE)),"")</f>
        <v/>
      </c>
      <c r="I1781" s="263" t="str">
        <f>IFERROR(AVERAGEIFS(RC_IN[MC],RC_IN[BLOCK],RC_OUT[BLOCK]),"")</f>
        <v/>
      </c>
      <c r="J1781" s="264">
        <f t="shared" si="1"/>
        <v>0</v>
      </c>
      <c r="K1781" s="246"/>
      <c r="L1781" s="246"/>
      <c r="M1781" s="249"/>
      <c r="N1781" s="266">
        <f t="shared" si="3"/>
        <v>0</v>
      </c>
      <c r="O1781" s="247"/>
      <c r="P1781" s="247"/>
      <c r="Q1781" s="247"/>
      <c r="R1781" s="247"/>
      <c r="S1781" s="247"/>
      <c r="T1781" s="247"/>
      <c r="U1781" s="247"/>
      <c r="V1781" s="247"/>
      <c r="W1781" s="247"/>
      <c r="X1781" s="247"/>
    </row>
    <row r="1782">
      <c r="A1782" s="294">
        <v>46088.0</v>
      </c>
      <c r="B1782" s="295" t="s">
        <v>1178</v>
      </c>
      <c r="C1782" s="295" t="s">
        <v>429</v>
      </c>
      <c r="D1782" s="296">
        <v>2208.0</v>
      </c>
      <c r="E1782" s="295" t="s">
        <v>1017</v>
      </c>
      <c r="F1782" s="292"/>
      <c r="G1782" s="293" t="str">
        <f>IFNA(IF(VLOOKUP(RC_OUT[BLOCK],RC_IN[[BLOCK]:[BLOCK LOC]],2,FALSE)=0,"",VLOOKUP(RC_OUT[BLOCK],RC_IN[[BLOCK]:[BLOCK LOC]],2,FALSE)),"")</f>
        <v>D-18D</v>
      </c>
      <c r="I1782" s="263">
        <f>IFERROR(AVERAGEIFS(RC_IN[MC],RC_IN[BLOCK],RC_OUT[BLOCK]),"")</f>
        <v>13.68857143</v>
      </c>
      <c r="J1782" s="264">
        <f t="shared" si="1"/>
        <v>30224.36571</v>
      </c>
      <c r="K1782" s="246"/>
      <c r="L1782" s="246"/>
      <c r="M1782" s="249"/>
      <c r="N1782" s="266">
        <f t="shared" si="3"/>
        <v>0</v>
      </c>
      <c r="O1782" s="247"/>
      <c r="P1782" s="247"/>
      <c r="Q1782" s="247"/>
      <c r="R1782" s="247"/>
      <c r="S1782" s="247"/>
      <c r="T1782" s="247"/>
      <c r="U1782" s="247"/>
      <c r="V1782" s="247"/>
      <c r="W1782" s="247"/>
      <c r="X1782" s="247"/>
    </row>
    <row r="1783">
      <c r="A1783" s="294">
        <v>46088.0</v>
      </c>
      <c r="B1783" s="295" t="s">
        <v>1178</v>
      </c>
      <c r="C1783" s="295" t="s">
        <v>517</v>
      </c>
      <c r="D1783" s="296">
        <v>15045.0</v>
      </c>
      <c r="E1783" s="295" t="s">
        <v>1017</v>
      </c>
      <c r="F1783" s="292"/>
      <c r="G1783" s="293" t="str">
        <f>IFNA(IF(VLOOKUP(RC_OUT[BLOCK],RC_IN[[BLOCK]:[BLOCK LOC]],2,FALSE)=0,"",VLOOKUP(RC_OUT[BLOCK],RC_IN[[BLOCK]:[BLOCK LOC]],2,FALSE)),"")</f>
        <v>D-13A</v>
      </c>
      <c r="I1783" s="263">
        <f>IFERROR(AVERAGEIFS(RC_IN[MC],RC_IN[BLOCK],RC_OUT[BLOCK]),"")</f>
        <v>12.3175</v>
      </c>
      <c r="J1783" s="264">
        <f t="shared" si="1"/>
        <v>185316.7875</v>
      </c>
      <c r="K1783" s="246"/>
      <c r="L1783" s="246"/>
      <c r="M1783" s="249"/>
      <c r="N1783" s="266">
        <f t="shared" si="3"/>
        <v>0</v>
      </c>
      <c r="O1783" s="247"/>
      <c r="P1783" s="247"/>
      <c r="Q1783" s="247"/>
      <c r="R1783" s="247"/>
      <c r="S1783" s="247"/>
      <c r="T1783" s="247"/>
      <c r="U1783" s="247"/>
      <c r="V1783" s="247"/>
      <c r="W1783" s="247"/>
      <c r="X1783" s="247"/>
    </row>
    <row r="1784">
      <c r="A1784" s="294">
        <v>46088.0</v>
      </c>
      <c r="B1784" s="295" t="s">
        <v>1178</v>
      </c>
      <c r="C1784" s="295" t="s">
        <v>510</v>
      </c>
      <c r="D1784" s="296">
        <v>6753.0</v>
      </c>
      <c r="E1784" s="295" t="s">
        <v>1017</v>
      </c>
      <c r="F1784" s="292"/>
      <c r="G1784" s="293" t="str">
        <f>IFNA(IF(VLOOKUP(RC_OUT[BLOCK],RC_IN[[BLOCK]:[BLOCK LOC]],2,FALSE)=0,"",VLOOKUP(RC_OUT[BLOCK],RC_IN[[BLOCK]:[BLOCK LOC]],2,FALSE)),"")</f>
        <v>A-19B</v>
      </c>
      <c r="I1784" s="263">
        <f>IFERROR(AVERAGEIFS(RC_IN[MC],RC_IN[BLOCK],RC_OUT[BLOCK]),"")</f>
        <v>11.62</v>
      </c>
      <c r="J1784" s="264">
        <f t="shared" si="1"/>
        <v>78469.86</v>
      </c>
      <c r="K1784" s="246"/>
      <c r="L1784" s="246"/>
      <c r="M1784" s="249"/>
      <c r="N1784" s="266">
        <f t="shared" si="3"/>
        <v>0</v>
      </c>
      <c r="O1784" s="247"/>
      <c r="P1784" s="247"/>
      <c r="Q1784" s="247"/>
      <c r="R1784" s="247"/>
      <c r="S1784" s="247"/>
      <c r="T1784" s="247"/>
      <c r="U1784" s="247"/>
      <c r="V1784" s="247"/>
      <c r="W1784" s="247"/>
      <c r="X1784" s="247"/>
    </row>
    <row r="1785">
      <c r="A1785" s="294">
        <v>46088.0</v>
      </c>
      <c r="B1785" s="295" t="s">
        <v>1178</v>
      </c>
      <c r="C1785" s="295" t="s">
        <v>371</v>
      </c>
      <c r="D1785" s="296">
        <v>4113.0</v>
      </c>
      <c r="E1785" s="295" t="s">
        <v>1017</v>
      </c>
      <c r="F1785" s="292"/>
      <c r="G1785" s="293" t="str">
        <f>IFNA(IF(VLOOKUP(RC_OUT[BLOCK],RC_IN[[BLOCK]:[BLOCK LOC]],2,FALSE)=0,"",VLOOKUP(RC_OUT[BLOCK],RC_IN[[BLOCK]:[BLOCK LOC]],2,FALSE)),"")</f>
        <v>D-5B</v>
      </c>
      <c r="I1785" s="263">
        <f>IFERROR(AVERAGEIFS(RC_IN[MC],RC_IN[BLOCK],RC_OUT[BLOCK]),"")</f>
        <v>9.4</v>
      </c>
      <c r="J1785" s="264">
        <f t="shared" si="1"/>
        <v>38662.2</v>
      </c>
      <c r="K1785" s="246"/>
      <c r="L1785" s="246"/>
      <c r="M1785" s="249"/>
      <c r="N1785" s="266">
        <f t="shared" si="3"/>
        <v>0</v>
      </c>
      <c r="O1785" s="247"/>
      <c r="P1785" s="247"/>
      <c r="Q1785" s="247"/>
      <c r="R1785" s="247"/>
      <c r="S1785" s="247"/>
      <c r="T1785" s="247"/>
      <c r="U1785" s="247"/>
      <c r="V1785" s="247"/>
      <c r="W1785" s="247"/>
      <c r="X1785" s="247"/>
    </row>
    <row r="1786">
      <c r="A1786" s="294">
        <v>46088.0</v>
      </c>
      <c r="B1786" s="295" t="s">
        <v>1178</v>
      </c>
      <c r="C1786" s="295" t="s">
        <v>773</v>
      </c>
      <c r="D1786" s="296">
        <v>11115.0</v>
      </c>
      <c r="E1786" s="295" t="s">
        <v>1017</v>
      </c>
      <c r="F1786" s="292"/>
      <c r="G1786" s="293" t="str">
        <f>IFNA(IF(VLOOKUP(RC_OUT[BLOCK],RC_IN[[BLOCK]:[BLOCK LOC]],2,FALSE)=0,"",VLOOKUP(RC_OUT[BLOCK],RC_IN[[BLOCK]:[BLOCK LOC]],2,FALSE)),"")</f>
        <v/>
      </c>
      <c r="I1786" s="263">
        <f>IFERROR(AVERAGEIFS(RC_IN[MC],RC_IN[BLOCK],RC_OUT[BLOCK]),"")</f>
        <v>10.8</v>
      </c>
      <c r="J1786" s="264">
        <f t="shared" si="1"/>
        <v>120042</v>
      </c>
      <c r="K1786" s="246"/>
      <c r="L1786" s="246"/>
      <c r="M1786" s="249"/>
      <c r="N1786" s="266">
        <f t="shared" si="3"/>
        <v>0</v>
      </c>
      <c r="O1786" s="247"/>
      <c r="P1786" s="247"/>
      <c r="Q1786" s="247"/>
      <c r="R1786" s="247"/>
      <c r="S1786" s="247"/>
      <c r="T1786" s="247"/>
      <c r="U1786" s="247"/>
      <c r="V1786" s="247"/>
      <c r="W1786" s="247"/>
      <c r="X1786" s="247"/>
    </row>
    <row r="1787">
      <c r="A1787" s="294"/>
      <c r="B1787" s="295"/>
      <c r="C1787" s="295"/>
      <c r="D1787" s="296"/>
      <c r="E1787" s="295"/>
      <c r="F1787" s="292"/>
      <c r="G1787" s="293" t="str">
        <f>IFNA(IF(VLOOKUP(RC_OUT[BLOCK],RC_IN[[BLOCK]:[BLOCK LOC]],2,FALSE)=0,"",VLOOKUP(RC_OUT[BLOCK],RC_IN[[BLOCK]:[BLOCK LOC]],2,FALSE)),"")</f>
        <v/>
      </c>
      <c r="I1787" s="263" t="str">
        <f>IFERROR(AVERAGEIFS(RC_IN[MC],RC_IN[BLOCK],RC_OUT[BLOCK]),"")</f>
        <v/>
      </c>
      <c r="J1787" s="264">
        <f t="shared" si="1"/>
        <v>0</v>
      </c>
      <c r="K1787" s="246"/>
      <c r="L1787" s="246"/>
      <c r="M1787" s="249"/>
      <c r="N1787" s="266">
        <f t="shared" si="3"/>
        <v>0</v>
      </c>
      <c r="O1787" s="247"/>
      <c r="P1787" s="247"/>
      <c r="Q1787" s="247"/>
      <c r="R1787" s="247"/>
      <c r="S1787" s="247"/>
      <c r="T1787" s="247"/>
      <c r="U1787" s="247"/>
      <c r="V1787" s="247"/>
      <c r="W1787" s="247"/>
      <c r="X1787" s="247"/>
    </row>
    <row r="1788">
      <c r="A1788" s="294">
        <v>46090.0</v>
      </c>
      <c r="B1788" s="295" t="s">
        <v>1178</v>
      </c>
      <c r="C1788" s="295" t="s">
        <v>429</v>
      </c>
      <c r="D1788" s="296">
        <v>4281.0</v>
      </c>
      <c r="E1788" s="295" t="s">
        <v>1017</v>
      </c>
      <c r="F1788" s="292"/>
      <c r="G1788" s="293" t="str">
        <f>IFNA(IF(VLOOKUP(RC_OUT[BLOCK],RC_IN[[BLOCK]:[BLOCK LOC]],2,FALSE)=0,"",VLOOKUP(RC_OUT[BLOCK],RC_IN[[BLOCK]:[BLOCK LOC]],2,FALSE)),"")</f>
        <v>D-18D</v>
      </c>
      <c r="I1788" s="263">
        <f>IFERROR(AVERAGEIFS(RC_IN[MC],RC_IN[BLOCK],RC_OUT[BLOCK]),"")</f>
        <v>13.68857143</v>
      </c>
      <c r="J1788" s="264">
        <f t="shared" si="1"/>
        <v>58600.77429</v>
      </c>
      <c r="K1788" s="246"/>
      <c r="L1788" s="246"/>
      <c r="M1788" s="249"/>
      <c r="N1788" s="266">
        <f t="shared" si="3"/>
        <v>0</v>
      </c>
      <c r="O1788" s="247"/>
      <c r="P1788" s="247"/>
      <c r="Q1788" s="247"/>
      <c r="R1788" s="247"/>
      <c r="S1788" s="247"/>
      <c r="T1788" s="247"/>
      <c r="U1788" s="247"/>
      <c r="V1788" s="247"/>
      <c r="W1788" s="247"/>
      <c r="X1788" s="247"/>
    </row>
    <row r="1789">
      <c r="A1789" s="294">
        <v>46090.0</v>
      </c>
      <c r="B1789" s="295" t="s">
        <v>1178</v>
      </c>
      <c r="C1789" s="295" t="s">
        <v>517</v>
      </c>
      <c r="D1789" s="296">
        <v>5993.0</v>
      </c>
      <c r="E1789" s="295" t="s">
        <v>1017</v>
      </c>
      <c r="F1789" s="297" t="s">
        <v>1059</v>
      </c>
      <c r="G1789" s="293" t="str">
        <f>IFNA(IF(VLOOKUP(RC_OUT[BLOCK],RC_IN[[BLOCK]:[BLOCK LOC]],2,FALSE)=0,"",VLOOKUP(RC_OUT[BLOCK],RC_IN[[BLOCK]:[BLOCK LOC]],2,FALSE)),"")</f>
        <v>D-13A</v>
      </c>
      <c r="I1789" s="263">
        <f>IFERROR(AVERAGEIFS(RC_IN[MC],RC_IN[BLOCK],RC_OUT[BLOCK]),"")</f>
        <v>12.3175</v>
      </c>
      <c r="J1789" s="264">
        <f t="shared" si="1"/>
        <v>73818.7775</v>
      </c>
      <c r="K1789" s="246"/>
      <c r="L1789" s="246"/>
      <c r="M1789" s="249"/>
      <c r="N1789" s="266">
        <f t="shared" si="3"/>
        <v>0</v>
      </c>
      <c r="O1789" s="247"/>
      <c r="P1789" s="247"/>
      <c r="Q1789" s="247"/>
      <c r="R1789" s="247"/>
      <c r="S1789" s="247"/>
      <c r="T1789" s="247"/>
      <c r="U1789" s="247"/>
      <c r="V1789" s="247"/>
      <c r="W1789" s="247"/>
      <c r="X1789" s="247"/>
    </row>
    <row r="1790">
      <c r="A1790" s="294">
        <v>46090.0</v>
      </c>
      <c r="B1790" s="295" t="s">
        <v>1178</v>
      </c>
      <c r="C1790" s="295" t="s">
        <v>510</v>
      </c>
      <c r="D1790" s="296">
        <v>10251.0</v>
      </c>
      <c r="E1790" s="295" t="s">
        <v>1017</v>
      </c>
      <c r="F1790" s="292"/>
      <c r="G1790" s="293" t="str">
        <f>IFNA(IF(VLOOKUP(RC_OUT[BLOCK],RC_IN[[BLOCK]:[BLOCK LOC]],2,FALSE)=0,"",VLOOKUP(RC_OUT[BLOCK],RC_IN[[BLOCK]:[BLOCK LOC]],2,FALSE)),"")</f>
        <v>A-19B</v>
      </c>
      <c r="I1790" s="263">
        <f>IFERROR(AVERAGEIFS(RC_IN[MC],RC_IN[BLOCK],RC_OUT[BLOCK]),"")</f>
        <v>11.62</v>
      </c>
      <c r="J1790" s="264">
        <f t="shared" si="1"/>
        <v>119116.62</v>
      </c>
      <c r="K1790" s="246"/>
      <c r="L1790" s="246"/>
      <c r="M1790" s="249"/>
      <c r="N1790" s="266">
        <f t="shared" si="3"/>
        <v>0</v>
      </c>
      <c r="O1790" s="247"/>
      <c r="P1790" s="247"/>
      <c r="Q1790" s="247"/>
      <c r="R1790" s="247"/>
      <c r="S1790" s="247"/>
      <c r="T1790" s="247"/>
      <c r="U1790" s="247"/>
      <c r="V1790" s="247"/>
      <c r="W1790" s="247"/>
      <c r="X1790" s="247"/>
    </row>
    <row r="1791">
      <c r="A1791" s="294">
        <v>46090.0</v>
      </c>
      <c r="B1791" s="295" t="s">
        <v>1178</v>
      </c>
      <c r="C1791" s="295" t="s">
        <v>371</v>
      </c>
      <c r="D1791" s="296">
        <v>9068.0</v>
      </c>
      <c r="E1791" s="295" t="s">
        <v>1017</v>
      </c>
      <c r="F1791" s="292"/>
      <c r="G1791" s="293" t="str">
        <f>IFNA(IF(VLOOKUP(RC_OUT[BLOCK],RC_IN[[BLOCK]:[BLOCK LOC]],2,FALSE)=0,"",VLOOKUP(RC_OUT[BLOCK],RC_IN[[BLOCK]:[BLOCK LOC]],2,FALSE)),"")</f>
        <v>D-5B</v>
      </c>
      <c r="I1791" s="263">
        <f>IFERROR(AVERAGEIFS(RC_IN[MC],RC_IN[BLOCK],RC_OUT[BLOCK]),"")</f>
        <v>9.4</v>
      </c>
      <c r="J1791" s="264">
        <f t="shared" si="1"/>
        <v>85239.2</v>
      </c>
      <c r="K1791" s="246"/>
      <c r="L1791" s="246"/>
      <c r="M1791" s="249"/>
      <c r="N1791" s="266">
        <f t="shared" si="3"/>
        <v>0</v>
      </c>
      <c r="O1791" s="247"/>
      <c r="P1791" s="247"/>
      <c r="Q1791" s="247"/>
      <c r="R1791" s="247"/>
      <c r="S1791" s="247"/>
      <c r="T1791" s="247"/>
      <c r="U1791" s="247"/>
      <c r="V1791" s="247"/>
      <c r="W1791" s="247"/>
      <c r="X1791" s="247"/>
    </row>
    <row r="1792">
      <c r="A1792" s="294">
        <v>46090.0</v>
      </c>
      <c r="B1792" s="295" t="s">
        <v>1178</v>
      </c>
      <c r="C1792" s="295" t="s">
        <v>773</v>
      </c>
      <c r="D1792" s="296">
        <v>10000.0</v>
      </c>
      <c r="E1792" s="295" t="s">
        <v>1017</v>
      </c>
      <c r="F1792" s="297" t="s">
        <v>1059</v>
      </c>
      <c r="G1792" s="293" t="str">
        <f>IFNA(IF(VLOOKUP(RC_OUT[BLOCK],RC_IN[[BLOCK]:[BLOCK LOC]],2,FALSE)=0,"",VLOOKUP(RC_OUT[BLOCK],RC_IN[[BLOCK]:[BLOCK LOC]],2,FALSE)),"")</f>
        <v/>
      </c>
      <c r="I1792" s="263">
        <f>IFERROR(AVERAGEIFS(RC_IN[MC],RC_IN[BLOCK],RC_OUT[BLOCK]),"")</f>
        <v>10.8</v>
      </c>
      <c r="J1792" s="264">
        <f t="shared" si="1"/>
        <v>108000</v>
      </c>
      <c r="K1792" s="246"/>
      <c r="L1792" s="246"/>
      <c r="M1792" s="249"/>
      <c r="N1792" s="266">
        <f t="shared" si="3"/>
        <v>0</v>
      </c>
      <c r="O1792" s="247"/>
      <c r="P1792" s="247"/>
      <c r="Q1792" s="247"/>
      <c r="R1792" s="247"/>
      <c r="S1792" s="247"/>
      <c r="T1792" s="247"/>
      <c r="U1792" s="247"/>
      <c r="V1792" s="247"/>
      <c r="W1792" s="247"/>
      <c r="X1792" s="247"/>
    </row>
    <row r="1793">
      <c r="A1793" s="294">
        <v>46090.0</v>
      </c>
      <c r="B1793" s="295" t="s">
        <v>1178</v>
      </c>
      <c r="C1793" s="295" t="s">
        <v>482</v>
      </c>
      <c r="D1793" s="296">
        <v>19541.0</v>
      </c>
      <c r="E1793" s="295" t="s">
        <v>1017</v>
      </c>
      <c r="F1793" s="292"/>
      <c r="G1793" s="293" t="str">
        <f>IFNA(IF(VLOOKUP(RC_OUT[BLOCK],RC_IN[[BLOCK]:[BLOCK LOC]],2,FALSE)=0,"",VLOOKUP(RC_OUT[BLOCK],RC_IN[[BLOCK]:[BLOCK LOC]],2,FALSE)),"")</f>
        <v>D-13B</v>
      </c>
      <c r="I1793" s="263">
        <f>IFERROR(AVERAGEIFS(RC_IN[MC],RC_IN[BLOCK],RC_OUT[BLOCK]),"")</f>
        <v>12.64666667</v>
      </c>
      <c r="J1793" s="264">
        <f t="shared" si="1"/>
        <v>247128.5133</v>
      </c>
      <c r="K1793" s="246"/>
      <c r="L1793" s="246"/>
      <c r="M1793" s="249"/>
      <c r="N1793" s="266">
        <f t="shared" si="3"/>
        <v>0</v>
      </c>
      <c r="O1793" s="247"/>
      <c r="P1793" s="247"/>
      <c r="Q1793" s="247"/>
      <c r="R1793" s="247"/>
      <c r="S1793" s="247"/>
      <c r="T1793" s="247"/>
      <c r="U1793" s="247"/>
      <c r="V1793" s="247"/>
      <c r="W1793" s="247"/>
      <c r="X1793" s="247"/>
    </row>
    <row r="1794">
      <c r="A1794" s="294">
        <v>46090.0</v>
      </c>
      <c r="B1794" s="295" t="s">
        <v>1178</v>
      </c>
      <c r="C1794" s="295" t="s">
        <v>787</v>
      </c>
      <c r="D1794" s="296">
        <v>18570.0</v>
      </c>
      <c r="E1794" s="295" t="s">
        <v>1017</v>
      </c>
      <c r="F1794" s="297" t="s">
        <v>1059</v>
      </c>
      <c r="G1794" s="293" t="str">
        <f>IFNA(IF(VLOOKUP(RC_OUT[BLOCK],RC_IN[[BLOCK]:[BLOCK LOC]],2,FALSE)=0,"",VLOOKUP(RC_OUT[BLOCK],RC_IN[[BLOCK]:[BLOCK LOC]],2,FALSE)),"")</f>
        <v/>
      </c>
      <c r="I1794" s="263">
        <f>IFERROR(AVERAGEIFS(RC_IN[MC],RC_IN[BLOCK],RC_OUT[BLOCK]),"")</f>
        <v>10.94</v>
      </c>
      <c r="J1794" s="264">
        <f t="shared" si="1"/>
        <v>203155.8</v>
      </c>
      <c r="K1794" s="246"/>
      <c r="L1794" s="246"/>
      <c r="M1794" s="249"/>
      <c r="N1794" s="266">
        <f t="shared" si="3"/>
        <v>0</v>
      </c>
      <c r="O1794" s="247"/>
      <c r="P1794" s="247"/>
      <c r="Q1794" s="247"/>
      <c r="R1794" s="247"/>
      <c r="S1794" s="247"/>
      <c r="T1794" s="247"/>
      <c r="U1794" s="247"/>
      <c r="V1794" s="247"/>
      <c r="W1794" s="247"/>
      <c r="X1794" s="247"/>
    </row>
    <row r="1795">
      <c r="A1795" s="294"/>
      <c r="B1795" s="295"/>
      <c r="C1795" s="295"/>
      <c r="D1795" s="296"/>
      <c r="E1795" s="295"/>
      <c r="F1795" s="292"/>
      <c r="G1795" s="293" t="str">
        <f>IFNA(IF(VLOOKUP(RC_OUT[BLOCK],RC_IN[[BLOCK]:[BLOCK LOC]],2,FALSE)=0,"",VLOOKUP(RC_OUT[BLOCK],RC_IN[[BLOCK]:[BLOCK LOC]],2,FALSE)),"")</f>
        <v/>
      </c>
      <c r="I1795" s="263" t="str">
        <f>IFERROR(AVERAGEIFS(RC_IN[MC],RC_IN[BLOCK],RC_OUT[BLOCK]),"")</f>
        <v/>
      </c>
      <c r="J1795" s="264">
        <f t="shared" si="1"/>
        <v>0</v>
      </c>
      <c r="K1795" s="246"/>
      <c r="L1795" s="246"/>
      <c r="M1795" s="249"/>
      <c r="N1795" s="266">
        <f t="shared" si="3"/>
        <v>0</v>
      </c>
      <c r="O1795" s="247"/>
      <c r="P1795" s="247"/>
      <c r="Q1795" s="247"/>
      <c r="R1795" s="247"/>
      <c r="S1795" s="247"/>
      <c r="T1795" s="247"/>
      <c r="U1795" s="247"/>
      <c r="V1795" s="247"/>
      <c r="W1795" s="247"/>
      <c r="X1795" s="247"/>
    </row>
    <row r="1796">
      <c r="A1796" s="294">
        <v>46091.0</v>
      </c>
      <c r="B1796" s="295" t="s">
        <v>1178</v>
      </c>
      <c r="C1796" s="295" t="s">
        <v>429</v>
      </c>
      <c r="D1796" s="296">
        <v>3424.0</v>
      </c>
      <c r="E1796" s="295" t="s">
        <v>1017</v>
      </c>
      <c r="F1796" s="292"/>
      <c r="G1796" s="293" t="str">
        <f>IFNA(IF(VLOOKUP(RC_OUT[BLOCK],RC_IN[[BLOCK]:[BLOCK LOC]],2,FALSE)=0,"",VLOOKUP(RC_OUT[BLOCK],RC_IN[[BLOCK]:[BLOCK LOC]],2,FALSE)),"")</f>
        <v>D-18D</v>
      </c>
      <c r="I1796" s="263">
        <f>IFERROR(AVERAGEIFS(RC_IN[MC],RC_IN[BLOCK],RC_OUT[BLOCK]),"")</f>
        <v>13.68857143</v>
      </c>
      <c r="J1796" s="264">
        <f t="shared" si="1"/>
        <v>46869.66857</v>
      </c>
      <c r="K1796" s="246"/>
      <c r="L1796" s="246"/>
      <c r="M1796" s="249"/>
      <c r="N1796" s="266">
        <f t="shared" si="3"/>
        <v>0</v>
      </c>
      <c r="O1796" s="247"/>
      <c r="P1796" s="247"/>
      <c r="Q1796" s="247"/>
      <c r="R1796" s="247"/>
      <c r="S1796" s="247"/>
      <c r="T1796" s="247"/>
      <c r="U1796" s="247"/>
      <c r="V1796" s="247"/>
      <c r="W1796" s="247"/>
      <c r="X1796" s="247"/>
    </row>
    <row r="1797">
      <c r="A1797" s="294">
        <v>46091.0</v>
      </c>
      <c r="B1797" s="295" t="s">
        <v>1178</v>
      </c>
      <c r="C1797" s="295" t="s">
        <v>510</v>
      </c>
      <c r="D1797" s="296">
        <v>7319.0</v>
      </c>
      <c r="E1797" s="295" t="s">
        <v>1017</v>
      </c>
      <c r="F1797" s="292"/>
      <c r="G1797" s="293" t="str">
        <f>IFNA(IF(VLOOKUP(RC_OUT[BLOCK],RC_IN[[BLOCK]:[BLOCK LOC]],2,FALSE)=0,"",VLOOKUP(RC_OUT[BLOCK],RC_IN[[BLOCK]:[BLOCK LOC]],2,FALSE)),"")</f>
        <v>A-19B</v>
      </c>
      <c r="I1797" s="263">
        <f>IFERROR(AVERAGEIFS(RC_IN[MC],RC_IN[BLOCK],RC_OUT[BLOCK]),"")</f>
        <v>11.62</v>
      </c>
      <c r="J1797" s="264">
        <f t="shared" si="1"/>
        <v>85046.78</v>
      </c>
      <c r="K1797" s="246"/>
      <c r="L1797" s="246"/>
      <c r="M1797" s="249"/>
      <c r="N1797" s="266">
        <f t="shared" si="3"/>
        <v>0</v>
      </c>
      <c r="O1797" s="247"/>
      <c r="P1797" s="247"/>
      <c r="Q1797" s="247"/>
      <c r="R1797" s="247"/>
      <c r="S1797" s="247"/>
      <c r="T1797" s="247"/>
      <c r="U1797" s="247"/>
      <c r="V1797" s="247"/>
      <c r="W1797" s="247"/>
      <c r="X1797" s="247"/>
    </row>
    <row r="1798">
      <c r="A1798" s="294">
        <v>46091.0</v>
      </c>
      <c r="B1798" s="295" t="s">
        <v>1178</v>
      </c>
      <c r="C1798" s="295" t="s">
        <v>371</v>
      </c>
      <c r="D1798" s="296">
        <v>5818.0</v>
      </c>
      <c r="E1798" s="295" t="s">
        <v>1017</v>
      </c>
      <c r="F1798" s="297" t="s">
        <v>1059</v>
      </c>
      <c r="G1798" s="293" t="str">
        <f>IFNA(IF(VLOOKUP(RC_OUT[BLOCK],RC_IN[[BLOCK]:[BLOCK LOC]],2,FALSE)=0,"",VLOOKUP(RC_OUT[BLOCK],RC_IN[[BLOCK]:[BLOCK LOC]],2,FALSE)),"")</f>
        <v>D-5B</v>
      </c>
      <c r="I1798" s="263">
        <f>IFERROR(AVERAGEIFS(RC_IN[MC],RC_IN[BLOCK],RC_OUT[BLOCK]),"")</f>
        <v>9.4</v>
      </c>
      <c r="J1798" s="264">
        <f t="shared" si="1"/>
        <v>54689.2</v>
      </c>
      <c r="K1798" s="246"/>
      <c r="L1798" s="246"/>
      <c r="M1798" s="249"/>
      <c r="N1798" s="266">
        <f t="shared" si="3"/>
        <v>0</v>
      </c>
      <c r="O1798" s="247"/>
      <c r="P1798" s="247"/>
      <c r="Q1798" s="247"/>
      <c r="R1798" s="247"/>
      <c r="S1798" s="247"/>
      <c r="T1798" s="247"/>
      <c r="U1798" s="247"/>
      <c r="V1798" s="247"/>
      <c r="W1798" s="247"/>
      <c r="X1798" s="247"/>
    </row>
    <row r="1799">
      <c r="A1799" s="294">
        <v>46091.0</v>
      </c>
      <c r="B1799" s="295" t="s">
        <v>1178</v>
      </c>
      <c r="C1799" s="295" t="s">
        <v>482</v>
      </c>
      <c r="D1799" s="296">
        <v>24811.0</v>
      </c>
      <c r="E1799" s="295" t="s">
        <v>1017</v>
      </c>
      <c r="F1799" s="297" t="s">
        <v>1059</v>
      </c>
      <c r="G1799" s="293" t="str">
        <f>IFNA(IF(VLOOKUP(RC_OUT[BLOCK],RC_IN[[BLOCK]:[BLOCK LOC]],2,FALSE)=0,"",VLOOKUP(RC_OUT[BLOCK],RC_IN[[BLOCK]:[BLOCK LOC]],2,FALSE)),"")</f>
        <v>D-13B</v>
      </c>
      <c r="I1799" s="263">
        <f>IFERROR(AVERAGEIFS(RC_IN[MC],RC_IN[BLOCK],RC_OUT[BLOCK]),"")</f>
        <v>12.64666667</v>
      </c>
      <c r="J1799" s="264">
        <f t="shared" si="1"/>
        <v>313776.4467</v>
      </c>
      <c r="K1799" s="246"/>
      <c r="L1799" s="246"/>
      <c r="M1799" s="249"/>
      <c r="N1799" s="266">
        <f t="shared" si="3"/>
        <v>0</v>
      </c>
      <c r="O1799" s="247"/>
      <c r="P1799" s="247"/>
      <c r="Q1799" s="247"/>
      <c r="R1799" s="247"/>
      <c r="S1799" s="247"/>
      <c r="T1799" s="247"/>
      <c r="U1799" s="247"/>
      <c r="V1799" s="247"/>
      <c r="W1799" s="247"/>
      <c r="X1799" s="247"/>
    </row>
    <row r="1800">
      <c r="A1800" s="294">
        <v>46091.0</v>
      </c>
      <c r="B1800" s="295" t="s">
        <v>1178</v>
      </c>
      <c r="C1800" s="295" t="s">
        <v>800</v>
      </c>
      <c r="D1800" s="296">
        <v>15885.0</v>
      </c>
      <c r="E1800" s="295" t="s">
        <v>1017</v>
      </c>
      <c r="F1800" s="292"/>
      <c r="G1800" s="293" t="str">
        <f>IFNA(IF(VLOOKUP(RC_OUT[BLOCK],RC_IN[[BLOCK]:[BLOCK LOC]],2,FALSE)=0,"",VLOOKUP(RC_OUT[BLOCK],RC_IN[[BLOCK]:[BLOCK LOC]],2,FALSE)),"")</f>
        <v/>
      </c>
      <c r="I1800" s="263">
        <f>IFERROR(AVERAGEIFS(RC_IN[MC],RC_IN[BLOCK],RC_OUT[BLOCK]),"")</f>
        <v>11.6</v>
      </c>
      <c r="J1800" s="264">
        <f t="shared" si="1"/>
        <v>184266</v>
      </c>
      <c r="K1800" s="246"/>
      <c r="L1800" s="246"/>
      <c r="M1800" s="249"/>
      <c r="N1800" s="266">
        <f t="shared" si="3"/>
        <v>0</v>
      </c>
      <c r="O1800" s="247"/>
      <c r="P1800" s="247"/>
      <c r="Q1800" s="247"/>
      <c r="R1800" s="247"/>
      <c r="S1800" s="247"/>
      <c r="T1800" s="247"/>
      <c r="U1800" s="247"/>
      <c r="V1800" s="247"/>
      <c r="W1800" s="247"/>
      <c r="X1800" s="247"/>
    </row>
    <row r="1801">
      <c r="A1801" s="294"/>
      <c r="B1801" s="295"/>
      <c r="C1801" s="295"/>
      <c r="D1801" s="296"/>
      <c r="E1801" s="295"/>
      <c r="F1801" s="292"/>
      <c r="G1801" s="293" t="str">
        <f>IFNA(IF(VLOOKUP(RC_OUT[BLOCK],RC_IN[[BLOCK]:[BLOCK LOC]],2,FALSE)=0,"",VLOOKUP(RC_OUT[BLOCK],RC_IN[[BLOCK]:[BLOCK LOC]],2,FALSE)),"")</f>
        <v/>
      </c>
      <c r="I1801" s="263" t="str">
        <f>IFERROR(AVERAGEIFS(RC_IN[MC],RC_IN[BLOCK],RC_OUT[BLOCK]),"")</f>
        <v/>
      </c>
      <c r="J1801" s="264">
        <f t="shared" si="1"/>
        <v>0</v>
      </c>
      <c r="K1801" s="246"/>
      <c r="L1801" s="246"/>
      <c r="M1801" s="249"/>
      <c r="N1801" s="266">
        <f t="shared" si="3"/>
        <v>0</v>
      </c>
      <c r="O1801" s="247"/>
      <c r="P1801" s="247"/>
      <c r="Q1801" s="247"/>
      <c r="R1801" s="247"/>
      <c r="S1801" s="247"/>
      <c r="T1801" s="247"/>
      <c r="U1801" s="247"/>
      <c r="V1801" s="247"/>
      <c r="W1801" s="247"/>
      <c r="X1801" s="247"/>
    </row>
    <row r="1802">
      <c r="A1802" s="294">
        <v>46092.0</v>
      </c>
      <c r="B1802" s="295" t="s">
        <v>1178</v>
      </c>
      <c r="C1802" s="295" t="s">
        <v>429</v>
      </c>
      <c r="D1802" s="296">
        <v>13059.0</v>
      </c>
      <c r="E1802" s="295" t="s">
        <v>1017</v>
      </c>
      <c r="F1802" s="297" t="s">
        <v>1059</v>
      </c>
      <c r="G1802" s="293" t="str">
        <f>IFNA(IF(VLOOKUP(RC_OUT[BLOCK],RC_IN[[BLOCK]:[BLOCK LOC]],2,FALSE)=0,"",VLOOKUP(RC_OUT[BLOCK],RC_IN[[BLOCK]:[BLOCK LOC]],2,FALSE)),"")</f>
        <v>D-18D</v>
      </c>
      <c r="I1802" s="263">
        <f>IFERROR(AVERAGEIFS(RC_IN[MC],RC_IN[BLOCK],RC_OUT[BLOCK]),"")</f>
        <v>13.68857143</v>
      </c>
      <c r="J1802" s="264">
        <f t="shared" si="1"/>
        <v>178759.0543</v>
      </c>
      <c r="K1802" s="246"/>
      <c r="L1802" s="246"/>
      <c r="M1802" s="249"/>
      <c r="N1802" s="266">
        <f t="shared" si="3"/>
        <v>0</v>
      </c>
      <c r="O1802" s="247"/>
      <c r="P1802" s="247"/>
      <c r="Q1802" s="247"/>
      <c r="R1802" s="247"/>
      <c r="S1802" s="247"/>
      <c r="T1802" s="247"/>
      <c r="U1802" s="247"/>
      <c r="V1802" s="247"/>
      <c r="W1802" s="247"/>
      <c r="X1802" s="247"/>
    </row>
    <row r="1803">
      <c r="A1803" s="294">
        <v>46092.0</v>
      </c>
      <c r="B1803" s="295" t="s">
        <v>1178</v>
      </c>
      <c r="C1803" s="295" t="s">
        <v>510</v>
      </c>
      <c r="D1803" s="296">
        <v>18938.0</v>
      </c>
      <c r="E1803" s="295" t="s">
        <v>1017</v>
      </c>
      <c r="F1803" s="292"/>
      <c r="G1803" s="293" t="str">
        <f>IFNA(IF(VLOOKUP(RC_OUT[BLOCK],RC_IN[[BLOCK]:[BLOCK LOC]],2,FALSE)=0,"",VLOOKUP(RC_OUT[BLOCK],RC_IN[[BLOCK]:[BLOCK LOC]],2,FALSE)),"")</f>
        <v>A-19B</v>
      </c>
      <c r="I1803" s="263">
        <f>IFERROR(AVERAGEIFS(RC_IN[MC],RC_IN[BLOCK],RC_OUT[BLOCK]),"")</f>
        <v>11.62</v>
      </c>
      <c r="J1803" s="264">
        <f t="shared" si="1"/>
        <v>220059.56</v>
      </c>
      <c r="K1803" s="246"/>
      <c r="L1803" s="246"/>
      <c r="M1803" s="249"/>
      <c r="N1803" s="266">
        <f t="shared" si="3"/>
        <v>0</v>
      </c>
      <c r="O1803" s="247"/>
      <c r="P1803" s="247"/>
      <c r="Q1803" s="247"/>
      <c r="R1803" s="247"/>
      <c r="S1803" s="247"/>
      <c r="T1803" s="247"/>
      <c r="U1803" s="247"/>
      <c r="V1803" s="247"/>
      <c r="W1803" s="247"/>
      <c r="X1803" s="247"/>
    </row>
    <row r="1804">
      <c r="A1804" s="294">
        <v>46092.0</v>
      </c>
      <c r="B1804" s="295" t="s">
        <v>1178</v>
      </c>
      <c r="C1804" s="295" t="s">
        <v>800</v>
      </c>
      <c r="D1804" s="296">
        <v>3000.0</v>
      </c>
      <c r="E1804" s="295" t="s">
        <v>1017</v>
      </c>
      <c r="F1804" s="297" t="s">
        <v>1059</v>
      </c>
      <c r="G1804" s="293" t="str">
        <f>IFNA(IF(VLOOKUP(RC_OUT[BLOCK],RC_IN[[BLOCK]:[BLOCK LOC]],2,FALSE)=0,"",VLOOKUP(RC_OUT[BLOCK],RC_IN[[BLOCK]:[BLOCK LOC]],2,FALSE)),"")</f>
        <v/>
      </c>
      <c r="I1804" s="263">
        <f>IFERROR(AVERAGEIFS(RC_IN[MC],RC_IN[BLOCK],RC_OUT[BLOCK]),"")</f>
        <v>11.6</v>
      </c>
      <c r="J1804" s="264">
        <f t="shared" si="1"/>
        <v>34800</v>
      </c>
      <c r="K1804" s="246"/>
      <c r="L1804" s="246"/>
      <c r="M1804" s="249"/>
      <c r="N1804" s="266">
        <f t="shared" si="3"/>
        <v>0</v>
      </c>
      <c r="O1804" s="247"/>
      <c r="P1804" s="247"/>
      <c r="Q1804" s="247"/>
      <c r="R1804" s="247"/>
      <c r="S1804" s="247"/>
      <c r="T1804" s="247"/>
      <c r="U1804" s="247"/>
      <c r="V1804" s="247"/>
      <c r="W1804" s="247"/>
      <c r="X1804" s="247"/>
    </row>
    <row r="1805">
      <c r="A1805" s="294">
        <v>46092.0</v>
      </c>
      <c r="B1805" s="295" t="s">
        <v>1178</v>
      </c>
      <c r="C1805" s="295" t="s">
        <v>808</v>
      </c>
      <c r="D1805" s="296">
        <v>15630.0</v>
      </c>
      <c r="E1805" s="295" t="s">
        <v>1017</v>
      </c>
      <c r="F1805" s="292"/>
      <c r="G1805" s="293" t="str">
        <f>IFNA(IF(VLOOKUP(RC_OUT[BLOCK],RC_IN[[BLOCK]:[BLOCK LOC]],2,FALSE)=0,"",VLOOKUP(RC_OUT[BLOCK],RC_IN[[BLOCK]:[BLOCK LOC]],2,FALSE)),"")</f>
        <v/>
      </c>
      <c r="I1805" s="263">
        <f>IFERROR(AVERAGEIFS(RC_IN[MC],RC_IN[BLOCK],RC_OUT[BLOCK]),"")</f>
        <v>11.47</v>
      </c>
      <c r="J1805" s="264">
        <f t="shared" si="1"/>
        <v>179276.1</v>
      </c>
      <c r="K1805" s="246"/>
      <c r="L1805" s="246"/>
      <c r="M1805" s="249"/>
      <c r="N1805" s="266">
        <f t="shared" si="3"/>
        <v>0</v>
      </c>
      <c r="O1805" s="247"/>
      <c r="P1805" s="247"/>
      <c r="Q1805" s="247"/>
      <c r="R1805" s="247"/>
      <c r="S1805" s="247"/>
      <c r="T1805" s="247"/>
      <c r="U1805" s="247"/>
      <c r="V1805" s="247"/>
      <c r="W1805" s="247"/>
      <c r="X1805" s="247"/>
    </row>
    <row r="1806">
      <c r="A1806" s="294"/>
      <c r="B1806" s="295"/>
      <c r="C1806" s="295"/>
      <c r="D1806" s="296"/>
      <c r="E1806" s="295"/>
      <c r="F1806" s="292"/>
      <c r="G1806" s="293" t="str">
        <f>IFNA(IF(VLOOKUP(RC_OUT[BLOCK],RC_IN[[BLOCK]:[BLOCK LOC]],2,FALSE)=0,"",VLOOKUP(RC_OUT[BLOCK],RC_IN[[BLOCK]:[BLOCK LOC]],2,FALSE)),"")</f>
        <v/>
      </c>
      <c r="I1806" s="263" t="str">
        <f>IFERROR(AVERAGEIFS(RC_IN[MC],RC_IN[BLOCK],RC_OUT[BLOCK]),"")</f>
        <v/>
      </c>
      <c r="J1806" s="264">
        <f t="shared" si="1"/>
        <v>0</v>
      </c>
      <c r="K1806" s="246"/>
      <c r="L1806" s="246"/>
      <c r="M1806" s="249"/>
      <c r="N1806" s="266">
        <f t="shared" si="3"/>
        <v>0</v>
      </c>
      <c r="O1806" s="247"/>
      <c r="P1806" s="247"/>
      <c r="Q1806" s="247"/>
      <c r="R1806" s="247"/>
      <c r="S1806" s="247"/>
      <c r="T1806" s="247"/>
      <c r="U1806" s="247"/>
      <c r="V1806" s="247"/>
      <c r="W1806" s="247"/>
      <c r="X1806" s="247"/>
    </row>
    <row r="1807">
      <c r="A1807" s="294">
        <v>46087.0</v>
      </c>
      <c r="B1807" s="295" t="s">
        <v>1178</v>
      </c>
      <c r="C1807" s="295" t="s">
        <v>760</v>
      </c>
      <c r="D1807" s="296">
        <v>9880.0</v>
      </c>
      <c r="E1807" s="295" t="s">
        <v>1374</v>
      </c>
      <c r="F1807" s="292"/>
      <c r="G1807" s="293" t="str">
        <f>IFNA(IF(VLOOKUP(RC_OUT[BLOCK],RC_IN[[BLOCK]:[BLOCK LOC]],2,FALSE)=0,"",VLOOKUP(RC_OUT[BLOCK],RC_IN[[BLOCK]:[BLOCK LOC]],2,FALSE)),"")</f>
        <v>D-20A</v>
      </c>
      <c r="I1807" s="263">
        <f>IFERROR(AVERAGEIFS(RC_IN[MC],RC_IN[BLOCK],RC_OUT[BLOCK]),"")</f>
        <v>15.14</v>
      </c>
      <c r="J1807" s="264">
        <f t="shared" si="1"/>
        <v>149583.2</v>
      </c>
      <c r="K1807" s="246"/>
      <c r="L1807" s="246"/>
      <c r="M1807" s="249"/>
      <c r="N1807" s="266">
        <f t="shared" si="3"/>
        <v>0</v>
      </c>
      <c r="O1807" s="247"/>
      <c r="P1807" s="247"/>
      <c r="Q1807" s="247"/>
      <c r="R1807" s="247"/>
      <c r="S1807" s="247"/>
      <c r="T1807" s="247"/>
      <c r="U1807" s="247"/>
      <c r="V1807" s="247"/>
      <c r="W1807" s="247"/>
      <c r="X1807" s="247"/>
    </row>
    <row r="1808">
      <c r="A1808" s="294">
        <v>46088.0</v>
      </c>
      <c r="B1808" s="295" t="s">
        <v>1178</v>
      </c>
      <c r="C1808" s="295" t="s">
        <v>760</v>
      </c>
      <c r="D1808" s="296">
        <v>3792.0</v>
      </c>
      <c r="E1808" s="295" t="s">
        <v>1374</v>
      </c>
      <c r="F1808" s="297" t="s">
        <v>1059</v>
      </c>
      <c r="G1808" s="293" t="str">
        <f>IFNA(IF(VLOOKUP(RC_OUT[BLOCK],RC_IN[[BLOCK]:[BLOCK LOC]],2,FALSE)=0,"",VLOOKUP(RC_OUT[BLOCK],RC_IN[[BLOCK]:[BLOCK LOC]],2,FALSE)),"")</f>
        <v>D-20A</v>
      </c>
      <c r="I1808" s="263">
        <f>IFERROR(AVERAGEIFS(RC_IN[MC],RC_IN[BLOCK],RC_OUT[BLOCK]),"")</f>
        <v>15.14</v>
      </c>
      <c r="J1808" s="264">
        <f t="shared" si="1"/>
        <v>57410.88</v>
      </c>
      <c r="K1808" s="246"/>
      <c r="L1808" s="246"/>
      <c r="M1808" s="249"/>
      <c r="N1808" s="266">
        <f t="shared" si="3"/>
        <v>0</v>
      </c>
      <c r="O1808" s="247"/>
      <c r="P1808" s="247"/>
      <c r="Q1808" s="247"/>
      <c r="R1808" s="247"/>
      <c r="S1808" s="247"/>
      <c r="T1808" s="247"/>
      <c r="U1808" s="247"/>
      <c r="V1808" s="247"/>
      <c r="W1808" s="247"/>
      <c r="X1808" s="247"/>
    </row>
    <row r="1809">
      <c r="A1809" s="294">
        <v>46088.0</v>
      </c>
      <c r="B1809" s="295" t="s">
        <v>1178</v>
      </c>
      <c r="C1809" s="295" t="s">
        <v>216</v>
      </c>
      <c r="D1809" s="296">
        <v>3547.0</v>
      </c>
      <c r="E1809" s="295" t="s">
        <v>1374</v>
      </c>
      <c r="F1809" s="292"/>
      <c r="G1809" s="293" t="str">
        <f>IFNA(IF(VLOOKUP(RC_OUT[BLOCK],RC_IN[[BLOCK]:[BLOCK LOC]],2,FALSE)=0,"",VLOOKUP(RC_OUT[BLOCK],RC_IN[[BLOCK]:[BLOCK LOC]],2,FALSE)),"")</f>
        <v>A-20C</v>
      </c>
      <c r="I1809" s="263">
        <f>IFERROR(AVERAGEIFS(RC_IN[MC],RC_IN[BLOCK],RC_OUT[BLOCK]),"")</f>
        <v>38.87</v>
      </c>
      <c r="J1809" s="264">
        <f t="shared" si="1"/>
        <v>137871.89</v>
      </c>
      <c r="K1809" s="246"/>
      <c r="L1809" s="246"/>
      <c r="M1809" s="249"/>
      <c r="N1809" s="266">
        <f t="shared" si="3"/>
        <v>0</v>
      </c>
      <c r="O1809" s="247"/>
      <c r="P1809" s="247"/>
      <c r="Q1809" s="247"/>
      <c r="R1809" s="247"/>
      <c r="S1809" s="247"/>
      <c r="T1809" s="247"/>
      <c r="U1809" s="247"/>
      <c r="V1809" s="247"/>
      <c r="W1809" s="247"/>
      <c r="X1809" s="247"/>
    </row>
    <row r="1810">
      <c r="A1810" s="294">
        <v>46094.0</v>
      </c>
      <c r="B1810" s="295" t="s">
        <v>1178</v>
      </c>
      <c r="C1810" s="295" t="s">
        <v>216</v>
      </c>
      <c r="D1810" s="296">
        <v>2898.0</v>
      </c>
      <c r="E1810" s="295" t="s">
        <v>1374</v>
      </c>
      <c r="F1810" s="292"/>
      <c r="G1810" s="293" t="str">
        <f>IFNA(IF(VLOOKUP(RC_OUT[BLOCK],RC_IN[[BLOCK]:[BLOCK LOC]],2,FALSE)=0,"",VLOOKUP(RC_OUT[BLOCK],RC_IN[[BLOCK]:[BLOCK LOC]],2,FALSE)),"")</f>
        <v>A-20C</v>
      </c>
      <c r="I1810" s="263">
        <f>IFERROR(AVERAGEIFS(RC_IN[MC],RC_IN[BLOCK],RC_OUT[BLOCK]),"")</f>
        <v>38.87</v>
      </c>
      <c r="J1810" s="264">
        <f t="shared" si="1"/>
        <v>112645.26</v>
      </c>
      <c r="K1810" s="246"/>
      <c r="L1810" s="246"/>
      <c r="M1810" s="249"/>
      <c r="N1810" s="266">
        <f t="shared" si="3"/>
        <v>0</v>
      </c>
      <c r="O1810" s="247"/>
      <c r="P1810" s="247"/>
      <c r="Q1810" s="247"/>
      <c r="R1810" s="247"/>
      <c r="S1810" s="247"/>
      <c r="T1810" s="247"/>
      <c r="U1810" s="247"/>
      <c r="V1810" s="247"/>
      <c r="W1810" s="247"/>
      <c r="X1810" s="247"/>
    </row>
    <row r="1811">
      <c r="A1811" s="294">
        <v>46096.0</v>
      </c>
      <c r="B1811" s="295" t="s">
        <v>1178</v>
      </c>
      <c r="C1811" s="295" t="s">
        <v>216</v>
      </c>
      <c r="D1811" s="296">
        <v>3022.0</v>
      </c>
      <c r="E1811" s="295" t="s">
        <v>1374</v>
      </c>
      <c r="F1811" s="292"/>
      <c r="G1811" s="293" t="str">
        <f>IFNA(IF(VLOOKUP(RC_OUT[BLOCK],RC_IN[[BLOCK]:[BLOCK LOC]],2,FALSE)=0,"",VLOOKUP(RC_OUT[BLOCK],RC_IN[[BLOCK]:[BLOCK LOC]],2,FALSE)),"")</f>
        <v>A-20C</v>
      </c>
      <c r="I1811" s="263">
        <f>IFERROR(AVERAGEIFS(RC_IN[MC],RC_IN[BLOCK],RC_OUT[BLOCK]),"")</f>
        <v>38.87</v>
      </c>
      <c r="J1811" s="264">
        <f t="shared" si="1"/>
        <v>117465.14</v>
      </c>
      <c r="K1811" s="246"/>
      <c r="L1811" s="246"/>
      <c r="M1811" s="249"/>
      <c r="N1811" s="266">
        <f t="shared" si="3"/>
        <v>0</v>
      </c>
      <c r="O1811" s="247"/>
      <c r="P1811" s="247"/>
      <c r="Q1811" s="247"/>
      <c r="R1811" s="247"/>
      <c r="S1811" s="247"/>
      <c r="T1811" s="247"/>
      <c r="U1811" s="247"/>
      <c r="V1811" s="247"/>
      <c r="W1811" s="247"/>
      <c r="X1811" s="247"/>
    </row>
    <row r="1812">
      <c r="A1812" s="294">
        <v>46097.0</v>
      </c>
      <c r="B1812" s="295" t="s">
        <v>1178</v>
      </c>
      <c r="C1812" s="295" t="s">
        <v>216</v>
      </c>
      <c r="D1812" s="296">
        <v>4336.0</v>
      </c>
      <c r="E1812" s="295" t="s">
        <v>1374</v>
      </c>
      <c r="F1812" s="292"/>
      <c r="G1812" s="293" t="str">
        <f>IFNA(IF(VLOOKUP(RC_OUT[BLOCK],RC_IN[[BLOCK]:[BLOCK LOC]],2,FALSE)=0,"",VLOOKUP(RC_OUT[BLOCK],RC_IN[[BLOCK]:[BLOCK LOC]],2,FALSE)),"")</f>
        <v>A-20C</v>
      </c>
      <c r="I1812" s="263">
        <f>IFERROR(AVERAGEIFS(RC_IN[MC],RC_IN[BLOCK],RC_OUT[BLOCK]),"")</f>
        <v>38.87</v>
      </c>
      <c r="J1812" s="264">
        <f t="shared" si="1"/>
        <v>168540.32</v>
      </c>
      <c r="K1812" s="246"/>
      <c r="L1812" s="246"/>
      <c r="M1812" s="249"/>
      <c r="N1812" s="266">
        <f t="shared" si="3"/>
        <v>0</v>
      </c>
      <c r="O1812" s="247"/>
      <c r="P1812" s="247"/>
      <c r="Q1812" s="247"/>
      <c r="R1812" s="247"/>
      <c r="S1812" s="247"/>
      <c r="T1812" s="247"/>
      <c r="U1812" s="247"/>
      <c r="V1812" s="247"/>
      <c r="W1812" s="247"/>
      <c r="X1812" s="247"/>
    </row>
    <row r="1813">
      <c r="A1813" s="294">
        <v>46095.0</v>
      </c>
      <c r="B1813" s="295" t="s">
        <v>1178</v>
      </c>
      <c r="C1813" s="295" t="s">
        <v>216</v>
      </c>
      <c r="D1813" s="296">
        <v>7570.0</v>
      </c>
      <c r="E1813" s="295" t="s">
        <v>1374</v>
      </c>
      <c r="F1813" s="292"/>
      <c r="G1813" s="293" t="str">
        <f>IFNA(IF(VLOOKUP(RC_OUT[BLOCK],RC_IN[[BLOCK]:[BLOCK LOC]],2,FALSE)=0,"",VLOOKUP(RC_OUT[BLOCK],RC_IN[[BLOCK]:[BLOCK LOC]],2,FALSE)),"")</f>
        <v>A-20C</v>
      </c>
      <c r="I1813" s="263">
        <f>IFERROR(AVERAGEIFS(RC_IN[MC],RC_IN[BLOCK],RC_OUT[BLOCK]),"")</f>
        <v>38.87</v>
      </c>
      <c r="J1813" s="264">
        <f t="shared" si="1"/>
        <v>294245.9</v>
      </c>
      <c r="K1813" s="246"/>
      <c r="L1813" s="246"/>
      <c r="M1813" s="249"/>
      <c r="N1813" s="266">
        <f t="shared" si="3"/>
        <v>0</v>
      </c>
      <c r="O1813" s="247"/>
      <c r="P1813" s="247"/>
      <c r="Q1813" s="247"/>
      <c r="R1813" s="247"/>
      <c r="S1813" s="247"/>
      <c r="T1813" s="247"/>
      <c r="U1813" s="247"/>
      <c r="V1813" s="247"/>
      <c r="W1813" s="247"/>
      <c r="X1813" s="247"/>
    </row>
    <row r="1814">
      <c r="A1814" s="294">
        <v>46092.0</v>
      </c>
      <c r="B1814" s="295" t="s">
        <v>1178</v>
      </c>
      <c r="C1814" s="295" t="s">
        <v>788</v>
      </c>
      <c r="D1814" s="296">
        <v>8499.0</v>
      </c>
      <c r="E1814" s="295" t="s">
        <v>1374</v>
      </c>
      <c r="F1814" s="292"/>
      <c r="G1814" s="293" t="str">
        <f>IFNA(IF(VLOOKUP(RC_OUT[BLOCK],RC_IN[[BLOCK]:[BLOCK LOC]],2,FALSE)=0,"",VLOOKUP(RC_OUT[BLOCK],RC_IN[[BLOCK]:[BLOCK LOC]],2,FALSE)),"")</f>
        <v>D-19D</v>
      </c>
      <c r="I1814" s="263">
        <f>IFERROR(AVERAGEIFS(RC_IN[MC],RC_IN[BLOCK],RC_OUT[BLOCK]),"")</f>
        <v>15.07</v>
      </c>
      <c r="J1814" s="264">
        <f t="shared" si="1"/>
        <v>128079.93</v>
      </c>
      <c r="K1814" s="246"/>
      <c r="L1814" s="246"/>
      <c r="M1814" s="249"/>
      <c r="N1814" s="266">
        <f t="shared" si="3"/>
        <v>0</v>
      </c>
      <c r="O1814" s="247"/>
      <c r="P1814" s="247"/>
      <c r="Q1814" s="247"/>
      <c r="R1814" s="247"/>
      <c r="S1814" s="247"/>
      <c r="T1814" s="247"/>
      <c r="U1814" s="247"/>
      <c r="V1814" s="247"/>
      <c r="W1814" s="247"/>
      <c r="X1814" s="247"/>
    </row>
    <row r="1815">
      <c r="A1815" s="294">
        <v>46093.0</v>
      </c>
      <c r="B1815" s="295" t="s">
        <v>1178</v>
      </c>
      <c r="C1815" s="295" t="s">
        <v>788</v>
      </c>
      <c r="D1815" s="296">
        <v>4406.0</v>
      </c>
      <c r="E1815" s="295" t="s">
        <v>1374</v>
      </c>
      <c r="F1815" s="297" t="s">
        <v>1059</v>
      </c>
      <c r="G1815" s="293" t="str">
        <f>IFNA(IF(VLOOKUP(RC_OUT[BLOCK],RC_IN[[BLOCK]:[BLOCK LOC]],2,FALSE)=0,"",VLOOKUP(RC_OUT[BLOCK],RC_IN[[BLOCK]:[BLOCK LOC]],2,FALSE)),"")</f>
        <v>D-19D</v>
      </c>
      <c r="I1815" s="263">
        <f>IFERROR(AVERAGEIFS(RC_IN[MC],RC_IN[BLOCK],RC_OUT[BLOCK]),"")</f>
        <v>15.07</v>
      </c>
      <c r="J1815" s="264">
        <f t="shared" si="1"/>
        <v>66398.42</v>
      </c>
      <c r="K1815" s="246"/>
      <c r="L1815" s="246"/>
      <c r="M1815" s="249"/>
      <c r="N1815" s="266">
        <f t="shared" si="3"/>
        <v>0</v>
      </c>
      <c r="O1815" s="247"/>
      <c r="P1815" s="247"/>
      <c r="Q1815" s="247"/>
      <c r="R1815" s="247"/>
      <c r="S1815" s="247"/>
      <c r="T1815" s="247"/>
      <c r="U1815" s="247"/>
      <c r="V1815" s="247"/>
      <c r="W1815" s="247"/>
      <c r="X1815" s="247"/>
    </row>
    <row r="1816">
      <c r="A1816" s="294">
        <v>46093.0</v>
      </c>
      <c r="B1816" s="295" t="s">
        <v>1178</v>
      </c>
      <c r="C1816" s="295" t="s">
        <v>798</v>
      </c>
      <c r="D1816" s="296">
        <v>2396.0</v>
      </c>
      <c r="E1816" s="295" t="s">
        <v>1374</v>
      </c>
      <c r="F1816" s="292"/>
      <c r="G1816" s="293" t="str">
        <f>IFNA(IF(VLOOKUP(RC_OUT[BLOCK],RC_IN[[BLOCK]:[BLOCK LOC]],2,FALSE)=0,"",VLOOKUP(RC_OUT[BLOCK],RC_IN[[BLOCK]:[BLOCK LOC]],2,FALSE)),"")</f>
        <v>D-20A</v>
      </c>
      <c r="I1816" s="263">
        <f>IFERROR(AVERAGEIFS(RC_IN[MC],RC_IN[BLOCK],RC_OUT[BLOCK]),"")</f>
        <v>15.6</v>
      </c>
      <c r="J1816" s="264">
        <f t="shared" si="1"/>
        <v>37377.6</v>
      </c>
      <c r="K1816" s="246"/>
      <c r="L1816" s="246"/>
      <c r="M1816" s="249"/>
      <c r="N1816" s="266">
        <f t="shared" si="3"/>
        <v>0</v>
      </c>
      <c r="O1816" s="247"/>
      <c r="P1816" s="247"/>
      <c r="Q1816" s="247"/>
      <c r="R1816" s="247"/>
      <c r="S1816" s="247"/>
      <c r="T1816" s="247"/>
      <c r="U1816" s="247"/>
      <c r="V1816" s="247"/>
      <c r="W1816" s="247"/>
      <c r="X1816" s="247"/>
    </row>
    <row r="1817">
      <c r="A1817" s="294">
        <v>46094.0</v>
      </c>
      <c r="B1817" s="295" t="s">
        <v>1178</v>
      </c>
      <c r="C1817" s="295" t="s">
        <v>798</v>
      </c>
      <c r="D1817" s="296">
        <v>7168.0</v>
      </c>
      <c r="E1817" s="295" t="s">
        <v>1374</v>
      </c>
      <c r="F1817" s="297" t="s">
        <v>1059</v>
      </c>
      <c r="G1817" s="293" t="str">
        <f>IFNA(IF(VLOOKUP(RC_OUT[BLOCK],RC_IN[[BLOCK]:[BLOCK LOC]],2,FALSE)=0,"",VLOOKUP(RC_OUT[BLOCK],RC_IN[[BLOCK]:[BLOCK LOC]],2,FALSE)),"")</f>
        <v>D-20A</v>
      </c>
      <c r="I1817" s="263">
        <f>IFERROR(AVERAGEIFS(RC_IN[MC],RC_IN[BLOCK],RC_OUT[BLOCK]),"")</f>
        <v>15.6</v>
      </c>
      <c r="J1817" s="264">
        <f t="shared" si="1"/>
        <v>111820.8</v>
      </c>
      <c r="K1817" s="246"/>
      <c r="L1817" s="246"/>
      <c r="M1817" s="249"/>
      <c r="N1817" s="266">
        <f t="shared" si="3"/>
        <v>0</v>
      </c>
      <c r="O1817" s="247"/>
      <c r="P1817" s="247"/>
      <c r="Q1817" s="247"/>
      <c r="R1817" s="247"/>
      <c r="S1817" s="247"/>
      <c r="T1817" s="247"/>
      <c r="U1817" s="247"/>
      <c r="V1817" s="247"/>
      <c r="W1817" s="247"/>
      <c r="X1817" s="247"/>
    </row>
    <row r="1818">
      <c r="A1818" s="294"/>
      <c r="B1818" s="295"/>
      <c r="C1818" s="295"/>
      <c r="D1818" s="296"/>
      <c r="E1818" s="295"/>
      <c r="F1818" s="292"/>
      <c r="G1818" s="293" t="str">
        <f>IFNA(IF(VLOOKUP(RC_OUT[BLOCK],RC_IN[[BLOCK]:[BLOCK LOC]],2,FALSE)=0,"",VLOOKUP(RC_OUT[BLOCK],RC_IN[[BLOCK]:[BLOCK LOC]],2,FALSE)),"")</f>
        <v/>
      </c>
      <c r="I1818" s="263" t="str">
        <f>IFERROR(AVERAGEIFS(RC_IN[MC],RC_IN[BLOCK],RC_OUT[BLOCK]),"")</f>
        <v/>
      </c>
      <c r="J1818" s="264">
        <f t="shared" si="1"/>
        <v>0</v>
      </c>
      <c r="K1818" s="246"/>
      <c r="L1818" s="246"/>
      <c r="M1818" s="249"/>
      <c r="N1818" s="266">
        <f t="shared" si="3"/>
        <v>0</v>
      </c>
      <c r="O1818" s="247"/>
      <c r="P1818" s="247"/>
      <c r="Q1818" s="247"/>
      <c r="R1818" s="247"/>
      <c r="S1818" s="247"/>
      <c r="T1818" s="247"/>
      <c r="U1818" s="247"/>
      <c r="V1818" s="247"/>
      <c r="W1818" s="247"/>
      <c r="X1818" s="247"/>
    </row>
    <row r="1819">
      <c r="A1819" s="294">
        <v>46093.0</v>
      </c>
      <c r="B1819" s="295" t="s">
        <v>1178</v>
      </c>
      <c r="C1819" s="295" t="s">
        <v>510</v>
      </c>
      <c r="D1819" s="296">
        <v>5379.0</v>
      </c>
      <c r="E1819" s="295" t="s">
        <v>1017</v>
      </c>
      <c r="F1819" s="297" t="s">
        <v>1059</v>
      </c>
      <c r="G1819" s="293" t="str">
        <f>IFNA(IF(VLOOKUP(RC_OUT[BLOCK],RC_IN[[BLOCK]:[BLOCK LOC]],2,FALSE)=0,"",VLOOKUP(RC_OUT[BLOCK],RC_IN[[BLOCK]:[BLOCK LOC]],2,FALSE)),"")</f>
        <v>A-19B</v>
      </c>
      <c r="I1819" s="263">
        <f>IFERROR(AVERAGEIFS(RC_IN[MC],RC_IN[BLOCK],RC_OUT[BLOCK]),"")</f>
        <v>11.62</v>
      </c>
      <c r="J1819" s="264">
        <f t="shared" si="1"/>
        <v>62503.98</v>
      </c>
      <c r="K1819" s="246"/>
      <c r="L1819" s="246"/>
      <c r="M1819" s="249"/>
      <c r="N1819" s="266">
        <f t="shared" si="3"/>
        <v>0</v>
      </c>
      <c r="O1819" s="247"/>
      <c r="P1819" s="247"/>
      <c r="Q1819" s="247"/>
      <c r="R1819" s="247"/>
      <c r="S1819" s="247"/>
      <c r="T1819" s="247"/>
      <c r="U1819" s="247"/>
      <c r="V1819" s="247"/>
      <c r="W1819" s="247"/>
      <c r="X1819" s="247"/>
    </row>
    <row r="1820">
      <c r="A1820" s="294">
        <v>46093.0</v>
      </c>
      <c r="B1820" s="295" t="s">
        <v>1178</v>
      </c>
      <c r="C1820" s="295" t="s">
        <v>808</v>
      </c>
      <c r="D1820" s="296">
        <v>4000.0</v>
      </c>
      <c r="E1820" s="295" t="s">
        <v>1017</v>
      </c>
      <c r="F1820" s="297" t="s">
        <v>1059</v>
      </c>
      <c r="G1820" s="293" t="str">
        <f>IFNA(IF(VLOOKUP(RC_OUT[BLOCK],RC_IN[[BLOCK]:[BLOCK LOC]],2,FALSE)=0,"",VLOOKUP(RC_OUT[BLOCK],RC_IN[[BLOCK]:[BLOCK LOC]],2,FALSE)),"")</f>
        <v/>
      </c>
      <c r="I1820" s="263">
        <f>IFERROR(AVERAGEIFS(RC_IN[MC],RC_IN[BLOCK],RC_OUT[BLOCK]),"")</f>
        <v>11.47</v>
      </c>
      <c r="J1820" s="264">
        <f t="shared" si="1"/>
        <v>45880</v>
      </c>
      <c r="K1820" s="246"/>
      <c r="L1820" s="246"/>
      <c r="M1820" s="249"/>
      <c r="N1820" s="266">
        <f t="shared" si="3"/>
        <v>0</v>
      </c>
      <c r="O1820" s="247"/>
      <c r="P1820" s="247"/>
      <c r="Q1820" s="247"/>
      <c r="R1820" s="247"/>
      <c r="S1820" s="247"/>
      <c r="T1820" s="247"/>
      <c r="U1820" s="247"/>
      <c r="V1820" s="247"/>
      <c r="W1820" s="247"/>
      <c r="X1820" s="247"/>
    </row>
    <row r="1821">
      <c r="A1821" s="294">
        <v>46093.0</v>
      </c>
      <c r="B1821" s="295" t="s">
        <v>1178</v>
      </c>
      <c r="C1821" s="295" t="s">
        <v>809</v>
      </c>
      <c r="D1821" s="296">
        <v>3245.0</v>
      </c>
      <c r="E1821" s="295" t="s">
        <v>1017</v>
      </c>
      <c r="F1821" s="292"/>
      <c r="G1821" s="293" t="str">
        <f>IFNA(IF(VLOOKUP(RC_OUT[BLOCK],RC_IN[[BLOCK]:[BLOCK LOC]],2,FALSE)=0,"",VLOOKUP(RC_OUT[BLOCK],RC_IN[[BLOCK]:[BLOCK LOC]],2,FALSE)),"")</f>
        <v/>
      </c>
      <c r="I1821" s="263">
        <f>IFERROR(AVERAGEIFS(RC_IN[MC],RC_IN[BLOCK],RC_OUT[BLOCK]),"")</f>
        <v>10.07</v>
      </c>
      <c r="J1821" s="264">
        <f t="shared" si="1"/>
        <v>32677.15</v>
      </c>
      <c r="K1821" s="246"/>
      <c r="L1821" s="246"/>
      <c r="M1821" s="249"/>
      <c r="N1821" s="266">
        <f t="shared" si="3"/>
        <v>0</v>
      </c>
      <c r="O1821" s="247"/>
      <c r="P1821" s="247"/>
      <c r="Q1821" s="247"/>
      <c r="R1821" s="247"/>
      <c r="S1821" s="247"/>
      <c r="T1821" s="247"/>
      <c r="U1821" s="247"/>
      <c r="V1821" s="247"/>
      <c r="W1821" s="247"/>
      <c r="X1821" s="247"/>
    </row>
    <row r="1822">
      <c r="A1822" s="294">
        <v>46093.0</v>
      </c>
      <c r="B1822" s="295" t="s">
        <v>1178</v>
      </c>
      <c r="C1822" s="295" t="s">
        <v>474</v>
      </c>
      <c r="D1822" s="296">
        <v>8551.0</v>
      </c>
      <c r="E1822" s="295" t="s">
        <v>1017</v>
      </c>
      <c r="F1822" s="292"/>
      <c r="G1822" s="293" t="str">
        <f>IFNA(IF(VLOOKUP(RC_OUT[BLOCK],RC_IN[[BLOCK]:[BLOCK LOC]],2,FALSE)=0,"",VLOOKUP(RC_OUT[BLOCK],RC_IN[[BLOCK]:[BLOCK LOC]],2,FALSE)),"")</f>
        <v>A-19A</v>
      </c>
      <c r="I1822" s="263">
        <f>IFERROR(AVERAGEIFS(RC_IN[MC],RC_IN[BLOCK],RC_OUT[BLOCK]),"")</f>
        <v>11.8025</v>
      </c>
      <c r="J1822" s="264">
        <f t="shared" si="1"/>
        <v>100923.1775</v>
      </c>
      <c r="K1822" s="246"/>
      <c r="L1822" s="246"/>
      <c r="M1822" s="249"/>
      <c r="N1822" s="266">
        <f t="shared" si="3"/>
        <v>0</v>
      </c>
      <c r="O1822" s="247"/>
      <c r="P1822" s="247"/>
      <c r="Q1822" s="247"/>
      <c r="R1822" s="247"/>
      <c r="S1822" s="247"/>
      <c r="T1822" s="247"/>
      <c r="U1822" s="247"/>
      <c r="V1822" s="247"/>
      <c r="W1822" s="247"/>
      <c r="X1822" s="247"/>
    </row>
    <row r="1823">
      <c r="A1823" s="294">
        <v>46093.0</v>
      </c>
      <c r="B1823" s="295" t="s">
        <v>1178</v>
      </c>
      <c r="C1823" s="295" t="s">
        <v>627</v>
      </c>
      <c r="D1823" s="296">
        <v>17034.0</v>
      </c>
      <c r="E1823" s="295" t="s">
        <v>1017</v>
      </c>
      <c r="F1823" s="292"/>
      <c r="G1823" s="293" t="str">
        <f>IFNA(IF(VLOOKUP(RC_OUT[BLOCK],RC_IN[[BLOCK]:[BLOCK LOC]],2,FALSE)=0,"",VLOOKUP(RC_OUT[BLOCK],RC_IN[[BLOCK]:[BLOCK LOC]],2,FALSE)),"")</f>
        <v>D-5A</v>
      </c>
      <c r="I1823" s="263">
        <f>IFERROR(AVERAGEIFS(RC_IN[MC],RC_IN[BLOCK],RC_OUT[BLOCK]),"")</f>
        <v>10.905</v>
      </c>
      <c r="J1823" s="264">
        <f t="shared" si="1"/>
        <v>185755.77</v>
      </c>
      <c r="K1823" s="246"/>
      <c r="L1823" s="246"/>
      <c r="M1823" s="249"/>
      <c r="N1823" s="266">
        <f t="shared" si="3"/>
        <v>0</v>
      </c>
      <c r="O1823" s="247"/>
      <c r="P1823" s="247"/>
      <c r="Q1823" s="247"/>
      <c r="R1823" s="247"/>
      <c r="S1823" s="247"/>
      <c r="T1823" s="247"/>
      <c r="U1823" s="247"/>
      <c r="V1823" s="247"/>
      <c r="W1823" s="247"/>
      <c r="X1823" s="247"/>
    </row>
    <row r="1824">
      <c r="A1824" s="294"/>
      <c r="B1824" s="295"/>
      <c r="C1824" s="295"/>
      <c r="D1824" s="296"/>
      <c r="E1824" s="295"/>
      <c r="F1824" s="292"/>
      <c r="G1824" s="293" t="str">
        <f>IFNA(IF(VLOOKUP(RC_OUT[BLOCK],RC_IN[[BLOCK]:[BLOCK LOC]],2,FALSE)=0,"",VLOOKUP(RC_OUT[BLOCK],RC_IN[[BLOCK]:[BLOCK LOC]],2,FALSE)),"")</f>
        <v/>
      </c>
      <c r="I1824" s="263" t="str">
        <f>IFERROR(AVERAGEIFS(RC_IN[MC],RC_IN[BLOCK],RC_OUT[BLOCK]),"")</f>
        <v/>
      </c>
      <c r="J1824" s="264">
        <f t="shared" si="1"/>
        <v>0</v>
      </c>
      <c r="K1824" s="246"/>
      <c r="L1824" s="246"/>
      <c r="M1824" s="249"/>
      <c r="N1824" s="266">
        <f t="shared" si="3"/>
        <v>0</v>
      </c>
      <c r="O1824" s="247"/>
      <c r="P1824" s="247"/>
      <c r="Q1824" s="247"/>
      <c r="R1824" s="247"/>
      <c r="S1824" s="247"/>
      <c r="T1824" s="247"/>
      <c r="U1824" s="247"/>
      <c r="V1824" s="247"/>
      <c r="W1824" s="247"/>
      <c r="X1824" s="247"/>
    </row>
    <row r="1825">
      <c r="A1825" s="294">
        <v>46094.0</v>
      </c>
      <c r="B1825" s="295" t="s">
        <v>1178</v>
      </c>
      <c r="C1825" s="295" t="s">
        <v>809</v>
      </c>
      <c r="D1825" s="296">
        <v>10000.0</v>
      </c>
      <c r="E1825" s="295" t="s">
        <v>1017</v>
      </c>
      <c r="F1825" s="292"/>
      <c r="G1825" s="293" t="str">
        <f>IFNA(IF(VLOOKUP(RC_OUT[BLOCK],RC_IN[[BLOCK]:[BLOCK LOC]],2,FALSE)=0,"",VLOOKUP(RC_OUT[BLOCK],RC_IN[[BLOCK]:[BLOCK LOC]],2,FALSE)),"")</f>
        <v/>
      </c>
      <c r="I1825" s="263">
        <f>IFERROR(AVERAGEIFS(RC_IN[MC],RC_IN[BLOCK],RC_OUT[BLOCK]),"")</f>
        <v>10.07</v>
      </c>
      <c r="J1825" s="264">
        <f t="shared" si="1"/>
        <v>100700</v>
      </c>
      <c r="K1825" s="246"/>
      <c r="L1825" s="246"/>
      <c r="M1825" s="249"/>
      <c r="N1825" s="266">
        <f t="shared" si="3"/>
        <v>0</v>
      </c>
      <c r="O1825" s="247"/>
      <c r="P1825" s="247"/>
      <c r="Q1825" s="247"/>
      <c r="R1825" s="247"/>
      <c r="S1825" s="247"/>
      <c r="T1825" s="247"/>
      <c r="U1825" s="247"/>
      <c r="V1825" s="247"/>
      <c r="W1825" s="247"/>
      <c r="X1825" s="247"/>
    </row>
    <row r="1826">
      <c r="A1826" s="294">
        <v>46094.0</v>
      </c>
      <c r="B1826" s="295" t="s">
        <v>1178</v>
      </c>
      <c r="C1826" s="295" t="s">
        <v>474</v>
      </c>
      <c r="D1826" s="296">
        <v>8108.0</v>
      </c>
      <c r="E1826" s="295" t="s">
        <v>1017</v>
      </c>
      <c r="F1826" s="292"/>
      <c r="G1826" s="293" t="str">
        <f>IFNA(IF(VLOOKUP(RC_OUT[BLOCK],RC_IN[[BLOCK]:[BLOCK LOC]],2,FALSE)=0,"",VLOOKUP(RC_OUT[BLOCK],RC_IN[[BLOCK]:[BLOCK LOC]],2,FALSE)),"")</f>
        <v>A-19A</v>
      </c>
      <c r="I1826" s="263">
        <f>IFERROR(AVERAGEIFS(RC_IN[MC],RC_IN[BLOCK],RC_OUT[BLOCK]),"")</f>
        <v>11.8025</v>
      </c>
      <c r="J1826" s="264">
        <f t="shared" si="1"/>
        <v>95694.67</v>
      </c>
      <c r="K1826" s="246"/>
      <c r="L1826" s="246"/>
      <c r="M1826" s="249"/>
      <c r="N1826" s="266">
        <f t="shared" si="3"/>
        <v>0</v>
      </c>
      <c r="O1826" s="247"/>
      <c r="P1826" s="247"/>
      <c r="Q1826" s="247"/>
      <c r="R1826" s="247"/>
      <c r="S1826" s="247"/>
      <c r="T1826" s="247"/>
      <c r="U1826" s="247"/>
      <c r="V1826" s="247"/>
      <c r="W1826" s="247"/>
      <c r="X1826" s="247"/>
    </row>
    <row r="1827">
      <c r="A1827" s="294">
        <v>46094.0</v>
      </c>
      <c r="B1827" s="295" t="s">
        <v>1178</v>
      </c>
      <c r="C1827" s="295" t="s">
        <v>627</v>
      </c>
      <c r="D1827" s="296">
        <v>20984.0</v>
      </c>
      <c r="E1827" s="295" t="s">
        <v>1017</v>
      </c>
      <c r="F1827" s="292"/>
      <c r="G1827" s="293" t="str">
        <f>IFNA(IF(VLOOKUP(RC_OUT[BLOCK],RC_IN[[BLOCK]:[BLOCK LOC]],2,FALSE)=0,"",VLOOKUP(RC_OUT[BLOCK],RC_IN[[BLOCK]:[BLOCK LOC]],2,FALSE)),"")</f>
        <v>D-5A</v>
      </c>
      <c r="I1827" s="263">
        <f>IFERROR(AVERAGEIFS(RC_IN[MC],RC_IN[BLOCK],RC_OUT[BLOCK]),"")</f>
        <v>10.905</v>
      </c>
      <c r="J1827" s="264">
        <f t="shared" si="1"/>
        <v>228830.52</v>
      </c>
      <c r="K1827" s="246"/>
      <c r="L1827" s="246"/>
      <c r="M1827" s="249"/>
      <c r="N1827" s="266">
        <f t="shared" si="3"/>
        <v>0</v>
      </c>
      <c r="O1827" s="247"/>
      <c r="P1827" s="247"/>
      <c r="Q1827" s="247"/>
      <c r="R1827" s="247"/>
      <c r="S1827" s="247"/>
      <c r="T1827" s="247"/>
      <c r="U1827" s="247"/>
      <c r="V1827" s="247"/>
      <c r="W1827" s="247"/>
      <c r="X1827" s="247"/>
    </row>
    <row r="1828">
      <c r="A1828" s="294"/>
      <c r="B1828" s="295"/>
      <c r="C1828" s="295"/>
      <c r="D1828" s="296"/>
      <c r="E1828" s="295"/>
      <c r="F1828" s="292"/>
      <c r="G1828" s="293" t="str">
        <f>IFNA(IF(VLOOKUP(RC_OUT[BLOCK],RC_IN[[BLOCK]:[BLOCK LOC]],2,FALSE)=0,"",VLOOKUP(RC_OUT[BLOCK],RC_IN[[BLOCK]:[BLOCK LOC]],2,FALSE)),"")</f>
        <v/>
      </c>
      <c r="I1828" s="263" t="str">
        <f>IFERROR(AVERAGEIFS(RC_IN[MC],RC_IN[BLOCK],RC_OUT[BLOCK]),"")</f>
        <v/>
      </c>
      <c r="J1828" s="264">
        <f t="shared" si="1"/>
        <v>0</v>
      </c>
      <c r="K1828" s="246"/>
      <c r="L1828" s="246"/>
      <c r="M1828" s="249"/>
      <c r="N1828" s="266">
        <f t="shared" si="3"/>
        <v>0</v>
      </c>
      <c r="O1828" s="247"/>
      <c r="P1828" s="247"/>
      <c r="Q1828" s="247"/>
      <c r="R1828" s="247"/>
      <c r="S1828" s="247"/>
      <c r="T1828" s="247"/>
      <c r="U1828" s="247"/>
      <c r="V1828" s="247"/>
      <c r="W1828" s="247"/>
      <c r="X1828" s="247"/>
    </row>
    <row r="1829">
      <c r="A1829" s="294">
        <v>46095.0</v>
      </c>
      <c r="B1829" s="295" t="s">
        <v>1178</v>
      </c>
      <c r="C1829" s="295" t="s">
        <v>809</v>
      </c>
      <c r="D1829" s="296">
        <v>6000.0</v>
      </c>
      <c r="E1829" s="295" t="s">
        <v>1017</v>
      </c>
      <c r="F1829" s="297" t="s">
        <v>1059</v>
      </c>
      <c r="G1829" s="293" t="str">
        <f>IFNA(IF(VLOOKUP(RC_OUT[BLOCK],RC_IN[[BLOCK]:[BLOCK LOC]],2,FALSE)=0,"",VLOOKUP(RC_OUT[BLOCK],RC_IN[[BLOCK]:[BLOCK LOC]],2,FALSE)),"")</f>
        <v/>
      </c>
      <c r="I1829" s="263">
        <f>IFERROR(AVERAGEIFS(RC_IN[MC],RC_IN[BLOCK],RC_OUT[BLOCK]),"")</f>
        <v>10.07</v>
      </c>
      <c r="J1829" s="264">
        <f t="shared" si="1"/>
        <v>60420</v>
      </c>
      <c r="K1829" s="246"/>
      <c r="L1829" s="246"/>
      <c r="M1829" s="249"/>
      <c r="N1829" s="266">
        <f t="shared" si="3"/>
        <v>0</v>
      </c>
      <c r="O1829" s="247"/>
      <c r="P1829" s="247"/>
      <c r="Q1829" s="247"/>
      <c r="R1829" s="247"/>
      <c r="S1829" s="247"/>
      <c r="T1829" s="247"/>
      <c r="U1829" s="247"/>
      <c r="V1829" s="247"/>
      <c r="W1829" s="247"/>
      <c r="X1829" s="247"/>
    </row>
    <row r="1830">
      <c r="A1830" s="294">
        <v>46095.0</v>
      </c>
      <c r="B1830" s="295" t="s">
        <v>1178</v>
      </c>
      <c r="C1830" s="295" t="s">
        <v>474</v>
      </c>
      <c r="D1830" s="296">
        <v>7724.0</v>
      </c>
      <c r="E1830" s="295" t="s">
        <v>1017</v>
      </c>
      <c r="F1830" s="292"/>
      <c r="G1830" s="293" t="str">
        <f>IFNA(IF(VLOOKUP(RC_OUT[BLOCK],RC_IN[[BLOCK]:[BLOCK LOC]],2,FALSE)=0,"",VLOOKUP(RC_OUT[BLOCK],RC_IN[[BLOCK]:[BLOCK LOC]],2,FALSE)),"")</f>
        <v>A-19A</v>
      </c>
      <c r="I1830" s="263">
        <f>IFERROR(AVERAGEIFS(RC_IN[MC],RC_IN[BLOCK],RC_OUT[BLOCK]),"")</f>
        <v>11.8025</v>
      </c>
      <c r="J1830" s="264">
        <f t="shared" si="1"/>
        <v>91162.51</v>
      </c>
      <c r="K1830" s="246"/>
      <c r="L1830" s="246"/>
      <c r="M1830" s="249"/>
      <c r="N1830" s="266">
        <f t="shared" si="3"/>
        <v>0</v>
      </c>
      <c r="O1830" s="247"/>
      <c r="P1830" s="247"/>
      <c r="Q1830" s="247"/>
      <c r="R1830" s="247"/>
      <c r="S1830" s="247"/>
      <c r="T1830" s="247"/>
      <c r="U1830" s="247"/>
      <c r="V1830" s="247"/>
      <c r="W1830" s="247"/>
      <c r="X1830" s="247"/>
    </row>
    <row r="1831">
      <c r="A1831" s="294">
        <v>46095.0</v>
      </c>
      <c r="B1831" s="295" t="s">
        <v>1178</v>
      </c>
      <c r="C1831" s="295" t="s">
        <v>627</v>
      </c>
      <c r="D1831" s="296">
        <v>8816.0</v>
      </c>
      <c r="E1831" s="295" t="s">
        <v>1017</v>
      </c>
      <c r="F1831" s="292"/>
      <c r="G1831" s="293" t="str">
        <f>IFNA(IF(VLOOKUP(RC_OUT[BLOCK],RC_IN[[BLOCK]:[BLOCK LOC]],2,FALSE)=0,"",VLOOKUP(RC_OUT[BLOCK],RC_IN[[BLOCK]:[BLOCK LOC]],2,FALSE)),"")</f>
        <v>D-5A</v>
      </c>
      <c r="I1831" s="263">
        <f>IFERROR(AVERAGEIFS(RC_IN[MC],RC_IN[BLOCK],RC_OUT[BLOCK]),"")</f>
        <v>10.905</v>
      </c>
      <c r="J1831" s="264">
        <f t="shared" si="1"/>
        <v>96138.48</v>
      </c>
      <c r="K1831" s="246"/>
      <c r="L1831" s="246"/>
      <c r="M1831" s="249"/>
      <c r="N1831" s="266">
        <f t="shared" si="3"/>
        <v>0</v>
      </c>
      <c r="O1831" s="247"/>
      <c r="P1831" s="247"/>
      <c r="Q1831" s="247"/>
      <c r="R1831" s="247"/>
      <c r="S1831" s="247"/>
      <c r="T1831" s="247"/>
      <c r="U1831" s="247"/>
      <c r="V1831" s="247"/>
      <c r="W1831" s="247"/>
      <c r="X1831" s="247"/>
    </row>
    <row r="1832">
      <c r="A1832" s="294"/>
      <c r="B1832" s="295"/>
      <c r="C1832" s="295"/>
      <c r="D1832" s="296"/>
      <c r="E1832" s="295"/>
      <c r="F1832" s="292"/>
      <c r="G1832" s="293" t="str">
        <f>IFNA(IF(VLOOKUP(RC_OUT[BLOCK],RC_IN[[BLOCK]:[BLOCK LOC]],2,FALSE)=0,"",VLOOKUP(RC_OUT[BLOCK],RC_IN[[BLOCK]:[BLOCK LOC]],2,FALSE)),"")</f>
        <v/>
      </c>
      <c r="I1832" s="263" t="str">
        <f>IFERROR(AVERAGEIFS(RC_IN[MC],RC_IN[BLOCK],RC_OUT[BLOCK]),"")</f>
        <v/>
      </c>
      <c r="J1832" s="264">
        <f t="shared" si="1"/>
        <v>0</v>
      </c>
      <c r="K1832" s="246"/>
      <c r="L1832" s="246"/>
      <c r="M1832" s="249"/>
      <c r="N1832" s="266">
        <f t="shared" si="3"/>
        <v>0</v>
      </c>
      <c r="O1832" s="247"/>
      <c r="P1832" s="247"/>
      <c r="Q1832" s="247"/>
      <c r="R1832" s="247"/>
      <c r="S1832" s="247"/>
      <c r="T1832" s="247"/>
      <c r="U1832" s="247"/>
      <c r="V1832" s="247"/>
      <c r="W1832" s="247"/>
      <c r="X1832" s="247"/>
    </row>
    <row r="1833">
      <c r="A1833" s="294">
        <v>46098.0</v>
      </c>
      <c r="B1833" s="295" t="s">
        <v>1178</v>
      </c>
      <c r="C1833" s="295" t="s">
        <v>474</v>
      </c>
      <c r="D1833" s="296">
        <v>12276.0</v>
      </c>
      <c r="E1833" s="295" t="s">
        <v>1017</v>
      </c>
      <c r="F1833" s="292"/>
      <c r="G1833" s="293" t="str">
        <f>IFNA(IF(VLOOKUP(RC_OUT[BLOCK],RC_IN[[BLOCK]:[BLOCK LOC]],2,FALSE)=0,"",VLOOKUP(RC_OUT[BLOCK],RC_IN[[BLOCK]:[BLOCK LOC]],2,FALSE)),"")</f>
        <v>A-19A</v>
      </c>
      <c r="I1833" s="263">
        <f>IFERROR(AVERAGEIFS(RC_IN[MC],RC_IN[BLOCK],RC_OUT[BLOCK]),"")</f>
        <v>11.8025</v>
      </c>
      <c r="J1833" s="264">
        <f t="shared" si="1"/>
        <v>144887.49</v>
      </c>
      <c r="K1833" s="246"/>
      <c r="L1833" s="246"/>
      <c r="M1833" s="249"/>
      <c r="N1833" s="266">
        <f t="shared" si="3"/>
        <v>0</v>
      </c>
      <c r="O1833" s="247"/>
      <c r="P1833" s="247"/>
      <c r="Q1833" s="247"/>
      <c r="R1833" s="247"/>
      <c r="S1833" s="247"/>
      <c r="T1833" s="247"/>
      <c r="U1833" s="247"/>
      <c r="V1833" s="247"/>
      <c r="W1833" s="247"/>
      <c r="X1833" s="247"/>
    </row>
    <row r="1834">
      <c r="A1834" s="294">
        <v>46098.0</v>
      </c>
      <c r="B1834" s="295" t="s">
        <v>1178</v>
      </c>
      <c r="C1834" s="295" t="s">
        <v>627</v>
      </c>
      <c r="D1834" s="296">
        <v>19367.0</v>
      </c>
      <c r="E1834" s="295" t="s">
        <v>1017</v>
      </c>
      <c r="F1834" s="297" t="s">
        <v>1059</v>
      </c>
      <c r="G1834" s="293" t="str">
        <f>IFNA(IF(VLOOKUP(RC_OUT[BLOCK],RC_IN[[BLOCK]:[BLOCK LOC]],2,FALSE)=0,"",VLOOKUP(RC_OUT[BLOCK],RC_IN[[BLOCK]:[BLOCK LOC]],2,FALSE)),"")</f>
        <v>D-5A</v>
      </c>
      <c r="I1834" s="263">
        <f>IFERROR(AVERAGEIFS(RC_IN[MC],RC_IN[BLOCK],RC_OUT[BLOCK]),"")</f>
        <v>10.905</v>
      </c>
      <c r="J1834" s="264">
        <f t="shared" si="1"/>
        <v>211197.135</v>
      </c>
      <c r="K1834" s="246"/>
      <c r="L1834" s="246"/>
      <c r="M1834" s="249"/>
      <c r="N1834" s="266">
        <f t="shared" si="3"/>
        <v>0</v>
      </c>
      <c r="O1834" s="247"/>
      <c r="P1834" s="247"/>
      <c r="Q1834" s="247"/>
      <c r="R1834" s="247"/>
      <c r="S1834" s="247"/>
      <c r="T1834" s="247"/>
      <c r="U1834" s="247"/>
      <c r="V1834" s="247"/>
      <c r="W1834" s="247"/>
      <c r="X1834" s="247"/>
    </row>
    <row r="1835">
      <c r="A1835" s="294">
        <v>46098.0</v>
      </c>
      <c r="B1835" s="295" t="s">
        <v>1178</v>
      </c>
      <c r="C1835" s="295" t="s">
        <v>842</v>
      </c>
      <c r="D1835" s="296">
        <v>10000.0</v>
      </c>
      <c r="E1835" s="295" t="s">
        <v>1017</v>
      </c>
      <c r="F1835" s="297"/>
      <c r="G1835" s="293" t="str">
        <f>IFNA(IF(VLOOKUP(RC_OUT[BLOCK],RC_IN[[BLOCK]:[BLOCK LOC]],2,FALSE)=0,"",VLOOKUP(RC_OUT[BLOCK],RC_IN[[BLOCK]:[BLOCK LOC]],2,FALSE)),"")</f>
        <v/>
      </c>
      <c r="I1835" s="263">
        <f>IFERROR(AVERAGEIFS(RC_IN[MC],RC_IN[BLOCK],RC_OUT[BLOCK]),"")</f>
        <v>10.67</v>
      </c>
      <c r="J1835" s="264">
        <f t="shared" si="1"/>
        <v>106700</v>
      </c>
      <c r="K1835" s="246"/>
      <c r="L1835" s="246"/>
      <c r="M1835" s="249"/>
      <c r="N1835" s="266">
        <f t="shared" si="3"/>
        <v>0</v>
      </c>
      <c r="O1835" s="247"/>
      <c r="P1835" s="247"/>
      <c r="Q1835" s="247"/>
      <c r="R1835" s="247"/>
      <c r="S1835" s="247"/>
      <c r="T1835" s="247"/>
      <c r="U1835" s="247"/>
      <c r="V1835" s="247"/>
      <c r="W1835" s="247"/>
      <c r="X1835" s="247"/>
    </row>
    <row r="1836">
      <c r="A1836" s="294">
        <v>46098.0</v>
      </c>
      <c r="B1836" s="295" t="s">
        <v>1178</v>
      </c>
      <c r="C1836" s="295" t="s">
        <v>543</v>
      </c>
      <c r="D1836" s="296">
        <v>5904.0</v>
      </c>
      <c r="E1836" s="295" t="s">
        <v>1017</v>
      </c>
      <c r="F1836" s="292"/>
      <c r="G1836" s="293" t="str">
        <f>IFNA(IF(VLOOKUP(RC_OUT[BLOCK],RC_IN[[BLOCK]:[BLOCK LOC]],2,FALSE)=0,"",VLOOKUP(RC_OUT[BLOCK],RC_IN[[BLOCK]:[BLOCK LOC]],2,FALSE)),"")</f>
        <v>D-20B</v>
      </c>
      <c r="I1836" s="263">
        <f>IFERROR(AVERAGEIFS(RC_IN[MC],RC_IN[BLOCK],RC_OUT[BLOCK]),"")</f>
        <v>20.14</v>
      </c>
      <c r="J1836" s="264">
        <f t="shared" si="1"/>
        <v>118906.56</v>
      </c>
      <c r="K1836" s="246"/>
      <c r="L1836" s="246"/>
      <c r="M1836" s="249"/>
      <c r="N1836" s="266">
        <f t="shared" si="3"/>
        <v>0</v>
      </c>
      <c r="O1836" s="247"/>
      <c r="P1836" s="247"/>
      <c r="Q1836" s="247"/>
      <c r="R1836" s="247"/>
      <c r="S1836" s="247"/>
      <c r="T1836" s="247"/>
      <c r="U1836" s="247"/>
      <c r="V1836" s="247"/>
      <c r="W1836" s="247"/>
      <c r="X1836" s="247"/>
    </row>
    <row r="1837">
      <c r="A1837" s="294">
        <v>46098.0</v>
      </c>
      <c r="B1837" s="295" t="s">
        <v>1178</v>
      </c>
      <c r="C1837" s="295" t="s">
        <v>216</v>
      </c>
      <c r="D1837" s="296">
        <v>11176.0</v>
      </c>
      <c r="E1837" s="295" t="s">
        <v>1374</v>
      </c>
      <c r="F1837" s="292"/>
      <c r="G1837" s="293" t="str">
        <f>IFNA(IF(VLOOKUP(RC_OUT[BLOCK],RC_IN[[BLOCK]:[BLOCK LOC]],2,FALSE)=0,"",VLOOKUP(RC_OUT[BLOCK],RC_IN[[BLOCK]:[BLOCK LOC]],2,FALSE)),"")</f>
        <v>A-20C</v>
      </c>
      <c r="I1837" s="263">
        <f>IFERROR(AVERAGEIFS(RC_IN[MC],RC_IN[BLOCK],RC_OUT[BLOCK]),"")</f>
        <v>38.87</v>
      </c>
      <c r="J1837" s="264">
        <f t="shared" si="1"/>
        <v>434411.12</v>
      </c>
      <c r="K1837" s="246"/>
      <c r="L1837" s="246"/>
      <c r="M1837" s="249"/>
      <c r="N1837" s="266">
        <f t="shared" si="3"/>
        <v>0</v>
      </c>
      <c r="O1837" s="247"/>
      <c r="P1837" s="247"/>
      <c r="Q1837" s="247"/>
      <c r="R1837" s="247"/>
      <c r="S1837" s="247"/>
      <c r="T1837" s="247"/>
      <c r="U1837" s="247"/>
      <c r="V1837" s="247"/>
      <c r="W1837" s="247"/>
      <c r="X1837" s="247"/>
    </row>
    <row r="1838">
      <c r="A1838" s="294"/>
      <c r="B1838" s="295"/>
      <c r="C1838" s="295"/>
      <c r="D1838" s="296"/>
      <c r="E1838" s="295"/>
      <c r="F1838" s="292"/>
      <c r="G1838" s="293" t="str">
        <f>IFNA(IF(VLOOKUP(RC_OUT[BLOCK],RC_IN[[BLOCK]:[BLOCK LOC]],2,FALSE)=0,"",VLOOKUP(RC_OUT[BLOCK],RC_IN[[BLOCK]:[BLOCK LOC]],2,FALSE)),"")</f>
        <v/>
      </c>
      <c r="I1838" s="263" t="str">
        <f>IFERROR(AVERAGEIFS(RC_IN[MC],RC_IN[BLOCK],RC_OUT[BLOCK]),"")</f>
        <v/>
      </c>
      <c r="J1838" s="264">
        <f t="shared" si="1"/>
        <v>0</v>
      </c>
      <c r="K1838" s="246"/>
      <c r="L1838" s="246"/>
      <c r="M1838" s="249"/>
      <c r="N1838" s="266">
        <f t="shared" si="3"/>
        <v>0</v>
      </c>
      <c r="O1838" s="247"/>
      <c r="P1838" s="247"/>
      <c r="Q1838" s="247"/>
      <c r="R1838" s="247"/>
      <c r="S1838" s="247"/>
      <c r="T1838" s="247"/>
      <c r="U1838" s="247"/>
      <c r="V1838" s="247"/>
      <c r="W1838" s="247"/>
      <c r="X1838" s="247"/>
    </row>
    <row r="1839">
      <c r="A1839" s="294">
        <v>46099.0</v>
      </c>
      <c r="B1839" s="295" t="s">
        <v>1178</v>
      </c>
      <c r="C1839" s="295" t="s">
        <v>474</v>
      </c>
      <c r="D1839" s="296">
        <v>6621.0</v>
      </c>
      <c r="E1839" s="295" t="s">
        <v>1017</v>
      </c>
      <c r="F1839" s="292"/>
      <c r="G1839" s="293" t="str">
        <f>IFNA(IF(VLOOKUP(RC_OUT[BLOCK],RC_IN[[BLOCK]:[BLOCK LOC]],2,FALSE)=0,"",VLOOKUP(RC_OUT[BLOCK],RC_IN[[BLOCK]:[BLOCK LOC]],2,FALSE)),"")</f>
        <v>A-19A</v>
      </c>
      <c r="I1839" s="263">
        <f>IFERROR(AVERAGEIFS(RC_IN[MC],RC_IN[BLOCK],RC_OUT[BLOCK]),"")</f>
        <v>11.8025</v>
      </c>
      <c r="J1839" s="264">
        <f t="shared" si="1"/>
        <v>78144.3525</v>
      </c>
      <c r="K1839" s="246"/>
      <c r="L1839" s="246"/>
      <c r="M1839" s="249"/>
      <c r="N1839" s="266">
        <f t="shared" si="3"/>
        <v>0</v>
      </c>
      <c r="O1839" s="247"/>
      <c r="P1839" s="247"/>
      <c r="Q1839" s="247"/>
      <c r="R1839" s="247"/>
      <c r="S1839" s="247"/>
      <c r="T1839" s="247"/>
      <c r="U1839" s="247"/>
      <c r="V1839" s="247"/>
      <c r="W1839" s="247"/>
      <c r="X1839" s="247"/>
    </row>
    <row r="1840">
      <c r="A1840" s="294">
        <v>46099.0</v>
      </c>
      <c r="B1840" s="295" t="s">
        <v>1178</v>
      </c>
      <c r="C1840" s="295" t="s">
        <v>543</v>
      </c>
      <c r="D1840" s="296">
        <v>6033.0</v>
      </c>
      <c r="E1840" s="295" t="s">
        <v>1017</v>
      </c>
      <c r="F1840" s="292"/>
      <c r="G1840" s="293" t="str">
        <f>IFNA(IF(VLOOKUP(RC_OUT[BLOCK],RC_IN[[BLOCK]:[BLOCK LOC]],2,FALSE)=0,"",VLOOKUP(RC_OUT[BLOCK],RC_IN[[BLOCK]:[BLOCK LOC]],2,FALSE)),"")</f>
        <v>D-20B</v>
      </c>
      <c r="I1840" s="263">
        <f>IFERROR(AVERAGEIFS(RC_IN[MC],RC_IN[BLOCK],RC_OUT[BLOCK]),"")</f>
        <v>20.14</v>
      </c>
      <c r="J1840" s="264">
        <f t="shared" si="1"/>
        <v>121504.62</v>
      </c>
      <c r="K1840" s="246"/>
      <c r="L1840" s="246"/>
      <c r="M1840" s="249"/>
      <c r="N1840" s="266">
        <f t="shared" si="3"/>
        <v>0</v>
      </c>
      <c r="O1840" s="247"/>
      <c r="P1840" s="247"/>
      <c r="Q1840" s="247"/>
      <c r="R1840" s="247"/>
      <c r="S1840" s="247"/>
      <c r="T1840" s="247"/>
      <c r="U1840" s="247"/>
      <c r="V1840" s="247"/>
      <c r="W1840" s="247"/>
      <c r="X1840" s="247"/>
    </row>
    <row r="1841">
      <c r="A1841" s="294">
        <v>46099.0</v>
      </c>
      <c r="B1841" s="295" t="s">
        <v>1178</v>
      </c>
      <c r="C1841" s="295" t="s">
        <v>842</v>
      </c>
      <c r="D1841" s="296">
        <v>7895.0</v>
      </c>
      <c r="E1841" s="295" t="s">
        <v>1017</v>
      </c>
      <c r="F1841" s="297" t="s">
        <v>1059</v>
      </c>
      <c r="G1841" s="293" t="str">
        <f>IFNA(IF(VLOOKUP(RC_OUT[BLOCK],RC_IN[[BLOCK]:[BLOCK LOC]],2,FALSE)=0,"",VLOOKUP(RC_OUT[BLOCK],RC_IN[[BLOCK]:[BLOCK LOC]],2,FALSE)),"")</f>
        <v/>
      </c>
      <c r="I1841" s="263">
        <f>IFERROR(AVERAGEIFS(RC_IN[MC],RC_IN[BLOCK],RC_OUT[BLOCK]),"")</f>
        <v>10.67</v>
      </c>
      <c r="J1841" s="264">
        <f t="shared" si="1"/>
        <v>84239.65</v>
      </c>
      <c r="K1841" s="246"/>
      <c r="L1841" s="246"/>
      <c r="M1841" s="249"/>
      <c r="N1841" s="266">
        <f t="shared" si="3"/>
        <v>0</v>
      </c>
      <c r="O1841" s="247"/>
      <c r="P1841" s="247"/>
      <c r="Q1841" s="247"/>
      <c r="R1841" s="247"/>
      <c r="S1841" s="247"/>
      <c r="T1841" s="247"/>
      <c r="U1841" s="247"/>
      <c r="V1841" s="247"/>
      <c r="W1841" s="247"/>
      <c r="X1841" s="247"/>
    </row>
    <row r="1842">
      <c r="A1842" s="294">
        <v>46099.0</v>
      </c>
      <c r="B1842" s="295" t="s">
        <v>1178</v>
      </c>
      <c r="C1842" s="295" t="s">
        <v>851</v>
      </c>
      <c r="D1842" s="296">
        <v>10496.0</v>
      </c>
      <c r="E1842" s="295" t="s">
        <v>1017</v>
      </c>
      <c r="F1842" s="292"/>
      <c r="G1842" s="293" t="str">
        <f>IFNA(IF(VLOOKUP(RC_OUT[BLOCK],RC_IN[[BLOCK]:[BLOCK LOC]],2,FALSE)=0,"",VLOOKUP(RC_OUT[BLOCK],RC_IN[[BLOCK]:[BLOCK LOC]],2,FALSE)),"")</f>
        <v/>
      </c>
      <c r="I1842" s="263" t="str">
        <f>IFERROR(AVERAGEIFS(RC_IN[MC],RC_IN[BLOCK],RC_OUT[BLOCK]),"")</f>
        <v/>
      </c>
      <c r="J1842" s="264">
        <f t="shared" si="1"/>
        <v>0</v>
      </c>
      <c r="K1842" s="246"/>
      <c r="L1842" s="246"/>
      <c r="M1842" s="249"/>
      <c r="N1842" s="266">
        <f t="shared" si="3"/>
        <v>0</v>
      </c>
      <c r="O1842" s="247"/>
      <c r="P1842" s="247"/>
      <c r="Q1842" s="247"/>
      <c r="R1842" s="247"/>
      <c r="S1842" s="247"/>
      <c r="T1842" s="247"/>
      <c r="U1842" s="247"/>
      <c r="V1842" s="247"/>
      <c r="W1842" s="247"/>
      <c r="X1842" s="247"/>
    </row>
    <row r="1843">
      <c r="A1843" s="294"/>
      <c r="B1843" s="295"/>
      <c r="C1843" s="295"/>
      <c r="D1843" s="296"/>
      <c r="E1843" s="295"/>
      <c r="F1843" s="292"/>
      <c r="G1843" s="293" t="str">
        <f>IFNA(IF(VLOOKUP(RC_OUT[BLOCK],RC_IN[[BLOCK]:[BLOCK LOC]],2,FALSE)=0,"",VLOOKUP(RC_OUT[BLOCK],RC_IN[[BLOCK]:[BLOCK LOC]],2,FALSE)),"")</f>
        <v/>
      </c>
      <c r="I1843" s="263" t="str">
        <f>IFERROR(AVERAGEIFS(RC_IN[MC],RC_IN[BLOCK],RC_OUT[BLOCK]),"")</f>
        <v/>
      </c>
      <c r="J1843" s="264">
        <f t="shared" si="1"/>
        <v>0</v>
      </c>
      <c r="K1843" s="246"/>
      <c r="L1843" s="246"/>
      <c r="M1843" s="249"/>
      <c r="N1843" s="266">
        <f t="shared" si="3"/>
        <v>0</v>
      </c>
      <c r="O1843" s="247"/>
      <c r="P1843" s="247"/>
      <c r="Q1843" s="247"/>
      <c r="R1843" s="247"/>
      <c r="S1843" s="247"/>
      <c r="T1843" s="247"/>
      <c r="U1843" s="247"/>
      <c r="V1843" s="247"/>
      <c r="W1843" s="247"/>
      <c r="X1843" s="247"/>
    </row>
    <row r="1844">
      <c r="A1844" s="294">
        <v>46100.0</v>
      </c>
      <c r="B1844" s="295" t="s">
        <v>1178</v>
      </c>
      <c r="C1844" s="295" t="s">
        <v>474</v>
      </c>
      <c r="D1844" s="296">
        <v>11962.0</v>
      </c>
      <c r="E1844" s="295" t="s">
        <v>1017</v>
      </c>
      <c r="F1844" s="292"/>
      <c r="G1844" s="293" t="str">
        <f>IFNA(IF(VLOOKUP(RC_OUT[BLOCK],RC_IN[[BLOCK]:[BLOCK LOC]],2,FALSE)=0,"",VLOOKUP(RC_OUT[BLOCK],RC_IN[[BLOCK]:[BLOCK LOC]],2,FALSE)),"")</f>
        <v>A-19A</v>
      </c>
      <c r="I1844" s="263">
        <f>IFERROR(AVERAGEIFS(RC_IN[MC],RC_IN[BLOCK],RC_OUT[BLOCK]),"")</f>
        <v>11.8025</v>
      </c>
      <c r="J1844" s="264">
        <f t="shared" si="1"/>
        <v>141181.505</v>
      </c>
      <c r="K1844" s="246"/>
      <c r="L1844" s="246"/>
      <c r="M1844" s="249"/>
      <c r="N1844" s="266">
        <f t="shared" si="3"/>
        <v>0</v>
      </c>
      <c r="O1844" s="247"/>
      <c r="P1844" s="247"/>
      <c r="Q1844" s="247"/>
      <c r="R1844" s="247"/>
      <c r="S1844" s="247"/>
      <c r="T1844" s="247"/>
      <c r="U1844" s="247"/>
      <c r="V1844" s="247"/>
      <c r="W1844" s="247"/>
      <c r="X1844" s="247"/>
    </row>
    <row r="1845">
      <c r="A1845" s="294">
        <v>46100.0</v>
      </c>
      <c r="B1845" s="295" t="s">
        <v>1178</v>
      </c>
      <c r="C1845" s="295" t="s">
        <v>543</v>
      </c>
      <c r="D1845" s="296">
        <v>12622.0</v>
      </c>
      <c r="E1845" s="295" t="s">
        <v>1017</v>
      </c>
      <c r="F1845" s="297" t="s">
        <v>1059</v>
      </c>
      <c r="G1845" s="293" t="str">
        <f>IFNA(IF(VLOOKUP(RC_OUT[BLOCK],RC_IN[[BLOCK]:[BLOCK LOC]],2,FALSE)=0,"",VLOOKUP(RC_OUT[BLOCK],RC_IN[[BLOCK]:[BLOCK LOC]],2,FALSE)),"")</f>
        <v>D-20B</v>
      </c>
      <c r="I1845" s="263">
        <f>IFERROR(AVERAGEIFS(RC_IN[MC],RC_IN[BLOCK],RC_OUT[BLOCK]),"")</f>
        <v>20.14</v>
      </c>
      <c r="J1845" s="264">
        <f t="shared" si="1"/>
        <v>254207.08</v>
      </c>
      <c r="K1845" s="246"/>
      <c r="L1845" s="246"/>
      <c r="M1845" s="249"/>
      <c r="N1845" s="266">
        <f t="shared" si="3"/>
        <v>0</v>
      </c>
      <c r="O1845" s="247"/>
      <c r="P1845" s="247"/>
      <c r="Q1845" s="247"/>
      <c r="R1845" s="247"/>
      <c r="S1845" s="247"/>
      <c r="T1845" s="247"/>
      <c r="U1845" s="247"/>
      <c r="V1845" s="247"/>
      <c r="W1845" s="247"/>
      <c r="X1845" s="247"/>
    </row>
    <row r="1846">
      <c r="A1846" s="294">
        <v>46100.0</v>
      </c>
      <c r="B1846" s="295" t="s">
        <v>1178</v>
      </c>
      <c r="C1846" s="295" t="s">
        <v>851</v>
      </c>
      <c r="D1846" s="296">
        <v>18920.0</v>
      </c>
      <c r="E1846" s="295" t="s">
        <v>1017</v>
      </c>
      <c r="F1846" s="297" t="s">
        <v>1059</v>
      </c>
      <c r="G1846" s="293" t="str">
        <f>IFNA(IF(VLOOKUP(RC_OUT[BLOCK],RC_IN[[BLOCK]:[BLOCK LOC]],2,FALSE)=0,"",VLOOKUP(RC_OUT[BLOCK],RC_IN[[BLOCK]:[BLOCK LOC]],2,FALSE)),"")</f>
        <v/>
      </c>
      <c r="I1846" s="263" t="str">
        <f>IFERROR(AVERAGEIFS(RC_IN[MC],RC_IN[BLOCK],RC_OUT[BLOCK]),"")</f>
        <v/>
      </c>
      <c r="J1846" s="264">
        <f t="shared" si="1"/>
        <v>0</v>
      </c>
      <c r="K1846" s="246"/>
      <c r="L1846" s="246"/>
      <c r="M1846" s="249"/>
      <c r="N1846" s="266">
        <f t="shared" si="3"/>
        <v>0</v>
      </c>
      <c r="O1846" s="247"/>
      <c r="P1846" s="247"/>
      <c r="Q1846" s="247"/>
      <c r="R1846" s="247"/>
      <c r="S1846" s="247"/>
      <c r="T1846" s="247"/>
      <c r="U1846" s="247"/>
      <c r="V1846" s="247"/>
      <c r="W1846" s="247"/>
      <c r="X1846" s="247"/>
    </row>
    <row r="1847">
      <c r="A1847" s="294">
        <v>46100.0</v>
      </c>
      <c r="B1847" s="295" t="s">
        <v>1178</v>
      </c>
      <c r="C1847" s="295" t="s">
        <v>706</v>
      </c>
      <c r="D1847" s="296">
        <v>1587.0</v>
      </c>
      <c r="E1847" s="295" t="s">
        <v>1017</v>
      </c>
      <c r="F1847" s="297" t="s">
        <v>1059</v>
      </c>
      <c r="G1847" s="293" t="str">
        <f>IFNA(IF(VLOOKUP(RC_OUT[BLOCK],RC_IN[[BLOCK]:[BLOCK LOC]],2,FALSE)=0,"",VLOOKUP(RC_OUT[BLOCK],RC_IN[[BLOCK]:[BLOCK LOC]],2,FALSE)),"")</f>
        <v/>
      </c>
      <c r="I1847" s="263">
        <f>IFERROR(AVERAGEIFS(RC_IN[MC],RC_IN[BLOCK],RC_OUT[BLOCK]),"")</f>
        <v>9.48</v>
      </c>
      <c r="J1847" s="264">
        <f t="shared" si="1"/>
        <v>15044.76</v>
      </c>
      <c r="K1847" s="246"/>
      <c r="L1847" s="246"/>
      <c r="M1847" s="249"/>
      <c r="N1847" s="266">
        <f t="shared" si="3"/>
        <v>0</v>
      </c>
      <c r="O1847" s="247"/>
      <c r="P1847" s="247"/>
      <c r="Q1847" s="247"/>
      <c r="R1847" s="247"/>
      <c r="S1847" s="247"/>
      <c r="T1847" s="247"/>
      <c r="U1847" s="247"/>
      <c r="V1847" s="247"/>
      <c r="W1847" s="247"/>
      <c r="X1847" s="247"/>
    </row>
    <row r="1848">
      <c r="A1848" s="294"/>
      <c r="B1848" s="295"/>
      <c r="C1848" s="295"/>
      <c r="D1848" s="296"/>
      <c r="E1848" s="295"/>
      <c r="F1848" s="292"/>
      <c r="G1848" s="293" t="str">
        <f>IFNA(IF(VLOOKUP(RC_OUT[BLOCK],RC_IN[[BLOCK]:[BLOCK LOC]],2,FALSE)=0,"",VLOOKUP(RC_OUT[BLOCK],RC_IN[[BLOCK]:[BLOCK LOC]],2,FALSE)),"")</f>
        <v/>
      </c>
      <c r="I1848" s="263" t="str">
        <f>IFERROR(AVERAGEIFS(RC_IN[MC],RC_IN[BLOCK],RC_OUT[BLOCK]),"")</f>
        <v/>
      </c>
      <c r="J1848" s="264">
        <f t="shared" si="1"/>
        <v>0</v>
      </c>
      <c r="K1848" s="246"/>
      <c r="L1848" s="246"/>
      <c r="M1848" s="249"/>
      <c r="N1848" s="266">
        <f t="shared" si="3"/>
        <v>0</v>
      </c>
      <c r="O1848" s="247"/>
      <c r="P1848" s="247"/>
      <c r="Q1848" s="247"/>
      <c r="R1848" s="247"/>
      <c r="S1848" s="247"/>
      <c r="T1848" s="247"/>
      <c r="U1848" s="247"/>
      <c r="V1848" s="247"/>
      <c r="W1848" s="247"/>
      <c r="X1848" s="247"/>
    </row>
    <row r="1849">
      <c r="A1849" s="294">
        <v>46095.0</v>
      </c>
      <c r="B1849" s="295" t="s">
        <v>1178</v>
      </c>
      <c r="C1849" s="295" t="s">
        <v>216</v>
      </c>
      <c r="D1849" s="296">
        <v>7570.0</v>
      </c>
      <c r="E1849" s="295" t="s">
        <v>1374</v>
      </c>
      <c r="F1849" s="292"/>
      <c r="G1849" s="293" t="str">
        <f>IFNA(IF(VLOOKUP(RC_OUT[BLOCK],RC_IN[[BLOCK]:[BLOCK LOC]],2,FALSE)=0,"",VLOOKUP(RC_OUT[BLOCK],RC_IN[[BLOCK]:[BLOCK LOC]],2,FALSE)),"")</f>
        <v>A-20C</v>
      </c>
      <c r="I1849" s="263">
        <f>IFERROR(AVERAGEIFS(RC_IN[MC],RC_IN[BLOCK],RC_OUT[BLOCK]),"")</f>
        <v>38.87</v>
      </c>
      <c r="J1849" s="264">
        <f t="shared" si="1"/>
        <v>294245.9</v>
      </c>
      <c r="K1849" s="246"/>
      <c r="L1849" s="246"/>
      <c r="M1849" s="249"/>
      <c r="N1849" s="266">
        <f t="shared" si="3"/>
        <v>0</v>
      </c>
      <c r="O1849" s="247"/>
      <c r="P1849" s="247"/>
      <c r="Q1849" s="247"/>
      <c r="R1849" s="247"/>
      <c r="S1849" s="247"/>
      <c r="T1849" s="247"/>
      <c r="U1849" s="247"/>
      <c r="V1849" s="247"/>
      <c r="W1849" s="247"/>
      <c r="X1849" s="247"/>
    </row>
    <row r="1850">
      <c r="A1850" s="294">
        <v>46096.0</v>
      </c>
      <c r="B1850" s="295" t="s">
        <v>1178</v>
      </c>
      <c r="C1850" s="295" t="s">
        <v>216</v>
      </c>
      <c r="D1850" s="296">
        <v>3022.0</v>
      </c>
      <c r="E1850" s="295" t="s">
        <v>1374</v>
      </c>
      <c r="F1850" s="292"/>
      <c r="G1850" s="293" t="str">
        <f>IFNA(IF(VLOOKUP(RC_OUT[BLOCK],RC_IN[[BLOCK]:[BLOCK LOC]],2,FALSE)=0,"",VLOOKUP(RC_OUT[BLOCK],RC_IN[[BLOCK]:[BLOCK LOC]],2,FALSE)),"")</f>
        <v>A-20C</v>
      </c>
      <c r="I1850" s="263">
        <f>IFERROR(AVERAGEIFS(RC_IN[MC],RC_IN[BLOCK],RC_OUT[BLOCK]),"")</f>
        <v>38.87</v>
      </c>
      <c r="J1850" s="264">
        <f t="shared" si="1"/>
        <v>117465.14</v>
      </c>
      <c r="K1850" s="246"/>
      <c r="L1850" s="246"/>
      <c r="M1850" s="249"/>
      <c r="N1850" s="266">
        <f t="shared" si="3"/>
        <v>0</v>
      </c>
      <c r="O1850" s="247"/>
      <c r="P1850" s="247"/>
      <c r="Q1850" s="247"/>
      <c r="R1850" s="247"/>
      <c r="S1850" s="247"/>
      <c r="T1850" s="247"/>
      <c r="U1850" s="247"/>
      <c r="V1850" s="247"/>
      <c r="W1850" s="247"/>
      <c r="X1850" s="247"/>
    </row>
    <row r="1851">
      <c r="A1851" s="294">
        <v>46097.0</v>
      </c>
      <c r="B1851" s="295" t="s">
        <v>1178</v>
      </c>
      <c r="C1851" s="295" t="s">
        <v>216</v>
      </c>
      <c r="D1851" s="296">
        <v>4336.0</v>
      </c>
      <c r="E1851" s="295" t="s">
        <v>1374</v>
      </c>
      <c r="F1851" s="292"/>
      <c r="G1851" s="293" t="str">
        <f>IFNA(IF(VLOOKUP(RC_OUT[BLOCK],RC_IN[[BLOCK]:[BLOCK LOC]],2,FALSE)=0,"",VLOOKUP(RC_OUT[BLOCK],RC_IN[[BLOCK]:[BLOCK LOC]],2,FALSE)),"")</f>
        <v>A-20C</v>
      </c>
      <c r="I1851" s="263">
        <f>IFERROR(AVERAGEIFS(RC_IN[MC],RC_IN[BLOCK],RC_OUT[BLOCK]),"")</f>
        <v>38.87</v>
      </c>
      <c r="J1851" s="264">
        <f t="shared" si="1"/>
        <v>168540.32</v>
      </c>
      <c r="K1851" s="246"/>
      <c r="L1851" s="246"/>
      <c r="M1851" s="249"/>
      <c r="N1851" s="266">
        <f t="shared" si="3"/>
        <v>0</v>
      </c>
      <c r="O1851" s="247"/>
      <c r="P1851" s="247"/>
      <c r="Q1851" s="247"/>
      <c r="R1851" s="247"/>
      <c r="S1851" s="247"/>
      <c r="T1851" s="247"/>
      <c r="U1851" s="247"/>
      <c r="V1851" s="247"/>
      <c r="W1851" s="247"/>
      <c r="X1851" s="247"/>
    </row>
    <row r="1852">
      <c r="A1852" s="294">
        <v>46098.0</v>
      </c>
      <c r="B1852" s="295" t="s">
        <v>1178</v>
      </c>
      <c r="C1852" s="295" t="s">
        <v>216</v>
      </c>
      <c r="D1852" s="296">
        <v>11176.0</v>
      </c>
      <c r="E1852" s="295" t="s">
        <v>1374</v>
      </c>
      <c r="F1852" s="292"/>
      <c r="G1852" s="293" t="str">
        <f>IFNA(IF(VLOOKUP(RC_OUT[BLOCK],RC_IN[[BLOCK]:[BLOCK LOC]],2,FALSE)=0,"",VLOOKUP(RC_OUT[BLOCK],RC_IN[[BLOCK]:[BLOCK LOC]],2,FALSE)),"")</f>
        <v>A-20C</v>
      </c>
      <c r="I1852" s="263">
        <f>IFERROR(AVERAGEIFS(RC_IN[MC],RC_IN[BLOCK],RC_OUT[BLOCK]),"")</f>
        <v>38.87</v>
      </c>
      <c r="J1852" s="264">
        <f t="shared" si="1"/>
        <v>434411.12</v>
      </c>
      <c r="K1852" s="246"/>
      <c r="L1852" s="246"/>
      <c r="M1852" s="249"/>
      <c r="N1852" s="266">
        <f t="shared" si="3"/>
        <v>0</v>
      </c>
      <c r="O1852" s="247"/>
      <c r="P1852" s="247"/>
      <c r="Q1852" s="247"/>
      <c r="R1852" s="247"/>
      <c r="S1852" s="247"/>
      <c r="T1852" s="247"/>
      <c r="U1852" s="247"/>
      <c r="V1852" s="247"/>
      <c r="W1852" s="247"/>
      <c r="X1852" s="247"/>
    </row>
    <row r="1853">
      <c r="A1853" s="294">
        <v>46099.0</v>
      </c>
      <c r="B1853" s="295" t="s">
        <v>1178</v>
      </c>
      <c r="C1853" s="295" t="s">
        <v>216</v>
      </c>
      <c r="D1853" s="296">
        <v>7607.0</v>
      </c>
      <c r="E1853" s="295" t="s">
        <v>1374</v>
      </c>
      <c r="F1853" s="292"/>
      <c r="G1853" s="293" t="str">
        <f>IFNA(IF(VLOOKUP(RC_OUT[BLOCK],RC_IN[[BLOCK]:[BLOCK LOC]],2,FALSE)=0,"",VLOOKUP(RC_OUT[BLOCK],RC_IN[[BLOCK]:[BLOCK LOC]],2,FALSE)),"")</f>
        <v>A-20C</v>
      </c>
      <c r="I1853" s="263">
        <f>IFERROR(AVERAGEIFS(RC_IN[MC],RC_IN[BLOCK],RC_OUT[BLOCK]),"")</f>
        <v>38.87</v>
      </c>
      <c r="J1853" s="264">
        <f t="shared" si="1"/>
        <v>295684.09</v>
      </c>
      <c r="K1853" s="246"/>
      <c r="L1853" s="246"/>
      <c r="M1853" s="249"/>
      <c r="N1853" s="266">
        <f t="shared" si="3"/>
        <v>0</v>
      </c>
      <c r="O1853" s="247"/>
      <c r="P1853" s="247"/>
      <c r="Q1853" s="247"/>
      <c r="R1853" s="247"/>
      <c r="S1853" s="247"/>
      <c r="T1853" s="247"/>
      <c r="U1853" s="247"/>
      <c r="V1853" s="247"/>
      <c r="W1853" s="247"/>
      <c r="X1853" s="247"/>
    </row>
    <row r="1854">
      <c r="A1854" s="294"/>
      <c r="B1854" s="295"/>
      <c r="C1854" s="295"/>
      <c r="D1854" s="296"/>
      <c r="E1854" s="295"/>
      <c r="F1854" s="292"/>
      <c r="G1854" s="293" t="str">
        <f>IFNA(IF(VLOOKUP(RC_OUT[BLOCK],RC_IN[[BLOCK]:[BLOCK LOC]],2,FALSE)=0,"",VLOOKUP(RC_OUT[BLOCK],RC_IN[[BLOCK]:[BLOCK LOC]],2,FALSE)),"")</f>
        <v/>
      </c>
      <c r="I1854" s="263" t="str">
        <f>IFERROR(AVERAGEIFS(RC_IN[MC],RC_IN[BLOCK],RC_OUT[BLOCK]),"")</f>
        <v/>
      </c>
      <c r="J1854" s="264">
        <f t="shared" si="1"/>
        <v>0</v>
      </c>
      <c r="K1854" s="246"/>
      <c r="L1854" s="246"/>
      <c r="M1854" s="249"/>
      <c r="N1854" s="266">
        <f t="shared" si="3"/>
        <v>0</v>
      </c>
      <c r="O1854" s="247"/>
      <c r="P1854" s="247"/>
      <c r="Q1854" s="247"/>
      <c r="R1854" s="247"/>
      <c r="S1854" s="247"/>
      <c r="T1854" s="247"/>
      <c r="U1854" s="247"/>
      <c r="V1854" s="247"/>
      <c r="W1854" s="247"/>
      <c r="X1854" s="247"/>
    </row>
    <row r="1855">
      <c r="A1855" s="294">
        <v>46100.0</v>
      </c>
      <c r="B1855" s="295" t="s">
        <v>1178</v>
      </c>
      <c r="C1855" s="295" t="s">
        <v>216</v>
      </c>
      <c r="D1855" s="296">
        <v>7371.0</v>
      </c>
      <c r="E1855" s="295" t="s">
        <v>1374</v>
      </c>
      <c r="F1855" s="297" t="s">
        <v>1059</v>
      </c>
      <c r="G1855" s="293" t="str">
        <f>IFNA(IF(VLOOKUP(RC_OUT[BLOCK],RC_IN[[BLOCK]:[BLOCK LOC]],2,FALSE)=0,"",VLOOKUP(RC_OUT[BLOCK],RC_IN[[BLOCK]:[BLOCK LOC]],2,FALSE)),"")</f>
        <v>A-20C</v>
      </c>
      <c r="I1855" s="263"/>
      <c r="J1855" s="264"/>
      <c r="K1855" s="246"/>
      <c r="L1855" s="246"/>
      <c r="M1855" s="249"/>
      <c r="N1855" s="266"/>
      <c r="O1855" s="247"/>
      <c r="P1855" s="247"/>
      <c r="Q1855" s="247"/>
      <c r="R1855" s="247"/>
      <c r="S1855" s="247"/>
      <c r="T1855" s="247"/>
      <c r="U1855" s="247"/>
      <c r="V1855" s="247"/>
      <c r="W1855" s="247"/>
      <c r="X1855" s="247"/>
    </row>
    <row r="1856">
      <c r="A1856" s="294"/>
      <c r="B1856" s="295"/>
      <c r="C1856" s="295"/>
      <c r="D1856" s="296"/>
      <c r="E1856" s="295"/>
      <c r="F1856" s="292"/>
      <c r="G1856" s="293" t="str">
        <f>IFNA(IF(VLOOKUP(RC_OUT[BLOCK],RC_IN[[BLOCK]:[BLOCK LOC]],2,FALSE)=0,"",VLOOKUP(RC_OUT[BLOCK],RC_IN[[BLOCK]:[BLOCK LOC]],2,FALSE)),"")</f>
        <v/>
      </c>
      <c r="I1856" s="263"/>
      <c r="J1856" s="264"/>
      <c r="K1856" s="246"/>
      <c r="L1856" s="246"/>
      <c r="M1856" s="249"/>
      <c r="N1856" s="266"/>
      <c r="O1856" s="247"/>
      <c r="P1856" s="247"/>
      <c r="Q1856" s="247"/>
      <c r="R1856" s="247"/>
      <c r="S1856" s="247"/>
      <c r="T1856" s="247"/>
      <c r="U1856" s="247"/>
      <c r="V1856" s="247"/>
      <c r="W1856" s="247"/>
      <c r="X1856" s="247"/>
    </row>
    <row r="1857">
      <c r="A1857" s="294">
        <v>46101.0</v>
      </c>
      <c r="B1857" s="295" t="s">
        <v>1178</v>
      </c>
      <c r="C1857" s="295" t="s">
        <v>474</v>
      </c>
      <c r="D1857" s="296">
        <v>6081.0</v>
      </c>
      <c r="E1857" s="295" t="s">
        <v>1017</v>
      </c>
      <c r="F1857" s="292"/>
      <c r="G1857" s="293" t="str">
        <f>IFNA(IF(VLOOKUP(RC_OUT[BLOCK],RC_IN[[BLOCK]:[BLOCK LOC]],2,FALSE)=0,"",VLOOKUP(RC_OUT[BLOCK],RC_IN[[BLOCK]:[BLOCK LOC]],2,FALSE)),"")</f>
        <v>A-19A</v>
      </c>
      <c r="I1857" s="263">
        <f>IFERROR(AVERAGEIFS(RC_IN[MC],RC_IN[BLOCK],RC_OUT[BLOCK]),"")</f>
        <v>11.8025</v>
      </c>
      <c r="J1857" s="264">
        <f t="shared" ref="J1857:J1880" si="43">D1857*I1857</f>
        <v>71771.0025</v>
      </c>
      <c r="K1857" s="246"/>
      <c r="L1857" s="246"/>
      <c r="M1857" s="249"/>
      <c r="N1857" s="266">
        <f t="shared" ref="N1857:N1880" si="44">IFERROR(SUMIFS(D:D,A:A,K1857,B:B,L1857),"")</f>
        <v>0</v>
      </c>
      <c r="O1857" s="247"/>
      <c r="P1857" s="247"/>
      <c r="Q1857" s="247"/>
      <c r="R1857" s="247"/>
      <c r="S1857" s="247"/>
      <c r="T1857" s="247"/>
      <c r="U1857" s="247"/>
      <c r="V1857" s="247"/>
      <c r="W1857" s="247"/>
      <c r="X1857" s="247"/>
    </row>
    <row r="1858">
      <c r="A1858" s="294">
        <v>46101.0</v>
      </c>
      <c r="B1858" s="295" t="s">
        <v>1178</v>
      </c>
      <c r="C1858" s="295" t="s">
        <v>381</v>
      </c>
      <c r="D1858" s="296">
        <v>6404.0</v>
      </c>
      <c r="E1858" s="295" t="s">
        <v>1017</v>
      </c>
      <c r="F1858" s="292"/>
      <c r="G1858" s="293" t="str">
        <f>IFNA(IF(VLOOKUP(RC_OUT[BLOCK],RC_IN[[BLOCK]:[BLOCK LOC]],2,FALSE)=0,"",VLOOKUP(RC_OUT[BLOCK],RC_IN[[BLOCK]:[BLOCK LOC]],2,FALSE)),"")</f>
        <v>D-13C</v>
      </c>
      <c r="I1858" s="263">
        <f>IFERROR(AVERAGEIFS(RC_IN[MC],RC_IN[BLOCK],RC_OUT[BLOCK]),"")</f>
        <v>12.705</v>
      </c>
      <c r="J1858" s="264">
        <f t="shared" si="43"/>
        <v>81362.82</v>
      </c>
      <c r="K1858" s="246"/>
      <c r="L1858" s="246"/>
      <c r="M1858" s="249"/>
      <c r="N1858" s="266">
        <f t="shared" si="44"/>
        <v>0</v>
      </c>
      <c r="O1858" s="247"/>
      <c r="P1858" s="247"/>
      <c r="Q1858" s="247"/>
      <c r="R1858" s="247"/>
      <c r="S1858" s="247"/>
      <c r="T1858" s="247"/>
      <c r="U1858" s="247"/>
      <c r="V1858" s="247"/>
      <c r="W1858" s="247"/>
      <c r="X1858" s="247"/>
    </row>
    <row r="1859">
      <c r="A1859" s="294">
        <v>46101.0</v>
      </c>
      <c r="B1859" s="295" t="s">
        <v>1178</v>
      </c>
      <c r="C1859" s="295" t="s">
        <v>862</v>
      </c>
      <c r="D1859" s="296">
        <v>660.0</v>
      </c>
      <c r="E1859" s="295" t="s">
        <v>1017</v>
      </c>
      <c r="F1859" s="292"/>
      <c r="G1859" s="293" t="str">
        <f>IFNA(IF(VLOOKUP(RC_OUT[BLOCK],RC_IN[[BLOCK]:[BLOCK LOC]],2,FALSE)=0,"",VLOOKUP(RC_OUT[BLOCK],RC_IN[[BLOCK]:[BLOCK LOC]],2,FALSE)),"")</f>
        <v/>
      </c>
      <c r="I1859" s="263">
        <f>IFERROR(AVERAGEIFS(RC_IN[MC],RC_IN[BLOCK],RC_OUT[BLOCK]),"")</f>
        <v>10.74</v>
      </c>
      <c r="J1859" s="264">
        <f t="shared" si="43"/>
        <v>7088.4</v>
      </c>
      <c r="K1859" s="246"/>
      <c r="L1859" s="246"/>
      <c r="M1859" s="249"/>
      <c r="N1859" s="266">
        <f t="shared" si="44"/>
        <v>0</v>
      </c>
      <c r="O1859" s="247"/>
      <c r="P1859" s="247"/>
      <c r="Q1859" s="247"/>
      <c r="R1859" s="247"/>
      <c r="S1859" s="247"/>
      <c r="T1859" s="247"/>
      <c r="U1859" s="247"/>
      <c r="V1859" s="247"/>
      <c r="W1859" s="247"/>
      <c r="X1859" s="247"/>
    </row>
    <row r="1860">
      <c r="A1860" s="294">
        <v>46101.0</v>
      </c>
      <c r="B1860" s="295" t="s">
        <v>1178</v>
      </c>
      <c r="C1860" s="295" t="s">
        <v>837</v>
      </c>
      <c r="D1860" s="296">
        <v>5563.0</v>
      </c>
      <c r="E1860" s="295" t="s">
        <v>1374</v>
      </c>
      <c r="F1860" s="292"/>
      <c r="G1860" s="293" t="str">
        <f>IFNA(IF(VLOOKUP(RC_OUT[BLOCK],RC_IN[[BLOCK]:[BLOCK LOC]],2,FALSE)=0,"",VLOOKUP(RC_OUT[BLOCK],RC_IN[[BLOCK]:[BLOCK LOC]],2,FALSE)),"")</f>
        <v>D-20D</v>
      </c>
      <c r="I1860" s="263">
        <f>IFERROR(AVERAGEIFS(RC_IN[MC],RC_IN[BLOCK],RC_OUT[BLOCK]),"")</f>
        <v>17.27</v>
      </c>
      <c r="J1860" s="264">
        <f t="shared" si="43"/>
        <v>96073.01</v>
      </c>
      <c r="K1860" s="246"/>
      <c r="L1860" s="246"/>
      <c r="M1860" s="249"/>
      <c r="N1860" s="266">
        <f t="shared" si="44"/>
        <v>0</v>
      </c>
      <c r="O1860" s="247"/>
      <c r="P1860" s="247"/>
      <c r="Q1860" s="247"/>
      <c r="R1860" s="247"/>
      <c r="S1860" s="247"/>
      <c r="T1860" s="247"/>
      <c r="U1860" s="247"/>
      <c r="V1860" s="247"/>
      <c r="W1860" s="247"/>
      <c r="X1860" s="247"/>
    </row>
    <row r="1861">
      <c r="A1861" s="294"/>
      <c r="B1861" s="295"/>
      <c r="C1861" s="295"/>
      <c r="D1861" s="296"/>
      <c r="E1861" s="295"/>
      <c r="F1861" s="292"/>
      <c r="G1861" s="293" t="str">
        <f>IFNA(IF(VLOOKUP(RC_OUT[BLOCK],RC_IN[[BLOCK]:[BLOCK LOC]],2,FALSE)=0,"",VLOOKUP(RC_OUT[BLOCK],RC_IN[[BLOCK]:[BLOCK LOC]],2,FALSE)),"")</f>
        <v/>
      </c>
      <c r="I1861" s="263" t="str">
        <f>IFERROR(AVERAGEIFS(RC_IN[MC],RC_IN[BLOCK],RC_OUT[BLOCK]),"")</f>
        <v/>
      </c>
      <c r="J1861" s="264">
        <f t="shared" si="43"/>
        <v>0</v>
      </c>
      <c r="K1861" s="246"/>
      <c r="L1861" s="246"/>
      <c r="M1861" s="249"/>
      <c r="N1861" s="266">
        <f t="shared" si="44"/>
        <v>0</v>
      </c>
      <c r="O1861" s="247"/>
      <c r="P1861" s="247"/>
      <c r="Q1861" s="247"/>
      <c r="R1861" s="247"/>
      <c r="S1861" s="247"/>
      <c r="T1861" s="247"/>
      <c r="U1861" s="247"/>
      <c r="V1861" s="247"/>
      <c r="W1861" s="247"/>
      <c r="X1861" s="247"/>
    </row>
    <row r="1862">
      <c r="A1862" s="294">
        <v>46102.0</v>
      </c>
      <c r="B1862" s="295" t="s">
        <v>1178</v>
      </c>
      <c r="C1862" s="295" t="s">
        <v>837</v>
      </c>
      <c r="D1862" s="296">
        <v>3959.0</v>
      </c>
      <c r="E1862" s="295" t="s">
        <v>1374</v>
      </c>
      <c r="F1862" s="292"/>
      <c r="G1862" s="293" t="str">
        <f>IFNA(IF(VLOOKUP(RC_OUT[BLOCK],RC_IN[[BLOCK]:[BLOCK LOC]],2,FALSE)=0,"",VLOOKUP(RC_OUT[BLOCK],RC_IN[[BLOCK]:[BLOCK LOC]],2,FALSE)),"")</f>
        <v>D-20D</v>
      </c>
      <c r="I1862" s="263">
        <f>IFERROR(AVERAGEIFS(RC_IN[MC],RC_IN[BLOCK],RC_OUT[BLOCK]),"")</f>
        <v>17.27</v>
      </c>
      <c r="J1862" s="264">
        <f t="shared" si="43"/>
        <v>68371.93</v>
      </c>
      <c r="K1862" s="246"/>
      <c r="L1862" s="246"/>
      <c r="M1862" s="249"/>
      <c r="N1862" s="266">
        <f t="shared" si="44"/>
        <v>0</v>
      </c>
      <c r="O1862" s="247"/>
      <c r="P1862" s="247"/>
      <c r="Q1862" s="247"/>
      <c r="R1862" s="247"/>
      <c r="S1862" s="247"/>
      <c r="T1862" s="247"/>
      <c r="U1862" s="247"/>
      <c r="V1862" s="247"/>
      <c r="W1862" s="247"/>
      <c r="X1862" s="247"/>
    </row>
    <row r="1863">
      <c r="A1863" s="294"/>
      <c r="B1863" s="295"/>
      <c r="C1863" s="295"/>
      <c r="D1863" s="296"/>
      <c r="E1863" s="295"/>
      <c r="F1863" s="292"/>
      <c r="G1863" s="293" t="str">
        <f>IFNA(IF(VLOOKUP(RC_OUT[BLOCK],RC_IN[[BLOCK]:[BLOCK LOC]],2,FALSE)=0,"",VLOOKUP(RC_OUT[BLOCK],RC_IN[[BLOCK]:[BLOCK LOC]],2,FALSE)),"")</f>
        <v/>
      </c>
      <c r="I1863" s="263" t="str">
        <f>IFERROR(AVERAGEIFS(RC_IN[MC],RC_IN[BLOCK],RC_OUT[BLOCK]),"")</f>
        <v/>
      </c>
      <c r="J1863" s="264">
        <f t="shared" si="43"/>
        <v>0</v>
      </c>
      <c r="K1863" s="246"/>
      <c r="L1863" s="246"/>
      <c r="M1863" s="249"/>
      <c r="N1863" s="266">
        <f t="shared" si="44"/>
        <v>0</v>
      </c>
      <c r="O1863" s="247"/>
      <c r="P1863" s="247"/>
      <c r="Q1863" s="247"/>
      <c r="R1863" s="247"/>
      <c r="S1863" s="247"/>
      <c r="T1863" s="247"/>
      <c r="U1863" s="247"/>
      <c r="V1863" s="247"/>
      <c r="W1863" s="247"/>
      <c r="X1863" s="247"/>
    </row>
    <row r="1864">
      <c r="A1864" s="294">
        <v>46104.0</v>
      </c>
      <c r="B1864" s="295" t="s">
        <v>1178</v>
      </c>
      <c r="C1864" s="295" t="s">
        <v>837</v>
      </c>
      <c r="D1864" s="296">
        <v>8094.0</v>
      </c>
      <c r="E1864" s="295" t="s">
        <v>1374</v>
      </c>
      <c r="F1864" s="292"/>
      <c r="G1864" s="293" t="str">
        <f>IFNA(IF(VLOOKUP(RC_OUT[BLOCK],RC_IN[[BLOCK]:[BLOCK LOC]],2,FALSE)=0,"",VLOOKUP(RC_OUT[BLOCK],RC_IN[[BLOCK]:[BLOCK LOC]],2,FALSE)),"")</f>
        <v>D-20D</v>
      </c>
      <c r="I1864" s="263">
        <f>IFERROR(AVERAGEIFS(RC_IN[MC],RC_IN[BLOCK],RC_OUT[BLOCK]),"")</f>
        <v>17.27</v>
      </c>
      <c r="J1864" s="264">
        <f t="shared" si="43"/>
        <v>139783.38</v>
      </c>
      <c r="K1864" s="246"/>
      <c r="L1864" s="246"/>
      <c r="M1864" s="249"/>
      <c r="N1864" s="266">
        <f t="shared" si="44"/>
        <v>0</v>
      </c>
      <c r="O1864" s="247"/>
      <c r="P1864" s="247"/>
      <c r="Q1864" s="247"/>
      <c r="R1864" s="247"/>
      <c r="S1864" s="247"/>
      <c r="T1864" s="247"/>
      <c r="U1864" s="247"/>
      <c r="V1864" s="247"/>
      <c r="W1864" s="247"/>
      <c r="X1864" s="247"/>
    </row>
    <row r="1865">
      <c r="A1865" s="294">
        <v>46104.0</v>
      </c>
      <c r="B1865" s="295" t="s">
        <v>1178</v>
      </c>
      <c r="C1865" s="295" t="s">
        <v>474</v>
      </c>
      <c r="D1865" s="296">
        <v>3754.0</v>
      </c>
      <c r="E1865" s="295" t="s">
        <v>1017</v>
      </c>
      <c r="F1865" s="297" t="s">
        <v>1059</v>
      </c>
      <c r="G1865" s="293" t="str">
        <f>IFNA(IF(VLOOKUP(RC_OUT[BLOCK],RC_IN[[BLOCK]:[BLOCK LOC]],2,FALSE)=0,"",VLOOKUP(RC_OUT[BLOCK],RC_IN[[BLOCK]:[BLOCK LOC]],2,FALSE)),"")</f>
        <v>A-19A</v>
      </c>
      <c r="I1865" s="263">
        <f>IFERROR(AVERAGEIFS(RC_IN[MC],RC_IN[BLOCK],RC_OUT[BLOCK]),"")</f>
        <v>11.8025</v>
      </c>
      <c r="J1865" s="264">
        <f t="shared" si="43"/>
        <v>44306.585</v>
      </c>
      <c r="K1865" s="246"/>
      <c r="L1865" s="246"/>
      <c r="M1865" s="249"/>
      <c r="N1865" s="266">
        <f t="shared" si="44"/>
        <v>0</v>
      </c>
      <c r="O1865" s="247"/>
      <c r="P1865" s="247"/>
      <c r="Q1865" s="247"/>
      <c r="R1865" s="247"/>
      <c r="S1865" s="247"/>
      <c r="T1865" s="247"/>
      <c r="U1865" s="247"/>
      <c r="V1865" s="247"/>
      <c r="W1865" s="247"/>
      <c r="X1865" s="247"/>
    </row>
    <row r="1866">
      <c r="A1866" s="294">
        <v>46104.0</v>
      </c>
      <c r="B1866" s="295" t="s">
        <v>1178</v>
      </c>
      <c r="C1866" s="295" t="s">
        <v>381</v>
      </c>
      <c r="D1866" s="296">
        <v>40054.0</v>
      </c>
      <c r="E1866" s="295" t="s">
        <v>1017</v>
      </c>
      <c r="F1866" s="292"/>
      <c r="G1866" s="293" t="str">
        <f>IFNA(IF(VLOOKUP(RC_OUT[BLOCK],RC_IN[[BLOCK]:[BLOCK LOC]],2,FALSE)=0,"",VLOOKUP(RC_OUT[BLOCK],RC_IN[[BLOCK]:[BLOCK LOC]],2,FALSE)),"")</f>
        <v>D-13C</v>
      </c>
      <c r="I1866" s="263">
        <f>IFERROR(AVERAGEIFS(RC_IN[MC],RC_IN[BLOCK],RC_OUT[BLOCK]),"")</f>
        <v>12.705</v>
      </c>
      <c r="J1866" s="264">
        <f t="shared" si="43"/>
        <v>508886.07</v>
      </c>
      <c r="K1866" s="246"/>
      <c r="L1866" s="246"/>
      <c r="M1866" s="249"/>
      <c r="N1866" s="266">
        <f t="shared" si="44"/>
        <v>0</v>
      </c>
      <c r="O1866" s="247"/>
      <c r="P1866" s="247"/>
      <c r="Q1866" s="247"/>
      <c r="R1866" s="247"/>
      <c r="S1866" s="247"/>
      <c r="T1866" s="247"/>
      <c r="U1866" s="247"/>
      <c r="V1866" s="247"/>
      <c r="W1866" s="247"/>
      <c r="X1866" s="247"/>
    </row>
    <row r="1867">
      <c r="A1867" s="294">
        <v>46104.0</v>
      </c>
      <c r="B1867" s="295" t="s">
        <v>1178</v>
      </c>
      <c r="C1867" s="295" t="s">
        <v>862</v>
      </c>
      <c r="D1867" s="296">
        <v>17000.0</v>
      </c>
      <c r="E1867" s="295" t="s">
        <v>1017</v>
      </c>
      <c r="F1867" s="297" t="s">
        <v>1059</v>
      </c>
      <c r="G1867" s="293" t="str">
        <f>IFNA(IF(VLOOKUP(RC_OUT[BLOCK],RC_IN[[BLOCK]:[BLOCK LOC]],2,FALSE)=0,"",VLOOKUP(RC_OUT[BLOCK],RC_IN[[BLOCK]:[BLOCK LOC]],2,FALSE)),"")</f>
        <v/>
      </c>
      <c r="I1867" s="263">
        <f>IFERROR(AVERAGEIFS(RC_IN[MC],RC_IN[BLOCK],RC_OUT[BLOCK]),"")</f>
        <v>10.74</v>
      </c>
      <c r="J1867" s="264">
        <f t="shared" si="43"/>
        <v>182580</v>
      </c>
      <c r="K1867" s="246"/>
      <c r="L1867" s="246"/>
      <c r="M1867" s="249"/>
      <c r="N1867" s="266">
        <f t="shared" si="44"/>
        <v>0</v>
      </c>
      <c r="O1867" s="247"/>
      <c r="P1867" s="247"/>
      <c r="Q1867" s="247"/>
      <c r="R1867" s="247"/>
      <c r="S1867" s="247"/>
      <c r="T1867" s="247"/>
      <c r="U1867" s="247"/>
      <c r="V1867" s="247"/>
      <c r="W1867" s="247"/>
      <c r="X1867" s="247"/>
    </row>
    <row r="1868">
      <c r="A1868" s="294">
        <v>46104.0</v>
      </c>
      <c r="B1868" s="295" t="s">
        <v>1178</v>
      </c>
      <c r="C1868" s="295" t="s">
        <v>527</v>
      </c>
      <c r="D1868" s="296">
        <v>33304.0</v>
      </c>
      <c r="E1868" s="295" t="s">
        <v>1017</v>
      </c>
      <c r="F1868" s="292"/>
      <c r="G1868" s="293" t="str">
        <f>IFNA(IF(VLOOKUP(RC_OUT[BLOCK],RC_IN[[BLOCK]:[BLOCK LOC]],2,FALSE)=0,"",VLOOKUP(RC_OUT[BLOCK],RC_IN[[BLOCK]:[BLOCK LOC]],2,FALSE)),"")</f>
        <v>A-18C</v>
      </c>
      <c r="I1868" s="263">
        <f>IFERROR(AVERAGEIFS(RC_IN[MC],RC_IN[BLOCK],RC_OUT[BLOCK]),"")</f>
        <v>11.42333333</v>
      </c>
      <c r="J1868" s="264">
        <f t="shared" si="43"/>
        <v>380442.6933</v>
      </c>
      <c r="K1868" s="246"/>
      <c r="L1868" s="246"/>
      <c r="M1868" s="249"/>
      <c r="N1868" s="266">
        <f t="shared" si="44"/>
        <v>0</v>
      </c>
      <c r="O1868" s="247"/>
      <c r="P1868" s="247"/>
      <c r="Q1868" s="247"/>
      <c r="R1868" s="247"/>
      <c r="S1868" s="247"/>
      <c r="T1868" s="247"/>
      <c r="U1868" s="247"/>
      <c r="V1868" s="247"/>
      <c r="W1868" s="247"/>
      <c r="X1868" s="247"/>
    </row>
    <row r="1869">
      <c r="A1869" s="294"/>
      <c r="B1869" s="295"/>
      <c r="C1869" s="295"/>
      <c r="D1869" s="296"/>
      <c r="E1869" s="295"/>
      <c r="F1869" s="292"/>
      <c r="G1869" s="293" t="str">
        <f>IFNA(IF(VLOOKUP(RC_OUT[BLOCK],RC_IN[[BLOCK]:[BLOCK LOC]],2,FALSE)=0,"",VLOOKUP(RC_OUT[BLOCK],RC_IN[[BLOCK]:[BLOCK LOC]],2,FALSE)),"")</f>
        <v/>
      </c>
      <c r="I1869" s="263" t="str">
        <f>IFERROR(AVERAGEIFS(RC_IN[MC],RC_IN[BLOCK],RC_OUT[BLOCK]),"")</f>
        <v/>
      </c>
      <c r="J1869" s="264">
        <f t="shared" si="43"/>
        <v>0</v>
      </c>
      <c r="K1869" s="246"/>
      <c r="L1869" s="246"/>
      <c r="M1869" s="249"/>
      <c r="N1869" s="266">
        <f t="shared" si="44"/>
        <v>0</v>
      </c>
      <c r="O1869" s="247"/>
      <c r="P1869" s="247"/>
      <c r="Q1869" s="247"/>
      <c r="R1869" s="247"/>
      <c r="S1869" s="247"/>
      <c r="T1869" s="247"/>
      <c r="U1869" s="247"/>
      <c r="V1869" s="247"/>
      <c r="W1869" s="247"/>
      <c r="X1869" s="247"/>
    </row>
    <row r="1870">
      <c r="A1870" s="294">
        <v>46105.0</v>
      </c>
      <c r="B1870" s="295" t="s">
        <v>1178</v>
      </c>
      <c r="C1870" s="295" t="s">
        <v>474</v>
      </c>
      <c r="D1870" s="296">
        <v>3754.0</v>
      </c>
      <c r="E1870" s="295" t="s">
        <v>1017</v>
      </c>
      <c r="F1870" s="297" t="s">
        <v>1059</v>
      </c>
      <c r="G1870" s="293" t="str">
        <f>IFNA(IF(VLOOKUP(RC_OUT[BLOCK],RC_IN[[BLOCK]:[BLOCK LOC]],2,FALSE)=0,"",VLOOKUP(RC_OUT[BLOCK],RC_IN[[BLOCK]:[BLOCK LOC]],2,FALSE)),"")</f>
        <v>A-19A</v>
      </c>
      <c r="I1870" s="263">
        <f>IFERROR(AVERAGEIFS(RC_IN[MC],RC_IN[BLOCK],RC_OUT[BLOCK]),"")</f>
        <v>11.8025</v>
      </c>
      <c r="J1870" s="264">
        <f t="shared" si="43"/>
        <v>44306.585</v>
      </c>
      <c r="K1870" s="246"/>
      <c r="L1870" s="246"/>
      <c r="M1870" s="249"/>
      <c r="N1870" s="266">
        <f t="shared" si="44"/>
        <v>0</v>
      </c>
      <c r="O1870" s="247"/>
      <c r="P1870" s="247"/>
      <c r="Q1870" s="247"/>
      <c r="R1870" s="247"/>
      <c r="S1870" s="247"/>
      <c r="T1870" s="247"/>
      <c r="U1870" s="247"/>
      <c r="V1870" s="247"/>
      <c r="W1870" s="247"/>
      <c r="X1870" s="247"/>
    </row>
    <row r="1871">
      <c r="A1871" s="294">
        <v>46105.0</v>
      </c>
      <c r="B1871" s="295" t="s">
        <v>1178</v>
      </c>
      <c r="C1871" s="295" t="s">
        <v>381</v>
      </c>
      <c r="D1871" s="296">
        <v>18937.0</v>
      </c>
      <c r="E1871" s="295" t="s">
        <v>1017</v>
      </c>
      <c r="F1871" s="292"/>
      <c r="G1871" s="293" t="str">
        <f>IFNA(IF(VLOOKUP(RC_OUT[BLOCK],RC_IN[[BLOCK]:[BLOCK LOC]],2,FALSE)=0,"",VLOOKUP(RC_OUT[BLOCK],RC_IN[[BLOCK]:[BLOCK LOC]],2,FALSE)),"")</f>
        <v>D-13C</v>
      </c>
      <c r="I1871" s="263">
        <f>IFERROR(AVERAGEIFS(RC_IN[MC],RC_IN[BLOCK],RC_OUT[BLOCK]),"")</f>
        <v>12.705</v>
      </c>
      <c r="J1871" s="264">
        <f t="shared" si="43"/>
        <v>240594.585</v>
      </c>
      <c r="K1871" s="246"/>
      <c r="L1871" s="246"/>
      <c r="M1871" s="249"/>
      <c r="N1871" s="266">
        <f t="shared" si="44"/>
        <v>0</v>
      </c>
      <c r="O1871" s="247"/>
      <c r="P1871" s="247"/>
      <c r="Q1871" s="247"/>
      <c r="R1871" s="247"/>
      <c r="S1871" s="247"/>
      <c r="T1871" s="247"/>
      <c r="U1871" s="247"/>
      <c r="V1871" s="247"/>
      <c r="W1871" s="247"/>
      <c r="X1871" s="247"/>
    </row>
    <row r="1872">
      <c r="A1872" s="294">
        <v>46105.0</v>
      </c>
      <c r="B1872" s="295" t="s">
        <v>1178</v>
      </c>
      <c r="C1872" s="295" t="s">
        <v>527</v>
      </c>
      <c r="D1872" s="296">
        <v>17351.0</v>
      </c>
      <c r="E1872" s="295" t="s">
        <v>1017</v>
      </c>
      <c r="F1872" s="292"/>
      <c r="G1872" s="293" t="str">
        <f>IFNA(IF(VLOOKUP(RC_OUT[BLOCK],RC_IN[[BLOCK]:[BLOCK LOC]],2,FALSE)=0,"",VLOOKUP(RC_OUT[BLOCK],RC_IN[[BLOCK]:[BLOCK LOC]],2,FALSE)),"")</f>
        <v>A-18C</v>
      </c>
      <c r="I1872" s="263">
        <f>IFERROR(AVERAGEIFS(RC_IN[MC],RC_IN[BLOCK],RC_OUT[BLOCK]),"")</f>
        <v>11.42333333</v>
      </c>
      <c r="J1872" s="264">
        <f t="shared" si="43"/>
        <v>198206.2567</v>
      </c>
      <c r="K1872" s="246"/>
      <c r="L1872" s="246"/>
      <c r="M1872" s="249"/>
      <c r="N1872" s="266">
        <f t="shared" si="44"/>
        <v>0</v>
      </c>
      <c r="O1872" s="247"/>
      <c r="P1872" s="247"/>
      <c r="Q1872" s="247"/>
      <c r="R1872" s="247"/>
      <c r="S1872" s="247"/>
      <c r="T1872" s="247"/>
      <c r="U1872" s="247"/>
      <c r="V1872" s="247"/>
      <c r="W1872" s="247"/>
      <c r="X1872" s="247"/>
    </row>
    <row r="1873">
      <c r="A1873" s="294">
        <v>46105.0</v>
      </c>
      <c r="B1873" s="295" t="s">
        <v>1178</v>
      </c>
      <c r="C1873" s="295" t="s">
        <v>875</v>
      </c>
      <c r="D1873" s="296">
        <v>10945.0</v>
      </c>
      <c r="E1873" s="295" t="s">
        <v>1017</v>
      </c>
      <c r="F1873" s="292"/>
      <c r="G1873" s="293" t="str">
        <f>IFNA(IF(VLOOKUP(RC_OUT[BLOCK],RC_IN[[BLOCK]:[BLOCK LOC]],2,FALSE)=0,"",VLOOKUP(RC_OUT[BLOCK],RC_IN[[BLOCK]:[BLOCK LOC]],2,FALSE)),"")</f>
        <v/>
      </c>
      <c r="I1873" s="263">
        <f>IFERROR(AVERAGEIFS(RC_IN[MC],RC_IN[BLOCK],RC_OUT[BLOCK]),"")</f>
        <v>11.4</v>
      </c>
      <c r="J1873" s="264">
        <f t="shared" si="43"/>
        <v>124773</v>
      </c>
      <c r="K1873" s="246"/>
      <c r="L1873" s="246"/>
      <c r="M1873" s="249"/>
      <c r="N1873" s="266">
        <f t="shared" si="44"/>
        <v>0</v>
      </c>
      <c r="O1873" s="247"/>
      <c r="P1873" s="247"/>
      <c r="Q1873" s="247"/>
      <c r="R1873" s="247"/>
      <c r="S1873" s="247"/>
      <c r="T1873" s="247"/>
      <c r="U1873" s="247"/>
      <c r="V1873" s="247"/>
      <c r="W1873" s="247"/>
      <c r="X1873" s="247"/>
    </row>
    <row r="1874">
      <c r="A1874" s="294">
        <v>46105.0</v>
      </c>
      <c r="B1874" s="295" t="s">
        <v>1178</v>
      </c>
      <c r="C1874" s="295" t="s">
        <v>837</v>
      </c>
      <c r="D1874" s="296">
        <v>10740.0</v>
      </c>
      <c r="E1874" s="295" t="s">
        <v>1374</v>
      </c>
      <c r="F1874" s="292"/>
      <c r="G1874" s="293" t="str">
        <f>IFNA(IF(VLOOKUP(RC_OUT[BLOCK],RC_IN[[BLOCK]:[BLOCK LOC]],2,FALSE)=0,"",VLOOKUP(RC_OUT[BLOCK],RC_IN[[BLOCK]:[BLOCK LOC]],2,FALSE)),"")</f>
        <v>D-20D</v>
      </c>
      <c r="I1874" s="263">
        <f>IFERROR(AVERAGEIFS(RC_IN[MC],RC_IN[BLOCK],RC_OUT[BLOCK]),"")</f>
        <v>17.27</v>
      </c>
      <c r="J1874" s="264">
        <f t="shared" si="43"/>
        <v>185479.8</v>
      </c>
      <c r="K1874" s="246"/>
      <c r="L1874" s="246"/>
      <c r="M1874" s="249"/>
      <c r="N1874" s="266">
        <f t="shared" si="44"/>
        <v>0</v>
      </c>
      <c r="O1874" s="247"/>
      <c r="P1874" s="247"/>
      <c r="Q1874" s="247"/>
      <c r="R1874" s="247"/>
      <c r="S1874" s="247"/>
      <c r="T1874" s="247"/>
      <c r="U1874" s="247"/>
      <c r="V1874" s="247"/>
      <c r="W1874" s="247"/>
      <c r="X1874" s="247"/>
    </row>
    <row r="1875">
      <c r="A1875" s="294"/>
      <c r="B1875" s="295"/>
      <c r="C1875" s="295"/>
      <c r="D1875" s="296"/>
      <c r="E1875" s="295"/>
      <c r="F1875" s="292"/>
      <c r="G1875" s="293" t="str">
        <f>IFNA(IF(VLOOKUP(RC_OUT[BLOCK],RC_IN[[BLOCK]:[BLOCK LOC]],2,FALSE)=0,"",VLOOKUP(RC_OUT[BLOCK],RC_IN[[BLOCK]:[BLOCK LOC]],2,FALSE)),"")</f>
        <v/>
      </c>
      <c r="I1875" s="263" t="str">
        <f>IFERROR(AVERAGEIFS(RC_IN[MC],RC_IN[BLOCK],RC_OUT[BLOCK]),"")</f>
        <v/>
      </c>
      <c r="J1875" s="264">
        <f t="shared" si="43"/>
        <v>0</v>
      </c>
      <c r="K1875" s="246"/>
      <c r="L1875" s="246"/>
      <c r="M1875" s="249"/>
      <c r="N1875" s="266">
        <f t="shared" si="44"/>
        <v>0</v>
      </c>
      <c r="O1875" s="247"/>
      <c r="P1875" s="247"/>
      <c r="Q1875" s="247"/>
      <c r="R1875" s="247"/>
      <c r="S1875" s="247"/>
      <c r="T1875" s="247"/>
      <c r="U1875" s="247"/>
      <c r="V1875" s="247"/>
      <c r="W1875" s="247"/>
      <c r="X1875" s="247"/>
    </row>
    <row r="1876">
      <c r="A1876" s="294">
        <v>46106.0</v>
      </c>
      <c r="B1876" s="295" t="s">
        <v>1178</v>
      </c>
      <c r="C1876" s="295" t="s">
        <v>381</v>
      </c>
      <c r="D1876" s="296">
        <v>2615.0</v>
      </c>
      <c r="E1876" s="295" t="s">
        <v>1017</v>
      </c>
      <c r="F1876" s="297" t="s">
        <v>1059</v>
      </c>
      <c r="G1876" s="293" t="str">
        <f>IFNA(IF(VLOOKUP(RC_OUT[BLOCK],RC_IN[[BLOCK]:[BLOCK LOC]],2,FALSE)=0,"",VLOOKUP(RC_OUT[BLOCK],RC_IN[[BLOCK]:[BLOCK LOC]],2,FALSE)),"")</f>
        <v>D-13C</v>
      </c>
      <c r="I1876" s="263">
        <f>IFERROR(AVERAGEIFS(RC_IN[MC],RC_IN[BLOCK],RC_OUT[BLOCK]),"")</f>
        <v>12.705</v>
      </c>
      <c r="J1876" s="264">
        <f t="shared" si="43"/>
        <v>33223.575</v>
      </c>
      <c r="K1876" s="246"/>
      <c r="L1876" s="246"/>
      <c r="M1876" s="249"/>
      <c r="N1876" s="266">
        <f t="shared" si="44"/>
        <v>0</v>
      </c>
      <c r="O1876" s="247"/>
      <c r="P1876" s="247"/>
      <c r="Q1876" s="247"/>
      <c r="R1876" s="247"/>
      <c r="S1876" s="247"/>
      <c r="T1876" s="247"/>
      <c r="U1876" s="247"/>
      <c r="V1876" s="247"/>
      <c r="W1876" s="247"/>
      <c r="X1876" s="247"/>
    </row>
    <row r="1877">
      <c r="A1877" s="294">
        <v>46106.0</v>
      </c>
      <c r="B1877" s="295" t="s">
        <v>1178</v>
      </c>
      <c r="C1877" s="295" t="s">
        <v>527</v>
      </c>
      <c r="D1877" s="296">
        <v>1781.0</v>
      </c>
      <c r="E1877" s="295" t="s">
        <v>1017</v>
      </c>
      <c r="F1877" s="297" t="s">
        <v>1059</v>
      </c>
      <c r="G1877" s="293" t="str">
        <f>IFNA(IF(VLOOKUP(RC_OUT[BLOCK],RC_IN[[BLOCK]:[BLOCK LOC]],2,FALSE)=0,"",VLOOKUP(RC_OUT[BLOCK],RC_IN[[BLOCK]:[BLOCK LOC]],2,FALSE)),"")</f>
        <v>A-18C</v>
      </c>
      <c r="I1877" s="263">
        <f>IFERROR(AVERAGEIFS(RC_IN[MC],RC_IN[BLOCK],RC_OUT[BLOCK]),"")</f>
        <v>11.42333333</v>
      </c>
      <c r="J1877" s="264">
        <f t="shared" si="43"/>
        <v>20344.95667</v>
      </c>
      <c r="K1877" s="246"/>
      <c r="L1877" s="246"/>
      <c r="M1877" s="249"/>
      <c r="N1877" s="266">
        <f t="shared" si="44"/>
        <v>0</v>
      </c>
      <c r="O1877" s="247"/>
      <c r="P1877" s="247"/>
      <c r="Q1877" s="247"/>
      <c r="R1877" s="247"/>
      <c r="S1877" s="247"/>
      <c r="T1877" s="247"/>
      <c r="U1877" s="247"/>
      <c r="V1877" s="247"/>
      <c r="W1877" s="247"/>
      <c r="X1877" s="247"/>
    </row>
    <row r="1878">
      <c r="A1878" s="294">
        <v>46106.0</v>
      </c>
      <c r="B1878" s="295" t="s">
        <v>1178</v>
      </c>
      <c r="C1878" s="295" t="s">
        <v>875</v>
      </c>
      <c r="D1878" s="296">
        <v>7000.0</v>
      </c>
      <c r="E1878" s="295" t="s">
        <v>1017</v>
      </c>
      <c r="F1878" s="297" t="s">
        <v>1059</v>
      </c>
      <c r="G1878" s="293" t="str">
        <f>IFNA(IF(VLOOKUP(RC_OUT[BLOCK],RC_IN[[BLOCK]:[BLOCK LOC]],2,FALSE)=0,"",VLOOKUP(RC_OUT[BLOCK],RC_IN[[BLOCK]:[BLOCK LOC]],2,FALSE)),"")</f>
        <v/>
      </c>
      <c r="I1878" s="263">
        <f>IFERROR(AVERAGEIFS(RC_IN[MC],RC_IN[BLOCK],RC_OUT[BLOCK]),"")</f>
        <v>11.4</v>
      </c>
      <c r="J1878" s="264">
        <f t="shared" si="43"/>
        <v>79800</v>
      </c>
      <c r="K1878" s="246"/>
      <c r="L1878" s="246"/>
      <c r="M1878" s="249"/>
      <c r="N1878" s="266">
        <f t="shared" si="44"/>
        <v>0</v>
      </c>
      <c r="O1878" s="247"/>
      <c r="P1878" s="247"/>
      <c r="Q1878" s="247"/>
      <c r="R1878" s="247"/>
      <c r="S1878" s="247"/>
      <c r="T1878" s="247"/>
      <c r="U1878" s="247"/>
      <c r="V1878" s="247"/>
      <c r="W1878" s="247"/>
      <c r="X1878" s="247"/>
    </row>
    <row r="1879">
      <c r="A1879" s="294">
        <v>46106.0</v>
      </c>
      <c r="B1879" s="295" t="s">
        <v>1178</v>
      </c>
      <c r="C1879" s="295" t="s">
        <v>343</v>
      </c>
      <c r="D1879" s="296">
        <v>25589.0</v>
      </c>
      <c r="E1879" s="295" t="s">
        <v>1017</v>
      </c>
      <c r="F1879" s="292"/>
      <c r="G1879" s="293" t="str">
        <f>IFNA(IF(VLOOKUP(RC_OUT[BLOCK],RC_IN[[BLOCK]:[BLOCK LOC]],2,FALSE)=0,"",VLOOKUP(RC_OUT[BLOCK],RC_IN[[BLOCK]:[BLOCK LOC]],2,FALSE)),"")</f>
        <v>D-13D</v>
      </c>
      <c r="I1879" s="263">
        <f>IFERROR(AVERAGEIFS(RC_IN[MC],RC_IN[BLOCK],RC_OUT[BLOCK]),"")</f>
        <v>12.284</v>
      </c>
      <c r="J1879" s="264">
        <f t="shared" si="43"/>
        <v>314335.276</v>
      </c>
      <c r="K1879" s="246"/>
      <c r="L1879" s="246"/>
      <c r="M1879" s="249"/>
      <c r="N1879" s="266">
        <f t="shared" si="44"/>
        <v>0</v>
      </c>
      <c r="O1879" s="247"/>
      <c r="P1879" s="247"/>
      <c r="Q1879" s="247"/>
      <c r="R1879" s="247"/>
      <c r="S1879" s="247"/>
      <c r="T1879" s="247"/>
      <c r="U1879" s="247"/>
      <c r="V1879" s="247"/>
      <c r="W1879" s="247"/>
      <c r="X1879" s="247"/>
    </row>
    <row r="1880">
      <c r="A1880" s="294">
        <v>46106.0</v>
      </c>
      <c r="B1880" s="295" t="s">
        <v>1178</v>
      </c>
      <c r="C1880" s="295" t="s">
        <v>549</v>
      </c>
      <c r="D1880" s="296">
        <v>25862.0</v>
      </c>
      <c r="E1880" s="295" t="s">
        <v>1017</v>
      </c>
      <c r="F1880" s="292"/>
      <c r="G1880" s="293" t="str">
        <f>IFNA(IF(VLOOKUP(RC_OUT[BLOCK],RC_IN[[BLOCK]:[BLOCK LOC]],2,FALSE)=0,"",VLOOKUP(RC_OUT[BLOCK],RC_IN[[BLOCK]:[BLOCK LOC]],2,FALSE)),"")</f>
        <v>A-18B</v>
      </c>
      <c r="I1880" s="263">
        <f>IFERROR(AVERAGEIFS(RC_IN[MC],RC_IN[BLOCK],RC_OUT[BLOCK]),"")</f>
        <v>11.7225</v>
      </c>
      <c r="J1880" s="264">
        <f t="shared" si="43"/>
        <v>303167.295</v>
      </c>
      <c r="K1880" s="246"/>
      <c r="L1880" s="246"/>
      <c r="M1880" s="249"/>
      <c r="N1880" s="266">
        <f t="shared" si="44"/>
        <v>0</v>
      </c>
      <c r="O1880" s="247"/>
      <c r="P1880" s="247"/>
      <c r="Q1880" s="247"/>
      <c r="R1880" s="247"/>
      <c r="S1880" s="247"/>
      <c r="T1880" s="247"/>
      <c r="U1880" s="247"/>
      <c r="V1880" s="247"/>
      <c r="W1880" s="247"/>
      <c r="X1880" s="247"/>
    </row>
    <row r="1881">
      <c r="A1881" s="294">
        <v>46106.0</v>
      </c>
      <c r="B1881" s="295" t="s">
        <v>1178</v>
      </c>
      <c r="C1881" s="295" t="s">
        <v>837</v>
      </c>
      <c r="D1881" s="296">
        <v>6279.0</v>
      </c>
      <c r="E1881" s="295" t="s">
        <v>1374</v>
      </c>
      <c r="F1881" s="297" t="s">
        <v>1059</v>
      </c>
      <c r="G1881" s="293" t="str">
        <f>IFNA(IF(VLOOKUP(RC_OUT[BLOCK],RC_IN[[BLOCK]:[BLOCK LOC]],2,FALSE)=0,"",VLOOKUP(RC_OUT[BLOCK],RC_IN[[BLOCK]:[BLOCK LOC]],2,FALSE)),"")</f>
        <v>D-20D</v>
      </c>
      <c r="I1881" s="263"/>
      <c r="J1881" s="264"/>
      <c r="K1881" s="246"/>
      <c r="L1881" s="246"/>
      <c r="M1881" s="249"/>
      <c r="N1881" s="266"/>
      <c r="O1881" s="247"/>
      <c r="P1881" s="247"/>
      <c r="Q1881" s="247"/>
      <c r="R1881" s="247"/>
      <c r="S1881" s="247"/>
      <c r="T1881" s="247"/>
      <c r="U1881" s="247"/>
      <c r="V1881" s="247"/>
      <c r="W1881" s="247"/>
      <c r="X1881" s="247"/>
    </row>
    <row r="1882">
      <c r="A1882" s="294"/>
      <c r="B1882" s="295"/>
      <c r="C1882" s="295"/>
      <c r="D1882" s="296"/>
      <c r="E1882" s="295"/>
      <c r="F1882" s="292"/>
      <c r="G1882" s="293" t="str">
        <f>IFNA(IF(VLOOKUP(RC_OUT[BLOCK],RC_IN[[BLOCK]:[BLOCK LOC]],2,FALSE)=0,"",VLOOKUP(RC_OUT[BLOCK],RC_IN[[BLOCK]:[BLOCK LOC]],2,FALSE)),"")</f>
        <v/>
      </c>
      <c r="I1882" s="263" t="str">
        <f>IFERROR(AVERAGEIFS(RC_IN[MC],RC_IN[BLOCK],RC_OUT[BLOCK]),"")</f>
        <v/>
      </c>
      <c r="J1882" s="264">
        <f t="shared" ref="J1882:J1901" si="45">D1882*I1882</f>
        <v>0</v>
      </c>
      <c r="K1882" s="246"/>
      <c r="L1882" s="246"/>
      <c r="M1882" s="249"/>
      <c r="N1882" s="266">
        <f t="shared" ref="N1882:N1901" si="46">IFERROR(SUMIFS(D:D,A:A,K1882,B:B,L1882),"")</f>
        <v>0</v>
      </c>
      <c r="O1882" s="247"/>
      <c r="P1882" s="247"/>
      <c r="Q1882" s="247"/>
      <c r="R1882" s="247"/>
      <c r="S1882" s="247"/>
      <c r="T1882" s="247"/>
      <c r="U1882" s="247"/>
      <c r="V1882" s="247"/>
      <c r="W1882" s="247"/>
      <c r="X1882" s="247"/>
    </row>
    <row r="1883">
      <c r="A1883" s="294">
        <v>46107.0</v>
      </c>
      <c r="B1883" s="295" t="s">
        <v>1178</v>
      </c>
      <c r="C1883" s="295" t="s">
        <v>343</v>
      </c>
      <c r="D1883" s="296">
        <v>37519.0</v>
      </c>
      <c r="E1883" s="295" t="s">
        <v>1017</v>
      </c>
      <c r="F1883" s="292"/>
      <c r="G1883" s="293" t="str">
        <f>IFNA(IF(VLOOKUP(RC_OUT[BLOCK],RC_IN[[BLOCK]:[BLOCK LOC]],2,FALSE)=0,"",VLOOKUP(RC_OUT[BLOCK],RC_IN[[BLOCK]:[BLOCK LOC]],2,FALSE)),"")</f>
        <v>D-13D</v>
      </c>
      <c r="I1883" s="263">
        <f>IFERROR(AVERAGEIFS(RC_IN[MC],RC_IN[BLOCK],RC_OUT[BLOCK]),"")</f>
        <v>12.284</v>
      </c>
      <c r="J1883" s="264">
        <f t="shared" si="45"/>
        <v>460883.396</v>
      </c>
      <c r="K1883" s="246"/>
      <c r="L1883" s="246"/>
      <c r="M1883" s="249"/>
      <c r="N1883" s="266">
        <f t="shared" si="46"/>
        <v>0</v>
      </c>
      <c r="O1883" s="247"/>
      <c r="P1883" s="247"/>
      <c r="Q1883" s="247"/>
      <c r="R1883" s="247"/>
      <c r="S1883" s="247"/>
      <c r="T1883" s="247"/>
      <c r="U1883" s="247"/>
      <c r="V1883" s="247"/>
      <c r="W1883" s="247"/>
      <c r="X1883" s="247"/>
    </row>
    <row r="1884">
      <c r="A1884" s="294">
        <v>46107.0</v>
      </c>
      <c r="B1884" s="295" t="s">
        <v>1178</v>
      </c>
      <c r="C1884" s="295" t="s">
        <v>549</v>
      </c>
      <c r="D1884" s="296">
        <v>37694.0</v>
      </c>
      <c r="E1884" s="295" t="s">
        <v>1017</v>
      </c>
      <c r="F1884" s="292"/>
      <c r="G1884" s="293" t="str">
        <f>IFNA(IF(VLOOKUP(RC_OUT[BLOCK],RC_IN[[BLOCK]:[BLOCK LOC]],2,FALSE)=0,"",VLOOKUP(RC_OUT[BLOCK],RC_IN[[BLOCK]:[BLOCK LOC]],2,FALSE)),"")</f>
        <v>A-18B</v>
      </c>
      <c r="I1884" s="263">
        <f>IFERROR(AVERAGEIFS(RC_IN[MC],RC_IN[BLOCK],RC_OUT[BLOCK]),"")</f>
        <v>11.7225</v>
      </c>
      <c r="J1884" s="264">
        <f t="shared" si="45"/>
        <v>441867.915</v>
      </c>
      <c r="K1884" s="246"/>
      <c r="L1884" s="246"/>
      <c r="M1884" s="249"/>
      <c r="N1884" s="266">
        <f t="shared" si="46"/>
        <v>0</v>
      </c>
      <c r="O1884" s="247"/>
      <c r="P1884" s="247"/>
      <c r="Q1884" s="247"/>
      <c r="R1884" s="247"/>
      <c r="S1884" s="247"/>
      <c r="T1884" s="247"/>
      <c r="U1884" s="247"/>
      <c r="V1884" s="247"/>
      <c r="W1884" s="247"/>
      <c r="X1884" s="247"/>
    </row>
    <row r="1885">
      <c r="A1885" s="294"/>
      <c r="B1885" s="295"/>
      <c r="C1885" s="295"/>
      <c r="D1885" s="296"/>
      <c r="E1885" s="295"/>
      <c r="F1885" s="292"/>
      <c r="G1885" s="293" t="str">
        <f>IFNA(IF(VLOOKUP(RC_OUT[BLOCK],RC_IN[[BLOCK]:[BLOCK LOC]],2,FALSE)=0,"",VLOOKUP(RC_OUT[BLOCK],RC_IN[[BLOCK]:[BLOCK LOC]],2,FALSE)),"")</f>
        <v/>
      </c>
      <c r="I1885" s="263" t="str">
        <f>IFERROR(AVERAGEIFS(RC_IN[MC],RC_IN[BLOCK],RC_OUT[BLOCK]),"")</f>
        <v/>
      </c>
      <c r="J1885" s="264">
        <f t="shared" si="45"/>
        <v>0</v>
      </c>
      <c r="K1885" s="246"/>
      <c r="L1885" s="246"/>
      <c r="M1885" s="249"/>
      <c r="N1885" s="266">
        <f t="shared" si="46"/>
        <v>0</v>
      </c>
      <c r="O1885" s="247"/>
      <c r="P1885" s="247"/>
      <c r="Q1885" s="247"/>
      <c r="R1885" s="247"/>
      <c r="S1885" s="247"/>
      <c r="T1885" s="247"/>
      <c r="U1885" s="247"/>
      <c r="V1885" s="247"/>
      <c r="W1885" s="247"/>
      <c r="X1885" s="247"/>
    </row>
    <row r="1886">
      <c r="A1886" s="294">
        <v>46108.0</v>
      </c>
      <c r="B1886" s="295" t="s">
        <v>1178</v>
      </c>
      <c r="C1886" s="295" t="s">
        <v>872</v>
      </c>
      <c r="D1886" s="296">
        <v>7978.0</v>
      </c>
      <c r="E1886" s="295" t="s">
        <v>1374</v>
      </c>
      <c r="F1886" s="292"/>
      <c r="G1886" s="293" t="str">
        <f>IFNA(IF(VLOOKUP(RC_OUT[BLOCK],RC_IN[[BLOCK]:[BLOCK LOC]],2,FALSE)=0,"",VLOOKUP(RC_OUT[BLOCK],RC_IN[[BLOCK]:[BLOCK LOC]],2,FALSE)),"")</f>
        <v>D-20C</v>
      </c>
      <c r="I1886" s="263">
        <f>IFERROR(AVERAGEIFS(RC_IN[MC],RC_IN[BLOCK],RC_OUT[BLOCK]),"")</f>
        <v>15.6</v>
      </c>
      <c r="J1886" s="264">
        <f t="shared" si="45"/>
        <v>124456.8</v>
      </c>
      <c r="K1886" s="246"/>
      <c r="L1886" s="246"/>
      <c r="M1886" s="249"/>
      <c r="N1886" s="266">
        <f t="shared" si="46"/>
        <v>0</v>
      </c>
      <c r="O1886" s="247"/>
      <c r="P1886" s="247"/>
      <c r="Q1886" s="247"/>
      <c r="R1886" s="247"/>
      <c r="S1886" s="247"/>
      <c r="T1886" s="247"/>
      <c r="U1886" s="247"/>
      <c r="V1886" s="247"/>
      <c r="W1886" s="247"/>
      <c r="X1886" s="247"/>
    </row>
    <row r="1887">
      <c r="A1887" s="294">
        <v>46108.0</v>
      </c>
      <c r="B1887" s="295" t="s">
        <v>1178</v>
      </c>
      <c r="C1887" s="295" t="s">
        <v>343</v>
      </c>
      <c r="D1887" s="296">
        <v>2175.0</v>
      </c>
      <c r="E1887" s="295" t="s">
        <v>1017</v>
      </c>
      <c r="F1887" s="297" t="s">
        <v>1059</v>
      </c>
      <c r="G1887" s="293" t="str">
        <f>IFNA(IF(VLOOKUP(RC_OUT[BLOCK],RC_IN[[BLOCK]:[BLOCK LOC]],2,FALSE)=0,"",VLOOKUP(RC_OUT[BLOCK],RC_IN[[BLOCK]:[BLOCK LOC]],2,FALSE)),"")</f>
        <v>D-13D</v>
      </c>
      <c r="I1887" s="263">
        <f>IFERROR(AVERAGEIFS(RC_IN[MC],RC_IN[BLOCK],RC_OUT[BLOCK]),"")</f>
        <v>12.284</v>
      </c>
      <c r="J1887" s="264">
        <f t="shared" si="45"/>
        <v>26717.7</v>
      </c>
      <c r="K1887" s="246"/>
      <c r="L1887" s="246"/>
      <c r="M1887" s="249"/>
      <c r="N1887" s="266">
        <f t="shared" si="46"/>
        <v>0</v>
      </c>
      <c r="O1887" s="247"/>
      <c r="P1887" s="247"/>
      <c r="Q1887" s="247"/>
      <c r="R1887" s="247"/>
      <c r="S1887" s="247"/>
      <c r="T1887" s="247"/>
      <c r="U1887" s="247"/>
      <c r="V1887" s="247"/>
      <c r="W1887" s="247"/>
      <c r="X1887" s="247"/>
    </row>
    <row r="1888">
      <c r="A1888" s="294">
        <v>46108.0</v>
      </c>
      <c r="B1888" s="295" t="s">
        <v>1178</v>
      </c>
      <c r="C1888" s="295" t="s">
        <v>549</v>
      </c>
      <c r="D1888" s="296">
        <v>11534.0</v>
      </c>
      <c r="E1888" s="295" t="s">
        <v>1017</v>
      </c>
      <c r="F1888" s="297" t="s">
        <v>1059</v>
      </c>
      <c r="G1888" s="293" t="str">
        <f>IFNA(IF(VLOOKUP(RC_OUT[BLOCK],RC_IN[[BLOCK]:[BLOCK LOC]],2,FALSE)=0,"",VLOOKUP(RC_OUT[BLOCK],RC_IN[[BLOCK]:[BLOCK LOC]],2,FALSE)),"")</f>
        <v>A-18B</v>
      </c>
      <c r="I1888" s="263">
        <f>IFERROR(AVERAGEIFS(RC_IN[MC],RC_IN[BLOCK],RC_OUT[BLOCK]),"")</f>
        <v>11.7225</v>
      </c>
      <c r="J1888" s="264">
        <f t="shared" si="45"/>
        <v>135207.315</v>
      </c>
      <c r="K1888" s="246"/>
      <c r="L1888" s="246"/>
      <c r="M1888" s="249"/>
      <c r="N1888" s="266">
        <f t="shared" si="46"/>
        <v>0</v>
      </c>
      <c r="O1888" s="247"/>
      <c r="P1888" s="247"/>
      <c r="Q1888" s="247"/>
      <c r="R1888" s="247"/>
      <c r="S1888" s="247"/>
      <c r="T1888" s="247"/>
      <c r="U1888" s="247"/>
      <c r="V1888" s="247"/>
      <c r="W1888" s="247"/>
      <c r="X1888" s="247"/>
    </row>
    <row r="1889">
      <c r="A1889" s="294">
        <v>46108.0</v>
      </c>
      <c r="B1889" s="295" t="s">
        <v>1178</v>
      </c>
      <c r="C1889" s="295" t="s">
        <v>556</v>
      </c>
      <c r="D1889" s="296">
        <v>11791.0</v>
      </c>
      <c r="E1889" s="295" t="s">
        <v>1017</v>
      </c>
      <c r="F1889" s="292"/>
      <c r="G1889" s="293" t="str">
        <f>IFNA(IF(VLOOKUP(RC_OUT[BLOCK],RC_IN[[BLOCK]:[BLOCK LOC]],2,FALSE)=0,"",VLOOKUP(RC_OUT[BLOCK],RC_IN[[BLOCK]:[BLOCK LOC]],2,FALSE)),"")</f>
        <v>A-18A</v>
      </c>
      <c r="I1889" s="263">
        <f>IFERROR(AVERAGEIFS(RC_IN[MC],RC_IN[BLOCK],RC_OUT[BLOCK]),"")</f>
        <v>11.8875</v>
      </c>
      <c r="J1889" s="264">
        <f t="shared" si="45"/>
        <v>140165.5125</v>
      </c>
      <c r="K1889" s="246"/>
      <c r="L1889" s="246"/>
      <c r="M1889" s="249"/>
      <c r="N1889" s="266">
        <f t="shared" si="46"/>
        <v>0</v>
      </c>
      <c r="O1889" s="247"/>
      <c r="P1889" s="247"/>
      <c r="Q1889" s="247"/>
      <c r="R1889" s="247"/>
      <c r="S1889" s="247"/>
      <c r="T1889" s="247"/>
      <c r="U1889" s="247"/>
      <c r="V1889" s="247"/>
      <c r="W1889" s="247"/>
      <c r="X1889" s="247"/>
    </row>
    <row r="1890">
      <c r="A1890" s="294">
        <v>46108.0</v>
      </c>
      <c r="B1890" s="295" t="s">
        <v>1178</v>
      </c>
      <c r="C1890" s="295" t="s">
        <v>603</v>
      </c>
      <c r="D1890" s="296">
        <v>14262.0</v>
      </c>
      <c r="E1890" s="295" t="s">
        <v>1017</v>
      </c>
      <c r="F1890" s="292"/>
      <c r="G1890" s="293" t="str">
        <f>IFNA(IF(VLOOKUP(RC_OUT[BLOCK],RC_IN[[BLOCK]:[BLOCK LOC]],2,FALSE)=0,"",VLOOKUP(RC_OUT[BLOCK],RC_IN[[BLOCK]:[BLOCK LOC]],2,FALSE)),"")</f>
        <v>D-12D</v>
      </c>
      <c r="I1890" s="263">
        <f>IFERROR(AVERAGEIFS(RC_IN[MC],RC_IN[BLOCK],RC_OUT[BLOCK]),"")</f>
        <v>11.752</v>
      </c>
      <c r="J1890" s="264">
        <f t="shared" si="45"/>
        <v>167607.024</v>
      </c>
      <c r="K1890" s="246"/>
      <c r="L1890" s="246"/>
      <c r="M1890" s="249"/>
      <c r="N1890" s="266">
        <f t="shared" si="46"/>
        <v>0</v>
      </c>
      <c r="O1890" s="247"/>
      <c r="P1890" s="247"/>
      <c r="Q1890" s="247"/>
      <c r="R1890" s="247"/>
      <c r="S1890" s="247"/>
      <c r="T1890" s="247"/>
      <c r="U1890" s="247"/>
      <c r="V1890" s="247"/>
      <c r="W1890" s="247"/>
      <c r="X1890" s="247"/>
    </row>
    <row r="1891">
      <c r="A1891" s="294">
        <v>46108.0</v>
      </c>
      <c r="B1891" s="295" t="s">
        <v>1178</v>
      </c>
      <c r="C1891" s="295" t="s">
        <v>893</v>
      </c>
      <c r="D1891" s="296">
        <v>18000.0</v>
      </c>
      <c r="E1891" s="295" t="s">
        <v>1017</v>
      </c>
      <c r="F1891" s="292"/>
      <c r="G1891" s="293" t="str">
        <f>IFNA(IF(VLOOKUP(RC_OUT[BLOCK],RC_IN[[BLOCK]:[BLOCK LOC]],2,FALSE)=0,"",VLOOKUP(RC_OUT[BLOCK],RC_IN[[BLOCK]:[BLOCK LOC]],2,FALSE)),"")</f>
        <v/>
      </c>
      <c r="I1891" s="263">
        <f>IFERROR(AVERAGEIFS(RC_IN[MC],RC_IN[BLOCK],RC_OUT[BLOCK]),"")</f>
        <v>11.4</v>
      </c>
      <c r="J1891" s="264">
        <f t="shared" si="45"/>
        <v>205200</v>
      </c>
      <c r="K1891" s="246"/>
      <c r="L1891" s="246"/>
      <c r="M1891" s="249"/>
      <c r="N1891" s="266">
        <f t="shared" si="46"/>
        <v>0</v>
      </c>
      <c r="O1891" s="247"/>
      <c r="P1891" s="247"/>
      <c r="Q1891" s="247"/>
      <c r="R1891" s="247"/>
      <c r="S1891" s="247"/>
      <c r="T1891" s="247"/>
      <c r="U1891" s="247"/>
      <c r="V1891" s="247"/>
      <c r="W1891" s="247"/>
      <c r="X1891" s="247"/>
    </row>
    <row r="1892">
      <c r="A1892" s="294"/>
      <c r="B1892" s="295"/>
      <c r="C1892" s="295"/>
      <c r="D1892" s="296"/>
      <c r="E1892" s="295"/>
      <c r="F1892" s="292"/>
      <c r="G1892" s="293" t="str">
        <f>IFNA(IF(VLOOKUP(RC_OUT[BLOCK],RC_IN[[BLOCK]:[BLOCK LOC]],2,FALSE)=0,"",VLOOKUP(RC_OUT[BLOCK],RC_IN[[BLOCK]:[BLOCK LOC]],2,FALSE)),"")</f>
        <v/>
      </c>
      <c r="I1892" s="263" t="str">
        <f>IFERROR(AVERAGEIFS(RC_IN[MC],RC_IN[BLOCK],RC_OUT[BLOCK]),"")</f>
        <v/>
      </c>
      <c r="J1892" s="264">
        <f t="shared" si="45"/>
        <v>0</v>
      </c>
      <c r="K1892" s="246"/>
      <c r="L1892" s="246"/>
      <c r="M1892" s="249"/>
      <c r="N1892" s="266">
        <f t="shared" si="46"/>
        <v>0</v>
      </c>
      <c r="O1892" s="247"/>
      <c r="P1892" s="247"/>
      <c r="Q1892" s="247"/>
      <c r="R1892" s="247"/>
      <c r="S1892" s="247"/>
      <c r="T1892" s="247"/>
      <c r="U1892" s="247"/>
      <c r="V1892" s="247"/>
      <c r="W1892" s="247"/>
      <c r="X1892" s="247"/>
    </row>
    <row r="1893">
      <c r="A1893" s="294">
        <v>46109.0</v>
      </c>
      <c r="B1893" s="295" t="s">
        <v>1178</v>
      </c>
      <c r="C1893" s="295" t="s">
        <v>872</v>
      </c>
      <c r="D1893" s="296">
        <v>3058.0</v>
      </c>
      <c r="E1893" s="295" t="s">
        <v>1374</v>
      </c>
      <c r="F1893" s="297" t="s">
        <v>1059</v>
      </c>
      <c r="G1893" s="293" t="str">
        <f>IFNA(IF(VLOOKUP(RC_OUT[BLOCK],RC_IN[[BLOCK]:[BLOCK LOC]],2,FALSE)=0,"",VLOOKUP(RC_OUT[BLOCK],RC_IN[[BLOCK]:[BLOCK LOC]],2,FALSE)),"")</f>
        <v>D-20C</v>
      </c>
      <c r="I1893" s="263">
        <f>IFERROR(AVERAGEIFS(RC_IN[MC],RC_IN[BLOCK],RC_OUT[BLOCK]),"")</f>
        <v>15.6</v>
      </c>
      <c r="J1893" s="264">
        <f t="shared" si="45"/>
        <v>47704.8</v>
      </c>
      <c r="K1893" s="246"/>
      <c r="L1893" s="246"/>
      <c r="M1893" s="249"/>
      <c r="N1893" s="266">
        <f t="shared" si="46"/>
        <v>0</v>
      </c>
      <c r="O1893" s="247"/>
      <c r="P1893" s="247"/>
      <c r="Q1893" s="247"/>
      <c r="R1893" s="247"/>
      <c r="S1893" s="247"/>
      <c r="T1893" s="247"/>
      <c r="U1893" s="247"/>
      <c r="V1893" s="247"/>
      <c r="W1893" s="247"/>
      <c r="X1893" s="247"/>
    </row>
    <row r="1894">
      <c r="A1894" s="294">
        <v>46109.0</v>
      </c>
      <c r="B1894" s="295" t="s">
        <v>1178</v>
      </c>
      <c r="C1894" s="295" t="s">
        <v>835</v>
      </c>
      <c r="D1894" s="296">
        <v>3552.0</v>
      </c>
      <c r="E1894" s="295" t="s">
        <v>1374</v>
      </c>
      <c r="F1894" s="292"/>
      <c r="G1894" s="293" t="str">
        <f>IFNA(IF(VLOOKUP(RC_OUT[BLOCK],RC_IN[[BLOCK]:[BLOCK LOC]],2,FALSE)=0,"",VLOOKUP(RC_OUT[BLOCK],RC_IN[[BLOCK]:[BLOCK LOC]],2,FALSE)),"")</f>
        <v>D-19D</v>
      </c>
      <c r="I1894" s="263">
        <f>IFERROR(AVERAGEIFS(RC_IN[MC],RC_IN[BLOCK],RC_OUT[BLOCK]),"")</f>
        <v>16.07</v>
      </c>
      <c r="J1894" s="264">
        <f t="shared" si="45"/>
        <v>57080.64</v>
      </c>
      <c r="K1894" s="246"/>
      <c r="L1894" s="246"/>
      <c r="M1894" s="249"/>
      <c r="N1894" s="266">
        <f t="shared" si="46"/>
        <v>0</v>
      </c>
      <c r="O1894" s="247"/>
      <c r="P1894" s="247"/>
      <c r="Q1894" s="247"/>
      <c r="R1894" s="247"/>
      <c r="S1894" s="247"/>
      <c r="T1894" s="247"/>
      <c r="U1894" s="247"/>
      <c r="V1894" s="247"/>
      <c r="W1894" s="247"/>
      <c r="X1894" s="247"/>
    </row>
    <row r="1895">
      <c r="A1895" s="294">
        <v>46109.0</v>
      </c>
      <c r="B1895" s="295" t="s">
        <v>1178</v>
      </c>
      <c r="C1895" s="295" t="s">
        <v>556</v>
      </c>
      <c r="D1895" s="296">
        <v>20436.0</v>
      </c>
      <c r="E1895" s="295" t="s">
        <v>1017</v>
      </c>
      <c r="F1895" s="292"/>
      <c r="G1895" s="293" t="str">
        <f>IFNA(IF(VLOOKUP(RC_OUT[BLOCK],RC_IN[[BLOCK]:[BLOCK LOC]],2,FALSE)=0,"",VLOOKUP(RC_OUT[BLOCK],RC_IN[[BLOCK]:[BLOCK LOC]],2,FALSE)),"")</f>
        <v>A-18A</v>
      </c>
      <c r="I1895" s="263">
        <f>IFERROR(AVERAGEIFS(RC_IN[MC],RC_IN[BLOCK],RC_OUT[BLOCK]),"")</f>
        <v>11.8875</v>
      </c>
      <c r="J1895" s="264">
        <f t="shared" si="45"/>
        <v>242932.95</v>
      </c>
      <c r="K1895" s="246"/>
      <c r="L1895" s="246"/>
      <c r="M1895" s="249"/>
      <c r="N1895" s="266">
        <f t="shared" si="46"/>
        <v>0</v>
      </c>
      <c r="O1895" s="247"/>
      <c r="P1895" s="247"/>
      <c r="Q1895" s="247"/>
      <c r="R1895" s="247"/>
      <c r="S1895" s="247"/>
      <c r="T1895" s="247"/>
      <c r="U1895" s="247"/>
      <c r="V1895" s="247"/>
      <c r="W1895" s="247"/>
      <c r="X1895" s="247"/>
    </row>
    <row r="1896">
      <c r="A1896" s="294">
        <v>46109.0</v>
      </c>
      <c r="B1896" s="295" t="s">
        <v>1178</v>
      </c>
      <c r="C1896" s="295" t="s">
        <v>603</v>
      </c>
      <c r="D1896" s="296">
        <v>14613.0</v>
      </c>
      <c r="E1896" s="295" t="s">
        <v>1017</v>
      </c>
      <c r="F1896" s="292"/>
      <c r="G1896" s="293" t="str">
        <f>IFNA(IF(VLOOKUP(RC_OUT[BLOCK],RC_IN[[BLOCK]:[BLOCK LOC]],2,FALSE)=0,"",VLOOKUP(RC_OUT[BLOCK],RC_IN[[BLOCK]:[BLOCK LOC]],2,FALSE)),"")</f>
        <v>D-12D</v>
      </c>
      <c r="I1896" s="263">
        <f>IFERROR(AVERAGEIFS(RC_IN[MC],RC_IN[BLOCK],RC_OUT[BLOCK]),"")</f>
        <v>11.752</v>
      </c>
      <c r="J1896" s="264">
        <f t="shared" si="45"/>
        <v>171731.976</v>
      </c>
      <c r="K1896" s="246"/>
      <c r="L1896" s="246"/>
      <c r="M1896" s="249"/>
      <c r="N1896" s="266">
        <f t="shared" si="46"/>
        <v>0</v>
      </c>
      <c r="O1896" s="247"/>
      <c r="P1896" s="247"/>
      <c r="Q1896" s="247"/>
      <c r="R1896" s="247"/>
      <c r="S1896" s="247"/>
      <c r="T1896" s="247"/>
      <c r="U1896" s="247"/>
      <c r="V1896" s="247"/>
      <c r="W1896" s="247"/>
      <c r="X1896" s="247"/>
    </row>
    <row r="1897">
      <c r="A1897" s="294">
        <v>46109.0</v>
      </c>
      <c r="B1897" s="295" t="s">
        <v>1178</v>
      </c>
      <c r="C1897" s="295" t="s">
        <v>893</v>
      </c>
      <c r="D1897" s="296">
        <v>1025.0</v>
      </c>
      <c r="E1897" s="295" t="s">
        <v>1017</v>
      </c>
      <c r="F1897" s="297" t="s">
        <v>1059</v>
      </c>
      <c r="G1897" s="293" t="str">
        <f>IFNA(IF(VLOOKUP(RC_OUT[BLOCK],RC_IN[[BLOCK]:[BLOCK LOC]],2,FALSE)=0,"",VLOOKUP(RC_OUT[BLOCK],RC_IN[[BLOCK]:[BLOCK LOC]],2,FALSE)),"")</f>
        <v/>
      </c>
      <c r="I1897" s="263">
        <f>IFERROR(AVERAGEIFS(RC_IN[MC],RC_IN[BLOCK],RC_OUT[BLOCK]),"")</f>
        <v>11.4</v>
      </c>
      <c r="J1897" s="264">
        <f t="shared" si="45"/>
        <v>11685</v>
      </c>
      <c r="K1897" s="246"/>
      <c r="L1897" s="246"/>
      <c r="M1897" s="249"/>
      <c r="N1897" s="266">
        <f t="shared" si="46"/>
        <v>0</v>
      </c>
      <c r="O1897" s="247"/>
      <c r="P1897" s="247"/>
      <c r="Q1897" s="247"/>
      <c r="R1897" s="247"/>
      <c r="S1897" s="247"/>
      <c r="T1897" s="247"/>
      <c r="U1897" s="247"/>
      <c r="V1897" s="247"/>
      <c r="W1897" s="247"/>
      <c r="X1897" s="247"/>
    </row>
    <row r="1898">
      <c r="A1898" s="294">
        <v>46109.0</v>
      </c>
      <c r="B1898" s="295" t="s">
        <v>1178</v>
      </c>
      <c r="C1898" s="295" t="s">
        <v>899</v>
      </c>
      <c r="D1898" s="296">
        <v>16470.0</v>
      </c>
      <c r="E1898" s="295" t="s">
        <v>1017</v>
      </c>
      <c r="F1898" s="297" t="s">
        <v>1059</v>
      </c>
      <c r="G1898" s="293" t="str">
        <f>IFNA(IF(VLOOKUP(RC_OUT[BLOCK],RC_IN[[BLOCK]:[BLOCK LOC]],2,FALSE)=0,"",VLOOKUP(RC_OUT[BLOCK],RC_IN[[BLOCK]:[BLOCK LOC]],2,FALSE)),"")</f>
        <v/>
      </c>
      <c r="I1898" s="263">
        <f>IFERROR(AVERAGEIFS(RC_IN[MC],RC_IN[BLOCK],RC_OUT[BLOCK]),"")</f>
        <v>11.47</v>
      </c>
      <c r="J1898" s="264">
        <f t="shared" si="45"/>
        <v>188910.9</v>
      </c>
      <c r="K1898" s="246"/>
      <c r="L1898" s="246"/>
      <c r="M1898" s="249"/>
      <c r="N1898" s="266">
        <f t="shared" si="46"/>
        <v>0</v>
      </c>
      <c r="O1898" s="247"/>
      <c r="P1898" s="247"/>
      <c r="Q1898" s="247"/>
      <c r="R1898" s="247"/>
      <c r="S1898" s="247"/>
      <c r="T1898" s="247"/>
      <c r="U1898" s="247"/>
      <c r="V1898" s="247"/>
      <c r="W1898" s="247"/>
      <c r="X1898" s="247"/>
    </row>
    <row r="1899">
      <c r="A1899" s="294"/>
      <c r="B1899" s="295"/>
      <c r="C1899" s="295"/>
      <c r="D1899" s="296"/>
      <c r="E1899" s="295"/>
      <c r="F1899" s="292"/>
      <c r="G1899" s="293" t="str">
        <f>IFNA(IF(VLOOKUP(RC_OUT[BLOCK],RC_IN[[BLOCK]:[BLOCK LOC]],2,FALSE)=0,"",VLOOKUP(RC_OUT[BLOCK],RC_IN[[BLOCK]:[BLOCK LOC]],2,FALSE)),"")</f>
        <v/>
      </c>
      <c r="I1899" s="263" t="str">
        <f>IFERROR(AVERAGEIFS(RC_IN[MC],RC_IN[BLOCK],RC_OUT[BLOCK]),"")</f>
        <v/>
      </c>
      <c r="J1899" s="264">
        <f t="shared" si="45"/>
        <v>0</v>
      </c>
      <c r="K1899" s="246"/>
      <c r="L1899" s="246"/>
      <c r="M1899" s="249"/>
      <c r="N1899" s="266">
        <f t="shared" si="46"/>
        <v>0</v>
      </c>
      <c r="O1899" s="247"/>
      <c r="P1899" s="247"/>
      <c r="Q1899" s="247"/>
      <c r="R1899" s="247"/>
      <c r="S1899" s="247"/>
      <c r="T1899" s="247"/>
      <c r="U1899" s="247"/>
      <c r="V1899" s="247"/>
      <c r="W1899" s="247"/>
      <c r="X1899" s="247"/>
    </row>
    <row r="1900">
      <c r="A1900" s="294">
        <v>46111.0</v>
      </c>
      <c r="B1900" s="295" t="s">
        <v>1178</v>
      </c>
      <c r="C1900" s="295" t="s">
        <v>835</v>
      </c>
      <c r="D1900" s="296">
        <v>9130.0</v>
      </c>
      <c r="E1900" s="295" t="s">
        <v>1374</v>
      </c>
      <c r="F1900" s="292"/>
      <c r="G1900" s="293" t="str">
        <f>IFNA(IF(VLOOKUP(RC_OUT[BLOCK],RC_IN[[BLOCK]:[BLOCK LOC]],2,FALSE)=0,"",VLOOKUP(RC_OUT[BLOCK],RC_IN[[BLOCK]:[BLOCK LOC]],2,FALSE)),"")</f>
        <v>D-19D</v>
      </c>
      <c r="I1900" s="263">
        <f>IFERROR(AVERAGEIFS(RC_IN[MC],RC_IN[BLOCK],RC_OUT[BLOCK]),"")</f>
        <v>16.07</v>
      </c>
      <c r="J1900" s="264">
        <f t="shared" si="45"/>
        <v>146719.1</v>
      </c>
      <c r="K1900" s="246"/>
      <c r="L1900" s="246"/>
      <c r="M1900" s="249"/>
      <c r="N1900" s="266">
        <f t="shared" si="46"/>
        <v>0</v>
      </c>
      <c r="O1900" s="247"/>
      <c r="P1900" s="247">
        <f>IFERROR(AVERAGEIFS(RC_IN[ASH],RC_IN[BLOCK],RC_OUT[BLOCK]),"")</f>
        <v>3.16</v>
      </c>
      <c r="Q1900" s="247"/>
      <c r="R1900" s="247"/>
      <c r="S1900" s="247"/>
      <c r="T1900" s="247"/>
      <c r="U1900" s="247"/>
      <c r="V1900" s="247"/>
      <c r="W1900" s="247"/>
      <c r="X1900" s="247"/>
    </row>
    <row r="1901">
      <c r="A1901" s="294">
        <v>46111.0</v>
      </c>
      <c r="B1901" s="295" t="s">
        <v>1198</v>
      </c>
      <c r="C1901" s="295" t="s">
        <v>603</v>
      </c>
      <c r="D1901" s="296">
        <v>5261.0</v>
      </c>
      <c r="E1901" s="295" t="s">
        <v>1017</v>
      </c>
      <c r="F1901" s="292"/>
      <c r="G1901" s="293" t="str">
        <f>IFNA(IF(VLOOKUP(RC_OUT[BLOCK],RC_IN[[BLOCK]:[BLOCK LOC]],2,FALSE)=0,"",VLOOKUP(RC_OUT[BLOCK],RC_IN[[BLOCK]:[BLOCK LOC]],2,FALSE)),"")</f>
        <v>D-12D</v>
      </c>
      <c r="I1901" s="263">
        <f>IFERROR(AVERAGEIFS(RC_IN[MC],RC_IN[BLOCK],RC_OUT[BLOCK]),"")</f>
        <v>11.752</v>
      </c>
      <c r="J1901" s="264">
        <f t="shared" si="45"/>
        <v>61827.272</v>
      </c>
      <c r="K1901" s="246"/>
      <c r="L1901" s="246"/>
      <c r="M1901" s="249"/>
      <c r="N1901" s="266">
        <f t="shared" si="46"/>
        <v>0</v>
      </c>
      <c r="O1901" s="247"/>
      <c r="P1901" s="247">
        <f>IFERROR(AVERAGEIFS(RC_IN[ASH],RC_IN[BLOCK],RC_OUT[BLOCK]),"")</f>
        <v>2.694</v>
      </c>
      <c r="Q1901" s="247"/>
      <c r="R1901" s="247"/>
      <c r="S1901" s="247"/>
      <c r="T1901" s="247"/>
      <c r="U1901" s="247"/>
      <c r="V1901" s="247"/>
      <c r="W1901" s="247"/>
      <c r="X1901" s="247"/>
    </row>
    <row r="1902">
      <c r="A1902" s="294">
        <v>46111.0</v>
      </c>
      <c r="B1902" s="295" t="s">
        <v>1198</v>
      </c>
      <c r="C1902" s="295" t="s">
        <v>556</v>
      </c>
      <c r="D1902" s="296">
        <v>5162.0</v>
      </c>
      <c r="E1902" s="295" t="s">
        <v>1017</v>
      </c>
      <c r="F1902" s="292"/>
      <c r="G1902" s="293" t="str">
        <f>IFNA(IF(VLOOKUP(RC_OUT[BLOCK],RC_IN[[BLOCK]:[BLOCK LOC]],2,FALSE)=0,"",VLOOKUP(RC_OUT[BLOCK],RC_IN[[BLOCK]:[BLOCK LOC]],2,FALSE)),"")</f>
        <v>A-18A</v>
      </c>
      <c r="I1902" s="263"/>
      <c r="J1902" s="264"/>
      <c r="K1902" s="246"/>
      <c r="L1902" s="246"/>
      <c r="M1902" s="249"/>
      <c r="N1902" s="266"/>
      <c r="O1902" s="247"/>
      <c r="P1902" s="247"/>
      <c r="Q1902" s="247"/>
      <c r="R1902" s="247"/>
      <c r="S1902" s="247"/>
      <c r="T1902" s="247"/>
      <c r="U1902" s="247"/>
      <c r="V1902" s="247"/>
      <c r="W1902" s="247"/>
      <c r="X1902" s="247"/>
    </row>
    <row r="1903">
      <c r="A1903" s="294">
        <v>46111.0</v>
      </c>
      <c r="B1903" s="295" t="s">
        <v>1198</v>
      </c>
      <c r="C1903" s="295" t="s">
        <v>383</v>
      </c>
      <c r="D1903" s="296">
        <v>14538.0</v>
      </c>
      <c r="E1903" s="295" t="s">
        <v>1017</v>
      </c>
      <c r="F1903" s="292"/>
      <c r="G1903" s="293" t="str">
        <f>IFNA(IF(VLOOKUP(RC_OUT[BLOCK],RC_IN[[BLOCK]:[BLOCK LOC]],2,FALSE)=0,"",VLOOKUP(RC_OUT[BLOCK],RC_IN[[BLOCK]:[BLOCK LOC]],2,FALSE)),"")</f>
        <v>C-20B</v>
      </c>
      <c r="I1903" s="263">
        <f>IFERROR(AVERAGEIFS(RC_IN[MC],RC_IN[BLOCK],RC_OUT[BLOCK]),"")</f>
        <v>10.604</v>
      </c>
      <c r="J1903" s="264">
        <f t="shared" ref="J1903:J1907" si="47">D1903*I1903</f>
        <v>154160.952</v>
      </c>
      <c r="K1903" s="246"/>
      <c r="L1903" s="246"/>
      <c r="M1903" s="249"/>
      <c r="N1903" s="266">
        <f t="shared" ref="N1903:N1907" si="48">IFERROR(SUMIFS(D:D,A:A,K1903,B:B,L1903),"")</f>
        <v>0</v>
      </c>
      <c r="O1903" s="247"/>
      <c r="P1903" s="247">
        <f>IFERROR(AVERAGEIFS(RC_IN[ASH],RC_IN[BLOCK],RC_OUT[BLOCK]),"")</f>
        <v>2.704</v>
      </c>
      <c r="Q1903" s="247"/>
      <c r="R1903" s="247"/>
      <c r="S1903" s="247"/>
      <c r="T1903" s="247"/>
      <c r="U1903" s="247"/>
      <c r="V1903" s="247"/>
      <c r="W1903" s="247"/>
      <c r="X1903" s="247"/>
    </row>
    <row r="1904">
      <c r="A1904" s="294">
        <v>46111.0</v>
      </c>
      <c r="B1904" s="295" t="s">
        <v>1198</v>
      </c>
      <c r="C1904" s="295" t="s">
        <v>818</v>
      </c>
      <c r="D1904" s="296">
        <v>8461.0</v>
      </c>
      <c r="E1904" s="295" t="s">
        <v>1017</v>
      </c>
      <c r="F1904" s="292"/>
      <c r="G1904" s="293" t="str">
        <f>IFNA(IF(VLOOKUP(RC_OUT[BLOCK],RC_IN[[BLOCK]:[BLOCK LOC]],2,FALSE)=0,"",VLOOKUP(RC_OUT[BLOCK],RC_IN[[BLOCK]:[BLOCK LOC]],2,FALSE)),"")</f>
        <v>PCA-17C</v>
      </c>
      <c r="I1904" s="263">
        <f>IFERROR(AVERAGEIFS(RC_IN[MC],RC_IN[BLOCK],RC_OUT[BLOCK]),"")</f>
        <v>10.105</v>
      </c>
      <c r="J1904" s="264">
        <f t="shared" si="47"/>
        <v>85498.405</v>
      </c>
      <c r="K1904" s="246"/>
      <c r="L1904" s="246"/>
      <c r="M1904" s="249"/>
      <c r="N1904" s="266">
        <f t="shared" si="48"/>
        <v>0</v>
      </c>
      <c r="O1904" s="247"/>
      <c r="P1904" s="247">
        <f>IFERROR(AVERAGEIFS(RC_IN[ASH],RC_IN[BLOCK],RC_OUT[BLOCK]),"")</f>
        <v>3.46</v>
      </c>
      <c r="Q1904" s="247"/>
      <c r="R1904" s="247"/>
      <c r="S1904" s="247"/>
      <c r="T1904" s="247"/>
      <c r="U1904" s="247"/>
      <c r="V1904" s="247"/>
      <c r="W1904" s="247"/>
      <c r="X1904" s="247"/>
    </row>
    <row r="1905">
      <c r="A1905" s="294"/>
      <c r="B1905" s="295"/>
      <c r="C1905" s="295"/>
      <c r="D1905" s="296"/>
      <c r="E1905" s="295"/>
      <c r="F1905" s="292"/>
      <c r="G1905" s="293" t="str">
        <f>IFNA(IF(VLOOKUP(RC_OUT[BLOCK],RC_IN[[BLOCK]:[BLOCK LOC]],2,FALSE)=0,"",VLOOKUP(RC_OUT[BLOCK],RC_IN[[BLOCK]:[BLOCK LOC]],2,FALSE)),"")</f>
        <v/>
      </c>
      <c r="I1905" s="263" t="str">
        <f>IFERROR(AVERAGEIFS(RC_IN[MC],RC_IN[BLOCK],RC_OUT[BLOCK]),"")</f>
        <v/>
      </c>
      <c r="J1905" s="264">
        <f t="shared" si="47"/>
        <v>0</v>
      </c>
      <c r="K1905" s="246"/>
      <c r="L1905" s="246"/>
      <c r="M1905" s="249"/>
      <c r="N1905" s="266">
        <f t="shared" si="48"/>
        <v>0</v>
      </c>
      <c r="O1905" s="247"/>
      <c r="P1905" s="247"/>
      <c r="Q1905" s="247"/>
      <c r="R1905" s="247"/>
      <c r="S1905" s="247"/>
      <c r="T1905" s="247"/>
      <c r="U1905" s="247"/>
      <c r="V1905" s="247"/>
      <c r="W1905" s="247"/>
      <c r="X1905" s="247"/>
    </row>
    <row r="1906">
      <c r="A1906" s="294">
        <v>46112.0</v>
      </c>
      <c r="B1906" s="295" t="s">
        <v>1178</v>
      </c>
      <c r="C1906" s="295" t="s">
        <v>835</v>
      </c>
      <c r="D1906" s="296">
        <v>8932.0</v>
      </c>
      <c r="E1906" s="295" t="s">
        <v>1374</v>
      </c>
      <c r="F1906" s="297" t="s">
        <v>1059</v>
      </c>
      <c r="G1906" s="293" t="str">
        <f>IFNA(IF(VLOOKUP(RC_OUT[BLOCK],RC_IN[[BLOCK]:[BLOCK LOC]],2,FALSE)=0,"",VLOOKUP(RC_OUT[BLOCK],RC_IN[[BLOCK]:[BLOCK LOC]],2,FALSE)),"")</f>
        <v>D-19D</v>
      </c>
      <c r="I1906" s="263">
        <f>IFERROR(AVERAGEIFS(RC_IN[MC],RC_IN[BLOCK],RC_OUT[BLOCK]),"")</f>
        <v>16.07</v>
      </c>
      <c r="J1906" s="264">
        <f t="shared" si="47"/>
        <v>143537.24</v>
      </c>
      <c r="K1906" s="246"/>
      <c r="L1906" s="246"/>
      <c r="M1906" s="249"/>
      <c r="N1906" s="266">
        <f t="shared" si="48"/>
        <v>0</v>
      </c>
      <c r="O1906" s="247"/>
      <c r="P1906" s="247"/>
      <c r="Q1906" s="247"/>
      <c r="R1906" s="247"/>
      <c r="S1906" s="247"/>
      <c r="T1906" s="247"/>
      <c r="U1906" s="247"/>
      <c r="V1906" s="247"/>
      <c r="W1906" s="247"/>
      <c r="X1906" s="247"/>
    </row>
    <row r="1907">
      <c r="A1907" s="294">
        <v>46112.0</v>
      </c>
      <c r="B1907" s="295" t="s">
        <v>1198</v>
      </c>
      <c r="C1907" s="295" t="s">
        <v>603</v>
      </c>
      <c r="D1907" s="296">
        <v>7788.0</v>
      </c>
      <c r="E1907" s="295" t="s">
        <v>1017</v>
      </c>
      <c r="F1907" s="292"/>
      <c r="G1907" s="293" t="str">
        <f>IFNA(IF(VLOOKUP(RC_OUT[BLOCK],RC_IN[[BLOCK]:[BLOCK LOC]],2,FALSE)=0,"",VLOOKUP(RC_OUT[BLOCK],RC_IN[[BLOCK]:[BLOCK LOC]],2,FALSE)),"")</f>
        <v>D-12D</v>
      </c>
      <c r="I1907" s="263">
        <f>IFERROR(AVERAGEIFS(RC_IN[MC],RC_IN[BLOCK],RC_OUT[BLOCK]),"")</f>
        <v>11.752</v>
      </c>
      <c r="J1907" s="264">
        <f t="shared" si="47"/>
        <v>91524.576</v>
      </c>
      <c r="K1907" s="246"/>
      <c r="L1907" s="246"/>
      <c r="M1907" s="249"/>
      <c r="N1907" s="266">
        <f t="shared" si="48"/>
        <v>0</v>
      </c>
      <c r="O1907" s="247"/>
      <c r="P1907" s="247"/>
      <c r="Q1907" s="247"/>
      <c r="R1907" s="247"/>
      <c r="S1907" s="247"/>
      <c r="T1907" s="247"/>
      <c r="U1907" s="247"/>
      <c r="V1907" s="247"/>
      <c r="W1907" s="247"/>
      <c r="X1907" s="247"/>
    </row>
    <row r="1908">
      <c r="A1908" s="294">
        <v>46112.0</v>
      </c>
      <c r="B1908" s="295" t="s">
        <v>1198</v>
      </c>
      <c r="C1908" s="295" t="s">
        <v>556</v>
      </c>
      <c r="D1908" s="296">
        <v>7836.0</v>
      </c>
      <c r="E1908" s="295" t="s">
        <v>1017</v>
      </c>
      <c r="F1908" s="292"/>
      <c r="G1908" s="293" t="str">
        <f>IFNA(IF(VLOOKUP(RC_OUT[BLOCK],RC_IN[[BLOCK]:[BLOCK LOC]],2,FALSE)=0,"",VLOOKUP(RC_OUT[BLOCK],RC_IN[[BLOCK]:[BLOCK LOC]],2,FALSE)),"")</f>
        <v>A-18A</v>
      </c>
      <c r="I1908" s="263"/>
      <c r="J1908" s="264"/>
      <c r="K1908" s="246"/>
      <c r="L1908" s="246"/>
      <c r="M1908" s="249"/>
      <c r="N1908" s="266"/>
      <c r="O1908" s="247"/>
      <c r="P1908" s="247"/>
      <c r="Q1908" s="247"/>
      <c r="R1908" s="247"/>
      <c r="S1908" s="247"/>
      <c r="T1908" s="247"/>
      <c r="U1908" s="247"/>
      <c r="V1908" s="247"/>
      <c r="W1908" s="247"/>
      <c r="X1908" s="247"/>
    </row>
    <row r="1909">
      <c r="A1909" s="294">
        <v>46112.0</v>
      </c>
      <c r="B1909" s="295" t="s">
        <v>1198</v>
      </c>
      <c r="C1909" s="295" t="s">
        <v>383</v>
      </c>
      <c r="D1909" s="296">
        <v>19702.0</v>
      </c>
      <c r="E1909" s="295" t="s">
        <v>1017</v>
      </c>
      <c r="F1909" s="292"/>
      <c r="G1909" s="293" t="str">
        <f>IFNA(IF(VLOOKUP(RC_OUT[BLOCK],RC_IN[[BLOCK]:[BLOCK LOC]],2,FALSE)=0,"",VLOOKUP(RC_OUT[BLOCK],RC_IN[[BLOCK]:[BLOCK LOC]],2,FALSE)),"")</f>
        <v>C-20B</v>
      </c>
      <c r="I1909" s="263">
        <f>IFERROR(AVERAGEIFS(RC_IN[MC],RC_IN[BLOCK],RC_OUT[BLOCK]),"")</f>
        <v>10.604</v>
      </c>
      <c r="J1909" s="264">
        <f t="shared" ref="J1909:J1921" si="49">D1909*I1909</f>
        <v>208920.008</v>
      </c>
      <c r="K1909" s="246"/>
      <c r="L1909" s="246"/>
      <c r="M1909" s="249"/>
      <c r="N1909" s="266">
        <f t="shared" ref="N1909:N1921" si="50">IFERROR(SUMIFS(D:D,A:A,K1909,B:B,L1909),"")</f>
        <v>0</v>
      </c>
      <c r="O1909" s="247"/>
      <c r="P1909" s="247"/>
      <c r="Q1909" s="247"/>
      <c r="R1909" s="247"/>
      <c r="S1909" s="247"/>
      <c r="T1909" s="247"/>
      <c r="U1909" s="247"/>
      <c r="V1909" s="247"/>
      <c r="W1909" s="247"/>
      <c r="X1909" s="247"/>
    </row>
    <row r="1910">
      <c r="A1910" s="294">
        <v>46112.0</v>
      </c>
      <c r="B1910" s="295" t="s">
        <v>1198</v>
      </c>
      <c r="C1910" s="295" t="s">
        <v>818</v>
      </c>
      <c r="D1910" s="296">
        <v>2843.0</v>
      </c>
      <c r="E1910" s="295" t="s">
        <v>1017</v>
      </c>
      <c r="F1910" s="297" t="s">
        <v>1059</v>
      </c>
      <c r="G1910" s="293" t="str">
        <f>IFNA(IF(VLOOKUP(RC_OUT[BLOCK],RC_IN[[BLOCK]:[BLOCK LOC]],2,FALSE)=0,"",VLOOKUP(RC_OUT[BLOCK],RC_IN[[BLOCK]:[BLOCK LOC]],2,FALSE)),"")</f>
        <v>PCA-17C</v>
      </c>
      <c r="I1910" s="263">
        <f>IFERROR(AVERAGEIFS(RC_IN[MC],RC_IN[BLOCK],RC_OUT[BLOCK]),"")</f>
        <v>10.105</v>
      </c>
      <c r="J1910" s="264">
        <f t="shared" si="49"/>
        <v>28728.515</v>
      </c>
      <c r="K1910" s="246"/>
      <c r="L1910" s="246"/>
      <c r="M1910" s="249"/>
      <c r="N1910" s="266">
        <f t="shared" si="50"/>
        <v>0</v>
      </c>
      <c r="O1910" s="247"/>
      <c r="P1910" s="247"/>
      <c r="Q1910" s="247"/>
      <c r="R1910" s="247"/>
      <c r="S1910" s="247"/>
      <c r="T1910" s="247"/>
      <c r="U1910" s="247"/>
      <c r="V1910" s="247"/>
      <c r="W1910" s="247"/>
      <c r="X1910" s="247"/>
    </row>
    <row r="1911">
      <c r="A1911" s="294">
        <v>46112.0</v>
      </c>
      <c r="B1911" s="295" t="s">
        <v>1198</v>
      </c>
      <c r="C1911" s="295" t="s">
        <v>775</v>
      </c>
      <c r="D1911" s="296">
        <v>13720.0</v>
      </c>
      <c r="E1911" s="295" t="s">
        <v>1017</v>
      </c>
      <c r="F1911" s="292"/>
      <c r="G1911" s="293" t="str">
        <f>IFNA(IF(VLOOKUP(RC_OUT[BLOCK],RC_IN[[BLOCK]:[BLOCK LOC]],2,FALSE)=0,"",VLOOKUP(RC_OUT[BLOCK],RC_IN[[BLOCK]:[BLOCK LOC]],2,FALSE)),"")</f>
        <v>PCA-17B</v>
      </c>
      <c r="I1911" s="263">
        <f>IFERROR(AVERAGEIFS(RC_IN[MC],RC_IN[BLOCK],RC_OUT[BLOCK]),"")</f>
        <v>10.00333333</v>
      </c>
      <c r="J1911" s="264">
        <f t="shared" si="49"/>
        <v>137245.7333</v>
      </c>
      <c r="K1911" s="246"/>
      <c r="L1911" s="246"/>
      <c r="M1911" s="249"/>
      <c r="N1911" s="266">
        <f t="shared" si="50"/>
        <v>0</v>
      </c>
      <c r="O1911" s="247"/>
      <c r="P1911" s="247"/>
      <c r="Q1911" s="247"/>
      <c r="R1911" s="247"/>
      <c r="S1911" s="247"/>
      <c r="T1911" s="247"/>
      <c r="U1911" s="247"/>
      <c r="V1911" s="247"/>
      <c r="W1911" s="247"/>
      <c r="X1911" s="247"/>
    </row>
    <row r="1912">
      <c r="A1912" s="294"/>
      <c r="B1912" s="295"/>
      <c r="C1912" s="295"/>
      <c r="D1912" s="296"/>
      <c r="E1912" s="295"/>
      <c r="F1912" s="292"/>
      <c r="G1912" s="293" t="str">
        <f>IFNA(IF(VLOOKUP(RC_OUT[BLOCK],RC_IN[[BLOCK]:[BLOCK LOC]],2,FALSE)=0,"",VLOOKUP(RC_OUT[BLOCK],RC_IN[[BLOCK]:[BLOCK LOC]],2,FALSE)),"")</f>
        <v/>
      </c>
      <c r="I1912" s="263" t="str">
        <f>IFERROR(AVERAGEIFS(RC_IN[MC],RC_IN[BLOCK],RC_OUT[BLOCK]),"")</f>
        <v/>
      </c>
      <c r="J1912" s="264">
        <f t="shared" si="49"/>
        <v>0</v>
      </c>
      <c r="K1912" s="246"/>
      <c r="L1912" s="246"/>
      <c r="M1912" s="249"/>
      <c r="N1912" s="266">
        <f t="shared" si="50"/>
        <v>0</v>
      </c>
      <c r="O1912" s="247"/>
      <c r="P1912" s="247"/>
      <c r="Q1912" s="247"/>
      <c r="R1912" s="247"/>
      <c r="S1912" s="247"/>
      <c r="T1912" s="247"/>
      <c r="U1912" s="247"/>
      <c r="V1912" s="247"/>
      <c r="W1912" s="247"/>
      <c r="X1912" s="247"/>
    </row>
    <row r="1913">
      <c r="A1913" s="294">
        <v>46113.0</v>
      </c>
      <c r="B1913" s="295" t="s">
        <v>1198</v>
      </c>
      <c r="C1913" s="295" t="s">
        <v>556</v>
      </c>
      <c r="D1913" s="296">
        <v>2462.0</v>
      </c>
      <c r="E1913" s="295" t="s">
        <v>1017</v>
      </c>
      <c r="F1913" s="292"/>
      <c r="G1913" s="293" t="str">
        <f>IFNA(IF(VLOOKUP(RC_OUT[BLOCK],RC_IN[[BLOCK]:[BLOCK LOC]],2,FALSE)=0,"",VLOOKUP(RC_OUT[BLOCK],RC_IN[[BLOCK]:[BLOCK LOC]],2,FALSE)),"")</f>
        <v>A-18A</v>
      </c>
      <c r="I1913" s="263">
        <f>IFERROR(AVERAGEIFS(RC_IN[MC],RC_IN[BLOCK],RC_OUT[BLOCK]),"")</f>
        <v>11.8875</v>
      </c>
      <c r="J1913" s="264">
        <f t="shared" si="49"/>
        <v>29267.025</v>
      </c>
      <c r="K1913" s="246"/>
      <c r="L1913" s="246"/>
      <c r="M1913" s="249"/>
      <c r="N1913" s="266">
        <f t="shared" si="50"/>
        <v>0</v>
      </c>
      <c r="O1913" s="247"/>
      <c r="P1913" s="247"/>
      <c r="Q1913" s="247"/>
      <c r="R1913" s="247"/>
      <c r="S1913" s="247"/>
      <c r="T1913" s="247"/>
      <c r="U1913" s="247"/>
      <c r="V1913" s="247"/>
      <c r="W1913" s="247"/>
      <c r="X1913" s="247"/>
    </row>
    <row r="1914">
      <c r="A1914" s="294">
        <v>46113.0</v>
      </c>
      <c r="B1914" s="295" t="s">
        <v>1198</v>
      </c>
      <c r="C1914" s="295" t="s">
        <v>603</v>
      </c>
      <c r="D1914" s="296">
        <v>2598.0</v>
      </c>
      <c r="E1914" s="295" t="s">
        <v>1017</v>
      </c>
      <c r="F1914" s="292"/>
      <c r="G1914" s="293" t="str">
        <f>IFNA(IF(VLOOKUP(RC_OUT[BLOCK],RC_IN[[BLOCK]:[BLOCK LOC]],2,FALSE)=0,"",VLOOKUP(RC_OUT[BLOCK],RC_IN[[BLOCK]:[BLOCK LOC]],2,FALSE)),"")</f>
        <v>D-12D</v>
      </c>
      <c r="I1914" s="263">
        <f>IFERROR(AVERAGEIFS(RC_IN[MC],RC_IN[BLOCK],RC_OUT[BLOCK]),"")</f>
        <v>11.752</v>
      </c>
      <c r="J1914" s="264">
        <f t="shared" si="49"/>
        <v>30531.696</v>
      </c>
      <c r="K1914" s="246"/>
      <c r="L1914" s="246"/>
      <c r="M1914" s="249"/>
      <c r="N1914" s="266">
        <f t="shared" si="50"/>
        <v>0</v>
      </c>
      <c r="O1914" s="247"/>
      <c r="P1914" s="247"/>
      <c r="Q1914" s="247"/>
      <c r="R1914" s="247"/>
      <c r="S1914" s="247"/>
      <c r="T1914" s="247"/>
      <c r="U1914" s="247"/>
      <c r="V1914" s="247"/>
      <c r="W1914" s="247"/>
      <c r="X1914" s="247"/>
    </row>
    <row r="1915">
      <c r="A1915" s="294">
        <v>46113.0</v>
      </c>
      <c r="B1915" s="295" t="s">
        <v>1198</v>
      </c>
      <c r="C1915" s="295" t="s">
        <v>383</v>
      </c>
      <c r="D1915" s="296">
        <v>6275.0</v>
      </c>
      <c r="E1915" s="295" t="s">
        <v>1017</v>
      </c>
      <c r="F1915" s="292"/>
      <c r="G1915" s="293" t="str">
        <f>IFNA(IF(VLOOKUP(RC_OUT[BLOCK],RC_IN[[BLOCK]:[BLOCK LOC]],2,FALSE)=0,"",VLOOKUP(RC_OUT[BLOCK],RC_IN[[BLOCK]:[BLOCK LOC]],2,FALSE)),"")</f>
        <v>C-20B</v>
      </c>
      <c r="I1915" s="263">
        <f>IFERROR(AVERAGEIFS(RC_IN[MC],RC_IN[BLOCK],RC_OUT[BLOCK]),"")</f>
        <v>10.604</v>
      </c>
      <c r="J1915" s="264">
        <f t="shared" si="49"/>
        <v>66540.1</v>
      </c>
      <c r="K1915" s="246"/>
      <c r="L1915" s="246"/>
      <c r="M1915" s="249"/>
      <c r="N1915" s="266">
        <f t="shared" si="50"/>
        <v>0</v>
      </c>
      <c r="O1915" s="247"/>
      <c r="P1915" s="247"/>
      <c r="Q1915" s="247"/>
      <c r="R1915" s="247"/>
      <c r="S1915" s="247"/>
      <c r="T1915" s="247"/>
      <c r="U1915" s="247"/>
      <c r="V1915" s="247"/>
      <c r="W1915" s="247"/>
      <c r="X1915" s="247"/>
    </row>
    <row r="1916">
      <c r="A1916" s="294">
        <v>46113.0</v>
      </c>
      <c r="B1916" s="295" t="s">
        <v>1198</v>
      </c>
      <c r="C1916" s="295" t="s">
        <v>775</v>
      </c>
      <c r="D1916" s="296">
        <v>6053.0</v>
      </c>
      <c r="E1916" s="295" t="s">
        <v>1017</v>
      </c>
      <c r="F1916" s="292"/>
      <c r="G1916" s="293" t="str">
        <f>IFNA(IF(VLOOKUP(RC_OUT[BLOCK],RC_IN[[BLOCK]:[BLOCK LOC]],2,FALSE)=0,"",VLOOKUP(RC_OUT[BLOCK],RC_IN[[BLOCK]:[BLOCK LOC]],2,FALSE)),"")</f>
        <v>PCA-17B</v>
      </c>
      <c r="I1916" s="263">
        <f>IFERROR(AVERAGEIFS(RC_IN[MC],RC_IN[BLOCK],RC_OUT[BLOCK]),"")</f>
        <v>10.00333333</v>
      </c>
      <c r="J1916" s="264">
        <f t="shared" si="49"/>
        <v>60550.17667</v>
      </c>
      <c r="K1916" s="246"/>
      <c r="L1916" s="246"/>
      <c r="M1916" s="249"/>
      <c r="N1916" s="266">
        <f t="shared" si="50"/>
        <v>0</v>
      </c>
      <c r="O1916" s="247"/>
      <c r="P1916" s="247"/>
      <c r="Q1916" s="247"/>
      <c r="R1916" s="247"/>
      <c r="S1916" s="247"/>
      <c r="T1916" s="247"/>
      <c r="U1916" s="247"/>
      <c r="V1916" s="247"/>
      <c r="W1916" s="247"/>
      <c r="X1916" s="247"/>
    </row>
    <row r="1917">
      <c r="A1917" s="294">
        <v>46113.0</v>
      </c>
      <c r="B1917" s="295" t="s">
        <v>1198</v>
      </c>
      <c r="C1917" s="295" t="s">
        <v>207</v>
      </c>
      <c r="D1917" s="296">
        <v>5753.0</v>
      </c>
      <c r="E1917" s="295" t="s">
        <v>1374</v>
      </c>
      <c r="F1917" s="292"/>
      <c r="G1917" s="293" t="str">
        <f>IFNA(IF(VLOOKUP(RC_OUT[BLOCK],RC_IN[[BLOCK]:[BLOCK LOC]],2,FALSE)=0,"",VLOOKUP(RC_OUT[BLOCK],RC_IN[[BLOCK]:[BLOCK LOC]],2,FALSE)),"")</f>
        <v>A-20B</v>
      </c>
      <c r="I1917" s="263">
        <f>IFERROR(AVERAGEIFS(RC_IN[MC],RC_IN[BLOCK],RC_OUT[BLOCK]),"")</f>
        <v>37.135</v>
      </c>
      <c r="J1917" s="264">
        <f t="shared" si="49"/>
        <v>213637.655</v>
      </c>
      <c r="K1917" s="246"/>
      <c r="L1917" s="246"/>
      <c r="M1917" s="249"/>
      <c r="N1917" s="266">
        <f t="shared" si="50"/>
        <v>0</v>
      </c>
      <c r="O1917" s="247"/>
      <c r="P1917" s="247"/>
      <c r="Q1917" s="247"/>
      <c r="R1917" s="247"/>
      <c r="S1917" s="247"/>
      <c r="T1917" s="247"/>
      <c r="U1917" s="247"/>
      <c r="V1917" s="247"/>
      <c r="W1917" s="247"/>
      <c r="X1917" s="247"/>
    </row>
    <row r="1918">
      <c r="A1918" s="294"/>
      <c r="B1918" s="295"/>
      <c r="C1918" s="295"/>
      <c r="D1918" s="296"/>
      <c r="E1918" s="295"/>
      <c r="F1918" s="292"/>
      <c r="G1918" s="293" t="str">
        <f>IFNA(IF(VLOOKUP(RC_OUT[BLOCK],RC_IN[[BLOCK]:[BLOCK LOC]],2,FALSE)=0,"",VLOOKUP(RC_OUT[BLOCK],RC_IN[[BLOCK]:[BLOCK LOC]],2,FALSE)),"")</f>
        <v/>
      </c>
      <c r="I1918" s="263" t="str">
        <f>IFERROR(AVERAGEIFS(RC_IN[MC],RC_IN[BLOCK],RC_OUT[BLOCK]),"")</f>
        <v/>
      </c>
      <c r="J1918" s="264">
        <f t="shared" si="49"/>
        <v>0</v>
      </c>
      <c r="K1918" s="246"/>
      <c r="L1918" s="246"/>
      <c r="M1918" s="249"/>
      <c r="N1918" s="266">
        <f t="shared" si="50"/>
        <v>0</v>
      </c>
      <c r="O1918" s="247"/>
      <c r="P1918" s="247"/>
      <c r="Q1918" s="247"/>
      <c r="R1918" s="247"/>
      <c r="S1918" s="247"/>
      <c r="T1918" s="247"/>
      <c r="U1918" s="247"/>
      <c r="V1918" s="247"/>
      <c r="W1918" s="247"/>
      <c r="X1918" s="247"/>
    </row>
    <row r="1919">
      <c r="A1919" s="294">
        <v>46118.0</v>
      </c>
      <c r="B1919" s="295" t="s">
        <v>1198</v>
      </c>
      <c r="C1919" s="295" t="s">
        <v>207</v>
      </c>
      <c r="D1919" s="296">
        <v>3077.0</v>
      </c>
      <c r="E1919" s="295" t="s">
        <v>1374</v>
      </c>
      <c r="F1919" s="292"/>
      <c r="G1919" s="293" t="str">
        <f>IFNA(IF(VLOOKUP(RC_OUT[BLOCK],RC_IN[[BLOCK]:[BLOCK LOC]],2,FALSE)=0,"",VLOOKUP(RC_OUT[BLOCK],RC_IN[[BLOCK]:[BLOCK LOC]],2,FALSE)),"")</f>
        <v>A-20B</v>
      </c>
      <c r="I1919" s="263">
        <f>IFERROR(AVERAGEIFS(RC_IN[MC],RC_IN[BLOCK],RC_OUT[BLOCK]),"")</f>
        <v>37.135</v>
      </c>
      <c r="J1919" s="264">
        <f t="shared" si="49"/>
        <v>114264.395</v>
      </c>
      <c r="K1919" s="246"/>
      <c r="L1919" s="246"/>
      <c r="M1919" s="249"/>
      <c r="N1919" s="266">
        <f t="shared" si="50"/>
        <v>0</v>
      </c>
      <c r="O1919" s="247"/>
      <c r="P1919" s="247"/>
      <c r="Q1919" s="247"/>
      <c r="R1919" s="247"/>
      <c r="S1919" s="247"/>
      <c r="T1919" s="247"/>
      <c r="U1919" s="247"/>
      <c r="V1919" s="247"/>
      <c r="W1919" s="247"/>
      <c r="X1919" s="247"/>
    </row>
    <row r="1920">
      <c r="A1920" s="294">
        <v>46118.0</v>
      </c>
      <c r="B1920" s="295" t="s">
        <v>1198</v>
      </c>
      <c r="C1920" s="295" t="s">
        <v>556</v>
      </c>
      <c r="D1920" s="296">
        <v>4807.0</v>
      </c>
      <c r="E1920" s="295" t="s">
        <v>1017</v>
      </c>
      <c r="F1920" s="292"/>
      <c r="G1920" s="293" t="str">
        <f>IFNA(IF(VLOOKUP(RC_OUT[BLOCK],RC_IN[[BLOCK]:[BLOCK LOC]],2,FALSE)=0,"",VLOOKUP(RC_OUT[BLOCK],RC_IN[[BLOCK]:[BLOCK LOC]],2,FALSE)),"")</f>
        <v>A-18A</v>
      </c>
      <c r="I1920" s="263">
        <f>IFERROR(AVERAGEIFS(RC_IN[MC],RC_IN[BLOCK],RC_OUT[BLOCK]),"")</f>
        <v>11.8875</v>
      </c>
      <c r="J1920" s="264">
        <f t="shared" si="49"/>
        <v>57143.2125</v>
      </c>
      <c r="K1920" s="246"/>
      <c r="L1920" s="246"/>
      <c r="M1920" s="249"/>
      <c r="N1920" s="266">
        <f t="shared" si="50"/>
        <v>0</v>
      </c>
      <c r="O1920" s="247"/>
      <c r="P1920" s="247"/>
      <c r="Q1920" s="247"/>
      <c r="R1920" s="247"/>
      <c r="S1920" s="247"/>
      <c r="T1920" s="247"/>
      <c r="U1920" s="247"/>
      <c r="V1920" s="247"/>
      <c r="W1920" s="247"/>
      <c r="X1920" s="247"/>
    </row>
    <row r="1921">
      <c r="A1921" s="294">
        <v>46118.0</v>
      </c>
      <c r="B1921" s="295" t="s">
        <v>1198</v>
      </c>
      <c r="C1921" s="295" t="s">
        <v>603</v>
      </c>
      <c r="D1921" s="296">
        <v>4805.0</v>
      </c>
      <c r="E1921" s="295" t="s">
        <v>1017</v>
      </c>
      <c r="F1921" s="292"/>
      <c r="G1921" s="293" t="str">
        <f>IFNA(IF(VLOOKUP(RC_OUT[BLOCK],RC_IN[[BLOCK]:[BLOCK LOC]],2,FALSE)=0,"",VLOOKUP(RC_OUT[BLOCK],RC_IN[[BLOCK]:[BLOCK LOC]],2,FALSE)),"")</f>
        <v>D-12D</v>
      </c>
      <c r="I1921" s="263">
        <f>IFERROR(AVERAGEIFS(RC_IN[MC],RC_IN[BLOCK],RC_OUT[BLOCK]),"")</f>
        <v>11.752</v>
      </c>
      <c r="J1921" s="264">
        <f t="shared" si="49"/>
        <v>56468.36</v>
      </c>
      <c r="K1921" s="246"/>
      <c r="L1921" s="246"/>
      <c r="M1921" s="249"/>
      <c r="N1921" s="266">
        <f t="shared" si="50"/>
        <v>0</v>
      </c>
      <c r="O1921" s="247"/>
      <c r="P1921" s="247"/>
      <c r="Q1921" s="247"/>
      <c r="R1921" s="247"/>
      <c r="S1921" s="247"/>
      <c r="T1921" s="247"/>
      <c r="U1921" s="247"/>
      <c r="V1921" s="247"/>
      <c r="W1921" s="247"/>
      <c r="X1921" s="247"/>
    </row>
    <row r="1922">
      <c r="A1922" s="294">
        <v>46118.0</v>
      </c>
      <c r="B1922" s="295" t="s">
        <v>1198</v>
      </c>
      <c r="C1922" s="295" t="s">
        <v>383</v>
      </c>
      <c r="D1922" s="296">
        <v>13458.0</v>
      </c>
      <c r="E1922" s="295" t="s">
        <v>1017</v>
      </c>
      <c r="F1922" s="292"/>
      <c r="G1922" s="293" t="str">
        <f>IFNA(IF(VLOOKUP(RC_OUT[BLOCK],RC_IN[[BLOCK]:[BLOCK LOC]],2,FALSE)=0,"",VLOOKUP(RC_OUT[BLOCK],RC_IN[[BLOCK]:[BLOCK LOC]],2,FALSE)),"")</f>
        <v>C-20B</v>
      </c>
      <c r="I1922" s="263"/>
      <c r="J1922" s="264"/>
      <c r="K1922" s="246"/>
      <c r="L1922" s="246"/>
      <c r="M1922" s="249"/>
      <c r="N1922" s="266"/>
      <c r="O1922" s="247"/>
      <c r="P1922" s="247"/>
      <c r="Q1922" s="247"/>
      <c r="R1922" s="247"/>
      <c r="S1922" s="247"/>
      <c r="T1922" s="247"/>
      <c r="U1922" s="247"/>
      <c r="V1922" s="247"/>
      <c r="W1922" s="247"/>
      <c r="X1922" s="247"/>
    </row>
    <row r="1923">
      <c r="A1923" s="294">
        <v>46118.0</v>
      </c>
      <c r="B1923" s="295" t="s">
        <v>1198</v>
      </c>
      <c r="C1923" s="295" t="s">
        <v>775</v>
      </c>
      <c r="D1923" s="296">
        <v>4179.0</v>
      </c>
      <c r="E1923" s="295" t="s">
        <v>1017</v>
      </c>
      <c r="F1923" s="297" t="s">
        <v>1059</v>
      </c>
      <c r="G1923" s="293" t="str">
        <f>IFNA(IF(VLOOKUP(RC_OUT[BLOCK],RC_IN[[BLOCK]:[BLOCK LOC]],2,FALSE)=0,"",VLOOKUP(RC_OUT[BLOCK],RC_IN[[BLOCK]:[BLOCK LOC]],2,FALSE)),"")</f>
        <v>PCA-17B</v>
      </c>
      <c r="I1923" s="263">
        <f>IFERROR(AVERAGEIFS(RC_IN[MC],RC_IN[BLOCK],RC_OUT[BLOCK]),"")</f>
        <v>10.00333333</v>
      </c>
      <c r="J1923" s="264">
        <f t="shared" ref="J1923:J2055" si="51">D1923*I1923</f>
        <v>41803.93</v>
      </c>
      <c r="K1923" s="246"/>
      <c r="L1923" s="246"/>
      <c r="M1923" s="249"/>
      <c r="N1923" s="266">
        <f t="shared" ref="N1923:N2055" si="52">IFERROR(SUMIFS(D:D,A:A,K1923,B:B,L1923),"")</f>
        <v>0</v>
      </c>
      <c r="O1923" s="247"/>
      <c r="P1923" s="247"/>
      <c r="Q1923" s="247"/>
      <c r="R1923" s="247"/>
      <c r="S1923" s="247"/>
      <c r="T1923" s="247"/>
      <c r="U1923" s="247"/>
      <c r="V1923" s="247"/>
      <c r="W1923" s="247"/>
      <c r="X1923" s="247"/>
    </row>
    <row r="1924">
      <c r="A1924" s="294">
        <v>46118.0</v>
      </c>
      <c r="B1924" s="295" t="s">
        <v>1198</v>
      </c>
      <c r="C1924" s="295" t="s">
        <v>779</v>
      </c>
      <c r="D1924" s="296">
        <v>12307.0</v>
      </c>
      <c r="E1924" s="295" t="s">
        <v>1017</v>
      </c>
      <c r="F1924" s="297" t="s">
        <v>1059</v>
      </c>
      <c r="G1924" s="293" t="str">
        <f>IFNA(IF(VLOOKUP(RC_OUT[BLOCK],RC_IN[[BLOCK]:[BLOCK LOC]],2,FALSE)=0,"",VLOOKUP(RC_OUT[BLOCK],RC_IN[[BLOCK]:[BLOCK LOC]],2,FALSE)),"")</f>
        <v>PCA-17A</v>
      </c>
      <c r="I1924" s="263">
        <f>IFERROR(AVERAGEIFS(RC_IN[MC],RC_IN[BLOCK],RC_OUT[BLOCK]),"")</f>
        <v>9.535</v>
      </c>
      <c r="J1924" s="264">
        <f t="shared" si="51"/>
        <v>117347.245</v>
      </c>
      <c r="K1924" s="246"/>
      <c r="L1924" s="246"/>
      <c r="M1924" s="249"/>
      <c r="N1924" s="266">
        <f t="shared" si="52"/>
        <v>0</v>
      </c>
      <c r="O1924" s="247"/>
      <c r="P1924" s="247"/>
      <c r="Q1924" s="247"/>
      <c r="R1924" s="247"/>
      <c r="S1924" s="247"/>
      <c r="T1924" s="247"/>
      <c r="U1924" s="247"/>
      <c r="V1924" s="247"/>
      <c r="W1924" s="247"/>
      <c r="X1924" s="247"/>
    </row>
    <row r="1925">
      <c r="A1925" s="294"/>
      <c r="B1925" s="295"/>
      <c r="C1925" s="295"/>
      <c r="D1925" s="296"/>
      <c r="E1925" s="295"/>
      <c r="F1925" s="292"/>
      <c r="G1925" s="293" t="str">
        <f>IFNA(IF(VLOOKUP(RC_OUT[BLOCK],RC_IN[[BLOCK]:[BLOCK LOC]],2,FALSE)=0,"",VLOOKUP(RC_OUT[BLOCK],RC_IN[[BLOCK]:[BLOCK LOC]],2,FALSE)),"")</f>
        <v/>
      </c>
      <c r="I1925" s="263" t="str">
        <f>IFERROR(AVERAGEIFS(RC_IN[MC],RC_IN[BLOCK],RC_OUT[BLOCK]),"")</f>
        <v/>
      </c>
      <c r="J1925" s="264">
        <f t="shared" si="51"/>
        <v>0</v>
      </c>
      <c r="K1925" s="246"/>
      <c r="L1925" s="246"/>
      <c r="M1925" s="249"/>
      <c r="N1925" s="266">
        <f t="shared" si="52"/>
        <v>0</v>
      </c>
      <c r="O1925" s="247"/>
      <c r="P1925" s="247"/>
      <c r="Q1925" s="247"/>
      <c r="R1925" s="247"/>
      <c r="S1925" s="247"/>
      <c r="T1925" s="247"/>
      <c r="U1925" s="247"/>
      <c r="V1925" s="247"/>
      <c r="W1925" s="247"/>
      <c r="X1925" s="247"/>
    </row>
    <row r="1926">
      <c r="A1926" s="294">
        <v>46119.0</v>
      </c>
      <c r="B1926" s="295" t="s">
        <v>1198</v>
      </c>
      <c r="C1926" s="295" t="s">
        <v>207</v>
      </c>
      <c r="D1926" s="296">
        <v>10446.0</v>
      </c>
      <c r="E1926" s="295" t="s">
        <v>1374</v>
      </c>
      <c r="F1926" s="292"/>
      <c r="G1926" s="293" t="str">
        <f>IFNA(IF(VLOOKUP(RC_OUT[BLOCK],RC_IN[[BLOCK]:[BLOCK LOC]],2,FALSE)=0,"",VLOOKUP(RC_OUT[BLOCK],RC_IN[[BLOCK]:[BLOCK LOC]],2,FALSE)),"")</f>
        <v>A-20B</v>
      </c>
      <c r="I1926" s="263">
        <f>IFERROR(AVERAGEIFS(RC_IN[MC],RC_IN[BLOCK],RC_OUT[BLOCK]),"")</f>
        <v>37.135</v>
      </c>
      <c r="J1926" s="264">
        <f t="shared" si="51"/>
        <v>387912.21</v>
      </c>
      <c r="K1926" s="246"/>
      <c r="L1926" s="246"/>
      <c r="M1926" s="249"/>
      <c r="N1926" s="266">
        <f t="shared" si="52"/>
        <v>0</v>
      </c>
      <c r="O1926" s="247"/>
      <c r="P1926" s="247"/>
      <c r="Q1926" s="247"/>
      <c r="R1926" s="247"/>
      <c r="S1926" s="247"/>
      <c r="T1926" s="247"/>
      <c r="U1926" s="247"/>
      <c r="V1926" s="247"/>
      <c r="W1926" s="247"/>
      <c r="X1926" s="247"/>
    </row>
    <row r="1927">
      <c r="A1927" s="294">
        <v>46119.0</v>
      </c>
      <c r="B1927" s="295" t="s">
        <v>1198</v>
      </c>
      <c r="C1927" s="295" t="s">
        <v>556</v>
      </c>
      <c r="D1927" s="296">
        <v>4349.0</v>
      </c>
      <c r="E1927" s="295" t="s">
        <v>1017</v>
      </c>
      <c r="F1927" s="292"/>
      <c r="G1927" s="293" t="str">
        <f>IFNA(IF(VLOOKUP(RC_OUT[BLOCK],RC_IN[[BLOCK]:[BLOCK LOC]],2,FALSE)=0,"",VLOOKUP(RC_OUT[BLOCK],RC_IN[[BLOCK]:[BLOCK LOC]],2,FALSE)),"")</f>
        <v>A-18A</v>
      </c>
      <c r="I1927" s="263">
        <f>IFERROR(AVERAGEIFS(RC_IN[MC],RC_IN[BLOCK],RC_OUT[BLOCK]),"")</f>
        <v>11.8875</v>
      </c>
      <c r="J1927" s="264">
        <f t="shared" si="51"/>
        <v>51698.7375</v>
      </c>
      <c r="K1927" s="246"/>
      <c r="L1927" s="246"/>
      <c r="M1927" s="249"/>
      <c r="N1927" s="266">
        <f t="shared" si="52"/>
        <v>0</v>
      </c>
      <c r="O1927" s="247"/>
      <c r="P1927" s="247"/>
      <c r="Q1927" s="247"/>
      <c r="R1927" s="247"/>
      <c r="S1927" s="247"/>
      <c r="T1927" s="247"/>
      <c r="U1927" s="247"/>
      <c r="V1927" s="247"/>
      <c r="W1927" s="247"/>
      <c r="X1927" s="247"/>
    </row>
    <row r="1928">
      <c r="A1928" s="294">
        <v>46119.0</v>
      </c>
      <c r="B1928" s="295" t="s">
        <v>1198</v>
      </c>
      <c r="C1928" s="295" t="s">
        <v>603</v>
      </c>
      <c r="D1928" s="296">
        <v>4702.0</v>
      </c>
      <c r="E1928" s="295" t="s">
        <v>1017</v>
      </c>
      <c r="F1928" s="292"/>
      <c r="G1928" s="293" t="str">
        <f>IFNA(IF(VLOOKUP(RC_OUT[BLOCK],RC_IN[[BLOCK]:[BLOCK LOC]],2,FALSE)=0,"",VLOOKUP(RC_OUT[BLOCK],RC_IN[[BLOCK]:[BLOCK LOC]],2,FALSE)),"")</f>
        <v>D-12D</v>
      </c>
      <c r="I1928" s="263">
        <f>IFERROR(AVERAGEIFS(RC_IN[MC],RC_IN[BLOCK],RC_OUT[BLOCK]),"")</f>
        <v>11.752</v>
      </c>
      <c r="J1928" s="264">
        <f t="shared" si="51"/>
        <v>55257.904</v>
      </c>
      <c r="K1928" s="246"/>
      <c r="L1928" s="246"/>
      <c r="M1928" s="249"/>
      <c r="N1928" s="266">
        <f t="shared" si="52"/>
        <v>0</v>
      </c>
      <c r="O1928" s="247"/>
      <c r="P1928" s="247"/>
      <c r="Q1928" s="247"/>
      <c r="R1928" s="247"/>
      <c r="S1928" s="247"/>
      <c r="T1928" s="247"/>
      <c r="U1928" s="247"/>
      <c r="V1928" s="247"/>
      <c r="W1928" s="247"/>
      <c r="X1928" s="247"/>
    </row>
    <row r="1929">
      <c r="A1929" s="294">
        <v>46119.0</v>
      </c>
      <c r="B1929" s="295" t="s">
        <v>1198</v>
      </c>
      <c r="C1929" s="295" t="s">
        <v>383</v>
      </c>
      <c r="D1929" s="296">
        <v>7849.0</v>
      </c>
      <c r="E1929" s="295" t="s">
        <v>1017</v>
      </c>
      <c r="F1929" s="297" t="s">
        <v>1059</v>
      </c>
      <c r="G1929" s="293" t="str">
        <f>IFNA(IF(VLOOKUP(RC_OUT[BLOCK],RC_IN[[BLOCK]:[BLOCK LOC]],2,FALSE)=0,"",VLOOKUP(RC_OUT[BLOCK],RC_IN[[BLOCK]:[BLOCK LOC]],2,FALSE)),"")</f>
        <v>C-20B</v>
      </c>
      <c r="I1929" s="263">
        <f>IFERROR(AVERAGEIFS(RC_IN[MC],RC_IN[BLOCK],RC_OUT[BLOCK]),"")</f>
        <v>10.604</v>
      </c>
      <c r="J1929" s="264">
        <f t="shared" si="51"/>
        <v>83230.796</v>
      </c>
      <c r="K1929" s="246"/>
      <c r="L1929" s="246"/>
      <c r="M1929" s="249"/>
      <c r="N1929" s="266">
        <f t="shared" si="52"/>
        <v>0</v>
      </c>
      <c r="O1929" s="247"/>
      <c r="P1929" s="247"/>
      <c r="Q1929" s="247"/>
      <c r="R1929" s="247"/>
      <c r="S1929" s="247"/>
      <c r="T1929" s="247"/>
      <c r="U1929" s="247"/>
      <c r="V1929" s="247"/>
      <c r="W1929" s="247"/>
      <c r="X1929" s="247"/>
    </row>
    <row r="1930">
      <c r="A1930" s="294">
        <v>46119.0</v>
      </c>
      <c r="B1930" s="295" t="s">
        <v>1198</v>
      </c>
      <c r="C1930" s="295" t="s">
        <v>398</v>
      </c>
      <c r="D1930" s="296">
        <v>3641.0</v>
      </c>
      <c r="E1930" s="295" t="s">
        <v>1017</v>
      </c>
      <c r="F1930" s="292"/>
      <c r="G1930" s="293" t="str">
        <f>IFNA(IF(VLOOKUP(RC_OUT[BLOCK],RC_IN[[BLOCK]:[BLOCK LOC]],2,FALSE)=0,"",VLOOKUP(RC_OUT[BLOCK],RC_IN[[BLOCK]:[BLOCK LOC]],2,FALSE)),"")</f>
        <v>C-20A</v>
      </c>
      <c r="I1930" s="263">
        <f>IFERROR(AVERAGEIFS(RC_IN[MC],RC_IN[BLOCK],RC_OUT[BLOCK]),"")</f>
        <v>10.87142857</v>
      </c>
      <c r="J1930" s="264">
        <f t="shared" si="51"/>
        <v>39582.87143</v>
      </c>
      <c r="K1930" s="246"/>
      <c r="L1930" s="246"/>
      <c r="M1930" s="249"/>
      <c r="N1930" s="266">
        <f t="shared" si="52"/>
        <v>0</v>
      </c>
      <c r="O1930" s="247"/>
      <c r="P1930" s="247"/>
      <c r="Q1930" s="247"/>
      <c r="R1930" s="247"/>
      <c r="S1930" s="247"/>
      <c r="T1930" s="247"/>
      <c r="U1930" s="247"/>
      <c r="V1930" s="247"/>
      <c r="W1930" s="247"/>
      <c r="X1930" s="247"/>
    </row>
    <row r="1931">
      <c r="A1931" s="294">
        <v>46119.0</v>
      </c>
      <c r="B1931" s="295" t="s">
        <v>1198</v>
      </c>
      <c r="C1931" s="295" t="s">
        <v>889</v>
      </c>
      <c r="D1931" s="296">
        <v>7792.0</v>
      </c>
      <c r="E1931" s="295" t="s">
        <v>1017</v>
      </c>
      <c r="F1931" s="297" t="s">
        <v>1059</v>
      </c>
      <c r="G1931" s="293" t="str">
        <f>IFNA(IF(VLOOKUP(RC_OUT[BLOCK],RC_IN[[BLOCK]:[BLOCK LOC]],2,FALSE)=0,"",VLOOKUP(RC_OUT[BLOCK],RC_IN[[BLOCK]:[BLOCK LOC]],2,FALSE)),"")</f>
        <v>PCB-15B</v>
      </c>
      <c r="I1931" s="263">
        <f>IFERROR(AVERAGEIFS(RC_IN[MC],RC_IN[BLOCK],RC_OUT[BLOCK]),"")</f>
        <v>9.27</v>
      </c>
      <c r="J1931" s="264">
        <f t="shared" si="51"/>
        <v>72231.84</v>
      </c>
      <c r="K1931" s="246"/>
      <c r="L1931" s="246"/>
      <c r="M1931" s="249"/>
      <c r="N1931" s="266">
        <f t="shared" si="52"/>
        <v>0</v>
      </c>
      <c r="O1931" s="247"/>
      <c r="P1931" s="247"/>
      <c r="Q1931" s="247"/>
      <c r="R1931" s="247"/>
      <c r="S1931" s="247"/>
      <c r="T1931" s="247"/>
      <c r="U1931" s="247"/>
      <c r="V1931" s="247"/>
      <c r="W1931" s="247"/>
      <c r="X1931" s="247"/>
    </row>
    <row r="1932">
      <c r="A1932" s="294">
        <v>46119.0</v>
      </c>
      <c r="B1932" s="295" t="s">
        <v>1198</v>
      </c>
      <c r="C1932" s="295" t="s">
        <v>911</v>
      </c>
      <c r="D1932" s="296">
        <v>1765.0</v>
      </c>
      <c r="E1932" s="295" t="s">
        <v>1017</v>
      </c>
      <c r="F1932" s="292"/>
      <c r="G1932" s="293" t="str">
        <f>IFNA(IF(VLOOKUP(RC_OUT[BLOCK],RC_IN[[BLOCK]:[BLOCK LOC]],2,FALSE)=0,"",VLOOKUP(RC_OUT[BLOCK],RC_IN[[BLOCK]:[BLOCK LOC]],2,FALSE)),"")</f>
        <v/>
      </c>
      <c r="I1932" s="263">
        <f>IFERROR(AVERAGEIFS(RC_IN[MC],RC_IN[BLOCK],RC_OUT[BLOCK]),"")</f>
        <v>10.74</v>
      </c>
      <c r="J1932" s="264">
        <f t="shared" si="51"/>
        <v>18956.1</v>
      </c>
      <c r="K1932" s="246"/>
      <c r="L1932" s="246"/>
      <c r="M1932" s="249"/>
      <c r="N1932" s="266">
        <f t="shared" si="52"/>
        <v>0</v>
      </c>
      <c r="O1932" s="247"/>
      <c r="P1932" s="247"/>
      <c r="Q1932" s="247"/>
      <c r="R1932" s="247"/>
      <c r="S1932" s="247"/>
      <c r="T1932" s="247"/>
      <c r="U1932" s="247"/>
      <c r="V1932" s="247"/>
      <c r="W1932" s="247"/>
      <c r="X1932" s="247"/>
    </row>
    <row r="1933">
      <c r="A1933" s="294"/>
      <c r="B1933" s="295"/>
      <c r="C1933" s="295"/>
      <c r="D1933" s="296"/>
      <c r="E1933" s="295"/>
      <c r="F1933" s="292"/>
      <c r="G1933" s="293" t="str">
        <f>IFNA(IF(VLOOKUP(RC_OUT[BLOCK],RC_IN[[BLOCK]:[BLOCK LOC]],2,FALSE)=0,"",VLOOKUP(RC_OUT[BLOCK],RC_IN[[BLOCK]:[BLOCK LOC]],2,FALSE)),"")</f>
        <v/>
      </c>
      <c r="I1933" s="263" t="str">
        <f>IFERROR(AVERAGEIFS(RC_IN[MC],RC_IN[BLOCK],RC_OUT[BLOCK]),"")</f>
        <v/>
      </c>
      <c r="J1933" s="264">
        <f t="shared" si="51"/>
        <v>0</v>
      </c>
      <c r="K1933" s="246"/>
      <c r="L1933" s="246"/>
      <c r="M1933" s="249"/>
      <c r="N1933" s="266">
        <f t="shared" si="52"/>
        <v>0</v>
      </c>
      <c r="O1933" s="247"/>
      <c r="P1933" s="247"/>
      <c r="Q1933" s="247"/>
      <c r="R1933" s="247"/>
      <c r="S1933" s="247"/>
      <c r="T1933" s="247"/>
      <c r="U1933" s="247"/>
      <c r="V1933" s="247"/>
      <c r="W1933" s="247"/>
      <c r="X1933" s="247"/>
    </row>
    <row r="1934">
      <c r="A1934" s="294">
        <v>46120.0</v>
      </c>
      <c r="B1934" s="295" t="s">
        <v>1198</v>
      </c>
      <c r="C1934" s="295" t="s">
        <v>207</v>
      </c>
      <c r="D1934" s="296">
        <v>9639.0</v>
      </c>
      <c r="E1934" s="295" t="s">
        <v>1374</v>
      </c>
      <c r="F1934" s="292"/>
      <c r="G1934" s="293" t="str">
        <f>IFNA(IF(VLOOKUP(RC_OUT[BLOCK],RC_IN[[BLOCK]:[BLOCK LOC]],2,FALSE)=0,"",VLOOKUP(RC_OUT[BLOCK],RC_IN[[BLOCK]:[BLOCK LOC]],2,FALSE)),"")</f>
        <v>A-20B</v>
      </c>
      <c r="I1934" s="263">
        <f>IFERROR(AVERAGEIFS(RC_IN[MC],RC_IN[BLOCK],RC_OUT[BLOCK]),"")</f>
        <v>37.135</v>
      </c>
      <c r="J1934" s="264">
        <f t="shared" si="51"/>
        <v>357944.265</v>
      </c>
      <c r="K1934" s="246"/>
      <c r="L1934" s="246"/>
      <c r="M1934" s="249"/>
      <c r="N1934" s="266">
        <f t="shared" si="52"/>
        <v>0</v>
      </c>
      <c r="O1934" s="247"/>
      <c r="P1934" s="247"/>
      <c r="Q1934" s="247"/>
      <c r="R1934" s="247"/>
      <c r="S1934" s="247"/>
      <c r="T1934" s="247"/>
      <c r="U1934" s="247"/>
      <c r="V1934" s="247"/>
      <c r="W1934" s="247"/>
      <c r="X1934" s="247"/>
    </row>
    <row r="1935">
      <c r="A1935" s="294">
        <v>46120.0</v>
      </c>
      <c r="B1935" s="295" t="s">
        <v>1198</v>
      </c>
      <c r="C1935" s="295" t="s">
        <v>556</v>
      </c>
      <c r="D1935" s="296">
        <v>3006.0</v>
      </c>
      <c r="E1935" s="295" t="s">
        <v>1017</v>
      </c>
      <c r="F1935" s="297" t="s">
        <v>1059</v>
      </c>
      <c r="G1935" s="293" t="str">
        <f>IFNA(IF(VLOOKUP(RC_OUT[BLOCK],RC_IN[[BLOCK]:[BLOCK LOC]],2,FALSE)=0,"",VLOOKUP(RC_OUT[BLOCK],RC_IN[[BLOCK]:[BLOCK LOC]],2,FALSE)),"")</f>
        <v>A-18A</v>
      </c>
      <c r="I1935" s="263">
        <f>IFERROR(AVERAGEIFS(RC_IN[MC],RC_IN[BLOCK],RC_OUT[BLOCK]),"")</f>
        <v>11.8875</v>
      </c>
      <c r="J1935" s="264">
        <f t="shared" si="51"/>
        <v>35733.825</v>
      </c>
      <c r="K1935" s="246"/>
      <c r="L1935" s="246"/>
      <c r="M1935" s="249"/>
      <c r="N1935" s="266">
        <f t="shared" si="52"/>
        <v>0</v>
      </c>
      <c r="O1935" s="247"/>
      <c r="P1935" s="247"/>
      <c r="Q1935" s="247"/>
      <c r="R1935" s="247"/>
      <c r="S1935" s="247"/>
      <c r="T1935" s="247"/>
      <c r="U1935" s="247"/>
      <c r="V1935" s="247"/>
      <c r="W1935" s="247"/>
      <c r="X1935" s="247"/>
    </row>
    <row r="1936">
      <c r="A1936" s="294">
        <v>46120.0</v>
      </c>
      <c r="B1936" s="295" t="s">
        <v>1198</v>
      </c>
      <c r="C1936" s="295" t="s">
        <v>603</v>
      </c>
      <c r="D1936" s="296">
        <v>2510.0</v>
      </c>
      <c r="E1936" s="295" t="s">
        <v>1017</v>
      </c>
      <c r="F1936" s="292"/>
      <c r="G1936" s="293" t="str">
        <f>IFNA(IF(VLOOKUP(RC_OUT[BLOCK],RC_IN[[BLOCK]:[BLOCK LOC]],2,FALSE)=0,"",VLOOKUP(RC_OUT[BLOCK],RC_IN[[BLOCK]:[BLOCK LOC]],2,FALSE)),"")</f>
        <v>D-12D</v>
      </c>
      <c r="I1936" s="263">
        <f>IFERROR(AVERAGEIFS(RC_IN[MC],RC_IN[BLOCK],RC_OUT[BLOCK]),"")</f>
        <v>11.752</v>
      </c>
      <c r="J1936" s="264">
        <f t="shared" si="51"/>
        <v>29497.52</v>
      </c>
      <c r="K1936" s="246"/>
      <c r="L1936" s="246"/>
      <c r="M1936" s="249"/>
      <c r="N1936" s="266">
        <f t="shared" si="52"/>
        <v>0</v>
      </c>
      <c r="O1936" s="247"/>
      <c r="P1936" s="247"/>
      <c r="Q1936" s="247"/>
      <c r="R1936" s="247"/>
      <c r="S1936" s="247"/>
      <c r="T1936" s="247"/>
      <c r="U1936" s="247"/>
      <c r="V1936" s="247"/>
      <c r="W1936" s="247"/>
      <c r="X1936" s="247"/>
    </row>
    <row r="1937">
      <c r="A1937" s="294">
        <v>46120.0</v>
      </c>
      <c r="B1937" s="295" t="s">
        <v>1198</v>
      </c>
      <c r="C1937" s="295" t="s">
        <v>398</v>
      </c>
      <c r="D1937" s="296">
        <v>6148.0</v>
      </c>
      <c r="E1937" s="295" t="s">
        <v>1017</v>
      </c>
      <c r="F1937" s="292"/>
      <c r="G1937" s="293" t="str">
        <f>IFNA(IF(VLOOKUP(RC_OUT[BLOCK],RC_IN[[BLOCK]:[BLOCK LOC]],2,FALSE)=0,"",VLOOKUP(RC_OUT[BLOCK],RC_IN[[BLOCK]:[BLOCK LOC]],2,FALSE)),"")</f>
        <v>C-20A</v>
      </c>
      <c r="I1937" s="263">
        <f>IFERROR(AVERAGEIFS(RC_IN[MC],RC_IN[BLOCK],RC_OUT[BLOCK]),"")</f>
        <v>10.87142857</v>
      </c>
      <c r="J1937" s="264">
        <f t="shared" si="51"/>
        <v>66837.54286</v>
      </c>
      <c r="K1937" s="246"/>
      <c r="L1937" s="246"/>
      <c r="M1937" s="249"/>
      <c r="N1937" s="266">
        <f t="shared" si="52"/>
        <v>0</v>
      </c>
      <c r="O1937" s="247"/>
      <c r="P1937" s="247"/>
      <c r="Q1937" s="247"/>
      <c r="R1937" s="247"/>
      <c r="S1937" s="247"/>
      <c r="T1937" s="247"/>
      <c r="U1937" s="247"/>
      <c r="V1937" s="247"/>
      <c r="W1937" s="247"/>
      <c r="X1937" s="247"/>
    </row>
    <row r="1938">
      <c r="A1938" s="294">
        <v>46120.0</v>
      </c>
      <c r="B1938" s="295" t="s">
        <v>1198</v>
      </c>
      <c r="C1938" s="295" t="s">
        <v>911</v>
      </c>
      <c r="D1938" s="296">
        <v>3000.0</v>
      </c>
      <c r="E1938" s="295" t="s">
        <v>1017</v>
      </c>
      <c r="F1938" s="292"/>
      <c r="G1938" s="293" t="str">
        <f>IFNA(IF(VLOOKUP(RC_OUT[BLOCK],RC_IN[[BLOCK]:[BLOCK LOC]],2,FALSE)=0,"",VLOOKUP(RC_OUT[BLOCK],RC_IN[[BLOCK]:[BLOCK LOC]],2,FALSE)),"")</f>
        <v/>
      </c>
      <c r="I1938" s="263">
        <f>IFERROR(AVERAGEIFS(RC_IN[MC],RC_IN[BLOCK],RC_OUT[BLOCK]),"")</f>
        <v>10.74</v>
      </c>
      <c r="J1938" s="264">
        <f t="shared" si="51"/>
        <v>32220</v>
      </c>
      <c r="K1938" s="246"/>
      <c r="L1938" s="246"/>
      <c r="M1938" s="249"/>
      <c r="N1938" s="266">
        <f t="shared" si="52"/>
        <v>0</v>
      </c>
      <c r="O1938" s="247"/>
      <c r="P1938" s="247"/>
      <c r="Q1938" s="247"/>
      <c r="R1938" s="247"/>
      <c r="S1938" s="247"/>
      <c r="T1938" s="247"/>
      <c r="U1938" s="247"/>
      <c r="V1938" s="247"/>
      <c r="W1938" s="247"/>
      <c r="X1938" s="247"/>
    </row>
    <row r="1939">
      <c r="A1939" s="294">
        <v>46120.0</v>
      </c>
      <c r="B1939" s="295" t="s">
        <v>1198</v>
      </c>
      <c r="C1939" s="295" t="s">
        <v>895</v>
      </c>
      <c r="D1939" s="296">
        <v>7442.0</v>
      </c>
      <c r="E1939" s="295" t="s">
        <v>1017</v>
      </c>
      <c r="F1939" s="292"/>
      <c r="G1939" s="293" t="str">
        <f>IFNA(IF(VLOOKUP(RC_OUT[BLOCK],RC_IN[[BLOCK]:[BLOCK LOC]],2,FALSE)=0,"",VLOOKUP(RC_OUT[BLOCK],RC_IN[[BLOCK]:[BLOCK LOC]],2,FALSE)),"")</f>
        <v>PCB-16B</v>
      </c>
      <c r="I1939" s="263">
        <f>IFERROR(AVERAGEIFS(RC_IN[MC],RC_IN[BLOCK],RC_OUT[BLOCK]),"")</f>
        <v>8.69</v>
      </c>
      <c r="J1939" s="264">
        <f t="shared" si="51"/>
        <v>64670.98</v>
      </c>
      <c r="K1939" s="246"/>
      <c r="L1939" s="246"/>
      <c r="M1939" s="249"/>
      <c r="N1939" s="266">
        <f t="shared" si="52"/>
        <v>0</v>
      </c>
      <c r="O1939" s="247"/>
      <c r="P1939" s="247"/>
      <c r="Q1939" s="247"/>
      <c r="R1939" s="247"/>
      <c r="S1939" s="247"/>
      <c r="T1939" s="247"/>
      <c r="U1939" s="247"/>
      <c r="V1939" s="247"/>
      <c r="W1939" s="247"/>
      <c r="X1939" s="247"/>
    </row>
    <row r="1940">
      <c r="A1940" s="294"/>
      <c r="B1940" s="295"/>
      <c r="C1940" s="295"/>
      <c r="D1940" s="296"/>
      <c r="E1940" s="295"/>
      <c r="F1940" s="292"/>
      <c r="G1940" s="293" t="str">
        <f>IFNA(IF(VLOOKUP(RC_OUT[BLOCK],RC_IN[[BLOCK]:[BLOCK LOC]],2,FALSE)=0,"",VLOOKUP(RC_OUT[BLOCK],RC_IN[[BLOCK]:[BLOCK LOC]],2,FALSE)),"")</f>
        <v/>
      </c>
      <c r="I1940" s="263" t="str">
        <f>IFERROR(AVERAGEIFS(RC_IN[MC],RC_IN[BLOCK],RC_OUT[BLOCK]),"")</f>
        <v/>
      </c>
      <c r="J1940" s="264">
        <f t="shared" si="51"/>
        <v>0</v>
      </c>
      <c r="K1940" s="246"/>
      <c r="L1940" s="246"/>
      <c r="M1940" s="249"/>
      <c r="N1940" s="266">
        <f t="shared" si="52"/>
        <v>0</v>
      </c>
      <c r="O1940" s="247"/>
      <c r="P1940" s="247"/>
      <c r="Q1940" s="247"/>
      <c r="R1940" s="247"/>
      <c r="S1940" s="247"/>
      <c r="T1940" s="247"/>
      <c r="U1940" s="247"/>
      <c r="V1940" s="247"/>
      <c r="W1940" s="247"/>
      <c r="X1940" s="247"/>
    </row>
    <row r="1941">
      <c r="A1941" s="294">
        <v>46121.0</v>
      </c>
      <c r="B1941" s="295" t="s">
        <v>1198</v>
      </c>
      <c r="C1941" s="295" t="s">
        <v>207</v>
      </c>
      <c r="D1941" s="296">
        <v>9767.0</v>
      </c>
      <c r="E1941" s="295" t="s">
        <v>1374</v>
      </c>
      <c r="F1941" s="292"/>
      <c r="G1941" s="293" t="str">
        <f>IFNA(IF(VLOOKUP(RC_OUT[BLOCK],RC_IN[[BLOCK]:[BLOCK LOC]],2,FALSE)=0,"",VLOOKUP(RC_OUT[BLOCK],RC_IN[[BLOCK]:[BLOCK LOC]],2,FALSE)),"")</f>
        <v>A-20B</v>
      </c>
      <c r="I1941" s="263">
        <f>IFERROR(AVERAGEIFS(RC_IN[MC],RC_IN[BLOCK],RC_OUT[BLOCK]),"")</f>
        <v>37.135</v>
      </c>
      <c r="J1941" s="264">
        <f t="shared" si="51"/>
        <v>362697.545</v>
      </c>
      <c r="K1941" s="246"/>
      <c r="L1941" s="246"/>
      <c r="M1941" s="249"/>
      <c r="N1941" s="266">
        <f t="shared" si="52"/>
        <v>0</v>
      </c>
      <c r="O1941" s="247"/>
      <c r="P1941" s="247"/>
      <c r="Q1941" s="247"/>
      <c r="R1941" s="247"/>
      <c r="S1941" s="247"/>
      <c r="T1941" s="247"/>
      <c r="U1941" s="247"/>
      <c r="V1941" s="247"/>
      <c r="W1941" s="247"/>
      <c r="X1941" s="247"/>
    </row>
    <row r="1942">
      <c r="A1942" s="294">
        <v>46121.0</v>
      </c>
      <c r="B1942" s="295" t="s">
        <v>1198</v>
      </c>
      <c r="C1942" s="295" t="s">
        <v>603</v>
      </c>
      <c r="D1942" s="296">
        <v>4343.0</v>
      </c>
      <c r="E1942" s="295" t="s">
        <v>1017</v>
      </c>
      <c r="F1942" s="292"/>
      <c r="G1942" s="293" t="str">
        <f>IFNA(IF(VLOOKUP(RC_OUT[BLOCK],RC_IN[[BLOCK]:[BLOCK LOC]],2,FALSE)=0,"",VLOOKUP(RC_OUT[BLOCK],RC_IN[[BLOCK]:[BLOCK LOC]],2,FALSE)),"")</f>
        <v>D-12D</v>
      </c>
      <c r="I1942" s="263">
        <f>IFERROR(AVERAGEIFS(RC_IN[MC],RC_IN[BLOCK],RC_OUT[BLOCK]),"")</f>
        <v>11.752</v>
      </c>
      <c r="J1942" s="264">
        <f t="shared" si="51"/>
        <v>51038.936</v>
      </c>
      <c r="K1942" s="246"/>
      <c r="L1942" s="246"/>
      <c r="M1942" s="249"/>
      <c r="N1942" s="266">
        <f t="shared" si="52"/>
        <v>0</v>
      </c>
      <c r="O1942" s="247"/>
      <c r="P1942" s="247"/>
      <c r="Q1942" s="247"/>
      <c r="R1942" s="247"/>
      <c r="S1942" s="247"/>
      <c r="T1942" s="247"/>
      <c r="U1942" s="247"/>
      <c r="V1942" s="247"/>
      <c r="W1942" s="247"/>
      <c r="X1942" s="247"/>
    </row>
    <row r="1943">
      <c r="A1943" s="294">
        <v>46121.0</v>
      </c>
      <c r="B1943" s="295" t="s">
        <v>1198</v>
      </c>
      <c r="C1943" s="295" t="s">
        <v>398</v>
      </c>
      <c r="D1943" s="296">
        <v>9078.0</v>
      </c>
      <c r="E1943" s="295" t="s">
        <v>1017</v>
      </c>
      <c r="F1943" s="292"/>
      <c r="G1943" s="293" t="str">
        <f>IFNA(IF(VLOOKUP(RC_OUT[BLOCK],RC_IN[[BLOCK]:[BLOCK LOC]],2,FALSE)=0,"",VLOOKUP(RC_OUT[BLOCK],RC_IN[[BLOCK]:[BLOCK LOC]],2,FALSE)),"")</f>
        <v>C-20A</v>
      </c>
      <c r="I1943" s="263">
        <f>IFERROR(AVERAGEIFS(RC_IN[MC],RC_IN[BLOCK],RC_OUT[BLOCK]),"")</f>
        <v>10.87142857</v>
      </c>
      <c r="J1943" s="264">
        <f t="shared" si="51"/>
        <v>98690.82857</v>
      </c>
      <c r="K1943" s="246"/>
      <c r="L1943" s="246"/>
      <c r="M1943" s="249"/>
      <c r="N1943" s="266">
        <f t="shared" si="52"/>
        <v>0</v>
      </c>
      <c r="O1943" s="247"/>
      <c r="P1943" s="247"/>
      <c r="Q1943" s="247"/>
      <c r="R1943" s="247"/>
      <c r="S1943" s="247"/>
      <c r="T1943" s="247"/>
      <c r="U1943" s="247"/>
      <c r="V1943" s="247"/>
      <c r="W1943" s="247"/>
      <c r="X1943" s="247"/>
    </row>
    <row r="1944">
      <c r="A1944" s="294">
        <v>46121.0</v>
      </c>
      <c r="B1944" s="295" t="s">
        <v>1198</v>
      </c>
      <c r="C1944" s="295" t="s">
        <v>911</v>
      </c>
      <c r="D1944" s="296">
        <v>3000.0</v>
      </c>
      <c r="E1944" s="295" t="s">
        <v>1017</v>
      </c>
      <c r="F1944" s="292"/>
      <c r="G1944" s="293" t="str">
        <f>IFNA(IF(VLOOKUP(RC_OUT[BLOCK],RC_IN[[BLOCK]:[BLOCK LOC]],2,FALSE)=0,"",VLOOKUP(RC_OUT[BLOCK],RC_IN[[BLOCK]:[BLOCK LOC]],2,FALSE)),"")</f>
        <v/>
      </c>
      <c r="I1944" s="263">
        <f>IFERROR(AVERAGEIFS(RC_IN[MC],RC_IN[BLOCK],RC_OUT[BLOCK]),"")</f>
        <v>10.74</v>
      </c>
      <c r="J1944" s="264">
        <f t="shared" si="51"/>
        <v>32220</v>
      </c>
      <c r="K1944" s="246"/>
      <c r="L1944" s="246"/>
      <c r="M1944" s="249"/>
      <c r="N1944" s="266">
        <f t="shared" si="52"/>
        <v>0</v>
      </c>
      <c r="O1944" s="247"/>
      <c r="P1944" s="247"/>
      <c r="Q1944" s="247"/>
      <c r="R1944" s="247"/>
      <c r="S1944" s="247"/>
      <c r="T1944" s="247"/>
      <c r="U1944" s="247"/>
      <c r="V1944" s="247"/>
      <c r="W1944" s="247"/>
      <c r="X1944" s="247"/>
    </row>
    <row r="1945">
      <c r="A1945" s="294">
        <v>46121.0</v>
      </c>
      <c r="B1945" s="295" t="s">
        <v>1198</v>
      </c>
      <c r="C1945" s="295" t="s">
        <v>895</v>
      </c>
      <c r="D1945" s="296">
        <v>7438.0</v>
      </c>
      <c r="E1945" s="295" t="s">
        <v>1017</v>
      </c>
      <c r="F1945" s="292"/>
      <c r="G1945" s="293" t="str">
        <f>IFNA(IF(VLOOKUP(RC_OUT[BLOCK],RC_IN[[BLOCK]:[BLOCK LOC]],2,FALSE)=0,"",VLOOKUP(RC_OUT[BLOCK],RC_IN[[BLOCK]:[BLOCK LOC]],2,FALSE)),"")</f>
        <v>PCB-16B</v>
      </c>
      <c r="I1945" s="263">
        <f>IFERROR(AVERAGEIFS(RC_IN[MC],RC_IN[BLOCK],RC_OUT[BLOCK]),"")</f>
        <v>8.69</v>
      </c>
      <c r="J1945" s="264">
        <f t="shared" si="51"/>
        <v>64636.22</v>
      </c>
      <c r="K1945" s="246"/>
      <c r="L1945" s="246"/>
      <c r="M1945" s="249"/>
      <c r="N1945" s="266">
        <f t="shared" si="52"/>
        <v>0</v>
      </c>
      <c r="O1945" s="247"/>
      <c r="P1945" s="247"/>
      <c r="Q1945" s="247"/>
      <c r="R1945" s="247"/>
      <c r="S1945" s="247"/>
      <c r="T1945" s="247"/>
      <c r="U1945" s="247"/>
      <c r="V1945" s="247"/>
      <c r="W1945" s="247"/>
      <c r="X1945" s="247"/>
    </row>
    <row r="1946">
      <c r="A1946" s="294"/>
      <c r="B1946" s="295"/>
      <c r="C1946" s="295"/>
      <c r="D1946" s="296"/>
      <c r="E1946" s="295"/>
      <c r="F1946" s="292"/>
      <c r="G1946" s="293" t="str">
        <f>IFNA(IF(VLOOKUP(RC_OUT[BLOCK],RC_IN[[BLOCK]:[BLOCK LOC]],2,FALSE)=0,"",VLOOKUP(RC_OUT[BLOCK],RC_IN[[BLOCK]:[BLOCK LOC]],2,FALSE)),"")</f>
        <v/>
      </c>
      <c r="I1946" s="263" t="str">
        <f>IFERROR(AVERAGEIFS(RC_IN[MC],RC_IN[BLOCK],RC_OUT[BLOCK]),"")</f>
        <v/>
      </c>
      <c r="J1946" s="264">
        <f t="shared" si="51"/>
        <v>0</v>
      </c>
      <c r="K1946" s="246"/>
      <c r="L1946" s="246"/>
      <c r="M1946" s="249"/>
      <c r="N1946" s="266">
        <f t="shared" si="52"/>
        <v>0</v>
      </c>
      <c r="O1946" s="247"/>
      <c r="P1946" s="247"/>
      <c r="Q1946" s="247"/>
      <c r="R1946" s="247"/>
      <c r="S1946" s="247"/>
      <c r="T1946" s="247"/>
      <c r="U1946" s="247"/>
      <c r="V1946" s="247"/>
      <c r="W1946" s="247"/>
      <c r="X1946" s="247"/>
    </row>
    <row r="1947">
      <c r="A1947" s="294">
        <v>46122.0</v>
      </c>
      <c r="B1947" s="295" t="s">
        <v>1198</v>
      </c>
      <c r="C1947" s="295" t="s">
        <v>207</v>
      </c>
      <c r="D1947" s="296">
        <v>6316.0</v>
      </c>
      <c r="E1947" s="295" t="s">
        <v>1374</v>
      </c>
      <c r="F1947" s="292"/>
      <c r="G1947" s="293" t="str">
        <f>IFNA(IF(VLOOKUP(RC_OUT[BLOCK],RC_IN[[BLOCK]:[BLOCK LOC]],2,FALSE)=0,"",VLOOKUP(RC_OUT[BLOCK],RC_IN[[BLOCK]:[BLOCK LOC]],2,FALSE)),"")</f>
        <v>A-20B</v>
      </c>
      <c r="I1947" s="263">
        <f>IFERROR(AVERAGEIFS(RC_IN[MC],RC_IN[BLOCK],RC_OUT[BLOCK]),"")</f>
        <v>37.135</v>
      </c>
      <c r="J1947" s="264">
        <f t="shared" si="51"/>
        <v>234544.66</v>
      </c>
      <c r="K1947" s="246"/>
      <c r="L1947" s="246"/>
      <c r="M1947" s="249"/>
      <c r="N1947" s="266">
        <f t="shared" si="52"/>
        <v>0</v>
      </c>
      <c r="O1947" s="247"/>
      <c r="P1947" s="247"/>
      <c r="Q1947" s="247"/>
      <c r="R1947" s="247"/>
      <c r="S1947" s="247"/>
      <c r="T1947" s="247"/>
      <c r="U1947" s="247"/>
      <c r="V1947" s="247"/>
      <c r="W1947" s="247"/>
      <c r="X1947" s="247"/>
    </row>
    <row r="1948">
      <c r="A1948" s="294">
        <v>46122.0</v>
      </c>
      <c r="B1948" s="295" t="s">
        <v>1198</v>
      </c>
      <c r="C1948" s="295" t="s">
        <v>207</v>
      </c>
      <c r="D1948" s="296">
        <v>784.0</v>
      </c>
      <c r="E1948" s="295" t="s">
        <v>1374</v>
      </c>
      <c r="F1948" s="297" t="s">
        <v>1059</v>
      </c>
      <c r="G1948" s="293" t="str">
        <f>IFNA(IF(VLOOKUP(RC_OUT[BLOCK],RC_IN[[BLOCK]:[BLOCK LOC]],2,FALSE)=0,"",VLOOKUP(RC_OUT[BLOCK],RC_IN[[BLOCK]:[BLOCK LOC]],2,FALSE)),"")</f>
        <v>A-20B</v>
      </c>
      <c r="I1948" s="263">
        <f>IFERROR(AVERAGEIFS(RC_IN[MC],RC_IN[BLOCK],RC_OUT[BLOCK]),"")</f>
        <v>37.135</v>
      </c>
      <c r="J1948" s="264">
        <f t="shared" si="51"/>
        <v>29113.84</v>
      </c>
      <c r="K1948" s="246"/>
      <c r="L1948" s="246"/>
      <c r="M1948" s="249"/>
      <c r="N1948" s="266">
        <f t="shared" si="52"/>
        <v>0</v>
      </c>
      <c r="O1948" s="247"/>
      <c r="P1948" s="247"/>
      <c r="Q1948" s="247"/>
      <c r="R1948" s="247"/>
      <c r="S1948" s="247"/>
      <c r="T1948" s="247"/>
      <c r="U1948" s="247"/>
      <c r="V1948" s="247"/>
      <c r="W1948" s="247"/>
      <c r="X1948" s="247"/>
    </row>
    <row r="1949">
      <c r="A1949" s="294">
        <v>46122.0</v>
      </c>
      <c r="B1949" s="295" t="s">
        <v>1198</v>
      </c>
      <c r="C1949" s="295" t="s">
        <v>603</v>
      </c>
      <c r="D1949" s="296">
        <v>2502.0</v>
      </c>
      <c r="E1949" s="295" t="s">
        <v>1017</v>
      </c>
      <c r="F1949" s="292"/>
      <c r="G1949" s="293" t="str">
        <f>IFNA(IF(VLOOKUP(RC_OUT[BLOCK],RC_IN[[BLOCK]:[BLOCK LOC]],2,FALSE)=0,"",VLOOKUP(RC_OUT[BLOCK],RC_IN[[BLOCK]:[BLOCK LOC]],2,FALSE)),"")</f>
        <v>D-12D</v>
      </c>
      <c r="I1949" s="263">
        <f>IFERROR(AVERAGEIFS(RC_IN[MC],RC_IN[BLOCK],RC_OUT[BLOCK]),"")</f>
        <v>11.752</v>
      </c>
      <c r="J1949" s="264">
        <f t="shared" si="51"/>
        <v>29403.504</v>
      </c>
      <c r="K1949" s="246"/>
      <c r="L1949" s="246"/>
      <c r="M1949" s="249"/>
      <c r="N1949" s="266">
        <f t="shared" si="52"/>
        <v>0</v>
      </c>
      <c r="O1949" s="247"/>
      <c r="P1949" s="247"/>
      <c r="Q1949" s="247"/>
      <c r="R1949" s="247"/>
      <c r="S1949" s="247"/>
      <c r="T1949" s="247"/>
      <c r="U1949" s="247"/>
      <c r="V1949" s="247"/>
      <c r="W1949" s="247"/>
      <c r="X1949" s="247"/>
    </row>
    <row r="1950">
      <c r="A1950" s="294">
        <v>46122.0</v>
      </c>
      <c r="B1950" s="295" t="s">
        <v>1198</v>
      </c>
      <c r="C1950" s="295" t="s">
        <v>398</v>
      </c>
      <c r="D1950" s="296">
        <v>4079.0</v>
      </c>
      <c r="E1950" s="295" t="s">
        <v>1017</v>
      </c>
      <c r="F1950" s="292"/>
      <c r="G1950" s="293" t="str">
        <f>IFNA(IF(VLOOKUP(RC_OUT[BLOCK],RC_IN[[BLOCK]:[BLOCK LOC]],2,FALSE)=0,"",VLOOKUP(RC_OUT[BLOCK],RC_IN[[BLOCK]:[BLOCK LOC]],2,FALSE)),"")</f>
        <v>C-20A</v>
      </c>
      <c r="I1950" s="263">
        <f>IFERROR(AVERAGEIFS(RC_IN[MC],RC_IN[BLOCK],RC_OUT[BLOCK]),"")</f>
        <v>10.87142857</v>
      </c>
      <c r="J1950" s="264">
        <f t="shared" si="51"/>
        <v>44344.55714</v>
      </c>
      <c r="K1950" s="246"/>
      <c r="L1950" s="246"/>
      <c r="M1950" s="249"/>
      <c r="N1950" s="266">
        <f t="shared" si="52"/>
        <v>0</v>
      </c>
      <c r="O1950" s="247"/>
      <c r="P1950" s="247"/>
      <c r="Q1950" s="247"/>
      <c r="R1950" s="247"/>
      <c r="S1950" s="247"/>
      <c r="T1950" s="247"/>
      <c r="U1950" s="247"/>
      <c r="V1950" s="247"/>
      <c r="W1950" s="247"/>
      <c r="X1950" s="247"/>
    </row>
    <row r="1951">
      <c r="A1951" s="294">
        <v>46122.0</v>
      </c>
      <c r="B1951" s="295" t="s">
        <v>1198</v>
      </c>
      <c r="C1951" s="295" t="s">
        <v>911</v>
      </c>
      <c r="D1951" s="296">
        <v>3000.0</v>
      </c>
      <c r="E1951" s="295" t="s">
        <v>1017</v>
      </c>
      <c r="F1951" s="292"/>
      <c r="G1951" s="293" t="str">
        <f>IFNA(IF(VLOOKUP(RC_OUT[BLOCK],RC_IN[[BLOCK]:[BLOCK LOC]],2,FALSE)=0,"",VLOOKUP(RC_OUT[BLOCK],RC_IN[[BLOCK]:[BLOCK LOC]],2,FALSE)),"")</f>
        <v/>
      </c>
      <c r="I1951" s="263">
        <f>IFERROR(AVERAGEIFS(RC_IN[MC],RC_IN[BLOCK],RC_OUT[BLOCK]),"")</f>
        <v>10.74</v>
      </c>
      <c r="J1951" s="264">
        <f t="shared" si="51"/>
        <v>32220</v>
      </c>
      <c r="K1951" s="246"/>
      <c r="L1951" s="246"/>
      <c r="M1951" s="249"/>
      <c r="N1951" s="266">
        <f t="shared" si="52"/>
        <v>0</v>
      </c>
      <c r="O1951" s="247"/>
      <c r="P1951" s="247"/>
      <c r="Q1951" s="247"/>
      <c r="R1951" s="247"/>
      <c r="S1951" s="247"/>
      <c r="T1951" s="247"/>
      <c r="U1951" s="247"/>
      <c r="V1951" s="247"/>
      <c r="W1951" s="247"/>
      <c r="X1951" s="247"/>
    </row>
    <row r="1952">
      <c r="A1952" s="294">
        <v>46122.0</v>
      </c>
      <c r="B1952" s="295" t="s">
        <v>1198</v>
      </c>
      <c r="C1952" s="295" t="s">
        <v>895</v>
      </c>
      <c r="D1952" s="296">
        <v>3482.0</v>
      </c>
      <c r="E1952" s="295" t="s">
        <v>1017</v>
      </c>
      <c r="F1952" s="297" t="s">
        <v>1059</v>
      </c>
      <c r="G1952" s="293" t="str">
        <f>IFNA(IF(VLOOKUP(RC_OUT[BLOCK],RC_IN[[BLOCK]:[BLOCK LOC]],2,FALSE)=0,"",VLOOKUP(RC_OUT[BLOCK],RC_IN[[BLOCK]:[BLOCK LOC]],2,FALSE)),"")</f>
        <v>PCB-16B</v>
      </c>
      <c r="I1952" s="263">
        <f>IFERROR(AVERAGEIFS(RC_IN[MC],RC_IN[BLOCK],RC_OUT[BLOCK]),"")</f>
        <v>8.69</v>
      </c>
      <c r="J1952" s="264">
        <f t="shared" si="51"/>
        <v>30258.58</v>
      </c>
      <c r="K1952" s="246"/>
      <c r="L1952" s="246"/>
      <c r="M1952" s="249"/>
      <c r="N1952" s="266">
        <f t="shared" si="52"/>
        <v>0</v>
      </c>
      <c r="O1952" s="247"/>
      <c r="P1952" s="247"/>
      <c r="Q1952" s="247"/>
      <c r="R1952" s="247"/>
      <c r="S1952" s="247"/>
      <c r="T1952" s="247"/>
      <c r="U1952" s="247"/>
      <c r="V1952" s="247"/>
      <c r="W1952" s="247"/>
      <c r="X1952" s="247"/>
    </row>
    <row r="1953">
      <c r="A1953" s="294">
        <v>46122.0</v>
      </c>
      <c r="B1953" s="295" t="s">
        <v>1198</v>
      </c>
      <c r="C1953" s="295" t="s">
        <v>826</v>
      </c>
      <c r="D1953" s="296">
        <v>4127.0</v>
      </c>
      <c r="E1953" s="295" t="s">
        <v>1017</v>
      </c>
      <c r="F1953" s="292"/>
      <c r="G1953" s="293" t="str">
        <f>IFNA(IF(VLOOKUP(RC_OUT[BLOCK],RC_IN[[BLOCK]:[BLOCK LOC]],2,FALSE)=0,"",VLOOKUP(RC_OUT[BLOCK],RC_IN[[BLOCK]:[BLOCK LOC]],2,FALSE)),"")</f>
        <v>PCA-15A</v>
      </c>
      <c r="I1953" s="263">
        <f>IFERROR(AVERAGEIFS(RC_IN[MC],RC_IN[BLOCK],RC_OUT[BLOCK]),"")</f>
        <v>10.335</v>
      </c>
      <c r="J1953" s="264">
        <f t="shared" si="51"/>
        <v>42652.545</v>
      </c>
      <c r="K1953" s="246"/>
      <c r="L1953" s="246"/>
      <c r="M1953" s="249"/>
      <c r="N1953" s="266">
        <f t="shared" si="52"/>
        <v>0</v>
      </c>
      <c r="O1953" s="247"/>
      <c r="P1953" s="247"/>
      <c r="Q1953" s="247"/>
      <c r="R1953" s="247"/>
      <c r="S1953" s="247"/>
      <c r="T1953" s="247"/>
      <c r="U1953" s="247"/>
      <c r="V1953" s="247"/>
      <c r="W1953" s="247"/>
      <c r="X1953" s="247"/>
    </row>
    <row r="1954">
      <c r="A1954" s="294"/>
      <c r="B1954" s="295"/>
      <c r="C1954" s="295"/>
      <c r="D1954" s="296"/>
      <c r="E1954" s="295"/>
      <c r="F1954" s="292"/>
      <c r="G1954" s="293" t="str">
        <f>IFNA(IF(VLOOKUP(RC_OUT[BLOCK],RC_IN[[BLOCK]:[BLOCK LOC]],2,FALSE)=0,"",VLOOKUP(RC_OUT[BLOCK],RC_IN[[BLOCK]:[BLOCK LOC]],2,FALSE)),"")</f>
        <v/>
      </c>
      <c r="I1954" s="263" t="str">
        <f>IFERROR(AVERAGEIFS(RC_IN[MC],RC_IN[BLOCK],RC_OUT[BLOCK]),"")</f>
        <v/>
      </c>
      <c r="J1954" s="264">
        <f t="shared" si="51"/>
        <v>0</v>
      </c>
      <c r="K1954" s="246"/>
      <c r="L1954" s="246"/>
      <c r="M1954" s="249"/>
      <c r="N1954" s="266">
        <f t="shared" si="52"/>
        <v>0</v>
      </c>
      <c r="O1954" s="247"/>
      <c r="P1954" s="247"/>
      <c r="Q1954" s="247"/>
      <c r="R1954" s="247"/>
      <c r="S1954" s="247"/>
      <c r="T1954" s="247"/>
      <c r="U1954" s="247"/>
      <c r="V1954" s="247"/>
      <c r="W1954" s="247"/>
      <c r="X1954" s="247"/>
    </row>
    <row r="1955">
      <c r="A1955" s="294">
        <v>46125.0</v>
      </c>
      <c r="B1955" s="295" t="s">
        <v>1198</v>
      </c>
      <c r="C1955" s="295" t="s">
        <v>200</v>
      </c>
      <c r="D1955" s="296">
        <v>2843.0</v>
      </c>
      <c r="E1955" s="295" t="s">
        <v>1374</v>
      </c>
      <c r="F1955" s="292"/>
      <c r="G1955" s="293" t="str">
        <f>IFNA(IF(VLOOKUP(RC_OUT[BLOCK],RC_IN[[BLOCK]:[BLOCK LOC]],2,FALSE)=0,"",VLOOKUP(RC_OUT[BLOCK],RC_IN[[BLOCK]:[BLOCK LOC]],2,FALSE)),"")</f>
        <v>A-20A</v>
      </c>
      <c r="I1955" s="263">
        <f>IFERROR(AVERAGEIFS(RC_IN[MC],RC_IN[BLOCK],RC_OUT[BLOCK]),"")</f>
        <v>36.11333333</v>
      </c>
      <c r="J1955" s="264">
        <f t="shared" si="51"/>
        <v>102670.2067</v>
      </c>
      <c r="K1955" s="246"/>
      <c r="L1955" s="246"/>
      <c r="M1955" s="249"/>
      <c r="N1955" s="266">
        <f t="shared" si="52"/>
        <v>0</v>
      </c>
      <c r="O1955" s="247"/>
      <c r="P1955" s="247"/>
      <c r="Q1955" s="247"/>
      <c r="R1955" s="247"/>
      <c r="S1955" s="247"/>
      <c r="T1955" s="247"/>
      <c r="U1955" s="247"/>
      <c r="V1955" s="247"/>
      <c r="W1955" s="247"/>
      <c r="X1955" s="247"/>
    </row>
    <row r="1956">
      <c r="A1956" s="294">
        <v>46125.0</v>
      </c>
      <c r="B1956" s="295" t="s">
        <v>1198</v>
      </c>
      <c r="C1956" s="295" t="s">
        <v>603</v>
      </c>
      <c r="D1956" s="296">
        <v>8235.0</v>
      </c>
      <c r="E1956" s="295" t="s">
        <v>1017</v>
      </c>
      <c r="F1956" s="297" t="s">
        <v>1059</v>
      </c>
      <c r="G1956" s="293" t="str">
        <f>IFNA(IF(VLOOKUP(RC_OUT[BLOCK],RC_IN[[BLOCK]:[BLOCK LOC]],2,FALSE)=0,"",VLOOKUP(RC_OUT[BLOCK],RC_IN[[BLOCK]:[BLOCK LOC]],2,FALSE)),"")</f>
        <v>D-12D</v>
      </c>
      <c r="I1956" s="263">
        <f>IFERROR(AVERAGEIFS(RC_IN[MC],RC_IN[BLOCK],RC_OUT[BLOCK]),"")</f>
        <v>11.752</v>
      </c>
      <c r="J1956" s="264">
        <f t="shared" si="51"/>
        <v>96777.72</v>
      </c>
      <c r="K1956" s="246"/>
      <c r="L1956" s="246"/>
      <c r="M1956" s="249"/>
      <c r="N1956" s="266">
        <f t="shared" si="52"/>
        <v>0</v>
      </c>
      <c r="O1956" s="247"/>
      <c r="P1956" s="247"/>
      <c r="Q1956" s="247"/>
      <c r="R1956" s="247"/>
      <c r="S1956" s="247"/>
      <c r="T1956" s="247"/>
      <c r="U1956" s="247"/>
      <c r="V1956" s="247"/>
      <c r="W1956" s="247"/>
      <c r="X1956" s="247"/>
    </row>
    <row r="1957">
      <c r="A1957" s="294">
        <v>46125.0</v>
      </c>
      <c r="B1957" s="295" t="s">
        <v>1198</v>
      </c>
      <c r="C1957" s="295" t="s">
        <v>398</v>
      </c>
      <c r="D1957" s="296">
        <v>9545.0</v>
      </c>
      <c r="E1957" s="295" t="s">
        <v>1017</v>
      </c>
      <c r="F1957" s="292"/>
      <c r="G1957" s="293" t="str">
        <f>IFNA(IF(VLOOKUP(RC_OUT[BLOCK],RC_IN[[BLOCK]:[BLOCK LOC]],2,FALSE)=0,"",VLOOKUP(RC_OUT[BLOCK],RC_IN[[BLOCK]:[BLOCK LOC]],2,FALSE)),"")</f>
        <v>C-20A</v>
      </c>
      <c r="I1957" s="263">
        <f>IFERROR(AVERAGEIFS(RC_IN[MC],RC_IN[BLOCK],RC_OUT[BLOCK]),"")</f>
        <v>10.87142857</v>
      </c>
      <c r="J1957" s="264">
        <f t="shared" si="51"/>
        <v>103767.7857</v>
      </c>
      <c r="K1957" s="246"/>
      <c r="L1957" s="246"/>
      <c r="M1957" s="249"/>
      <c r="N1957" s="266">
        <f t="shared" si="52"/>
        <v>0</v>
      </c>
      <c r="O1957" s="247"/>
      <c r="P1957" s="247"/>
      <c r="Q1957" s="247"/>
      <c r="R1957" s="247"/>
      <c r="S1957" s="247"/>
      <c r="T1957" s="247"/>
      <c r="U1957" s="247"/>
      <c r="V1957" s="247"/>
      <c r="W1957" s="247"/>
      <c r="X1957" s="247"/>
    </row>
    <row r="1958">
      <c r="A1958" s="294">
        <v>46125.0</v>
      </c>
      <c r="B1958" s="295" t="s">
        <v>1198</v>
      </c>
      <c r="C1958" s="295" t="s">
        <v>911</v>
      </c>
      <c r="D1958" s="296">
        <v>7000.0</v>
      </c>
      <c r="E1958" s="295" t="s">
        <v>1017</v>
      </c>
      <c r="F1958" s="297" t="s">
        <v>1059</v>
      </c>
      <c r="G1958" s="293" t="str">
        <f>IFNA(IF(VLOOKUP(RC_OUT[BLOCK],RC_IN[[BLOCK]:[BLOCK LOC]],2,FALSE)=0,"",VLOOKUP(RC_OUT[BLOCK],RC_IN[[BLOCK]:[BLOCK LOC]],2,FALSE)),"")</f>
        <v/>
      </c>
      <c r="I1958" s="263">
        <f>IFERROR(AVERAGEIFS(RC_IN[MC],RC_IN[BLOCK],RC_OUT[BLOCK]),"")</f>
        <v>10.74</v>
      </c>
      <c r="J1958" s="264">
        <f t="shared" si="51"/>
        <v>75180</v>
      </c>
      <c r="K1958" s="246"/>
      <c r="L1958" s="246"/>
      <c r="M1958" s="249"/>
      <c r="N1958" s="266">
        <f t="shared" si="52"/>
        <v>0</v>
      </c>
      <c r="O1958" s="247"/>
      <c r="P1958" s="247"/>
      <c r="Q1958" s="247"/>
      <c r="R1958" s="247"/>
      <c r="S1958" s="247"/>
      <c r="T1958" s="247"/>
      <c r="U1958" s="247"/>
      <c r="V1958" s="247"/>
      <c r="W1958" s="247"/>
      <c r="X1958" s="247"/>
    </row>
    <row r="1959">
      <c r="A1959" s="294">
        <v>46125.0</v>
      </c>
      <c r="B1959" s="295" t="s">
        <v>1198</v>
      </c>
      <c r="C1959" s="295" t="s">
        <v>826</v>
      </c>
      <c r="D1959" s="296">
        <v>4621.0</v>
      </c>
      <c r="E1959" s="295" t="s">
        <v>1017</v>
      </c>
      <c r="F1959" s="292"/>
      <c r="G1959" s="293" t="str">
        <f>IFNA(IF(VLOOKUP(RC_OUT[BLOCK],RC_IN[[BLOCK]:[BLOCK LOC]],2,FALSE)=0,"",VLOOKUP(RC_OUT[BLOCK],RC_IN[[BLOCK]:[BLOCK LOC]],2,FALSE)),"")</f>
        <v>PCA-15A</v>
      </c>
      <c r="I1959" s="263">
        <f>IFERROR(AVERAGEIFS(RC_IN[MC],RC_IN[BLOCK],RC_OUT[BLOCK]),"")</f>
        <v>10.335</v>
      </c>
      <c r="J1959" s="264">
        <f t="shared" si="51"/>
        <v>47758.035</v>
      </c>
      <c r="K1959" s="246"/>
      <c r="L1959" s="246"/>
      <c r="M1959" s="249"/>
      <c r="N1959" s="266">
        <f t="shared" si="52"/>
        <v>0</v>
      </c>
      <c r="O1959" s="247"/>
      <c r="P1959" s="247"/>
      <c r="Q1959" s="247"/>
      <c r="R1959" s="247"/>
      <c r="S1959" s="247"/>
      <c r="T1959" s="247"/>
      <c r="U1959" s="247"/>
      <c r="V1959" s="247"/>
      <c r="W1959" s="247"/>
      <c r="X1959" s="247"/>
    </row>
    <row r="1960">
      <c r="A1960" s="294"/>
      <c r="B1960" s="295"/>
      <c r="C1960" s="295"/>
      <c r="D1960" s="296"/>
      <c r="E1960" s="295"/>
      <c r="F1960" s="292"/>
      <c r="G1960" s="293" t="str">
        <f>IFNA(IF(VLOOKUP(RC_OUT[BLOCK],RC_IN[[BLOCK]:[BLOCK LOC]],2,FALSE)=0,"",VLOOKUP(RC_OUT[BLOCK],RC_IN[[BLOCK]:[BLOCK LOC]],2,FALSE)),"")</f>
        <v/>
      </c>
      <c r="I1960" s="263" t="str">
        <f>IFERROR(AVERAGEIFS(RC_IN[MC],RC_IN[BLOCK],RC_OUT[BLOCK]),"")</f>
        <v/>
      </c>
      <c r="J1960" s="264">
        <f t="shared" si="51"/>
        <v>0</v>
      </c>
      <c r="K1960" s="246"/>
      <c r="L1960" s="246"/>
      <c r="M1960" s="249"/>
      <c r="N1960" s="266">
        <f t="shared" si="52"/>
        <v>0</v>
      </c>
      <c r="O1960" s="247"/>
      <c r="P1960" s="247"/>
      <c r="Q1960" s="247"/>
      <c r="R1960" s="247"/>
      <c r="S1960" s="247"/>
      <c r="T1960" s="247"/>
      <c r="U1960" s="247"/>
      <c r="V1960" s="247"/>
      <c r="W1960" s="247"/>
      <c r="X1960" s="247"/>
    </row>
    <row r="1961">
      <c r="A1961" s="294">
        <v>46126.0</v>
      </c>
      <c r="B1961" s="295" t="s">
        <v>1198</v>
      </c>
      <c r="C1961" s="295" t="s">
        <v>200</v>
      </c>
      <c r="D1961" s="296">
        <v>12146.0</v>
      </c>
      <c r="E1961" s="295" t="s">
        <v>1374</v>
      </c>
      <c r="F1961" s="292"/>
      <c r="G1961" s="293" t="str">
        <f>IFNA(IF(VLOOKUP(RC_OUT[BLOCK],RC_IN[[BLOCK]:[BLOCK LOC]],2,FALSE)=0,"",VLOOKUP(RC_OUT[BLOCK],RC_IN[[BLOCK]:[BLOCK LOC]],2,FALSE)),"")</f>
        <v>A-20A</v>
      </c>
      <c r="I1961" s="263">
        <f>IFERROR(AVERAGEIFS(RC_IN[MC],RC_IN[BLOCK],RC_OUT[BLOCK]),"")</f>
        <v>36.11333333</v>
      </c>
      <c r="J1961" s="264">
        <f t="shared" si="51"/>
        <v>438632.5467</v>
      </c>
      <c r="K1961" s="246"/>
      <c r="L1961" s="246"/>
      <c r="M1961" s="249"/>
      <c r="N1961" s="266">
        <f t="shared" si="52"/>
        <v>0</v>
      </c>
      <c r="O1961" s="247"/>
      <c r="P1961" s="247"/>
      <c r="Q1961" s="247"/>
      <c r="R1961" s="247"/>
      <c r="S1961" s="247"/>
      <c r="T1961" s="247"/>
      <c r="U1961" s="247"/>
      <c r="V1961" s="247"/>
      <c r="W1961" s="247"/>
      <c r="X1961" s="247"/>
    </row>
    <row r="1962">
      <c r="A1962" s="294">
        <v>46126.0</v>
      </c>
      <c r="B1962" s="295" t="s">
        <v>1198</v>
      </c>
      <c r="C1962" s="295" t="s">
        <v>398</v>
      </c>
      <c r="D1962" s="296">
        <v>8274.0</v>
      </c>
      <c r="E1962" s="295" t="s">
        <v>1017</v>
      </c>
      <c r="F1962" s="292"/>
      <c r="G1962" s="293" t="str">
        <f>IFNA(IF(VLOOKUP(RC_OUT[BLOCK],RC_IN[[BLOCK]:[BLOCK LOC]],2,FALSE)=0,"",VLOOKUP(RC_OUT[BLOCK],RC_IN[[BLOCK]:[BLOCK LOC]],2,FALSE)),"")</f>
        <v>C-20A</v>
      </c>
      <c r="I1962" s="263">
        <f>IFERROR(AVERAGEIFS(RC_IN[MC],RC_IN[BLOCK],RC_OUT[BLOCK]),"")</f>
        <v>10.87142857</v>
      </c>
      <c r="J1962" s="264">
        <f t="shared" si="51"/>
        <v>89950.2</v>
      </c>
      <c r="K1962" s="246"/>
      <c r="L1962" s="246"/>
      <c r="M1962" s="249"/>
      <c r="N1962" s="266">
        <f t="shared" si="52"/>
        <v>0</v>
      </c>
      <c r="O1962" s="247"/>
      <c r="P1962" s="247"/>
      <c r="Q1962" s="247"/>
      <c r="R1962" s="247"/>
      <c r="S1962" s="247"/>
      <c r="T1962" s="247"/>
      <c r="U1962" s="247"/>
      <c r="V1962" s="247"/>
      <c r="W1962" s="247"/>
      <c r="X1962" s="247"/>
    </row>
    <row r="1963">
      <c r="A1963" s="294">
        <v>46126.0</v>
      </c>
      <c r="B1963" s="295" t="s">
        <v>1198</v>
      </c>
      <c r="C1963" s="295" t="s">
        <v>826</v>
      </c>
      <c r="D1963" s="296">
        <v>1161.0</v>
      </c>
      <c r="E1963" s="295" t="s">
        <v>1017</v>
      </c>
      <c r="F1963" s="297" t="s">
        <v>1059</v>
      </c>
      <c r="G1963" s="293" t="str">
        <f>IFNA(IF(VLOOKUP(RC_OUT[BLOCK],RC_IN[[BLOCK]:[BLOCK LOC]],2,FALSE)=0,"",VLOOKUP(RC_OUT[BLOCK],RC_IN[[BLOCK]:[BLOCK LOC]],2,FALSE)),"")</f>
        <v>PCA-15A</v>
      </c>
      <c r="I1963" s="263">
        <f>IFERROR(AVERAGEIFS(RC_IN[MC],RC_IN[BLOCK],RC_OUT[BLOCK]),"")</f>
        <v>10.335</v>
      </c>
      <c r="J1963" s="264">
        <f t="shared" si="51"/>
        <v>11998.935</v>
      </c>
      <c r="K1963" s="246"/>
      <c r="L1963" s="246"/>
      <c r="M1963" s="249"/>
      <c r="N1963" s="266">
        <f t="shared" si="52"/>
        <v>0</v>
      </c>
      <c r="O1963" s="247"/>
      <c r="P1963" s="247"/>
      <c r="Q1963" s="247"/>
      <c r="R1963" s="247"/>
      <c r="S1963" s="247"/>
      <c r="T1963" s="247"/>
      <c r="U1963" s="247"/>
      <c r="V1963" s="247"/>
      <c r="W1963" s="247"/>
      <c r="X1963" s="247"/>
    </row>
    <row r="1964">
      <c r="A1964" s="294">
        <v>46126.0</v>
      </c>
      <c r="B1964" s="295" t="s">
        <v>1198</v>
      </c>
      <c r="C1964" s="295" t="s">
        <v>646</v>
      </c>
      <c r="D1964" s="296">
        <v>4528.0</v>
      </c>
      <c r="E1964" s="295" t="s">
        <v>1017</v>
      </c>
      <c r="F1964" s="292"/>
      <c r="G1964" s="293" t="str">
        <f>IFNA(IF(VLOOKUP(RC_OUT[BLOCK],RC_IN[[BLOCK]:[BLOCK LOC]],2,FALSE)=0,"",VLOOKUP(RC_OUT[BLOCK],RC_IN[[BLOCK]:[BLOCK LOC]],2,FALSE)),"")</f>
        <v>D-12C</v>
      </c>
      <c r="I1964" s="263">
        <f>IFERROR(AVERAGEIFS(RC_IN[MC],RC_IN[BLOCK],RC_OUT[BLOCK]),"")</f>
        <v>11.858</v>
      </c>
      <c r="J1964" s="264">
        <f t="shared" si="51"/>
        <v>53693.024</v>
      </c>
      <c r="K1964" s="246"/>
      <c r="L1964" s="246"/>
      <c r="M1964" s="249"/>
      <c r="N1964" s="266">
        <f t="shared" si="52"/>
        <v>0</v>
      </c>
      <c r="O1964" s="247"/>
      <c r="P1964" s="247"/>
      <c r="Q1964" s="247"/>
      <c r="R1964" s="247"/>
      <c r="S1964" s="247"/>
      <c r="T1964" s="247"/>
      <c r="U1964" s="247"/>
      <c r="V1964" s="247"/>
      <c r="W1964" s="247"/>
      <c r="X1964" s="247"/>
    </row>
    <row r="1965">
      <c r="A1965" s="294">
        <v>46126.0</v>
      </c>
      <c r="B1965" s="295" t="s">
        <v>1198</v>
      </c>
      <c r="C1965" s="295" t="s">
        <v>711</v>
      </c>
      <c r="D1965" s="296">
        <v>9129.0</v>
      </c>
      <c r="E1965" s="295" t="s">
        <v>1017</v>
      </c>
      <c r="F1965" s="292"/>
      <c r="G1965" s="293" t="str">
        <f>IFNA(IF(VLOOKUP(RC_OUT[BLOCK],RC_IN[[BLOCK]:[BLOCK LOC]],2,FALSE)=0,"",VLOOKUP(RC_OUT[BLOCK],RC_IN[[BLOCK]:[BLOCK LOC]],2,FALSE)),"")</f>
        <v>PCA-16A</v>
      </c>
      <c r="I1965" s="263">
        <f>IFERROR(AVERAGEIFS(RC_IN[MC],RC_IN[BLOCK],RC_OUT[BLOCK]),"")</f>
        <v>7.205</v>
      </c>
      <c r="J1965" s="264">
        <f t="shared" si="51"/>
        <v>65774.445</v>
      </c>
      <c r="K1965" s="246"/>
      <c r="L1965" s="246"/>
      <c r="M1965" s="249"/>
      <c r="N1965" s="266">
        <f t="shared" si="52"/>
        <v>0</v>
      </c>
      <c r="O1965" s="247"/>
      <c r="P1965" s="247"/>
      <c r="Q1965" s="247"/>
      <c r="R1965" s="247"/>
      <c r="S1965" s="247"/>
      <c r="T1965" s="247"/>
      <c r="U1965" s="247"/>
      <c r="V1965" s="247"/>
      <c r="W1965" s="247"/>
      <c r="X1965" s="247"/>
    </row>
    <row r="1966">
      <c r="A1966" s="294">
        <v>46126.0</v>
      </c>
      <c r="B1966" s="295" t="s">
        <v>1198</v>
      </c>
      <c r="C1966" s="295" t="s">
        <v>913</v>
      </c>
      <c r="D1966" s="296">
        <v>9000.0</v>
      </c>
      <c r="E1966" s="295" t="s">
        <v>1017</v>
      </c>
      <c r="F1966" s="292"/>
      <c r="G1966" s="293" t="str">
        <f>IFNA(IF(VLOOKUP(RC_OUT[BLOCK],RC_IN[[BLOCK]:[BLOCK LOC]],2,FALSE)=0,"",VLOOKUP(RC_OUT[BLOCK],RC_IN[[BLOCK]:[BLOCK LOC]],2,FALSE)),"")</f>
        <v/>
      </c>
      <c r="I1966" s="263">
        <f>IFERROR(AVERAGEIFS(RC_IN[MC],RC_IN[BLOCK],RC_OUT[BLOCK]),"")</f>
        <v>11.27</v>
      </c>
      <c r="J1966" s="264">
        <f t="shared" si="51"/>
        <v>101430</v>
      </c>
      <c r="K1966" s="246"/>
      <c r="L1966" s="246"/>
      <c r="M1966" s="249"/>
      <c r="N1966" s="266">
        <f t="shared" si="52"/>
        <v>0</v>
      </c>
      <c r="O1966" s="247"/>
      <c r="P1966" s="247"/>
      <c r="Q1966" s="247"/>
      <c r="R1966" s="247"/>
      <c r="S1966" s="247"/>
      <c r="T1966" s="247"/>
      <c r="U1966" s="247"/>
      <c r="V1966" s="247"/>
      <c r="W1966" s="247"/>
      <c r="X1966" s="247"/>
    </row>
    <row r="1967">
      <c r="A1967" s="294"/>
      <c r="B1967" s="295"/>
      <c r="C1967" s="295"/>
      <c r="D1967" s="296"/>
      <c r="E1967" s="295"/>
      <c r="F1967" s="292"/>
      <c r="G1967" s="293" t="str">
        <f>IFNA(IF(VLOOKUP(RC_OUT[BLOCK],RC_IN[[BLOCK]:[BLOCK LOC]],2,FALSE)=0,"",VLOOKUP(RC_OUT[BLOCK],RC_IN[[BLOCK]:[BLOCK LOC]],2,FALSE)),"")</f>
        <v/>
      </c>
      <c r="I1967" s="263" t="str">
        <f>IFERROR(AVERAGEIFS(RC_IN[MC],RC_IN[BLOCK],RC_OUT[BLOCK]),"")</f>
        <v/>
      </c>
      <c r="J1967" s="264">
        <f t="shared" si="51"/>
        <v>0</v>
      </c>
      <c r="K1967" s="246"/>
      <c r="L1967" s="246"/>
      <c r="M1967" s="249"/>
      <c r="N1967" s="266">
        <f t="shared" si="52"/>
        <v>0</v>
      </c>
      <c r="O1967" s="247"/>
      <c r="P1967" s="247"/>
      <c r="Q1967" s="247"/>
      <c r="R1967" s="247"/>
      <c r="S1967" s="247"/>
      <c r="T1967" s="247"/>
      <c r="U1967" s="247"/>
      <c r="V1967" s="247"/>
      <c r="W1967" s="247"/>
      <c r="X1967" s="247"/>
    </row>
    <row r="1968">
      <c r="A1968" s="294">
        <v>46127.0</v>
      </c>
      <c r="B1968" s="295" t="s">
        <v>1198</v>
      </c>
      <c r="C1968" s="295" t="s">
        <v>200</v>
      </c>
      <c r="D1968" s="296">
        <v>8726.0</v>
      </c>
      <c r="E1968" s="295" t="s">
        <v>1374</v>
      </c>
      <c r="F1968" s="292"/>
      <c r="G1968" s="293" t="str">
        <f>IFNA(IF(VLOOKUP(RC_OUT[BLOCK],RC_IN[[BLOCK]:[BLOCK LOC]],2,FALSE)=0,"",VLOOKUP(RC_OUT[BLOCK],RC_IN[[BLOCK]:[BLOCK LOC]],2,FALSE)),"")</f>
        <v>A-20A</v>
      </c>
      <c r="I1968" s="263">
        <f>IFERROR(AVERAGEIFS(RC_IN[MC],RC_IN[BLOCK],RC_OUT[BLOCK]),"")</f>
        <v>36.11333333</v>
      </c>
      <c r="J1968" s="264">
        <f t="shared" si="51"/>
        <v>315124.9467</v>
      </c>
      <c r="K1968" s="246"/>
      <c r="L1968" s="246"/>
      <c r="M1968" s="249"/>
      <c r="N1968" s="266">
        <f t="shared" si="52"/>
        <v>0</v>
      </c>
      <c r="O1968" s="247"/>
      <c r="P1968" s="247"/>
      <c r="Q1968" s="247"/>
      <c r="R1968" s="247"/>
      <c r="S1968" s="247"/>
      <c r="T1968" s="247"/>
      <c r="U1968" s="247"/>
      <c r="V1968" s="247"/>
      <c r="W1968" s="247"/>
      <c r="X1968" s="247"/>
    </row>
    <row r="1969">
      <c r="A1969" s="294">
        <v>46127.0</v>
      </c>
      <c r="B1969" s="295" t="s">
        <v>1198</v>
      </c>
      <c r="C1969" s="295" t="s">
        <v>398</v>
      </c>
      <c r="D1969" s="296">
        <v>13763.0</v>
      </c>
      <c r="E1969" s="295" t="s">
        <v>1017</v>
      </c>
      <c r="F1969" s="292"/>
      <c r="G1969" s="293" t="str">
        <f>IFNA(IF(VLOOKUP(RC_OUT[BLOCK],RC_IN[[BLOCK]:[BLOCK LOC]],2,FALSE)=0,"",VLOOKUP(RC_OUT[BLOCK],RC_IN[[BLOCK]:[BLOCK LOC]],2,FALSE)),"")</f>
        <v>C-20A</v>
      </c>
      <c r="I1969" s="263">
        <f>IFERROR(AVERAGEIFS(RC_IN[MC],RC_IN[BLOCK],RC_OUT[BLOCK]),"")</f>
        <v>10.87142857</v>
      </c>
      <c r="J1969" s="264">
        <f t="shared" si="51"/>
        <v>149623.4714</v>
      </c>
      <c r="K1969" s="246"/>
      <c r="L1969" s="246"/>
      <c r="M1969" s="249"/>
      <c r="N1969" s="266">
        <f t="shared" si="52"/>
        <v>0</v>
      </c>
      <c r="O1969" s="247"/>
      <c r="P1969" s="247"/>
      <c r="Q1969" s="247"/>
      <c r="R1969" s="247"/>
      <c r="S1969" s="247"/>
      <c r="T1969" s="247"/>
      <c r="U1969" s="247"/>
      <c r="V1969" s="247"/>
      <c r="W1969" s="247"/>
      <c r="X1969" s="247"/>
    </row>
    <row r="1970">
      <c r="A1970" s="294">
        <v>46127.0</v>
      </c>
      <c r="B1970" s="295" t="s">
        <v>1198</v>
      </c>
      <c r="C1970" s="295" t="s">
        <v>646</v>
      </c>
      <c r="D1970" s="296">
        <v>8707.0</v>
      </c>
      <c r="E1970" s="295" t="s">
        <v>1017</v>
      </c>
      <c r="F1970" s="292"/>
      <c r="G1970" s="293" t="str">
        <f>IFNA(IF(VLOOKUP(RC_OUT[BLOCK],RC_IN[[BLOCK]:[BLOCK LOC]],2,FALSE)=0,"",VLOOKUP(RC_OUT[BLOCK],RC_IN[[BLOCK]:[BLOCK LOC]],2,FALSE)),"")</f>
        <v>D-12C</v>
      </c>
      <c r="I1970" s="263">
        <f>IFERROR(AVERAGEIFS(RC_IN[MC],RC_IN[BLOCK],RC_OUT[BLOCK]),"")</f>
        <v>11.858</v>
      </c>
      <c r="J1970" s="264">
        <f t="shared" si="51"/>
        <v>103247.606</v>
      </c>
      <c r="K1970" s="246"/>
      <c r="L1970" s="246"/>
      <c r="M1970" s="249"/>
      <c r="N1970" s="266">
        <f t="shared" si="52"/>
        <v>0</v>
      </c>
      <c r="O1970" s="247"/>
      <c r="P1970" s="247"/>
      <c r="Q1970" s="247"/>
      <c r="R1970" s="247"/>
      <c r="S1970" s="247"/>
      <c r="T1970" s="247"/>
      <c r="U1970" s="247"/>
      <c r="V1970" s="247"/>
      <c r="W1970" s="247"/>
      <c r="X1970" s="247"/>
    </row>
    <row r="1971">
      <c r="A1971" s="294">
        <v>46127.0</v>
      </c>
      <c r="B1971" s="295" t="s">
        <v>1198</v>
      </c>
      <c r="C1971" s="295" t="s">
        <v>711</v>
      </c>
      <c r="D1971" s="296">
        <v>2441.0</v>
      </c>
      <c r="E1971" s="295" t="s">
        <v>1017</v>
      </c>
      <c r="F1971" s="292"/>
      <c r="G1971" s="293" t="str">
        <f>IFNA(IF(VLOOKUP(RC_OUT[BLOCK],RC_IN[[BLOCK]:[BLOCK LOC]],2,FALSE)=0,"",VLOOKUP(RC_OUT[BLOCK],RC_IN[[BLOCK]:[BLOCK LOC]],2,FALSE)),"")</f>
        <v>PCA-16A</v>
      </c>
      <c r="I1971" s="263">
        <f>IFERROR(AVERAGEIFS(RC_IN[MC],RC_IN[BLOCK],RC_OUT[BLOCK]),"")</f>
        <v>7.205</v>
      </c>
      <c r="J1971" s="264">
        <f t="shared" si="51"/>
        <v>17587.405</v>
      </c>
      <c r="K1971" s="246"/>
      <c r="L1971" s="246"/>
      <c r="M1971" s="249"/>
      <c r="N1971" s="266">
        <f t="shared" si="52"/>
        <v>0</v>
      </c>
      <c r="O1971" s="247"/>
      <c r="P1971" s="247"/>
      <c r="Q1971" s="247"/>
      <c r="R1971" s="247"/>
      <c r="S1971" s="247"/>
      <c r="T1971" s="247"/>
      <c r="U1971" s="247"/>
      <c r="V1971" s="247"/>
      <c r="W1971" s="247"/>
      <c r="X1971" s="247"/>
    </row>
    <row r="1972">
      <c r="A1972" s="294">
        <v>46127.0</v>
      </c>
      <c r="B1972" s="295" t="s">
        <v>1198</v>
      </c>
      <c r="C1972" s="295" t="s">
        <v>913</v>
      </c>
      <c r="D1972" s="296">
        <v>5000.0</v>
      </c>
      <c r="E1972" s="295" t="s">
        <v>1017</v>
      </c>
      <c r="F1972" s="292"/>
      <c r="G1972" s="293" t="str">
        <f>IFNA(IF(VLOOKUP(RC_OUT[BLOCK],RC_IN[[BLOCK]:[BLOCK LOC]],2,FALSE)=0,"",VLOOKUP(RC_OUT[BLOCK],RC_IN[[BLOCK]:[BLOCK LOC]],2,FALSE)),"")</f>
        <v/>
      </c>
      <c r="I1972" s="263">
        <f>IFERROR(AVERAGEIFS(RC_IN[MC],RC_IN[BLOCK],RC_OUT[BLOCK]),"")</f>
        <v>11.27</v>
      </c>
      <c r="J1972" s="264">
        <f t="shared" si="51"/>
        <v>56350</v>
      </c>
      <c r="K1972" s="246"/>
      <c r="L1972" s="246"/>
      <c r="M1972" s="249"/>
      <c r="N1972" s="266">
        <f t="shared" si="52"/>
        <v>0</v>
      </c>
      <c r="O1972" s="247"/>
      <c r="P1972" s="247"/>
      <c r="Q1972" s="247"/>
      <c r="R1972" s="247"/>
      <c r="S1972" s="247"/>
      <c r="T1972" s="247"/>
      <c r="U1972" s="247"/>
      <c r="V1972" s="247"/>
      <c r="W1972" s="247"/>
      <c r="X1972" s="247"/>
    </row>
    <row r="1973">
      <c r="A1973" s="294"/>
      <c r="B1973" s="295"/>
      <c r="C1973" s="295"/>
      <c r="D1973" s="296"/>
      <c r="E1973" s="295"/>
      <c r="F1973" s="292"/>
      <c r="G1973" s="293" t="str">
        <f>IFNA(IF(VLOOKUP(RC_OUT[BLOCK],RC_IN[[BLOCK]:[BLOCK LOC]],2,FALSE)=0,"",VLOOKUP(RC_OUT[BLOCK],RC_IN[[BLOCK]:[BLOCK LOC]],2,FALSE)),"")</f>
        <v/>
      </c>
      <c r="I1973" s="263" t="str">
        <f>IFERROR(AVERAGEIFS(RC_IN[MC],RC_IN[BLOCK],RC_OUT[BLOCK]),"")</f>
        <v/>
      </c>
      <c r="J1973" s="264">
        <f t="shared" si="51"/>
        <v>0</v>
      </c>
      <c r="K1973" s="246"/>
      <c r="L1973" s="246"/>
      <c r="M1973" s="249"/>
      <c r="N1973" s="266">
        <f t="shared" si="52"/>
        <v>0</v>
      </c>
      <c r="O1973" s="247"/>
      <c r="P1973" s="247"/>
      <c r="Q1973" s="247"/>
      <c r="R1973" s="247"/>
      <c r="S1973" s="247"/>
      <c r="T1973" s="247"/>
      <c r="U1973" s="247"/>
      <c r="V1973" s="247"/>
      <c r="W1973" s="247"/>
      <c r="X1973" s="247"/>
    </row>
    <row r="1974">
      <c r="A1974" s="294">
        <v>46128.0</v>
      </c>
      <c r="B1974" s="295" t="s">
        <v>1198</v>
      </c>
      <c r="C1974" s="295" t="s">
        <v>200</v>
      </c>
      <c r="D1974" s="296">
        <v>5302.0</v>
      </c>
      <c r="E1974" s="295" t="s">
        <v>1374</v>
      </c>
      <c r="F1974" s="292"/>
      <c r="G1974" s="293" t="str">
        <f>IFNA(IF(VLOOKUP(RC_OUT[BLOCK],RC_IN[[BLOCK]:[BLOCK LOC]],2,FALSE)=0,"",VLOOKUP(RC_OUT[BLOCK],RC_IN[[BLOCK]:[BLOCK LOC]],2,FALSE)),"")</f>
        <v>A-20A</v>
      </c>
      <c r="I1974" s="263">
        <f>IFERROR(AVERAGEIFS(RC_IN[MC],RC_IN[BLOCK],RC_OUT[BLOCK]),"")</f>
        <v>36.11333333</v>
      </c>
      <c r="J1974" s="264">
        <f t="shared" si="51"/>
        <v>191472.8933</v>
      </c>
      <c r="K1974" s="246"/>
      <c r="L1974" s="246"/>
      <c r="M1974" s="249"/>
      <c r="N1974" s="266">
        <f t="shared" si="52"/>
        <v>0</v>
      </c>
      <c r="O1974" s="247"/>
      <c r="P1974" s="247"/>
      <c r="Q1974" s="247"/>
      <c r="R1974" s="247"/>
      <c r="S1974" s="247"/>
      <c r="T1974" s="247"/>
      <c r="U1974" s="247"/>
      <c r="V1974" s="247"/>
      <c r="W1974" s="247"/>
      <c r="X1974" s="247"/>
    </row>
    <row r="1975">
      <c r="A1975" s="294">
        <v>46128.0</v>
      </c>
      <c r="B1975" s="295" t="s">
        <v>1198</v>
      </c>
      <c r="C1975" s="295" t="s">
        <v>398</v>
      </c>
      <c r="D1975" s="296">
        <v>2497.0</v>
      </c>
      <c r="E1975" s="295" t="s">
        <v>1017</v>
      </c>
      <c r="F1975" s="292"/>
      <c r="G1975" s="293" t="str">
        <f>IFNA(IF(VLOOKUP(RC_OUT[BLOCK],RC_IN[[BLOCK]:[BLOCK LOC]],2,FALSE)=0,"",VLOOKUP(RC_OUT[BLOCK],RC_IN[[BLOCK]:[BLOCK LOC]],2,FALSE)),"")</f>
        <v>C-20A</v>
      </c>
      <c r="I1975" s="263">
        <f>IFERROR(AVERAGEIFS(RC_IN[MC],RC_IN[BLOCK],RC_OUT[BLOCK]),"")</f>
        <v>10.87142857</v>
      </c>
      <c r="J1975" s="264">
        <f t="shared" si="51"/>
        <v>27145.95714</v>
      </c>
      <c r="K1975" s="246"/>
      <c r="L1975" s="246"/>
      <c r="M1975" s="249"/>
      <c r="N1975" s="266">
        <f t="shared" si="52"/>
        <v>0</v>
      </c>
      <c r="O1975" s="247"/>
      <c r="P1975" s="247"/>
      <c r="Q1975" s="247"/>
      <c r="R1975" s="247"/>
      <c r="S1975" s="247"/>
      <c r="T1975" s="247"/>
      <c r="U1975" s="247"/>
      <c r="V1975" s="247"/>
      <c r="W1975" s="247"/>
      <c r="X1975" s="247"/>
    </row>
    <row r="1976">
      <c r="A1976" s="294">
        <v>46128.0</v>
      </c>
      <c r="B1976" s="295" t="s">
        <v>1198</v>
      </c>
      <c r="C1976" s="295" t="s">
        <v>646</v>
      </c>
      <c r="D1976" s="296">
        <v>1311.0</v>
      </c>
      <c r="E1976" s="295" t="s">
        <v>1017</v>
      </c>
      <c r="F1976" s="292"/>
      <c r="G1976" s="293" t="str">
        <f>IFNA(IF(VLOOKUP(RC_OUT[BLOCK],RC_IN[[BLOCK]:[BLOCK LOC]],2,FALSE)=0,"",VLOOKUP(RC_OUT[BLOCK],RC_IN[[BLOCK]:[BLOCK LOC]],2,FALSE)),"")</f>
        <v>D-12C</v>
      </c>
      <c r="I1976" s="263">
        <f>IFERROR(AVERAGEIFS(RC_IN[MC],RC_IN[BLOCK],RC_OUT[BLOCK]),"")</f>
        <v>11.858</v>
      </c>
      <c r="J1976" s="264">
        <f t="shared" si="51"/>
        <v>15545.838</v>
      </c>
      <c r="K1976" s="246"/>
      <c r="L1976" s="246"/>
      <c r="M1976" s="249"/>
      <c r="N1976" s="266">
        <f t="shared" si="52"/>
        <v>0</v>
      </c>
      <c r="O1976" s="247"/>
      <c r="P1976" s="247"/>
      <c r="Q1976" s="247"/>
      <c r="R1976" s="247"/>
      <c r="S1976" s="247"/>
      <c r="T1976" s="247"/>
      <c r="U1976" s="247"/>
      <c r="V1976" s="247"/>
      <c r="W1976" s="247"/>
      <c r="X1976" s="247"/>
    </row>
    <row r="1977">
      <c r="A1977" s="294">
        <v>46128.0</v>
      </c>
      <c r="B1977" s="295" t="s">
        <v>1198</v>
      </c>
      <c r="C1977" s="295" t="s">
        <v>913</v>
      </c>
      <c r="D1977" s="296">
        <v>1000.0</v>
      </c>
      <c r="E1977" s="295" t="s">
        <v>1017</v>
      </c>
      <c r="F1977" s="292"/>
      <c r="G1977" s="293" t="str">
        <f>IFNA(IF(VLOOKUP(RC_OUT[BLOCK],RC_IN[[BLOCK]:[BLOCK LOC]],2,FALSE)=0,"",VLOOKUP(RC_OUT[BLOCK],RC_IN[[BLOCK]:[BLOCK LOC]],2,FALSE)),"")</f>
        <v/>
      </c>
      <c r="I1977" s="263">
        <f>IFERROR(AVERAGEIFS(RC_IN[MC],RC_IN[BLOCK],RC_OUT[BLOCK]),"")</f>
        <v>11.27</v>
      </c>
      <c r="J1977" s="264">
        <f t="shared" si="51"/>
        <v>11270</v>
      </c>
      <c r="K1977" s="246"/>
      <c r="L1977" s="246"/>
      <c r="M1977" s="249"/>
      <c r="N1977" s="266">
        <f t="shared" si="52"/>
        <v>0</v>
      </c>
      <c r="O1977" s="247"/>
      <c r="P1977" s="247"/>
      <c r="Q1977" s="247"/>
      <c r="R1977" s="247"/>
      <c r="S1977" s="247"/>
      <c r="T1977" s="247"/>
      <c r="U1977" s="247"/>
      <c r="V1977" s="247"/>
      <c r="W1977" s="247"/>
      <c r="X1977" s="247"/>
    </row>
    <row r="1978">
      <c r="A1978" s="294">
        <v>46128.0</v>
      </c>
      <c r="B1978" s="295" t="s">
        <v>1198</v>
      </c>
      <c r="C1978" s="295" t="s">
        <v>346</v>
      </c>
      <c r="D1978" s="296">
        <v>1452.0</v>
      </c>
      <c r="E1978" s="295" t="s">
        <v>1017</v>
      </c>
      <c r="F1978" s="292"/>
      <c r="G1978" s="293" t="str">
        <f>IFNA(IF(VLOOKUP(RC_OUT[BLOCK],RC_IN[[BLOCK]:[BLOCK LOC]],2,FALSE)=0,"",VLOOKUP(RC_OUT[BLOCK],RC_IN[[BLOCK]:[BLOCK LOC]],2,FALSE)),"")</f>
        <v>D-15D</v>
      </c>
      <c r="I1978" s="263">
        <f>IFERROR(AVERAGEIFS(RC_IN[MC],RC_IN[BLOCK],RC_OUT[BLOCK]),"")</f>
        <v>11.56</v>
      </c>
      <c r="J1978" s="264">
        <f t="shared" si="51"/>
        <v>16785.12</v>
      </c>
      <c r="K1978" s="246"/>
      <c r="L1978" s="246"/>
      <c r="M1978" s="249"/>
      <c r="N1978" s="266">
        <f t="shared" si="52"/>
        <v>0</v>
      </c>
      <c r="O1978" s="247"/>
      <c r="P1978" s="247"/>
      <c r="Q1978" s="247"/>
      <c r="R1978" s="247"/>
      <c r="S1978" s="247"/>
      <c r="T1978" s="247"/>
      <c r="U1978" s="247"/>
      <c r="V1978" s="247"/>
      <c r="W1978" s="247"/>
      <c r="X1978" s="247"/>
    </row>
    <row r="1979">
      <c r="A1979" s="294">
        <v>46128.0</v>
      </c>
      <c r="B1979" s="295" t="s">
        <v>1198</v>
      </c>
      <c r="C1979" s="295" t="s">
        <v>605</v>
      </c>
      <c r="D1979" s="296">
        <v>1390.0</v>
      </c>
      <c r="E1979" s="295" t="s">
        <v>1017</v>
      </c>
      <c r="F1979" s="292"/>
      <c r="G1979" s="293" t="str">
        <f>IFNA(IF(VLOOKUP(RC_OUT[BLOCK],RC_IN[[BLOCK]:[BLOCK LOC]],2,FALSE)=0,"",VLOOKUP(RC_OUT[BLOCK],RC_IN[[BLOCK]:[BLOCK LOC]],2,FALSE)),"")</f>
        <v>A-17C</v>
      </c>
      <c r="I1979" s="263">
        <f>IFERROR(AVERAGEIFS(RC_IN[MC],RC_IN[BLOCK],RC_OUT[BLOCK]),"")</f>
        <v>11.55</v>
      </c>
      <c r="J1979" s="264">
        <f t="shared" si="51"/>
        <v>16054.5</v>
      </c>
      <c r="K1979" s="246"/>
      <c r="L1979" s="246"/>
      <c r="M1979" s="249"/>
      <c r="N1979" s="266">
        <f t="shared" si="52"/>
        <v>0</v>
      </c>
      <c r="O1979" s="247"/>
      <c r="P1979" s="247"/>
      <c r="Q1979" s="247"/>
      <c r="R1979" s="247"/>
      <c r="S1979" s="247"/>
      <c r="T1979" s="247"/>
      <c r="U1979" s="247"/>
      <c r="V1979" s="247"/>
      <c r="W1979" s="247"/>
      <c r="X1979" s="247"/>
    </row>
    <row r="1980">
      <c r="A1980" s="294"/>
      <c r="B1980" s="295"/>
      <c r="C1980" s="295"/>
      <c r="D1980" s="296"/>
      <c r="E1980" s="295"/>
      <c r="F1980" s="292"/>
      <c r="G1980" s="293" t="str">
        <f>IFNA(IF(VLOOKUP(RC_OUT[BLOCK],RC_IN[[BLOCK]:[BLOCK LOC]],2,FALSE)=0,"",VLOOKUP(RC_OUT[BLOCK],RC_IN[[BLOCK]:[BLOCK LOC]],2,FALSE)),"")</f>
        <v/>
      </c>
      <c r="I1980" s="263" t="str">
        <f>IFERROR(AVERAGEIFS(RC_IN[MC],RC_IN[BLOCK],RC_OUT[BLOCK]),"")</f>
        <v/>
      </c>
      <c r="J1980" s="264">
        <f t="shared" si="51"/>
        <v>0</v>
      </c>
      <c r="K1980" s="246"/>
      <c r="L1980" s="246"/>
      <c r="M1980" s="249"/>
      <c r="N1980" s="266">
        <f t="shared" si="52"/>
        <v>0</v>
      </c>
      <c r="O1980" s="247"/>
      <c r="P1980" s="247"/>
      <c r="Q1980" s="247"/>
      <c r="R1980" s="247"/>
      <c r="S1980" s="247"/>
      <c r="T1980" s="247"/>
      <c r="U1980" s="247"/>
      <c r="V1980" s="247"/>
      <c r="W1980" s="247"/>
      <c r="X1980" s="247"/>
    </row>
    <row r="1981">
      <c r="A1981" s="294">
        <v>46129.0</v>
      </c>
      <c r="B1981" s="295" t="s">
        <v>1198</v>
      </c>
      <c r="C1981" s="295" t="s">
        <v>200</v>
      </c>
      <c r="D1981" s="296">
        <v>12531.0</v>
      </c>
      <c r="E1981" s="295" t="s">
        <v>1374</v>
      </c>
      <c r="F1981" s="292"/>
      <c r="G1981" s="293" t="str">
        <f>IFNA(IF(VLOOKUP(RC_OUT[BLOCK],RC_IN[[BLOCK]:[BLOCK LOC]],2,FALSE)=0,"",VLOOKUP(RC_OUT[BLOCK],RC_IN[[BLOCK]:[BLOCK LOC]],2,FALSE)),"")</f>
        <v>A-20A</v>
      </c>
      <c r="I1981" s="263">
        <f>IFERROR(AVERAGEIFS(RC_IN[MC],RC_IN[BLOCK],RC_OUT[BLOCK]),"")</f>
        <v>36.11333333</v>
      </c>
      <c r="J1981" s="264">
        <f t="shared" si="51"/>
        <v>452536.18</v>
      </c>
      <c r="K1981" s="246"/>
      <c r="L1981" s="246"/>
      <c r="M1981" s="249"/>
      <c r="N1981" s="266">
        <f t="shared" si="52"/>
        <v>0</v>
      </c>
      <c r="O1981" s="247"/>
      <c r="P1981" s="247"/>
      <c r="Q1981" s="247"/>
      <c r="R1981" s="247"/>
      <c r="S1981" s="247"/>
      <c r="T1981" s="247"/>
      <c r="U1981" s="247"/>
      <c r="V1981" s="247"/>
      <c r="W1981" s="247"/>
      <c r="X1981" s="247"/>
    </row>
    <row r="1982">
      <c r="A1982" s="294">
        <v>46129.0</v>
      </c>
      <c r="B1982" s="295" t="s">
        <v>1198</v>
      </c>
      <c r="C1982" s="295" t="s">
        <v>398</v>
      </c>
      <c r="D1982" s="296">
        <v>8760.0</v>
      </c>
      <c r="E1982" s="295" t="s">
        <v>1017</v>
      </c>
      <c r="F1982" s="292"/>
      <c r="G1982" s="293" t="str">
        <f>IFNA(IF(VLOOKUP(RC_OUT[BLOCK],RC_IN[[BLOCK]:[BLOCK LOC]],2,FALSE)=0,"",VLOOKUP(RC_OUT[BLOCK],RC_IN[[BLOCK]:[BLOCK LOC]],2,FALSE)),"")</f>
        <v>C-20A</v>
      </c>
      <c r="I1982" s="263">
        <f>IFERROR(AVERAGEIFS(RC_IN[MC],RC_IN[BLOCK],RC_OUT[BLOCK]),"")</f>
        <v>10.87142857</v>
      </c>
      <c r="J1982" s="264">
        <f t="shared" si="51"/>
        <v>95233.71429</v>
      </c>
      <c r="K1982" s="246"/>
      <c r="L1982" s="246"/>
      <c r="M1982" s="249"/>
      <c r="N1982" s="266">
        <f t="shared" si="52"/>
        <v>0</v>
      </c>
      <c r="O1982" s="247"/>
      <c r="P1982" s="247"/>
      <c r="Q1982" s="247"/>
      <c r="R1982" s="247"/>
      <c r="S1982" s="247"/>
      <c r="T1982" s="247"/>
      <c r="U1982" s="247"/>
      <c r="V1982" s="247"/>
      <c r="W1982" s="247"/>
      <c r="X1982" s="247"/>
    </row>
    <row r="1983">
      <c r="A1983" s="294">
        <v>46129.0</v>
      </c>
      <c r="B1983" s="295" t="s">
        <v>1198</v>
      </c>
      <c r="C1983" s="295" t="s">
        <v>646</v>
      </c>
      <c r="D1983" s="296">
        <v>4992.0</v>
      </c>
      <c r="E1983" s="295" t="s">
        <v>1017</v>
      </c>
      <c r="F1983" s="292"/>
      <c r="G1983" s="293" t="str">
        <f>IFNA(IF(VLOOKUP(RC_OUT[BLOCK],RC_IN[[BLOCK]:[BLOCK LOC]],2,FALSE)=0,"",VLOOKUP(RC_OUT[BLOCK],RC_IN[[BLOCK]:[BLOCK LOC]],2,FALSE)),"")</f>
        <v>D-12C</v>
      </c>
      <c r="I1983" s="263">
        <f>IFERROR(AVERAGEIFS(RC_IN[MC],RC_IN[BLOCK],RC_OUT[BLOCK]),"")</f>
        <v>11.858</v>
      </c>
      <c r="J1983" s="264">
        <f t="shared" si="51"/>
        <v>59195.136</v>
      </c>
      <c r="K1983" s="246"/>
      <c r="L1983" s="246"/>
      <c r="M1983" s="249"/>
      <c r="N1983" s="266">
        <f t="shared" si="52"/>
        <v>0</v>
      </c>
      <c r="O1983" s="247"/>
      <c r="P1983" s="247"/>
      <c r="Q1983" s="247"/>
      <c r="R1983" s="247"/>
      <c r="S1983" s="247"/>
      <c r="T1983" s="247"/>
      <c r="U1983" s="247"/>
      <c r="V1983" s="247"/>
      <c r="W1983" s="247"/>
      <c r="X1983" s="247"/>
    </row>
    <row r="1984">
      <c r="A1984" s="294">
        <v>46129.0</v>
      </c>
      <c r="B1984" s="295" t="s">
        <v>1198</v>
      </c>
      <c r="C1984" s="295" t="s">
        <v>913</v>
      </c>
      <c r="D1984" s="296">
        <v>4220.0</v>
      </c>
      <c r="E1984" s="295" t="s">
        <v>1017</v>
      </c>
      <c r="F1984" s="297" t="s">
        <v>1059</v>
      </c>
      <c r="G1984" s="293" t="str">
        <f>IFNA(IF(VLOOKUP(RC_OUT[BLOCK],RC_IN[[BLOCK]:[BLOCK LOC]],2,FALSE)=0,"",VLOOKUP(RC_OUT[BLOCK],RC_IN[[BLOCK]:[BLOCK LOC]],2,FALSE)),"")</f>
        <v/>
      </c>
      <c r="I1984" s="263">
        <f>IFERROR(AVERAGEIFS(RC_IN[MC],RC_IN[BLOCK],RC_OUT[BLOCK]),"")</f>
        <v>11.27</v>
      </c>
      <c r="J1984" s="264">
        <f t="shared" si="51"/>
        <v>47559.4</v>
      </c>
      <c r="K1984" s="246"/>
      <c r="L1984" s="246"/>
      <c r="M1984" s="249"/>
      <c r="N1984" s="266">
        <f t="shared" si="52"/>
        <v>0</v>
      </c>
      <c r="O1984" s="247"/>
      <c r="P1984" s="247"/>
      <c r="Q1984" s="247"/>
      <c r="R1984" s="247"/>
      <c r="S1984" s="247"/>
      <c r="T1984" s="247"/>
      <c r="U1984" s="247"/>
      <c r="V1984" s="247"/>
      <c r="W1984" s="247"/>
      <c r="X1984" s="247"/>
    </row>
    <row r="1985">
      <c r="A1985" s="294">
        <v>46129.0</v>
      </c>
      <c r="B1985" s="295" t="s">
        <v>1198</v>
      </c>
      <c r="C1985" s="295" t="s">
        <v>346</v>
      </c>
      <c r="D1985" s="296">
        <v>5512.0</v>
      </c>
      <c r="E1985" s="295" t="s">
        <v>1017</v>
      </c>
      <c r="F1985" s="292"/>
      <c r="G1985" s="293" t="str">
        <f>IFNA(IF(VLOOKUP(RC_OUT[BLOCK],RC_IN[[BLOCK]:[BLOCK LOC]],2,FALSE)=0,"",VLOOKUP(RC_OUT[BLOCK],RC_IN[[BLOCK]:[BLOCK LOC]],2,FALSE)),"")</f>
        <v>D-15D</v>
      </c>
      <c r="I1985" s="263">
        <f>IFERROR(AVERAGEIFS(RC_IN[MC],RC_IN[BLOCK],RC_OUT[BLOCK]),"")</f>
        <v>11.56</v>
      </c>
      <c r="J1985" s="264">
        <f t="shared" si="51"/>
        <v>63718.72</v>
      </c>
      <c r="K1985" s="246"/>
      <c r="L1985" s="246"/>
      <c r="M1985" s="249"/>
      <c r="N1985" s="266">
        <f t="shared" si="52"/>
        <v>0</v>
      </c>
      <c r="O1985" s="247"/>
      <c r="P1985" s="247"/>
      <c r="Q1985" s="247"/>
      <c r="R1985" s="247"/>
      <c r="S1985" s="247"/>
      <c r="T1985" s="247"/>
      <c r="U1985" s="247"/>
      <c r="V1985" s="247"/>
      <c r="W1985" s="247"/>
      <c r="X1985" s="247"/>
    </row>
    <row r="1986">
      <c r="A1986" s="294">
        <v>46129.0</v>
      </c>
      <c r="B1986" s="295" t="s">
        <v>1198</v>
      </c>
      <c r="C1986" s="295" t="s">
        <v>605</v>
      </c>
      <c r="D1986" s="296">
        <v>5733.0</v>
      </c>
      <c r="E1986" s="295" t="s">
        <v>1017</v>
      </c>
      <c r="F1986" s="292"/>
      <c r="G1986" s="293" t="str">
        <f>IFNA(IF(VLOOKUP(RC_OUT[BLOCK],RC_IN[[BLOCK]:[BLOCK LOC]],2,FALSE)=0,"",VLOOKUP(RC_OUT[BLOCK],RC_IN[[BLOCK]:[BLOCK LOC]],2,FALSE)),"")</f>
        <v>A-17C</v>
      </c>
      <c r="I1986" s="263">
        <f>IFERROR(AVERAGEIFS(RC_IN[MC],RC_IN[BLOCK],RC_OUT[BLOCK]),"")</f>
        <v>11.55</v>
      </c>
      <c r="J1986" s="264">
        <f t="shared" si="51"/>
        <v>66216.15</v>
      </c>
      <c r="K1986" s="246"/>
      <c r="L1986" s="246"/>
      <c r="M1986" s="249"/>
      <c r="N1986" s="266">
        <f t="shared" si="52"/>
        <v>0</v>
      </c>
      <c r="O1986" s="247"/>
      <c r="P1986" s="247"/>
      <c r="Q1986" s="247"/>
      <c r="R1986" s="247"/>
      <c r="S1986" s="247"/>
      <c r="T1986" s="247"/>
      <c r="U1986" s="247"/>
      <c r="V1986" s="247"/>
      <c r="W1986" s="247"/>
      <c r="X1986" s="247"/>
    </row>
    <row r="1987">
      <c r="A1987" s="294"/>
      <c r="B1987" s="295"/>
      <c r="C1987" s="295"/>
      <c r="D1987" s="296"/>
      <c r="E1987" s="295"/>
      <c r="F1987" s="292"/>
      <c r="G1987" s="293" t="str">
        <f>IFNA(IF(VLOOKUP(RC_OUT[BLOCK],RC_IN[[BLOCK]:[BLOCK LOC]],2,FALSE)=0,"",VLOOKUP(RC_OUT[BLOCK],RC_IN[[BLOCK]:[BLOCK LOC]],2,FALSE)),"")</f>
        <v/>
      </c>
      <c r="I1987" s="263" t="str">
        <f>IFERROR(AVERAGEIFS(RC_IN[MC],RC_IN[BLOCK],RC_OUT[BLOCK]),"")</f>
        <v/>
      </c>
      <c r="J1987" s="264">
        <f t="shared" si="51"/>
        <v>0</v>
      </c>
      <c r="K1987" s="246"/>
      <c r="L1987" s="246"/>
      <c r="M1987" s="249"/>
      <c r="N1987" s="266">
        <f t="shared" si="52"/>
        <v>0</v>
      </c>
      <c r="O1987" s="247"/>
      <c r="P1987" s="247"/>
      <c r="Q1987" s="247"/>
      <c r="R1987" s="247"/>
      <c r="S1987" s="247"/>
      <c r="T1987" s="247"/>
      <c r="U1987" s="247"/>
      <c r="V1987" s="247"/>
      <c r="W1987" s="247"/>
      <c r="X1987" s="247"/>
    </row>
    <row r="1988">
      <c r="A1988" s="294">
        <v>46130.0</v>
      </c>
      <c r="B1988" s="295" t="s">
        <v>1198</v>
      </c>
      <c r="C1988" s="295" t="s">
        <v>200</v>
      </c>
      <c r="D1988" s="296">
        <v>5459.0</v>
      </c>
      <c r="E1988" s="295" t="s">
        <v>1374</v>
      </c>
      <c r="F1988" s="292"/>
      <c r="G1988" s="293" t="str">
        <f>IFNA(IF(VLOOKUP(RC_OUT[BLOCK],RC_IN[[BLOCK]:[BLOCK LOC]],2,FALSE)=0,"",VLOOKUP(RC_OUT[BLOCK],RC_IN[[BLOCK]:[BLOCK LOC]],2,FALSE)),"")</f>
        <v>A-20A</v>
      </c>
      <c r="I1988" s="263">
        <f>IFERROR(AVERAGEIFS(RC_IN[MC],RC_IN[BLOCK],RC_OUT[BLOCK]),"")</f>
        <v>36.11333333</v>
      </c>
      <c r="J1988" s="264">
        <f t="shared" si="51"/>
        <v>197142.6867</v>
      </c>
      <c r="K1988" s="246"/>
      <c r="L1988" s="246"/>
      <c r="M1988" s="249"/>
      <c r="N1988" s="266">
        <f t="shared" si="52"/>
        <v>0</v>
      </c>
      <c r="O1988" s="247"/>
      <c r="P1988" s="247"/>
      <c r="Q1988" s="247"/>
      <c r="R1988" s="247"/>
      <c r="S1988" s="247"/>
      <c r="T1988" s="247"/>
      <c r="U1988" s="247"/>
      <c r="V1988" s="247"/>
      <c r="W1988" s="247"/>
      <c r="X1988" s="247"/>
    </row>
    <row r="1989">
      <c r="A1989" s="294">
        <v>46130.0</v>
      </c>
      <c r="B1989" s="295" t="s">
        <v>1198</v>
      </c>
      <c r="C1989" s="295" t="s">
        <v>200</v>
      </c>
      <c r="D1989" s="296">
        <v>959.0</v>
      </c>
      <c r="E1989" s="295" t="s">
        <v>1374</v>
      </c>
      <c r="F1989" s="292"/>
      <c r="G1989" s="293" t="str">
        <f>IFNA(IF(VLOOKUP(RC_OUT[BLOCK],RC_IN[[BLOCK]:[BLOCK LOC]],2,FALSE)=0,"",VLOOKUP(RC_OUT[BLOCK],RC_IN[[BLOCK]:[BLOCK LOC]],2,FALSE)),"")</f>
        <v>A-20A</v>
      </c>
      <c r="I1989" s="263">
        <f>IFERROR(AVERAGEIFS(RC_IN[MC],RC_IN[BLOCK],RC_OUT[BLOCK]),"")</f>
        <v>36.11333333</v>
      </c>
      <c r="J1989" s="264">
        <f t="shared" si="51"/>
        <v>34632.68667</v>
      </c>
      <c r="K1989" s="246"/>
      <c r="L1989" s="246"/>
      <c r="M1989" s="249"/>
      <c r="N1989" s="266">
        <f t="shared" si="52"/>
        <v>0</v>
      </c>
      <c r="O1989" s="247"/>
      <c r="P1989" s="247"/>
      <c r="Q1989" s="247"/>
      <c r="R1989" s="247"/>
      <c r="S1989" s="247"/>
      <c r="T1989" s="247"/>
      <c r="U1989" s="247"/>
      <c r="V1989" s="247"/>
      <c r="W1989" s="247"/>
      <c r="X1989" s="247"/>
    </row>
    <row r="1990">
      <c r="A1990" s="294">
        <v>46130.0</v>
      </c>
      <c r="B1990" s="295" t="s">
        <v>1198</v>
      </c>
      <c r="C1990" s="295" t="s">
        <v>398</v>
      </c>
      <c r="D1990" s="296">
        <v>8632.0</v>
      </c>
      <c r="E1990" s="295" t="s">
        <v>1017</v>
      </c>
      <c r="F1990" s="297" t="s">
        <v>1059</v>
      </c>
      <c r="G1990" s="293" t="str">
        <f>IFNA(IF(VLOOKUP(RC_OUT[BLOCK],RC_IN[[BLOCK]:[BLOCK LOC]],2,FALSE)=0,"",VLOOKUP(RC_OUT[BLOCK],RC_IN[[BLOCK]:[BLOCK LOC]],2,FALSE)),"")</f>
        <v>C-20A</v>
      </c>
      <c r="I1990" s="263">
        <f>IFERROR(AVERAGEIFS(RC_IN[MC],RC_IN[BLOCK],RC_OUT[BLOCK]),"")</f>
        <v>10.87142857</v>
      </c>
      <c r="J1990" s="264">
        <f t="shared" si="51"/>
        <v>93842.17143</v>
      </c>
      <c r="K1990" s="246"/>
      <c r="L1990" s="246"/>
      <c r="M1990" s="249"/>
      <c r="N1990" s="266">
        <f t="shared" si="52"/>
        <v>0</v>
      </c>
      <c r="O1990" s="247"/>
      <c r="P1990" s="247"/>
      <c r="Q1990" s="247"/>
      <c r="R1990" s="247"/>
      <c r="S1990" s="247"/>
      <c r="T1990" s="247"/>
      <c r="U1990" s="247"/>
      <c r="V1990" s="247"/>
      <c r="W1990" s="247"/>
      <c r="X1990" s="247"/>
    </row>
    <row r="1991">
      <c r="A1991" s="294">
        <v>46130.0</v>
      </c>
      <c r="B1991" s="295" t="s">
        <v>1198</v>
      </c>
      <c r="C1991" s="295" t="s">
        <v>646</v>
      </c>
      <c r="D1991" s="296">
        <v>5642.0</v>
      </c>
      <c r="E1991" s="295" t="s">
        <v>1017</v>
      </c>
      <c r="F1991" s="292"/>
      <c r="G1991" s="293" t="str">
        <f>IFNA(IF(VLOOKUP(RC_OUT[BLOCK],RC_IN[[BLOCK]:[BLOCK LOC]],2,FALSE)=0,"",VLOOKUP(RC_OUT[BLOCK],RC_IN[[BLOCK]:[BLOCK LOC]],2,FALSE)),"")</f>
        <v>D-12C</v>
      </c>
      <c r="I1991" s="263">
        <f>IFERROR(AVERAGEIFS(RC_IN[MC],RC_IN[BLOCK],RC_OUT[BLOCK]),"")</f>
        <v>11.858</v>
      </c>
      <c r="J1991" s="264">
        <f t="shared" si="51"/>
        <v>66902.836</v>
      </c>
      <c r="K1991" s="246"/>
      <c r="L1991" s="246"/>
      <c r="M1991" s="249"/>
      <c r="N1991" s="266">
        <f t="shared" si="52"/>
        <v>0</v>
      </c>
      <c r="O1991" s="247"/>
      <c r="P1991" s="247"/>
      <c r="Q1991" s="247"/>
      <c r="R1991" s="247"/>
      <c r="S1991" s="247"/>
      <c r="T1991" s="247"/>
      <c r="U1991" s="247"/>
      <c r="V1991" s="247"/>
      <c r="W1991" s="247"/>
      <c r="X1991" s="247"/>
    </row>
    <row r="1992">
      <c r="A1992" s="294">
        <v>46130.0</v>
      </c>
      <c r="B1992" s="295" t="s">
        <v>1198</v>
      </c>
      <c r="C1992" s="295" t="s">
        <v>346</v>
      </c>
      <c r="D1992" s="296">
        <v>6066.0</v>
      </c>
      <c r="E1992" s="295" t="s">
        <v>1017</v>
      </c>
      <c r="F1992" s="292"/>
      <c r="G1992" s="293" t="str">
        <f>IFNA(IF(VLOOKUP(RC_OUT[BLOCK],RC_IN[[BLOCK]:[BLOCK LOC]],2,FALSE)=0,"",VLOOKUP(RC_OUT[BLOCK],RC_IN[[BLOCK]:[BLOCK LOC]],2,FALSE)),"")</f>
        <v>D-15D</v>
      </c>
      <c r="I1992" s="263">
        <f>IFERROR(AVERAGEIFS(RC_IN[MC],RC_IN[BLOCK],RC_OUT[BLOCK]),"")</f>
        <v>11.56</v>
      </c>
      <c r="J1992" s="264">
        <f t="shared" si="51"/>
        <v>70122.96</v>
      </c>
      <c r="K1992" s="246"/>
      <c r="L1992" s="246"/>
      <c r="M1992" s="249"/>
      <c r="N1992" s="266">
        <f t="shared" si="52"/>
        <v>0</v>
      </c>
      <c r="O1992" s="247"/>
      <c r="P1992" s="247"/>
      <c r="Q1992" s="247"/>
      <c r="R1992" s="247"/>
      <c r="S1992" s="247"/>
      <c r="T1992" s="247"/>
      <c r="U1992" s="247"/>
      <c r="V1992" s="247"/>
      <c r="W1992" s="247"/>
      <c r="X1992" s="247"/>
    </row>
    <row r="1993">
      <c r="A1993" s="294">
        <v>46130.0</v>
      </c>
      <c r="B1993" s="295" t="s">
        <v>1198</v>
      </c>
      <c r="C1993" s="295" t="s">
        <v>605</v>
      </c>
      <c r="D1993" s="296">
        <v>8816.0</v>
      </c>
      <c r="E1993" s="295" t="s">
        <v>1017</v>
      </c>
      <c r="F1993" s="292"/>
      <c r="G1993" s="293" t="str">
        <f>IFNA(IF(VLOOKUP(RC_OUT[BLOCK],RC_IN[[BLOCK]:[BLOCK LOC]],2,FALSE)=0,"",VLOOKUP(RC_OUT[BLOCK],RC_IN[[BLOCK]:[BLOCK LOC]],2,FALSE)),"")</f>
        <v>A-17C</v>
      </c>
      <c r="I1993" s="263">
        <f>IFERROR(AVERAGEIFS(RC_IN[MC],RC_IN[BLOCK],RC_OUT[BLOCK]),"")</f>
        <v>11.55</v>
      </c>
      <c r="J1993" s="264">
        <f t="shared" si="51"/>
        <v>101824.8</v>
      </c>
      <c r="K1993" s="246"/>
      <c r="L1993" s="246"/>
      <c r="M1993" s="249"/>
      <c r="N1993" s="266">
        <f t="shared" si="52"/>
        <v>0</v>
      </c>
      <c r="O1993" s="247"/>
      <c r="P1993" s="247"/>
      <c r="Q1993" s="247"/>
      <c r="R1993" s="247"/>
      <c r="S1993" s="247"/>
      <c r="T1993" s="247"/>
      <c r="U1993" s="247"/>
      <c r="V1993" s="247"/>
      <c r="W1993" s="247"/>
      <c r="X1993" s="247"/>
    </row>
    <row r="1994">
      <c r="A1994" s="294">
        <v>46130.0</v>
      </c>
      <c r="B1994" s="295" t="s">
        <v>1198</v>
      </c>
      <c r="C1994" s="295" t="s">
        <v>920</v>
      </c>
      <c r="D1994" s="296">
        <v>4530.0</v>
      </c>
      <c r="E1994" s="295" t="s">
        <v>1017</v>
      </c>
      <c r="F1994" s="292"/>
      <c r="G1994" s="293" t="str">
        <f>IFNA(IF(VLOOKUP(RC_OUT[BLOCK],RC_IN[[BLOCK]:[BLOCK LOC]],2,FALSE)=0,"",VLOOKUP(RC_OUT[BLOCK],RC_IN[[BLOCK]:[BLOCK LOC]],2,FALSE)),"")</f>
        <v/>
      </c>
      <c r="I1994" s="263">
        <f>IFERROR(AVERAGEIFS(RC_IN[MC],RC_IN[BLOCK],RC_OUT[BLOCK]),"")</f>
        <v>11.34</v>
      </c>
      <c r="J1994" s="264">
        <f t="shared" si="51"/>
        <v>51370.2</v>
      </c>
      <c r="K1994" s="246"/>
      <c r="L1994" s="246"/>
      <c r="M1994" s="249"/>
      <c r="N1994" s="266">
        <f t="shared" si="52"/>
        <v>0</v>
      </c>
      <c r="O1994" s="247"/>
      <c r="P1994" s="247"/>
      <c r="Q1994" s="247"/>
      <c r="R1994" s="247"/>
      <c r="S1994" s="247"/>
      <c r="T1994" s="247"/>
      <c r="U1994" s="247"/>
      <c r="V1994" s="247"/>
      <c r="W1994" s="247"/>
      <c r="X1994" s="247"/>
    </row>
    <row r="1995">
      <c r="A1995" s="294"/>
      <c r="B1995" s="295"/>
      <c r="C1995" s="295"/>
      <c r="D1995" s="296"/>
      <c r="E1995" s="295"/>
      <c r="F1995" s="292"/>
      <c r="G1995" s="293" t="str">
        <f>IFNA(IF(VLOOKUP(RC_OUT[BLOCK],RC_IN[[BLOCK]:[BLOCK LOC]],2,FALSE)=0,"",VLOOKUP(RC_OUT[BLOCK],RC_IN[[BLOCK]:[BLOCK LOC]],2,FALSE)),"")</f>
        <v/>
      </c>
      <c r="I1995" s="263" t="str">
        <f>IFERROR(AVERAGEIFS(RC_IN[MC],RC_IN[BLOCK],RC_OUT[BLOCK]),"")</f>
        <v/>
      </c>
      <c r="J1995" s="264">
        <f t="shared" si="51"/>
        <v>0</v>
      </c>
      <c r="K1995" s="246"/>
      <c r="L1995" s="246"/>
      <c r="M1995" s="249"/>
      <c r="N1995" s="266">
        <f t="shared" si="52"/>
        <v>0</v>
      </c>
      <c r="O1995" s="247"/>
      <c r="P1995" s="247"/>
      <c r="Q1995" s="247"/>
      <c r="R1995" s="247"/>
      <c r="S1995" s="247"/>
      <c r="T1995" s="247"/>
      <c r="U1995" s="247"/>
      <c r="V1995" s="247"/>
      <c r="W1995" s="247"/>
      <c r="X1995" s="247"/>
    </row>
    <row r="1996">
      <c r="A1996" s="294">
        <v>46132.0</v>
      </c>
      <c r="B1996" s="295" t="s">
        <v>1198</v>
      </c>
      <c r="C1996" s="295" t="s">
        <v>200</v>
      </c>
      <c r="D1996" s="296">
        <v>2322.0</v>
      </c>
      <c r="E1996" s="295" t="s">
        <v>1374</v>
      </c>
      <c r="F1996" s="297" t="s">
        <v>1059</v>
      </c>
      <c r="G1996" s="293" t="str">
        <f>IFNA(IF(VLOOKUP(RC_OUT[BLOCK],RC_IN[[BLOCK]:[BLOCK LOC]],2,FALSE)=0,"",VLOOKUP(RC_OUT[BLOCK],RC_IN[[BLOCK]:[BLOCK LOC]],2,FALSE)),"")</f>
        <v>A-20A</v>
      </c>
      <c r="I1996" s="263">
        <f>IFERROR(AVERAGEIFS(RC_IN[MC],RC_IN[BLOCK],RC_OUT[BLOCK]),"")</f>
        <v>36.11333333</v>
      </c>
      <c r="J1996" s="264">
        <f t="shared" si="51"/>
        <v>83855.16</v>
      </c>
      <c r="K1996" s="246"/>
      <c r="L1996" s="246"/>
      <c r="M1996" s="249"/>
      <c r="N1996" s="266">
        <f t="shared" si="52"/>
        <v>0</v>
      </c>
      <c r="O1996" s="247"/>
      <c r="P1996" s="247"/>
      <c r="Q1996" s="247"/>
      <c r="R1996" s="247"/>
      <c r="S1996" s="247"/>
      <c r="T1996" s="247"/>
      <c r="U1996" s="247"/>
      <c r="V1996" s="247"/>
      <c r="W1996" s="247"/>
      <c r="X1996" s="247"/>
    </row>
    <row r="1997">
      <c r="A1997" s="294">
        <v>46132.0</v>
      </c>
      <c r="B1997" s="295" t="s">
        <v>1198</v>
      </c>
      <c r="C1997" s="295" t="s">
        <v>646</v>
      </c>
      <c r="D1997" s="296">
        <v>5490.0</v>
      </c>
      <c r="E1997" s="295" t="s">
        <v>1017</v>
      </c>
      <c r="F1997" s="292"/>
      <c r="G1997" s="293" t="str">
        <f>IFNA(IF(VLOOKUP(RC_OUT[BLOCK],RC_IN[[BLOCK]:[BLOCK LOC]],2,FALSE)=0,"",VLOOKUP(RC_OUT[BLOCK],RC_IN[[BLOCK]:[BLOCK LOC]],2,FALSE)),"")</f>
        <v>D-12C</v>
      </c>
      <c r="I1997" s="263">
        <f>IFERROR(AVERAGEIFS(RC_IN[MC],RC_IN[BLOCK],RC_OUT[BLOCK]),"")</f>
        <v>11.858</v>
      </c>
      <c r="J1997" s="264">
        <f t="shared" si="51"/>
        <v>65100.42</v>
      </c>
      <c r="K1997" s="246"/>
      <c r="L1997" s="246"/>
      <c r="M1997" s="249"/>
      <c r="N1997" s="266">
        <f t="shared" si="52"/>
        <v>0</v>
      </c>
      <c r="O1997" s="247"/>
      <c r="P1997" s="247"/>
      <c r="Q1997" s="247"/>
      <c r="R1997" s="247"/>
      <c r="S1997" s="247"/>
      <c r="T1997" s="247"/>
      <c r="U1997" s="247"/>
      <c r="V1997" s="247"/>
      <c r="W1997" s="247"/>
      <c r="X1997" s="247"/>
    </row>
    <row r="1998">
      <c r="A1998" s="294">
        <v>46132.0</v>
      </c>
      <c r="B1998" s="295" t="s">
        <v>1198</v>
      </c>
      <c r="C1998" s="295" t="s">
        <v>346</v>
      </c>
      <c r="D1998" s="296">
        <v>6206.0</v>
      </c>
      <c r="E1998" s="295" t="s">
        <v>1017</v>
      </c>
      <c r="F1998" s="292"/>
      <c r="G1998" s="293" t="str">
        <f>IFNA(IF(VLOOKUP(RC_OUT[BLOCK],RC_IN[[BLOCK]:[BLOCK LOC]],2,FALSE)=0,"",VLOOKUP(RC_OUT[BLOCK],RC_IN[[BLOCK]:[BLOCK LOC]],2,FALSE)),"")</f>
        <v>D-15D</v>
      </c>
      <c r="I1998" s="263">
        <f>IFERROR(AVERAGEIFS(RC_IN[MC],RC_IN[BLOCK],RC_OUT[BLOCK]),"")</f>
        <v>11.56</v>
      </c>
      <c r="J1998" s="264">
        <f t="shared" si="51"/>
        <v>71741.36</v>
      </c>
      <c r="K1998" s="246"/>
      <c r="L1998" s="246"/>
      <c r="M1998" s="249"/>
      <c r="N1998" s="266">
        <f t="shared" si="52"/>
        <v>0</v>
      </c>
      <c r="O1998" s="247"/>
      <c r="P1998" s="247"/>
      <c r="Q1998" s="247"/>
      <c r="R1998" s="247"/>
      <c r="S1998" s="247"/>
      <c r="T1998" s="247"/>
      <c r="U1998" s="247"/>
      <c r="V1998" s="247"/>
      <c r="W1998" s="247"/>
      <c r="X1998" s="247"/>
    </row>
    <row r="1999">
      <c r="A1999" s="294">
        <v>46132.0</v>
      </c>
      <c r="B1999" s="295" t="s">
        <v>1198</v>
      </c>
      <c r="C1999" s="295" t="s">
        <v>605</v>
      </c>
      <c r="D1999" s="296">
        <v>18924.0</v>
      </c>
      <c r="E1999" s="295" t="s">
        <v>1017</v>
      </c>
      <c r="F1999" s="292"/>
      <c r="G1999" s="293" t="str">
        <f>IFNA(IF(VLOOKUP(RC_OUT[BLOCK],RC_IN[[BLOCK]:[BLOCK LOC]],2,FALSE)=0,"",VLOOKUP(RC_OUT[BLOCK],RC_IN[[BLOCK]:[BLOCK LOC]],2,FALSE)),"")</f>
        <v>A-17C</v>
      </c>
      <c r="I1999" s="263">
        <f>IFERROR(AVERAGEIFS(RC_IN[MC],RC_IN[BLOCK],RC_OUT[BLOCK]),"")</f>
        <v>11.55</v>
      </c>
      <c r="J1999" s="264">
        <f t="shared" si="51"/>
        <v>218572.2</v>
      </c>
      <c r="K1999" s="246"/>
      <c r="L1999" s="246"/>
      <c r="M1999" s="249"/>
      <c r="N1999" s="266">
        <f t="shared" si="52"/>
        <v>0</v>
      </c>
      <c r="O1999" s="247"/>
      <c r="P1999" s="247"/>
      <c r="Q1999" s="247"/>
      <c r="R1999" s="247"/>
      <c r="S1999" s="247"/>
      <c r="T1999" s="247"/>
      <c r="U1999" s="247"/>
      <c r="V1999" s="247"/>
      <c r="W1999" s="247"/>
      <c r="X1999" s="247"/>
    </row>
    <row r="2000">
      <c r="A2000" s="294">
        <v>46132.0</v>
      </c>
      <c r="B2000" s="295" t="s">
        <v>1198</v>
      </c>
      <c r="C2000" s="295" t="s">
        <v>920</v>
      </c>
      <c r="D2000" s="296">
        <v>10000.0</v>
      </c>
      <c r="E2000" s="295" t="s">
        <v>1017</v>
      </c>
      <c r="F2000" s="292"/>
      <c r="G2000" s="293" t="str">
        <f>IFNA(IF(VLOOKUP(RC_OUT[BLOCK],RC_IN[[BLOCK]:[BLOCK LOC]],2,FALSE)=0,"",VLOOKUP(RC_OUT[BLOCK],RC_IN[[BLOCK]:[BLOCK LOC]],2,FALSE)),"")</f>
        <v/>
      </c>
      <c r="I2000" s="263">
        <f>IFERROR(AVERAGEIFS(RC_IN[MC],RC_IN[BLOCK],RC_OUT[BLOCK]),"")</f>
        <v>11.34</v>
      </c>
      <c r="J2000" s="264">
        <f t="shared" si="51"/>
        <v>113400</v>
      </c>
      <c r="K2000" s="246"/>
      <c r="L2000" s="246"/>
      <c r="M2000" s="249"/>
      <c r="N2000" s="266">
        <f t="shared" si="52"/>
        <v>0</v>
      </c>
      <c r="O2000" s="247"/>
      <c r="P2000" s="247"/>
      <c r="Q2000" s="247"/>
      <c r="R2000" s="247"/>
      <c r="S2000" s="247"/>
      <c r="T2000" s="247"/>
      <c r="U2000" s="247"/>
      <c r="V2000" s="247"/>
      <c r="W2000" s="247"/>
      <c r="X2000" s="247"/>
    </row>
    <row r="2001">
      <c r="A2001" s="294"/>
      <c r="B2001" s="295"/>
      <c r="C2001" s="295"/>
      <c r="D2001" s="296"/>
      <c r="E2001" s="295"/>
      <c r="F2001" s="292"/>
      <c r="G2001" s="293" t="str">
        <f>IFNA(IF(VLOOKUP(RC_OUT[BLOCK],RC_IN[[BLOCK]:[BLOCK LOC]],2,FALSE)=0,"",VLOOKUP(RC_OUT[BLOCK],RC_IN[[BLOCK]:[BLOCK LOC]],2,FALSE)),"")</f>
        <v/>
      </c>
      <c r="I2001" s="263" t="str">
        <f>IFERROR(AVERAGEIFS(RC_IN[MC],RC_IN[BLOCK],RC_OUT[BLOCK]),"")</f>
        <v/>
      </c>
      <c r="J2001" s="264">
        <f t="shared" si="51"/>
        <v>0</v>
      </c>
      <c r="K2001" s="246"/>
      <c r="L2001" s="246"/>
      <c r="M2001" s="249"/>
      <c r="N2001" s="266">
        <f t="shared" si="52"/>
        <v>0</v>
      </c>
      <c r="O2001" s="247"/>
      <c r="P2001" s="247"/>
      <c r="Q2001" s="247"/>
      <c r="R2001" s="247"/>
      <c r="S2001" s="247"/>
      <c r="T2001" s="247"/>
      <c r="U2001" s="247"/>
      <c r="V2001" s="247"/>
      <c r="W2001" s="247"/>
      <c r="X2001" s="247"/>
    </row>
    <row r="2002">
      <c r="A2002" s="294">
        <v>46133.0</v>
      </c>
      <c r="B2002" s="295" t="s">
        <v>1198</v>
      </c>
      <c r="C2002" s="295" t="s">
        <v>584</v>
      </c>
      <c r="D2002" s="296">
        <v>6249.0</v>
      </c>
      <c r="E2002" s="295" t="s">
        <v>1374</v>
      </c>
      <c r="F2002" s="292"/>
      <c r="G2002" s="293" t="str">
        <f>IFNA(IF(VLOOKUP(RC_OUT[BLOCK],RC_IN[[BLOCK]:[BLOCK LOC]],2,FALSE)=0,"",VLOOKUP(RC_OUT[BLOCK],RC_IN[[BLOCK]:[BLOCK LOC]],2,FALSE)),"")</f>
        <v>D-17D</v>
      </c>
      <c r="I2002" s="263">
        <f>IFERROR(AVERAGEIFS(RC_IN[MC],RC_IN[BLOCK],RC_OUT[BLOCK]),"")</f>
        <v>14.135</v>
      </c>
      <c r="J2002" s="264">
        <f t="shared" si="51"/>
        <v>88329.615</v>
      </c>
      <c r="K2002" s="246"/>
      <c r="L2002" s="246"/>
      <c r="M2002" s="249"/>
      <c r="N2002" s="266">
        <f t="shared" si="52"/>
        <v>0</v>
      </c>
      <c r="O2002" s="247"/>
      <c r="P2002" s="247"/>
      <c r="Q2002" s="247"/>
      <c r="R2002" s="247"/>
      <c r="S2002" s="247"/>
      <c r="T2002" s="247"/>
      <c r="U2002" s="247"/>
      <c r="V2002" s="247"/>
      <c r="W2002" s="247"/>
      <c r="X2002" s="247"/>
    </row>
    <row r="2003">
      <c r="A2003" s="294">
        <v>46133.0</v>
      </c>
      <c r="B2003" s="295" t="s">
        <v>1198</v>
      </c>
      <c r="C2003" s="295" t="s">
        <v>646</v>
      </c>
      <c r="D2003" s="296">
        <v>4938.0</v>
      </c>
      <c r="E2003" s="295" t="s">
        <v>1017</v>
      </c>
      <c r="F2003" s="292"/>
      <c r="G2003" s="293" t="str">
        <f>IFNA(IF(VLOOKUP(RC_OUT[BLOCK],RC_IN[[BLOCK]:[BLOCK LOC]],2,FALSE)=0,"",VLOOKUP(RC_OUT[BLOCK],RC_IN[[BLOCK]:[BLOCK LOC]],2,FALSE)),"")</f>
        <v>D-12C</v>
      </c>
      <c r="I2003" s="263">
        <f>IFERROR(AVERAGEIFS(RC_IN[MC],RC_IN[BLOCK],RC_OUT[BLOCK]),"")</f>
        <v>11.858</v>
      </c>
      <c r="J2003" s="264">
        <f t="shared" si="51"/>
        <v>58554.804</v>
      </c>
      <c r="K2003" s="246"/>
      <c r="L2003" s="246"/>
      <c r="M2003" s="249"/>
      <c r="N2003" s="266">
        <f t="shared" si="52"/>
        <v>0</v>
      </c>
      <c r="O2003" s="247"/>
      <c r="P2003" s="247"/>
      <c r="Q2003" s="247"/>
      <c r="R2003" s="247"/>
      <c r="S2003" s="247"/>
      <c r="T2003" s="247"/>
      <c r="U2003" s="247"/>
      <c r="V2003" s="247"/>
      <c r="W2003" s="247"/>
      <c r="X2003" s="247"/>
    </row>
    <row r="2004">
      <c r="A2004" s="294">
        <v>46133.0</v>
      </c>
      <c r="B2004" s="295" t="s">
        <v>1198</v>
      </c>
      <c r="C2004" s="295" t="s">
        <v>346</v>
      </c>
      <c r="D2004" s="296">
        <v>5189.0</v>
      </c>
      <c r="E2004" s="295" t="s">
        <v>1017</v>
      </c>
      <c r="F2004" s="292"/>
      <c r="G2004" s="293" t="str">
        <f>IFNA(IF(VLOOKUP(RC_OUT[BLOCK],RC_IN[[BLOCK]:[BLOCK LOC]],2,FALSE)=0,"",VLOOKUP(RC_OUT[BLOCK],RC_IN[[BLOCK]:[BLOCK LOC]],2,FALSE)),"")</f>
        <v>D-15D</v>
      </c>
      <c r="I2004" s="263">
        <f>IFERROR(AVERAGEIFS(RC_IN[MC],RC_IN[BLOCK],RC_OUT[BLOCK]),"")</f>
        <v>11.56</v>
      </c>
      <c r="J2004" s="264">
        <f t="shared" si="51"/>
        <v>59984.84</v>
      </c>
      <c r="K2004" s="246"/>
      <c r="L2004" s="246"/>
      <c r="M2004" s="249"/>
      <c r="N2004" s="266">
        <f t="shared" si="52"/>
        <v>0</v>
      </c>
      <c r="O2004" s="247"/>
      <c r="P2004" s="247"/>
      <c r="Q2004" s="247"/>
      <c r="R2004" s="247"/>
      <c r="S2004" s="247"/>
      <c r="T2004" s="247"/>
      <c r="U2004" s="247"/>
      <c r="V2004" s="247"/>
      <c r="W2004" s="247"/>
      <c r="X2004" s="247"/>
    </row>
    <row r="2005">
      <c r="A2005" s="294">
        <v>46133.0</v>
      </c>
      <c r="B2005" s="295" t="s">
        <v>1198</v>
      </c>
      <c r="C2005" s="295" t="s">
        <v>605</v>
      </c>
      <c r="D2005" s="296">
        <v>14348.0</v>
      </c>
      <c r="E2005" s="295" t="s">
        <v>1017</v>
      </c>
      <c r="F2005" s="292"/>
      <c r="G2005" s="293" t="str">
        <f>IFNA(IF(VLOOKUP(RC_OUT[BLOCK],RC_IN[[BLOCK]:[BLOCK LOC]],2,FALSE)=0,"",VLOOKUP(RC_OUT[BLOCK],RC_IN[[BLOCK]:[BLOCK LOC]],2,FALSE)),"")</f>
        <v>A-17C</v>
      </c>
      <c r="I2005" s="263">
        <f>IFERROR(AVERAGEIFS(RC_IN[MC],RC_IN[BLOCK],RC_OUT[BLOCK]),"")</f>
        <v>11.55</v>
      </c>
      <c r="J2005" s="264">
        <f t="shared" si="51"/>
        <v>165719.4</v>
      </c>
      <c r="K2005" s="246"/>
      <c r="L2005" s="246"/>
      <c r="M2005" s="249"/>
      <c r="N2005" s="266">
        <f t="shared" si="52"/>
        <v>0</v>
      </c>
      <c r="O2005" s="247"/>
      <c r="P2005" s="247"/>
      <c r="Q2005" s="247"/>
      <c r="R2005" s="247"/>
      <c r="S2005" s="247"/>
      <c r="T2005" s="247"/>
      <c r="U2005" s="247"/>
      <c r="V2005" s="247"/>
      <c r="W2005" s="247"/>
      <c r="X2005" s="247"/>
    </row>
    <row r="2006">
      <c r="A2006" s="294">
        <v>46133.0</v>
      </c>
      <c r="B2006" s="295" t="s">
        <v>1198</v>
      </c>
      <c r="C2006" s="295" t="s">
        <v>920</v>
      </c>
      <c r="D2006" s="296">
        <v>5000.0</v>
      </c>
      <c r="E2006" s="295" t="s">
        <v>1017</v>
      </c>
      <c r="F2006" s="297" t="s">
        <v>1059</v>
      </c>
      <c r="G2006" s="293" t="str">
        <f>IFNA(IF(VLOOKUP(RC_OUT[BLOCK],RC_IN[[BLOCK]:[BLOCK LOC]],2,FALSE)=0,"",VLOOKUP(RC_OUT[BLOCK],RC_IN[[BLOCK]:[BLOCK LOC]],2,FALSE)),"")</f>
        <v/>
      </c>
      <c r="I2006" s="263">
        <f>IFERROR(AVERAGEIFS(RC_IN[MC],RC_IN[BLOCK],RC_OUT[BLOCK]),"")</f>
        <v>11.34</v>
      </c>
      <c r="J2006" s="264">
        <f t="shared" si="51"/>
        <v>56700</v>
      </c>
      <c r="K2006" s="246"/>
      <c r="L2006" s="246"/>
      <c r="M2006" s="249"/>
      <c r="N2006" s="266">
        <f t="shared" si="52"/>
        <v>0</v>
      </c>
      <c r="O2006" s="247"/>
      <c r="P2006" s="247"/>
      <c r="Q2006" s="247"/>
      <c r="R2006" s="247"/>
      <c r="S2006" s="247"/>
      <c r="T2006" s="247"/>
      <c r="U2006" s="247"/>
      <c r="V2006" s="247"/>
      <c r="W2006" s="247"/>
      <c r="X2006" s="247"/>
    </row>
    <row r="2007">
      <c r="A2007" s="294"/>
      <c r="B2007" s="295"/>
      <c r="C2007" s="295"/>
      <c r="D2007" s="296"/>
      <c r="E2007" s="295"/>
      <c r="F2007" s="292"/>
      <c r="G2007" s="293" t="str">
        <f>IFNA(IF(VLOOKUP(RC_OUT[BLOCK],RC_IN[[BLOCK]:[BLOCK LOC]],2,FALSE)=0,"",VLOOKUP(RC_OUT[BLOCK],RC_IN[[BLOCK]:[BLOCK LOC]],2,FALSE)),"")</f>
        <v/>
      </c>
      <c r="I2007" s="263" t="str">
        <f>IFERROR(AVERAGEIFS(RC_IN[MC],RC_IN[BLOCK],RC_OUT[BLOCK]),"")</f>
        <v/>
      </c>
      <c r="J2007" s="264">
        <f t="shared" si="51"/>
        <v>0</v>
      </c>
      <c r="K2007" s="246"/>
      <c r="L2007" s="246"/>
      <c r="M2007" s="249"/>
      <c r="N2007" s="266">
        <f t="shared" si="52"/>
        <v>0</v>
      </c>
      <c r="O2007" s="247"/>
      <c r="P2007" s="247"/>
      <c r="Q2007" s="247"/>
      <c r="R2007" s="247"/>
      <c r="S2007" s="247"/>
      <c r="T2007" s="247"/>
      <c r="U2007" s="247"/>
      <c r="V2007" s="247"/>
      <c r="W2007" s="247"/>
      <c r="X2007" s="247"/>
    </row>
    <row r="2008">
      <c r="A2008" s="294">
        <v>46134.0</v>
      </c>
      <c r="B2008" s="295" t="s">
        <v>1198</v>
      </c>
      <c r="C2008" s="295" t="s">
        <v>584</v>
      </c>
      <c r="D2008" s="296">
        <v>8304.0</v>
      </c>
      <c r="E2008" s="295" t="s">
        <v>1374</v>
      </c>
      <c r="F2008" s="292"/>
      <c r="G2008" s="293" t="str">
        <f>IFNA(IF(VLOOKUP(RC_OUT[BLOCK],RC_IN[[BLOCK]:[BLOCK LOC]],2,FALSE)=0,"",VLOOKUP(RC_OUT[BLOCK],RC_IN[[BLOCK]:[BLOCK LOC]],2,FALSE)),"")</f>
        <v>D-17D</v>
      </c>
      <c r="I2008" s="263">
        <f>IFERROR(AVERAGEIFS(RC_IN[MC],RC_IN[BLOCK],RC_OUT[BLOCK]),"")</f>
        <v>14.135</v>
      </c>
      <c r="J2008" s="264">
        <f t="shared" si="51"/>
        <v>117377.04</v>
      </c>
      <c r="K2008" s="246"/>
      <c r="L2008" s="246"/>
      <c r="M2008" s="249"/>
      <c r="N2008" s="266">
        <f t="shared" si="52"/>
        <v>0</v>
      </c>
      <c r="O2008" s="247"/>
      <c r="P2008" s="247"/>
      <c r="Q2008" s="247"/>
      <c r="R2008" s="247"/>
      <c r="S2008" s="247"/>
      <c r="T2008" s="247"/>
      <c r="U2008" s="247"/>
      <c r="V2008" s="247"/>
      <c r="W2008" s="247"/>
      <c r="X2008" s="247"/>
    </row>
    <row r="2009">
      <c r="A2009" s="294">
        <v>46134.0</v>
      </c>
      <c r="B2009" s="295" t="s">
        <v>1198</v>
      </c>
      <c r="C2009" s="295" t="s">
        <v>646</v>
      </c>
      <c r="D2009" s="296">
        <v>5888.0</v>
      </c>
      <c r="E2009" s="295" t="s">
        <v>1017</v>
      </c>
      <c r="F2009" s="292"/>
      <c r="G2009" s="293" t="str">
        <f>IFNA(IF(VLOOKUP(RC_OUT[BLOCK],RC_IN[[BLOCK]:[BLOCK LOC]],2,FALSE)=0,"",VLOOKUP(RC_OUT[BLOCK],RC_IN[[BLOCK]:[BLOCK LOC]],2,FALSE)),"")</f>
        <v>D-12C</v>
      </c>
      <c r="I2009" s="263">
        <f>IFERROR(AVERAGEIFS(RC_IN[MC],RC_IN[BLOCK],RC_OUT[BLOCK]),"")</f>
        <v>11.858</v>
      </c>
      <c r="J2009" s="264">
        <f t="shared" si="51"/>
        <v>69819.904</v>
      </c>
      <c r="K2009" s="246"/>
      <c r="L2009" s="246"/>
      <c r="M2009" s="249"/>
      <c r="N2009" s="266">
        <f t="shared" si="52"/>
        <v>0</v>
      </c>
      <c r="O2009" s="247"/>
      <c r="P2009" s="247"/>
      <c r="Q2009" s="247"/>
      <c r="R2009" s="247"/>
      <c r="S2009" s="247"/>
      <c r="T2009" s="247"/>
      <c r="U2009" s="247"/>
      <c r="V2009" s="247"/>
      <c r="W2009" s="247"/>
      <c r="X2009" s="247"/>
    </row>
    <row r="2010">
      <c r="A2010" s="294">
        <v>46134.0</v>
      </c>
      <c r="B2010" s="295" t="s">
        <v>1198</v>
      </c>
      <c r="C2010" s="295" t="s">
        <v>346</v>
      </c>
      <c r="D2010" s="296">
        <v>6584.0</v>
      </c>
      <c r="E2010" s="295" t="s">
        <v>1017</v>
      </c>
      <c r="F2010" s="292"/>
      <c r="G2010" s="293" t="str">
        <f>IFNA(IF(VLOOKUP(RC_OUT[BLOCK],RC_IN[[BLOCK]:[BLOCK LOC]],2,FALSE)=0,"",VLOOKUP(RC_OUT[BLOCK],RC_IN[[BLOCK]:[BLOCK LOC]],2,FALSE)),"")</f>
        <v>D-15D</v>
      </c>
      <c r="I2010" s="263">
        <f>IFERROR(AVERAGEIFS(RC_IN[MC],RC_IN[BLOCK],RC_OUT[BLOCK]),"")</f>
        <v>11.56</v>
      </c>
      <c r="J2010" s="264">
        <f t="shared" si="51"/>
        <v>76111.04</v>
      </c>
      <c r="K2010" s="246"/>
      <c r="L2010" s="246"/>
      <c r="M2010" s="249"/>
      <c r="N2010" s="266">
        <f t="shared" si="52"/>
        <v>0</v>
      </c>
      <c r="O2010" s="247"/>
      <c r="P2010" s="247"/>
      <c r="Q2010" s="247"/>
      <c r="R2010" s="247"/>
      <c r="S2010" s="247"/>
      <c r="T2010" s="247"/>
      <c r="U2010" s="247"/>
      <c r="V2010" s="247"/>
      <c r="W2010" s="247"/>
      <c r="X2010" s="247"/>
    </row>
    <row r="2011">
      <c r="A2011" s="294">
        <v>46134.0</v>
      </c>
      <c r="B2011" s="295" t="s">
        <v>1198</v>
      </c>
      <c r="C2011" s="295" t="s">
        <v>605</v>
      </c>
      <c r="D2011" s="296">
        <v>3226.0</v>
      </c>
      <c r="E2011" s="295" t="s">
        <v>1017</v>
      </c>
      <c r="F2011" s="297" t="s">
        <v>1059</v>
      </c>
      <c r="G2011" s="293" t="str">
        <f>IFNA(IF(VLOOKUP(RC_OUT[BLOCK],RC_IN[[BLOCK]:[BLOCK LOC]],2,FALSE)=0,"",VLOOKUP(RC_OUT[BLOCK],RC_IN[[BLOCK]:[BLOCK LOC]],2,FALSE)),"")</f>
        <v>A-17C</v>
      </c>
      <c r="I2011" s="263">
        <f>IFERROR(AVERAGEIFS(RC_IN[MC],RC_IN[BLOCK],RC_OUT[BLOCK]),"")</f>
        <v>11.55</v>
      </c>
      <c r="J2011" s="264">
        <f t="shared" si="51"/>
        <v>37260.3</v>
      </c>
      <c r="K2011" s="246"/>
      <c r="L2011" s="246"/>
      <c r="M2011" s="249"/>
      <c r="N2011" s="266">
        <f t="shared" si="52"/>
        <v>0</v>
      </c>
      <c r="O2011" s="247"/>
      <c r="P2011" s="247"/>
      <c r="Q2011" s="247"/>
      <c r="R2011" s="247"/>
      <c r="S2011" s="247"/>
      <c r="T2011" s="247"/>
      <c r="U2011" s="247"/>
      <c r="V2011" s="247"/>
      <c r="W2011" s="247"/>
      <c r="X2011" s="247"/>
    </row>
    <row r="2012">
      <c r="A2012" s="294">
        <v>46134.0</v>
      </c>
      <c r="B2012" s="295" t="s">
        <v>1198</v>
      </c>
      <c r="C2012" s="295" t="s">
        <v>923</v>
      </c>
      <c r="D2012" s="296">
        <v>10000.0</v>
      </c>
      <c r="E2012" s="295" t="s">
        <v>1017</v>
      </c>
      <c r="F2012" s="292"/>
      <c r="G2012" s="293" t="str">
        <f>IFNA(IF(VLOOKUP(RC_OUT[BLOCK],RC_IN[[BLOCK]:[BLOCK LOC]],2,FALSE)=0,"",VLOOKUP(RC_OUT[BLOCK],RC_IN[[BLOCK]:[BLOCK LOC]],2,FALSE)),"")</f>
        <v/>
      </c>
      <c r="I2012" s="263">
        <f>IFERROR(AVERAGEIFS(RC_IN[MC],RC_IN[BLOCK],RC_OUT[BLOCK]),"")</f>
        <v>11.2</v>
      </c>
      <c r="J2012" s="264">
        <f t="shared" si="51"/>
        <v>112000</v>
      </c>
      <c r="K2012" s="246"/>
      <c r="L2012" s="246"/>
      <c r="M2012" s="249"/>
      <c r="N2012" s="266">
        <f t="shared" si="52"/>
        <v>0</v>
      </c>
      <c r="O2012" s="247"/>
      <c r="P2012" s="247"/>
      <c r="Q2012" s="247"/>
      <c r="R2012" s="247"/>
      <c r="S2012" s="247"/>
      <c r="T2012" s="247"/>
      <c r="U2012" s="247"/>
      <c r="V2012" s="247"/>
      <c r="W2012" s="247"/>
      <c r="X2012" s="247"/>
    </row>
    <row r="2013">
      <c r="A2013" s="294">
        <v>46134.0</v>
      </c>
      <c r="B2013" s="295" t="s">
        <v>1198</v>
      </c>
      <c r="C2013" s="295" t="s">
        <v>574</v>
      </c>
      <c r="D2013" s="296">
        <v>15941.0</v>
      </c>
      <c r="E2013" s="295" t="s">
        <v>1017</v>
      </c>
      <c r="F2013" s="292"/>
      <c r="G2013" s="293" t="str">
        <f>IFNA(IF(VLOOKUP(RC_OUT[BLOCK],RC_IN[[BLOCK]:[BLOCK LOC]],2,FALSE)=0,"",VLOOKUP(RC_OUT[BLOCK],RC_IN[[BLOCK]:[BLOCK LOC]],2,FALSE)),"")</f>
        <v>A-17B</v>
      </c>
      <c r="I2013" s="263">
        <f>IFERROR(AVERAGEIFS(RC_IN[MC],RC_IN[BLOCK],RC_OUT[BLOCK]),"")</f>
        <v>12.02</v>
      </c>
      <c r="J2013" s="264">
        <f t="shared" si="51"/>
        <v>191610.82</v>
      </c>
      <c r="K2013" s="246"/>
      <c r="L2013" s="246"/>
      <c r="M2013" s="249"/>
      <c r="N2013" s="266">
        <f t="shared" si="52"/>
        <v>0</v>
      </c>
      <c r="O2013" s="247"/>
      <c r="P2013" s="247"/>
      <c r="Q2013" s="247"/>
      <c r="R2013" s="247"/>
      <c r="S2013" s="247"/>
      <c r="T2013" s="247"/>
      <c r="U2013" s="247"/>
      <c r="V2013" s="247"/>
      <c r="W2013" s="247"/>
      <c r="X2013" s="247"/>
    </row>
    <row r="2014">
      <c r="A2014" s="294"/>
      <c r="B2014" s="295"/>
      <c r="C2014" s="295"/>
      <c r="D2014" s="296"/>
      <c r="E2014" s="295"/>
      <c r="F2014" s="292"/>
      <c r="G2014" s="293" t="str">
        <f>IFNA(IF(VLOOKUP(RC_OUT[BLOCK],RC_IN[[BLOCK]:[BLOCK LOC]],2,FALSE)=0,"",VLOOKUP(RC_OUT[BLOCK],RC_IN[[BLOCK]:[BLOCK LOC]],2,FALSE)),"")</f>
        <v/>
      </c>
      <c r="I2014" s="263" t="str">
        <f>IFERROR(AVERAGEIFS(RC_IN[MC],RC_IN[BLOCK],RC_OUT[BLOCK]),"")</f>
        <v/>
      </c>
      <c r="J2014" s="264">
        <f t="shared" si="51"/>
        <v>0</v>
      </c>
      <c r="K2014" s="246"/>
      <c r="L2014" s="246"/>
      <c r="M2014" s="249"/>
      <c r="N2014" s="266">
        <f t="shared" si="52"/>
        <v>0</v>
      </c>
      <c r="O2014" s="247"/>
      <c r="P2014" s="247"/>
      <c r="Q2014" s="247"/>
      <c r="R2014" s="247"/>
      <c r="S2014" s="247"/>
      <c r="T2014" s="247"/>
      <c r="U2014" s="247"/>
      <c r="V2014" s="247"/>
      <c r="W2014" s="247"/>
      <c r="X2014" s="247"/>
    </row>
    <row r="2015">
      <c r="A2015" s="294">
        <v>46135.0</v>
      </c>
      <c r="B2015" s="295" t="s">
        <v>1198</v>
      </c>
      <c r="C2015" s="295" t="s">
        <v>584</v>
      </c>
      <c r="D2015" s="296">
        <v>8453.0</v>
      </c>
      <c r="E2015" s="295" t="s">
        <v>1374</v>
      </c>
      <c r="F2015" s="297" t="s">
        <v>1059</v>
      </c>
      <c r="G2015" s="293" t="str">
        <f>IFNA(IF(VLOOKUP(RC_OUT[BLOCK],RC_IN[[BLOCK]:[BLOCK LOC]],2,FALSE)=0,"",VLOOKUP(RC_OUT[BLOCK],RC_IN[[BLOCK]:[BLOCK LOC]],2,FALSE)),"")</f>
        <v>D-17D</v>
      </c>
      <c r="I2015" s="263">
        <f>IFERROR(AVERAGEIFS(RC_IN[MC],RC_IN[BLOCK],RC_OUT[BLOCK]),"")</f>
        <v>14.135</v>
      </c>
      <c r="J2015" s="264">
        <f t="shared" si="51"/>
        <v>119483.155</v>
      </c>
      <c r="K2015" s="246"/>
      <c r="L2015" s="246"/>
      <c r="M2015" s="249"/>
      <c r="N2015" s="266">
        <f t="shared" si="52"/>
        <v>0</v>
      </c>
      <c r="O2015" s="247"/>
      <c r="P2015" s="247"/>
      <c r="Q2015" s="247"/>
      <c r="R2015" s="247"/>
      <c r="S2015" s="247"/>
      <c r="T2015" s="247"/>
      <c r="U2015" s="247"/>
      <c r="V2015" s="247"/>
      <c r="W2015" s="247"/>
      <c r="X2015" s="247"/>
    </row>
    <row r="2016">
      <c r="A2016" s="294">
        <v>46135.0</v>
      </c>
      <c r="B2016" s="295" t="s">
        <v>1198</v>
      </c>
      <c r="C2016" s="295" t="s">
        <v>646</v>
      </c>
      <c r="D2016" s="296">
        <v>5385.0</v>
      </c>
      <c r="E2016" s="295" t="s">
        <v>1017</v>
      </c>
      <c r="F2016" s="292"/>
      <c r="G2016" s="293" t="str">
        <f>IFNA(IF(VLOOKUP(RC_OUT[BLOCK],RC_IN[[BLOCK]:[BLOCK LOC]],2,FALSE)=0,"",VLOOKUP(RC_OUT[BLOCK],RC_IN[[BLOCK]:[BLOCK LOC]],2,FALSE)),"")</f>
        <v>D-12C</v>
      </c>
      <c r="I2016" s="263">
        <f>IFERROR(AVERAGEIFS(RC_IN[MC],RC_IN[BLOCK],RC_OUT[BLOCK]),"")</f>
        <v>11.858</v>
      </c>
      <c r="J2016" s="264">
        <f t="shared" si="51"/>
        <v>63855.33</v>
      </c>
      <c r="K2016" s="246"/>
      <c r="L2016" s="246"/>
      <c r="M2016" s="249"/>
      <c r="N2016" s="266">
        <f t="shared" si="52"/>
        <v>0</v>
      </c>
      <c r="O2016" s="247"/>
      <c r="P2016" s="247"/>
      <c r="Q2016" s="247"/>
      <c r="R2016" s="247"/>
      <c r="S2016" s="247"/>
      <c r="T2016" s="247"/>
      <c r="U2016" s="247"/>
      <c r="V2016" s="247"/>
      <c r="W2016" s="247"/>
      <c r="X2016" s="247"/>
    </row>
    <row r="2017">
      <c r="A2017" s="294">
        <v>46135.0</v>
      </c>
      <c r="B2017" s="295" t="s">
        <v>1198</v>
      </c>
      <c r="C2017" s="295" t="s">
        <v>346</v>
      </c>
      <c r="D2017" s="296">
        <v>5773.0</v>
      </c>
      <c r="E2017" s="295" t="s">
        <v>1017</v>
      </c>
      <c r="F2017" s="292"/>
      <c r="G2017" s="293" t="str">
        <f>IFNA(IF(VLOOKUP(RC_OUT[BLOCK],RC_IN[[BLOCK]:[BLOCK LOC]],2,FALSE)=0,"",VLOOKUP(RC_OUT[BLOCK],RC_IN[[BLOCK]:[BLOCK LOC]],2,FALSE)),"")</f>
        <v>D-15D</v>
      </c>
      <c r="I2017" s="263">
        <f>IFERROR(AVERAGEIFS(RC_IN[MC],RC_IN[BLOCK],RC_OUT[BLOCK]),"")</f>
        <v>11.56</v>
      </c>
      <c r="J2017" s="264">
        <f t="shared" si="51"/>
        <v>66735.88</v>
      </c>
      <c r="K2017" s="246"/>
      <c r="L2017" s="246"/>
      <c r="M2017" s="249"/>
      <c r="N2017" s="266">
        <f t="shared" si="52"/>
        <v>0</v>
      </c>
      <c r="O2017" s="247"/>
      <c r="P2017" s="247"/>
      <c r="Q2017" s="247"/>
      <c r="R2017" s="247"/>
      <c r="S2017" s="247"/>
      <c r="T2017" s="247"/>
      <c r="U2017" s="247"/>
      <c r="V2017" s="247"/>
      <c r="W2017" s="247"/>
      <c r="X2017" s="247"/>
    </row>
    <row r="2018">
      <c r="A2018" s="294">
        <v>46135.0</v>
      </c>
      <c r="B2018" s="295" t="s">
        <v>1198</v>
      </c>
      <c r="C2018" s="295" t="s">
        <v>923</v>
      </c>
      <c r="D2018" s="296">
        <v>9120.0</v>
      </c>
      <c r="E2018" s="295" t="s">
        <v>1017</v>
      </c>
      <c r="F2018" s="297" t="s">
        <v>1059</v>
      </c>
      <c r="G2018" s="293" t="str">
        <f>IFNA(IF(VLOOKUP(RC_OUT[BLOCK],RC_IN[[BLOCK]:[BLOCK LOC]],2,FALSE)=0,"",VLOOKUP(RC_OUT[BLOCK],RC_IN[[BLOCK]:[BLOCK LOC]],2,FALSE)),"")</f>
        <v/>
      </c>
      <c r="I2018" s="263">
        <f>IFERROR(AVERAGEIFS(RC_IN[MC],RC_IN[BLOCK],RC_OUT[BLOCK]),"")</f>
        <v>11.2</v>
      </c>
      <c r="J2018" s="264">
        <f t="shared" si="51"/>
        <v>102144</v>
      </c>
      <c r="K2018" s="246"/>
      <c r="L2018" s="246"/>
      <c r="M2018" s="249"/>
      <c r="N2018" s="266">
        <f t="shared" si="52"/>
        <v>0</v>
      </c>
      <c r="O2018" s="247"/>
      <c r="P2018" s="247"/>
      <c r="Q2018" s="247"/>
      <c r="R2018" s="247"/>
      <c r="S2018" s="247"/>
      <c r="T2018" s="247"/>
      <c r="U2018" s="247"/>
      <c r="V2018" s="247"/>
      <c r="W2018" s="247"/>
      <c r="X2018" s="247"/>
    </row>
    <row r="2019">
      <c r="A2019" s="294">
        <v>46135.0</v>
      </c>
      <c r="B2019" s="295" t="s">
        <v>1198</v>
      </c>
      <c r="C2019" s="295" t="s">
        <v>574</v>
      </c>
      <c r="D2019" s="296">
        <v>18618.0</v>
      </c>
      <c r="E2019" s="295" t="s">
        <v>1017</v>
      </c>
      <c r="F2019" s="292"/>
      <c r="G2019" s="293" t="str">
        <f>IFNA(IF(VLOOKUP(RC_OUT[BLOCK],RC_IN[[BLOCK]:[BLOCK LOC]],2,FALSE)=0,"",VLOOKUP(RC_OUT[BLOCK],RC_IN[[BLOCK]:[BLOCK LOC]],2,FALSE)),"")</f>
        <v>A-17B</v>
      </c>
      <c r="I2019" s="263">
        <f>IFERROR(AVERAGEIFS(RC_IN[MC],RC_IN[BLOCK],RC_OUT[BLOCK]),"")</f>
        <v>12.02</v>
      </c>
      <c r="J2019" s="264">
        <f t="shared" si="51"/>
        <v>223788.36</v>
      </c>
      <c r="K2019" s="246"/>
      <c r="L2019" s="246"/>
      <c r="M2019" s="249"/>
      <c r="N2019" s="266">
        <f t="shared" si="52"/>
        <v>0</v>
      </c>
      <c r="O2019" s="247"/>
      <c r="P2019" s="247"/>
      <c r="Q2019" s="247"/>
      <c r="R2019" s="247"/>
      <c r="S2019" s="247"/>
      <c r="T2019" s="247"/>
      <c r="U2019" s="247"/>
      <c r="V2019" s="247"/>
      <c r="W2019" s="247"/>
      <c r="X2019" s="247"/>
    </row>
    <row r="2020">
      <c r="A2020" s="294"/>
      <c r="B2020" s="295"/>
      <c r="C2020" s="295"/>
      <c r="D2020" s="296"/>
      <c r="E2020" s="295"/>
      <c r="F2020" s="292"/>
      <c r="G2020" s="293" t="str">
        <f>IFNA(IF(VLOOKUP(RC_OUT[BLOCK],RC_IN[[BLOCK]:[BLOCK LOC]],2,FALSE)=0,"",VLOOKUP(RC_OUT[BLOCK],RC_IN[[BLOCK]:[BLOCK LOC]],2,FALSE)),"")</f>
        <v/>
      </c>
      <c r="I2020" s="263" t="str">
        <f>IFERROR(AVERAGEIFS(RC_IN[MC],RC_IN[BLOCK],RC_OUT[BLOCK]),"")</f>
        <v/>
      </c>
      <c r="J2020" s="264">
        <f t="shared" si="51"/>
        <v>0</v>
      </c>
      <c r="K2020" s="246"/>
      <c r="L2020" s="246"/>
      <c r="M2020" s="249"/>
      <c r="N2020" s="266">
        <f t="shared" si="52"/>
        <v>0</v>
      </c>
      <c r="O2020" s="247"/>
      <c r="P2020" s="247"/>
      <c r="Q2020" s="247"/>
      <c r="R2020" s="247"/>
      <c r="S2020" s="247"/>
      <c r="T2020" s="247"/>
      <c r="U2020" s="247"/>
      <c r="V2020" s="247"/>
      <c r="W2020" s="247"/>
      <c r="X2020" s="247"/>
    </row>
    <row r="2021">
      <c r="A2021" s="294">
        <v>46136.0</v>
      </c>
      <c r="B2021" s="295" t="s">
        <v>1198</v>
      </c>
      <c r="C2021" s="295" t="s">
        <v>646</v>
      </c>
      <c r="D2021" s="296">
        <v>5800.0</v>
      </c>
      <c r="E2021" s="295" t="s">
        <v>1017</v>
      </c>
      <c r="F2021" s="292"/>
      <c r="G2021" s="293" t="str">
        <f>IFNA(IF(VLOOKUP(RC_OUT[BLOCK],RC_IN[[BLOCK]:[BLOCK LOC]],2,FALSE)=0,"",VLOOKUP(RC_OUT[BLOCK],RC_IN[[BLOCK]:[BLOCK LOC]],2,FALSE)),"")</f>
        <v>D-12C</v>
      </c>
      <c r="I2021" s="263">
        <f>IFERROR(AVERAGEIFS(RC_IN[MC],RC_IN[BLOCK],RC_OUT[BLOCK]),"")</f>
        <v>11.858</v>
      </c>
      <c r="J2021" s="264">
        <f t="shared" si="51"/>
        <v>68776.4</v>
      </c>
      <c r="K2021" s="246"/>
      <c r="L2021" s="246"/>
      <c r="M2021" s="249"/>
      <c r="N2021" s="266">
        <f t="shared" si="52"/>
        <v>0</v>
      </c>
      <c r="O2021" s="247"/>
      <c r="P2021" s="247"/>
      <c r="Q2021" s="247"/>
      <c r="R2021" s="247"/>
      <c r="S2021" s="247"/>
      <c r="T2021" s="247"/>
      <c r="U2021" s="247"/>
      <c r="V2021" s="247"/>
      <c r="W2021" s="247"/>
      <c r="X2021" s="247"/>
    </row>
    <row r="2022">
      <c r="A2022" s="294">
        <v>46136.0</v>
      </c>
      <c r="B2022" s="295" t="s">
        <v>1198</v>
      </c>
      <c r="C2022" s="295" t="s">
        <v>346</v>
      </c>
      <c r="D2022" s="296">
        <v>5026.0</v>
      </c>
      <c r="E2022" s="295" t="s">
        <v>1017</v>
      </c>
      <c r="F2022" s="292"/>
      <c r="G2022" s="293" t="str">
        <f>IFNA(IF(VLOOKUP(RC_OUT[BLOCK],RC_IN[[BLOCK]:[BLOCK LOC]],2,FALSE)=0,"",VLOOKUP(RC_OUT[BLOCK],RC_IN[[BLOCK]:[BLOCK LOC]],2,FALSE)),"")</f>
        <v>D-15D</v>
      </c>
      <c r="I2022" s="263">
        <f>IFERROR(AVERAGEIFS(RC_IN[MC],RC_IN[BLOCK],RC_OUT[BLOCK]),"")</f>
        <v>11.56</v>
      </c>
      <c r="J2022" s="264">
        <f t="shared" si="51"/>
        <v>58100.56</v>
      </c>
      <c r="K2022" s="246"/>
      <c r="L2022" s="246"/>
      <c r="M2022" s="249"/>
      <c r="N2022" s="266">
        <f t="shared" si="52"/>
        <v>0</v>
      </c>
      <c r="O2022" s="247"/>
      <c r="P2022" s="247"/>
      <c r="Q2022" s="247"/>
      <c r="R2022" s="247"/>
      <c r="S2022" s="247"/>
      <c r="T2022" s="247"/>
      <c r="U2022" s="247"/>
      <c r="V2022" s="247"/>
      <c r="W2022" s="247"/>
      <c r="X2022" s="247"/>
    </row>
    <row r="2023">
      <c r="A2023" s="294">
        <v>46136.0</v>
      </c>
      <c r="B2023" s="295" t="s">
        <v>1198</v>
      </c>
      <c r="C2023" s="295" t="s">
        <v>574</v>
      </c>
      <c r="D2023" s="296">
        <v>18630.0</v>
      </c>
      <c r="E2023" s="295" t="s">
        <v>1017</v>
      </c>
      <c r="F2023" s="292"/>
      <c r="G2023" s="293" t="str">
        <f>IFNA(IF(VLOOKUP(RC_OUT[BLOCK],RC_IN[[BLOCK]:[BLOCK LOC]],2,FALSE)=0,"",VLOOKUP(RC_OUT[BLOCK],RC_IN[[BLOCK]:[BLOCK LOC]],2,FALSE)),"")</f>
        <v>A-17B</v>
      </c>
      <c r="I2023" s="263">
        <f>IFERROR(AVERAGEIFS(RC_IN[MC],RC_IN[BLOCK],RC_OUT[BLOCK]),"")</f>
        <v>12.02</v>
      </c>
      <c r="J2023" s="264">
        <f t="shared" si="51"/>
        <v>223932.6</v>
      </c>
      <c r="K2023" s="246"/>
      <c r="L2023" s="246"/>
      <c r="M2023" s="249"/>
      <c r="N2023" s="266">
        <f t="shared" si="52"/>
        <v>0</v>
      </c>
      <c r="O2023" s="247"/>
      <c r="P2023" s="247"/>
      <c r="Q2023" s="247"/>
      <c r="R2023" s="247"/>
      <c r="S2023" s="247"/>
      <c r="T2023" s="247"/>
      <c r="U2023" s="247"/>
      <c r="V2023" s="247"/>
      <c r="W2023" s="247"/>
      <c r="X2023" s="247"/>
    </row>
    <row r="2024">
      <c r="A2024" s="294">
        <v>46136.0</v>
      </c>
      <c r="B2024" s="295" t="s">
        <v>1198</v>
      </c>
      <c r="C2024" s="295" t="s">
        <v>930</v>
      </c>
      <c r="D2024" s="296">
        <v>15000.0</v>
      </c>
      <c r="E2024" s="295" t="s">
        <v>1017</v>
      </c>
      <c r="F2024" s="292"/>
      <c r="G2024" s="293" t="str">
        <f>IFNA(IF(VLOOKUP(RC_OUT[BLOCK],RC_IN[[BLOCK]:[BLOCK LOC]],2,FALSE)=0,"",VLOOKUP(RC_OUT[BLOCK],RC_IN[[BLOCK]:[BLOCK LOC]],2,FALSE)),"")</f>
        <v/>
      </c>
      <c r="I2024" s="263">
        <f>IFERROR(AVERAGEIFS(RC_IN[MC],RC_IN[BLOCK],RC_OUT[BLOCK]),"")</f>
        <v>10.94</v>
      </c>
      <c r="J2024" s="264">
        <f t="shared" si="51"/>
        <v>164100</v>
      </c>
      <c r="K2024" s="246"/>
      <c r="L2024" s="246"/>
      <c r="M2024" s="249"/>
      <c r="N2024" s="266">
        <f t="shared" si="52"/>
        <v>0</v>
      </c>
      <c r="O2024" s="247"/>
      <c r="P2024" s="247"/>
      <c r="Q2024" s="247"/>
      <c r="R2024" s="247"/>
      <c r="S2024" s="247"/>
      <c r="T2024" s="247"/>
      <c r="U2024" s="247"/>
      <c r="V2024" s="247"/>
      <c r="W2024" s="247"/>
      <c r="X2024" s="247"/>
    </row>
    <row r="2025">
      <c r="A2025" s="294"/>
      <c r="B2025" s="295"/>
      <c r="C2025" s="295"/>
      <c r="D2025" s="296"/>
      <c r="E2025" s="295"/>
      <c r="F2025" s="292"/>
      <c r="G2025" s="293" t="str">
        <f>IFNA(IF(VLOOKUP(RC_OUT[BLOCK],RC_IN[[BLOCK]:[BLOCK LOC]],2,FALSE)=0,"",VLOOKUP(RC_OUT[BLOCK],RC_IN[[BLOCK]:[BLOCK LOC]],2,FALSE)),"")</f>
        <v/>
      </c>
      <c r="I2025" s="263" t="str">
        <f>IFERROR(AVERAGEIFS(RC_IN[MC],RC_IN[BLOCK],RC_OUT[BLOCK]),"")</f>
        <v/>
      </c>
      <c r="J2025" s="264">
        <f t="shared" si="51"/>
        <v>0</v>
      </c>
      <c r="K2025" s="246"/>
      <c r="L2025" s="246"/>
      <c r="M2025" s="249"/>
      <c r="N2025" s="266">
        <f t="shared" si="52"/>
        <v>0</v>
      </c>
      <c r="O2025" s="247"/>
      <c r="P2025" s="247"/>
      <c r="Q2025" s="247"/>
      <c r="R2025" s="247"/>
      <c r="S2025" s="247"/>
      <c r="T2025" s="247"/>
      <c r="U2025" s="247"/>
      <c r="V2025" s="247"/>
      <c r="W2025" s="247"/>
      <c r="X2025" s="247"/>
    </row>
    <row r="2026">
      <c r="A2026" s="294">
        <v>46137.0</v>
      </c>
      <c r="B2026" s="295" t="s">
        <v>1198</v>
      </c>
      <c r="C2026" s="295" t="s">
        <v>646</v>
      </c>
      <c r="D2026" s="296">
        <v>4558.0</v>
      </c>
      <c r="E2026" s="295" t="s">
        <v>1017</v>
      </c>
      <c r="F2026" s="292"/>
      <c r="G2026" s="293" t="str">
        <f>IFNA(IF(VLOOKUP(RC_OUT[BLOCK],RC_IN[[BLOCK]:[BLOCK LOC]],2,FALSE)=0,"",VLOOKUP(RC_OUT[BLOCK],RC_IN[[BLOCK]:[BLOCK LOC]],2,FALSE)),"")</f>
        <v>D-12C</v>
      </c>
      <c r="I2026" s="263">
        <f>IFERROR(AVERAGEIFS(RC_IN[MC],RC_IN[BLOCK],RC_OUT[BLOCK]),"")</f>
        <v>11.858</v>
      </c>
      <c r="J2026" s="264">
        <f t="shared" si="51"/>
        <v>54048.764</v>
      </c>
      <c r="K2026" s="246"/>
      <c r="L2026" s="246"/>
      <c r="M2026" s="249"/>
      <c r="N2026" s="266">
        <f t="shared" si="52"/>
        <v>0</v>
      </c>
      <c r="O2026" s="247"/>
      <c r="P2026" s="247"/>
      <c r="Q2026" s="247"/>
      <c r="R2026" s="247"/>
      <c r="S2026" s="247"/>
      <c r="T2026" s="247"/>
      <c r="U2026" s="247"/>
      <c r="V2026" s="247"/>
      <c r="W2026" s="247"/>
      <c r="X2026" s="247"/>
    </row>
    <row r="2027">
      <c r="A2027" s="294">
        <v>46137.0</v>
      </c>
      <c r="B2027" s="295" t="s">
        <v>1198</v>
      </c>
      <c r="C2027" s="295" t="s">
        <v>346</v>
      </c>
      <c r="D2027" s="296">
        <v>4921.0</v>
      </c>
      <c r="E2027" s="295" t="s">
        <v>1017</v>
      </c>
      <c r="F2027" s="292"/>
      <c r="G2027" s="293" t="str">
        <f>IFNA(IF(VLOOKUP(RC_OUT[BLOCK],RC_IN[[BLOCK]:[BLOCK LOC]],2,FALSE)=0,"",VLOOKUP(RC_OUT[BLOCK],RC_IN[[BLOCK]:[BLOCK LOC]],2,FALSE)),"")</f>
        <v>D-15D</v>
      </c>
      <c r="I2027" s="263">
        <f>IFERROR(AVERAGEIFS(RC_IN[MC],RC_IN[BLOCK],RC_OUT[BLOCK]),"")</f>
        <v>11.56</v>
      </c>
      <c r="J2027" s="264">
        <f t="shared" si="51"/>
        <v>56886.76</v>
      </c>
      <c r="K2027" s="246"/>
      <c r="L2027" s="246"/>
      <c r="M2027" s="249"/>
      <c r="N2027" s="266">
        <f t="shared" si="52"/>
        <v>0</v>
      </c>
      <c r="O2027" s="247"/>
      <c r="P2027" s="247"/>
      <c r="Q2027" s="247"/>
      <c r="R2027" s="247"/>
      <c r="S2027" s="247"/>
      <c r="T2027" s="247"/>
      <c r="U2027" s="247"/>
      <c r="V2027" s="247"/>
      <c r="W2027" s="247"/>
      <c r="X2027" s="247"/>
    </row>
    <row r="2028">
      <c r="A2028" s="294">
        <v>46137.0</v>
      </c>
      <c r="B2028" s="295" t="s">
        <v>1198</v>
      </c>
      <c r="C2028" s="295" t="s">
        <v>574</v>
      </c>
      <c r="D2028" s="296">
        <v>14187.0</v>
      </c>
      <c r="E2028" s="295" t="s">
        <v>1017</v>
      </c>
      <c r="F2028" s="292"/>
      <c r="G2028" s="293" t="str">
        <f>IFNA(IF(VLOOKUP(RC_OUT[BLOCK],RC_IN[[BLOCK]:[BLOCK LOC]],2,FALSE)=0,"",VLOOKUP(RC_OUT[BLOCK],RC_IN[[BLOCK]:[BLOCK LOC]],2,FALSE)),"")</f>
        <v>A-17B</v>
      </c>
      <c r="I2028" s="263">
        <f>IFERROR(AVERAGEIFS(RC_IN[MC],RC_IN[BLOCK],RC_OUT[BLOCK]),"")</f>
        <v>12.02</v>
      </c>
      <c r="J2028" s="264">
        <f t="shared" si="51"/>
        <v>170527.74</v>
      </c>
      <c r="K2028" s="246"/>
      <c r="L2028" s="246"/>
      <c r="M2028" s="249"/>
      <c r="N2028" s="266">
        <f t="shared" si="52"/>
        <v>0</v>
      </c>
      <c r="O2028" s="247"/>
      <c r="P2028" s="247"/>
      <c r="Q2028" s="247"/>
      <c r="R2028" s="247"/>
      <c r="S2028" s="247"/>
      <c r="T2028" s="247"/>
      <c r="U2028" s="247"/>
      <c r="V2028" s="247"/>
      <c r="W2028" s="247"/>
      <c r="X2028" s="247"/>
    </row>
    <row r="2029">
      <c r="A2029" s="294">
        <v>46137.0</v>
      </c>
      <c r="B2029" s="295" t="s">
        <v>1198</v>
      </c>
      <c r="C2029" s="295" t="s">
        <v>930</v>
      </c>
      <c r="D2029" s="296">
        <v>4330.0</v>
      </c>
      <c r="E2029" s="295" t="s">
        <v>1017</v>
      </c>
      <c r="F2029" s="297" t="s">
        <v>1059</v>
      </c>
      <c r="G2029" s="293" t="str">
        <f>IFNA(IF(VLOOKUP(RC_OUT[BLOCK],RC_IN[[BLOCK]:[BLOCK LOC]],2,FALSE)=0,"",VLOOKUP(RC_OUT[BLOCK],RC_IN[[BLOCK]:[BLOCK LOC]],2,FALSE)),"")</f>
        <v/>
      </c>
      <c r="I2029" s="263">
        <f>IFERROR(AVERAGEIFS(RC_IN[MC],RC_IN[BLOCK],RC_OUT[BLOCK]),"")</f>
        <v>10.94</v>
      </c>
      <c r="J2029" s="264">
        <f t="shared" si="51"/>
        <v>47370.2</v>
      </c>
      <c r="K2029" s="246"/>
      <c r="L2029" s="246"/>
      <c r="M2029" s="249"/>
      <c r="N2029" s="266">
        <f t="shared" si="52"/>
        <v>0</v>
      </c>
      <c r="O2029" s="247"/>
      <c r="P2029" s="247"/>
      <c r="Q2029" s="247"/>
      <c r="R2029" s="247"/>
      <c r="S2029" s="247"/>
      <c r="T2029" s="247"/>
      <c r="U2029" s="247"/>
      <c r="V2029" s="247"/>
      <c r="W2029" s="247"/>
      <c r="X2029" s="247"/>
    </row>
    <row r="2030">
      <c r="A2030" s="294">
        <v>46137.0</v>
      </c>
      <c r="B2030" s="295" t="s">
        <v>1198</v>
      </c>
      <c r="C2030" s="295" t="s">
        <v>933</v>
      </c>
      <c r="D2030" s="296">
        <v>5270.0</v>
      </c>
      <c r="E2030" s="295" t="s">
        <v>1017</v>
      </c>
      <c r="F2030" s="292"/>
      <c r="G2030" s="293" t="str">
        <f>IFNA(IF(VLOOKUP(RC_OUT[BLOCK],RC_IN[[BLOCK]:[BLOCK LOC]],2,FALSE)=0,"",VLOOKUP(RC_OUT[BLOCK],RC_IN[[BLOCK]:[BLOCK LOC]],2,FALSE)),"")</f>
        <v/>
      </c>
      <c r="I2030" s="263">
        <f>IFERROR(AVERAGEIFS(RC_IN[MC],RC_IN[BLOCK],RC_OUT[BLOCK]),"")</f>
        <v>11.27</v>
      </c>
      <c r="J2030" s="264">
        <f t="shared" si="51"/>
        <v>59392.9</v>
      </c>
      <c r="K2030" s="246"/>
      <c r="L2030" s="246"/>
      <c r="M2030" s="249"/>
      <c r="N2030" s="266">
        <f t="shared" si="52"/>
        <v>0</v>
      </c>
      <c r="O2030" s="247"/>
      <c r="P2030" s="247"/>
      <c r="Q2030" s="247"/>
      <c r="R2030" s="247"/>
      <c r="S2030" s="247"/>
      <c r="T2030" s="247"/>
      <c r="U2030" s="247"/>
      <c r="V2030" s="247"/>
      <c r="W2030" s="247"/>
      <c r="X2030" s="247"/>
    </row>
    <row r="2031">
      <c r="A2031" s="294"/>
      <c r="B2031" s="295"/>
      <c r="C2031" s="295"/>
      <c r="D2031" s="296"/>
      <c r="E2031" s="295"/>
      <c r="F2031" s="292"/>
      <c r="G2031" s="293" t="str">
        <f>IFNA(IF(VLOOKUP(RC_OUT[BLOCK],RC_IN[[BLOCK]:[BLOCK LOC]],2,FALSE)=0,"",VLOOKUP(RC_OUT[BLOCK],RC_IN[[BLOCK]:[BLOCK LOC]],2,FALSE)),"")</f>
        <v/>
      </c>
      <c r="I2031" s="263" t="str">
        <f>IFERROR(AVERAGEIFS(RC_IN[MC],RC_IN[BLOCK],RC_OUT[BLOCK]),"")</f>
        <v/>
      </c>
      <c r="J2031" s="264">
        <f t="shared" si="51"/>
        <v>0</v>
      </c>
      <c r="K2031" s="246"/>
      <c r="L2031" s="246"/>
      <c r="M2031" s="249"/>
      <c r="N2031" s="266">
        <f t="shared" si="52"/>
        <v>0</v>
      </c>
      <c r="O2031" s="247"/>
      <c r="P2031" s="247"/>
      <c r="Q2031" s="247"/>
      <c r="R2031" s="247"/>
      <c r="S2031" s="247"/>
      <c r="T2031" s="247"/>
      <c r="U2031" s="247"/>
      <c r="V2031" s="247"/>
      <c r="W2031" s="247"/>
      <c r="X2031" s="247"/>
    </row>
    <row r="2032">
      <c r="A2032" s="294">
        <v>46139.0</v>
      </c>
      <c r="B2032" s="295" t="s">
        <v>1198</v>
      </c>
      <c r="C2032" s="295" t="s">
        <v>646</v>
      </c>
      <c r="D2032" s="296">
        <v>5082.0</v>
      </c>
      <c r="E2032" s="295" t="s">
        <v>1017</v>
      </c>
      <c r="F2032" s="297" t="s">
        <v>1059</v>
      </c>
      <c r="G2032" s="293" t="str">
        <f>IFNA(IF(VLOOKUP(RC_OUT[BLOCK],RC_IN[[BLOCK]:[BLOCK LOC]],2,FALSE)=0,"",VLOOKUP(RC_OUT[BLOCK],RC_IN[[BLOCK]:[BLOCK LOC]],2,FALSE)),"")</f>
        <v>D-12C</v>
      </c>
      <c r="I2032" s="263">
        <f>IFERROR(AVERAGEIFS(RC_IN[MC],RC_IN[BLOCK],RC_OUT[BLOCK]),"")</f>
        <v>11.858</v>
      </c>
      <c r="J2032" s="264">
        <f t="shared" si="51"/>
        <v>60262.356</v>
      </c>
      <c r="K2032" s="246"/>
      <c r="L2032" s="246"/>
      <c r="M2032" s="249"/>
      <c r="N2032" s="266">
        <f t="shared" si="52"/>
        <v>0</v>
      </c>
      <c r="O2032" s="247"/>
      <c r="P2032" s="247"/>
      <c r="Q2032" s="247"/>
      <c r="R2032" s="247"/>
      <c r="S2032" s="247"/>
      <c r="T2032" s="247"/>
      <c r="U2032" s="247"/>
      <c r="V2032" s="247"/>
      <c r="W2032" s="247"/>
      <c r="X2032" s="247"/>
    </row>
    <row r="2033">
      <c r="A2033" s="294">
        <v>46139.0</v>
      </c>
      <c r="B2033" s="295" t="s">
        <v>1198</v>
      </c>
      <c r="C2033" s="295" t="s">
        <v>346</v>
      </c>
      <c r="D2033" s="296">
        <v>4658.0</v>
      </c>
      <c r="E2033" s="295" t="s">
        <v>1017</v>
      </c>
      <c r="F2033" s="292"/>
      <c r="G2033" s="293" t="str">
        <f>IFNA(IF(VLOOKUP(RC_OUT[BLOCK],RC_IN[[BLOCK]:[BLOCK LOC]],2,FALSE)=0,"",VLOOKUP(RC_OUT[BLOCK],RC_IN[[BLOCK]:[BLOCK LOC]],2,FALSE)),"")</f>
        <v>D-15D</v>
      </c>
      <c r="I2033" s="263">
        <f>IFERROR(AVERAGEIFS(RC_IN[MC],RC_IN[BLOCK],RC_OUT[BLOCK]),"")</f>
        <v>11.56</v>
      </c>
      <c r="J2033" s="264">
        <f t="shared" si="51"/>
        <v>53846.48</v>
      </c>
      <c r="K2033" s="246"/>
      <c r="L2033" s="246"/>
      <c r="M2033" s="249"/>
      <c r="N2033" s="266">
        <f t="shared" si="52"/>
        <v>0</v>
      </c>
      <c r="O2033" s="247"/>
      <c r="P2033" s="247"/>
      <c r="Q2033" s="247"/>
      <c r="R2033" s="247"/>
      <c r="S2033" s="247"/>
      <c r="T2033" s="247"/>
      <c r="U2033" s="247"/>
      <c r="V2033" s="247"/>
      <c r="W2033" s="247"/>
      <c r="X2033" s="247"/>
    </row>
    <row r="2034">
      <c r="A2034" s="294">
        <v>46139.0</v>
      </c>
      <c r="B2034" s="295" t="s">
        <v>1198</v>
      </c>
      <c r="C2034" s="295" t="s">
        <v>574</v>
      </c>
      <c r="D2034" s="296">
        <v>1614.0</v>
      </c>
      <c r="E2034" s="295" t="s">
        <v>1017</v>
      </c>
      <c r="F2034" s="297" t="s">
        <v>1059</v>
      </c>
      <c r="G2034" s="293" t="str">
        <f>IFNA(IF(VLOOKUP(RC_OUT[BLOCK],RC_IN[[BLOCK]:[BLOCK LOC]],2,FALSE)=0,"",VLOOKUP(RC_OUT[BLOCK],RC_IN[[BLOCK]:[BLOCK LOC]],2,FALSE)),"")</f>
        <v>A-17B</v>
      </c>
      <c r="I2034" s="263">
        <f>IFERROR(AVERAGEIFS(RC_IN[MC],RC_IN[BLOCK],RC_OUT[BLOCK]),"")</f>
        <v>12.02</v>
      </c>
      <c r="J2034" s="264">
        <f t="shared" si="51"/>
        <v>19400.28</v>
      </c>
      <c r="K2034" s="246"/>
      <c r="L2034" s="246"/>
      <c r="M2034" s="249"/>
      <c r="N2034" s="266">
        <f t="shared" si="52"/>
        <v>0</v>
      </c>
      <c r="O2034" s="247"/>
      <c r="P2034" s="247"/>
      <c r="Q2034" s="247"/>
      <c r="R2034" s="247"/>
      <c r="S2034" s="247"/>
      <c r="T2034" s="247"/>
      <c r="U2034" s="247"/>
      <c r="V2034" s="247"/>
      <c r="W2034" s="247"/>
      <c r="X2034" s="247"/>
    </row>
    <row r="2035">
      <c r="A2035" s="294">
        <v>46139.0</v>
      </c>
      <c r="B2035" s="295" t="s">
        <v>1198</v>
      </c>
      <c r="C2035" s="295" t="s">
        <v>933</v>
      </c>
      <c r="D2035" s="296">
        <v>5000.0</v>
      </c>
      <c r="E2035" s="295" t="s">
        <v>1017</v>
      </c>
      <c r="F2035" s="292"/>
      <c r="G2035" s="293" t="str">
        <f>IFNA(IF(VLOOKUP(RC_OUT[BLOCK],RC_IN[[BLOCK]:[BLOCK LOC]],2,FALSE)=0,"",VLOOKUP(RC_OUT[BLOCK],RC_IN[[BLOCK]:[BLOCK LOC]],2,FALSE)),"")</f>
        <v/>
      </c>
      <c r="I2035" s="263">
        <f>IFERROR(AVERAGEIFS(RC_IN[MC],RC_IN[BLOCK],RC_OUT[BLOCK]),"")</f>
        <v>11.27</v>
      </c>
      <c r="J2035" s="264">
        <f t="shared" si="51"/>
        <v>56350</v>
      </c>
      <c r="K2035" s="246"/>
      <c r="L2035" s="246"/>
      <c r="M2035" s="249"/>
      <c r="N2035" s="266">
        <f t="shared" si="52"/>
        <v>0</v>
      </c>
      <c r="O2035" s="247"/>
      <c r="P2035" s="247"/>
      <c r="Q2035" s="247"/>
      <c r="R2035" s="247"/>
      <c r="S2035" s="247"/>
      <c r="T2035" s="247"/>
      <c r="U2035" s="247"/>
      <c r="V2035" s="247"/>
      <c r="W2035" s="247"/>
      <c r="X2035" s="247"/>
    </row>
    <row r="2036">
      <c r="A2036" s="294">
        <v>46139.0</v>
      </c>
      <c r="B2036" s="295" t="s">
        <v>1198</v>
      </c>
      <c r="C2036" s="295" t="s">
        <v>576</v>
      </c>
      <c r="D2036" s="296">
        <v>20857.0</v>
      </c>
      <c r="E2036" s="295" t="s">
        <v>1017</v>
      </c>
      <c r="F2036" s="292"/>
      <c r="G2036" s="293" t="str">
        <f>IFNA(IF(VLOOKUP(RC_OUT[BLOCK],RC_IN[[BLOCK]:[BLOCK LOC]],2,FALSE)=0,"",VLOOKUP(RC_OUT[BLOCK],RC_IN[[BLOCK]:[BLOCK LOC]],2,FALSE)),"")</f>
        <v>A-17A</v>
      </c>
      <c r="I2036" s="263">
        <f>IFERROR(AVERAGEIFS(RC_IN[MC],RC_IN[BLOCK],RC_OUT[BLOCK]),"")</f>
        <v>12.5025</v>
      </c>
      <c r="J2036" s="264">
        <f t="shared" si="51"/>
        <v>260764.6425</v>
      </c>
      <c r="K2036" s="246"/>
      <c r="L2036" s="246"/>
      <c r="M2036" s="249"/>
      <c r="N2036" s="266">
        <f t="shared" si="52"/>
        <v>0</v>
      </c>
      <c r="O2036" s="247"/>
      <c r="P2036" s="247"/>
      <c r="Q2036" s="247"/>
      <c r="R2036" s="247"/>
      <c r="S2036" s="247"/>
      <c r="T2036" s="247"/>
      <c r="U2036" s="247"/>
      <c r="V2036" s="247"/>
      <c r="W2036" s="247"/>
      <c r="X2036" s="247"/>
    </row>
    <row r="2037">
      <c r="A2037" s="294">
        <v>46139.0</v>
      </c>
      <c r="B2037" s="295" t="s">
        <v>1198</v>
      </c>
      <c r="C2037" s="295" t="s">
        <v>822</v>
      </c>
      <c r="D2037" s="296">
        <v>5918.0</v>
      </c>
      <c r="E2037" s="295" t="s">
        <v>1017</v>
      </c>
      <c r="F2037" s="292"/>
      <c r="G2037" s="293" t="str">
        <f>IFNA(IF(VLOOKUP(RC_OUT[BLOCK],RC_IN[[BLOCK]:[BLOCK LOC]],2,FALSE)=0,"",VLOOKUP(RC_OUT[BLOCK],RC_IN[[BLOCK]:[BLOCK LOC]],2,FALSE)),"")</f>
        <v>PCA-16C</v>
      </c>
      <c r="I2037" s="263">
        <f>IFERROR(AVERAGEIFS(RC_IN[MC],RC_IN[BLOCK],RC_OUT[BLOCK]),"")</f>
        <v>10.90875</v>
      </c>
      <c r="J2037" s="264">
        <f t="shared" si="51"/>
        <v>64557.9825</v>
      </c>
      <c r="K2037" s="246"/>
      <c r="L2037" s="246"/>
      <c r="M2037" s="249"/>
      <c r="N2037" s="266">
        <f t="shared" si="52"/>
        <v>0</v>
      </c>
      <c r="O2037" s="247"/>
      <c r="P2037" s="247"/>
      <c r="Q2037" s="247"/>
      <c r="R2037" s="247"/>
      <c r="S2037" s="247"/>
      <c r="T2037" s="247"/>
      <c r="U2037" s="247"/>
      <c r="V2037" s="247"/>
      <c r="W2037" s="247"/>
      <c r="X2037" s="247"/>
    </row>
    <row r="2038">
      <c r="A2038" s="294"/>
      <c r="B2038" s="295"/>
      <c r="C2038" s="295"/>
      <c r="D2038" s="296"/>
      <c r="E2038" s="295"/>
      <c r="F2038" s="292"/>
      <c r="G2038" s="293" t="str">
        <f>IFNA(IF(VLOOKUP(RC_OUT[BLOCK],RC_IN[[BLOCK]:[BLOCK LOC]],2,FALSE)=0,"",VLOOKUP(RC_OUT[BLOCK],RC_IN[[BLOCK]:[BLOCK LOC]],2,FALSE)),"")</f>
        <v/>
      </c>
      <c r="I2038" s="263" t="str">
        <f>IFERROR(AVERAGEIFS(RC_IN[MC],RC_IN[BLOCK],RC_OUT[BLOCK]),"")</f>
        <v/>
      </c>
      <c r="J2038" s="264">
        <f t="shared" si="51"/>
        <v>0</v>
      </c>
      <c r="K2038" s="246"/>
      <c r="L2038" s="246"/>
      <c r="M2038" s="249"/>
      <c r="N2038" s="266">
        <f t="shared" si="52"/>
        <v>0</v>
      </c>
      <c r="O2038" s="247"/>
      <c r="P2038" s="247"/>
      <c r="Q2038" s="247"/>
      <c r="R2038" s="247"/>
      <c r="S2038" s="247"/>
      <c r="T2038" s="247"/>
      <c r="U2038" s="247"/>
      <c r="V2038" s="247"/>
      <c r="W2038" s="247"/>
      <c r="X2038" s="247"/>
    </row>
    <row r="2039">
      <c r="A2039" s="294">
        <v>46140.0</v>
      </c>
      <c r="B2039" s="295" t="s">
        <v>1198</v>
      </c>
      <c r="C2039" s="295" t="s">
        <v>933</v>
      </c>
      <c r="D2039" s="296">
        <v>2000.0</v>
      </c>
      <c r="E2039" s="295" t="s">
        <v>1017</v>
      </c>
      <c r="F2039" s="292"/>
      <c r="G2039" s="293" t="str">
        <f>IFNA(IF(VLOOKUP(RC_OUT[BLOCK],RC_IN[[BLOCK]:[BLOCK LOC]],2,FALSE)=0,"",VLOOKUP(RC_OUT[BLOCK],RC_IN[[BLOCK]:[BLOCK LOC]],2,FALSE)),"")</f>
        <v/>
      </c>
      <c r="I2039" s="263">
        <f>IFERROR(AVERAGEIFS(RC_IN[MC],RC_IN[BLOCK],RC_OUT[BLOCK]),"")</f>
        <v>11.27</v>
      </c>
      <c r="J2039" s="264">
        <f t="shared" si="51"/>
        <v>22540</v>
      </c>
      <c r="K2039" s="246"/>
      <c r="L2039" s="246"/>
      <c r="M2039" s="249"/>
      <c r="N2039" s="266">
        <f t="shared" si="52"/>
        <v>0</v>
      </c>
      <c r="O2039" s="247"/>
      <c r="P2039" s="247"/>
      <c r="Q2039" s="247"/>
      <c r="R2039" s="247"/>
      <c r="S2039" s="247"/>
      <c r="T2039" s="247"/>
      <c r="U2039" s="247"/>
      <c r="V2039" s="247"/>
      <c r="W2039" s="247"/>
      <c r="X2039" s="247"/>
    </row>
    <row r="2040">
      <c r="A2040" s="294">
        <v>46140.0</v>
      </c>
      <c r="B2040" s="295" t="s">
        <v>1198</v>
      </c>
      <c r="C2040" s="295" t="s">
        <v>576</v>
      </c>
      <c r="D2040" s="296">
        <v>7163.0</v>
      </c>
      <c r="E2040" s="295" t="s">
        <v>1017</v>
      </c>
      <c r="F2040" s="292"/>
      <c r="G2040" s="293" t="str">
        <f>IFNA(IF(VLOOKUP(RC_OUT[BLOCK],RC_IN[[BLOCK]:[BLOCK LOC]],2,FALSE)=0,"",VLOOKUP(RC_OUT[BLOCK],RC_IN[[BLOCK]:[BLOCK LOC]],2,FALSE)),"")</f>
        <v>A-17A</v>
      </c>
      <c r="I2040" s="263">
        <f>IFERROR(AVERAGEIFS(RC_IN[MC],RC_IN[BLOCK],RC_OUT[BLOCK]),"")</f>
        <v>12.5025</v>
      </c>
      <c r="J2040" s="264">
        <f t="shared" si="51"/>
        <v>89555.4075</v>
      </c>
      <c r="K2040" s="246"/>
      <c r="L2040" s="246"/>
      <c r="M2040" s="249"/>
      <c r="N2040" s="266">
        <f t="shared" si="52"/>
        <v>0</v>
      </c>
      <c r="O2040" s="247"/>
      <c r="P2040" s="247"/>
      <c r="Q2040" s="247"/>
      <c r="R2040" s="247"/>
      <c r="S2040" s="247"/>
      <c r="T2040" s="247"/>
      <c r="U2040" s="247"/>
      <c r="V2040" s="247"/>
      <c r="W2040" s="247"/>
      <c r="X2040" s="247"/>
    </row>
    <row r="2041">
      <c r="A2041" s="294">
        <v>46140.0</v>
      </c>
      <c r="B2041" s="295" t="s">
        <v>1198</v>
      </c>
      <c r="C2041" s="295" t="s">
        <v>822</v>
      </c>
      <c r="D2041" s="296">
        <v>11302.0</v>
      </c>
      <c r="E2041" s="295" t="s">
        <v>1017</v>
      </c>
      <c r="F2041" s="292"/>
      <c r="G2041" s="293" t="str">
        <f>IFNA(IF(VLOOKUP(RC_OUT[BLOCK],RC_IN[[BLOCK]:[BLOCK LOC]],2,FALSE)=0,"",VLOOKUP(RC_OUT[BLOCK],RC_IN[[BLOCK]:[BLOCK LOC]],2,FALSE)),"")</f>
        <v>PCA-16C</v>
      </c>
      <c r="I2041" s="263">
        <f>IFERROR(AVERAGEIFS(RC_IN[MC],RC_IN[BLOCK],RC_OUT[BLOCK]),"")</f>
        <v>10.90875</v>
      </c>
      <c r="J2041" s="264">
        <f t="shared" si="51"/>
        <v>123290.6925</v>
      </c>
      <c r="K2041" s="246"/>
      <c r="L2041" s="246"/>
      <c r="M2041" s="249"/>
      <c r="N2041" s="266">
        <f t="shared" si="52"/>
        <v>0</v>
      </c>
      <c r="O2041" s="247"/>
      <c r="P2041" s="247"/>
      <c r="Q2041" s="247"/>
      <c r="R2041" s="247"/>
      <c r="S2041" s="247"/>
      <c r="T2041" s="247"/>
      <c r="U2041" s="247"/>
      <c r="V2041" s="247"/>
      <c r="W2041" s="247"/>
      <c r="X2041" s="247"/>
    </row>
    <row r="2042">
      <c r="A2042" s="294"/>
      <c r="B2042" s="295"/>
      <c r="C2042" s="295"/>
      <c r="D2042" s="296"/>
      <c r="E2042" s="295"/>
      <c r="F2042" s="292"/>
      <c r="G2042" s="293" t="str">
        <f>IFNA(IF(VLOOKUP(RC_OUT[BLOCK],RC_IN[[BLOCK]:[BLOCK LOC]],2,FALSE)=0,"",VLOOKUP(RC_OUT[BLOCK],RC_IN[[BLOCK]:[BLOCK LOC]],2,FALSE)),"")</f>
        <v/>
      </c>
      <c r="I2042" s="263" t="str">
        <f>IFERROR(AVERAGEIFS(RC_IN[MC],RC_IN[BLOCK],RC_OUT[BLOCK]),"")</f>
        <v/>
      </c>
      <c r="J2042" s="264">
        <f t="shared" si="51"/>
        <v>0</v>
      </c>
      <c r="K2042" s="246"/>
      <c r="L2042" s="246"/>
      <c r="M2042" s="249"/>
      <c r="N2042" s="266">
        <f t="shared" si="52"/>
        <v>0</v>
      </c>
      <c r="O2042" s="247"/>
      <c r="P2042" s="247"/>
      <c r="Q2042" s="247"/>
      <c r="R2042" s="247"/>
      <c r="S2042" s="247"/>
      <c r="T2042" s="247"/>
      <c r="U2042" s="247"/>
      <c r="V2042" s="247"/>
      <c r="W2042" s="247"/>
      <c r="X2042" s="247"/>
    </row>
    <row r="2043">
      <c r="A2043" s="294">
        <v>46141.0</v>
      </c>
      <c r="B2043" s="295" t="s">
        <v>1198</v>
      </c>
      <c r="C2043" s="295" t="s">
        <v>346</v>
      </c>
      <c r="D2043" s="296">
        <v>1278.0</v>
      </c>
      <c r="E2043" s="295" t="s">
        <v>1017</v>
      </c>
      <c r="F2043" s="292"/>
      <c r="G2043" s="293" t="str">
        <f>IFNA(IF(VLOOKUP(RC_OUT[BLOCK],RC_IN[[BLOCK]:[BLOCK LOC]],2,FALSE)=0,"",VLOOKUP(RC_OUT[BLOCK],RC_IN[[BLOCK]:[BLOCK LOC]],2,FALSE)),"")</f>
        <v>D-15D</v>
      </c>
      <c r="I2043" s="263">
        <f>IFERROR(AVERAGEIFS(RC_IN[MC],RC_IN[BLOCK],RC_OUT[BLOCK]),"")</f>
        <v>11.56</v>
      </c>
      <c r="J2043" s="264">
        <f t="shared" si="51"/>
        <v>14773.68</v>
      </c>
      <c r="K2043" s="246"/>
      <c r="L2043" s="246"/>
      <c r="M2043" s="249"/>
      <c r="N2043" s="266">
        <f t="shared" si="52"/>
        <v>0</v>
      </c>
      <c r="O2043" s="247"/>
      <c r="P2043" s="247"/>
      <c r="Q2043" s="247"/>
      <c r="R2043" s="247"/>
      <c r="S2043" s="247"/>
      <c r="T2043" s="247"/>
      <c r="U2043" s="247"/>
      <c r="V2043" s="247"/>
      <c r="W2043" s="247"/>
      <c r="X2043" s="247"/>
    </row>
    <row r="2044">
      <c r="A2044" s="294">
        <v>46141.0</v>
      </c>
      <c r="B2044" s="295" t="s">
        <v>1198</v>
      </c>
      <c r="C2044" s="295" t="s">
        <v>933</v>
      </c>
      <c r="D2044" s="296">
        <v>4000.0</v>
      </c>
      <c r="E2044" s="295" t="s">
        <v>1017</v>
      </c>
      <c r="F2044" s="297" t="s">
        <v>1059</v>
      </c>
      <c r="G2044" s="293" t="str">
        <f>IFNA(IF(VLOOKUP(RC_OUT[BLOCK],RC_IN[[BLOCK]:[BLOCK LOC]],2,FALSE)=0,"",VLOOKUP(RC_OUT[BLOCK],RC_IN[[BLOCK]:[BLOCK LOC]],2,FALSE)),"")</f>
        <v/>
      </c>
      <c r="I2044" s="263">
        <f>IFERROR(AVERAGEIFS(RC_IN[MC],RC_IN[BLOCK],RC_OUT[BLOCK]),"")</f>
        <v>11.27</v>
      </c>
      <c r="J2044" s="264">
        <f t="shared" si="51"/>
        <v>45080</v>
      </c>
      <c r="K2044" s="246"/>
      <c r="L2044" s="246"/>
      <c r="M2044" s="249"/>
      <c r="N2044" s="266">
        <f t="shared" si="52"/>
        <v>0</v>
      </c>
      <c r="O2044" s="247"/>
      <c r="P2044" s="247"/>
      <c r="Q2044" s="247"/>
      <c r="R2044" s="247"/>
      <c r="S2044" s="247"/>
      <c r="T2044" s="247"/>
      <c r="U2044" s="247"/>
      <c r="V2044" s="247"/>
      <c r="W2044" s="247"/>
      <c r="X2044" s="247"/>
    </row>
    <row r="2045">
      <c r="A2045" s="294">
        <v>46141.0</v>
      </c>
      <c r="B2045" s="295" t="s">
        <v>1198</v>
      </c>
      <c r="C2045" s="295" t="s">
        <v>576</v>
      </c>
      <c r="D2045" s="296">
        <v>7205.0</v>
      </c>
      <c r="E2045" s="295" t="s">
        <v>1017</v>
      </c>
      <c r="F2045" s="292"/>
      <c r="G2045" s="293" t="str">
        <f>IFNA(IF(VLOOKUP(RC_OUT[BLOCK],RC_IN[[BLOCK]:[BLOCK LOC]],2,FALSE)=0,"",VLOOKUP(RC_OUT[BLOCK],RC_IN[[BLOCK]:[BLOCK LOC]],2,FALSE)),"")</f>
        <v>A-17A</v>
      </c>
      <c r="I2045" s="263">
        <f>IFERROR(AVERAGEIFS(RC_IN[MC],RC_IN[BLOCK],RC_OUT[BLOCK]),"")</f>
        <v>12.5025</v>
      </c>
      <c r="J2045" s="264">
        <f t="shared" si="51"/>
        <v>90080.5125</v>
      </c>
      <c r="K2045" s="246"/>
      <c r="L2045" s="246"/>
      <c r="M2045" s="249"/>
      <c r="N2045" s="266">
        <f t="shared" si="52"/>
        <v>0</v>
      </c>
      <c r="O2045" s="247"/>
      <c r="P2045" s="247"/>
      <c r="Q2045" s="247"/>
      <c r="R2045" s="247"/>
      <c r="S2045" s="247"/>
      <c r="T2045" s="247"/>
      <c r="U2045" s="247"/>
      <c r="V2045" s="247"/>
      <c r="W2045" s="247"/>
      <c r="X2045" s="247"/>
    </row>
    <row r="2046">
      <c r="A2046" s="294">
        <v>46141.0</v>
      </c>
      <c r="B2046" s="295" t="s">
        <v>1198</v>
      </c>
      <c r="C2046" s="295" t="s">
        <v>822</v>
      </c>
      <c r="D2046" s="296">
        <v>8481.0</v>
      </c>
      <c r="E2046" s="295" t="s">
        <v>1017</v>
      </c>
      <c r="F2046" s="292"/>
      <c r="G2046" s="293" t="str">
        <f>IFNA(IF(VLOOKUP(RC_OUT[BLOCK],RC_IN[[BLOCK]:[BLOCK LOC]],2,FALSE)=0,"",VLOOKUP(RC_OUT[BLOCK],RC_IN[[BLOCK]:[BLOCK LOC]],2,FALSE)),"")</f>
        <v>PCA-16C</v>
      </c>
      <c r="I2046" s="263">
        <f>IFERROR(AVERAGEIFS(RC_IN[MC],RC_IN[BLOCK],RC_OUT[BLOCK]),"")</f>
        <v>10.90875</v>
      </c>
      <c r="J2046" s="264">
        <f t="shared" si="51"/>
        <v>92517.10875</v>
      </c>
      <c r="K2046" s="246"/>
      <c r="L2046" s="246"/>
      <c r="M2046" s="249"/>
      <c r="N2046" s="266">
        <f t="shared" si="52"/>
        <v>0</v>
      </c>
      <c r="O2046" s="247"/>
      <c r="P2046" s="247"/>
      <c r="Q2046" s="247"/>
      <c r="R2046" s="247"/>
      <c r="S2046" s="247"/>
      <c r="T2046" s="247"/>
      <c r="U2046" s="247"/>
      <c r="V2046" s="247"/>
      <c r="W2046" s="247"/>
      <c r="X2046" s="247"/>
    </row>
    <row r="2047">
      <c r="A2047" s="294">
        <v>46141.0</v>
      </c>
      <c r="B2047" s="295" t="s">
        <v>1198</v>
      </c>
      <c r="C2047" s="295" t="s">
        <v>663</v>
      </c>
      <c r="D2047" s="296">
        <v>1289.0</v>
      </c>
      <c r="E2047" s="295" t="s">
        <v>1017</v>
      </c>
      <c r="F2047" s="292"/>
      <c r="G2047" s="293" t="str">
        <f>IFNA(IF(VLOOKUP(RC_OUT[BLOCK],RC_IN[[BLOCK]:[BLOCK LOC]],2,FALSE)=0,"",VLOOKUP(RC_OUT[BLOCK],RC_IN[[BLOCK]:[BLOCK LOC]],2,FALSE)),"")</f>
        <v>D-12B</v>
      </c>
      <c r="I2047" s="263">
        <f>IFERROR(AVERAGEIFS(RC_IN[MC],RC_IN[BLOCK],RC_OUT[BLOCK]),"")</f>
        <v>11.92</v>
      </c>
      <c r="J2047" s="264">
        <f t="shared" si="51"/>
        <v>15364.88</v>
      </c>
      <c r="K2047" s="246"/>
      <c r="L2047" s="246"/>
      <c r="M2047" s="249"/>
      <c r="N2047" s="266">
        <f t="shared" si="52"/>
        <v>0</v>
      </c>
      <c r="O2047" s="247"/>
      <c r="P2047" s="247"/>
      <c r="Q2047" s="247"/>
      <c r="R2047" s="247"/>
      <c r="S2047" s="247"/>
      <c r="T2047" s="247"/>
      <c r="U2047" s="247"/>
      <c r="V2047" s="247"/>
      <c r="W2047" s="247"/>
      <c r="X2047" s="247"/>
    </row>
    <row r="2048">
      <c r="A2048" s="294"/>
      <c r="B2048" s="295"/>
      <c r="C2048" s="295"/>
      <c r="D2048" s="296"/>
      <c r="E2048" s="295"/>
      <c r="F2048" s="292"/>
      <c r="G2048" s="293" t="str">
        <f>IFNA(IF(VLOOKUP(RC_OUT[BLOCK],RC_IN[[BLOCK]:[BLOCK LOC]],2,FALSE)=0,"",VLOOKUP(RC_OUT[BLOCK],RC_IN[[BLOCK]:[BLOCK LOC]],2,FALSE)),"")</f>
        <v/>
      </c>
      <c r="I2048" s="263" t="str">
        <f>IFERROR(AVERAGEIFS(RC_IN[MC],RC_IN[BLOCK],RC_OUT[BLOCK]),"")</f>
        <v/>
      </c>
      <c r="J2048" s="264">
        <f t="shared" si="51"/>
        <v>0</v>
      </c>
      <c r="K2048" s="246"/>
      <c r="L2048" s="246"/>
      <c r="M2048" s="249"/>
      <c r="N2048" s="266">
        <f t="shared" si="52"/>
        <v>0</v>
      </c>
      <c r="O2048" s="247"/>
      <c r="P2048" s="247"/>
      <c r="Q2048" s="247"/>
      <c r="R2048" s="247"/>
      <c r="S2048" s="247"/>
      <c r="T2048" s="247"/>
      <c r="U2048" s="247"/>
      <c r="V2048" s="247"/>
      <c r="W2048" s="247"/>
      <c r="X2048" s="247"/>
    </row>
    <row r="2049">
      <c r="A2049" s="294">
        <v>46142.0</v>
      </c>
      <c r="B2049" s="295" t="s">
        <v>1215</v>
      </c>
      <c r="C2049" s="295" t="s">
        <v>576</v>
      </c>
      <c r="D2049" s="296">
        <v>7183.0</v>
      </c>
      <c r="E2049" s="295" t="s">
        <v>1017</v>
      </c>
      <c r="F2049" s="292"/>
      <c r="G2049" s="293" t="str">
        <f>IFNA(IF(VLOOKUP(RC_OUT[BLOCK],RC_IN[[BLOCK]:[BLOCK LOC]],2,FALSE)=0,"",VLOOKUP(RC_OUT[BLOCK],RC_IN[[BLOCK]:[BLOCK LOC]],2,FALSE)),"")</f>
        <v>A-17A</v>
      </c>
      <c r="I2049" s="263">
        <f>IFERROR(AVERAGEIFS(RC_IN[MC],RC_IN[BLOCK],RC_OUT[BLOCK]),"")</f>
        <v>12.5025</v>
      </c>
      <c r="J2049" s="264">
        <f t="shared" si="51"/>
        <v>89805.4575</v>
      </c>
      <c r="K2049" s="246"/>
      <c r="L2049" s="246"/>
      <c r="M2049" s="249"/>
      <c r="N2049" s="266">
        <f t="shared" si="52"/>
        <v>0</v>
      </c>
      <c r="O2049" s="247"/>
      <c r="P2049" s="247"/>
      <c r="Q2049" s="247"/>
      <c r="R2049" s="247"/>
      <c r="S2049" s="247"/>
      <c r="T2049" s="247"/>
      <c r="U2049" s="247"/>
      <c r="V2049" s="247"/>
      <c r="W2049" s="247"/>
      <c r="X2049" s="247"/>
    </row>
    <row r="2050">
      <c r="A2050" s="294">
        <v>46142.0</v>
      </c>
      <c r="B2050" s="295" t="s">
        <v>1215</v>
      </c>
      <c r="C2050" s="295" t="s">
        <v>822</v>
      </c>
      <c r="D2050" s="296">
        <v>9291.0</v>
      </c>
      <c r="E2050" s="295" t="s">
        <v>1017</v>
      </c>
      <c r="F2050" s="292"/>
      <c r="G2050" s="293" t="str">
        <f>IFNA(IF(VLOOKUP(RC_OUT[BLOCK],RC_IN[[BLOCK]:[BLOCK LOC]],2,FALSE)=0,"",VLOOKUP(RC_OUT[BLOCK],RC_IN[[BLOCK]:[BLOCK LOC]],2,FALSE)),"")</f>
        <v>PCA-16C</v>
      </c>
      <c r="I2050" s="263">
        <f>IFERROR(AVERAGEIFS(RC_IN[MC],RC_IN[BLOCK],RC_OUT[BLOCK]),"")</f>
        <v>10.90875</v>
      </c>
      <c r="J2050" s="264">
        <f t="shared" si="51"/>
        <v>101353.1963</v>
      </c>
      <c r="K2050" s="246"/>
      <c r="L2050" s="246"/>
      <c r="M2050" s="249"/>
      <c r="N2050" s="266">
        <f t="shared" si="52"/>
        <v>0</v>
      </c>
      <c r="O2050" s="247"/>
      <c r="P2050" s="247"/>
      <c r="Q2050" s="247"/>
      <c r="R2050" s="247"/>
      <c r="S2050" s="247"/>
      <c r="T2050" s="247"/>
      <c r="U2050" s="247"/>
      <c r="V2050" s="247"/>
      <c r="W2050" s="247"/>
      <c r="X2050" s="247"/>
    </row>
    <row r="2051">
      <c r="A2051" s="294">
        <v>46142.0</v>
      </c>
      <c r="B2051" s="295" t="s">
        <v>1215</v>
      </c>
      <c r="C2051" s="295" t="s">
        <v>936</v>
      </c>
      <c r="D2051" s="296">
        <v>1095.0</v>
      </c>
      <c r="E2051" s="295" t="s">
        <v>1017</v>
      </c>
      <c r="F2051" s="292"/>
      <c r="G2051" s="293" t="str">
        <f>IFNA(IF(VLOOKUP(RC_OUT[BLOCK],RC_IN[[BLOCK]:[BLOCK LOC]],2,FALSE)=0,"",VLOOKUP(RC_OUT[BLOCK],RC_IN[[BLOCK]:[BLOCK LOC]],2,FALSE)),"")</f>
        <v/>
      </c>
      <c r="I2051" s="263">
        <f>IFERROR(AVERAGEIFS(RC_IN[MC],RC_IN[BLOCK],RC_OUT[BLOCK]),"")</f>
        <v>11.07</v>
      </c>
      <c r="J2051" s="264">
        <f t="shared" si="51"/>
        <v>12121.65</v>
      </c>
      <c r="K2051" s="246"/>
      <c r="L2051" s="246"/>
      <c r="M2051" s="249"/>
      <c r="N2051" s="266">
        <f t="shared" si="52"/>
        <v>0</v>
      </c>
      <c r="O2051" s="247"/>
      <c r="P2051" s="247"/>
      <c r="Q2051" s="247"/>
      <c r="R2051" s="247"/>
      <c r="S2051" s="247"/>
      <c r="T2051" s="247"/>
      <c r="U2051" s="247"/>
      <c r="V2051" s="247"/>
      <c r="W2051" s="247"/>
      <c r="X2051" s="247"/>
    </row>
    <row r="2052">
      <c r="A2052" s="294"/>
      <c r="B2052" s="295"/>
      <c r="C2052" s="295"/>
      <c r="D2052" s="296"/>
      <c r="E2052" s="295"/>
      <c r="F2052" s="292"/>
      <c r="G2052" s="293" t="str">
        <f>IFNA(IF(VLOOKUP(RC_OUT[BLOCK],RC_IN[[BLOCK]:[BLOCK LOC]],2,FALSE)=0,"",VLOOKUP(RC_OUT[BLOCK],RC_IN[[BLOCK]:[BLOCK LOC]],2,FALSE)),"")</f>
        <v/>
      </c>
      <c r="I2052" s="263" t="str">
        <f>IFERROR(AVERAGEIFS(RC_IN[MC],RC_IN[BLOCK],RC_OUT[BLOCK]),"")</f>
        <v/>
      </c>
      <c r="J2052" s="264">
        <f t="shared" si="51"/>
        <v>0</v>
      </c>
      <c r="K2052" s="246"/>
      <c r="L2052" s="246"/>
      <c r="M2052" s="249"/>
      <c r="N2052" s="266">
        <f t="shared" si="52"/>
        <v>0</v>
      </c>
      <c r="O2052" s="247"/>
      <c r="P2052" s="247"/>
      <c r="Q2052" s="247"/>
      <c r="R2052" s="247"/>
      <c r="S2052" s="247"/>
      <c r="T2052" s="247"/>
      <c r="U2052" s="247"/>
      <c r="V2052" s="247"/>
      <c r="W2052" s="247"/>
      <c r="X2052" s="247"/>
    </row>
    <row r="2053">
      <c r="A2053" s="294">
        <v>46146.0</v>
      </c>
      <c r="B2053" s="295" t="s">
        <v>1215</v>
      </c>
      <c r="C2053" s="295" t="s">
        <v>346</v>
      </c>
      <c r="D2053" s="296">
        <v>1123.0</v>
      </c>
      <c r="E2053" s="295" t="s">
        <v>1017</v>
      </c>
      <c r="F2053" s="292"/>
      <c r="G2053" s="293" t="str">
        <f>IFNA(IF(VLOOKUP(RC_OUT[BLOCK],RC_IN[[BLOCK]:[BLOCK LOC]],2,FALSE)=0,"",VLOOKUP(RC_OUT[BLOCK],RC_IN[[BLOCK]:[BLOCK LOC]],2,FALSE)),"")</f>
        <v>D-15D</v>
      </c>
      <c r="I2053" s="263">
        <f>IFERROR(AVERAGEIFS(RC_IN[MC],RC_IN[BLOCK],RC_OUT[BLOCK]),"")</f>
        <v>11.56</v>
      </c>
      <c r="J2053" s="264">
        <f t="shared" si="51"/>
        <v>12981.88</v>
      </c>
      <c r="K2053" s="246"/>
      <c r="L2053" s="246"/>
      <c r="M2053" s="249"/>
      <c r="N2053" s="266">
        <f t="shared" si="52"/>
        <v>0</v>
      </c>
      <c r="O2053" s="247"/>
      <c r="P2053" s="247"/>
      <c r="Q2053" s="247"/>
      <c r="R2053" s="247"/>
      <c r="S2053" s="247"/>
      <c r="T2053" s="247"/>
      <c r="U2053" s="247"/>
      <c r="V2053" s="247"/>
      <c r="W2053" s="247"/>
      <c r="X2053" s="247"/>
    </row>
    <row r="2054">
      <c r="A2054" s="294">
        <v>46146.0</v>
      </c>
      <c r="B2054" s="295" t="s">
        <v>1215</v>
      </c>
      <c r="C2054" s="295" t="s">
        <v>576</v>
      </c>
      <c r="D2054" s="296">
        <v>16731.0</v>
      </c>
      <c r="E2054" s="295" t="s">
        <v>1017</v>
      </c>
      <c r="F2054" s="292"/>
      <c r="G2054" s="293" t="str">
        <f>IFNA(IF(VLOOKUP(RC_OUT[BLOCK],RC_IN[[BLOCK]:[BLOCK LOC]],2,FALSE)=0,"",VLOOKUP(RC_OUT[BLOCK],RC_IN[[BLOCK]:[BLOCK LOC]],2,FALSE)),"")</f>
        <v>A-17A</v>
      </c>
      <c r="I2054" s="263">
        <f>IFERROR(AVERAGEIFS(RC_IN[MC],RC_IN[BLOCK],RC_OUT[BLOCK]),"")</f>
        <v>12.5025</v>
      </c>
      <c r="J2054" s="264">
        <f t="shared" si="51"/>
        <v>209179.3275</v>
      </c>
      <c r="K2054" s="246"/>
      <c r="L2054" s="246"/>
      <c r="M2054" s="249"/>
      <c r="N2054" s="266">
        <f t="shared" si="52"/>
        <v>0</v>
      </c>
      <c r="O2054" s="247"/>
      <c r="P2054" s="247"/>
      <c r="Q2054" s="247"/>
      <c r="R2054" s="247"/>
      <c r="S2054" s="247"/>
      <c r="T2054" s="247"/>
      <c r="U2054" s="247"/>
      <c r="V2054" s="247"/>
      <c r="W2054" s="247"/>
      <c r="X2054" s="247"/>
    </row>
    <row r="2055">
      <c r="A2055" s="294">
        <v>46146.0</v>
      </c>
      <c r="B2055" s="295" t="s">
        <v>1215</v>
      </c>
      <c r="C2055" s="295" t="s">
        <v>822</v>
      </c>
      <c r="D2055" s="296">
        <v>5943.0</v>
      </c>
      <c r="E2055" s="295" t="s">
        <v>1017</v>
      </c>
      <c r="F2055" s="297" t="s">
        <v>1059</v>
      </c>
      <c r="G2055" s="293" t="str">
        <f>IFNA(IF(VLOOKUP(RC_OUT[BLOCK],RC_IN[[BLOCK]:[BLOCK LOC]],2,FALSE)=0,"",VLOOKUP(RC_OUT[BLOCK],RC_IN[[BLOCK]:[BLOCK LOC]],2,FALSE)),"")</f>
        <v>PCA-16C</v>
      </c>
      <c r="I2055" s="263">
        <f>IFERROR(AVERAGEIFS(RC_IN[MC],RC_IN[BLOCK],RC_OUT[BLOCK]),"")</f>
        <v>10.90875</v>
      </c>
      <c r="J2055" s="264">
        <f t="shared" si="51"/>
        <v>64830.70125</v>
      </c>
      <c r="K2055" s="246"/>
      <c r="L2055" s="246"/>
      <c r="M2055" s="249"/>
      <c r="N2055" s="266">
        <f t="shared" si="52"/>
        <v>0</v>
      </c>
      <c r="O2055" s="247"/>
      <c r="P2055" s="247"/>
      <c r="Q2055" s="247"/>
      <c r="R2055" s="247"/>
      <c r="S2055" s="247"/>
      <c r="T2055" s="247"/>
      <c r="U2055" s="247"/>
      <c r="V2055" s="247"/>
      <c r="W2055" s="247"/>
      <c r="X2055" s="247"/>
    </row>
    <row r="2056">
      <c r="A2056" s="294">
        <v>46146.0</v>
      </c>
      <c r="B2056" s="295" t="s">
        <v>1215</v>
      </c>
      <c r="C2056" s="295" t="s">
        <v>663</v>
      </c>
      <c r="D2056" s="296">
        <v>1137.0</v>
      </c>
      <c r="E2056" s="295" t="s">
        <v>1017</v>
      </c>
      <c r="F2056" s="292"/>
      <c r="G2056" s="293" t="str">
        <f>IFNA(IF(VLOOKUP(RC_OUT[BLOCK],RC_IN[[BLOCK]:[BLOCK LOC]],2,FALSE)=0,"",VLOOKUP(RC_OUT[BLOCK],RC_IN[[BLOCK]:[BLOCK LOC]],2,FALSE)),"")</f>
        <v>D-12B</v>
      </c>
      <c r="I2056" s="263"/>
      <c r="J2056" s="264"/>
      <c r="K2056" s="246"/>
      <c r="L2056" s="246"/>
      <c r="M2056" s="249"/>
      <c r="N2056" s="266"/>
      <c r="O2056" s="247"/>
      <c r="P2056" s="247"/>
      <c r="Q2056" s="247"/>
      <c r="R2056" s="247"/>
      <c r="S2056" s="247"/>
      <c r="T2056" s="247"/>
      <c r="U2056" s="247"/>
      <c r="V2056" s="247"/>
      <c r="W2056" s="247"/>
      <c r="X2056" s="247"/>
    </row>
    <row r="2057">
      <c r="A2057" s="294">
        <v>46146.0</v>
      </c>
      <c r="B2057" s="295" t="s">
        <v>1215</v>
      </c>
      <c r="C2057" s="295" t="s">
        <v>936</v>
      </c>
      <c r="D2057" s="298">
        <v>8000.0</v>
      </c>
      <c r="E2057" s="295" t="s">
        <v>1017</v>
      </c>
      <c r="F2057" s="292"/>
      <c r="G2057" s="293" t="str">
        <f>IFNA(IF(VLOOKUP(RC_OUT[BLOCK],RC_IN[[BLOCK]:[BLOCK LOC]],2,FALSE)=0,"",VLOOKUP(RC_OUT[BLOCK],RC_IN[[BLOCK]:[BLOCK LOC]],2,FALSE)),"")</f>
        <v/>
      </c>
      <c r="I2057" s="263">
        <f>IFERROR(AVERAGEIFS(RC_IN[MC],RC_IN[BLOCK],RC_OUT[BLOCK]),"")</f>
        <v>11.07</v>
      </c>
      <c r="J2057" s="264">
        <f>D2056*I2057</f>
        <v>12586.59</v>
      </c>
      <c r="K2057" s="246"/>
      <c r="L2057" s="246"/>
      <c r="M2057" s="249"/>
      <c r="N2057" s="266">
        <f t="shared" ref="N2057:N2602" si="53">IFERROR(SUMIFS(D:D,A:A,K2057,B:B,L2057),"")</f>
        <v>0</v>
      </c>
      <c r="O2057" s="247"/>
      <c r="P2057" s="247"/>
      <c r="Q2057" s="247"/>
      <c r="R2057" s="247"/>
      <c r="S2057" s="247"/>
      <c r="T2057" s="247"/>
      <c r="U2057" s="247"/>
      <c r="V2057" s="247"/>
      <c r="W2057" s="247"/>
      <c r="X2057" s="247"/>
    </row>
    <row r="2058">
      <c r="A2058" s="294">
        <v>46146.0</v>
      </c>
      <c r="B2058" s="295" t="s">
        <v>1215</v>
      </c>
      <c r="C2058" s="295" t="s">
        <v>925</v>
      </c>
      <c r="D2058" s="296">
        <v>5258.0</v>
      </c>
      <c r="E2058" s="295" t="s">
        <v>1017</v>
      </c>
      <c r="F2058" s="292"/>
      <c r="G2058" s="293" t="str">
        <f>IFNA(IF(VLOOKUP(RC_OUT[BLOCK],RC_IN[[BLOCK]:[BLOCK LOC]],2,FALSE)=0,"",VLOOKUP(RC_OUT[BLOCK],RC_IN[[BLOCK]:[BLOCK LOC]],2,FALSE)),"")</f>
        <v>PCA-17B</v>
      </c>
      <c r="I2058" s="263">
        <f>IFERROR(AVERAGEIFS(RC_IN[MC],RC_IN[BLOCK],RC_OUT[BLOCK]),"")</f>
        <v>8.31125</v>
      </c>
      <c r="J2058" s="264">
        <f t="shared" ref="J2058:J2602" si="54">D2058*I2058</f>
        <v>43700.5525</v>
      </c>
      <c r="K2058" s="246"/>
      <c r="L2058" s="246"/>
      <c r="M2058" s="249"/>
      <c r="N2058" s="266">
        <f t="shared" si="53"/>
        <v>0</v>
      </c>
      <c r="O2058" s="247"/>
      <c r="P2058" s="247"/>
      <c r="Q2058" s="247"/>
      <c r="R2058" s="247"/>
      <c r="S2058" s="247"/>
      <c r="T2058" s="247"/>
      <c r="U2058" s="247"/>
      <c r="V2058" s="247"/>
      <c r="W2058" s="247"/>
      <c r="X2058" s="247"/>
    </row>
    <row r="2059">
      <c r="A2059" s="294"/>
      <c r="B2059" s="295"/>
      <c r="C2059" s="295"/>
      <c r="D2059" s="296"/>
      <c r="E2059" s="295"/>
      <c r="F2059" s="292"/>
      <c r="G2059" s="293" t="str">
        <f>IFNA(IF(VLOOKUP(RC_OUT[BLOCK],RC_IN[[BLOCK]:[BLOCK LOC]],2,FALSE)=0,"",VLOOKUP(RC_OUT[BLOCK],RC_IN[[BLOCK]:[BLOCK LOC]],2,FALSE)),"")</f>
        <v/>
      </c>
      <c r="I2059" s="263" t="str">
        <f>IFERROR(AVERAGEIFS(RC_IN[MC],RC_IN[BLOCK],RC_OUT[BLOCK]),"")</f>
        <v/>
      </c>
      <c r="J2059" s="264">
        <f t="shared" si="54"/>
        <v>0</v>
      </c>
      <c r="K2059" s="246"/>
      <c r="L2059" s="246"/>
      <c r="M2059" s="249"/>
      <c r="N2059" s="266">
        <f t="shared" si="53"/>
        <v>0</v>
      </c>
      <c r="O2059" s="247"/>
      <c r="P2059" s="247"/>
      <c r="Q2059" s="247"/>
      <c r="R2059" s="247"/>
      <c r="S2059" s="247"/>
      <c r="T2059" s="247"/>
      <c r="U2059" s="247"/>
      <c r="V2059" s="247"/>
      <c r="W2059" s="247"/>
      <c r="X2059" s="247"/>
    </row>
    <row r="2060">
      <c r="A2060" s="294">
        <v>46147.0</v>
      </c>
      <c r="B2060" s="295" t="s">
        <v>1215</v>
      </c>
      <c r="C2060" s="295" t="s">
        <v>346</v>
      </c>
      <c r="D2060" s="296">
        <v>1180.0</v>
      </c>
      <c r="E2060" s="295" t="s">
        <v>1017</v>
      </c>
      <c r="F2060" s="292"/>
      <c r="G2060" s="293" t="str">
        <f>IFNA(IF(VLOOKUP(RC_OUT[BLOCK],RC_IN[[BLOCK]:[BLOCK LOC]],2,FALSE)=0,"",VLOOKUP(RC_OUT[BLOCK],RC_IN[[BLOCK]:[BLOCK LOC]],2,FALSE)),"")</f>
        <v>D-15D</v>
      </c>
      <c r="I2060" s="263">
        <f>IFERROR(AVERAGEIFS(RC_IN[MC],RC_IN[BLOCK],RC_OUT[BLOCK]),"")</f>
        <v>11.56</v>
      </c>
      <c r="J2060" s="264">
        <f t="shared" si="54"/>
        <v>13640.8</v>
      </c>
      <c r="K2060" s="246"/>
      <c r="L2060" s="246"/>
      <c r="M2060" s="249"/>
      <c r="N2060" s="266">
        <f t="shared" si="53"/>
        <v>0</v>
      </c>
      <c r="O2060" s="247"/>
      <c r="P2060" s="247"/>
      <c r="Q2060" s="247"/>
      <c r="R2060" s="247"/>
      <c r="S2060" s="247"/>
      <c r="T2060" s="247"/>
      <c r="U2060" s="247"/>
      <c r="V2060" s="247"/>
      <c r="W2060" s="247"/>
      <c r="X2060" s="247"/>
    </row>
    <row r="2061">
      <c r="A2061" s="294">
        <v>46147.0</v>
      </c>
      <c r="B2061" s="295" t="s">
        <v>1215</v>
      </c>
      <c r="C2061" s="295" t="s">
        <v>576</v>
      </c>
      <c r="D2061" s="296">
        <v>11268.0</v>
      </c>
      <c r="E2061" s="295" t="s">
        <v>1017</v>
      </c>
      <c r="F2061" s="297" t="s">
        <v>1059</v>
      </c>
      <c r="G2061" s="293" t="str">
        <f>IFNA(IF(VLOOKUP(RC_OUT[BLOCK],RC_IN[[BLOCK]:[BLOCK LOC]],2,FALSE)=0,"",VLOOKUP(RC_OUT[BLOCK],RC_IN[[BLOCK]:[BLOCK LOC]],2,FALSE)),"")</f>
        <v>A-17A</v>
      </c>
      <c r="I2061" s="263">
        <f>IFERROR(AVERAGEIFS(RC_IN[MC],RC_IN[BLOCK],RC_OUT[BLOCK]),"")</f>
        <v>12.5025</v>
      </c>
      <c r="J2061" s="264">
        <f t="shared" si="54"/>
        <v>140878.17</v>
      </c>
      <c r="K2061" s="246"/>
      <c r="L2061" s="246"/>
      <c r="M2061" s="249"/>
      <c r="N2061" s="266">
        <f t="shared" si="53"/>
        <v>0</v>
      </c>
      <c r="O2061" s="247"/>
      <c r="P2061" s="247"/>
      <c r="Q2061" s="247"/>
      <c r="R2061" s="247"/>
      <c r="S2061" s="247"/>
      <c r="T2061" s="247"/>
      <c r="U2061" s="247"/>
      <c r="V2061" s="247"/>
      <c r="W2061" s="247"/>
      <c r="X2061" s="247"/>
    </row>
    <row r="2062">
      <c r="A2062" s="294">
        <v>46147.0</v>
      </c>
      <c r="B2062" s="295" t="s">
        <v>1215</v>
      </c>
      <c r="C2062" s="295" t="s">
        <v>663</v>
      </c>
      <c r="D2062" s="296">
        <v>1258.0</v>
      </c>
      <c r="E2062" s="295" t="s">
        <v>1017</v>
      </c>
      <c r="F2062" s="292"/>
      <c r="G2062" s="293" t="str">
        <f>IFNA(IF(VLOOKUP(RC_OUT[BLOCK],RC_IN[[BLOCK]:[BLOCK LOC]],2,FALSE)=0,"",VLOOKUP(RC_OUT[BLOCK],RC_IN[[BLOCK]:[BLOCK LOC]],2,FALSE)),"")</f>
        <v>D-12B</v>
      </c>
      <c r="I2062" s="263">
        <f>IFERROR(AVERAGEIFS(RC_IN[MC],RC_IN[BLOCK],RC_OUT[BLOCK]),"")</f>
        <v>11.92</v>
      </c>
      <c r="J2062" s="264">
        <f t="shared" si="54"/>
        <v>14995.36</v>
      </c>
      <c r="K2062" s="246"/>
      <c r="L2062" s="246"/>
      <c r="M2062" s="249"/>
      <c r="N2062" s="266">
        <f t="shared" si="53"/>
        <v>0</v>
      </c>
      <c r="O2062" s="247"/>
      <c r="P2062" s="247"/>
      <c r="Q2062" s="247"/>
      <c r="R2062" s="247"/>
      <c r="S2062" s="247"/>
      <c r="T2062" s="247"/>
      <c r="U2062" s="247"/>
      <c r="V2062" s="247"/>
      <c r="W2062" s="247"/>
      <c r="X2062" s="247"/>
    </row>
    <row r="2063">
      <c r="A2063" s="294">
        <v>46147.0</v>
      </c>
      <c r="B2063" s="295" t="s">
        <v>1215</v>
      </c>
      <c r="C2063" s="295" t="s">
        <v>936</v>
      </c>
      <c r="D2063" s="296">
        <v>8000.0</v>
      </c>
      <c r="E2063" s="295" t="s">
        <v>1017</v>
      </c>
      <c r="F2063" s="297" t="s">
        <v>1059</v>
      </c>
      <c r="G2063" s="293" t="str">
        <f>IFNA(IF(VLOOKUP(RC_OUT[BLOCK],RC_IN[[BLOCK]:[BLOCK LOC]],2,FALSE)=0,"",VLOOKUP(RC_OUT[BLOCK],RC_IN[[BLOCK]:[BLOCK LOC]],2,FALSE)),"")</f>
        <v/>
      </c>
      <c r="I2063" s="263">
        <f>IFERROR(AVERAGEIFS(RC_IN[MC],RC_IN[BLOCK],RC_OUT[BLOCK]),"")</f>
        <v>11.07</v>
      </c>
      <c r="J2063" s="264">
        <f t="shared" si="54"/>
        <v>88560</v>
      </c>
      <c r="K2063" s="246"/>
      <c r="L2063" s="246"/>
      <c r="M2063" s="249"/>
      <c r="N2063" s="266">
        <f t="shared" si="53"/>
        <v>0</v>
      </c>
      <c r="O2063" s="247"/>
      <c r="P2063" s="247"/>
      <c r="Q2063" s="247"/>
      <c r="R2063" s="247"/>
      <c r="S2063" s="247"/>
      <c r="T2063" s="247"/>
      <c r="U2063" s="247"/>
      <c r="V2063" s="247"/>
      <c r="W2063" s="247"/>
      <c r="X2063" s="247"/>
    </row>
    <row r="2064">
      <c r="A2064" s="294">
        <v>46147.0</v>
      </c>
      <c r="B2064" s="295" t="s">
        <v>1215</v>
      </c>
      <c r="C2064" s="295" t="s">
        <v>925</v>
      </c>
      <c r="D2064" s="296">
        <v>11632.0</v>
      </c>
      <c r="E2064" s="295" t="s">
        <v>1017</v>
      </c>
      <c r="F2064" s="292"/>
      <c r="G2064" s="293" t="str">
        <f>IFNA(IF(VLOOKUP(RC_OUT[BLOCK],RC_IN[[BLOCK]:[BLOCK LOC]],2,FALSE)=0,"",VLOOKUP(RC_OUT[BLOCK],RC_IN[[BLOCK]:[BLOCK LOC]],2,FALSE)),"")</f>
        <v>PCA-17B</v>
      </c>
      <c r="I2064" s="263">
        <f>IFERROR(AVERAGEIFS(RC_IN[MC],RC_IN[BLOCK],RC_OUT[BLOCK]),"")</f>
        <v>8.31125</v>
      </c>
      <c r="J2064" s="264">
        <f t="shared" si="54"/>
        <v>96676.46</v>
      </c>
      <c r="K2064" s="246"/>
      <c r="L2064" s="246"/>
      <c r="M2064" s="249"/>
      <c r="N2064" s="266">
        <f t="shared" si="53"/>
        <v>0</v>
      </c>
      <c r="O2064" s="247"/>
      <c r="P2064" s="247"/>
      <c r="Q2064" s="247"/>
      <c r="R2064" s="247"/>
      <c r="S2064" s="247"/>
      <c r="T2064" s="247"/>
      <c r="U2064" s="247"/>
      <c r="V2064" s="247"/>
      <c r="W2064" s="247"/>
      <c r="X2064" s="247"/>
    </row>
    <row r="2065">
      <c r="A2065" s="294">
        <v>46147.0</v>
      </c>
      <c r="B2065" s="295" t="s">
        <v>1215</v>
      </c>
      <c r="C2065" s="295" t="s">
        <v>650</v>
      </c>
      <c r="D2065" s="296">
        <v>6613.0</v>
      </c>
      <c r="E2065" s="295" t="s">
        <v>1017</v>
      </c>
      <c r="F2065" s="292"/>
      <c r="G2065" s="293" t="str">
        <f>IFNA(IF(VLOOKUP(RC_OUT[BLOCK],RC_IN[[BLOCK]:[BLOCK LOC]],2,FALSE)=0,"",VLOOKUP(RC_OUT[BLOCK],RC_IN[[BLOCK]:[BLOCK LOC]],2,FALSE)),"")</f>
        <v>A-11C</v>
      </c>
      <c r="I2065" s="263">
        <f>IFERROR(AVERAGEIFS(RC_IN[MC],RC_IN[BLOCK],RC_OUT[BLOCK]),"")</f>
        <v>11.505</v>
      </c>
      <c r="J2065" s="264">
        <f t="shared" si="54"/>
        <v>76082.565</v>
      </c>
      <c r="K2065" s="246"/>
      <c r="L2065" s="246"/>
      <c r="M2065" s="249"/>
      <c r="N2065" s="266">
        <f t="shared" si="53"/>
        <v>0</v>
      </c>
      <c r="O2065" s="247"/>
      <c r="P2065" s="247"/>
      <c r="Q2065" s="247"/>
      <c r="R2065" s="247"/>
      <c r="S2065" s="247"/>
      <c r="T2065" s="247"/>
      <c r="U2065" s="247"/>
      <c r="V2065" s="247"/>
      <c r="W2065" s="247"/>
      <c r="X2065" s="247"/>
    </row>
    <row r="2066">
      <c r="A2066" s="294"/>
      <c r="B2066" s="295"/>
      <c r="C2066" s="295"/>
      <c r="D2066" s="296"/>
      <c r="E2066" s="295"/>
      <c r="F2066" s="292"/>
      <c r="G2066" s="293" t="str">
        <f>IFNA(IF(VLOOKUP(RC_OUT[BLOCK],RC_IN[[BLOCK]:[BLOCK LOC]],2,FALSE)=0,"",VLOOKUP(RC_OUT[BLOCK],RC_IN[[BLOCK]:[BLOCK LOC]],2,FALSE)),"")</f>
        <v/>
      </c>
      <c r="I2066" s="263" t="str">
        <f>IFERROR(AVERAGEIFS(RC_IN[MC],RC_IN[BLOCK],RC_OUT[BLOCK]),"")</f>
        <v/>
      </c>
      <c r="J2066" s="264">
        <f t="shared" si="54"/>
        <v>0</v>
      </c>
      <c r="K2066" s="246"/>
      <c r="L2066" s="246"/>
      <c r="M2066" s="249"/>
      <c r="N2066" s="266">
        <f t="shared" si="53"/>
        <v>0</v>
      </c>
      <c r="O2066" s="247"/>
      <c r="P2066" s="247"/>
      <c r="Q2066" s="247"/>
      <c r="R2066" s="247"/>
      <c r="S2066" s="247"/>
      <c r="T2066" s="247"/>
      <c r="U2066" s="247"/>
      <c r="V2066" s="247"/>
      <c r="W2066" s="247"/>
      <c r="X2066" s="247"/>
    </row>
    <row r="2067">
      <c r="A2067" s="299">
        <v>46148.0</v>
      </c>
      <c r="B2067" s="295" t="s">
        <v>1215</v>
      </c>
      <c r="C2067" s="295" t="s">
        <v>346</v>
      </c>
      <c r="D2067" s="296">
        <v>1068.0</v>
      </c>
      <c r="E2067" s="295" t="s">
        <v>1017</v>
      </c>
      <c r="F2067" s="292"/>
      <c r="G2067" s="293" t="str">
        <f>IFNA(IF(VLOOKUP(RC_OUT[BLOCK],RC_IN[[BLOCK]:[BLOCK LOC]],2,FALSE)=0,"",VLOOKUP(RC_OUT[BLOCK],RC_IN[[BLOCK]:[BLOCK LOC]],2,FALSE)),"")</f>
        <v>D-15D</v>
      </c>
      <c r="I2067" s="263">
        <f>IFERROR(AVERAGEIFS(RC_IN[MC],RC_IN[BLOCK],RC_OUT[BLOCK]),"")</f>
        <v>11.56</v>
      </c>
      <c r="J2067" s="264">
        <f t="shared" si="54"/>
        <v>12346.08</v>
      </c>
      <c r="K2067" s="246"/>
      <c r="L2067" s="246"/>
      <c r="M2067" s="249"/>
      <c r="N2067" s="266">
        <f t="shared" si="53"/>
        <v>0</v>
      </c>
      <c r="O2067" s="247"/>
      <c r="P2067" s="247"/>
      <c r="Q2067" s="247"/>
      <c r="R2067" s="247"/>
      <c r="S2067" s="247"/>
      <c r="T2067" s="247"/>
      <c r="U2067" s="247"/>
      <c r="V2067" s="247"/>
      <c r="W2067" s="247"/>
      <c r="X2067" s="247"/>
    </row>
    <row r="2068">
      <c r="A2068" s="299">
        <v>46148.0</v>
      </c>
      <c r="B2068" s="295" t="s">
        <v>1215</v>
      </c>
      <c r="C2068" s="295" t="s">
        <v>663</v>
      </c>
      <c r="D2068" s="296">
        <v>1448.0</v>
      </c>
      <c r="E2068" s="295" t="s">
        <v>1017</v>
      </c>
      <c r="F2068" s="292"/>
      <c r="G2068" s="293" t="str">
        <f>IFNA(IF(VLOOKUP(RC_OUT[BLOCK],RC_IN[[BLOCK]:[BLOCK LOC]],2,FALSE)=0,"",VLOOKUP(RC_OUT[BLOCK],RC_IN[[BLOCK]:[BLOCK LOC]],2,FALSE)),"")</f>
        <v>D-12B</v>
      </c>
      <c r="I2068" s="263">
        <f>IFERROR(AVERAGEIFS(RC_IN[MC],RC_IN[BLOCK],RC_OUT[BLOCK]),"")</f>
        <v>11.92</v>
      </c>
      <c r="J2068" s="264">
        <f t="shared" si="54"/>
        <v>17260.16</v>
      </c>
      <c r="K2068" s="246"/>
      <c r="L2068" s="246"/>
      <c r="M2068" s="249"/>
      <c r="N2068" s="266">
        <f t="shared" si="53"/>
        <v>0</v>
      </c>
      <c r="O2068" s="247"/>
      <c r="P2068" s="247"/>
      <c r="Q2068" s="247"/>
      <c r="R2068" s="247"/>
      <c r="S2068" s="247"/>
      <c r="T2068" s="247"/>
      <c r="U2068" s="247"/>
      <c r="V2068" s="247"/>
      <c r="W2068" s="247"/>
      <c r="X2068" s="247"/>
    </row>
    <row r="2069">
      <c r="A2069" s="299">
        <v>46148.0</v>
      </c>
      <c r="B2069" s="295" t="s">
        <v>1215</v>
      </c>
      <c r="C2069" s="295" t="s">
        <v>925</v>
      </c>
      <c r="D2069" s="296">
        <v>11473.0</v>
      </c>
      <c r="E2069" s="295" t="s">
        <v>1017</v>
      </c>
      <c r="F2069" s="292"/>
      <c r="G2069" s="293" t="str">
        <f>IFNA(IF(VLOOKUP(RC_OUT[BLOCK],RC_IN[[BLOCK]:[BLOCK LOC]],2,FALSE)=0,"",VLOOKUP(RC_OUT[BLOCK],RC_IN[[BLOCK]:[BLOCK LOC]],2,FALSE)),"")</f>
        <v>PCA-17B</v>
      </c>
      <c r="I2069" s="263">
        <f>IFERROR(AVERAGEIFS(RC_IN[MC],RC_IN[BLOCK],RC_OUT[BLOCK]),"")</f>
        <v>8.31125</v>
      </c>
      <c r="J2069" s="264">
        <f t="shared" si="54"/>
        <v>95354.97125</v>
      </c>
      <c r="K2069" s="246"/>
      <c r="L2069" s="246"/>
      <c r="M2069" s="249"/>
      <c r="N2069" s="266">
        <f t="shared" si="53"/>
        <v>0</v>
      </c>
      <c r="O2069" s="247"/>
      <c r="P2069" s="247"/>
      <c r="Q2069" s="247"/>
      <c r="R2069" s="247"/>
      <c r="S2069" s="247"/>
      <c r="T2069" s="247"/>
      <c r="U2069" s="247"/>
      <c r="V2069" s="247"/>
      <c r="W2069" s="247"/>
      <c r="X2069" s="247"/>
    </row>
    <row r="2070">
      <c r="A2070" s="299">
        <v>46148.0</v>
      </c>
      <c r="B2070" s="295" t="s">
        <v>1215</v>
      </c>
      <c r="C2070" s="295" t="s">
        <v>650</v>
      </c>
      <c r="D2070" s="296">
        <v>15100.0</v>
      </c>
      <c r="E2070" s="295" t="s">
        <v>1017</v>
      </c>
      <c r="F2070" s="292"/>
      <c r="G2070" s="293" t="str">
        <f>IFNA(IF(VLOOKUP(RC_OUT[BLOCK],RC_IN[[BLOCK]:[BLOCK LOC]],2,FALSE)=0,"",VLOOKUP(RC_OUT[BLOCK],RC_IN[[BLOCK]:[BLOCK LOC]],2,FALSE)),"")</f>
        <v>A-11C</v>
      </c>
      <c r="I2070" s="263">
        <f>IFERROR(AVERAGEIFS(RC_IN[MC],RC_IN[BLOCK],RC_OUT[BLOCK]),"")</f>
        <v>11.505</v>
      </c>
      <c r="J2070" s="264">
        <f t="shared" si="54"/>
        <v>173725.5</v>
      </c>
      <c r="K2070" s="246"/>
      <c r="L2070" s="246"/>
      <c r="M2070" s="249"/>
      <c r="N2070" s="266">
        <f t="shared" si="53"/>
        <v>0</v>
      </c>
      <c r="O2070" s="247"/>
      <c r="P2070" s="247"/>
      <c r="Q2070" s="247"/>
      <c r="R2070" s="247"/>
      <c r="S2070" s="247"/>
      <c r="T2070" s="247"/>
      <c r="U2070" s="247"/>
      <c r="V2070" s="247"/>
      <c r="W2070" s="247"/>
      <c r="X2070" s="247"/>
    </row>
    <row r="2071">
      <c r="A2071" s="299">
        <v>46148.0</v>
      </c>
      <c r="B2071" s="295" t="s">
        <v>1215</v>
      </c>
      <c r="C2071" s="295" t="s">
        <v>945</v>
      </c>
      <c r="D2071" s="296">
        <v>5845.0</v>
      </c>
      <c r="E2071" s="295" t="s">
        <v>1017</v>
      </c>
      <c r="F2071" s="292"/>
      <c r="G2071" s="293" t="str">
        <f>IFNA(IF(VLOOKUP(RC_OUT[BLOCK],RC_IN[[BLOCK]:[BLOCK LOC]],2,FALSE)=0,"",VLOOKUP(RC_OUT[BLOCK],RC_IN[[BLOCK]:[BLOCK LOC]],2,FALSE)),"")</f>
        <v/>
      </c>
      <c r="I2071" s="263">
        <f>IFERROR(AVERAGEIFS(RC_IN[MC],RC_IN[BLOCK],RC_OUT[BLOCK]),"")</f>
        <v>11.27</v>
      </c>
      <c r="J2071" s="264">
        <f t="shared" si="54"/>
        <v>65873.15</v>
      </c>
      <c r="K2071" s="246"/>
      <c r="L2071" s="246"/>
      <c r="M2071" s="249"/>
      <c r="N2071" s="266">
        <f t="shared" si="53"/>
        <v>0</v>
      </c>
      <c r="O2071" s="247"/>
      <c r="P2071" s="247"/>
      <c r="Q2071" s="247"/>
      <c r="R2071" s="247"/>
      <c r="S2071" s="247"/>
      <c r="T2071" s="247"/>
      <c r="U2071" s="247"/>
      <c r="V2071" s="247"/>
      <c r="W2071" s="247"/>
      <c r="X2071" s="247"/>
    </row>
    <row r="2072">
      <c r="A2072" s="294"/>
      <c r="B2072" s="295"/>
      <c r="C2072" s="295"/>
      <c r="D2072" s="296"/>
      <c r="E2072" s="295"/>
      <c r="F2072" s="292"/>
      <c r="G2072" s="293" t="str">
        <f>IFNA(IF(VLOOKUP(RC_OUT[BLOCK],RC_IN[[BLOCK]:[BLOCK LOC]],2,FALSE)=0,"",VLOOKUP(RC_OUT[BLOCK],RC_IN[[BLOCK]:[BLOCK LOC]],2,FALSE)),"")</f>
        <v/>
      </c>
      <c r="I2072" s="263" t="str">
        <f>IFERROR(AVERAGEIFS(RC_IN[MC],RC_IN[BLOCK],RC_OUT[BLOCK]),"")</f>
        <v/>
      </c>
      <c r="J2072" s="264">
        <f t="shared" si="54"/>
        <v>0</v>
      </c>
      <c r="K2072" s="246"/>
      <c r="L2072" s="246"/>
      <c r="M2072" s="249"/>
      <c r="N2072" s="266">
        <f t="shared" si="53"/>
        <v>0</v>
      </c>
      <c r="O2072" s="247"/>
      <c r="P2072" s="247"/>
      <c r="Q2072" s="247"/>
      <c r="R2072" s="247"/>
      <c r="S2072" s="247"/>
      <c r="T2072" s="247"/>
      <c r="U2072" s="247"/>
      <c r="V2072" s="247"/>
      <c r="W2072" s="247"/>
      <c r="X2072" s="247"/>
    </row>
    <row r="2073">
      <c r="A2073" s="294">
        <v>46149.0</v>
      </c>
      <c r="B2073" s="295" t="s">
        <v>1215</v>
      </c>
      <c r="C2073" s="295" t="s">
        <v>346</v>
      </c>
      <c r="D2073" s="296">
        <v>1142.0</v>
      </c>
      <c r="E2073" s="295" t="s">
        <v>1017</v>
      </c>
      <c r="F2073" s="292"/>
      <c r="G2073" s="293" t="str">
        <f>IFNA(IF(VLOOKUP(RC_OUT[BLOCK],RC_IN[[BLOCK]:[BLOCK LOC]],2,FALSE)=0,"",VLOOKUP(RC_OUT[BLOCK],RC_IN[[BLOCK]:[BLOCK LOC]],2,FALSE)),"")</f>
        <v>D-15D</v>
      </c>
      <c r="I2073" s="263">
        <f>IFERROR(AVERAGEIFS(RC_IN[MC],RC_IN[BLOCK],RC_OUT[BLOCK]),"")</f>
        <v>11.56</v>
      </c>
      <c r="J2073" s="264">
        <f t="shared" si="54"/>
        <v>13201.52</v>
      </c>
      <c r="K2073" s="246"/>
      <c r="L2073" s="246"/>
      <c r="M2073" s="249"/>
      <c r="N2073" s="266">
        <f t="shared" si="53"/>
        <v>0</v>
      </c>
      <c r="O2073" s="247"/>
      <c r="P2073" s="247"/>
      <c r="Q2073" s="247"/>
      <c r="R2073" s="247"/>
      <c r="S2073" s="247"/>
      <c r="T2073" s="247"/>
      <c r="U2073" s="247"/>
      <c r="V2073" s="247"/>
      <c r="W2073" s="247"/>
      <c r="X2073" s="247"/>
    </row>
    <row r="2074">
      <c r="A2074" s="294">
        <v>46149.0</v>
      </c>
      <c r="B2074" s="295" t="s">
        <v>1215</v>
      </c>
      <c r="C2074" s="295" t="s">
        <v>663</v>
      </c>
      <c r="D2074" s="296">
        <v>1210.0</v>
      </c>
      <c r="E2074" s="295" t="s">
        <v>1017</v>
      </c>
      <c r="F2074" s="292"/>
      <c r="G2074" s="293" t="str">
        <f>IFNA(IF(VLOOKUP(RC_OUT[BLOCK],RC_IN[[BLOCK]:[BLOCK LOC]],2,FALSE)=0,"",VLOOKUP(RC_OUT[BLOCK],RC_IN[[BLOCK]:[BLOCK LOC]],2,FALSE)),"")</f>
        <v>D-12B</v>
      </c>
      <c r="I2074" s="263">
        <f>IFERROR(AVERAGEIFS(RC_IN[MC],RC_IN[BLOCK],RC_OUT[BLOCK]),"")</f>
        <v>11.92</v>
      </c>
      <c r="J2074" s="264">
        <f t="shared" si="54"/>
        <v>14423.2</v>
      </c>
      <c r="K2074" s="246"/>
      <c r="L2074" s="246"/>
      <c r="M2074" s="249"/>
      <c r="N2074" s="266">
        <f t="shared" si="53"/>
        <v>0</v>
      </c>
      <c r="O2074" s="247"/>
      <c r="P2074" s="247"/>
      <c r="Q2074" s="247"/>
      <c r="R2074" s="247"/>
      <c r="S2074" s="247"/>
      <c r="T2074" s="247"/>
      <c r="U2074" s="247"/>
      <c r="V2074" s="247"/>
      <c r="W2074" s="247"/>
      <c r="X2074" s="247"/>
    </row>
    <row r="2075">
      <c r="A2075" s="294">
        <v>46149.0</v>
      </c>
      <c r="B2075" s="295" t="s">
        <v>1215</v>
      </c>
      <c r="C2075" s="295" t="s">
        <v>925</v>
      </c>
      <c r="D2075" s="296">
        <v>12150.0</v>
      </c>
      <c r="E2075" s="295" t="s">
        <v>1017</v>
      </c>
      <c r="F2075" s="292"/>
      <c r="G2075" s="293" t="str">
        <f>IFNA(IF(VLOOKUP(RC_OUT[BLOCK],RC_IN[[BLOCK]:[BLOCK LOC]],2,FALSE)=0,"",VLOOKUP(RC_OUT[BLOCK],RC_IN[[BLOCK]:[BLOCK LOC]],2,FALSE)),"")</f>
        <v>PCA-17B</v>
      </c>
      <c r="I2075" s="263">
        <f>IFERROR(AVERAGEIFS(RC_IN[MC],RC_IN[BLOCK],RC_OUT[BLOCK]),"")</f>
        <v>8.31125</v>
      </c>
      <c r="J2075" s="264">
        <f t="shared" si="54"/>
        <v>100981.6875</v>
      </c>
      <c r="K2075" s="246"/>
      <c r="L2075" s="246"/>
      <c r="M2075" s="249"/>
      <c r="N2075" s="266">
        <f t="shared" si="53"/>
        <v>0</v>
      </c>
      <c r="O2075" s="247"/>
      <c r="P2075" s="247"/>
      <c r="Q2075" s="247"/>
      <c r="R2075" s="247"/>
      <c r="S2075" s="247"/>
      <c r="T2075" s="247"/>
      <c r="U2075" s="247"/>
      <c r="V2075" s="247"/>
      <c r="W2075" s="247"/>
      <c r="X2075" s="247"/>
    </row>
    <row r="2076">
      <c r="A2076" s="300">
        <v>46149.0</v>
      </c>
      <c r="B2076" s="301" t="s">
        <v>1215</v>
      </c>
      <c r="C2076" s="295" t="s">
        <v>650</v>
      </c>
      <c r="D2076" s="296">
        <v>14818.0</v>
      </c>
      <c r="E2076" s="295" t="s">
        <v>1017</v>
      </c>
      <c r="F2076" s="292"/>
      <c r="G2076" s="293" t="str">
        <f>IFNA(IF(VLOOKUP(RC_OUT[BLOCK],RC_IN[[BLOCK]:[BLOCK LOC]],2,FALSE)=0,"",VLOOKUP(RC_OUT[BLOCK],RC_IN[[BLOCK]:[BLOCK LOC]],2,FALSE)),"")</f>
        <v>A-11C</v>
      </c>
      <c r="I2076" s="263">
        <f>IFERROR(AVERAGEIFS(RC_IN[MC],RC_IN[BLOCK],RC_OUT[BLOCK]),"")</f>
        <v>11.505</v>
      </c>
      <c r="J2076" s="264">
        <f t="shared" si="54"/>
        <v>170481.09</v>
      </c>
      <c r="K2076" s="246"/>
      <c r="L2076" s="246"/>
      <c r="M2076" s="249"/>
      <c r="N2076" s="266">
        <f t="shared" si="53"/>
        <v>0</v>
      </c>
      <c r="O2076" s="247"/>
      <c r="P2076" s="247"/>
      <c r="Q2076" s="247"/>
      <c r="R2076" s="247"/>
      <c r="S2076" s="247"/>
      <c r="T2076" s="247"/>
      <c r="U2076" s="247"/>
      <c r="V2076" s="247"/>
      <c r="W2076" s="247"/>
      <c r="X2076" s="247"/>
    </row>
    <row r="2077">
      <c r="A2077" s="294">
        <v>46149.0</v>
      </c>
      <c r="B2077" s="295" t="s">
        <v>1215</v>
      </c>
      <c r="C2077" s="295" t="s">
        <v>945</v>
      </c>
      <c r="D2077" s="296">
        <v>5000.0</v>
      </c>
      <c r="E2077" s="295" t="s">
        <v>1017</v>
      </c>
      <c r="F2077" s="292"/>
      <c r="G2077" s="293" t="str">
        <f>IFNA(IF(VLOOKUP(RC_OUT[BLOCK],RC_IN[[BLOCK]:[BLOCK LOC]],2,FALSE)=0,"",VLOOKUP(RC_OUT[BLOCK],RC_IN[[BLOCK]:[BLOCK LOC]],2,FALSE)),"")</f>
        <v/>
      </c>
      <c r="I2077" s="263">
        <f>IFERROR(AVERAGEIFS(RC_IN[MC],RC_IN[BLOCK],RC_OUT[BLOCK]),"")</f>
        <v>11.27</v>
      </c>
      <c r="J2077" s="264">
        <f t="shared" si="54"/>
        <v>56350</v>
      </c>
      <c r="K2077" s="246"/>
      <c r="L2077" s="246"/>
      <c r="M2077" s="249"/>
      <c r="N2077" s="266">
        <f t="shared" si="53"/>
        <v>0</v>
      </c>
      <c r="O2077" s="247"/>
      <c r="P2077" s="247"/>
      <c r="Q2077" s="247"/>
      <c r="R2077" s="247"/>
      <c r="S2077" s="247"/>
      <c r="T2077" s="247"/>
      <c r="U2077" s="247"/>
      <c r="V2077" s="247"/>
      <c r="W2077" s="247"/>
      <c r="X2077" s="247"/>
    </row>
    <row r="2078">
      <c r="A2078" s="294"/>
      <c r="B2078" s="295"/>
      <c r="C2078" s="295"/>
      <c r="D2078" s="296"/>
      <c r="E2078" s="295"/>
      <c r="F2078" s="292"/>
      <c r="G2078" s="293" t="str">
        <f>IFNA(IF(VLOOKUP(RC_OUT[BLOCK],RC_IN[[BLOCK]:[BLOCK LOC]],2,FALSE)=0,"",VLOOKUP(RC_OUT[BLOCK],RC_IN[[BLOCK]:[BLOCK LOC]],2,FALSE)),"")</f>
        <v/>
      </c>
      <c r="I2078" s="263" t="str">
        <f>IFERROR(AVERAGEIFS(RC_IN[MC],RC_IN[BLOCK],RC_OUT[BLOCK]),"")</f>
        <v/>
      </c>
      <c r="J2078" s="264">
        <f t="shared" si="54"/>
        <v>0</v>
      </c>
      <c r="K2078" s="246"/>
      <c r="L2078" s="246"/>
      <c r="M2078" s="249"/>
      <c r="N2078" s="266">
        <f t="shared" si="53"/>
        <v>0</v>
      </c>
      <c r="O2078" s="247"/>
      <c r="P2078" s="247"/>
      <c r="Q2078" s="247"/>
      <c r="R2078" s="247"/>
      <c r="S2078" s="247"/>
      <c r="T2078" s="247"/>
      <c r="U2078" s="247"/>
      <c r="V2078" s="247"/>
      <c r="W2078" s="247"/>
      <c r="X2078" s="247"/>
    </row>
    <row r="2079">
      <c r="A2079" s="294">
        <v>46150.0</v>
      </c>
      <c r="B2079" s="295" t="s">
        <v>1215</v>
      </c>
      <c r="C2079" s="295" t="s">
        <v>346</v>
      </c>
      <c r="D2079" s="296">
        <v>1244.0</v>
      </c>
      <c r="E2079" s="295" t="s">
        <v>1017</v>
      </c>
      <c r="F2079" s="292"/>
      <c r="G2079" s="293" t="str">
        <f>IFNA(IF(VLOOKUP(RC_OUT[BLOCK],RC_IN[[BLOCK]:[BLOCK LOC]],2,FALSE)=0,"",VLOOKUP(RC_OUT[BLOCK],RC_IN[[BLOCK]:[BLOCK LOC]],2,FALSE)),"")</f>
        <v>D-15D</v>
      </c>
      <c r="I2079" s="263">
        <f>IFERROR(AVERAGEIFS(RC_IN[MC],RC_IN[BLOCK],RC_OUT[BLOCK]),"")</f>
        <v>11.56</v>
      </c>
      <c r="J2079" s="264">
        <f t="shared" si="54"/>
        <v>14380.64</v>
      </c>
      <c r="K2079" s="246"/>
      <c r="L2079" s="246"/>
      <c r="M2079" s="249"/>
      <c r="N2079" s="266">
        <f t="shared" si="53"/>
        <v>0</v>
      </c>
      <c r="O2079" s="247"/>
      <c r="P2079" s="247"/>
      <c r="Q2079" s="247"/>
      <c r="R2079" s="247"/>
      <c r="S2079" s="247"/>
      <c r="T2079" s="247"/>
      <c r="U2079" s="247"/>
      <c r="V2079" s="247"/>
      <c r="W2079" s="247"/>
      <c r="X2079" s="247"/>
    </row>
    <row r="2080">
      <c r="A2080" s="294">
        <v>46150.0</v>
      </c>
      <c r="B2080" s="295" t="s">
        <v>1215</v>
      </c>
      <c r="C2080" s="295" t="s">
        <v>663</v>
      </c>
      <c r="D2080" s="296">
        <v>1282.0</v>
      </c>
      <c r="E2080" s="295" t="s">
        <v>1017</v>
      </c>
      <c r="F2080" s="292"/>
      <c r="G2080" s="293" t="str">
        <f>IFNA(IF(VLOOKUP(RC_OUT[BLOCK],RC_IN[[BLOCK]:[BLOCK LOC]],2,FALSE)=0,"",VLOOKUP(RC_OUT[BLOCK],RC_IN[[BLOCK]:[BLOCK LOC]],2,FALSE)),"")</f>
        <v>D-12B</v>
      </c>
      <c r="I2080" s="263">
        <f>IFERROR(AVERAGEIFS(RC_IN[MC],RC_IN[BLOCK],RC_OUT[BLOCK]),"")</f>
        <v>11.92</v>
      </c>
      <c r="J2080" s="264">
        <f t="shared" si="54"/>
        <v>15281.44</v>
      </c>
      <c r="K2080" s="246"/>
      <c r="L2080" s="246"/>
      <c r="M2080" s="249"/>
      <c r="N2080" s="266">
        <f t="shared" si="53"/>
        <v>0</v>
      </c>
      <c r="O2080" s="247"/>
      <c r="P2080" s="247"/>
      <c r="Q2080" s="247"/>
      <c r="R2080" s="247"/>
      <c r="S2080" s="247"/>
      <c r="T2080" s="247"/>
      <c r="U2080" s="247"/>
      <c r="V2080" s="247"/>
      <c r="W2080" s="247"/>
      <c r="X2080" s="247"/>
    </row>
    <row r="2081">
      <c r="A2081" s="294">
        <v>46150.0</v>
      </c>
      <c r="B2081" s="295" t="s">
        <v>1215</v>
      </c>
      <c r="C2081" s="295" t="s">
        <v>925</v>
      </c>
      <c r="D2081" s="296">
        <v>8400.0</v>
      </c>
      <c r="E2081" s="295" t="s">
        <v>1017</v>
      </c>
      <c r="F2081" s="297" t="s">
        <v>1059</v>
      </c>
      <c r="G2081" s="293" t="str">
        <f>IFNA(IF(VLOOKUP(RC_OUT[BLOCK],RC_IN[[BLOCK]:[BLOCK LOC]],2,FALSE)=0,"",VLOOKUP(RC_OUT[BLOCK],RC_IN[[BLOCK]:[BLOCK LOC]],2,FALSE)),"")</f>
        <v>PCA-17B</v>
      </c>
      <c r="I2081" s="263">
        <f>IFERROR(AVERAGEIFS(RC_IN[MC],RC_IN[BLOCK],RC_OUT[BLOCK]),"")</f>
        <v>8.31125</v>
      </c>
      <c r="J2081" s="264">
        <f t="shared" si="54"/>
        <v>69814.5</v>
      </c>
      <c r="K2081" s="246"/>
      <c r="L2081" s="246"/>
      <c r="M2081" s="249"/>
      <c r="N2081" s="266">
        <f t="shared" si="53"/>
        <v>0</v>
      </c>
      <c r="O2081" s="247"/>
      <c r="P2081" s="247"/>
      <c r="Q2081" s="247"/>
      <c r="R2081" s="247"/>
      <c r="S2081" s="247"/>
      <c r="T2081" s="247"/>
      <c r="U2081" s="247"/>
      <c r="V2081" s="247"/>
      <c r="W2081" s="247"/>
      <c r="X2081" s="247"/>
    </row>
    <row r="2082">
      <c r="A2082" s="294">
        <v>46150.0</v>
      </c>
      <c r="B2082" s="301" t="s">
        <v>1215</v>
      </c>
      <c r="C2082" s="295" t="s">
        <v>650</v>
      </c>
      <c r="D2082" s="296">
        <v>7286.0</v>
      </c>
      <c r="E2082" s="295" t="s">
        <v>1017</v>
      </c>
      <c r="F2082" s="292"/>
      <c r="G2082" s="293" t="str">
        <f>IFNA(IF(VLOOKUP(RC_OUT[BLOCK],RC_IN[[BLOCK]:[BLOCK LOC]],2,FALSE)=0,"",VLOOKUP(RC_OUT[BLOCK],RC_IN[[BLOCK]:[BLOCK LOC]],2,FALSE)),"")</f>
        <v>A-11C</v>
      </c>
      <c r="I2082" s="263">
        <f>IFERROR(AVERAGEIFS(RC_IN[MC],RC_IN[BLOCK],RC_OUT[BLOCK]),"")</f>
        <v>11.505</v>
      </c>
      <c r="J2082" s="264">
        <f t="shared" si="54"/>
        <v>83825.43</v>
      </c>
      <c r="K2082" s="246"/>
      <c r="L2082" s="246"/>
      <c r="M2082" s="249"/>
      <c r="N2082" s="266">
        <f t="shared" si="53"/>
        <v>0</v>
      </c>
      <c r="O2082" s="247"/>
      <c r="P2082" s="247"/>
      <c r="Q2082" s="247"/>
      <c r="R2082" s="247"/>
      <c r="S2082" s="247"/>
      <c r="T2082" s="247"/>
      <c r="U2082" s="247"/>
      <c r="V2082" s="247"/>
      <c r="W2082" s="247"/>
      <c r="X2082" s="247"/>
    </row>
    <row r="2083">
      <c r="A2083" s="294">
        <v>46150.0</v>
      </c>
      <c r="B2083" s="295" t="s">
        <v>1215</v>
      </c>
      <c r="C2083" s="295" t="s">
        <v>945</v>
      </c>
      <c r="D2083" s="296">
        <v>6000.0</v>
      </c>
      <c r="E2083" s="295" t="s">
        <v>1017</v>
      </c>
      <c r="F2083" s="297" t="s">
        <v>1059</v>
      </c>
      <c r="G2083" s="293" t="str">
        <f>IFNA(IF(VLOOKUP(RC_OUT[BLOCK],RC_IN[[BLOCK]:[BLOCK LOC]],2,FALSE)=0,"",VLOOKUP(RC_OUT[BLOCK],RC_IN[[BLOCK]:[BLOCK LOC]],2,FALSE)),"")</f>
        <v/>
      </c>
      <c r="I2083" s="263">
        <f>IFERROR(AVERAGEIFS(RC_IN[MC],RC_IN[BLOCK],RC_OUT[BLOCK]),"")</f>
        <v>11.27</v>
      </c>
      <c r="J2083" s="264">
        <f t="shared" si="54"/>
        <v>67620</v>
      </c>
      <c r="K2083" s="246"/>
      <c r="L2083" s="246"/>
      <c r="M2083" s="249"/>
      <c r="N2083" s="266">
        <f t="shared" si="53"/>
        <v>0</v>
      </c>
      <c r="O2083" s="247"/>
      <c r="P2083" s="247"/>
      <c r="Q2083" s="247"/>
      <c r="R2083" s="247"/>
      <c r="S2083" s="247"/>
      <c r="T2083" s="247"/>
      <c r="U2083" s="247"/>
      <c r="V2083" s="247"/>
      <c r="W2083" s="247"/>
      <c r="X2083" s="247"/>
    </row>
    <row r="2084">
      <c r="A2084" s="294"/>
      <c r="B2084" s="295"/>
      <c r="C2084" s="295"/>
      <c r="D2084" s="296"/>
      <c r="E2084" s="295"/>
      <c r="F2084" s="292"/>
      <c r="G2084" s="293" t="str">
        <f>IFNA(IF(VLOOKUP(RC_OUT[BLOCK],RC_IN[[BLOCK]:[BLOCK LOC]],2,FALSE)=0,"",VLOOKUP(RC_OUT[BLOCK],RC_IN[[BLOCK]:[BLOCK LOC]],2,FALSE)),"")</f>
        <v/>
      </c>
      <c r="I2084" s="263" t="str">
        <f>IFERROR(AVERAGEIFS(RC_IN[MC],RC_IN[BLOCK],RC_OUT[BLOCK]),"")</f>
        <v/>
      </c>
      <c r="J2084" s="264">
        <f t="shared" si="54"/>
        <v>0</v>
      </c>
      <c r="K2084" s="246"/>
      <c r="L2084" s="246"/>
      <c r="M2084" s="249"/>
      <c r="N2084" s="266">
        <f t="shared" si="53"/>
        <v>0</v>
      </c>
      <c r="O2084" s="247"/>
      <c r="P2084" s="247"/>
      <c r="Q2084" s="247"/>
      <c r="R2084" s="247"/>
      <c r="S2084" s="247"/>
      <c r="T2084" s="247"/>
      <c r="U2084" s="247"/>
      <c r="V2084" s="247"/>
      <c r="W2084" s="247"/>
      <c r="X2084" s="247"/>
    </row>
    <row r="2085">
      <c r="A2085" s="294">
        <v>46151.0</v>
      </c>
      <c r="B2085" s="295" t="s">
        <v>1215</v>
      </c>
      <c r="C2085" s="295" t="s">
        <v>346</v>
      </c>
      <c r="D2085" s="296">
        <v>1182.0</v>
      </c>
      <c r="E2085" s="295" t="s">
        <v>1017</v>
      </c>
      <c r="F2085" s="292"/>
      <c r="G2085" s="293" t="str">
        <f>IFNA(IF(VLOOKUP(RC_OUT[BLOCK],RC_IN[[BLOCK]:[BLOCK LOC]],2,FALSE)=0,"",VLOOKUP(RC_OUT[BLOCK],RC_IN[[BLOCK]:[BLOCK LOC]],2,FALSE)),"")</f>
        <v>D-15D</v>
      </c>
      <c r="I2085" s="263">
        <f>IFERROR(AVERAGEIFS(RC_IN[MC],RC_IN[BLOCK],RC_OUT[BLOCK]),"")</f>
        <v>11.56</v>
      </c>
      <c r="J2085" s="264">
        <f t="shared" si="54"/>
        <v>13663.92</v>
      </c>
      <c r="K2085" s="246"/>
      <c r="L2085" s="246"/>
      <c r="M2085" s="249"/>
      <c r="N2085" s="266">
        <f t="shared" si="53"/>
        <v>0</v>
      </c>
      <c r="O2085" s="247"/>
      <c r="P2085" s="247"/>
      <c r="Q2085" s="247"/>
      <c r="R2085" s="247"/>
      <c r="S2085" s="247"/>
      <c r="T2085" s="247"/>
      <c r="U2085" s="247"/>
      <c r="V2085" s="247"/>
      <c r="W2085" s="247"/>
      <c r="X2085" s="247"/>
    </row>
    <row r="2086">
      <c r="A2086" s="294">
        <v>46151.0</v>
      </c>
      <c r="B2086" s="295" t="s">
        <v>1215</v>
      </c>
      <c r="C2086" s="295" t="s">
        <v>663</v>
      </c>
      <c r="D2086" s="296">
        <v>1318.0</v>
      </c>
      <c r="E2086" s="295" t="s">
        <v>1017</v>
      </c>
      <c r="F2086" s="292"/>
      <c r="G2086" s="293" t="str">
        <f>IFNA(IF(VLOOKUP(RC_OUT[BLOCK],RC_IN[[BLOCK]:[BLOCK LOC]],2,FALSE)=0,"",VLOOKUP(RC_OUT[BLOCK],RC_IN[[BLOCK]:[BLOCK LOC]],2,FALSE)),"")</f>
        <v>D-12B</v>
      </c>
      <c r="I2086" s="263">
        <f>IFERROR(AVERAGEIFS(RC_IN[MC],RC_IN[BLOCK],RC_OUT[BLOCK]),"")</f>
        <v>11.92</v>
      </c>
      <c r="J2086" s="264">
        <f t="shared" si="54"/>
        <v>15710.56</v>
      </c>
      <c r="K2086" s="246"/>
      <c r="L2086" s="246"/>
      <c r="M2086" s="249"/>
      <c r="N2086" s="266">
        <f t="shared" si="53"/>
        <v>0</v>
      </c>
      <c r="O2086" s="247"/>
      <c r="P2086" s="247"/>
      <c r="Q2086" s="247"/>
      <c r="R2086" s="247"/>
      <c r="S2086" s="247"/>
      <c r="T2086" s="247"/>
      <c r="U2086" s="247"/>
      <c r="V2086" s="247"/>
      <c r="W2086" s="247"/>
      <c r="X2086" s="247"/>
    </row>
    <row r="2087">
      <c r="A2087" s="294">
        <v>46151.0</v>
      </c>
      <c r="B2087" s="295" t="s">
        <v>1215</v>
      </c>
      <c r="C2087" s="295" t="s">
        <v>650</v>
      </c>
      <c r="D2087" s="296">
        <v>13516.0</v>
      </c>
      <c r="E2087" s="295" t="s">
        <v>1017</v>
      </c>
      <c r="F2087" s="292"/>
      <c r="G2087" s="293" t="str">
        <f>IFNA(IF(VLOOKUP(RC_OUT[BLOCK],RC_IN[[BLOCK]:[BLOCK LOC]],2,FALSE)=0,"",VLOOKUP(RC_OUT[BLOCK],RC_IN[[BLOCK]:[BLOCK LOC]],2,FALSE)),"")</f>
        <v>A-11C</v>
      </c>
      <c r="I2087" s="263">
        <f>IFERROR(AVERAGEIFS(RC_IN[MC],RC_IN[BLOCK],RC_OUT[BLOCK]),"")</f>
        <v>11.505</v>
      </c>
      <c r="J2087" s="264">
        <f t="shared" si="54"/>
        <v>155501.58</v>
      </c>
      <c r="K2087" s="246"/>
      <c r="L2087" s="246"/>
      <c r="M2087" s="249"/>
      <c r="N2087" s="266">
        <f t="shared" si="53"/>
        <v>0</v>
      </c>
      <c r="O2087" s="247"/>
      <c r="P2087" s="247"/>
      <c r="Q2087" s="247"/>
      <c r="R2087" s="247"/>
      <c r="S2087" s="247"/>
      <c r="T2087" s="247"/>
      <c r="U2087" s="247"/>
      <c r="V2087" s="247"/>
      <c r="W2087" s="247"/>
      <c r="X2087" s="247"/>
    </row>
    <row r="2088">
      <c r="A2088" s="294">
        <v>46151.0</v>
      </c>
      <c r="B2088" s="295" t="s">
        <v>1215</v>
      </c>
      <c r="C2088" s="295" t="s">
        <v>906</v>
      </c>
      <c r="D2088" s="296">
        <v>12433.0</v>
      </c>
      <c r="E2088" s="295" t="s">
        <v>1017</v>
      </c>
      <c r="F2088" s="292"/>
      <c r="G2088" s="293" t="str">
        <f>IFNA(IF(VLOOKUP(RC_OUT[BLOCK],RC_IN[[BLOCK]:[BLOCK LOC]],2,FALSE)=0,"",VLOOKUP(RC_OUT[BLOCK],RC_IN[[BLOCK]:[BLOCK LOC]],2,FALSE)),"")</f>
        <v>PCB-16A</v>
      </c>
      <c r="I2088" s="263">
        <f>IFERROR(AVERAGEIFS(RC_IN[MC],RC_IN[BLOCK],RC_OUT[BLOCK]),"")</f>
        <v>8.185714286</v>
      </c>
      <c r="J2088" s="264">
        <f t="shared" si="54"/>
        <v>101772.9857</v>
      </c>
      <c r="K2088" s="246"/>
      <c r="L2088" s="246"/>
      <c r="M2088" s="249"/>
      <c r="N2088" s="266">
        <f t="shared" si="53"/>
        <v>0</v>
      </c>
      <c r="O2088" s="247"/>
      <c r="P2088" s="247"/>
      <c r="Q2088" s="247"/>
      <c r="R2088" s="247"/>
      <c r="S2088" s="247"/>
      <c r="T2088" s="247"/>
      <c r="U2088" s="247"/>
      <c r="V2088" s="247"/>
      <c r="W2088" s="247"/>
      <c r="X2088" s="247"/>
    </row>
    <row r="2089">
      <c r="A2089" s="294">
        <v>46151.0</v>
      </c>
      <c r="B2089" s="295" t="s">
        <v>1215</v>
      </c>
      <c r="C2089" s="295" t="s">
        <v>955</v>
      </c>
      <c r="D2089" s="296">
        <v>5495.0</v>
      </c>
      <c r="E2089" s="295" t="s">
        <v>1017</v>
      </c>
      <c r="F2089" s="292"/>
      <c r="G2089" s="293" t="str">
        <f>IFNA(IF(VLOOKUP(RC_OUT[BLOCK],RC_IN[[BLOCK]:[BLOCK LOC]],2,FALSE)=0,"",VLOOKUP(RC_OUT[BLOCK],RC_IN[[BLOCK]:[BLOCK LOC]],2,FALSE)),"")</f>
        <v/>
      </c>
      <c r="I2089" s="263">
        <f>IFERROR(AVERAGEIFS(RC_IN[MC],RC_IN[BLOCK],RC_OUT[BLOCK]),"")</f>
        <v>10.74</v>
      </c>
      <c r="J2089" s="264">
        <f t="shared" si="54"/>
        <v>59016.3</v>
      </c>
      <c r="K2089" s="246"/>
      <c r="L2089" s="246"/>
      <c r="M2089" s="249"/>
      <c r="N2089" s="266">
        <f t="shared" si="53"/>
        <v>0</v>
      </c>
      <c r="O2089" s="247"/>
      <c r="P2089" s="247"/>
      <c r="Q2089" s="247"/>
      <c r="R2089" s="247"/>
      <c r="S2089" s="247"/>
      <c r="T2089" s="247"/>
      <c r="U2089" s="247"/>
      <c r="V2089" s="247"/>
      <c r="W2089" s="247"/>
      <c r="X2089" s="247"/>
    </row>
    <row r="2090">
      <c r="A2090" s="294"/>
      <c r="B2090" s="295"/>
      <c r="C2090" s="295"/>
      <c r="D2090" s="296"/>
      <c r="E2090" s="295"/>
      <c r="F2090" s="292"/>
      <c r="G2090" s="293" t="str">
        <f>IFNA(IF(VLOOKUP(RC_OUT[BLOCK],RC_IN[[BLOCK]:[BLOCK LOC]],2,FALSE)=0,"",VLOOKUP(RC_OUT[BLOCK],RC_IN[[BLOCK]:[BLOCK LOC]],2,FALSE)),"")</f>
        <v/>
      </c>
      <c r="I2090" s="263" t="str">
        <f>IFERROR(AVERAGEIFS(RC_IN[MC],RC_IN[BLOCK],RC_OUT[BLOCK]),"")</f>
        <v/>
      </c>
      <c r="J2090" s="264">
        <f t="shared" si="54"/>
        <v>0</v>
      </c>
      <c r="K2090" s="246"/>
      <c r="L2090" s="246"/>
      <c r="M2090" s="249"/>
      <c r="N2090" s="266">
        <f t="shared" si="53"/>
        <v>0</v>
      </c>
      <c r="O2090" s="247"/>
      <c r="P2090" s="247"/>
      <c r="Q2090" s="247"/>
      <c r="R2090" s="247"/>
      <c r="S2090" s="247"/>
      <c r="T2090" s="247"/>
      <c r="U2090" s="247"/>
      <c r="V2090" s="247"/>
      <c r="W2090" s="247"/>
      <c r="X2090" s="247"/>
    </row>
    <row r="2091">
      <c r="A2091" s="294">
        <v>46153.0</v>
      </c>
      <c r="B2091" s="295" t="s">
        <v>1215</v>
      </c>
      <c r="C2091" s="295" t="s">
        <v>346</v>
      </c>
      <c r="D2091" s="296">
        <v>994.0</v>
      </c>
      <c r="E2091" s="295" t="s">
        <v>1017</v>
      </c>
      <c r="F2091" s="292"/>
      <c r="G2091" s="293" t="str">
        <f>IFNA(IF(VLOOKUP(RC_OUT[BLOCK],RC_IN[[BLOCK]:[BLOCK LOC]],2,FALSE)=0,"",VLOOKUP(RC_OUT[BLOCK],RC_IN[[BLOCK]:[BLOCK LOC]],2,FALSE)),"")</f>
        <v>D-15D</v>
      </c>
      <c r="I2091" s="263">
        <f>IFERROR(AVERAGEIFS(RC_IN[MC],RC_IN[BLOCK],RC_OUT[BLOCK]),"")</f>
        <v>11.56</v>
      </c>
      <c r="J2091" s="264">
        <f t="shared" si="54"/>
        <v>11490.64</v>
      </c>
      <c r="K2091" s="246"/>
      <c r="L2091" s="246"/>
      <c r="M2091" s="249"/>
      <c r="N2091" s="266">
        <f t="shared" si="53"/>
        <v>0</v>
      </c>
      <c r="O2091" s="247"/>
      <c r="P2091" s="247"/>
      <c r="Q2091" s="247"/>
      <c r="R2091" s="247"/>
      <c r="S2091" s="247"/>
      <c r="T2091" s="247"/>
      <c r="U2091" s="247"/>
      <c r="V2091" s="247"/>
      <c r="W2091" s="247"/>
      <c r="X2091" s="247"/>
    </row>
    <row r="2092">
      <c r="A2092" s="294">
        <v>46153.0</v>
      </c>
      <c r="B2092" s="295" t="s">
        <v>1215</v>
      </c>
      <c r="C2092" s="295" t="s">
        <v>663</v>
      </c>
      <c r="D2092" s="296">
        <v>1351.0</v>
      </c>
      <c r="E2092" s="295" t="s">
        <v>1017</v>
      </c>
      <c r="F2092" s="292"/>
      <c r="G2092" s="293" t="str">
        <f>IFNA(IF(VLOOKUP(RC_OUT[BLOCK],RC_IN[[BLOCK]:[BLOCK LOC]],2,FALSE)=0,"",VLOOKUP(RC_OUT[BLOCK],RC_IN[[BLOCK]:[BLOCK LOC]],2,FALSE)),"")</f>
        <v>D-12B</v>
      </c>
      <c r="I2092" s="263">
        <f>IFERROR(AVERAGEIFS(RC_IN[MC],RC_IN[BLOCK],RC_OUT[BLOCK]),"")</f>
        <v>11.92</v>
      </c>
      <c r="J2092" s="264">
        <f t="shared" si="54"/>
        <v>16103.92</v>
      </c>
      <c r="K2092" s="246"/>
      <c r="L2092" s="246"/>
      <c r="M2092" s="249"/>
      <c r="N2092" s="266">
        <f t="shared" si="53"/>
        <v>0</v>
      </c>
      <c r="O2092" s="247"/>
      <c r="P2092" s="247"/>
      <c r="Q2092" s="247"/>
      <c r="R2092" s="247"/>
      <c r="S2092" s="247"/>
      <c r="T2092" s="247"/>
      <c r="U2092" s="247"/>
      <c r="V2092" s="247"/>
      <c r="W2092" s="247"/>
      <c r="X2092" s="247"/>
    </row>
    <row r="2093">
      <c r="A2093" s="294">
        <v>46153.0</v>
      </c>
      <c r="B2093" s="295" t="s">
        <v>1215</v>
      </c>
      <c r="C2093" s="295" t="s">
        <v>650</v>
      </c>
      <c r="D2093" s="296">
        <v>9570.0</v>
      </c>
      <c r="E2093" s="295" t="s">
        <v>1017</v>
      </c>
      <c r="F2093" s="297" t="s">
        <v>1059</v>
      </c>
      <c r="G2093" s="293" t="str">
        <f>IFNA(IF(VLOOKUP(RC_OUT[BLOCK],RC_IN[[BLOCK]:[BLOCK LOC]],2,FALSE)=0,"",VLOOKUP(RC_OUT[BLOCK],RC_IN[[BLOCK]:[BLOCK LOC]],2,FALSE)),"")</f>
        <v>A-11C</v>
      </c>
      <c r="I2093" s="263">
        <f>IFERROR(AVERAGEIFS(RC_IN[MC],RC_IN[BLOCK],RC_OUT[BLOCK]),"")</f>
        <v>11.505</v>
      </c>
      <c r="J2093" s="264">
        <f t="shared" si="54"/>
        <v>110102.85</v>
      </c>
      <c r="K2093" s="246"/>
      <c r="L2093" s="246"/>
      <c r="M2093" s="249"/>
      <c r="N2093" s="266">
        <f t="shared" si="53"/>
        <v>0</v>
      </c>
      <c r="O2093" s="247"/>
      <c r="P2093" s="247"/>
      <c r="Q2093" s="247"/>
      <c r="R2093" s="247"/>
      <c r="S2093" s="247"/>
      <c r="T2093" s="247"/>
      <c r="U2093" s="247"/>
      <c r="V2093" s="247"/>
      <c r="W2093" s="247"/>
      <c r="X2093" s="247"/>
    </row>
    <row r="2094">
      <c r="A2094" s="294">
        <v>46153.0</v>
      </c>
      <c r="B2094" s="295" t="s">
        <v>1215</v>
      </c>
      <c r="C2094" s="295" t="s">
        <v>955</v>
      </c>
      <c r="D2094" s="296">
        <v>2000.0</v>
      </c>
      <c r="E2094" s="295" t="s">
        <v>1017</v>
      </c>
      <c r="F2094" s="292"/>
      <c r="G2094" s="293" t="str">
        <f>IFNA(IF(VLOOKUP(RC_OUT[BLOCK],RC_IN[[BLOCK]:[BLOCK LOC]],2,FALSE)=0,"",VLOOKUP(RC_OUT[BLOCK],RC_IN[[BLOCK]:[BLOCK LOC]],2,FALSE)),"")</f>
        <v/>
      </c>
      <c r="I2094" s="263">
        <f>IFERROR(AVERAGEIFS(RC_IN[MC],RC_IN[BLOCK],RC_OUT[BLOCK]),"")</f>
        <v>10.74</v>
      </c>
      <c r="J2094" s="264">
        <f t="shared" si="54"/>
        <v>21480</v>
      </c>
      <c r="K2094" s="246"/>
      <c r="L2094" s="246"/>
      <c r="M2094" s="249"/>
      <c r="N2094" s="266">
        <f t="shared" si="53"/>
        <v>0</v>
      </c>
      <c r="O2094" s="247"/>
      <c r="P2094" s="247"/>
      <c r="Q2094" s="247"/>
      <c r="R2094" s="247"/>
      <c r="S2094" s="247"/>
      <c r="T2094" s="247"/>
      <c r="U2094" s="247"/>
      <c r="V2094" s="247"/>
      <c r="W2094" s="247"/>
      <c r="X2094" s="247"/>
    </row>
    <row r="2095">
      <c r="A2095" s="294">
        <v>46153.0</v>
      </c>
      <c r="B2095" s="295" t="s">
        <v>1215</v>
      </c>
      <c r="C2095" s="295" t="s">
        <v>633</v>
      </c>
      <c r="D2095" s="296">
        <v>7045.0</v>
      </c>
      <c r="E2095" s="295" t="s">
        <v>1017</v>
      </c>
      <c r="F2095" s="292"/>
      <c r="G2095" s="293" t="str">
        <f>IFNA(IF(VLOOKUP(RC_OUT[BLOCK],RC_IN[[BLOCK]:[BLOCK LOC]],2,FALSE)=0,"",VLOOKUP(RC_OUT[BLOCK],RC_IN[[BLOCK]:[BLOCK LOC]],2,FALSE)),"")</f>
        <v>A-11B</v>
      </c>
      <c r="I2095" s="263">
        <f>IFERROR(AVERAGEIFS(RC_IN[MC],RC_IN[BLOCK],RC_OUT[BLOCK]),"")</f>
        <v>12.1525</v>
      </c>
      <c r="J2095" s="264">
        <f t="shared" si="54"/>
        <v>85614.3625</v>
      </c>
      <c r="K2095" s="246"/>
      <c r="L2095" s="246"/>
      <c r="M2095" s="249"/>
      <c r="N2095" s="266">
        <f t="shared" si="53"/>
        <v>0</v>
      </c>
      <c r="O2095" s="247"/>
      <c r="P2095" s="247"/>
      <c r="Q2095" s="247"/>
      <c r="R2095" s="247"/>
      <c r="S2095" s="247"/>
      <c r="T2095" s="247"/>
      <c r="U2095" s="247"/>
      <c r="V2095" s="247"/>
      <c r="W2095" s="247"/>
      <c r="X2095" s="247"/>
    </row>
    <row r="2096">
      <c r="A2096" s="294">
        <v>46153.0</v>
      </c>
      <c r="B2096" s="295" t="s">
        <v>1215</v>
      </c>
      <c r="C2096" s="295" t="s">
        <v>830</v>
      </c>
      <c r="D2096" s="296">
        <v>7494.0</v>
      </c>
      <c r="E2096" s="295" t="s">
        <v>1017</v>
      </c>
      <c r="F2096" s="297" t="s">
        <v>1059</v>
      </c>
      <c r="G2096" s="293" t="str">
        <f>IFNA(IF(VLOOKUP(RC_OUT[BLOCK],RC_IN[[BLOCK]:[BLOCK LOC]],2,FALSE)=0,"",VLOOKUP(RC_OUT[BLOCK],RC_IN[[BLOCK]:[BLOCK LOC]],2,FALSE)),"")</f>
        <v>PCA-15C</v>
      </c>
      <c r="I2096" s="263">
        <f>IFERROR(AVERAGEIFS(RC_IN[MC],RC_IN[BLOCK],RC_OUT[BLOCK]),"")</f>
        <v>10.34</v>
      </c>
      <c r="J2096" s="264">
        <f t="shared" si="54"/>
        <v>77487.96</v>
      </c>
      <c r="K2096" s="246"/>
      <c r="L2096" s="246"/>
      <c r="M2096" s="249"/>
      <c r="N2096" s="266">
        <f t="shared" si="53"/>
        <v>0</v>
      </c>
      <c r="O2096" s="247"/>
      <c r="P2096" s="247"/>
      <c r="Q2096" s="247"/>
      <c r="R2096" s="247"/>
      <c r="S2096" s="247"/>
      <c r="T2096" s="247"/>
      <c r="U2096" s="247"/>
      <c r="V2096" s="247"/>
      <c r="W2096" s="247"/>
      <c r="X2096" s="247"/>
    </row>
    <row r="2097">
      <c r="A2097" s="294">
        <v>46153.0</v>
      </c>
      <c r="B2097" s="295" t="s">
        <v>1215</v>
      </c>
      <c r="C2097" s="295" t="s">
        <v>711</v>
      </c>
      <c r="D2097" s="296">
        <v>3962.0</v>
      </c>
      <c r="E2097" s="295" t="s">
        <v>1017</v>
      </c>
      <c r="F2097" s="297" t="s">
        <v>1059</v>
      </c>
      <c r="G2097" s="293" t="str">
        <f>IFNA(IF(VLOOKUP(RC_OUT[BLOCK],RC_IN[[BLOCK]:[BLOCK LOC]],2,FALSE)=0,"",VLOOKUP(RC_OUT[BLOCK],RC_IN[[BLOCK]:[BLOCK LOC]],2,FALSE)),"")</f>
        <v>PCA-16A</v>
      </c>
      <c r="I2097" s="263">
        <f>IFERROR(AVERAGEIFS(RC_IN[MC],RC_IN[BLOCK],RC_OUT[BLOCK]),"")</f>
        <v>7.205</v>
      </c>
      <c r="J2097" s="264">
        <f t="shared" si="54"/>
        <v>28546.21</v>
      </c>
      <c r="K2097" s="246"/>
      <c r="L2097" s="246"/>
      <c r="M2097" s="249"/>
      <c r="N2097" s="266">
        <f t="shared" si="53"/>
        <v>0</v>
      </c>
      <c r="O2097" s="247"/>
      <c r="P2097" s="247"/>
      <c r="Q2097" s="247"/>
      <c r="R2097" s="247"/>
      <c r="S2097" s="247"/>
      <c r="T2097" s="247"/>
      <c r="U2097" s="247"/>
      <c r="V2097" s="247"/>
      <c r="W2097" s="247"/>
      <c r="X2097" s="247"/>
    </row>
    <row r="2098">
      <c r="A2098" s="294"/>
      <c r="B2098" s="295"/>
      <c r="C2098" s="295"/>
      <c r="D2098" s="296"/>
      <c r="E2098" s="295"/>
      <c r="F2098" s="292"/>
      <c r="G2098" s="293" t="str">
        <f>IFNA(IF(VLOOKUP(RC_OUT[BLOCK],RC_IN[[BLOCK]:[BLOCK LOC]],2,FALSE)=0,"",VLOOKUP(RC_OUT[BLOCK],RC_IN[[BLOCK]:[BLOCK LOC]],2,FALSE)),"")</f>
        <v/>
      </c>
      <c r="I2098" s="263" t="str">
        <f>IFERROR(AVERAGEIFS(RC_IN[MC],RC_IN[BLOCK],RC_OUT[BLOCK]),"")</f>
        <v/>
      </c>
      <c r="J2098" s="264">
        <f t="shared" si="54"/>
        <v>0</v>
      </c>
      <c r="K2098" s="246"/>
      <c r="L2098" s="246"/>
      <c r="M2098" s="249"/>
      <c r="N2098" s="266">
        <f t="shared" si="53"/>
        <v>0</v>
      </c>
      <c r="O2098" s="247"/>
      <c r="P2098" s="247"/>
      <c r="Q2098" s="247"/>
      <c r="R2098" s="247"/>
      <c r="S2098" s="247"/>
      <c r="T2098" s="247"/>
      <c r="U2098" s="247"/>
      <c r="V2098" s="247"/>
      <c r="W2098" s="247"/>
      <c r="X2098" s="247"/>
    </row>
    <row r="2099">
      <c r="A2099" s="294">
        <v>46154.0</v>
      </c>
      <c r="B2099" s="295" t="s">
        <v>1215</v>
      </c>
      <c r="C2099" s="295" t="s">
        <v>346</v>
      </c>
      <c r="D2099" s="296">
        <v>1082.0</v>
      </c>
      <c r="E2099" s="295" t="s">
        <v>1017</v>
      </c>
      <c r="F2099" s="292"/>
      <c r="G2099" s="293" t="str">
        <f>IFNA(IF(VLOOKUP(RC_OUT[BLOCK],RC_IN[[BLOCK]:[BLOCK LOC]],2,FALSE)=0,"",VLOOKUP(RC_OUT[BLOCK],RC_IN[[BLOCK]:[BLOCK LOC]],2,FALSE)),"")</f>
        <v>D-15D</v>
      </c>
      <c r="I2099" s="263">
        <f>IFERROR(AVERAGEIFS(RC_IN[MC],RC_IN[BLOCK],RC_OUT[BLOCK]),"")</f>
        <v>11.56</v>
      </c>
      <c r="J2099" s="264">
        <f t="shared" si="54"/>
        <v>12507.92</v>
      </c>
      <c r="K2099" s="246"/>
      <c r="L2099" s="246"/>
      <c r="M2099" s="249"/>
      <c r="N2099" s="266">
        <f t="shared" si="53"/>
        <v>0</v>
      </c>
      <c r="O2099" s="247"/>
      <c r="P2099" s="247"/>
      <c r="Q2099" s="247"/>
      <c r="R2099" s="247"/>
      <c r="S2099" s="247"/>
      <c r="T2099" s="247"/>
      <c r="U2099" s="247"/>
      <c r="V2099" s="247"/>
      <c r="W2099" s="247"/>
      <c r="X2099" s="247"/>
    </row>
    <row r="2100">
      <c r="A2100" s="294">
        <v>46154.0</v>
      </c>
      <c r="B2100" s="295" t="s">
        <v>1215</v>
      </c>
      <c r="C2100" s="295" t="s">
        <v>663</v>
      </c>
      <c r="D2100" s="296">
        <v>1206.0</v>
      </c>
      <c r="E2100" s="295" t="s">
        <v>1017</v>
      </c>
      <c r="F2100" s="292"/>
      <c r="G2100" s="293" t="str">
        <f>IFNA(IF(VLOOKUP(RC_OUT[BLOCK],RC_IN[[BLOCK]:[BLOCK LOC]],2,FALSE)=0,"",VLOOKUP(RC_OUT[BLOCK],RC_IN[[BLOCK]:[BLOCK LOC]],2,FALSE)),"")</f>
        <v>D-12B</v>
      </c>
      <c r="I2100" s="263">
        <f>IFERROR(AVERAGEIFS(RC_IN[MC],RC_IN[BLOCK],RC_OUT[BLOCK]),"")</f>
        <v>11.92</v>
      </c>
      <c r="J2100" s="264">
        <f t="shared" si="54"/>
        <v>14375.52</v>
      </c>
      <c r="K2100" s="246"/>
      <c r="L2100" s="246"/>
      <c r="M2100" s="249"/>
      <c r="N2100" s="266">
        <f t="shared" si="53"/>
        <v>0</v>
      </c>
      <c r="O2100" s="247"/>
      <c r="P2100" s="247"/>
      <c r="Q2100" s="247"/>
      <c r="R2100" s="247"/>
      <c r="S2100" s="247"/>
      <c r="T2100" s="247"/>
      <c r="U2100" s="247"/>
      <c r="V2100" s="247"/>
      <c r="W2100" s="247"/>
      <c r="X2100" s="247"/>
    </row>
    <row r="2101">
      <c r="A2101" s="294">
        <v>46154.0</v>
      </c>
      <c r="B2101" s="295" t="s">
        <v>1215</v>
      </c>
      <c r="C2101" s="295" t="s">
        <v>955</v>
      </c>
      <c r="D2101" s="296">
        <v>3000.0</v>
      </c>
      <c r="E2101" s="295" t="s">
        <v>1017</v>
      </c>
      <c r="F2101" s="292"/>
      <c r="G2101" s="293" t="str">
        <f>IFNA(IF(VLOOKUP(RC_OUT[BLOCK],RC_IN[[BLOCK]:[BLOCK LOC]],2,FALSE)=0,"",VLOOKUP(RC_OUT[BLOCK],RC_IN[[BLOCK]:[BLOCK LOC]],2,FALSE)),"")</f>
        <v/>
      </c>
      <c r="I2101" s="263">
        <f>IFERROR(AVERAGEIFS(RC_IN[MC],RC_IN[BLOCK],RC_OUT[BLOCK]),"")</f>
        <v>10.74</v>
      </c>
      <c r="J2101" s="264">
        <f t="shared" si="54"/>
        <v>32220</v>
      </c>
      <c r="K2101" s="246"/>
      <c r="L2101" s="246"/>
      <c r="M2101" s="249"/>
      <c r="N2101" s="266">
        <f t="shared" si="53"/>
        <v>0</v>
      </c>
      <c r="O2101" s="247"/>
      <c r="P2101" s="247"/>
      <c r="Q2101" s="247"/>
      <c r="R2101" s="247"/>
      <c r="S2101" s="247"/>
      <c r="T2101" s="247"/>
      <c r="U2101" s="247"/>
      <c r="V2101" s="247"/>
      <c r="W2101" s="247"/>
      <c r="X2101" s="247"/>
    </row>
    <row r="2102">
      <c r="A2102" s="294">
        <v>46154.0</v>
      </c>
      <c r="B2102" s="295" t="s">
        <v>1215</v>
      </c>
      <c r="C2102" s="295" t="s">
        <v>633</v>
      </c>
      <c r="D2102" s="296">
        <v>7002.0</v>
      </c>
      <c r="E2102" s="295" t="s">
        <v>1017</v>
      </c>
      <c r="F2102" s="292"/>
      <c r="G2102" s="293" t="str">
        <f>IFNA(IF(VLOOKUP(RC_OUT[BLOCK],RC_IN[[BLOCK]:[BLOCK LOC]],2,FALSE)=0,"",VLOOKUP(RC_OUT[BLOCK],RC_IN[[BLOCK]:[BLOCK LOC]],2,FALSE)),"")</f>
        <v>A-11B</v>
      </c>
      <c r="I2102" s="263">
        <f>IFERROR(AVERAGEIFS(RC_IN[MC],RC_IN[BLOCK],RC_OUT[BLOCK]),"")</f>
        <v>12.1525</v>
      </c>
      <c r="J2102" s="264">
        <f t="shared" si="54"/>
        <v>85091.805</v>
      </c>
      <c r="K2102" s="246"/>
      <c r="L2102" s="246"/>
      <c r="M2102" s="249"/>
      <c r="N2102" s="266">
        <f t="shared" si="53"/>
        <v>0</v>
      </c>
      <c r="O2102" s="247"/>
      <c r="P2102" s="247"/>
      <c r="Q2102" s="247"/>
      <c r="R2102" s="247"/>
      <c r="S2102" s="247"/>
      <c r="T2102" s="247"/>
      <c r="U2102" s="247"/>
      <c r="V2102" s="247"/>
      <c r="W2102" s="247"/>
      <c r="X2102" s="247"/>
    </row>
    <row r="2103">
      <c r="A2103" s="294">
        <v>46154.0</v>
      </c>
      <c r="B2103" s="295" t="s">
        <v>1215</v>
      </c>
      <c r="C2103" s="295" t="s">
        <v>860</v>
      </c>
      <c r="D2103" s="296">
        <v>13077.0</v>
      </c>
      <c r="E2103" s="295" t="s">
        <v>1017</v>
      </c>
      <c r="F2103" s="292"/>
      <c r="G2103" s="293" t="str">
        <f>IFNA(IF(VLOOKUP(RC_OUT[BLOCK],RC_IN[[BLOCK]:[BLOCK LOC]],2,FALSE)=0,"",VLOOKUP(RC_OUT[BLOCK],RC_IN[[BLOCK]:[BLOCK LOC]],2,FALSE)),"")</f>
        <v>PCA-15B</v>
      </c>
      <c r="I2103" s="263">
        <f>IFERROR(AVERAGEIFS(RC_IN[MC],RC_IN[BLOCK],RC_OUT[BLOCK]),"")</f>
        <v>9.484</v>
      </c>
      <c r="J2103" s="264">
        <f t="shared" si="54"/>
        <v>124022.268</v>
      </c>
      <c r="K2103" s="246"/>
      <c r="L2103" s="246"/>
      <c r="M2103" s="249"/>
      <c r="N2103" s="266">
        <f t="shared" si="53"/>
        <v>0</v>
      </c>
      <c r="O2103" s="247"/>
      <c r="P2103" s="247"/>
      <c r="Q2103" s="247"/>
      <c r="R2103" s="247"/>
      <c r="S2103" s="247"/>
      <c r="T2103" s="247"/>
      <c r="U2103" s="247"/>
      <c r="V2103" s="247"/>
      <c r="W2103" s="247"/>
      <c r="X2103" s="247"/>
    </row>
    <row r="2104">
      <c r="A2104" s="294"/>
      <c r="B2104" s="295"/>
      <c r="C2104" s="295"/>
      <c r="D2104" s="296"/>
      <c r="E2104" s="295"/>
      <c r="F2104" s="292"/>
      <c r="G2104" s="293" t="str">
        <f>IFNA(IF(VLOOKUP(RC_OUT[BLOCK],RC_IN[[BLOCK]:[BLOCK LOC]],2,FALSE)=0,"",VLOOKUP(RC_OUT[BLOCK],RC_IN[[BLOCK]:[BLOCK LOC]],2,FALSE)),"")</f>
        <v/>
      </c>
      <c r="I2104" s="263" t="str">
        <f>IFERROR(AVERAGEIFS(RC_IN[MC],RC_IN[BLOCK],RC_OUT[BLOCK]),"")</f>
        <v/>
      </c>
      <c r="J2104" s="264">
        <f t="shared" si="54"/>
        <v>0</v>
      </c>
      <c r="K2104" s="246"/>
      <c r="L2104" s="246"/>
      <c r="M2104" s="249"/>
      <c r="N2104" s="266">
        <f t="shared" si="53"/>
        <v>0</v>
      </c>
      <c r="O2104" s="247"/>
      <c r="P2104" s="247"/>
      <c r="Q2104" s="247"/>
      <c r="R2104" s="247"/>
      <c r="S2104" s="247"/>
      <c r="T2104" s="247"/>
      <c r="U2104" s="247"/>
      <c r="V2104" s="247"/>
      <c r="W2104" s="247"/>
      <c r="X2104" s="247"/>
    </row>
    <row r="2105">
      <c r="A2105" s="294">
        <v>46155.0</v>
      </c>
      <c r="B2105" s="295" t="s">
        <v>1215</v>
      </c>
      <c r="C2105" s="295" t="s">
        <v>346</v>
      </c>
      <c r="D2105" s="296">
        <v>1189.0</v>
      </c>
      <c r="E2105" s="295" t="s">
        <v>1017</v>
      </c>
      <c r="F2105" s="292"/>
      <c r="G2105" s="293" t="str">
        <f>IFNA(IF(VLOOKUP(RC_OUT[BLOCK],RC_IN[[BLOCK]:[BLOCK LOC]],2,FALSE)=0,"",VLOOKUP(RC_OUT[BLOCK],RC_IN[[BLOCK]:[BLOCK LOC]],2,FALSE)),"")</f>
        <v>D-15D</v>
      </c>
      <c r="I2105" s="263">
        <f>IFERROR(AVERAGEIFS(RC_IN[MC],RC_IN[BLOCK],RC_OUT[BLOCK]),"")</f>
        <v>11.56</v>
      </c>
      <c r="J2105" s="264">
        <f t="shared" si="54"/>
        <v>13744.84</v>
      </c>
      <c r="K2105" s="246"/>
      <c r="L2105" s="246"/>
      <c r="M2105" s="249"/>
      <c r="N2105" s="266">
        <f t="shared" si="53"/>
        <v>0</v>
      </c>
      <c r="O2105" s="247"/>
      <c r="P2105" s="247"/>
      <c r="Q2105" s="247"/>
      <c r="R2105" s="247"/>
      <c r="S2105" s="247"/>
      <c r="T2105" s="247"/>
      <c r="U2105" s="247"/>
      <c r="V2105" s="247"/>
      <c r="W2105" s="247"/>
      <c r="X2105" s="247"/>
    </row>
    <row r="2106">
      <c r="A2106" s="294">
        <v>46155.0</v>
      </c>
      <c r="B2106" s="295" t="s">
        <v>1215</v>
      </c>
      <c r="C2106" s="295" t="s">
        <v>663</v>
      </c>
      <c r="D2106" s="296">
        <v>1168.0</v>
      </c>
      <c r="E2106" s="295" t="s">
        <v>1017</v>
      </c>
      <c r="F2106" s="292"/>
      <c r="G2106" s="293" t="str">
        <f>IFNA(IF(VLOOKUP(RC_OUT[BLOCK],RC_IN[[BLOCK]:[BLOCK LOC]],2,FALSE)=0,"",VLOOKUP(RC_OUT[BLOCK],RC_IN[[BLOCK]:[BLOCK LOC]],2,FALSE)),"")</f>
        <v>D-12B</v>
      </c>
      <c r="I2106" s="263">
        <f>IFERROR(AVERAGEIFS(RC_IN[MC],RC_IN[BLOCK],RC_OUT[BLOCK]),"")</f>
        <v>11.92</v>
      </c>
      <c r="J2106" s="264">
        <f t="shared" si="54"/>
        <v>13922.56</v>
      </c>
      <c r="K2106" s="246"/>
      <c r="L2106" s="246"/>
      <c r="M2106" s="249"/>
      <c r="N2106" s="266">
        <f t="shared" si="53"/>
        <v>0</v>
      </c>
      <c r="O2106" s="247"/>
      <c r="P2106" s="247"/>
      <c r="Q2106" s="247"/>
      <c r="R2106" s="247"/>
      <c r="S2106" s="247"/>
      <c r="T2106" s="247"/>
      <c r="U2106" s="247"/>
      <c r="V2106" s="247"/>
      <c r="W2106" s="247"/>
      <c r="X2106" s="247"/>
    </row>
    <row r="2107">
      <c r="A2107" s="294">
        <v>46155.0</v>
      </c>
      <c r="B2107" s="295" t="s">
        <v>1215</v>
      </c>
      <c r="C2107" s="295" t="s">
        <v>955</v>
      </c>
      <c r="D2107" s="296">
        <v>3000.0</v>
      </c>
      <c r="E2107" s="295" t="s">
        <v>1017</v>
      </c>
      <c r="F2107" s="292"/>
      <c r="G2107" s="293" t="str">
        <f>IFNA(IF(VLOOKUP(RC_OUT[BLOCK],RC_IN[[BLOCK]:[BLOCK LOC]],2,FALSE)=0,"",VLOOKUP(RC_OUT[BLOCK],RC_IN[[BLOCK]:[BLOCK LOC]],2,FALSE)),"")</f>
        <v/>
      </c>
      <c r="I2107" s="263">
        <f>IFERROR(AVERAGEIFS(RC_IN[MC],RC_IN[BLOCK],RC_OUT[BLOCK]),"")</f>
        <v>10.74</v>
      </c>
      <c r="J2107" s="264">
        <f t="shared" si="54"/>
        <v>32220</v>
      </c>
      <c r="K2107" s="246"/>
      <c r="L2107" s="246"/>
      <c r="M2107" s="249"/>
      <c r="N2107" s="266">
        <f t="shared" si="53"/>
        <v>0</v>
      </c>
      <c r="O2107" s="247"/>
      <c r="P2107" s="247"/>
      <c r="Q2107" s="247"/>
      <c r="R2107" s="247"/>
      <c r="S2107" s="247"/>
      <c r="T2107" s="247"/>
      <c r="U2107" s="247"/>
      <c r="V2107" s="247"/>
      <c r="W2107" s="247"/>
      <c r="X2107" s="247"/>
    </row>
    <row r="2108">
      <c r="A2108" s="294">
        <v>46155.0</v>
      </c>
      <c r="B2108" s="295" t="s">
        <v>1215</v>
      </c>
      <c r="C2108" s="295" t="s">
        <v>633</v>
      </c>
      <c r="D2108" s="296">
        <v>8467.0</v>
      </c>
      <c r="E2108" s="295" t="s">
        <v>1017</v>
      </c>
      <c r="F2108" s="292"/>
      <c r="G2108" s="293" t="str">
        <f>IFNA(IF(VLOOKUP(RC_OUT[BLOCK],RC_IN[[BLOCK]:[BLOCK LOC]],2,FALSE)=0,"",VLOOKUP(RC_OUT[BLOCK],RC_IN[[BLOCK]:[BLOCK LOC]],2,FALSE)),"")</f>
        <v>A-11B</v>
      </c>
      <c r="I2108" s="263">
        <f>IFERROR(AVERAGEIFS(RC_IN[MC],RC_IN[BLOCK],RC_OUT[BLOCK]),"")</f>
        <v>12.1525</v>
      </c>
      <c r="J2108" s="264">
        <f t="shared" si="54"/>
        <v>102895.2175</v>
      </c>
      <c r="K2108" s="246"/>
      <c r="L2108" s="246"/>
      <c r="M2108" s="249"/>
      <c r="N2108" s="266">
        <f t="shared" si="53"/>
        <v>0</v>
      </c>
      <c r="O2108" s="247"/>
      <c r="P2108" s="247"/>
      <c r="Q2108" s="247"/>
      <c r="R2108" s="247"/>
      <c r="S2108" s="247"/>
      <c r="T2108" s="247"/>
      <c r="U2108" s="247"/>
      <c r="V2108" s="247"/>
      <c r="W2108" s="247"/>
      <c r="X2108" s="247"/>
    </row>
    <row r="2109">
      <c r="A2109" s="294">
        <v>46155.0</v>
      </c>
      <c r="B2109" s="295" t="s">
        <v>1215</v>
      </c>
      <c r="C2109" s="295" t="s">
        <v>860</v>
      </c>
      <c r="D2109" s="296">
        <v>13918.0</v>
      </c>
      <c r="E2109" s="295" t="s">
        <v>1017</v>
      </c>
      <c r="F2109" s="297" t="s">
        <v>1059</v>
      </c>
      <c r="G2109" s="293" t="str">
        <f>IFNA(IF(VLOOKUP(RC_OUT[BLOCK],RC_IN[[BLOCK]:[BLOCK LOC]],2,FALSE)=0,"",VLOOKUP(RC_OUT[BLOCK],RC_IN[[BLOCK]:[BLOCK LOC]],2,FALSE)),"")</f>
        <v>PCA-15B</v>
      </c>
      <c r="I2109" s="263">
        <f>IFERROR(AVERAGEIFS(RC_IN[MC],RC_IN[BLOCK],RC_OUT[BLOCK]),"")</f>
        <v>9.484</v>
      </c>
      <c r="J2109" s="264">
        <f t="shared" si="54"/>
        <v>131998.312</v>
      </c>
      <c r="K2109" s="246"/>
      <c r="L2109" s="246"/>
      <c r="M2109" s="249"/>
      <c r="N2109" s="266">
        <f t="shared" si="53"/>
        <v>0</v>
      </c>
      <c r="O2109" s="247"/>
      <c r="P2109" s="247"/>
      <c r="Q2109" s="247"/>
      <c r="R2109" s="247"/>
      <c r="S2109" s="247"/>
      <c r="T2109" s="247"/>
      <c r="U2109" s="247"/>
      <c r="V2109" s="247"/>
      <c r="W2109" s="247"/>
      <c r="X2109" s="247"/>
    </row>
    <row r="2110">
      <c r="A2110" s="294">
        <v>46155.0</v>
      </c>
      <c r="B2110" s="295" t="s">
        <v>1215</v>
      </c>
      <c r="C2110" s="295" t="s">
        <v>720</v>
      </c>
      <c r="D2110" s="296">
        <v>3349.0</v>
      </c>
      <c r="E2110" s="295" t="s">
        <v>1017</v>
      </c>
      <c r="F2110" s="292"/>
      <c r="G2110" s="293" t="str">
        <f>IFNA(IF(VLOOKUP(RC_OUT[BLOCK],RC_IN[[BLOCK]:[BLOCK LOC]],2,FALSE)=0,"",VLOOKUP(RC_OUT[BLOCK],RC_IN[[BLOCK]:[BLOCK LOC]],2,FALSE)),"")</f>
        <v>PCA-16B</v>
      </c>
      <c r="I2110" s="263">
        <f>IFERROR(AVERAGEIFS(RC_IN[MC],RC_IN[BLOCK],RC_OUT[BLOCK]),"")</f>
        <v>9.346</v>
      </c>
      <c r="J2110" s="264">
        <f t="shared" si="54"/>
        <v>31299.754</v>
      </c>
      <c r="K2110" s="246"/>
      <c r="L2110" s="246"/>
      <c r="M2110" s="249"/>
      <c r="N2110" s="266">
        <f t="shared" si="53"/>
        <v>0</v>
      </c>
      <c r="O2110" s="247"/>
      <c r="P2110" s="247"/>
      <c r="Q2110" s="247"/>
      <c r="R2110" s="247"/>
      <c r="S2110" s="247"/>
      <c r="T2110" s="247"/>
      <c r="U2110" s="247"/>
      <c r="V2110" s="247"/>
      <c r="W2110" s="247"/>
      <c r="X2110" s="247"/>
    </row>
    <row r="2111">
      <c r="A2111" s="294"/>
      <c r="B2111" s="295"/>
      <c r="C2111" s="295"/>
      <c r="D2111" s="296"/>
      <c r="E2111" s="295"/>
      <c r="F2111" s="292"/>
      <c r="G2111" s="293" t="str">
        <f>IFNA(IF(VLOOKUP(RC_OUT[BLOCK],RC_IN[[BLOCK]:[BLOCK LOC]],2,FALSE)=0,"",VLOOKUP(RC_OUT[BLOCK],RC_IN[[BLOCK]:[BLOCK LOC]],2,FALSE)),"")</f>
        <v/>
      </c>
      <c r="I2111" s="263" t="str">
        <f>IFERROR(AVERAGEIFS(RC_IN[MC],RC_IN[BLOCK],RC_OUT[BLOCK]),"")</f>
        <v/>
      </c>
      <c r="J2111" s="264">
        <f t="shared" si="54"/>
        <v>0</v>
      </c>
      <c r="K2111" s="246"/>
      <c r="L2111" s="246"/>
      <c r="M2111" s="249"/>
      <c r="N2111" s="266">
        <f t="shared" si="53"/>
        <v>0</v>
      </c>
      <c r="O2111" s="247"/>
      <c r="P2111" s="247"/>
      <c r="Q2111" s="247"/>
      <c r="R2111" s="247"/>
      <c r="S2111" s="247"/>
      <c r="T2111" s="247"/>
      <c r="U2111" s="247"/>
      <c r="V2111" s="247"/>
      <c r="W2111" s="247"/>
      <c r="X2111" s="247"/>
    </row>
    <row r="2112">
      <c r="A2112" s="294">
        <v>46156.0</v>
      </c>
      <c r="B2112" s="295" t="s">
        <v>1215</v>
      </c>
      <c r="C2112" s="295" t="s">
        <v>346</v>
      </c>
      <c r="D2112" s="296">
        <v>902.0</v>
      </c>
      <c r="E2112" s="295" t="s">
        <v>1017</v>
      </c>
      <c r="F2112" s="292"/>
      <c r="G2112" s="293" t="str">
        <f>IFNA(IF(VLOOKUP(RC_OUT[BLOCK],RC_IN[[BLOCK]:[BLOCK LOC]],2,FALSE)=0,"",VLOOKUP(RC_OUT[BLOCK],RC_IN[[BLOCK]:[BLOCK LOC]],2,FALSE)),"")</f>
        <v>D-15D</v>
      </c>
      <c r="I2112" s="263">
        <f>IFERROR(AVERAGEIFS(RC_IN[MC],RC_IN[BLOCK],RC_OUT[BLOCK]),"")</f>
        <v>11.56</v>
      </c>
      <c r="J2112" s="264">
        <f t="shared" si="54"/>
        <v>10427.12</v>
      </c>
      <c r="K2112" s="246"/>
      <c r="L2112" s="246"/>
      <c r="M2112" s="249"/>
      <c r="N2112" s="266">
        <f t="shared" si="53"/>
        <v>0</v>
      </c>
      <c r="O2112" s="247"/>
      <c r="P2112" s="247"/>
      <c r="Q2112" s="247"/>
      <c r="R2112" s="247"/>
      <c r="S2112" s="247"/>
      <c r="T2112" s="247"/>
      <c r="U2112" s="247"/>
      <c r="V2112" s="247"/>
      <c r="W2112" s="247"/>
      <c r="X2112" s="247"/>
    </row>
    <row r="2113">
      <c r="A2113" s="294">
        <v>46156.0</v>
      </c>
      <c r="B2113" s="295" t="s">
        <v>1215</v>
      </c>
      <c r="C2113" s="295" t="s">
        <v>663</v>
      </c>
      <c r="D2113" s="296">
        <v>1328.0</v>
      </c>
      <c r="E2113" s="295" t="s">
        <v>1017</v>
      </c>
      <c r="F2113" s="292"/>
      <c r="G2113" s="293" t="str">
        <f>IFNA(IF(VLOOKUP(RC_OUT[BLOCK],RC_IN[[BLOCK]:[BLOCK LOC]],2,FALSE)=0,"",VLOOKUP(RC_OUT[BLOCK],RC_IN[[BLOCK]:[BLOCK LOC]],2,FALSE)),"")</f>
        <v>D-12B</v>
      </c>
      <c r="I2113" s="263">
        <f>IFERROR(AVERAGEIFS(RC_IN[MC],RC_IN[BLOCK],RC_OUT[BLOCK]),"")</f>
        <v>11.92</v>
      </c>
      <c r="J2113" s="264">
        <f t="shared" si="54"/>
        <v>15829.76</v>
      </c>
      <c r="K2113" s="246"/>
      <c r="L2113" s="246"/>
      <c r="M2113" s="249"/>
      <c r="N2113" s="266">
        <f t="shared" si="53"/>
        <v>0</v>
      </c>
      <c r="O2113" s="247"/>
      <c r="P2113" s="247"/>
      <c r="Q2113" s="247"/>
      <c r="R2113" s="247"/>
      <c r="S2113" s="247"/>
      <c r="T2113" s="247"/>
      <c r="U2113" s="247"/>
      <c r="V2113" s="247"/>
      <c r="W2113" s="247"/>
      <c r="X2113" s="247"/>
    </row>
    <row r="2114">
      <c r="A2114" s="294">
        <v>46156.0</v>
      </c>
      <c r="B2114" s="295" t="s">
        <v>1215</v>
      </c>
      <c r="C2114" s="295" t="s">
        <v>955</v>
      </c>
      <c r="D2114" s="296">
        <v>5000.0</v>
      </c>
      <c r="E2114" s="295" t="s">
        <v>1017</v>
      </c>
      <c r="F2114" s="297" t="s">
        <v>1059</v>
      </c>
      <c r="G2114" s="293" t="str">
        <f>IFNA(IF(VLOOKUP(RC_OUT[BLOCK],RC_IN[[BLOCK]:[BLOCK LOC]],2,FALSE)=0,"",VLOOKUP(RC_OUT[BLOCK],RC_IN[[BLOCK]:[BLOCK LOC]],2,FALSE)),"")</f>
        <v/>
      </c>
      <c r="I2114" s="263">
        <f>IFERROR(AVERAGEIFS(RC_IN[MC],RC_IN[BLOCK],RC_OUT[BLOCK]),"")</f>
        <v>10.74</v>
      </c>
      <c r="J2114" s="264">
        <f t="shared" si="54"/>
        <v>53700</v>
      </c>
      <c r="K2114" s="246"/>
      <c r="L2114" s="246"/>
      <c r="M2114" s="249"/>
      <c r="N2114" s="266">
        <f t="shared" si="53"/>
        <v>0</v>
      </c>
      <c r="O2114" s="247"/>
      <c r="P2114" s="247"/>
      <c r="Q2114" s="247"/>
      <c r="R2114" s="247"/>
      <c r="S2114" s="247"/>
      <c r="T2114" s="247"/>
      <c r="U2114" s="247"/>
      <c r="V2114" s="247"/>
      <c r="W2114" s="247"/>
      <c r="X2114" s="247"/>
    </row>
    <row r="2115">
      <c r="A2115" s="294">
        <v>46156.0</v>
      </c>
      <c r="B2115" s="295" t="s">
        <v>1215</v>
      </c>
      <c r="C2115" s="295" t="s">
        <v>633</v>
      </c>
      <c r="D2115" s="296">
        <v>16643.0</v>
      </c>
      <c r="E2115" s="295" t="s">
        <v>1017</v>
      </c>
      <c r="F2115" s="292"/>
      <c r="G2115" s="293" t="str">
        <f>IFNA(IF(VLOOKUP(RC_OUT[BLOCK],RC_IN[[BLOCK]:[BLOCK LOC]],2,FALSE)=0,"",VLOOKUP(RC_OUT[BLOCK],RC_IN[[BLOCK]:[BLOCK LOC]],2,FALSE)),"")</f>
        <v>A-11B</v>
      </c>
      <c r="I2115" s="263">
        <f>IFERROR(AVERAGEIFS(RC_IN[MC],RC_IN[BLOCK],RC_OUT[BLOCK]),"")</f>
        <v>12.1525</v>
      </c>
      <c r="J2115" s="264">
        <f t="shared" si="54"/>
        <v>202254.0575</v>
      </c>
      <c r="K2115" s="246"/>
      <c r="L2115" s="246"/>
      <c r="M2115" s="249"/>
      <c r="N2115" s="266">
        <f t="shared" si="53"/>
        <v>0</v>
      </c>
      <c r="O2115" s="247"/>
      <c r="P2115" s="247"/>
      <c r="Q2115" s="247"/>
      <c r="R2115" s="247"/>
      <c r="S2115" s="247"/>
      <c r="T2115" s="247"/>
      <c r="U2115" s="247"/>
      <c r="V2115" s="247"/>
      <c r="W2115" s="247"/>
      <c r="X2115" s="247"/>
    </row>
    <row r="2116">
      <c r="A2116" s="294">
        <v>46156.0</v>
      </c>
      <c r="B2116" s="295" t="s">
        <v>1215</v>
      </c>
      <c r="C2116" s="295" t="s">
        <v>720</v>
      </c>
      <c r="D2116" s="296">
        <v>8351.0</v>
      </c>
      <c r="E2116" s="295" t="s">
        <v>1017</v>
      </c>
      <c r="F2116" s="292"/>
      <c r="G2116" s="293" t="str">
        <f>IFNA(IF(VLOOKUP(RC_OUT[BLOCK],RC_IN[[BLOCK]:[BLOCK LOC]],2,FALSE)=0,"",VLOOKUP(RC_OUT[BLOCK],RC_IN[[BLOCK]:[BLOCK LOC]],2,FALSE)),"")</f>
        <v>PCA-16B</v>
      </c>
      <c r="I2116" s="263">
        <f>IFERROR(AVERAGEIFS(RC_IN[MC],RC_IN[BLOCK],RC_OUT[BLOCK]),"")</f>
        <v>9.346</v>
      </c>
      <c r="J2116" s="264">
        <f t="shared" si="54"/>
        <v>78048.446</v>
      </c>
      <c r="K2116" s="246"/>
      <c r="L2116" s="246"/>
      <c r="M2116" s="249"/>
      <c r="N2116" s="266">
        <f t="shared" si="53"/>
        <v>0</v>
      </c>
      <c r="O2116" s="247"/>
      <c r="P2116" s="247"/>
      <c r="Q2116" s="247"/>
      <c r="R2116" s="247"/>
      <c r="S2116" s="247"/>
      <c r="T2116" s="247"/>
      <c r="U2116" s="247"/>
      <c r="V2116" s="247"/>
      <c r="W2116" s="247"/>
      <c r="X2116" s="247"/>
    </row>
    <row r="2117">
      <c r="A2117" s="294"/>
      <c r="B2117" s="295"/>
      <c r="C2117" s="295"/>
      <c r="D2117" s="296"/>
      <c r="E2117" s="295"/>
      <c r="F2117" s="292"/>
      <c r="G2117" s="293" t="str">
        <f>IFNA(IF(VLOOKUP(RC_OUT[BLOCK],RC_IN[[BLOCK]:[BLOCK LOC]],2,FALSE)=0,"",VLOOKUP(RC_OUT[BLOCK],RC_IN[[BLOCK]:[BLOCK LOC]],2,FALSE)),"")</f>
        <v/>
      </c>
      <c r="I2117" s="263" t="str">
        <f>IFERROR(AVERAGEIFS(RC_IN[MC],RC_IN[BLOCK],RC_OUT[BLOCK]),"")</f>
        <v/>
      </c>
      <c r="J2117" s="264">
        <f t="shared" si="54"/>
        <v>0</v>
      </c>
      <c r="K2117" s="246"/>
      <c r="L2117" s="246"/>
      <c r="M2117" s="249"/>
      <c r="N2117" s="266">
        <f t="shared" si="53"/>
        <v>0</v>
      </c>
      <c r="O2117" s="247"/>
      <c r="P2117" s="247"/>
      <c r="Q2117" s="247"/>
      <c r="R2117" s="247"/>
      <c r="S2117" s="247"/>
      <c r="T2117" s="247"/>
      <c r="U2117" s="247"/>
      <c r="V2117" s="247"/>
      <c r="W2117" s="247"/>
      <c r="X2117" s="247"/>
    </row>
    <row r="2118">
      <c r="A2118" s="294">
        <v>46157.0</v>
      </c>
      <c r="B2118" s="295" t="s">
        <v>1215</v>
      </c>
      <c r="C2118" s="295" t="s">
        <v>346</v>
      </c>
      <c r="D2118" s="296">
        <v>957.0</v>
      </c>
      <c r="E2118" s="295" t="s">
        <v>1017</v>
      </c>
      <c r="F2118" s="297" t="s">
        <v>1059</v>
      </c>
      <c r="G2118" s="293" t="str">
        <f>IFNA(IF(VLOOKUP(RC_OUT[BLOCK],RC_IN[[BLOCK]:[BLOCK LOC]],2,FALSE)=0,"",VLOOKUP(RC_OUT[BLOCK],RC_IN[[BLOCK]:[BLOCK LOC]],2,FALSE)),"")</f>
        <v>D-15D</v>
      </c>
      <c r="I2118" s="263">
        <f>IFERROR(AVERAGEIFS(RC_IN[MC],RC_IN[BLOCK],RC_OUT[BLOCK]),"")</f>
        <v>11.56</v>
      </c>
      <c r="J2118" s="264">
        <f t="shared" si="54"/>
        <v>11062.92</v>
      </c>
      <c r="K2118" s="246"/>
      <c r="L2118" s="246"/>
      <c r="M2118" s="249"/>
      <c r="N2118" s="266">
        <f t="shared" si="53"/>
        <v>0</v>
      </c>
      <c r="O2118" s="247"/>
      <c r="P2118" s="247"/>
      <c r="Q2118" s="247"/>
      <c r="R2118" s="247"/>
      <c r="S2118" s="247"/>
      <c r="T2118" s="247"/>
      <c r="U2118" s="247"/>
      <c r="V2118" s="247"/>
      <c r="W2118" s="247"/>
      <c r="X2118" s="247"/>
    </row>
    <row r="2119">
      <c r="A2119" s="294">
        <v>46157.0</v>
      </c>
      <c r="B2119" s="295" t="s">
        <v>1215</v>
      </c>
      <c r="C2119" s="295" t="s">
        <v>663</v>
      </c>
      <c r="D2119" s="296">
        <v>1432.0</v>
      </c>
      <c r="E2119" s="295" t="s">
        <v>1017</v>
      </c>
      <c r="F2119" s="292"/>
      <c r="G2119" s="293" t="str">
        <f>IFNA(IF(VLOOKUP(RC_OUT[BLOCK],RC_IN[[BLOCK]:[BLOCK LOC]],2,FALSE)=0,"",VLOOKUP(RC_OUT[BLOCK],RC_IN[[BLOCK]:[BLOCK LOC]],2,FALSE)),"")</f>
        <v>D-12B</v>
      </c>
      <c r="I2119" s="263">
        <f>IFERROR(AVERAGEIFS(RC_IN[MC],RC_IN[BLOCK],RC_OUT[BLOCK]),"")</f>
        <v>11.92</v>
      </c>
      <c r="J2119" s="264">
        <f t="shared" si="54"/>
        <v>17069.44</v>
      </c>
      <c r="K2119" s="246"/>
      <c r="L2119" s="246"/>
      <c r="M2119" s="249"/>
      <c r="N2119" s="266">
        <f t="shared" si="53"/>
        <v>0</v>
      </c>
      <c r="O2119" s="247"/>
      <c r="P2119" s="247"/>
      <c r="Q2119" s="247"/>
      <c r="R2119" s="247"/>
      <c r="S2119" s="247"/>
      <c r="T2119" s="247"/>
      <c r="U2119" s="247"/>
      <c r="V2119" s="247"/>
      <c r="W2119" s="247"/>
      <c r="X2119" s="247"/>
    </row>
    <row r="2120">
      <c r="A2120" s="294">
        <v>46157.0</v>
      </c>
      <c r="B2120" s="295" t="s">
        <v>1215</v>
      </c>
      <c r="C2120" s="295" t="s">
        <v>633</v>
      </c>
      <c r="D2120" s="296">
        <v>1008.0</v>
      </c>
      <c r="E2120" s="295" t="s">
        <v>1017</v>
      </c>
      <c r="F2120" s="292"/>
      <c r="G2120" s="293" t="str">
        <f>IFNA(IF(VLOOKUP(RC_OUT[BLOCK],RC_IN[[BLOCK]:[BLOCK LOC]],2,FALSE)=0,"",VLOOKUP(RC_OUT[BLOCK],RC_IN[[BLOCK]:[BLOCK LOC]],2,FALSE)),"")</f>
        <v>A-11B</v>
      </c>
      <c r="I2120" s="263">
        <f>IFERROR(AVERAGEIFS(RC_IN[MC],RC_IN[BLOCK],RC_OUT[BLOCK]),"")</f>
        <v>12.1525</v>
      </c>
      <c r="J2120" s="264">
        <f t="shared" si="54"/>
        <v>12249.72</v>
      </c>
      <c r="K2120" s="246"/>
      <c r="L2120" s="246"/>
      <c r="M2120" s="249"/>
      <c r="N2120" s="266">
        <f t="shared" si="53"/>
        <v>0</v>
      </c>
      <c r="O2120" s="247"/>
      <c r="P2120" s="247"/>
      <c r="Q2120" s="247"/>
      <c r="R2120" s="247"/>
      <c r="S2120" s="247"/>
      <c r="T2120" s="247"/>
      <c r="U2120" s="247"/>
      <c r="V2120" s="247"/>
      <c r="W2120" s="247"/>
      <c r="X2120" s="247"/>
    </row>
    <row r="2121">
      <c r="A2121" s="294">
        <v>46157.0</v>
      </c>
      <c r="B2121" s="295" t="s">
        <v>1215</v>
      </c>
      <c r="C2121" s="295" t="s">
        <v>720</v>
      </c>
      <c r="D2121" s="296">
        <v>15506.0</v>
      </c>
      <c r="E2121" s="295" t="s">
        <v>1017</v>
      </c>
      <c r="F2121" s="297" t="s">
        <v>1059</v>
      </c>
      <c r="G2121" s="293" t="str">
        <f>IFNA(IF(VLOOKUP(RC_OUT[BLOCK],RC_IN[[BLOCK]:[BLOCK LOC]],2,FALSE)=0,"",VLOOKUP(RC_OUT[BLOCK],RC_IN[[BLOCK]:[BLOCK LOC]],2,FALSE)),"")</f>
        <v>PCA-16B</v>
      </c>
      <c r="I2121" s="263">
        <f>IFERROR(AVERAGEIFS(RC_IN[MC],RC_IN[BLOCK],RC_OUT[BLOCK]),"")</f>
        <v>9.346</v>
      </c>
      <c r="J2121" s="264">
        <f t="shared" si="54"/>
        <v>144919.076</v>
      </c>
      <c r="K2121" s="246"/>
      <c r="L2121" s="246"/>
      <c r="M2121" s="249"/>
      <c r="N2121" s="266">
        <f t="shared" si="53"/>
        <v>0</v>
      </c>
      <c r="O2121" s="247"/>
      <c r="P2121" s="247"/>
      <c r="Q2121" s="247"/>
      <c r="R2121" s="247"/>
      <c r="S2121" s="247"/>
      <c r="T2121" s="247"/>
      <c r="U2121" s="247"/>
      <c r="V2121" s="247"/>
      <c r="W2121" s="247"/>
      <c r="X2121" s="247"/>
    </row>
    <row r="2122">
      <c r="A2122" s="294">
        <v>46157.0</v>
      </c>
      <c r="B2122" s="295" t="s">
        <v>1215</v>
      </c>
      <c r="C2122" s="295" t="s">
        <v>956</v>
      </c>
      <c r="D2122" s="296">
        <v>3250.0</v>
      </c>
      <c r="E2122" s="295" t="s">
        <v>1017</v>
      </c>
      <c r="F2122" s="292"/>
      <c r="G2122" s="293" t="str">
        <f>IFNA(IF(VLOOKUP(RC_OUT[BLOCK],RC_IN[[BLOCK]:[BLOCK LOC]],2,FALSE)=0,"",VLOOKUP(RC_OUT[BLOCK],RC_IN[[BLOCK]:[BLOCK LOC]],2,FALSE)),"")</f>
        <v/>
      </c>
      <c r="I2122" s="263">
        <f>IFERROR(AVERAGEIFS(RC_IN[MC],RC_IN[BLOCK],RC_OUT[BLOCK]),"")</f>
        <v>11.07</v>
      </c>
      <c r="J2122" s="264">
        <f t="shared" si="54"/>
        <v>35977.5</v>
      </c>
      <c r="K2122" s="246"/>
      <c r="L2122" s="246"/>
      <c r="M2122" s="249"/>
      <c r="N2122" s="266">
        <f t="shared" si="53"/>
        <v>0</v>
      </c>
      <c r="O2122" s="247"/>
      <c r="P2122" s="247"/>
      <c r="Q2122" s="247"/>
      <c r="R2122" s="247"/>
      <c r="S2122" s="247"/>
      <c r="T2122" s="247"/>
      <c r="U2122" s="247"/>
      <c r="V2122" s="247"/>
      <c r="W2122" s="247"/>
      <c r="X2122" s="247"/>
    </row>
    <row r="2123">
      <c r="A2123" s="294">
        <v>46157.0</v>
      </c>
      <c r="B2123" s="295" t="s">
        <v>1215</v>
      </c>
      <c r="C2123" s="295" t="s">
        <v>927</v>
      </c>
      <c r="D2123" s="296">
        <v>5934.0</v>
      </c>
      <c r="E2123" s="295" t="s">
        <v>1017</v>
      </c>
      <c r="F2123" s="292"/>
      <c r="G2123" s="293" t="str">
        <f>IFNA(IF(VLOOKUP(RC_OUT[BLOCK],RC_IN[[BLOCK]:[BLOCK LOC]],2,FALSE)=0,"",VLOOKUP(RC_OUT[BLOCK],RC_IN[[BLOCK]:[BLOCK LOC]],2,FALSE)),"")</f>
        <v>D-20D</v>
      </c>
      <c r="I2123" s="263">
        <f>IFERROR(AVERAGEIFS(RC_IN[MC],RC_IN[BLOCK],RC_OUT[BLOCK]),"")</f>
        <v>10.2</v>
      </c>
      <c r="J2123" s="264">
        <f t="shared" si="54"/>
        <v>60526.8</v>
      </c>
      <c r="K2123" s="246"/>
      <c r="L2123" s="246"/>
      <c r="M2123" s="249"/>
      <c r="N2123" s="266">
        <f t="shared" si="53"/>
        <v>0</v>
      </c>
      <c r="O2123" s="247"/>
      <c r="P2123" s="247"/>
      <c r="Q2123" s="247"/>
      <c r="R2123" s="247"/>
      <c r="S2123" s="247"/>
      <c r="T2123" s="247"/>
      <c r="U2123" s="247"/>
      <c r="V2123" s="247"/>
      <c r="W2123" s="247"/>
      <c r="X2123" s="247"/>
    </row>
    <row r="2124">
      <c r="A2124" s="294"/>
      <c r="B2124" s="295"/>
      <c r="C2124" s="295"/>
      <c r="D2124" s="296"/>
      <c r="E2124" s="295"/>
      <c r="F2124" s="292"/>
      <c r="G2124" s="293" t="str">
        <f>IFNA(IF(VLOOKUP(RC_OUT[BLOCK],RC_IN[[BLOCK]:[BLOCK LOC]],2,FALSE)=0,"",VLOOKUP(RC_OUT[BLOCK],RC_IN[[BLOCK]:[BLOCK LOC]],2,FALSE)),"")</f>
        <v/>
      </c>
      <c r="I2124" s="263" t="str">
        <f>IFERROR(AVERAGEIFS(RC_IN[MC],RC_IN[BLOCK],RC_OUT[BLOCK]),"")</f>
        <v/>
      </c>
      <c r="J2124" s="264">
        <f t="shared" si="54"/>
        <v>0</v>
      </c>
      <c r="K2124" s="246"/>
      <c r="L2124" s="246"/>
      <c r="M2124" s="249"/>
      <c r="N2124" s="266">
        <f t="shared" si="53"/>
        <v>0</v>
      </c>
      <c r="O2124" s="247"/>
      <c r="P2124" s="247"/>
      <c r="Q2124" s="247"/>
      <c r="R2124" s="247"/>
      <c r="S2124" s="247"/>
      <c r="T2124" s="247"/>
      <c r="U2124" s="247"/>
      <c r="V2124" s="247"/>
      <c r="W2124" s="247"/>
      <c r="X2124" s="247"/>
    </row>
    <row r="2125">
      <c r="A2125" s="294">
        <v>46160.0</v>
      </c>
      <c r="B2125" s="295" t="s">
        <v>1215</v>
      </c>
      <c r="C2125" s="295" t="s">
        <v>663</v>
      </c>
      <c r="D2125" s="296">
        <v>1159.0</v>
      </c>
      <c r="E2125" s="295" t="s">
        <v>1017</v>
      </c>
      <c r="F2125" s="292"/>
      <c r="G2125" s="293" t="str">
        <f>IFNA(IF(VLOOKUP(RC_OUT[BLOCK],RC_IN[[BLOCK]:[BLOCK LOC]],2,FALSE)=0,"",VLOOKUP(RC_OUT[BLOCK],RC_IN[[BLOCK]:[BLOCK LOC]],2,FALSE)),"")</f>
        <v>D-12B</v>
      </c>
      <c r="I2125" s="263">
        <f>IFERROR(AVERAGEIFS(RC_IN[MC],RC_IN[BLOCK],RC_OUT[BLOCK]),"")</f>
        <v>11.92</v>
      </c>
      <c r="J2125" s="264">
        <f t="shared" si="54"/>
        <v>13815.28</v>
      </c>
      <c r="K2125" s="246"/>
      <c r="L2125" s="246"/>
      <c r="M2125" s="249"/>
      <c r="N2125" s="266">
        <f t="shared" si="53"/>
        <v>0</v>
      </c>
      <c r="O2125" s="247"/>
      <c r="P2125" s="247"/>
      <c r="Q2125" s="247"/>
      <c r="R2125" s="247"/>
      <c r="S2125" s="247"/>
      <c r="T2125" s="247"/>
      <c r="U2125" s="247"/>
      <c r="V2125" s="247"/>
      <c r="W2125" s="247"/>
      <c r="X2125" s="247"/>
    </row>
    <row r="2126">
      <c r="A2126" s="294">
        <v>46160.0</v>
      </c>
      <c r="B2126" s="295" t="s">
        <v>1215</v>
      </c>
      <c r="C2126" s="295" t="s">
        <v>633</v>
      </c>
      <c r="D2126" s="296">
        <v>1171.0</v>
      </c>
      <c r="E2126" s="295" t="s">
        <v>1017</v>
      </c>
      <c r="F2126" s="292"/>
      <c r="G2126" s="293" t="str">
        <f>IFNA(IF(VLOOKUP(RC_OUT[BLOCK],RC_IN[[BLOCK]:[BLOCK LOC]],2,FALSE)=0,"",VLOOKUP(RC_OUT[BLOCK],RC_IN[[BLOCK]:[BLOCK LOC]],2,FALSE)),"")</f>
        <v>A-11B</v>
      </c>
      <c r="I2126" s="263">
        <f>IFERROR(AVERAGEIFS(RC_IN[MC],RC_IN[BLOCK],RC_OUT[BLOCK]),"")</f>
        <v>12.1525</v>
      </c>
      <c r="J2126" s="264">
        <f t="shared" si="54"/>
        <v>14230.5775</v>
      </c>
      <c r="K2126" s="246"/>
      <c r="L2126" s="246"/>
      <c r="M2126" s="249"/>
      <c r="N2126" s="266">
        <f t="shared" si="53"/>
        <v>0</v>
      </c>
      <c r="O2126" s="247"/>
      <c r="P2126" s="247"/>
      <c r="Q2126" s="247"/>
      <c r="R2126" s="247"/>
      <c r="S2126" s="247"/>
      <c r="T2126" s="247"/>
      <c r="U2126" s="247"/>
      <c r="V2126" s="247"/>
      <c r="W2126" s="247"/>
      <c r="X2126" s="247"/>
    </row>
    <row r="2127">
      <c r="A2127" s="294">
        <v>46160.0</v>
      </c>
      <c r="B2127" s="295" t="s">
        <v>1215</v>
      </c>
      <c r="C2127" s="295" t="s">
        <v>956</v>
      </c>
      <c r="D2127" s="296">
        <v>8000.0</v>
      </c>
      <c r="E2127" s="295" t="s">
        <v>1017</v>
      </c>
      <c r="F2127" s="292"/>
      <c r="G2127" s="293" t="str">
        <f>IFNA(IF(VLOOKUP(RC_OUT[BLOCK],RC_IN[[BLOCK]:[BLOCK LOC]],2,FALSE)=0,"",VLOOKUP(RC_OUT[BLOCK],RC_IN[[BLOCK]:[BLOCK LOC]],2,FALSE)),"")</f>
        <v/>
      </c>
      <c r="I2127" s="263">
        <f>IFERROR(AVERAGEIFS(RC_IN[MC],RC_IN[BLOCK],RC_OUT[BLOCK]),"")</f>
        <v>11.07</v>
      </c>
      <c r="J2127" s="264">
        <f t="shared" si="54"/>
        <v>88560</v>
      </c>
      <c r="K2127" s="246"/>
      <c r="L2127" s="246"/>
      <c r="M2127" s="249"/>
      <c r="N2127" s="266">
        <f t="shared" si="53"/>
        <v>0</v>
      </c>
      <c r="O2127" s="247"/>
      <c r="P2127" s="247"/>
      <c r="Q2127" s="247"/>
      <c r="R2127" s="247"/>
      <c r="S2127" s="247"/>
      <c r="T2127" s="247"/>
      <c r="U2127" s="247"/>
      <c r="V2127" s="247"/>
      <c r="W2127" s="247"/>
      <c r="X2127" s="247"/>
    </row>
    <row r="2128">
      <c r="A2128" s="294">
        <v>46160.0</v>
      </c>
      <c r="B2128" s="295" t="s">
        <v>1215</v>
      </c>
      <c r="C2128" s="295" t="s">
        <v>927</v>
      </c>
      <c r="D2128" s="296">
        <v>9271.0</v>
      </c>
      <c r="E2128" s="295" t="s">
        <v>1017</v>
      </c>
      <c r="F2128" s="292"/>
      <c r="G2128" s="293" t="str">
        <f>IFNA(IF(VLOOKUP(RC_OUT[BLOCK],RC_IN[[BLOCK]:[BLOCK LOC]],2,FALSE)=0,"",VLOOKUP(RC_OUT[BLOCK],RC_IN[[BLOCK]:[BLOCK LOC]],2,FALSE)),"")</f>
        <v>D-20D</v>
      </c>
      <c r="I2128" s="263">
        <f>IFERROR(AVERAGEIFS(RC_IN[MC],RC_IN[BLOCK],RC_OUT[BLOCK]),"")</f>
        <v>10.2</v>
      </c>
      <c r="J2128" s="264">
        <f t="shared" si="54"/>
        <v>94564.2</v>
      </c>
      <c r="K2128" s="246"/>
      <c r="L2128" s="246"/>
      <c r="M2128" s="249"/>
      <c r="N2128" s="266">
        <f t="shared" si="53"/>
        <v>0</v>
      </c>
      <c r="O2128" s="247"/>
      <c r="P2128" s="247"/>
      <c r="Q2128" s="247"/>
      <c r="R2128" s="247"/>
      <c r="S2128" s="247"/>
      <c r="T2128" s="247"/>
      <c r="U2128" s="247"/>
      <c r="V2128" s="247"/>
      <c r="W2128" s="247"/>
      <c r="X2128" s="247"/>
    </row>
    <row r="2129">
      <c r="A2129" s="294">
        <v>46160.0</v>
      </c>
      <c r="B2129" s="295" t="s">
        <v>1215</v>
      </c>
      <c r="C2129" s="295" t="s">
        <v>932</v>
      </c>
      <c r="D2129" s="296">
        <v>12548.0</v>
      </c>
      <c r="E2129" s="295" t="s">
        <v>1017</v>
      </c>
      <c r="F2129" s="292"/>
      <c r="G2129" s="293" t="str">
        <f>IFNA(IF(VLOOKUP(RC_OUT[BLOCK],RC_IN[[BLOCK]:[BLOCK LOC]],2,FALSE)=0,"",VLOOKUP(RC_OUT[BLOCK],RC_IN[[BLOCK]:[BLOCK LOC]],2,FALSE)),"")</f>
        <v>PCA-15A</v>
      </c>
      <c r="I2129" s="263">
        <f>IFERROR(AVERAGEIFS(RC_IN[MC],RC_IN[BLOCK],RC_OUT[BLOCK]),"")</f>
        <v>9.736666667</v>
      </c>
      <c r="J2129" s="264">
        <f t="shared" si="54"/>
        <v>122175.6933</v>
      </c>
      <c r="K2129" s="246"/>
      <c r="L2129" s="246"/>
      <c r="M2129" s="249"/>
      <c r="N2129" s="266">
        <f t="shared" si="53"/>
        <v>0</v>
      </c>
      <c r="O2129" s="247"/>
      <c r="P2129" s="247"/>
      <c r="Q2129" s="247"/>
      <c r="R2129" s="247"/>
      <c r="S2129" s="247"/>
      <c r="T2129" s="247"/>
      <c r="U2129" s="247"/>
      <c r="V2129" s="247"/>
      <c r="W2129" s="247"/>
      <c r="X2129" s="247"/>
    </row>
    <row r="2130">
      <c r="A2130" s="294"/>
      <c r="B2130" s="295"/>
      <c r="C2130" s="295"/>
      <c r="D2130" s="296"/>
      <c r="E2130" s="295"/>
      <c r="F2130" s="292"/>
      <c r="G2130" s="293" t="str">
        <f>IFNA(IF(VLOOKUP(RC_OUT[BLOCK],RC_IN[[BLOCK]:[BLOCK LOC]],2,FALSE)=0,"",VLOOKUP(RC_OUT[BLOCK],RC_IN[[BLOCK]:[BLOCK LOC]],2,FALSE)),"")</f>
        <v/>
      </c>
      <c r="I2130" s="263" t="str">
        <f>IFERROR(AVERAGEIFS(RC_IN[MC],RC_IN[BLOCK],RC_OUT[BLOCK]),"")</f>
        <v/>
      </c>
      <c r="J2130" s="264">
        <f t="shared" si="54"/>
        <v>0</v>
      </c>
      <c r="K2130" s="246"/>
      <c r="L2130" s="246"/>
      <c r="M2130" s="249"/>
      <c r="N2130" s="266">
        <f t="shared" si="53"/>
        <v>0</v>
      </c>
      <c r="O2130" s="247"/>
      <c r="P2130" s="247"/>
      <c r="Q2130" s="247"/>
      <c r="R2130" s="247"/>
      <c r="S2130" s="247"/>
      <c r="T2130" s="247"/>
      <c r="U2130" s="247"/>
      <c r="V2130" s="247"/>
      <c r="W2130" s="247"/>
      <c r="X2130" s="247"/>
    </row>
    <row r="2131">
      <c r="A2131" s="294">
        <v>46161.0</v>
      </c>
      <c r="B2131" s="295" t="s">
        <v>1215</v>
      </c>
      <c r="C2131" s="295" t="s">
        <v>663</v>
      </c>
      <c r="D2131" s="296">
        <v>1281.0</v>
      </c>
      <c r="E2131" s="295" t="s">
        <v>1017</v>
      </c>
      <c r="F2131" s="292"/>
      <c r="G2131" s="293" t="str">
        <f>IFNA(IF(VLOOKUP(RC_OUT[BLOCK],RC_IN[[BLOCK]:[BLOCK LOC]],2,FALSE)=0,"",VLOOKUP(RC_OUT[BLOCK],RC_IN[[BLOCK]:[BLOCK LOC]],2,FALSE)),"")</f>
        <v>D-12B</v>
      </c>
      <c r="I2131" s="263">
        <f>IFERROR(AVERAGEIFS(RC_IN[MC],RC_IN[BLOCK],RC_OUT[BLOCK]),"")</f>
        <v>11.92</v>
      </c>
      <c r="J2131" s="264">
        <f t="shared" si="54"/>
        <v>15269.52</v>
      </c>
      <c r="K2131" s="246"/>
      <c r="L2131" s="246"/>
      <c r="M2131" s="249"/>
      <c r="N2131" s="266">
        <f t="shared" si="53"/>
        <v>0</v>
      </c>
      <c r="O2131" s="247"/>
      <c r="P2131" s="247"/>
      <c r="Q2131" s="247"/>
      <c r="R2131" s="247"/>
      <c r="S2131" s="247"/>
      <c r="T2131" s="247"/>
      <c r="U2131" s="247"/>
      <c r="V2131" s="247"/>
      <c r="W2131" s="247"/>
      <c r="X2131" s="247"/>
    </row>
    <row r="2132">
      <c r="A2132" s="294">
        <v>46161.0</v>
      </c>
      <c r="B2132" s="295" t="s">
        <v>1215</v>
      </c>
      <c r="C2132" s="295" t="s">
        <v>633</v>
      </c>
      <c r="D2132" s="296">
        <v>1135.0</v>
      </c>
      <c r="E2132" s="295" t="s">
        <v>1017</v>
      </c>
      <c r="F2132" s="292"/>
      <c r="G2132" s="293" t="str">
        <f>IFNA(IF(VLOOKUP(RC_OUT[BLOCK],RC_IN[[BLOCK]:[BLOCK LOC]],2,FALSE)=0,"",VLOOKUP(RC_OUT[BLOCK],RC_IN[[BLOCK]:[BLOCK LOC]],2,FALSE)),"")</f>
        <v>A-11B</v>
      </c>
      <c r="I2132" s="263">
        <f>IFERROR(AVERAGEIFS(RC_IN[MC],RC_IN[BLOCK],RC_OUT[BLOCK]),"")</f>
        <v>12.1525</v>
      </c>
      <c r="J2132" s="264">
        <f t="shared" si="54"/>
        <v>13793.0875</v>
      </c>
      <c r="K2132" s="246"/>
      <c r="L2132" s="246"/>
      <c r="M2132" s="249"/>
      <c r="N2132" s="266">
        <f t="shared" si="53"/>
        <v>0</v>
      </c>
      <c r="O2132" s="247"/>
      <c r="P2132" s="247"/>
      <c r="Q2132" s="247"/>
      <c r="R2132" s="247"/>
      <c r="S2132" s="247"/>
      <c r="T2132" s="247"/>
      <c r="U2132" s="247"/>
      <c r="V2132" s="247"/>
      <c r="W2132" s="247"/>
      <c r="X2132" s="247"/>
    </row>
    <row r="2133">
      <c r="A2133" s="294">
        <v>46161.0</v>
      </c>
      <c r="B2133" s="295" t="s">
        <v>1215</v>
      </c>
      <c r="C2133" s="295" t="s">
        <v>956</v>
      </c>
      <c r="D2133" s="296">
        <v>8000.0</v>
      </c>
      <c r="E2133" s="295" t="s">
        <v>1017</v>
      </c>
      <c r="F2133" s="297" t="s">
        <v>1059</v>
      </c>
      <c r="G2133" s="293" t="str">
        <f>IFNA(IF(VLOOKUP(RC_OUT[BLOCK],RC_IN[[BLOCK]:[BLOCK LOC]],2,FALSE)=0,"",VLOOKUP(RC_OUT[BLOCK],RC_IN[[BLOCK]:[BLOCK LOC]],2,FALSE)),"")</f>
        <v/>
      </c>
      <c r="I2133" s="263">
        <f>IFERROR(AVERAGEIFS(RC_IN[MC],RC_IN[BLOCK],RC_OUT[BLOCK]),"")</f>
        <v>11.07</v>
      </c>
      <c r="J2133" s="264">
        <f t="shared" si="54"/>
        <v>88560</v>
      </c>
      <c r="K2133" s="246"/>
      <c r="L2133" s="246"/>
      <c r="M2133" s="249"/>
      <c r="N2133" s="266">
        <f t="shared" si="53"/>
        <v>0</v>
      </c>
      <c r="O2133" s="247"/>
      <c r="P2133" s="247"/>
      <c r="Q2133" s="247"/>
      <c r="R2133" s="247"/>
      <c r="S2133" s="247"/>
      <c r="T2133" s="247"/>
      <c r="U2133" s="247"/>
      <c r="V2133" s="247"/>
      <c r="W2133" s="247"/>
      <c r="X2133" s="247"/>
    </row>
    <row r="2134">
      <c r="A2134" s="294">
        <v>46161.0</v>
      </c>
      <c r="B2134" s="295" t="s">
        <v>1215</v>
      </c>
      <c r="C2134" s="295" t="s">
        <v>927</v>
      </c>
      <c r="D2134" s="296">
        <v>2792.0</v>
      </c>
      <c r="E2134" s="295" t="s">
        <v>1017</v>
      </c>
      <c r="F2134" s="297" t="s">
        <v>1059</v>
      </c>
      <c r="G2134" s="293" t="str">
        <f>IFNA(IF(VLOOKUP(RC_OUT[BLOCK],RC_IN[[BLOCK]:[BLOCK LOC]],2,FALSE)=0,"",VLOOKUP(RC_OUT[BLOCK],RC_IN[[BLOCK]:[BLOCK LOC]],2,FALSE)),"")</f>
        <v>D-20D</v>
      </c>
      <c r="I2134" s="263">
        <f>IFERROR(AVERAGEIFS(RC_IN[MC],RC_IN[BLOCK],RC_OUT[BLOCK]),"")</f>
        <v>10.2</v>
      </c>
      <c r="J2134" s="264">
        <f t="shared" si="54"/>
        <v>28478.4</v>
      </c>
      <c r="K2134" s="246"/>
      <c r="L2134" s="246"/>
      <c r="M2134" s="249"/>
      <c r="N2134" s="266">
        <f t="shared" si="53"/>
        <v>0</v>
      </c>
      <c r="O2134" s="247"/>
      <c r="P2134" s="247"/>
      <c r="Q2134" s="247"/>
      <c r="R2134" s="247"/>
      <c r="S2134" s="247"/>
      <c r="T2134" s="247"/>
      <c r="U2134" s="247"/>
      <c r="V2134" s="247"/>
      <c r="W2134" s="247"/>
      <c r="X2134" s="247"/>
    </row>
    <row r="2135">
      <c r="A2135" s="294">
        <v>46161.0</v>
      </c>
      <c r="B2135" s="295" t="s">
        <v>1215</v>
      </c>
      <c r="C2135" s="295" t="s">
        <v>932</v>
      </c>
      <c r="D2135" s="296">
        <v>8546.0</v>
      </c>
      <c r="E2135" s="295" t="s">
        <v>1017</v>
      </c>
      <c r="F2135" s="297" t="s">
        <v>1059</v>
      </c>
      <c r="G2135" s="293" t="str">
        <f>IFNA(IF(VLOOKUP(RC_OUT[BLOCK],RC_IN[[BLOCK]:[BLOCK LOC]],2,FALSE)=0,"",VLOOKUP(RC_OUT[BLOCK],RC_IN[[BLOCK]:[BLOCK LOC]],2,FALSE)),"")</f>
        <v>PCA-15A</v>
      </c>
      <c r="I2135" s="263">
        <f>IFERROR(AVERAGEIFS(RC_IN[MC],RC_IN[BLOCK],RC_OUT[BLOCK]),"")</f>
        <v>9.736666667</v>
      </c>
      <c r="J2135" s="264">
        <f t="shared" si="54"/>
        <v>83209.55333</v>
      </c>
      <c r="K2135" s="246"/>
      <c r="L2135" s="246"/>
      <c r="M2135" s="249"/>
      <c r="N2135" s="266">
        <f t="shared" si="53"/>
        <v>0</v>
      </c>
      <c r="O2135" s="247"/>
      <c r="P2135" s="247"/>
      <c r="Q2135" s="247"/>
      <c r="R2135" s="247"/>
      <c r="S2135" s="247"/>
      <c r="T2135" s="247"/>
      <c r="U2135" s="247"/>
      <c r="V2135" s="247"/>
      <c r="W2135" s="247"/>
      <c r="X2135" s="247"/>
    </row>
    <row r="2136">
      <c r="A2136" s="294">
        <v>46161.0</v>
      </c>
      <c r="B2136" s="295" t="s">
        <v>1215</v>
      </c>
      <c r="C2136" s="295" t="s">
        <v>749</v>
      </c>
      <c r="D2136" s="296">
        <v>12157.0</v>
      </c>
      <c r="E2136" s="295" t="s">
        <v>1017</v>
      </c>
      <c r="F2136" s="292"/>
      <c r="G2136" s="293" t="str">
        <f>IFNA(IF(VLOOKUP(RC_OUT[BLOCK],RC_IN[[BLOCK]:[BLOCK LOC]],2,FALSE)=0,"",VLOOKUP(RC_OUT[BLOCK],RC_IN[[BLOCK]:[BLOCK LOC]],2,FALSE)),"")</f>
        <v>C-16B</v>
      </c>
      <c r="I2136" s="263">
        <f>IFERROR(AVERAGEIFS(RC_IN[MC],RC_IN[BLOCK],RC_OUT[BLOCK]),"")</f>
        <v>10.57</v>
      </c>
      <c r="J2136" s="264">
        <f t="shared" si="54"/>
        <v>128499.49</v>
      </c>
      <c r="K2136" s="246"/>
      <c r="L2136" s="246"/>
      <c r="M2136" s="249"/>
      <c r="N2136" s="266">
        <f t="shared" si="53"/>
        <v>0</v>
      </c>
      <c r="O2136" s="247"/>
      <c r="P2136" s="247"/>
      <c r="Q2136" s="247"/>
      <c r="R2136" s="247"/>
      <c r="S2136" s="247"/>
      <c r="T2136" s="247"/>
      <c r="U2136" s="247"/>
      <c r="V2136" s="247"/>
      <c r="W2136" s="247"/>
      <c r="X2136" s="247"/>
    </row>
    <row r="2137">
      <c r="A2137" s="294"/>
      <c r="B2137" s="295"/>
      <c r="C2137" s="295"/>
      <c r="D2137" s="296"/>
      <c r="E2137" s="295"/>
      <c r="F2137" s="292"/>
      <c r="G2137" s="293" t="str">
        <f>IFNA(IF(VLOOKUP(RC_OUT[BLOCK],RC_IN[[BLOCK]:[BLOCK LOC]],2,FALSE)=0,"",VLOOKUP(RC_OUT[BLOCK],RC_IN[[BLOCK]:[BLOCK LOC]],2,FALSE)),"")</f>
        <v/>
      </c>
      <c r="I2137" s="263" t="str">
        <f>IFERROR(AVERAGEIFS(RC_IN[MC],RC_IN[BLOCK],RC_OUT[BLOCK]),"")</f>
        <v/>
      </c>
      <c r="J2137" s="264">
        <f t="shared" si="54"/>
        <v>0</v>
      </c>
      <c r="K2137" s="246"/>
      <c r="L2137" s="246"/>
      <c r="M2137" s="249"/>
      <c r="N2137" s="266">
        <f t="shared" si="53"/>
        <v>0</v>
      </c>
      <c r="O2137" s="247"/>
      <c r="P2137" s="247"/>
      <c r="Q2137" s="247"/>
      <c r="R2137" s="247"/>
      <c r="S2137" s="247"/>
      <c r="T2137" s="247"/>
      <c r="U2137" s="247"/>
      <c r="V2137" s="247"/>
      <c r="W2137" s="247"/>
      <c r="X2137" s="247"/>
    </row>
    <row r="2138">
      <c r="A2138" s="294">
        <v>46162.0</v>
      </c>
      <c r="B2138" s="295" t="s">
        <v>1215</v>
      </c>
      <c r="C2138" s="295" t="s">
        <v>663</v>
      </c>
      <c r="D2138" s="296">
        <v>1164.0</v>
      </c>
      <c r="E2138" s="295" t="s">
        <v>1017</v>
      </c>
      <c r="F2138" s="292"/>
      <c r="G2138" s="293" t="str">
        <f>IFNA(IF(VLOOKUP(RC_OUT[BLOCK],RC_IN[[BLOCK]:[BLOCK LOC]],2,FALSE)=0,"",VLOOKUP(RC_OUT[BLOCK],RC_IN[[BLOCK]:[BLOCK LOC]],2,FALSE)),"")</f>
        <v>D-12B</v>
      </c>
      <c r="I2138" s="263">
        <f>IFERROR(AVERAGEIFS(RC_IN[MC],RC_IN[BLOCK],RC_OUT[BLOCK]),"")</f>
        <v>11.92</v>
      </c>
      <c r="J2138" s="264">
        <f t="shared" si="54"/>
        <v>13874.88</v>
      </c>
      <c r="K2138" s="246"/>
      <c r="L2138" s="246"/>
      <c r="M2138" s="249"/>
      <c r="N2138" s="266">
        <f t="shared" si="53"/>
        <v>0</v>
      </c>
      <c r="O2138" s="247"/>
      <c r="P2138" s="247"/>
      <c r="Q2138" s="247"/>
      <c r="R2138" s="247"/>
      <c r="S2138" s="247"/>
      <c r="T2138" s="247"/>
      <c r="U2138" s="247"/>
      <c r="V2138" s="247"/>
      <c r="W2138" s="247"/>
      <c r="X2138" s="247"/>
    </row>
    <row r="2139">
      <c r="A2139" s="294">
        <v>46162.0</v>
      </c>
      <c r="B2139" s="295" t="s">
        <v>1215</v>
      </c>
      <c r="C2139" s="295" t="s">
        <v>633</v>
      </c>
      <c r="D2139" s="296">
        <v>1083.0</v>
      </c>
      <c r="E2139" s="295" t="s">
        <v>1017</v>
      </c>
      <c r="F2139" s="292"/>
      <c r="G2139" s="293" t="str">
        <f>IFNA(IF(VLOOKUP(RC_OUT[BLOCK],RC_IN[[BLOCK]:[BLOCK LOC]],2,FALSE)=0,"",VLOOKUP(RC_OUT[BLOCK],RC_IN[[BLOCK]:[BLOCK LOC]],2,FALSE)),"")</f>
        <v>A-11B</v>
      </c>
      <c r="I2139" s="263">
        <f>IFERROR(AVERAGEIFS(RC_IN[MC],RC_IN[BLOCK],RC_OUT[BLOCK]),"")</f>
        <v>12.1525</v>
      </c>
      <c r="J2139" s="264">
        <f t="shared" si="54"/>
        <v>13161.1575</v>
      </c>
      <c r="K2139" s="246"/>
      <c r="L2139" s="246"/>
      <c r="M2139" s="249"/>
      <c r="N2139" s="266">
        <f t="shared" si="53"/>
        <v>0</v>
      </c>
      <c r="O2139" s="247"/>
      <c r="P2139" s="247"/>
      <c r="Q2139" s="247"/>
      <c r="R2139" s="247"/>
      <c r="S2139" s="247"/>
      <c r="T2139" s="247"/>
      <c r="U2139" s="247"/>
      <c r="V2139" s="247"/>
      <c r="W2139" s="247"/>
      <c r="X2139" s="247"/>
    </row>
    <row r="2140">
      <c r="A2140" s="294">
        <v>46162.0</v>
      </c>
      <c r="B2140" s="295" t="s">
        <v>1215</v>
      </c>
      <c r="C2140" s="295" t="s">
        <v>749</v>
      </c>
      <c r="D2140" s="296">
        <v>24989.0</v>
      </c>
      <c r="E2140" s="295" t="s">
        <v>1017</v>
      </c>
      <c r="F2140" s="297" t="s">
        <v>1059</v>
      </c>
      <c r="G2140" s="293" t="str">
        <f>IFNA(IF(VLOOKUP(RC_OUT[BLOCK],RC_IN[[BLOCK]:[BLOCK LOC]],2,FALSE)=0,"",VLOOKUP(RC_OUT[BLOCK],RC_IN[[BLOCK]:[BLOCK LOC]],2,FALSE)),"")</f>
        <v>C-16B</v>
      </c>
      <c r="I2140" s="263">
        <f>IFERROR(AVERAGEIFS(RC_IN[MC],RC_IN[BLOCK],RC_OUT[BLOCK]),"")</f>
        <v>10.57</v>
      </c>
      <c r="J2140" s="264">
        <f t="shared" si="54"/>
        <v>264133.73</v>
      </c>
      <c r="K2140" s="246"/>
      <c r="L2140" s="246"/>
      <c r="M2140" s="249"/>
      <c r="N2140" s="266">
        <f t="shared" si="53"/>
        <v>0</v>
      </c>
      <c r="O2140" s="247"/>
      <c r="P2140" s="247"/>
      <c r="Q2140" s="247"/>
      <c r="R2140" s="247"/>
      <c r="S2140" s="247"/>
      <c r="T2140" s="247"/>
      <c r="U2140" s="247"/>
      <c r="V2140" s="247"/>
      <c r="W2140" s="247"/>
      <c r="X2140" s="247"/>
    </row>
    <row r="2141">
      <c r="A2141" s="294">
        <v>46162.0</v>
      </c>
      <c r="B2141" s="295" t="s">
        <v>1215</v>
      </c>
      <c r="C2141" s="295" t="s">
        <v>957</v>
      </c>
      <c r="D2141" s="296">
        <v>5000.0</v>
      </c>
      <c r="E2141" s="295" t="s">
        <v>1017</v>
      </c>
      <c r="F2141" s="292"/>
      <c r="G2141" s="293" t="str">
        <f>IFNA(IF(VLOOKUP(RC_OUT[BLOCK],RC_IN[[BLOCK]:[BLOCK LOC]],2,FALSE)=0,"",VLOOKUP(RC_OUT[BLOCK],RC_IN[[BLOCK]:[BLOCK LOC]],2,FALSE)),"")</f>
        <v/>
      </c>
      <c r="I2141" s="263">
        <f>IFERROR(AVERAGEIFS(RC_IN[MC],RC_IN[BLOCK],RC_OUT[BLOCK]),"")</f>
        <v>11.34</v>
      </c>
      <c r="J2141" s="264">
        <f t="shared" si="54"/>
        <v>56700</v>
      </c>
      <c r="K2141" s="246"/>
      <c r="L2141" s="246"/>
      <c r="M2141" s="249"/>
      <c r="N2141" s="266">
        <f t="shared" si="53"/>
        <v>0</v>
      </c>
      <c r="O2141" s="247"/>
      <c r="P2141" s="247"/>
      <c r="Q2141" s="247"/>
      <c r="R2141" s="247"/>
      <c r="S2141" s="247"/>
      <c r="T2141" s="247"/>
      <c r="U2141" s="247"/>
      <c r="V2141" s="247"/>
      <c r="W2141" s="247"/>
      <c r="X2141" s="247"/>
    </row>
    <row r="2142">
      <c r="A2142" s="294"/>
      <c r="B2142" s="295"/>
      <c r="C2142" s="295"/>
      <c r="D2142" s="296"/>
      <c r="E2142" s="295"/>
      <c r="F2142" s="292"/>
      <c r="G2142" s="293" t="str">
        <f>IFNA(IF(VLOOKUP(RC_OUT[BLOCK],RC_IN[[BLOCK]:[BLOCK LOC]],2,FALSE)=0,"",VLOOKUP(RC_OUT[BLOCK],RC_IN[[BLOCK]:[BLOCK LOC]],2,FALSE)),"")</f>
        <v/>
      </c>
      <c r="I2142" s="263" t="str">
        <f>IFERROR(AVERAGEIFS(RC_IN[MC],RC_IN[BLOCK],RC_OUT[BLOCK]),"")</f>
        <v/>
      </c>
      <c r="J2142" s="264">
        <f t="shared" si="54"/>
        <v>0</v>
      </c>
      <c r="K2142" s="246"/>
      <c r="L2142" s="246"/>
      <c r="M2142" s="249"/>
      <c r="N2142" s="266">
        <f t="shared" si="53"/>
        <v>0</v>
      </c>
      <c r="O2142" s="247"/>
      <c r="P2142" s="247"/>
      <c r="Q2142" s="247"/>
      <c r="R2142" s="247"/>
      <c r="S2142" s="247"/>
      <c r="T2142" s="247"/>
      <c r="U2142" s="247"/>
      <c r="V2142" s="247"/>
      <c r="W2142" s="247"/>
      <c r="X2142" s="247"/>
    </row>
    <row r="2143">
      <c r="A2143" s="294">
        <v>46163.0</v>
      </c>
      <c r="B2143" s="295" t="s">
        <v>1215</v>
      </c>
      <c r="C2143" s="295" t="s">
        <v>663</v>
      </c>
      <c r="D2143" s="296">
        <v>1190.0</v>
      </c>
      <c r="E2143" s="295" t="s">
        <v>1017</v>
      </c>
      <c r="F2143" s="292"/>
      <c r="G2143" s="293" t="str">
        <f>IFNA(IF(VLOOKUP(RC_OUT[BLOCK],RC_IN[[BLOCK]:[BLOCK LOC]],2,FALSE)=0,"",VLOOKUP(RC_OUT[BLOCK],RC_IN[[BLOCK]:[BLOCK LOC]],2,FALSE)),"")</f>
        <v>D-12B</v>
      </c>
      <c r="I2143" s="263">
        <f>IFERROR(AVERAGEIFS(RC_IN[MC],RC_IN[BLOCK],RC_OUT[BLOCK]),"")</f>
        <v>11.92</v>
      </c>
      <c r="J2143" s="264">
        <f t="shared" si="54"/>
        <v>14184.8</v>
      </c>
      <c r="K2143" s="246"/>
      <c r="L2143" s="246"/>
      <c r="M2143" s="249"/>
      <c r="N2143" s="266">
        <f t="shared" si="53"/>
        <v>0</v>
      </c>
      <c r="O2143" s="247"/>
      <c r="P2143" s="247"/>
      <c r="Q2143" s="247"/>
      <c r="R2143" s="247"/>
      <c r="S2143" s="247"/>
      <c r="T2143" s="247"/>
      <c r="U2143" s="247"/>
      <c r="V2143" s="247"/>
      <c r="W2143" s="247"/>
      <c r="X2143" s="247"/>
    </row>
    <row r="2144">
      <c r="A2144" s="294">
        <v>46163.0</v>
      </c>
      <c r="B2144" s="295" t="s">
        <v>1215</v>
      </c>
      <c r="C2144" s="295" t="s">
        <v>633</v>
      </c>
      <c r="D2144" s="296">
        <v>1121.0</v>
      </c>
      <c r="E2144" s="295" t="s">
        <v>1017</v>
      </c>
      <c r="F2144" s="292"/>
      <c r="G2144" s="293" t="str">
        <f>IFNA(IF(VLOOKUP(RC_OUT[BLOCK],RC_IN[[BLOCK]:[BLOCK LOC]],2,FALSE)=0,"",VLOOKUP(RC_OUT[BLOCK],RC_IN[[BLOCK]:[BLOCK LOC]],2,FALSE)),"")</f>
        <v>A-11B</v>
      </c>
      <c r="I2144" s="263">
        <f>IFERROR(AVERAGEIFS(RC_IN[MC],RC_IN[BLOCK],RC_OUT[BLOCK]),"")</f>
        <v>12.1525</v>
      </c>
      <c r="J2144" s="264">
        <f t="shared" si="54"/>
        <v>13622.9525</v>
      </c>
      <c r="K2144" s="246"/>
      <c r="L2144" s="246"/>
      <c r="M2144" s="249"/>
      <c r="N2144" s="266">
        <f t="shared" si="53"/>
        <v>0</v>
      </c>
      <c r="O2144" s="247"/>
      <c r="P2144" s="247"/>
      <c r="Q2144" s="247"/>
      <c r="R2144" s="247"/>
      <c r="S2144" s="247"/>
      <c r="T2144" s="247"/>
      <c r="U2144" s="247"/>
      <c r="V2144" s="247"/>
      <c r="W2144" s="247"/>
      <c r="X2144" s="247"/>
    </row>
    <row r="2145">
      <c r="A2145" s="294">
        <v>46163.0</v>
      </c>
      <c r="B2145" s="295" t="s">
        <v>1215</v>
      </c>
      <c r="C2145" s="295" t="s">
        <v>957</v>
      </c>
      <c r="D2145" s="296">
        <v>10000.0</v>
      </c>
      <c r="E2145" s="295" t="s">
        <v>1017</v>
      </c>
      <c r="F2145" s="292"/>
      <c r="G2145" s="293" t="str">
        <f>IFNA(IF(VLOOKUP(RC_OUT[BLOCK],RC_IN[[BLOCK]:[BLOCK LOC]],2,FALSE)=0,"",VLOOKUP(RC_OUT[BLOCK],RC_IN[[BLOCK]:[BLOCK LOC]],2,FALSE)),"")</f>
        <v/>
      </c>
      <c r="I2145" s="263">
        <f>IFERROR(AVERAGEIFS(RC_IN[MC],RC_IN[BLOCK],RC_OUT[BLOCK]),"")</f>
        <v>11.34</v>
      </c>
      <c r="J2145" s="264">
        <f t="shared" si="54"/>
        <v>113400</v>
      </c>
      <c r="K2145" s="246"/>
      <c r="L2145" s="246"/>
      <c r="M2145" s="249"/>
      <c r="N2145" s="266">
        <f t="shared" si="53"/>
        <v>0</v>
      </c>
      <c r="O2145" s="247"/>
      <c r="P2145" s="247"/>
      <c r="Q2145" s="247"/>
      <c r="R2145" s="247"/>
      <c r="S2145" s="247"/>
      <c r="T2145" s="247"/>
      <c r="U2145" s="247"/>
      <c r="V2145" s="247"/>
      <c r="W2145" s="247"/>
      <c r="X2145" s="247"/>
    </row>
    <row r="2146">
      <c r="A2146" s="294">
        <v>46163.0</v>
      </c>
      <c r="B2146" s="295" t="s">
        <v>1215</v>
      </c>
      <c r="C2146" s="295" t="s">
        <v>747</v>
      </c>
      <c r="D2146" s="296">
        <v>25394.0</v>
      </c>
      <c r="E2146" s="295" t="s">
        <v>1017</v>
      </c>
      <c r="F2146" s="292"/>
      <c r="G2146" s="293" t="str">
        <f>IFNA(IF(VLOOKUP(RC_OUT[BLOCK],RC_IN[[BLOCK]:[BLOCK LOC]],2,FALSE)=0,"",VLOOKUP(RC_OUT[BLOCK],RC_IN[[BLOCK]:[BLOCK LOC]],2,FALSE)),"")</f>
        <v>C-16A</v>
      </c>
      <c r="I2146" s="263">
        <f>IFERROR(AVERAGEIFS(RC_IN[MC],RC_IN[BLOCK],RC_OUT[BLOCK]),"")</f>
        <v>9.67</v>
      </c>
      <c r="J2146" s="264">
        <f t="shared" si="54"/>
        <v>245559.98</v>
      </c>
      <c r="K2146" s="246"/>
      <c r="L2146" s="246"/>
      <c r="M2146" s="249"/>
      <c r="N2146" s="266">
        <f t="shared" si="53"/>
        <v>0</v>
      </c>
      <c r="O2146" s="247"/>
      <c r="P2146" s="247"/>
      <c r="Q2146" s="247"/>
      <c r="R2146" s="247"/>
      <c r="S2146" s="247"/>
      <c r="T2146" s="247"/>
      <c r="U2146" s="247"/>
      <c r="V2146" s="247"/>
      <c r="W2146" s="247"/>
      <c r="X2146" s="247"/>
    </row>
    <row r="2147">
      <c r="A2147" s="294"/>
      <c r="B2147" s="295"/>
      <c r="C2147" s="295"/>
      <c r="D2147" s="296"/>
      <c r="E2147" s="295"/>
      <c r="F2147" s="292"/>
      <c r="G2147" s="293" t="str">
        <f>IFNA(IF(VLOOKUP(RC_OUT[BLOCK],RC_IN[[BLOCK]:[BLOCK LOC]],2,FALSE)=0,"",VLOOKUP(RC_OUT[BLOCK],RC_IN[[BLOCK]:[BLOCK LOC]],2,FALSE)),"")</f>
        <v/>
      </c>
      <c r="I2147" s="263" t="str">
        <f>IFERROR(AVERAGEIFS(RC_IN[MC],RC_IN[BLOCK],RC_OUT[BLOCK]),"")</f>
        <v/>
      </c>
      <c r="J2147" s="264">
        <f t="shared" si="54"/>
        <v>0</v>
      </c>
      <c r="K2147" s="246"/>
      <c r="L2147" s="246"/>
      <c r="M2147" s="249"/>
      <c r="N2147" s="266">
        <f t="shared" si="53"/>
        <v>0</v>
      </c>
      <c r="O2147" s="247"/>
      <c r="P2147" s="247"/>
      <c r="Q2147" s="247"/>
      <c r="R2147" s="247"/>
      <c r="S2147" s="247"/>
      <c r="T2147" s="247"/>
      <c r="U2147" s="247"/>
      <c r="V2147" s="247"/>
      <c r="W2147" s="247"/>
      <c r="X2147" s="247"/>
    </row>
    <row r="2148">
      <c r="A2148" s="294">
        <v>46164.0</v>
      </c>
      <c r="B2148" s="295" t="s">
        <v>1215</v>
      </c>
      <c r="C2148" s="295" t="s">
        <v>663</v>
      </c>
      <c r="D2148" s="296">
        <v>4618.0</v>
      </c>
      <c r="E2148" s="295" t="s">
        <v>1017</v>
      </c>
      <c r="F2148" s="292"/>
      <c r="G2148" s="293" t="str">
        <f>IFNA(IF(VLOOKUP(RC_OUT[BLOCK],RC_IN[[BLOCK]:[BLOCK LOC]],2,FALSE)=0,"",VLOOKUP(RC_OUT[BLOCK],RC_IN[[BLOCK]:[BLOCK LOC]],2,FALSE)),"")</f>
        <v>D-12B</v>
      </c>
      <c r="I2148" s="263">
        <f>IFERROR(AVERAGEIFS(RC_IN[MC],RC_IN[BLOCK],RC_OUT[BLOCK]),"")</f>
        <v>11.92</v>
      </c>
      <c r="J2148" s="264">
        <f t="shared" si="54"/>
        <v>55046.56</v>
      </c>
      <c r="K2148" s="246"/>
      <c r="L2148" s="246"/>
      <c r="M2148" s="249"/>
      <c r="N2148" s="266">
        <f t="shared" si="53"/>
        <v>0</v>
      </c>
      <c r="O2148" s="247"/>
      <c r="P2148" s="247"/>
      <c r="Q2148" s="247"/>
      <c r="R2148" s="247"/>
      <c r="S2148" s="247"/>
      <c r="T2148" s="247"/>
      <c r="U2148" s="247"/>
      <c r="V2148" s="247"/>
      <c r="W2148" s="247"/>
      <c r="X2148" s="247"/>
    </row>
    <row r="2149">
      <c r="A2149" s="294">
        <v>46164.0</v>
      </c>
      <c r="B2149" s="295" t="s">
        <v>1215</v>
      </c>
      <c r="C2149" s="295" t="s">
        <v>633</v>
      </c>
      <c r="D2149" s="296">
        <v>1158.0</v>
      </c>
      <c r="E2149" s="295" t="s">
        <v>1017</v>
      </c>
      <c r="F2149" s="292"/>
      <c r="G2149" s="293" t="str">
        <f>IFNA(IF(VLOOKUP(RC_OUT[BLOCK],RC_IN[[BLOCK]:[BLOCK LOC]],2,FALSE)=0,"",VLOOKUP(RC_OUT[BLOCK],RC_IN[[BLOCK]:[BLOCK LOC]],2,FALSE)),"")</f>
        <v>A-11B</v>
      </c>
      <c r="I2149" s="263">
        <f>IFERROR(AVERAGEIFS(RC_IN[MC],RC_IN[BLOCK],RC_OUT[BLOCK]),"")</f>
        <v>12.1525</v>
      </c>
      <c r="J2149" s="264">
        <f t="shared" si="54"/>
        <v>14072.595</v>
      </c>
      <c r="K2149" s="246"/>
      <c r="L2149" s="246"/>
      <c r="M2149" s="249"/>
      <c r="N2149" s="266">
        <f t="shared" si="53"/>
        <v>0</v>
      </c>
      <c r="O2149" s="247"/>
      <c r="P2149" s="247"/>
      <c r="Q2149" s="247"/>
      <c r="R2149" s="247"/>
      <c r="S2149" s="247"/>
      <c r="T2149" s="247"/>
      <c r="U2149" s="247"/>
      <c r="V2149" s="247"/>
      <c r="W2149" s="247"/>
      <c r="X2149" s="247"/>
    </row>
    <row r="2150">
      <c r="A2150" s="294">
        <v>46164.0</v>
      </c>
      <c r="B2150" s="295" t="s">
        <v>1215</v>
      </c>
      <c r="C2150" s="295" t="s">
        <v>957</v>
      </c>
      <c r="D2150" s="296">
        <v>5930.0</v>
      </c>
      <c r="E2150" s="295" t="s">
        <v>1017</v>
      </c>
      <c r="F2150" s="297" t="s">
        <v>1059</v>
      </c>
      <c r="G2150" s="293" t="str">
        <f>IFNA(IF(VLOOKUP(RC_OUT[BLOCK],RC_IN[[BLOCK]:[BLOCK LOC]],2,FALSE)=0,"",VLOOKUP(RC_OUT[BLOCK],RC_IN[[BLOCK]:[BLOCK LOC]],2,FALSE)),"")</f>
        <v/>
      </c>
      <c r="I2150" s="263">
        <f>IFERROR(AVERAGEIFS(RC_IN[MC],RC_IN[BLOCK],RC_OUT[BLOCK]),"")</f>
        <v>11.34</v>
      </c>
      <c r="J2150" s="264">
        <f t="shared" si="54"/>
        <v>67246.2</v>
      </c>
      <c r="K2150" s="246"/>
      <c r="L2150" s="246"/>
      <c r="M2150" s="249"/>
      <c r="N2150" s="266">
        <f t="shared" si="53"/>
        <v>0</v>
      </c>
      <c r="O2150" s="247"/>
      <c r="P2150" s="247"/>
      <c r="Q2150" s="247"/>
      <c r="R2150" s="247"/>
      <c r="S2150" s="247"/>
      <c r="T2150" s="247"/>
      <c r="U2150" s="247"/>
      <c r="V2150" s="247"/>
      <c r="W2150" s="247"/>
      <c r="X2150" s="247"/>
    </row>
    <row r="2151">
      <c r="A2151" s="294">
        <v>46164.0</v>
      </c>
      <c r="B2151" s="295" t="s">
        <v>1215</v>
      </c>
      <c r="C2151" s="295" t="s">
        <v>747</v>
      </c>
      <c r="D2151" s="296">
        <v>20202.0</v>
      </c>
      <c r="E2151" s="295" t="s">
        <v>1017</v>
      </c>
      <c r="F2151" s="297" t="s">
        <v>1059</v>
      </c>
      <c r="G2151" s="293" t="str">
        <f>IFNA(IF(VLOOKUP(RC_OUT[BLOCK],RC_IN[[BLOCK]:[BLOCK LOC]],2,FALSE)=0,"",VLOOKUP(RC_OUT[BLOCK],RC_IN[[BLOCK]:[BLOCK LOC]],2,FALSE)),"")</f>
        <v>C-16A</v>
      </c>
      <c r="I2151" s="263">
        <f>IFERROR(AVERAGEIFS(RC_IN[MC],RC_IN[BLOCK],RC_OUT[BLOCK]),"")</f>
        <v>9.67</v>
      </c>
      <c r="J2151" s="264">
        <f t="shared" si="54"/>
        <v>195353.34</v>
      </c>
      <c r="K2151" s="246"/>
      <c r="L2151" s="246"/>
      <c r="M2151" s="249"/>
      <c r="N2151" s="266">
        <f t="shared" si="53"/>
        <v>0</v>
      </c>
      <c r="O2151" s="247"/>
      <c r="P2151" s="247"/>
      <c r="Q2151" s="247"/>
      <c r="R2151" s="247"/>
      <c r="S2151" s="247"/>
      <c r="T2151" s="247"/>
      <c r="U2151" s="247"/>
      <c r="V2151" s="247"/>
      <c r="W2151" s="247"/>
      <c r="X2151" s="247"/>
    </row>
    <row r="2152">
      <c r="A2152" s="294"/>
      <c r="B2152" s="295"/>
      <c r="C2152" s="295"/>
      <c r="D2152" s="296"/>
      <c r="E2152" s="295"/>
      <c r="F2152" s="292"/>
      <c r="G2152" s="293" t="str">
        <f>IFNA(IF(VLOOKUP(RC_OUT[BLOCK],RC_IN[[BLOCK]:[BLOCK LOC]],2,FALSE)=0,"",VLOOKUP(RC_OUT[BLOCK],RC_IN[[BLOCK]:[BLOCK LOC]],2,FALSE)),"")</f>
        <v/>
      </c>
      <c r="I2152" s="263" t="str">
        <f>IFERROR(AVERAGEIFS(RC_IN[MC],RC_IN[BLOCK],RC_OUT[BLOCK]),"")</f>
        <v/>
      </c>
      <c r="J2152" s="264">
        <f t="shared" si="54"/>
        <v>0</v>
      </c>
      <c r="K2152" s="246"/>
      <c r="L2152" s="246"/>
      <c r="M2152" s="249"/>
      <c r="N2152" s="266">
        <f t="shared" si="53"/>
        <v>0</v>
      </c>
      <c r="O2152" s="247"/>
      <c r="P2152" s="247"/>
      <c r="Q2152" s="247"/>
      <c r="R2152" s="247"/>
      <c r="S2152" s="247"/>
      <c r="T2152" s="247"/>
      <c r="U2152" s="247"/>
      <c r="V2152" s="247"/>
      <c r="W2152" s="247"/>
      <c r="X2152" s="247"/>
    </row>
    <row r="2153">
      <c r="A2153" s="294">
        <v>46165.0</v>
      </c>
      <c r="B2153" s="295" t="s">
        <v>1215</v>
      </c>
      <c r="C2153" s="295" t="s">
        <v>663</v>
      </c>
      <c r="D2153" s="296">
        <v>24073.0</v>
      </c>
      <c r="E2153" s="295" t="s">
        <v>1017</v>
      </c>
      <c r="F2153" s="292"/>
      <c r="G2153" s="293" t="str">
        <f>IFNA(IF(VLOOKUP(RC_OUT[BLOCK],RC_IN[[BLOCK]:[BLOCK LOC]],2,FALSE)=0,"",VLOOKUP(RC_OUT[BLOCK],RC_IN[[BLOCK]:[BLOCK LOC]],2,FALSE)),"")</f>
        <v>D-12B</v>
      </c>
      <c r="I2153" s="263">
        <f>IFERROR(AVERAGEIFS(RC_IN[MC],RC_IN[BLOCK],RC_OUT[BLOCK]),"")</f>
        <v>11.92</v>
      </c>
      <c r="J2153" s="264">
        <f t="shared" si="54"/>
        <v>286950.16</v>
      </c>
      <c r="K2153" s="246"/>
      <c r="L2153" s="246"/>
      <c r="M2153" s="249"/>
      <c r="N2153" s="266">
        <f t="shared" si="53"/>
        <v>0</v>
      </c>
      <c r="O2153" s="247"/>
      <c r="P2153" s="247"/>
      <c r="Q2153" s="247"/>
      <c r="R2153" s="247"/>
      <c r="S2153" s="247"/>
      <c r="T2153" s="247"/>
      <c r="U2153" s="247"/>
      <c r="V2153" s="247"/>
      <c r="W2153" s="247"/>
      <c r="X2153" s="247"/>
    </row>
    <row r="2154">
      <c r="A2154" s="294">
        <v>46165.0</v>
      </c>
      <c r="B2154" s="295" t="s">
        <v>1215</v>
      </c>
      <c r="C2154" s="295" t="s">
        <v>633</v>
      </c>
      <c r="D2154" s="296">
        <v>1302.0</v>
      </c>
      <c r="E2154" s="295" t="s">
        <v>1017</v>
      </c>
      <c r="F2154" s="292"/>
      <c r="G2154" s="293" t="str">
        <f>IFNA(IF(VLOOKUP(RC_OUT[BLOCK],RC_IN[[BLOCK]:[BLOCK LOC]],2,FALSE)=0,"",VLOOKUP(RC_OUT[BLOCK],RC_IN[[BLOCK]:[BLOCK LOC]],2,FALSE)),"")</f>
        <v>A-11B</v>
      </c>
      <c r="I2154" s="263">
        <f>IFERROR(AVERAGEIFS(RC_IN[MC],RC_IN[BLOCK],RC_OUT[BLOCK]),"")</f>
        <v>12.1525</v>
      </c>
      <c r="J2154" s="264">
        <f t="shared" si="54"/>
        <v>15822.555</v>
      </c>
      <c r="K2154" s="246"/>
      <c r="L2154" s="246"/>
      <c r="M2154" s="249"/>
      <c r="N2154" s="266">
        <f t="shared" si="53"/>
        <v>0</v>
      </c>
      <c r="O2154" s="247"/>
      <c r="P2154" s="247"/>
      <c r="Q2154" s="247"/>
      <c r="R2154" s="247"/>
      <c r="S2154" s="247"/>
      <c r="T2154" s="247"/>
      <c r="U2154" s="247"/>
      <c r="V2154" s="247"/>
      <c r="W2154" s="247"/>
      <c r="X2154" s="247"/>
    </row>
    <row r="2155">
      <c r="A2155" s="294">
        <v>46165.0</v>
      </c>
      <c r="B2155" s="295" t="s">
        <v>1215</v>
      </c>
      <c r="C2155" s="295" t="s">
        <v>959</v>
      </c>
      <c r="D2155" s="296">
        <v>15000.0</v>
      </c>
      <c r="E2155" s="295" t="s">
        <v>1017</v>
      </c>
      <c r="F2155" s="292"/>
      <c r="G2155" s="293" t="str">
        <f>IFNA(IF(VLOOKUP(RC_OUT[BLOCK],RC_IN[[BLOCK]:[BLOCK LOC]],2,FALSE)=0,"",VLOOKUP(RC_OUT[BLOCK],RC_IN[[BLOCK]:[BLOCK LOC]],2,FALSE)),"")</f>
        <v/>
      </c>
      <c r="I2155" s="263">
        <f>IFERROR(AVERAGEIFS(RC_IN[MC],RC_IN[BLOCK],RC_OUT[BLOCK]),"")</f>
        <v>10.07</v>
      </c>
      <c r="J2155" s="264">
        <f t="shared" si="54"/>
        <v>151050</v>
      </c>
      <c r="K2155" s="246"/>
      <c r="L2155" s="246"/>
      <c r="M2155" s="249"/>
      <c r="N2155" s="266">
        <f t="shared" si="53"/>
        <v>0</v>
      </c>
      <c r="O2155" s="247"/>
      <c r="P2155" s="247"/>
      <c r="Q2155" s="247"/>
      <c r="R2155" s="247"/>
      <c r="S2155" s="247"/>
      <c r="T2155" s="247"/>
      <c r="U2155" s="247"/>
      <c r="V2155" s="247"/>
      <c r="W2155" s="247"/>
      <c r="X2155" s="247"/>
    </row>
    <row r="2156">
      <c r="A2156" s="294">
        <v>46165.0</v>
      </c>
      <c r="B2156" s="295" t="s">
        <v>1215</v>
      </c>
      <c r="C2156" s="295" t="s">
        <v>790</v>
      </c>
      <c r="D2156" s="296">
        <v>19681.0</v>
      </c>
      <c r="E2156" s="295" t="s">
        <v>1017</v>
      </c>
      <c r="F2156" s="292"/>
      <c r="G2156" s="293" t="str">
        <f>IFNA(IF(VLOOKUP(RC_OUT[BLOCK],RC_IN[[BLOCK]:[BLOCK LOC]],2,FALSE)=0,"",VLOOKUP(RC_OUT[BLOCK],RC_IN[[BLOCK]:[BLOCK LOC]],2,FALSE)),"")</f>
        <v>C-10A</v>
      </c>
      <c r="I2156" s="263">
        <f>IFERROR(AVERAGEIFS(RC_IN[MC],RC_IN[BLOCK],RC_OUT[BLOCK]),"")</f>
        <v>10.705</v>
      </c>
      <c r="J2156" s="264">
        <f t="shared" si="54"/>
        <v>210685.105</v>
      </c>
      <c r="K2156" s="246"/>
      <c r="L2156" s="246"/>
      <c r="M2156" s="249"/>
      <c r="N2156" s="266">
        <f t="shared" si="53"/>
        <v>0</v>
      </c>
      <c r="O2156" s="247"/>
      <c r="P2156" s="247"/>
      <c r="Q2156" s="247"/>
      <c r="R2156" s="247"/>
      <c r="S2156" s="247"/>
      <c r="T2156" s="247"/>
      <c r="U2156" s="247"/>
      <c r="V2156" s="247"/>
      <c r="W2156" s="247"/>
      <c r="X2156" s="247"/>
    </row>
    <row r="2157">
      <c r="A2157" s="294"/>
      <c r="B2157" s="295"/>
      <c r="C2157" s="295"/>
      <c r="D2157" s="296"/>
      <c r="E2157" s="295"/>
      <c r="F2157" s="292"/>
      <c r="G2157" s="293" t="str">
        <f>IFNA(IF(VLOOKUP(RC_OUT[BLOCK],RC_IN[[BLOCK]:[BLOCK LOC]],2,FALSE)=0,"",VLOOKUP(RC_OUT[BLOCK],RC_IN[[BLOCK]:[BLOCK LOC]],2,FALSE)),"")</f>
        <v/>
      </c>
      <c r="I2157" s="263" t="str">
        <f>IFERROR(AVERAGEIFS(RC_IN[MC],RC_IN[BLOCK],RC_OUT[BLOCK]),"")</f>
        <v/>
      </c>
      <c r="J2157" s="264">
        <f t="shared" si="54"/>
        <v>0</v>
      </c>
      <c r="K2157" s="246"/>
      <c r="L2157" s="246"/>
      <c r="M2157" s="249"/>
      <c r="N2157" s="266">
        <f t="shared" si="53"/>
        <v>0</v>
      </c>
      <c r="O2157" s="247"/>
      <c r="P2157" s="247"/>
      <c r="Q2157" s="247"/>
      <c r="R2157" s="247"/>
      <c r="S2157" s="247"/>
      <c r="T2157" s="247"/>
      <c r="U2157" s="247"/>
      <c r="V2157" s="247"/>
      <c r="W2157" s="247"/>
      <c r="X2157" s="247"/>
    </row>
    <row r="2158">
      <c r="A2158" s="294">
        <v>46167.0</v>
      </c>
      <c r="B2158" s="295" t="s">
        <v>1215</v>
      </c>
      <c r="C2158" s="295" t="s">
        <v>663</v>
      </c>
      <c r="D2158" s="296">
        <v>1233.0</v>
      </c>
      <c r="E2158" s="295" t="s">
        <v>1017</v>
      </c>
      <c r="F2158" s="292"/>
      <c r="G2158" s="293" t="str">
        <f>IFNA(IF(VLOOKUP(RC_OUT[BLOCK],RC_IN[[BLOCK]:[BLOCK LOC]],2,FALSE)=0,"",VLOOKUP(RC_OUT[BLOCK],RC_IN[[BLOCK]:[BLOCK LOC]],2,FALSE)),"")</f>
        <v>D-12B</v>
      </c>
      <c r="I2158" s="263">
        <f>IFERROR(AVERAGEIFS(RC_IN[MC],RC_IN[BLOCK],RC_OUT[BLOCK]),"")</f>
        <v>11.92</v>
      </c>
      <c r="J2158" s="264">
        <f t="shared" si="54"/>
        <v>14697.36</v>
      </c>
      <c r="K2158" s="246"/>
      <c r="L2158" s="246"/>
      <c r="M2158" s="249"/>
      <c r="N2158" s="266">
        <f t="shared" si="53"/>
        <v>0</v>
      </c>
      <c r="O2158" s="247"/>
      <c r="P2158" s="247"/>
      <c r="Q2158" s="247"/>
      <c r="R2158" s="247"/>
      <c r="S2158" s="247"/>
      <c r="T2158" s="247"/>
      <c r="U2158" s="247"/>
      <c r="V2158" s="247"/>
      <c r="W2158" s="247"/>
      <c r="X2158" s="247"/>
    </row>
    <row r="2159">
      <c r="A2159" s="294">
        <v>46167.0</v>
      </c>
      <c r="B2159" s="295" t="s">
        <v>1215</v>
      </c>
      <c r="C2159" s="295" t="s">
        <v>633</v>
      </c>
      <c r="D2159" s="296">
        <v>1140.0</v>
      </c>
      <c r="E2159" s="295" t="s">
        <v>1017</v>
      </c>
      <c r="F2159" s="292"/>
      <c r="G2159" s="293" t="str">
        <f>IFNA(IF(VLOOKUP(RC_OUT[BLOCK],RC_IN[[BLOCK]:[BLOCK LOC]],2,FALSE)=0,"",VLOOKUP(RC_OUT[BLOCK],RC_IN[[BLOCK]:[BLOCK LOC]],2,FALSE)),"")</f>
        <v>A-11B</v>
      </c>
      <c r="I2159" s="263">
        <f>IFERROR(AVERAGEIFS(RC_IN[MC],RC_IN[BLOCK],RC_OUT[BLOCK]),"")</f>
        <v>12.1525</v>
      </c>
      <c r="J2159" s="264">
        <f t="shared" si="54"/>
        <v>13853.85</v>
      </c>
      <c r="K2159" s="246"/>
      <c r="L2159" s="246"/>
      <c r="M2159" s="249"/>
      <c r="N2159" s="266">
        <f t="shared" si="53"/>
        <v>0</v>
      </c>
      <c r="O2159" s="247"/>
      <c r="P2159" s="247"/>
      <c r="Q2159" s="247"/>
      <c r="R2159" s="247"/>
      <c r="S2159" s="247"/>
      <c r="T2159" s="247"/>
      <c r="U2159" s="247"/>
      <c r="V2159" s="247"/>
      <c r="W2159" s="247"/>
      <c r="X2159" s="247"/>
    </row>
    <row r="2160">
      <c r="A2160" s="294">
        <v>46167.0</v>
      </c>
      <c r="B2160" s="295" t="s">
        <v>1215</v>
      </c>
      <c r="C2160" s="295" t="s">
        <v>959</v>
      </c>
      <c r="D2160" s="296">
        <v>5060.0</v>
      </c>
      <c r="E2160" s="295" t="s">
        <v>1017</v>
      </c>
      <c r="F2160" s="297" t="s">
        <v>1059</v>
      </c>
      <c r="G2160" s="293" t="str">
        <f>IFNA(IF(VLOOKUP(RC_OUT[BLOCK],RC_IN[[BLOCK]:[BLOCK LOC]],2,FALSE)=0,"",VLOOKUP(RC_OUT[BLOCK],RC_IN[[BLOCK]:[BLOCK LOC]],2,FALSE)),"")</f>
        <v/>
      </c>
      <c r="I2160" s="263">
        <f>IFERROR(AVERAGEIFS(RC_IN[MC],RC_IN[BLOCK],RC_OUT[BLOCK]),"")</f>
        <v>10.07</v>
      </c>
      <c r="J2160" s="264">
        <f t="shared" si="54"/>
        <v>50954.2</v>
      </c>
      <c r="K2160" s="246"/>
      <c r="L2160" s="246"/>
      <c r="M2160" s="249"/>
      <c r="N2160" s="266">
        <f t="shared" si="53"/>
        <v>0</v>
      </c>
      <c r="O2160" s="247"/>
      <c r="P2160" s="247"/>
      <c r="Q2160" s="247"/>
      <c r="R2160" s="247"/>
      <c r="S2160" s="247"/>
      <c r="T2160" s="247"/>
      <c r="U2160" s="247"/>
      <c r="V2160" s="247"/>
      <c r="W2160" s="247"/>
      <c r="X2160" s="247"/>
    </row>
    <row r="2161">
      <c r="A2161" s="294">
        <v>46167.0</v>
      </c>
      <c r="B2161" s="295" t="s">
        <v>1215</v>
      </c>
      <c r="C2161" s="295" t="s">
        <v>790</v>
      </c>
      <c r="D2161" s="296">
        <v>27712.0</v>
      </c>
      <c r="E2161" s="295" t="s">
        <v>1017</v>
      </c>
      <c r="F2161" s="292"/>
      <c r="G2161" s="293" t="str">
        <f>IFNA(IF(VLOOKUP(RC_OUT[BLOCK],RC_IN[[BLOCK]:[BLOCK LOC]],2,FALSE)=0,"",VLOOKUP(RC_OUT[BLOCK],RC_IN[[BLOCK]:[BLOCK LOC]],2,FALSE)),"")</f>
        <v>C-10A</v>
      </c>
      <c r="I2161" s="263">
        <f>IFERROR(AVERAGEIFS(RC_IN[MC],RC_IN[BLOCK],RC_OUT[BLOCK]),"")</f>
        <v>10.705</v>
      </c>
      <c r="J2161" s="264">
        <f t="shared" si="54"/>
        <v>296656.96</v>
      </c>
      <c r="K2161" s="246"/>
      <c r="L2161" s="246"/>
      <c r="M2161" s="249"/>
      <c r="N2161" s="266">
        <f t="shared" si="53"/>
        <v>0</v>
      </c>
      <c r="O2161" s="247"/>
      <c r="P2161" s="247"/>
      <c r="Q2161" s="247"/>
      <c r="R2161" s="247"/>
      <c r="S2161" s="247"/>
      <c r="T2161" s="247"/>
      <c r="U2161" s="247"/>
      <c r="V2161" s="247"/>
      <c r="W2161" s="247"/>
      <c r="X2161" s="247"/>
    </row>
    <row r="2162">
      <c r="A2162" s="294"/>
      <c r="B2162" s="295"/>
      <c r="C2162" s="295"/>
      <c r="D2162" s="296"/>
      <c r="E2162" s="295"/>
      <c r="F2162" s="292"/>
      <c r="G2162" s="293" t="str">
        <f>IFNA(IF(VLOOKUP(RC_OUT[BLOCK],RC_IN[[BLOCK]:[BLOCK LOC]],2,FALSE)=0,"",VLOOKUP(RC_OUT[BLOCK],RC_IN[[BLOCK]:[BLOCK LOC]],2,FALSE)),"")</f>
        <v/>
      </c>
      <c r="I2162" s="263" t="str">
        <f>IFERROR(AVERAGEIFS(RC_IN[MC],RC_IN[BLOCK],RC_OUT[BLOCK]),"")</f>
        <v/>
      </c>
      <c r="J2162" s="264">
        <f t="shared" si="54"/>
        <v>0</v>
      </c>
      <c r="K2162" s="246"/>
      <c r="L2162" s="246"/>
      <c r="M2162" s="249"/>
      <c r="N2162" s="266">
        <f t="shared" si="53"/>
        <v>0</v>
      </c>
      <c r="O2162" s="247"/>
      <c r="P2162" s="247"/>
      <c r="Q2162" s="247"/>
      <c r="R2162" s="247"/>
      <c r="S2162" s="247"/>
      <c r="T2162" s="247"/>
      <c r="U2162" s="247"/>
      <c r="V2162" s="247"/>
      <c r="W2162" s="247"/>
      <c r="X2162" s="247"/>
    </row>
    <row r="2163">
      <c r="A2163" s="294">
        <v>46168.0</v>
      </c>
      <c r="B2163" s="295" t="s">
        <v>1215</v>
      </c>
      <c r="C2163" s="295" t="s">
        <v>663</v>
      </c>
      <c r="D2163" s="296">
        <v>8823.0</v>
      </c>
      <c r="E2163" s="295" t="s">
        <v>1017</v>
      </c>
      <c r="F2163" s="297" t="s">
        <v>1059</v>
      </c>
      <c r="G2163" s="293" t="str">
        <f>IFNA(IF(VLOOKUP(RC_OUT[BLOCK],RC_IN[[BLOCK]:[BLOCK LOC]],2,FALSE)=0,"",VLOOKUP(RC_OUT[BLOCK],RC_IN[[BLOCK]:[BLOCK LOC]],2,FALSE)),"")</f>
        <v>D-12B</v>
      </c>
      <c r="I2163" s="263">
        <f>IFERROR(AVERAGEIFS(RC_IN[MC],RC_IN[BLOCK],RC_OUT[BLOCK]),"")</f>
        <v>11.92</v>
      </c>
      <c r="J2163" s="264">
        <f t="shared" si="54"/>
        <v>105170.16</v>
      </c>
      <c r="K2163" s="246"/>
      <c r="L2163" s="246"/>
      <c r="M2163" s="249"/>
      <c r="N2163" s="266">
        <f t="shared" si="53"/>
        <v>0</v>
      </c>
      <c r="O2163" s="247"/>
      <c r="P2163" s="247"/>
      <c r="Q2163" s="247"/>
      <c r="R2163" s="247"/>
      <c r="S2163" s="247"/>
      <c r="T2163" s="247"/>
      <c r="U2163" s="247"/>
      <c r="V2163" s="247"/>
      <c r="W2163" s="247"/>
      <c r="X2163" s="247"/>
    </row>
    <row r="2164">
      <c r="A2164" s="294">
        <v>46168.0</v>
      </c>
      <c r="B2164" s="295" t="s">
        <v>1215</v>
      </c>
      <c r="C2164" s="295" t="s">
        <v>633</v>
      </c>
      <c r="D2164" s="296">
        <v>1184.0</v>
      </c>
      <c r="E2164" s="295" t="s">
        <v>1017</v>
      </c>
      <c r="F2164" s="292"/>
      <c r="G2164" s="293" t="str">
        <f>IFNA(IF(VLOOKUP(RC_OUT[BLOCK],RC_IN[[BLOCK]:[BLOCK LOC]],2,FALSE)=0,"",VLOOKUP(RC_OUT[BLOCK],RC_IN[[BLOCK]:[BLOCK LOC]],2,FALSE)),"")</f>
        <v>A-11B</v>
      </c>
      <c r="I2164" s="263">
        <f>IFERROR(AVERAGEIFS(RC_IN[MC],RC_IN[BLOCK],RC_OUT[BLOCK]),"")</f>
        <v>12.1525</v>
      </c>
      <c r="J2164" s="264">
        <f t="shared" si="54"/>
        <v>14388.56</v>
      </c>
      <c r="K2164" s="246"/>
      <c r="L2164" s="246"/>
      <c r="M2164" s="249"/>
      <c r="N2164" s="266">
        <f t="shared" si="53"/>
        <v>0</v>
      </c>
      <c r="O2164" s="247"/>
      <c r="P2164" s="247"/>
      <c r="Q2164" s="247"/>
      <c r="R2164" s="247"/>
      <c r="S2164" s="247"/>
      <c r="T2164" s="247"/>
      <c r="U2164" s="247"/>
      <c r="V2164" s="247"/>
      <c r="W2164" s="247"/>
      <c r="X2164" s="247"/>
    </row>
    <row r="2165">
      <c r="A2165" s="294">
        <v>46168.0</v>
      </c>
      <c r="B2165" s="295" t="s">
        <v>1215</v>
      </c>
      <c r="C2165" s="295" t="s">
        <v>970</v>
      </c>
      <c r="D2165" s="296">
        <v>6497.0</v>
      </c>
      <c r="E2165" s="295" t="s">
        <v>1017</v>
      </c>
      <c r="F2165" s="292"/>
      <c r="G2165" s="293" t="str">
        <f>IFNA(IF(VLOOKUP(RC_OUT[BLOCK],RC_IN[[BLOCK]:[BLOCK LOC]],2,FALSE)=0,"",VLOOKUP(RC_OUT[BLOCK],RC_IN[[BLOCK]:[BLOCK LOC]],2,FALSE)),"")</f>
        <v/>
      </c>
      <c r="I2165" s="263">
        <f>IFERROR(AVERAGEIFS(RC_IN[MC],RC_IN[BLOCK],RC_OUT[BLOCK]),"")</f>
        <v>11.67</v>
      </c>
      <c r="J2165" s="264">
        <f t="shared" si="54"/>
        <v>75819.99</v>
      </c>
      <c r="K2165" s="246"/>
      <c r="L2165" s="246"/>
      <c r="M2165" s="249"/>
      <c r="N2165" s="266">
        <f t="shared" si="53"/>
        <v>0</v>
      </c>
      <c r="O2165" s="247"/>
      <c r="P2165" s="247"/>
      <c r="Q2165" s="247"/>
      <c r="R2165" s="247"/>
      <c r="S2165" s="247"/>
      <c r="T2165" s="247"/>
      <c r="U2165" s="247"/>
      <c r="V2165" s="247"/>
      <c r="W2165" s="247"/>
      <c r="X2165" s="247"/>
    </row>
    <row r="2166">
      <c r="A2166" s="294">
        <v>46168.0</v>
      </c>
      <c r="B2166" s="295" t="s">
        <v>1215</v>
      </c>
      <c r="C2166" s="295" t="s">
        <v>790</v>
      </c>
      <c r="D2166" s="296">
        <v>6000.0</v>
      </c>
      <c r="E2166" s="295" t="s">
        <v>1017</v>
      </c>
      <c r="F2166" s="297" t="s">
        <v>1059</v>
      </c>
      <c r="G2166" s="293" t="str">
        <f>IFNA(IF(VLOOKUP(RC_OUT[BLOCK],RC_IN[[BLOCK]:[BLOCK LOC]],2,FALSE)=0,"",VLOOKUP(RC_OUT[BLOCK],RC_IN[[BLOCK]:[BLOCK LOC]],2,FALSE)),"")</f>
        <v>C-10A</v>
      </c>
      <c r="I2166" s="263">
        <f>IFERROR(AVERAGEIFS(RC_IN[MC],RC_IN[BLOCK],RC_OUT[BLOCK]),"")</f>
        <v>10.705</v>
      </c>
      <c r="J2166" s="264">
        <f t="shared" si="54"/>
        <v>64230</v>
      </c>
      <c r="K2166" s="246"/>
      <c r="L2166" s="246"/>
      <c r="M2166" s="249"/>
      <c r="N2166" s="266">
        <f t="shared" si="53"/>
        <v>0</v>
      </c>
      <c r="O2166" s="247"/>
      <c r="P2166" s="247"/>
      <c r="Q2166" s="247"/>
      <c r="R2166" s="247"/>
      <c r="S2166" s="247"/>
      <c r="T2166" s="247"/>
      <c r="U2166" s="247"/>
      <c r="V2166" s="247"/>
      <c r="W2166" s="247"/>
      <c r="X2166" s="247"/>
    </row>
    <row r="2167">
      <c r="A2167" s="294">
        <v>46168.0</v>
      </c>
      <c r="B2167" s="295" t="s">
        <v>1215</v>
      </c>
      <c r="C2167" s="295" t="s">
        <v>876</v>
      </c>
      <c r="D2167" s="296">
        <v>22663.0</v>
      </c>
      <c r="E2167" s="295" t="s">
        <v>1017</v>
      </c>
      <c r="F2167" s="292"/>
      <c r="G2167" s="293" t="str">
        <f>IFNA(IF(VLOOKUP(RC_OUT[BLOCK],RC_IN[[BLOCK]:[BLOCK LOC]],2,FALSE)=0,"",VLOOKUP(RC_OUT[BLOCK],RC_IN[[BLOCK]:[BLOCK LOC]],2,FALSE)),"")</f>
        <v>D-12A</v>
      </c>
      <c r="I2167" s="263">
        <f>IFERROR(AVERAGEIFS(RC_IN[MC],RC_IN[BLOCK],RC_OUT[BLOCK]),"")</f>
        <v>11.87</v>
      </c>
      <c r="J2167" s="264">
        <f t="shared" si="54"/>
        <v>269009.81</v>
      </c>
      <c r="K2167" s="246"/>
      <c r="L2167" s="246"/>
      <c r="M2167" s="249"/>
      <c r="N2167" s="266">
        <f t="shared" si="53"/>
        <v>0</v>
      </c>
      <c r="O2167" s="247"/>
      <c r="P2167" s="247"/>
      <c r="Q2167" s="247"/>
      <c r="R2167" s="247"/>
      <c r="S2167" s="247"/>
      <c r="T2167" s="247"/>
      <c r="U2167" s="247"/>
      <c r="V2167" s="247"/>
      <c r="W2167" s="247"/>
      <c r="X2167" s="247"/>
    </row>
    <row r="2168">
      <c r="A2168" s="294"/>
      <c r="B2168" s="295"/>
      <c r="C2168" s="295"/>
      <c r="D2168" s="296"/>
      <c r="E2168" s="295"/>
      <c r="F2168" s="292"/>
      <c r="G2168" s="293" t="str">
        <f>IFNA(IF(VLOOKUP(RC_OUT[BLOCK],RC_IN[[BLOCK]:[BLOCK LOC]],2,FALSE)=0,"",VLOOKUP(RC_OUT[BLOCK],RC_IN[[BLOCK]:[BLOCK LOC]],2,FALSE)),"")</f>
        <v/>
      </c>
      <c r="I2168" s="263" t="str">
        <f>IFERROR(AVERAGEIFS(RC_IN[MC],RC_IN[BLOCK],RC_OUT[BLOCK]),"")</f>
        <v/>
      </c>
      <c r="J2168" s="264">
        <f t="shared" si="54"/>
        <v>0</v>
      </c>
      <c r="K2168" s="246"/>
      <c r="L2168" s="246"/>
      <c r="M2168" s="249"/>
      <c r="N2168" s="266">
        <f t="shared" si="53"/>
        <v>0</v>
      </c>
      <c r="O2168" s="247"/>
      <c r="P2168" s="247"/>
      <c r="Q2168" s="247"/>
      <c r="R2168" s="247"/>
      <c r="S2168" s="247"/>
      <c r="T2168" s="247"/>
      <c r="U2168" s="247"/>
      <c r="V2168" s="247"/>
      <c r="W2168" s="247"/>
      <c r="X2168" s="247"/>
    </row>
    <row r="2169">
      <c r="A2169" s="294">
        <v>46169.0</v>
      </c>
      <c r="B2169" s="295" t="s">
        <v>1215</v>
      </c>
      <c r="C2169" s="295" t="s">
        <v>906</v>
      </c>
      <c r="D2169" s="296">
        <v>12563.0</v>
      </c>
      <c r="E2169" s="295" t="s">
        <v>1017</v>
      </c>
      <c r="F2169" s="292"/>
      <c r="G2169" s="293" t="str">
        <f>IFNA(IF(VLOOKUP(RC_OUT[BLOCK],RC_IN[[BLOCK]:[BLOCK LOC]],2,FALSE)=0,"",VLOOKUP(RC_OUT[BLOCK],RC_IN[[BLOCK]:[BLOCK LOC]],2,FALSE)),"")</f>
        <v>PCB-16A</v>
      </c>
      <c r="I2169" s="263">
        <f>IFERROR(AVERAGEIFS(RC_IN[MC],RC_IN[BLOCK],RC_OUT[BLOCK]),"")</f>
        <v>8.185714286</v>
      </c>
      <c r="J2169" s="264">
        <f t="shared" si="54"/>
        <v>102837.1286</v>
      </c>
      <c r="K2169" s="246"/>
      <c r="L2169" s="246"/>
      <c r="M2169" s="249"/>
      <c r="N2169" s="266">
        <f t="shared" si="53"/>
        <v>0</v>
      </c>
      <c r="O2169" s="247"/>
      <c r="P2169" s="247"/>
      <c r="Q2169" s="247"/>
      <c r="R2169" s="247"/>
      <c r="S2169" s="247"/>
      <c r="T2169" s="247"/>
      <c r="U2169" s="247"/>
      <c r="V2169" s="247"/>
      <c r="W2169" s="247"/>
      <c r="X2169" s="247"/>
    </row>
    <row r="2170">
      <c r="A2170" s="294">
        <v>46169.0</v>
      </c>
      <c r="B2170" s="295" t="s">
        <v>1215</v>
      </c>
      <c r="C2170" s="295" t="s">
        <v>633</v>
      </c>
      <c r="D2170" s="296">
        <v>1250.0</v>
      </c>
      <c r="E2170" s="295" t="s">
        <v>1017</v>
      </c>
      <c r="F2170" s="297" t="s">
        <v>1059</v>
      </c>
      <c r="G2170" s="293" t="str">
        <f>IFNA(IF(VLOOKUP(RC_OUT[BLOCK],RC_IN[[BLOCK]:[BLOCK LOC]],2,FALSE)=0,"",VLOOKUP(RC_OUT[BLOCK],RC_IN[[BLOCK]:[BLOCK LOC]],2,FALSE)),"")</f>
        <v>A-11B</v>
      </c>
      <c r="I2170" s="263">
        <f>IFERROR(AVERAGEIFS(RC_IN[MC],RC_IN[BLOCK],RC_OUT[BLOCK]),"")</f>
        <v>12.1525</v>
      </c>
      <c r="J2170" s="264">
        <f t="shared" si="54"/>
        <v>15190.625</v>
      </c>
      <c r="K2170" s="246"/>
      <c r="L2170" s="246"/>
      <c r="M2170" s="249"/>
      <c r="N2170" s="266">
        <f t="shared" si="53"/>
        <v>0</v>
      </c>
      <c r="O2170" s="247"/>
      <c r="P2170" s="247"/>
      <c r="Q2170" s="247"/>
      <c r="R2170" s="247"/>
      <c r="S2170" s="247"/>
      <c r="T2170" s="247"/>
      <c r="U2170" s="247"/>
      <c r="V2170" s="247"/>
      <c r="W2170" s="247"/>
      <c r="X2170" s="247"/>
    </row>
    <row r="2171">
      <c r="A2171" s="294">
        <v>46169.0</v>
      </c>
      <c r="B2171" s="295" t="s">
        <v>1215</v>
      </c>
      <c r="C2171" s="295" t="s">
        <v>970</v>
      </c>
      <c r="D2171" s="296">
        <v>13330.0</v>
      </c>
      <c r="E2171" s="295" t="s">
        <v>1017</v>
      </c>
      <c r="F2171" s="297" t="s">
        <v>1059</v>
      </c>
      <c r="G2171" s="293" t="str">
        <f>IFNA(IF(VLOOKUP(RC_OUT[BLOCK],RC_IN[[BLOCK]:[BLOCK LOC]],2,FALSE)=0,"",VLOOKUP(RC_OUT[BLOCK],RC_IN[[BLOCK]:[BLOCK LOC]],2,FALSE)),"")</f>
        <v/>
      </c>
      <c r="I2171" s="263">
        <f>IFERROR(AVERAGEIFS(RC_IN[MC],RC_IN[BLOCK],RC_OUT[BLOCK]),"")</f>
        <v>11.67</v>
      </c>
      <c r="J2171" s="264">
        <f t="shared" si="54"/>
        <v>155561.1</v>
      </c>
      <c r="K2171" s="246"/>
      <c r="L2171" s="246"/>
      <c r="M2171" s="249"/>
      <c r="N2171" s="266">
        <f t="shared" si="53"/>
        <v>0</v>
      </c>
      <c r="O2171" s="247"/>
      <c r="P2171" s="247"/>
      <c r="Q2171" s="247"/>
      <c r="R2171" s="247"/>
      <c r="S2171" s="247"/>
      <c r="T2171" s="247"/>
      <c r="U2171" s="247"/>
      <c r="V2171" s="247"/>
      <c r="W2171" s="247"/>
      <c r="X2171" s="247"/>
    </row>
    <row r="2172">
      <c r="A2172" s="294">
        <v>46169.0</v>
      </c>
      <c r="B2172" s="295" t="s">
        <v>1215</v>
      </c>
      <c r="C2172" s="295" t="s">
        <v>876</v>
      </c>
      <c r="D2172" s="296">
        <v>22537.0</v>
      </c>
      <c r="E2172" s="295" t="s">
        <v>1017</v>
      </c>
      <c r="F2172" s="297" t="s">
        <v>1059</v>
      </c>
      <c r="G2172" s="293" t="str">
        <f>IFNA(IF(VLOOKUP(RC_OUT[BLOCK],RC_IN[[BLOCK]:[BLOCK LOC]],2,FALSE)=0,"",VLOOKUP(RC_OUT[BLOCK],RC_IN[[BLOCK]:[BLOCK LOC]],2,FALSE)),"")</f>
        <v>D-12A</v>
      </c>
      <c r="I2172" s="263">
        <f>IFERROR(AVERAGEIFS(RC_IN[MC],RC_IN[BLOCK],RC_OUT[BLOCK]),"")</f>
        <v>11.87</v>
      </c>
      <c r="J2172" s="264">
        <f t="shared" si="54"/>
        <v>267514.19</v>
      </c>
      <c r="K2172" s="246"/>
      <c r="L2172" s="246"/>
      <c r="M2172" s="249"/>
      <c r="N2172" s="266">
        <f t="shared" si="53"/>
        <v>0</v>
      </c>
      <c r="O2172" s="247"/>
      <c r="P2172" s="247"/>
      <c r="Q2172" s="247"/>
      <c r="R2172" s="247"/>
      <c r="S2172" s="247"/>
      <c r="T2172" s="247"/>
      <c r="U2172" s="247"/>
      <c r="V2172" s="247"/>
      <c r="W2172" s="247"/>
      <c r="X2172" s="247"/>
    </row>
    <row r="2173">
      <c r="A2173" s="294">
        <v>46169.0</v>
      </c>
      <c r="B2173" s="295" t="s">
        <v>1215</v>
      </c>
      <c r="C2173" s="295" t="s">
        <v>795</v>
      </c>
      <c r="D2173" s="296">
        <v>15006.0</v>
      </c>
      <c r="E2173" s="295" t="s">
        <v>1017</v>
      </c>
      <c r="F2173" s="292"/>
      <c r="G2173" s="293" t="str">
        <f>IFNA(IF(VLOOKUP(RC_OUT[BLOCK],RC_IN[[BLOCK]:[BLOCK LOC]],2,FALSE)=0,"",VLOOKUP(RC_OUT[BLOCK],RC_IN[[BLOCK]:[BLOCK LOC]],2,FALSE)),"")</f>
        <v>C-10B</v>
      </c>
      <c r="I2173" s="263">
        <f>IFERROR(AVERAGEIFS(RC_IN[MC],RC_IN[BLOCK],RC_OUT[BLOCK]),"")</f>
        <v>9.7025</v>
      </c>
      <c r="J2173" s="264">
        <f t="shared" si="54"/>
        <v>145595.715</v>
      </c>
      <c r="K2173" s="246"/>
      <c r="L2173" s="246"/>
      <c r="M2173" s="249"/>
      <c r="N2173" s="266">
        <f t="shared" si="53"/>
        <v>0</v>
      </c>
      <c r="O2173" s="247"/>
      <c r="P2173" s="247"/>
      <c r="Q2173" s="247"/>
      <c r="R2173" s="247"/>
      <c r="S2173" s="247"/>
      <c r="T2173" s="247"/>
      <c r="U2173" s="247"/>
      <c r="V2173" s="247"/>
      <c r="W2173" s="247"/>
      <c r="X2173" s="247"/>
    </row>
    <row r="2174">
      <c r="A2174" s="294"/>
      <c r="B2174" s="295"/>
      <c r="C2174" s="295"/>
      <c r="D2174" s="296"/>
      <c r="E2174" s="295"/>
      <c r="F2174" s="292"/>
      <c r="G2174" s="293" t="str">
        <f>IFNA(IF(VLOOKUP(RC_OUT[BLOCK],RC_IN[[BLOCK]:[BLOCK LOC]],2,FALSE)=0,"",VLOOKUP(RC_OUT[BLOCK],RC_IN[[BLOCK]:[BLOCK LOC]],2,FALSE)),"")</f>
        <v/>
      </c>
      <c r="I2174" s="263" t="str">
        <f>IFERROR(AVERAGEIFS(RC_IN[MC],RC_IN[BLOCK],RC_OUT[BLOCK]),"")</f>
        <v/>
      </c>
      <c r="J2174" s="264">
        <f t="shared" si="54"/>
        <v>0</v>
      </c>
      <c r="K2174" s="246"/>
      <c r="L2174" s="246"/>
      <c r="M2174" s="249"/>
      <c r="N2174" s="266">
        <f t="shared" si="53"/>
        <v>0</v>
      </c>
      <c r="O2174" s="247"/>
      <c r="P2174" s="247"/>
      <c r="Q2174" s="247"/>
      <c r="R2174" s="247"/>
      <c r="S2174" s="247"/>
      <c r="T2174" s="247"/>
      <c r="U2174" s="247"/>
      <c r="V2174" s="247"/>
      <c r="W2174" s="247"/>
      <c r="X2174" s="247"/>
    </row>
    <row r="2175">
      <c r="A2175" s="294">
        <v>46170.0</v>
      </c>
      <c r="B2175" s="295" t="s">
        <v>1215</v>
      </c>
      <c r="C2175" s="295" t="s">
        <v>906</v>
      </c>
      <c r="D2175" s="296">
        <v>19898.0</v>
      </c>
      <c r="E2175" s="295" t="s">
        <v>1017</v>
      </c>
      <c r="F2175" s="297" t="s">
        <v>1059</v>
      </c>
      <c r="G2175" s="293" t="str">
        <f>IFNA(IF(VLOOKUP(RC_OUT[BLOCK],RC_IN[[BLOCK]:[BLOCK LOC]],2,FALSE)=0,"",VLOOKUP(RC_OUT[BLOCK],RC_IN[[BLOCK]:[BLOCK LOC]],2,FALSE)),"")</f>
        <v>PCB-16A</v>
      </c>
      <c r="I2175" s="263">
        <f>IFERROR(AVERAGEIFS(RC_IN[MC],RC_IN[BLOCK],RC_OUT[BLOCK]),"")</f>
        <v>8.185714286</v>
      </c>
      <c r="J2175" s="264">
        <f t="shared" si="54"/>
        <v>162879.3429</v>
      </c>
      <c r="K2175" s="246"/>
      <c r="L2175" s="246"/>
      <c r="M2175" s="249"/>
      <c r="N2175" s="266">
        <f t="shared" si="53"/>
        <v>0</v>
      </c>
      <c r="O2175" s="247"/>
      <c r="P2175" s="247"/>
      <c r="Q2175" s="247"/>
      <c r="R2175" s="247"/>
      <c r="S2175" s="247"/>
      <c r="T2175" s="247"/>
      <c r="U2175" s="247"/>
      <c r="V2175" s="247"/>
      <c r="W2175" s="247"/>
      <c r="X2175" s="247"/>
    </row>
    <row r="2176">
      <c r="A2176" s="294">
        <v>46170.0</v>
      </c>
      <c r="B2176" s="295" t="s">
        <v>1215</v>
      </c>
      <c r="C2176" s="295" t="s">
        <v>795</v>
      </c>
      <c r="D2176" s="296">
        <v>31837.0</v>
      </c>
      <c r="E2176" s="295" t="s">
        <v>1017</v>
      </c>
      <c r="F2176" s="297" t="s">
        <v>1059</v>
      </c>
      <c r="G2176" s="293" t="str">
        <f>IFNA(IF(VLOOKUP(RC_OUT[BLOCK],RC_IN[[BLOCK]:[BLOCK LOC]],2,FALSE)=0,"",VLOOKUP(RC_OUT[BLOCK],RC_IN[[BLOCK]:[BLOCK LOC]],2,FALSE)),"")</f>
        <v>C-10B</v>
      </c>
      <c r="I2176" s="263">
        <f>IFERROR(AVERAGEIFS(RC_IN[MC],RC_IN[BLOCK],RC_OUT[BLOCK]),"")</f>
        <v>9.7025</v>
      </c>
      <c r="J2176" s="264">
        <f t="shared" si="54"/>
        <v>308898.4925</v>
      </c>
      <c r="K2176" s="246"/>
      <c r="L2176" s="246"/>
      <c r="M2176" s="249"/>
      <c r="N2176" s="266">
        <f t="shared" si="53"/>
        <v>0</v>
      </c>
      <c r="O2176" s="247"/>
      <c r="P2176" s="247"/>
      <c r="Q2176" s="247"/>
      <c r="R2176" s="247"/>
      <c r="S2176" s="247"/>
      <c r="T2176" s="247"/>
      <c r="U2176" s="247"/>
      <c r="V2176" s="247"/>
      <c r="W2176" s="247"/>
      <c r="X2176" s="247"/>
    </row>
    <row r="2177">
      <c r="A2177" s="294">
        <v>46170.0</v>
      </c>
      <c r="B2177" s="295" t="s">
        <v>1215</v>
      </c>
      <c r="C2177" s="295" t="s">
        <v>601</v>
      </c>
      <c r="D2177" s="296">
        <v>4658.0</v>
      </c>
      <c r="E2177" s="295" t="s">
        <v>1017</v>
      </c>
      <c r="F2177" s="292"/>
      <c r="G2177" s="293" t="str">
        <f>IFNA(IF(VLOOKUP(RC_OUT[BLOCK],RC_IN[[BLOCK]:[BLOCK LOC]],2,FALSE)=0,"",VLOOKUP(RC_OUT[BLOCK],RC_IN[[BLOCK]:[BLOCK LOC]],2,FALSE)),"")</f>
        <v>A-9C</v>
      </c>
      <c r="I2177" s="263">
        <f>IFERROR(AVERAGEIFS(RC_IN[MC],RC_IN[BLOCK],RC_OUT[BLOCK]),"")</f>
        <v>9.858</v>
      </c>
      <c r="J2177" s="264">
        <f t="shared" si="54"/>
        <v>45918.564</v>
      </c>
      <c r="K2177" s="246"/>
      <c r="L2177" s="246"/>
      <c r="M2177" s="249"/>
      <c r="N2177" s="266">
        <f t="shared" si="53"/>
        <v>0</v>
      </c>
      <c r="O2177" s="247"/>
      <c r="P2177" s="247"/>
      <c r="Q2177" s="247"/>
      <c r="R2177" s="247"/>
      <c r="S2177" s="247"/>
      <c r="T2177" s="247"/>
      <c r="U2177" s="247"/>
      <c r="V2177" s="247"/>
      <c r="W2177" s="247"/>
      <c r="X2177" s="247"/>
    </row>
    <row r="2178">
      <c r="A2178" s="294"/>
      <c r="B2178" s="295"/>
      <c r="C2178" s="295"/>
      <c r="D2178" s="296"/>
      <c r="E2178" s="295"/>
      <c r="F2178" s="292"/>
      <c r="G2178" s="293" t="str">
        <f>IFNA(IF(VLOOKUP(RC_OUT[BLOCK],RC_IN[[BLOCK]:[BLOCK LOC]],2,FALSE)=0,"",VLOOKUP(RC_OUT[BLOCK],RC_IN[[BLOCK]:[BLOCK LOC]],2,FALSE)),"")</f>
        <v/>
      </c>
      <c r="I2178" s="263" t="str">
        <f>IFERROR(AVERAGEIFS(RC_IN[MC],RC_IN[BLOCK],RC_OUT[BLOCK]),"")</f>
        <v/>
      </c>
      <c r="J2178" s="264">
        <f t="shared" si="54"/>
        <v>0</v>
      </c>
      <c r="K2178" s="246"/>
      <c r="L2178" s="246"/>
      <c r="M2178" s="249"/>
      <c r="N2178" s="266">
        <f t="shared" si="53"/>
        <v>0</v>
      </c>
      <c r="O2178" s="247"/>
      <c r="P2178" s="247"/>
      <c r="Q2178" s="247"/>
      <c r="R2178" s="247"/>
      <c r="S2178" s="247"/>
      <c r="T2178" s="247"/>
      <c r="U2178" s="247"/>
      <c r="V2178" s="247"/>
      <c r="W2178" s="247"/>
      <c r="X2178" s="247"/>
    </row>
    <row r="2179">
      <c r="A2179" s="294">
        <v>46171.0</v>
      </c>
      <c r="B2179" s="295" t="s">
        <v>1215</v>
      </c>
      <c r="C2179" s="295" t="s">
        <v>601</v>
      </c>
      <c r="D2179" s="296">
        <v>11210.0</v>
      </c>
      <c r="E2179" s="295" t="s">
        <v>1017</v>
      </c>
      <c r="F2179" s="292"/>
      <c r="G2179" s="293" t="str">
        <f>IFNA(IF(VLOOKUP(RC_OUT[BLOCK],RC_IN[[BLOCK]:[BLOCK LOC]],2,FALSE)=0,"",VLOOKUP(RC_OUT[BLOCK],RC_IN[[BLOCK]:[BLOCK LOC]],2,FALSE)),"")</f>
        <v>A-9C</v>
      </c>
      <c r="I2179" s="263">
        <f>IFERROR(AVERAGEIFS(RC_IN[MC],RC_IN[BLOCK],RC_OUT[BLOCK]),"")</f>
        <v>9.858</v>
      </c>
      <c r="J2179" s="264">
        <f t="shared" si="54"/>
        <v>110508.18</v>
      </c>
      <c r="K2179" s="246"/>
      <c r="L2179" s="246"/>
      <c r="M2179" s="249"/>
      <c r="N2179" s="266">
        <f t="shared" si="53"/>
        <v>0</v>
      </c>
      <c r="O2179" s="247"/>
      <c r="P2179" s="247"/>
      <c r="Q2179" s="247"/>
      <c r="R2179" s="247"/>
      <c r="S2179" s="247"/>
      <c r="T2179" s="247"/>
      <c r="U2179" s="247"/>
      <c r="V2179" s="247"/>
      <c r="W2179" s="247"/>
      <c r="X2179" s="247"/>
    </row>
    <row r="2180">
      <c r="A2180" s="294"/>
      <c r="B2180" s="295"/>
      <c r="C2180" s="295"/>
      <c r="D2180" s="296"/>
      <c r="E2180" s="295"/>
      <c r="F2180" s="292"/>
      <c r="G2180" s="293" t="str">
        <f>IFNA(IF(VLOOKUP(RC_OUT[BLOCK],RC_IN[[BLOCK]:[BLOCK LOC]],2,FALSE)=0,"",VLOOKUP(RC_OUT[BLOCK],RC_IN[[BLOCK]:[BLOCK LOC]],2,FALSE)),"")</f>
        <v/>
      </c>
      <c r="I2180" s="263" t="str">
        <f>IFERROR(AVERAGEIFS(RC_IN[MC],RC_IN[BLOCK],RC_OUT[BLOCK]),"")</f>
        <v/>
      </c>
      <c r="J2180" s="264">
        <f t="shared" si="54"/>
        <v>0</v>
      </c>
      <c r="K2180" s="246"/>
      <c r="L2180" s="246"/>
      <c r="M2180" s="249"/>
      <c r="N2180" s="266">
        <f t="shared" si="53"/>
        <v>0</v>
      </c>
      <c r="O2180" s="247"/>
      <c r="P2180" s="247"/>
      <c r="Q2180" s="247"/>
      <c r="R2180" s="247"/>
      <c r="S2180" s="247"/>
      <c r="T2180" s="247"/>
      <c r="U2180" s="247"/>
      <c r="V2180" s="247"/>
      <c r="W2180" s="247"/>
      <c r="X2180" s="247"/>
    </row>
    <row r="2181">
      <c r="A2181" s="294">
        <v>46171.0</v>
      </c>
      <c r="B2181" s="295" t="s">
        <v>1238</v>
      </c>
      <c r="C2181" s="295" t="s">
        <v>601</v>
      </c>
      <c r="D2181" s="296">
        <v>10600.0</v>
      </c>
      <c r="E2181" s="295" t="s">
        <v>1017</v>
      </c>
      <c r="F2181" s="292"/>
      <c r="G2181" s="293" t="str">
        <f>IFNA(IF(VLOOKUP(RC_OUT[BLOCK],RC_IN[[BLOCK]:[BLOCK LOC]],2,FALSE)=0,"",VLOOKUP(RC_OUT[BLOCK],RC_IN[[BLOCK]:[BLOCK LOC]],2,FALSE)),"")</f>
        <v>A-9C</v>
      </c>
      <c r="I2181" s="263">
        <f>IFERROR(AVERAGEIFS(RC_IN[MC],RC_IN[BLOCK],RC_OUT[BLOCK]),"")</f>
        <v>9.858</v>
      </c>
      <c r="J2181" s="264">
        <f t="shared" si="54"/>
        <v>104494.8</v>
      </c>
      <c r="K2181" s="246"/>
      <c r="L2181" s="246"/>
      <c r="M2181" s="249"/>
      <c r="N2181" s="266">
        <f t="shared" si="53"/>
        <v>0</v>
      </c>
      <c r="O2181" s="247"/>
      <c r="P2181" s="247"/>
      <c r="Q2181" s="247"/>
      <c r="R2181" s="247"/>
      <c r="S2181" s="247"/>
      <c r="T2181" s="247"/>
      <c r="U2181" s="247"/>
      <c r="V2181" s="247"/>
      <c r="W2181" s="247"/>
      <c r="X2181" s="247"/>
    </row>
    <row r="2182">
      <c r="A2182" s="294"/>
      <c r="B2182" s="295"/>
      <c r="C2182" s="295"/>
      <c r="D2182" s="296"/>
      <c r="E2182" s="295"/>
      <c r="F2182" s="292"/>
      <c r="G2182" s="293" t="str">
        <f>IFNA(IF(VLOOKUP(RC_OUT[BLOCK],RC_IN[[BLOCK]:[BLOCK LOC]],2,FALSE)=0,"",VLOOKUP(RC_OUT[BLOCK],RC_IN[[BLOCK]:[BLOCK LOC]],2,FALSE)),"")</f>
        <v/>
      </c>
      <c r="I2182" s="263" t="str">
        <f>IFERROR(AVERAGEIFS(RC_IN[MC],RC_IN[BLOCK],RC_OUT[BLOCK]),"")</f>
        <v/>
      </c>
      <c r="J2182" s="264">
        <f t="shared" si="54"/>
        <v>0</v>
      </c>
      <c r="K2182" s="246"/>
      <c r="L2182" s="246"/>
      <c r="M2182" s="249"/>
      <c r="N2182" s="266">
        <f t="shared" si="53"/>
        <v>0</v>
      </c>
      <c r="O2182" s="247"/>
      <c r="P2182" s="247"/>
      <c r="Q2182" s="247"/>
      <c r="R2182" s="247"/>
      <c r="S2182" s="247"/>
      <c r="T2182" s="247"/>
      <c r="U2182" s="247"/>
      <c r="V2182" s="247"/>
      <c r="W2182" s="247"/>
      <c r="X2182" s="247"/>
    </row>
    <row r="2183">
      <c r="A2183" s="294">
        <v>46174.0</v>
      </c>
      <c r="B2183" s="295" t="s">
        <v>1238</v>
      </c>
      <c r="C2183" s="295" t="s">
        <v>601</v>
      </c>
      <c r="D2183" s="296">
        <v>21057.0</v>
      </c>
      <c r="E2183" s="295" t="s">
        <v>1017</v>
      </c>
      <c r="F2183" s="292"/>
      <c r="G2183" s="293" t="str">
        <f>IFNA(IF(VLOOKUP(RC_OUT[BLOCK],RC_IN[[BLOCK]:[BLOCK LOC]],2,FALSE)=0,"",VLOOKUP(RC_OUT[BLOCK],RC_IN[[BLOCK]:[BLOCK LOC]],2,FALSE)),"")</f>
        <v>A-9C</v>
      </c>
      <c r="I2183" s="263">
        <f>IFERROR(AVERAGEIFS(RC_IN[MC],RC_IN[BLOCK],RC_OUT[BLOCK]),"")</f>
        <v>9.858</v>
      </c>
      <c r="J2183" s="264">
        <f t="shared" si="54"/>
        <v>207579.906</v>
      </c>
      <c r="K2183" s="246"/>
      <c r="L2183" s="246"/>
      <c r="M2183" s="249"/>
      <c r="N2183" s="266">
        <f t="shared" si="53"/>
        <v>0</v>
      </c>
      <c r="O2183" s="247"/>
      <c r="P2183" s="247"/>
      <c r="Q2183" s="247"/>
      <c r="R2183" s="247"/>
      <c r="S2183" s="247"/>
      <c r="T2183" s="247"/>
      <c r="U2183" s="247"/>
      <c r="V2183" s="247"/>
      <c r="W2183" s="247"/>
      <c r="X2183" s="247"/>
    </row>
    <row r="2184">
      <c r="A2184" s="294">
        <v>46174.0</v>
      </c>
      <c r="B2184" s="295" t="s">
        <v>1238</v>
      </c>
      <c r="C2184" s="295" t="s">
        <v>864</v>
      </c>
      <c r="D2184" s="296">
        <v>13648.0</v>
      </c>
      <c r="E2184" s="295" t="s">
        <v>1017</v>
      </c>
      <c r="F2184" s="292"/>
      <c r="G2184" s="293" t="str">
        <f>IFNA(IF(VLOOKUP(RC_OUT[BLOCK],RC_IN[[BLOCK]:[BLOCK LOC]],2,FALSE)=0,"",VLOOKUP(RC_OUT[BLOCK],RC_IN[[BLOCK]:[BLOCK LOC]],2,FALSE)),"")</f>
        <v>D-11A</v>
      </c>
      <c r="I2184" s="263">
        <f>IFERROR(AVERAGEIFS(RC_IN[MC],RC_IN[BLOCK],RC_OUT[BLOCK]),"")</f>
        <v>11.604</v>
      </c>
      <c r="J2184" s="264">
        <f t="shared" si="54"/>
        <v>158371.392</v>
      </c>
      <c r="K2184" s="246"/>
      <c r="L2184" s="246"/>
      <c r="M2184" s="249"/>
      <c r="N2184" s="266">
        <f t="shared" si="53"/>
        <v>0</v>
      </c>
      <c r="O2184" s="247"/>
      <c r="P2184" s="247"/>
      <c r="Q2184" s="247"/>
      <c r="R2184" s="247"/>
      <c r="S2184" s="247"/>
      <c r="T2184" s="247"/>
      <c r="U2184" s="247"/>
      <c r="V2184" s="247"/>
      <c r="W2184" s="247"/>
      <c r="X2184" s="247"/>
    </row>
    <row r="2185">
      <c r="A2185" s="294"/>
      <c r="B2185" s="295"/>
      <c r="C2185" s="295"/>
      <c r="D2185" s="296"/>
      <c r="E2185" s="295"/>
      <c r="F2185" s="292"/>
      <c r="G2185" s="293" t="str">
        <f>IFNA(IF(VLOOKUP(RC_OUT[BLOCK],RC_IN[[BLOCK]:[BLOCK LOC]],2,FALSE)=0,"",VLOOKUP(RC_OUT[BLOCK],RC_IN[[BLOCK]:[BLOCK LOC]],2,FALSE)),"")</f>
        <v/>
      </c>
      <c r="I2185" s="263" t="str">
        <f>IFERROR(AVERAGEIFS(RC_IN[MC],RC_IN[BLOCK],RC_OUT[BLOCK]),"")</f>
        <v/>
      </c>
      <c r="J2185" s="264">
        <f t="shared" si="54"/>
        <v>0</v>
      </c>
      <c r="K2185" s="246"/>
      <c r="L2185" s="246"/>
      <c r="M2185" s="249"/>
      <c r="N2185" s="266">
        <f t="shared" si="53"/>
        <v>0</v>
      </c>
      <c r="O2185" s="247"/>
      <c r="P2185" s="247"/>
      <c r="Q2185" s="247"/>
      <c r="R2185" s="247"/>
      <c r="S2185" s="247"/>
      <c r="T2185" s="247"/>
      <c r="U2185" s="247"/>
      <c r="V2185" s="247"/>
      <c r="W2185" s="247"/>
      <c r="X2185" s="247"/>
    </row>
    <row r="2186">
      <c r="A2186" s="294">
        <v>46175.0</v>
      </c>
      <c r="B2186" s="295" t="s">
        <v>1238</v>
      </c>
      <c r="C2186" s="295" t="s">
        <v>601</v>
      </c>
      <c r="D2186" s="296">
        <v>12153.0</v>
      </c>
      <c r="E2186" s="295" t="s">
        <v>1017</v>
      </c>
      <c r="F2186" s="297" t="s">
        <v>1059</v>
      </c>
      <c r="G2186" s="293" t="str">
        <f>IFNA(IF(VLOOKUP(RC_OUT[BLOCK],RC_IN[[BLOCK]:[BLOCK LOC]],2,FALSE)=0,"",VLOOKUP(RC_OUT[BLOCK],RC_IN[[BLOCK]:[BLOCK LOC]],2,FALSE)),"")</f>
        <v>A-9C</v>
      </c>
      <c r="I2186" s="263">
        <f>IFERROR(AVERAGEIFS(RC_IN[MC],RC_IN[BLOCK],RC_OUT[BLOCK]),"")</f>
        <v>9.858</v>
      </c>
      <c r="J2186" s="264">
        <f t="shared" si="54"/>
        <v>119804.274</v>
      </c>
      <c r="K2186" s="246"/>
      <c r="L2186" s="246"/>
      <c r="M2186" s="249"/>
      <c r="N2186" s="266">
        <f t="shared" si="53"/>
        <v>0</v>
      </c>
      <c r="O2186" s="247"/>
      <c r="P2186" s="247"/>
      <c r="Q2186" s="247"/>
      <c r="R2186" s="247"/>
      <c r="S2186" s="247"/>
      <c r="T2186" s="247"/>
      <c r="U2186" s="247"/>
      <c r="V2186" s="247"/>
      <c r="W2186" s="247"/>
      <c r="X2186" s="247"/>
    </row>
    <row r="2187">
      <c r="A2187" s="294">
        <v>46175.0</v>
      </c>
      <c r="B2187" s="295" t="s">
        <v>1238</v>
      </c>
      <c r="C2187" s="295" t="s">
        <v>864</v>
      </c>
      <c r="D2187" s="296">
        <v>19102.0</v>
      </c>
      <c r="E2187" s="295" t="s">
        <v>1017</v>
      </c>
      <c r="F2187" s="292"/>
      <c r="G2187" s="293" t="str">
        <f>IFNA(IF(VLOOKUP(RC_OUT[BLOCK],RC_IN[[BLOCK]:[BLOCK LOC]],2,FALSE)=0,"",VLOOKUP(RC_OUT[BLOCK],RC_IN[[BLOCK]:[BLOCK LOC]],2,FALSE)),"")</f>
        <v>D-11A</v>
      </c>
      <c r="I2187" s="263">
        <f>IFERROR(AVERAGEIFS(RC_IN[MC],RC_IN[BLOCK],RC_OUT[BLOCK]),"")</f>
        <v>11.604</v>
      </c>
      <c r="J2187" s="264">
        <f t="shared" si="54"/>
        <v>221659.608</v>
      </c>
      <c r="K2187" s="246"/>
      <c r="L2187" s="246"/>
      <c r="M2187" s="249"/>
      <c r="N2187" s="266">
        <f t="shared" si="53"/>
        <v>0</v>
      </c>
      <c r="O2187" s="247"/>
      <c r="P2187" s="247"/>
      <c r="Q2187" s="247"/>
      <c r="R2187" s="247"/>
      <c r="S2187" s="247"/>
      <c r="T2187" s="247"/>
      <c r="U2187" s="247"/>
      <c r="V2187" s="247"/>
      <c r="W2187" s="247"/>
      <c r="X2187" s="247"/>
    </row>
    <row r="2188">
      <c r="A2188" s="294">
        <v>46175.0</v>
      </c>
      <c r="B2188" s="295" t="s">
        <v>1238</v>
      </c>
      <c r="C2188" s="295" t="s">
        <v>966</v>
      </c>
      <c r="D2188" s="296">
        <v>4411.0</v>
      </c>
      <c r="E2188" s="295" t="s">
        <v>1017</v>
      </c>
      <c r="F2188" s="292"/>
      <c r="G2188" s="293" t="str">
        <f>IFNA(IF(VLOOKUP(RC_OUT[BLOCK],RC_IN[[BLOCK]:[BLOCK LOC]],2,FALSE)=0,"",VLOOKUP(RC_OUT[BLOCK],RC_IN[[BLOCK]:[BLOCK LOC]],2,FALSE)),"")</f>
        <v>D-13D</v>
      </c>
      <c r="I2188" s="263">
        <f>IFERROR(AVERAGEIFS(RC_IN[MC],RC_IN[BLOCK],RC_OUT[BLOCK]),"")</f>
        <v>11.87</v>
      </c>
      <c r="J2188" s="264">
        <f t="shared" si="54"/>
        <v>52358.57</v>
      </c>
      <c r="K2188" s="246"/>
      <c r="L2188" s="246"/>
      <c r="M2188" s="249"/>
      <c r="N2188" s="266">
        <f t="shared" si="53"/>
        <v>0</v>
      </c>
      <c r="O2188" s="247"/>
      <c r="P2188" s="247"/>
      <c r="Q2188" s="247"/>
      <c r="R2188" s="247"/>
      <c r="S2188" s="247"/>
      <c r="T2188" s="247"/>
      <c r="U2188" s="247"/>
      <c r="V2188" s="247"/>
      <c r="W2188" s="247"/>
      <c r="X2188" s="247"/>
    </row>
    <row r="2189">
      <c r="A2189" s="294"/>
      <c r="B2189" s="295"/>
      <c r="C2189" s="295"/>
      <c r="D2189" s="296"/>
      <c r="E2189" s="295"/>
      <c r="F2189" s="292"/>
      <c r="G2189" s="293" t="str">
        <f>IFNA(IF(VLOOKUP(RC_OUT[BLOCK],RC_IN[[BLOCK]:[BLOCK LOC]],2,FALSE)=0,"",VLOOKUP(RC_OUT[BLOCK],RC_IN[[BLOCK]:[BLOCK LOC]],2,FALSE)),"")</f>
        <v/>
      </c>
      <c r="I2189" s="263" t="str">
        <f>IFERROR(AVERAGEIFS(RC_IN[MC],RC_IN[BLOCK],RC_OUT[BLOCK]),"")</f>
        <v/>
      </c>
      <c r="J2189" s="264">
        <f t="shared" si="54"/>
        <v>0</v>
      </c>
      <c r="K2189" s="246"/>
      <c r="L2189" s="246"/>
      <c r="M2189" s="249"/>
      <c r="N2189" s="266">
        <f t="shared" si="53"/>
        <v>0</v>
      </c>
      <c r="O2189" s="247"/>
      <c r="P2189" s="247"/>
      <c r="Q2189" s="247"/>
      <c r="R2189" s="247"/>
      <c r="S2189" s="247"/>
      <c r="T2189" s="247"/>
      <c r="U2189" s="247"/>
      <c r="V2189" s="247"/>
      <c r="W2189" s="247"/>
      <c r="X2189" s="247"/>
    </row>
    <row r="2190">
      <c r="A2190" s="294">
        <v>46176.0</v>
      </c>
      <c r="B2190" s="295" t="s">
        <v>1238</v>
      </c>
      <c r="C2190" s="295" t="s">
        <v>864</v>
      </c>
      <c r="D2190" s="296">
        <v>21677.0</v>
      </c>
      <c r="E2190" s="295" t="s">
        <v>1017</v>
      </c>
      <c r="F2190" s="297" t="s">
        <v>1059</v>
      </c>
      <c r="G2190" s="293" t="str">
        <f>IFNA(IF(VLOOKUP(RC_OUT[BLOCK],RC_IN[[BLOCK]:[BLOCK LOC]],2,FALSE)=0,"",VLOOKUP(RC_OUT[BLOCK],RC_IN[[BLOCK]:[BLOCK LOC]],2,FALSE)),"")</f>
        <v>D-11A</v>
      </c>
      <c r="I2190" s="263">
        <f>IFERROR(AVERAGEIFS(RC_IN[MC],RC_IN[BLOCK],RC_OUT[BLOCK]),"")</f>
        <v>11.604</v>
      </c>
      <c r="J2190" s="264">
        <f t="shared" si="54"/>
        <v>251539.908</v>
      </c>
      <c r="K2190" s="246"/>
      <c r="L2190" s="246"/>
      <c r="M2190" s="249"/>
      <c r="N2190" s="266">
        <f t="shared" si="53"/>
        <v>0</v>
      </c>
      <c r="O2190" s="247"/>
      <c r="P2190" s="247"/>
      <c r="Q2190" s="247"/>
      <c r="R2190" s="247"/>
      <c r="S2190" s="247"/>
      <c r="T2190" s="247"/>
      <c r="U2190" s="247"/>
      <c r="V2190" s="247"/>
      <c r="W2190" s="247"/>
      <c r="X2190" s="247"/>
    </row>
    <row r="2191">
      <c r="A2191" s="294">
        <v>46176.0</v>
      </c>
      <c r="B2191" s="295" t="s">
        <v>1238</v>
      </c>
      <c r="C2191" s="295" t="s">
        <v>966</v>
      </c>
      <c r="D2191" s="296">
        <v>25694.0</v>
      </c>
      <c r="E2191" s="295" t="s">
        <v>1017</v>
      </c>
      <c r="F2191" s="292"/>
      <c r="G2191" s="293" t="str">
        <f>IFNA(IF(VLOOKUP(RC_OUT[BLOCK],RC_IN[[BLOCK]:[BLOCK LOC]],2,FALSE)=0,"",VLOOKUP(RC_OUT[BLOCK],RC_IN[[BLOCK]:[BLOCK LOC]],2,FALSE)),"")</f>
        <v>D-13D</v>
      </c>
      <c r="I2191" s="263">
        <f>IFERROR(AVERAGEIFS(RC_IN[MC],RC_IN[BLOCK],RC_OUT[BLOCK]),"")</f>
        <v>11.87</v>
      </c>
      <c r="J2191" s="264">
        <f t="shared" si="54"/>
        <v>304987.78</v>
      </c>
      <c r="K2191" s="246"/>
      <c r="L2191" s="246"/>
      <c r="M2191" s="249"/>
      <c r="N2191" s="266">
        <f t="shared" si="53"/>
        <v>0</v>
      </c>
      <c r="O2191" s="247"/>
      <c r="P2191" s="247"/>
      <c r="Q2191" s="247"/>
      <c r="R2191" s="247"/>
      <c r="S2191" s="247"/>
      <c r="T2191" s="247"/>
      <c r="U2191" s="247"/>
      <c r="V2191" s="247"/>
      <c r="W2191" s="247"/>
      <c r="X2191" s="247"/>
    </row>
    <row r="2192">
      <c r="A2192" s="294"/>
      <c r="B2192" s="295"/>
      <c r="C2192" s="295"/>
      <c r="D2192" s="296"/>
      <c r="E2192" s="295"/>
      <c r="F2192" s="292"/>
      <c r="G2192" s="293" t="str">
        <f>IFNA(IF(VLOOKUP(RC_OUT[BLOCK],RC_IN[[BLOCK]:[BLOCK LOC]],2,FALSE)=0,"",VLOOKUP(RC_OUT[BLOCK],RC_IN[[BLOCK]:[BLOCK LOC]],2,FALSE)),"")</f>
        <v/>
      </c>
      <c r="I2192" s="263" t="str">
        <f>IFERROR(AVERAGEIFS(RC_IN[MC],RC_IN[BLOCK],RC_OUT[BLOCK]),"")</f>
        <v/>
      </c>
      <c r="J2192" s="264">
        <f t="shared" si="54"/>
        <v>0</v>
      </c>
      <c r="K2192" s="246"/>
      <c r="L2192" s="246"/>
      <c r="M2192" s="249"/>
      <c r="N2192" s="266">
        <f t="shared" si="53"/>
        <v>0</v>
      </c>
      <c r="O2192" s="247"/>
      <c r="P2192" s="247"/>
      <c r="Q2192" s="247"/>
      <c r="R2192" s="247"/>
      <c r="S2192" s="247"/>
      <c r="T2192" s="247"/>
      <c r="U2192" s="247"/>
      <c r="V2192" s="247"/>
      <c r="W2192" s="247"/>
      <c r="X2192" s="247"/>
    </row>
    <row r="2193">
      <c r="A2193" s="294">
        <v>46177.0</v>
      </c>
      <c r="B2193" s="295" t="s">
        <v>1238</v>
      </c>
      <c r="C2193" s="295" t="s">
        <v>966</v>
      </c>
      <c r="D2193" s="296">
        <v>18129.0</v>
      </c>
      <c r="E2193" s="295" t="s">
        <v>1017</v>
      </c>
      <c r="F2193" s="297" t="s">
        <v>1059</v>
      </c>
      <c r="G2193" s="293" t="str">
        <f>IFNA(IF(VLOOKUP(RC_OUT[BLOCK],RC_IN[[BLOCK]:[BLOCK LOC]],2,FALSE)=0,"",VLOOKUP(RC_OUT[BLOCK],RC_IN[[BLOCK]:[BLOCK LOC]],2,FALSE)),"")</f>
        <v>D-13D</v>
      </c>
      <c r="I2193" s="263">
        <f>IFERROR(AVERAGEIFS(RC_IN[MC],RC_IN[BLOCK],RC_OUT[BLOCK]),"")</f>
        <v>11.87</v>
      </c>
      <c r="J2193" s="264">
        <f t="shared" si="54"/>
        <v>215191.23</v>
      </c>
      <c r="K2193" s="246"/>
      <c r="L2193" s="246"/>
      <c r="M2193" s="249"/>
      <c r="N2193" s="266">
        <f t="shared" si="53"/>
        <v>0</v>
      </c>
      <c r="O2193" s="247"/>
      <c r="P2193" s="247"/>
      <c r="Q2193" s="247"/>
      <c r="R2193" s="247"/>
      <c r="S2193" s="247"/>
      <c r="T2193" s="247"/>
      <c r="U2193" s="247"/>
      <c r="V2193" s="247"/>
      <c r="W2193" s="247"/>
      <c r="X2193" s="247"/>
    </row>
    <row r="2194">
      <c r="A2194" s="294">
        <v>46177.0</v>
      </c>
      <c r="B2194" s="295" t="s">
        <v>1238</v>
      </c>
      <c r="C2194" s="295" t="s">
        <v>963</v>
      </c>
      <c r="D2194" s="296">
        <v>14437.0</v>
      </c>
      <c r="E2194" s="295" t="s">
        <v>1017</v>
      </c>
      <c r="F2194" s="292"/>
      <c r="G2194" s="293" t="str">
        <f>IFNA(IF(VLOOKUP(RC_OUT[BLOCK],RC_IN[[BLOCK]:[BLOCK LOC]],2,FALSE)=0,"",VLOOKUP(RC_OUT[BLOCK],RC_IN[[BLOCK]:[BLOCK LOC]],2,FALSE)),"")</f>
        <v>D-12D</v>
      </c>
      <c r="I2194" s="263">
        <f>IFERROR(AVERAGEIFS(RC_IN[MC],RC_IN[BLOCK],RC_OUT[BLOCK]),"")</f>
        <v>11.52</v>
      </c>
      <c r="J2194" s="264">
        <f t="shared" si="54"/>
        <v>166314.24</v>
      </c>
      <c r="K2194" s="246"/>
      <c r="L2194" s="246"/>
      <c r="M2194" s="249"/>
      <c r="N2194" s="266">
        <f t="shared" si="53"/>
        <v>0</v>
      </c>
      <c r="O2194" s="247"/>
      <c r="P2194" s="247"/>
      <c r="Q2194" s="247"/>
      <c r="R2194" s="247"/>
      <c r="S2194" s="247"/>
      <c r="T2194" s="247"/>
      <c r="U2194" s="247"/>
      <c r="V2194" s="247"/>
      <c r="W2194" s="247"/>
      <c r="X2194" s="247"/>
    </row>
    <row r="2195">
      <c r="A2195" s="294">
        <v>46177.0</v>
      </c>
      <c r="B2195" s="295" t="s">
        <v>1238</v>
      </c>
      <c r="C2195" s="295" t="s">
        <v>977</v>
      </c>
      <c r="D2195" s="296">
        <v>5000.0</v>
      </c>
      <c r="E2195" s="295" t="s">
        <v>1017</v>
      </c>
      <c r="F2195" s="292"/>
      <c r="G2195" s="293" t="str">
        <f>IFNA(IF(VLOOKUP(RC_OUT[BLOCK],RC_IN[[BLOCK]:[BLOCK LOC]],2,FALSE)=0,"",VLOOKUP(RC_OUT[BLOCK],RC_IN[[BLOCK]:[BLOCK LOC]],2,FALSE)),"")</f>
        <v/>
      </c>
      <c r="I2195" s="263">
        <f>IFERROR(AVERAGEIFS(RC_IN[MC],RC_IN[BLOCK],RC_OUT[BLOCK]),"")</f>
        <v>11.67</v>
      </c>
      <c r="J2195" s="264">
        <f t="shared" si="54"/>
        <v>58350</v>
      </c>
      <c r="K2195" s="246"/>
      <c r="L2195" s="246"/>
      <c r="M2195" s="249"/>
      <c r="N2195" s="266">
        <f t="shared" si="53"/>
        <v>0</v>
      </c>
      <c r="O2195" s="247"/>
      <c r="P2195" s="247"/>
      <c r="Q2195" s="247"/>
      <c r="R2195" s="247"/>
      <c r="S2195" s="247"/>
      <c r="T2195" s="247"/>
      <c r="U2195" s="247"/>
      <c r="V2195" s="247"/>
      <c r="W2195" s="247"/>
      <c r="X2195" s="247"/>
    </row>
    <row r="2196">
      <c r="A2196" s="294"/>
      <c r="B2196" s="295"/>
      <c r="C2196" s="295"/>
      <c r="D2196" s="296"/>
      <c r="E2196" s="295"/>
      <c r="F2196" s="292"/>
      <c r="G2196" s="293" t="str">
        <f>IFNA(IF(VLOOKUP(RC_OUT[BLOCK],RC_IN[[BLOCK]:[BLOCK LOC]],2,FALSE)=0,"",VLOOKUP(RC_OUT[BLOCK],RC_IN[[BLOCK]:[BLOCK LOC]],2,FALSE)),"")</f>
        <v/>
      </c>
      <c r="I2196" s="263" t="str">
        <f>IFERROR(AVERAGEIFS(RC_IN[MC],RC_IN[BLOCK],RC_OUT[BLOCK]),"")</f>
        <v/>
      </c>
      <c r="J2196" s="264">
        <f t="shared" si="54"/>
        <v>0</v>
      </c>
      <c r="K2196" s="246"/>
      <c r="L2196" s="246"/>
      <c r="M2196" s="249"/>
      <c r="N2196" s="266">
        <f t="shared" si="53"/>
        <v>0</v>
      </c>
      <c r="O2196" s="247"/>
      <c r="P2196" s="247"/>
      <c r="Q2196" s="247"/>
      <c r="R2196" s="247"/>
      <c r="S2196" s="247"/>
      <c r="T2196" s="247"/>
      <c r="U2196" s="247"/>
      <c r="V2196" s="247"/>
      <c r="W2196" s="247"/>
      <c r="X2196" s="247"/>
    </row>
    <row r="2197">
      <c r="A2197" s="294">
        <v>46178.0</v>
      </c>
      <c r="B2197" s="295" t="s">
        <v>1238</v>
      </c>
      <c r="C2197" s="295" t="s">
        <v>963</v>
      </c>
      <c r="D2197" s="296">
        <v>19450.0</v>
      </c>
      <c r="E2197" s="295" t="s">
        <v>1017</v>
      </c>
      <c r="F2197" s="292"/>
      <c r="G2197" s="293" t="str">
        <f>IFNA(IF(VLOOKUP(RC_OUT[BLOCK],RC_IN[[BLOCK]:[BLOCK LOC]],2,FALSE)=0,"",VLOOKUP(RC_OUT[BLOCK],RC_IN[[BLOCK]:[BLOCK LOC]],2,FALSE)),"")</f>
        <v>D-12D</v>
      </c>
      <c r="I2197" s="263">
        <f>IFERROR(AVERAGEIFS(RC_IN[MC],RC_IN[BLOCK],RC_OUT[BLOCK]),"")</f>
        <v>11.52</v>
      </c>
      <c r="J2197" s="264">
        <f t="shared" si="54"/>
        <v>224064</v>
      </c>
      <c r="K2197" s="246"/>
      <c r="L2197" s="246"/>
      <c r="M2197" s="249"/>
      <c r="N2197" s="266">
        <f t="shared" si="53"/>
        <v>0</v>
      </c>
      <c r="O2197" s="247"/>
      <c r="P2197" s="247"/>
      <c r="Q2197" s="247"/>
      <c r="R2197" s="247"/>
      <c r="S2197" s="247"/>
      <c r="T2197" s="247"/>
      <c r="U2197" s="247"/>
      <c r="V2197" s="247"/>
      <c r="W2197" s="247"/>
      <c r="X2197" s="247"/>
    </row>
    <row r="2198">
      <c r="A2198" s="294">
        <v>46178.0</v>
      </c>
      <c r="B2198" s="295" t="s">
        <v>1238</v>
      </c>
      <c r="C2198" s="295" t="s">
        <v>977</v>
      </c>
      <c r="D2198" s="296">
        <v>10000.0</v>
      </c>
      <c r="E2198" s="295" t="s">
        <v>1017</v>
      </c>
      <c r="F2198" s="292"/>
      <c r="G2198" s="293" t="str">
        <f>IFNA(IF(VLOOKUP(RC_OUT[BLOCK],RC_IN[[BLOCK]:[BLOCK LOC]],2,FALSE)=0,"",VLOOKUP(RC_OUT[BLOCK],RC_IN[[BLOCK]:[BLOCK LOC]],2,FALSE)),"")</f>
        <v/>
      </c>
      <c r="I2198" s="263">
        <f>IFERROR(AVERAGEIFS(RC_IN[MC],RC_IN[BLOCK],RC_OUT[BLOCK]),"")</f>
        <v>11.67</v>
      </c>
      <c r="J2198" s="264">
        <f t="shared" si="54"/>
        <v>116700</v>
      </c>
      <c r="K2198" s="246"/>
      <c r="L2198" s="246"/>
      <c r="M2198" s="249"/>
      <c r="N2198" s="266">
        <f t="shared" si="53"/>
        <v>0</v>
      </c>
      <c r="O2198" s="247"/>
      <c r="P2198" s="247"/>
      <c r="Q2198" s="247"/>
      <c r="R2198" s="247"/>
      <c r="S2198" s="247"/>
      <c r="T2198" s="247"/>
      <c r="U2198" s="247"/>
      <c r="V2198" s="247"/>
      <c r="W2198" s="247"/>
      <c r="X2198" s="247"/>
    </row>
    <row r="2199">
      <c r="A2199" s="294"/>
      <c r="B2199" s="295"/>
      <c r="C2199" s="295"/>
      <c r="D2199" s="296"/>
      <c r="E2199" s="295"/>
      <c r="F2199" s="292"/>
      <c r="G2199" s="293" t="str">
        <f>IFNA(IF(VLOOKUP(RC_OUT[BLOCK],RC_IN[[BLOCK]:[BLOCK LOC]],2,FALSE)=0,"",VLOOKUP(RC_OUT[BLOCK],RC_IN[[BLOCK]:[BLOCK LOC]],2,FALSE)),"")</f>
        <v/>
      </c>
      <c r="I2199" s="263" t="str">
        <f>IFERROR(AVERAGEIFS(RC_IN[MC],RC_IN[BLOCK],RC_OUT[BLOCK]),"")</f>
        <v/>
      </c>
      <c r="J2199" s="264">
        <f t="shared" si="54"/>
        <v>0</v>
      </c>
      <c r="K2199" s="246"/>
      <c r="L2199" s="246"/>
      <c r="M2199" s="249"/>
      <c r="N2199" s="266">
        <f t="shared" si="53"/>
        <v>0</v>
      </c>
      <c r="O2199" s="247"/>
      <c r="P2199" s="247"/>
      <c r="Q2199" s="247"/>
      <c r="R2199" s="247"/>
      <c r="S2199" s="247"/>
      <c r="T2199" s="247"/>
      <c r="U2199" s="247"/>
      <c r="V2199" s="247"/>
      <c r="W2199" s="247"/>
      <c r="X2199" s="247"/>
    </row>
    <row r="2200">
      <c r="A2200" s="294">
        <v>46182.0</v>
      </c>
      <c r="B2200" s="295" t="s">
        <v>1238</v>
      </c>
      <c r="C2200" s="295" t="s">
        <v>963</v>
      </c>
      <c r="D2200" s="296">
        <v>23087.0</v>
      </c>
      <c r="E2200" s="295" t="s">
        <v>1017</v>
      </c>
      <c r="F2200" s="292"/>
      <c r="G2200" s="293" t="str">
        <f>IFNA(IF(VLOOKUP(RC_OUT[BLOCK],RC_IN[[BLOCK]:[BLOCK LOC]],2,FALSE)=0,"",VLOOKUP(RC_OUT[BLOCK],RC_IN[[BLOCK]:[BLOCK LOC]],2,FALSE)),"")</f>
        <v>D-12D</v>
      </c>
      <c r="I2200" s="263">
        <f>IFERROR(AVERAGEIFS(RC_IN[MC],RC_IN[BLOCK],RC_OUT[BLOCK]),"")</f>
        <v>11.52</v>
      </c>
      <c r="J2200" s="264">
        <f t="shared" si="54"/>
        <v>265962.24</v>
      </c>
      <c r="K2200" s="246"/>
      <c r="L2200" s="246"/>
      <c r="M2200" s="249"/>
      <c r="N2200" s="266">
        <f t="shared" si="53"/>
        <v>0</v>
      </c>
      <c r="O2200" s="247"/>
      <c r="P2200" s="247"/>
      <c r="Q2200" s="247"/>
      <c r="R2200" s="247"/>
      <c r="S2200" s="247"/>
      <c r="T2200" s="247"/>
      <c r="U2200" s="247"/>
      <c r="V2200" s="247"/>
      <c r="W2200" s="247"/>
      <c r="X2200" s="247"/>
    </row>
    <row r="2201">
      <c r="A2201" s="294">
        <v>46182.0</v>
      </c>
      <c r="B2201" s="295" t="s">
        <v>1238</v>
      </c>
      <c r="C2201" s="295" t="s">
        <v>977</v>
      </c>
      <c r="D2201" s="296">
        <v>10640.0</v>
      </c>
      <c r="E2201" s="295" t="s">
        <v>1017</v>
      </c>
      <c r="F2201" s="297" t="s">
        <v>1059</v>
      </c>
      <c r="G2201" s="293" t="str">
        <f>IFNA(IF(VLOOKUP(RC_OUT[BLOCK],RC_IN[[BLOCK]:[BLOCK LOC]],2,FALSE)=0,"",VLOOKUP(RC_OUT[BLOCK],RC_IN[[BLOCK]:[BLOCK LOC]],2,FALSE)),"")</f>
        <v/>
      </c>
      <c r="I2201" s="263">
        <f>IFERROR(AVERAGEIFS(RC_IN[MC],RC_IN[BLOCK],RC_OUT[BLOCK]),"")</f>
        <v>11.67</v>
      </c>
      <c r="J2201" s="264">
        <f t="shared" si="54"/>
        <v>124168.8</v>
      </c>
      <c r="K2201" s="246"/>
      <c r="L2201" s="246"/>
      <c r="M2201" s="249"/>
      <c r="N2201" s="266">
        <f t="shared" si="53"/>
        <v>0</v>
      </c>
      <c r="O2201" s="247"/>
      <c r="P2201" s="247"/>
      <c r="Q2201" s="247"/>
      <c r="R2201" s="247"/>
      <c r="S2201" s="247"/>
      <c r="T2201" s="247"/>
      <c r="U2201" s="247"/>
      <c r="V2201" s="247"/>
      <c r="W2201" s="247"/>
      <c r="X2201" s="247"/>
    </row>
    <row r="2202">
      <c r="A2202" s="294">
        <v>46182.0</v>
      </c>
      <c r="B2202" s="295" t="s">
        <v>1238</v>
      </c>
      <c r="C2202" s="295" t="s">
        <v>978</v>
      </c>
      <c r="D2202" s="296">
        <v>800.0</v>
      </c>
      <c r="E2202" s="295" t="s">
        <v>1017</v>
      </c>
      <c r="F2202" s="292"/>
      <c r="G2202" s="293" t="str">
        <f>IFNA(IF(VLOOKUP(RC_OUT[BLOCK],RC_IN[[BLOCK]:[BLOCK LOC]],2,FALSE)=0,"",VLOOKUP(RC_OUT[BLOCK],RC_IN[[BLOCK]:[BLOCK LOC]],2,FALSE)),"")</f>
        <v/>
      </c>
      <c r="I2202" s="263">
        <f>IFERROR(AVERAGEIFS(RC_IN[MC],RC_IN[BLOCK],RC_OUT[BLOCK]),"")</f>
        <v>10.67</v>
      </c>
      <c r="J2202" s="264">
        <f t="shared" si="54"/>
        <v>8536</v>
      </c>
      <c r="K2202" s="246"/>
      <c r="L2202" s="246"/>
      <c r="M2202" s="249"/>
      <c r="N2202" s="266">
        <f t="shared" si="53"/>
        <v>0</v>
      </c>
      <c r="O2202" s="247"/>
      <c r="P2202" s="247"/>
      <c r="Q2202" s="247"/>
      <c r="R2202" s="247"/>
      <c r="S2202" s="247"/>
      <c r="T2202" s="247"/>
      <c r="U2202" s="247"/>
      <c r="V2202" s="247"/>
      <c r="W2202" s="247"/>
      <c r="X2202" s="247"/>
    </row>
    <row r="2203">
      <c r="A2203" s="294"/>
      <c r="B2203" s="295"/>
      <c r="C2203" s="295"/>
      <c r="D2203" s="296"/>
      <c r="E2203" s="295"/>
      <c r="F2203" s="292"/>
      <c r="G2203" s="293" t="str">
        <f>IFNA(IF(VLOOKUP(RC_OUT[BLOCK],RC_IN[[BLOCK]:[BLOCK LOC]],2,FALSE)=0,"",VLOOKUP(RC_OUT[BLOCK],RC_IN[[BLOCK]:[BLOCK LOC]],2,FALSE)),"")</f>
        <v/>
      </c>
      <c r="I2203" s="263" t="str">
        <f>IFERROR(AVERAGEIFS(RC_IN[MC],RC_IN[BLOCK],RC_OUT[BLOCK]),"")</f>
        <v/>
      </c>
      <c r="J2203" s="264">
        <f t="shared" si="54"/>
        <v>0</v>
      </c>
      <c r="K2203" s="246"/>
      <c r="L2203" s="246"/>
      <c r="M2203" s="249"/>
      <c r="N2203" s="266">
        <f t="shared" si="53"/>
        <v>0</v>
      </c>
      <c r="O2203" s="247"/>
      <c r="P2203" s="247"/>
      <c r="Q2203" s="247"/>
      <c r="R2203" s="247"/>
      <c r="S2203" s="247"/>
      <c r="T2203" s="247"/>
      <c r="U2203" s="247"/>
      <c r="V2203" s="247"/>
      <c r="W2203" s="247"/>
      <c r="X2203" s="247"/>
    </row>
    <row r="2204">
      <c r="A2204" s="294">
        <v>46183.0</v>
      </c>
      <c r="B2204" s="295" t="s">
        <v>1238</v>
      </c>
      <c r="C2204" s="295" t="s">
        <v>963</v>
      </c>
      <c r="D2204" s="296">
        <v>19726.0</v>
      </c>
      <c r="E2204" s="295" t="s">
        <v>1017</v>
      </c>
      <c r="F2204" s="297" t="s">
        <v>1059</v>
      </c>
      <c r="G2204" s="293" t="str">
        <f>IFNA(IF(VLOOKUP(RC_OUT[BLOCK],RC_IN[[BLOCK]:[BLOCK LOC]],2,FALSE)=0,"",VLOOKUP(RC_OUT[BLOCK],RC_IN[[BLOCK]:[BLOCK LOC]],2,FALSE)),"")</f>
        <v>D-12D</v>
      </c>
      <c r="I2204" s="263">
        <f>IFERROR(AVERAGEIFS(RC_IN[MC],RC_IN[BLOCK],RC_OUT[BLOCK]),"")</f>
        <v>11.52</v>
      </c>
      <c r="J2204" s="264">
        <f t="shared" si="54"/>
        <v>227243.52</v>
      </c>
      <c r="K2204" s="246"/>
      <c r="L2204" s="246"/>
      <c r="M2204" s="249"/>
      <c r="N2204" s="266">
        <f t="shared" si="53"/>
        <v>0</v>
      </c>
      <c r="O2204" s="247"/>
      <c r="P2204" s="247"/>
      <c r="Q2204" s="247"/>
      <c r="R2204" s="247"/>
      <c r="S2204" s="247"/>
      <c r="T2204" s="247"/>
      <c r="U2204" s="247"/>
      <c r="V2204" s="247"/>
      <c r="W2204" s="247"/>
      <c r="X2204" s="247"/>
    </row>
    <row r="2205">
      <c r="A2205" s="294">
        <v>46183.0</v>
      </c>
      <c r="B2205" s="295" t="s">
        <v>1238</v>
      </c>
      <c r="C2205" s="295" t="s">
        <v>978</v>
      </c>
      <c r="D2205" s="296">
        <v>5930.0</v>
      </c>
      <c r="E2205" s="295" t="s">
        <v>1017</v>
      </c>
      <c r="F2205" s="292"/>
      <c r="G2205" s="293" t="str">
        <f>IFNA(IF(VLOOKUP(RC_OUT[BLOCK],RC_IN[[BLOCK]:[BLOCK LOC]],2,FALSE)=0,"",VLOOKUP(RC_OUT[BLOCK],RC_IN[[BLOCK]:[BLOCK LOC]],2,FALSE)),"")</f>
        <v/>
      </c>
      <c r="I2205" s="263">
        <f>IFERROR(AVERAGEIFS(RC_IN[MC],RC_IN[BLOCK],RC_OUT[BLOCK]),"")</f>
        <v>10.67</v>
      </c>
      <c r="J2205" s="264">
        <f t="shared" si="54"/>
        <v>63273.1</v>
      </c>
      <c r="K2205" s="246"/>
      <c r="L2205" s="246"/>
      <c r="M2205" s="249"/>
      <c r="N2205" s="266">
        <f t="shared" si="53"/>
        <v>0</v>
      </c>
      <c r="O2205" s="247"/>
      <c r="P2205" s="247"/>
      <c r="Q2205" s="247"/>
      <c r="R2205" s="247"/>
      <c r="S2205" s="247"/>
      <c r="T2205" s="247"/>
      <c r="U2205" s="247"/>
      <c r="V2205" s="247"/>
      <c r="W2205" s="247"/>
      <c r="X2205" s="247"/>
    </row>
    <row r="2206">
      <c r="A2206" s="294">
        <v>46183.0</v>
      </c>
      <c r="B2206" s="295" t="s">
        <v>1238</v>
      </c>
      <c r="C2206" s="295" t="s">
        <v>793</v>
      </c>
      <c r="D2206" s="296">
        <v>31745.0</v>
      </c>
      <c r="E2206" s="295" t="s">
        <v>1017</v>
      </c>
      <c r="F2206" s="292"/>
      <c r="G2206" s="293" t="str">
        <f>IFNA(IF(VLOOKUP(RC_OUT[BLOCK],RC_IN[[BLOCK]:[BLOCK LOC]],2,FALSE)=0,"",VLOOKUP(RC_OUT[BLOCK],RC_IN[[BLOCK]:[BLOCK LOC]],2,FALSE)),"")</f>
        <v>D-11B</v>
      </c>
      <c r="I2206" s="263">
        <f>IFERROR(AVERAGEIFS(RC_IN[MC],RC_IN[BLOCK],RC_OUT[BLOCK]),"")</f>
        <v>12.214</v>
      </c>
      <c r="J2206" s="264">
        <f t="shared" si="54"/>
        <v>387733.43</v>
      </c>
      <c r="K2206" s="246"/>
      <c r="L2206" s="246"/>
      <c r="M2206" s="249"/>
      <c r="N2206" s="266">
        <f t="shared" si="53"/>
        <v>0</v>
      </c>
      <c r="O2206" s="247"/>
      <c r="P2206" s="247"/>
      <c r="Q2206" s="247"/>
      <c r="R2206" s="247"/>
      <c r="S2206" s="247"/>
      <c r="T2206" s="247"/>
      <c r="U2206" s="247"/>
      <c r="V2206" s="247"/>
      <c r="W2206" s="247"/>
      <c r="X2206" s="247"/>
    </row>
    <row r="2207">
      <c r="A2207" s="294"/>
      <c r="B2207" s="295"/>
      <c r="C2207" s="295"/>
      <c r="D2207" s="296"/>
      <c r="E2207" s="295"/>
      <c r="F2207" s="292"/>
      <c r="G2207" s="293" t="str">
        <f>IFNA(IF(VLOOKUP(RC_OUT[BLOCK],RC_IN[[BLOCK]:[BLOCK LOC]],2,FALSE)=0,"",VLOOKUP(RC_OUT[BLOCK],RC_IN[[BLOCK]:[BLOCK LOC]],2,FALSE)),"")</f>
        <v/>
      </c>
      <c r="I2207" s="263" t="str">
        <f>IFERROR(AVERAGEIFS(RC_IN[MC],RC_IN[BLOCK],RC_OUT[BLOCK]),"")</f>
        <v/>
      </c>
      <c r="J2207" s="264">
        <f t="shared" si="54"/>
        <v>0</v>
      </c>
      <c r="K2207" s="246"/>
      <c r="L2207" s="246"/>
      <c r="M2207" s="249"/>
      <c r="N2207" s="266">
        <f t="shared" si="53"/>
        <v>0</v>
      </c>
      <c r="O2207" s="247"/>
      <c r="P2207" s="247"/>
      <c r="Q2207" s="247"/>
      <c r="R2207" s="247"/>
      <c r="S2207" s="247"/>
      <c r="T2207" s="247"/>
      <c r="U2207" s="247"/>
      <c r="V2207" s="247"/>
      <c r="W2207" s="247"/>
      <c r="X2207" s="247"/>
    </row>
    <row r="2208">
      <c r="A2208" s="294">
        <v>46184.0</v>
      </c>
      <c r="B2208" s="295" t="s">
        <v>1238</v>
      </c>
      <c r="C2208" s="295" t="s">
        <v>978</v>
      </c>
      <c r="D2208" s="296">
        <v>14000.0</v>
      </c>
      <c r="E2208" s="295" t="s">
        <v>1017</v>
      </c>
      <c r="F2208" s="297" t="s">
        <v>1059</v>
      </c>
      <c r="G2208" s="293" t="str">
        <f>IFNA(IF(VLOOKUP(RC_OUT[BLOCK],RC_IN[[BLOCK]:[BLOCK LOC]],2,FALSE)=0,"",VLOOKUP(RC_OUT[BLOCK],RC_IN[[BLOCK]:[BLOCK LOC]],2,FALSE)),"")</f>
        <v/>
      </c>
      <c r="I2208" s="263">
        <f>IFERROR(AVERAGEIFS(RC_IN[MC],RC_IN[BLOCK],RC_OUT[BLOCK]),"")</f>
        <v>10.67</v>
      </c>
      <c r="J2208" s="264">
        <f t="shared" si="54"/>
        <v>149380</v>
      </c>
      <c r="K2208" s="246"/>
      <c r="L2208" s="246"/>
      <c r="M2208" s="249"/>
      <c r="N2208" s="266">
        <f t="shared" si="53"/>
        <v>0</v>
      </c>
      <c r="O2208" s="247"/>
      <c r="P2208" s="247"/>
      <c r="Q2208" s="247"/>
      <c r="R2208" s="247"/>
      <c r="S2208" s="247"/>
      <c r="T2208" s="247"/>
      <c r="U2208" s="247"/>
      <c r="V2208" s="247"/>
      <c r="W2208" s="247"/>
      <c r="X2208" s="247"/>
    </row>
    <row r="2209">
      <c r="A2209" s="294">
        <v>46184.0</v>
      </c>
      <c r="B2209" s="295" t="s">
        <v>1238</v>
      </c>
      <c r="C2209" s="295" t="s">
        <v>793</v>
      </c>
      <c r="D2209" s="296">
        <v>29270.0</v>
      </c>
      <c r="E2209" s="295" t="s">
        <v>1017</v>
      </c>
      <c r="F2209" s="297" t="s">
        <v>1059</v>
      </c>
      <c r="G2209" s="293" t="str">
        <f>IFNA(IF(VLOOKUP(RC_OUT[BLOCK],RC_IN[[BLOCK]:[BLOCK LOC]],2,FALSE)=0,"",VLOOKUP(RC_OUT[BLOCK],RC_IN[[BLOCK]:[BLOCK LOC]],2,FALSE)),"")</f>
        <v>D-11B</v>
      </c>
      <c r="I2209" s="263">
        <f>IFERROR(AVERAGEIFS(RC_IN[MC],RC_IN[BLOCK],RC_OUT[BLOCK]),"")</f>
        <v>12.214</v>
      </c>
      <c r="J2209" s="264">
        <f t="shared" si="54"/>
        <v>357503.78</v>
      </c>
      <c r="K2209" s="246"/>
      <c r="L2209" s="246"/>
      <c r="M2209" s="249"/>
      <c r="N2209" s="266">
        <f t="shared" si="53"/>
        <v>0</v>
      </c>
      <c r="O2209" s="247"/>
      <c r="P2209" s="247"/>
      <c r="Q2209" s="247"/>
      <c r="R2209" s="247"/>
      <c r="S2209" s="247"/>
      <c r="T2209" s="247"/>
      <c r="U2209" s="247"/>
      <c r="V2209" s="247"/>
      <c r="W2209" s="247"/>
      <c r="X2209" s="247"/>
    </row>
    <row r="2210">
      <c r="A2210" s="294"/>
      <c r="B2210" s="295"/>
      <c r="C2210" s="295"/>
      <c r="D2210" s="296"/>
      <c r="E2210" s="295"/>
      <c r="F2210" s="292"/>
      <c r="G2210" s="293" t="str">
        <f>IFNA(IF(VLOOKUP(RC_OUT[BLOCK],RC_IN[[BLOCK]:[BLOCK LOC]],2,FALSE)=0,"",VLOOKUP(RC_OUT[BLOCK],RC_IN[[BLOCK]:[BLOCK LOC]],2,FALSE)),"")</f>
        <v/>
      </c>
      <c r="I2210" s="263" t="str">
        <f>IFERROR(AVERAGEIFS(RC_IN[MC],RC_IN[BLOCK],RC_OUT[BLOCK]),"")</f>
        <v/>
      </c>
      <c r="J2210" s="264">
        <f t="shared" si="54"/>
        <v>0</v>
      </c>
      <c r="K2210" s="246"/>
      <c r="L2210" s="246"/>
      <c r="M2210" s="249"/>
      <c r="N2210" s="266">
        <f t="shared" si="53"/>
        <v>0</v>
      </c>
      <c r="O2210" s="247"/>
      <c r="P2210" s="247"/>
      <c r="Q2210" s="247"/>
      <c r="R2210" s="247"/>
      <c r="S2210" s="247"/>
      <c r="T2210" s="247"/>
      <c r="U2210" s="247"/>
      <c r="V2210" s="247"/>
      <c r="W2210" s="247"/>
      <c r="X2210" s="247"/>
    </row>
    <row r="2211">
      <c r="A2211" s="294">
        <v>46185.0</v>
      </c>
      <c r="B2211" s="295" t="s">
        <v>1238</v>
      </c>
      <c r="C2211" s="295" t="s">
        <v>768</v>
      </c>
      <c r="D2211" s="296">
        <v>48656.0</v>
      </c>
      <c r="E2211" s="295" t="s">
        <v>1017</v>
      </c>
      <c r="F2211" s="297" t="s">
        <v>1059</v>
      </c>
      <c r="G2211" s="293" t="str">
        <f>IFNA(IF(VLOOKUP(RC_OUT[BLOCK],RC_IN[[BLOCK]:[BLOCK LOC]],2,FALSE)=0,"",VLOOKUP(RC_OUT[BLOCK],RC_IN[[BLOCK]:[BLOCK LOC]],2,FALSE)),"")</f>
        <v>D-11C</v>
      </c>
      <c r="I2211" s="263">
        <f>IFERROR(AVERAGEIFS(RC_IN[MC],RC_IN[BLOCK],RC_OUT[BLOCK]),"")</f>
        <v>12.07</v>
      </c>
      <c r="J2211" s="264">
        <f t="shared" si="54"/>
        <v>587277.92</v>
      </c>
      <c r="K2211" s="246"/>
      <c r="L2211" s="246"/>
      <c r="M2211" s="249"/>
      <c r="N2211" s="266">
        <f t="shared" si="53"/>
        <v>0</v>
      </c>
      <c r="O2211" s="247"/>
      <c r="P2211" s="247"/>
      <c r="Q2211" s="247"/>
      <c r="R2211" s="247"/>
      <c r="S2211" s="247"/>
      <c r="T2211" s="247"/>
      <c r="U2211" s="247"/>
      <c r="V2211" s="247"/>
      <c r="W2211" s="247"/>
      <c r="X2211" s="247"/>
    </row>
    <row r="2212">
      <c r="A2212" s="294">
        <v>46185.0</v>
      </c>
      <c r="B2212" s="295" t="s">
        <v>1238</v>
      </c>
      <c r="C2212" s="295" t="s">
        <v>981</v>
      </c>
      <c r="D2212" s="296">
        <v>14245.0</v>
      </c>
      <c r="E2212" s="295" t="s">
        <v>1017</v>
      </c>
      <c r="F2212" s="292"/>
      <c r="G2212" s="293" t="str">
        <f>IFNA(IF(VLOOKUP(RC_OUT[BLOCK],RC_IN[[BLOCK]:[BLOCK LOC]],2,FALSE)=0,"",VLOOKUP(RC_OUT[BLOCK],RC_IN[[BLOCK]:[BLOCK LOC]],2,FALSE)),"")</f>
        <v/>
      </c>
      <c r="I2212" s="263">
        <f>IFERROR(AVERAGEIFS(RC_IN[MC],RC_IN[BLOCK],RC_OUT[BLOCK]),"")</f>
        <v>10.07</v>
      </c>
      <c r="J2212" s="264">
        <f t="shared" si="54"/>
        <v>143447.15</v>
      </c>
      <c r="K2212" s="246"/>
      <c r="L2212" s="246"/>
      <c r="M2212" s="249"/>
      <c r="N2212" s="266">
        <f t="shared" si="53"/>
        <v>0</v>
      </c>
      <c r="O2212" s="247"/>
      <c r="P2212" s="247"/>
      <c r="Q2212" s="247"/>
      <c r="R2212" s="247"/>
      <c r="S2212" s="247"/>
      <c r="T2212" s="247"/>
      <c r="U2212" s="247"/>
      <c r="V2212" s="247"/>
      <c r="W2212" s="247"/>
      <c r="X2212" s="247"/>
    </row>
    <row r="2213">
      <c r="A2213" s="294">
        <v>46185.0</v>
      </c>
      <c r="B2213" s="295" t="s">
        <v>1238</v>
      </c>
      <c r="C2213" s="295" t="s">
        <v>811</v>
      </c>
      <c r="D2213" s="296">
        <v>1022.0</v>
      </c>
      <c r="E2213" s="295" t="s">
        <v>1017</v>
      </c>
      <c r="F2213" s="292"/>
      <c r="G2213" s="293" t="str">
        <f>IFNA(IF(VLOOKUP(RC_OUT[BLOCK],RC_IN[[BLOCK]:[BLOCK LOC]],2,FALSE)=0,"",VLOOKUP(RC_OUT[BLOCK],RC_IN[[BLOCK]:[BLOCK LOC]],2,FALSE)),"")</f>
        <v>C-6B</v>
      </c>
      <c r="I2213" s="263">
        <f>IFERROR(AVERAGEIFS(RC_IN[MC],RC_IN[BLOCK],RC_OUT[BLOCK]),"")</f>
        <v>11.11333333</v>
      </c>
      <c r="J2213" s="264">
        <f t="shared" si="54"/>
        <v>11357.82667</v>
      </c>
      <c r="K2213" s="246"/>
      <c r="L2213" s="246"/>
      <c r="M2213" s="249"/>
      <c r="N2213" s="266">
        <f t="shared" si="53"/>
        <v>0</v>
      </c>
      <c r="O2213" s="247"/>
      <c r="P2213" s="247"/>
      <c r="Q2213" s="247"/>
      <c r="R2213" s="247"/>
      <c r="S2213" s="247"/>
      <c r="T2213" s="247"/>
      <c r="U2213" s="247"/>
      <c r="V2213" s="247"/>
      <c r="W2213" s="247"/>
      <c r="X2213" s="247"/>
    </row>
    <row r="2214">
      <c r="A2214" s="294"/>
      <c r="B2214" s="295"/>
      <c r="C2214" s="295"/>
      <c r="D2214" s="296"/>
      <c r="E2214" s="295"/>
      <c r="F2214" s="292"/>
      <c r="G2214" s="293" t="str">
        <f>IFNA(IF(VLOOKUP(RC_OUT[BLOCK],RC_IN[[BLOCK]:[BLOCK LOC]],2,FALSE)=0,"",VLOOKUP(RC_OUT[BLOCK],RC_IN[[BLOCK]:[BLOCK LOC]],2,FALSE)),"")</f>
        <v/>
      </c>
      <c r="I2214" s="263" t="str">
        <f>IFERROR(AVERAGEIFS(RC_IN[MC],RC_IN[BLOCK],RC_OUT[BLOCK]),"")</f>
        <v/>
      </c>
      <c r="J2214" s="264">
        <f t="shared" si="54"/>
        <v>0</v>
      </c>
      <c r="K2214" s="246"/>
      <c r="L2214" s="246"/>
      <c r="M2214" s="249"/>
      <c r="N2214" s="266">
        <f t="shared" si="53"/>
        <v>0</v>
      </c>
      <c r="O2214" s="247"/>
      <c r="P2214" s="247"/>
      <c r="Q2214" s="247"/>
      <c r="R2214" s="247"/>
      <c r="S2214" s="247"/>
      <c r="T2214" s="247"/>
      <c r="U2214" s="247"/>
      <c r="V2214" s="247"/>
      <c r="W2214" s="247"/>
      <c r="X2214" s="247"/>
    </row>
    <row r="2215">
      <c r="A2215" s="294">
        <v>46188.0</v>
      </c>
      <c r="B2215" s="295" t="s">
        <v>1238</v>
      </c>
      <c r="C2215" s="295" t="s">
        <v>981</v>
      </c>
      <c r="D2215" s="296">
        <v>5000.0</v>
      </c>
      <c r="E2215" s="295" t="s">
        <v>1017</v>
      </c>
      <c r="F2215" s="297" t="s">
        <v>1059</v>
      </c>
      <c r="G2215" s="293" t="str">
        <f>IFNA(IF(VLOOKUP(RC_OUT[BLOCK],RC_IN[[BLOCK]:[BLOCK LOC]],2,FALSE)=0,"",VLOOKUP(RC_OUT[BLOCK],RC_IN[[BLOCK]:[BLOCK LOC]],2,FALSE)),"")</f>
        <v/>
      </c>
      <c r="I2215" s="263">
        <f>IFERROR(AVERAGEIFS(RC_IN[MC],RC_IN[BLOCK],RC_OUT[BLOCK]),"")</f>
        <v>10.07</v>
      </c>
      <c r="J2215" s="264">
        <f t="shared" si="54"/>
        <v>50350</v>
      </c>
      <c r="K2215" s="246"/>
      <c r="L2215" s="246"/>
      <c r="M2215" s="249"/>
      <c r="N2215" s="266">
        <f t="shared" si="53"/>
        <v>0</v>
      </c>
      <c r="O2215" s="247"/>
      <c r="P2215" s="247"/>
      <c r="Q2215" s="247"/>
      <c r="R2215" s="247"/>
      <c r="S2215" s="247"/>
      <c r="T2215" s="247"/>
      <c r="U2215" s="247"/>
      <c r="V2215" s="247"/>
      <c r="W2215" s="247"/>
      <c r="X2215" s="247"/>
    </row>
    <row r="2216">
      <c r="A2216" s="294">
        <v>46188.0</v>
      </c>
      <c r="B2216" s="295" t="s">
        <v>1238</v>
      </c>
      <c r="C2216" s="295" t="s">
        <v>811</v>
      </c>
      <c r="D2216" s="296">
        <v>11816.0</v>
      </c>
      <c r="E2216" s="295" t="s">
        <v>1017</v>
      </c>
      <c r="F2216" s="292"/>
      <c r="G2216" s="293" t="str">
        <f>IFNA(IF(VLOOKUP(RC_OUT[BLOCK],RC_IN[[BLOCK]:[BLOCK LOC]],2,FALSE)=0,"",VLOOKUP(RC_OUT[BLOCK],RC_IN[[BLOCK]:[BLOCK LOC]],2,FALSE)),"")</f>
        <v>C-6B</v>
      </c>
      <c r="I2216" s="263">
        <f>IFERROR(AVERAGEIFS(RC_IN[MC],RC_IN[BLOCK],RC_OUT[BLOCK]),"")</f>
        <v>11.11333333</v>
      </c>
      <c r="J2216" s="264">
        <f t="shared" si="54"/>
        <v>131315.1467</v>
      </c>
      <c r="K2216" s="246"/>
      <c r="L2216" s="246"/>
      <c r="M2216" s="249"/>
      <c r="N2216" s="266">
        <f t="shared" si="53"/>
        <v>0</v>
      </c>
      <c r="O2216" s="247"/>
      <c r="P2216" s="247"/>
      <c r="Q2216" s="247"/>
      <c r="R2216" s="247"/>
      <c r="S2216" s="247"/>
      <c r="T2216" s="247"/>
      <c r="U2216" s="247"/>
      <c r="V2216" s="247"/>
      <c r="W2216" s="247"/>
      <c r="X2216" s="247"/>
    </row>
    <row r="2217">
      <c r="A2217" s="294">
        <v>46188.0</v>
      </c>
      <c r="B2217" s="295" t="s">
        <v>1238</v>
      </c>
      <c r="C2217" s="295" t="s">
        <v>713</v>
      </c>
      <c r="D2217" s="296">
        <v>17147.0</v>
      </c>
      <c r="E2217" s="295" t="s">
        <v>1017</v>
      </c>
      <c r="F2217" s="292"/>
      <c r="G2217" s="293" t="str">
        <f>IFNA(IF(VLOOKUP(RC_OUT[BLOCK],RC_IN[[BLOCK]:[BLOCK LOC]],2,FALSE)=0,"",VLOOKUP(RC_OUT[BLOCK],RC_IN[[BLOCK]:[BLOCK LOC]],2,FALSE)),"")</f>
        <v>D-11D</v>
      </c>
      <c r="I2217" s="263">
        <f>IFERROR(AVERAGEIFS(RC_IN[MC],RC_IN[BLOCK],RC_OUT[BLOCK]),"")</f>
        <v>11.70285714</v>
      </c>
      <c r="J2217" s="264">
        <f t="shared" si="54"/>
        <v>200668.8914</v>
      </c>
      <c r="K2217" s="246"/>
      <c r="L2217" s="246"/>
      <c r="M2217" s="249"/>
      <c r="N2217" s="266">
        <f t="shared" si="53"/>
        <v>0</v>
      </c>
      <c r="O2217" s="247"/>
      <c r="P2217" s="247"/>
      <c r="Q2217" s="247"/>
      <c r="R2217" s="247"/>
      <c r="S2217" s="247"/>
      <c r="T2217" s="247"/>
      <c r="U2217" s="247"/>
      <c r="V2217" s="247"/>
      <c r="W2217" s="247"/>
      <c r="X2217" s="247"/>
    </row>
    <row r="2218">
      <c r="A2218" s="294"/>
      <c r="B2218" s="295"/>
      <c r="C2218" s="295"/>
      <c r="D2218" s="296"/>
      <c r="E2218" s="295"/>
      <c r="F2218" s="292"/>
      <c r="G2218" s="293" t="str">
        <f>IFNA(IF(VLOOKUP(RC_OUT[BLOCK],RC_IN[[BLOCK]:[BLOCK LOC]],2,FALSE)=0,"",VLOOKUP(RC_OUT[BLOCK],RC_IN[[BLOCK]:[BLOCK LOC]],2,FALSE)),"")</f>
        <v/>
      </c>
      <c r="I2218" s="263" t="str">
        <f>IFERROR(AVERAGEIFS(RC_IN[MC],RC_IN[BLOCK],RC_OUT[BLOCK]),"")</f>
        <v/>
      </c>
      <c r="J2218" s="264">
        <f t="shared" si="54"/>
        <v>0</v>
      </c>
      <c r="K2218" s="246"/>
      <c r="L2218" s="246"/>
      <c r="M2218" s="249"/>
      <c r="N2218" s="266">
        <f t="shared" si="53"/>
        <v>0</v>
      </c>
      <c r="O2218" s="247"/>
      <c r="P2218" s="247"/>
      <c r="Q2218" s="247"/>
      <c r="R2218" s="247"/>
      <c r="S2218" s="247"/>
      <c r="T2218" s="247"/>
      <c r="U2218" s="247"/>
      <c r="V2218" s="247"/>
      <c r="W2218" s="247"/>
      <c r="X2218" s="247"/>
    </row>
    <row r="2219">
      <c r="A2219" s="294">
        <v>46189.0</v>
      </c>
      <c r="B2219" s="295" t="s">
        <v>1238</v>
      </c>
      <c r="C2219" s="295" t="s">
        <v>811</v>
      </c>
      <c r="D2219" s="296">
        <v>16420.0</v>
      </c>
      <c r="E2219" s="295" t="s">
        <v>1017</v>
      </c>
      <c r="F2219" s="292"/>
      <c r="G2219" s="293" t="str">
        <f>IFNA(IF(VLOOKUP(RC_OUT[BLOCK],RC_IN[[BLOCK]:[BLOCK LOC]],2,FALSE)=0,"",VLOOKUP(RC_OUT[BLOCK],RC_IN[[BLOCK]:[BLOCK LOC]],2,FALSE)),"")</f>
        <v>C-6B</v>
      </c>
      <c r="I2219" s="263">
        <f>IFERROR(AVERAGEIFS(RC_IN[MC],RC_IN[BLOCK],RC_OUT[BLOCK]),"")</f>
        <v>11.11333333</v>
      </c>
      <c r="J2219" s="264">
        <f t="shared" si="54"/>
        <v>182480.9333</v>
      </c>
      <c r="K2219" s="246"/>
      <c r="L2219" s="246"/>
      <c r="M2219" s="249"/>
      <c r="N2219" s="266">
        <f t="shared" si="53"/>
        <v>0</v>
      </c>
      <c r="O2219" s="247"/>
      <c r="P2219" s="247"/>
      <c r="Q2219" s="247"/>
      <c r="R2219" s="247"/>
      <c r="S2219" s="247"/>
      <c r="T2219" s="247"/>
      <c r="U2219" s="247"/>
      <c r="V2219" s="247"/>
      <c r="W2219" s="247"/>
      <c r="X2219" s="247"/>
    </row>
    <row r="2220">
      <c r="A2220" s="294">
        <v>46189.0</v>
      </c>
      <c r="B2220" s="295" t="s">
        <v>1238</v>
      </c>
      <c r="C2220" s="295" t="s">
        <v>713</v>
      </c>
      <c r="D2220" s="296">
        <v>10810.0</v>
      </c>
      <c r="E2220" s="295" t="s">
        <v>1017</v>
      </c>
      <c r="F2220" s="292"/>
      <c r="G2220" s="293" t="str">
        <f>IFNA(IF(VLOOKUP(RC_OUT[BLOCK],RC_IN[[BLOCK]:[BLOCK LOC]],2,FALSE)=0,"",VLOOKUP(RC_OUT[BLOCK],RC_IN[[BLOCK]:[BLOCK LOC]],2,FALSE)),"")</f>
        <v>D-11D</v>
      </c>
      <c r="I2220" s="263">
        <f>IFERROR(AVERAGEIFS(RC_IN[MC],RC_IN[BLOCK],RC_OUT[BLOCK]),"")</f>
        <v>11.70285714</v>
      </c>
      <c r="J2220" s="264">
        <f t="shared" si="54"/>
        <v>126507.8857</v>
      </c>
      <c r="K2220" s="246"/>
      <c r="L2220" s="246"/>
      <c r="M2220" s="249"/>
      <c r="N2220" s="266">
        <f t="shared" si="53"/>
        <v>0</v>
      </c>
      <c r="O2220" s="247"/>
      <c r="P2220" s="247"/>
      <c r="Q2220" s="247"/>
      <c r="R2220" s="247"/>
      <c r="S2220" s="247"/>
      <c r="T2220" s="247"/>
      <c r="U2220" s="247"/>
      <c r="V2220" s="247"/>
      <c r="W2220" s="247"/>
      <c r="X2220" s="247"/>
    </row>
    <row r="2221">
      <c r="A2221" s="294">
        <v>46189.0</v>
      </c>
      <c r="B2221" s="295" t="s">
        <v>1238</v>
      </c>
      <c r="C2221" s="295" t="s">
        <v>985</v>
      </c>
      <c r="D2221" s="296">
        <v>6575.0</v>
      </c>
      <c r="E2221" s="295" t="s">
        <v>1017</v>
      </c>
      <c r="F2221" s="292"/>
      <c r="G2221" s="293" t="str">
        <f>IFNA(IF(VLOOKUP(RC_OUT[BLOCK],RC_IN[[BLOCK]:[BLOCK LOC]],2,FALSE)=0,"",VLOOKUP(RC_OUT[BLOCK],RC_IN[[BLOCK]:[BLOCK LOC]],2,FALSE)),"")</f>
        <v/>
      </c>
      <c r="I2221" s="263">
        <f>IFERROR(AVERAGEIFS(RC_IN[MC],RC_IN[BLOCK],RC_OUT[BLOCK]),"")</f>
        <v>9.54</v>
      </c>
      <c r="J2221" s="264">
        <f t="shared" si="54"/>
        <v>62725.5</v>
      </c>
      <c r="K2221" s="246"/>
      <c r="L2221" s="246"/>
      <c r="M2221" s="249"/>
      <c r="N2221" s="266">
        <f t="shared" si="53"/>
        <v>0</v>
      </c>
      <c r="O2221" s="247"/>
      <c r="P2221" s="247"/>
      <c r="Q2221" s="247"/>
      <c r="R2221" s="247"/>
      <c r="S2221" s="247"/>
      <c r="T2221" s="247"/>
      <c r="U2221" s="247"/>
      <c r="V2221" s="247"/>
      <c r="W2221" s="247"/>
      <c r="X2221" s="247"/>
    </row>
    <row r="2222">
      <c r="A2222" s="294"/>
      <c r="B2222" s="295"/>
      <c r="C2222" s="295"/>
      <c r="D2222" s="296"/>
      <c r="E2222" s="295"/>
      <c r="F2222" s="292"/>
      <c r="G2222" s="293" t="str">
        <f>IFNA(IF(VLOOKUP(RC_OUT[BLOCK],RC_IN[[BLOCK]:[BLOCK LOC]],2,FALSE)=0,"",VLOOKUP(RC_OUT[BLOCK],RC_IN[[BLOCK]:[BLOCK LOC]],2,FALSE)),"")</f>
        <v/>
      </c>
      <c r="I2222" s="263" t="str">
        <f>IFERROR(AVERAGEIFS(RC_IN[MC],RC_IN[BLOCK],RC_OUT[BLOCK]),"")</f>
        <v/>
      </c>
      <c r="J2222" s="264">
        <f t="shared" si="54"/>
        <v>0</v>
      </c>
      <c r="K2222" s="246"/>
      <c r="L2222" s="246"/>
      <c r="M2222" s="249"/>
      <c r="N2222" s="266">
        <f t="shared" si="53"/>
        <v>0</v>
      </c>
      <c r="O2222" s="247"/>
      <c r="P2222" s="247"/>
      <c r="Q2222" s="247"/>
      <c r="R2222" s="247"/>
      <c r="S2222" s="247"/>
      <c r="T2222" s="247"/>
      <c r="U2222" s="247"/>
      <c r="V2222" s="247"/>
      <c r="W2222" s="247"/>
      <c r="X2222" s="247"/>
    </row>
    <row r="2223">
      <c r="A2223" s="294">
        <v>46190.0</v>
      </c>
      <c r="B2223" s="295" t="s">
        <v>1238</v>
      </c>
      <c r="C2223" s="295" t="s">
        <v>811</v>
      </c>
      <c r="D2223" s="296">
        <v>10365.0</v>
      </c>
      <c r="E2223" s="295" t="s">
        <v>1017</v>
      </c>
      <c r="F2223" s="292"/>
      <c r="G2223" s="293" t="str">
        <f>IFNA(IF(VLOOKUP(RC_OUT[BLOCK],RC_IN[[BLOCK]:[BLOCK LOC]],2,FALSE)=0,"",VLOOKUP(RC_OUT[BLOCK],RC_IN[[BLOCK]:[BLOCK LOC]],2,FALSE)),"")</f>
        <v>C-6B</v>
      </c>
      <c r="I2223" s="263">
        <f>IFERROR(AVERAGEIFS(RC_IN[MC],RC_IN[BLOCK],RC_OUT[BLOCK]),"")</f>
        <v>11.11333333</v>
      </c>
      <c r="J2223" s="264">
        <f t="shared" si="54"/>
        <v>115189.7</v>
      </c>
      <c r="K2223" s="246"/>
      <c r="L2223" s="246"/>
      <c r="M2223" s="249"/>
      <c r="N2223" s="266">
        <f t="shared" si="53"/>
        <v>0</v>
      </c>
      <c r="O2223" s="247"/>
      <c r="P2223" s="247"/>
      <c r="Q2223" s="247"/>
      <c r="R2223" s="247"/>
      <c r="S2223" s="247"/>
      <c r="T2223" s="247"/>
      <c r="U2223" s="247"/>
      <c r="V2223" s="247"/>
      <c r="W2223" s="247"/>
      <c r="X2223" s="247"/>
    </row>
    <row r="2224">
      <c r="A2224" s="294">
        <v>46190.0</v>
      </c>
      <c r="B2224" s="295" t="s">
        <v>1238</v>
      </c>
      <c r="C2224" s="295" t="s">
        <v>713</v>
      </c>
      <c r="D2224" s="296">
        <v>17532.0</v>
      </c>
      <c r="E2224" s="295" t="s">
        <v>1017</v>
      </c>
      <c r="F2224" s="292"/>
      <c r="G2224" s="293" t="str">
        <f>IFNA(IF(VLOOKUP(RC_OUT[BLOCK],RC_IN[[BLOCK]:[BLOCK LOC]],2,FALSE)=0,"",VLOOKUP(RC_OUT[BLOCK],RC_IN[[BLOCK]:[BLOCK LOC]],2,FALSE)),"")</f>
        <v>D-11D</v>
      </c>
      <c r="I2224" s="263">
        <f>IFERROR(AVERAGEIFS(RC_IN[MC],RC_IN[BLOCK],RC_OUT[BLOCK]),"")</f>
        <v>11.70285714</v>
      </c>
      <c r="J2224" s="264">
        <f t="shared" si="54"/>
        <v>205174.4914</v>
      </c>
      <c r="K2224" s="246"/>
      <c r="L2224" s="246"/>
      <c r="M2224" s="249"/>
      <c r="N2224" s="266">
        <f t="shared" si="53"/>
        <v>0</v>
      </c>
      <c r="O2224" s="247"/>
      <c r="P2224" s="247"/>
      <c r="Q2224" s="247"/>
      <c r="R2224" s="247"/>
      <c r="S2224" s="247"/>
      <c r="T2224" s="247"/>
      <c r="U2224" s="247"/>
      <c r="V2224" s="247"/>
      <c r="W2224" s="247"/>
      <c r="X2224" s="247"/>
    </row>
    <row r="2225">
      <c r="A2225" s="294">
        <v>46190.0</v>
      </c>
      <c r="B2225" s="295" t="s">
        <v>1238</v>
      </c>
      <c r="C2225" s="295" t="s">
        <v>985</v>
      </c>
      <c r="D2225" s="296">
        <v>6000.0</v>
      </c>
      <c r="E2225" s="295" t="s">
        <v>1017</v>
      </c>
      <c r="F2225" s="292"/>
      <c r="G2225" s="293" t="str">
        <f>IFNA(IF(VLOOKUP(RC_OUT[BLOCK],RC_IN[[BLOCK]:[BLOCK LOC]],2,FALSE)=0,"",VLOOKUP(RC_OUT[BLOCK],RC_IN[[BLOCK]:[BLOCK LOC]],2,FALSE)),"")</f>
        <v/>
      </c>
      <c r="I2225" s="263">
        <f>IFERROR(AVERAGEIFS(RC_IN[MC],RC_IN[BLOCK],RC_OUT[BLOCK]),"")</f>
        <v>9.54</v>
      </c>
      <c r="J2225" s="264">
        <f t="shared" si="54"/>
        <v>57240</v>
      </c>
      <c r="K2225" s="246"/>
      <c r="L2225" s="246"/>
      <c r="M2225" s="249"/>
      <c r="N2225" s="266">
        <f t="shared" si="53"/>
        <v>0</v>
      </c>
      <c r="O2225" s="247"/>
      <c r="P2225" s="247"/>
      <c r="Q2225" s="247"/>
      <c r="R2225" s="247"/>
      <c r="S2225" s="247"/>
      <c r="T2225" s="247"/>
      <c r="U2225" s="247"/>
      <c r="V2225" s="247"/>
      <c r="W2225" s="247"/>
      <c r="X2225" s="247"/>
    </row>
    <row r="2226">
      <c r="A2226" s="294"/>
      <c r="B2226" s="295"/>
      <c r="C2226" s="295"/>
      <c r="D2226" s="296"/>
      <c r="E2226" s="295"/>
      <c r="F2226" s="292"/>
      <c r="G2226" s="293" t="str">
        <f>IFNA(IF(VLOOKUP(RC_OUT[BLOCK],RC_IN[[BLOCK]:[BLOCK LOC]],2,FALSE)=0,"",VLOOKUP(RC_OUT[BLOCK],RC_IN[[BLOCK]:[BLOCK LOC]],2,FALSE)),"")</f>
        <v/>
      </c>
      <c r="I2226" s="263" t="str">
        <f>IFERROR(AVERAGEIFS(RC_IN[MC],RC_IN[BLOCK],RC_OUT[BLOCK]),"")</f>
        <v/>
      </c>
      <c r="J2226" s="264">
        <f t="shared" si="54"/>
        <v>0</v>
      </c>
      <c r="K2226" s="246"/>
      <c r="L2226" s="246"/>
      <c r="M2226" s="249"/>
      <c r="N2226" s="266">
        <f t="shared" si="53"/>
        <v>0</v>
      </c>
      <c r="O2226" s="247"/>
      <c r="P2226" s="247"/>
      <c r="Q2226" s="247"/>
      <c r="R2226" s="247"/>
      <c r="S2226" s="247"/>
      <c r="T2226" s="247"/>
      <c r="U2226" s="247"/>
      <c r="V2226" s="247"/>
      <c r="W2226" s="247"/>
      <c r="X2226" s="247"/>
    </row>
    <row r="2227">
      <c r="A2227" s="294">
        <v>46191.0</v>
      </c>
      <c r="B2227" s="295" t="s">
        <v>1238</v>
      </c>
      <c r="C2227" s="295" t="s">
        <v>811</v>
      </c>
      <c r="D2227" s="296">
        <v>10594.0</v>
      </c>
      <c r="E2227" s="295" t="s">
        <v>1017</v>
      </c>
      <c r="F2227" s="297" t="s">
        <v>1059</v>
      </c>
      <c r="G2227" s="293" t="str">
        <f>IFNA(IF(VLOOKUP(RC_OUT[BLOCK],RC_IN[[BLOCK]:[BLOCK LOC]],2,FALSE)=0,"",VLOOKUP(RC_OUT[BLOCK],RC_IN[[BLOCK]:[BLOCK LOC]],2,FALSE)),"")</f>
        <v>C-6B</v>
      </c>
      <c r="I2227" s="263">
        <f>IFERROR(AVERAGEIFS(RC_IN[MC],RC_IN[BLOCK],RC_OUT[BLOCK]),"")</f>
        <v>11.11333333</v>
      </c>
      <c r="J2227" s="264">
        <f t="shared" si="54"/>
        <v>117734.6533</v>
      </c>
      <c r="K2227" s="246"/>
      <c r="L2227" s="246"/>
      <c r="M2227" s="249"/>
      <c r="N2227" s="266">
        <f t="shared" si="53"/>
        <v>0</v>
      </c>
      <c r="O2227" s="247"/>
      <c r="P2227" s="247"/>
      <c r="Q2227" s="247"/>
      <c r="R2227" s="247"/>
      <c r="S2227" s="247"/>
      <c r="T2227" s="247"/>
      <c r="U2227" s="247"/>
      <c r="V2227" s="247"/>
      <c r="W2227" s="247"/>
      <c r="X2227" s="247"/>
    </row>
    <row r="2228">
      <c r="A2228" s="294">
        <v>46191.0</v>
      </c>
      <c r="B2228" s="295" t="s">
        <v>1238</v>
      </c>
      <c r="C2228" s="295" t="s">
        <v>713</v>
      </c>
      <c r="D2228" s="296">
        <v>12832.0</v>
      </c>
      <c r="E2228" s="295" t="s">
        <v>1017</v>
      </c>
      <c r="F2228" s="292"/>
      <c r="G2228" s="293" t="str">
        <f>IFNA(IF(VLOOKUP(RC_OUT[BLOCK],RC_IN[[BLOCK]:[BLOCK LOC]],2,FALSE)=0,"",VLOOKUP(RC_OUT[BLOCK],RC_IN[[BLOCK]:[BLOCK LOC]],2,FALSE)),"")</f>
        <v>D-11D</v>
      </c>
      <c r="I2228" s="263">
        <f>IFERROR(AVERAGEIFS(RC_IN[MC],RC_IN[BLOCK],RC_OUT[BLOCK]),"")</f>
        <v>11.70285714</v>
      </c>
      <c r="J2228" s="264">
        <f t="shared" si="54"/>
        <v>150171.0629</v>
      </c>
      <c r="K2228" s="246"/>
      <c r="L2228" s="246"/>
      <c r="M2228" s="249"/>
      <c r="N2228" s="266">
        <f t="shared" si="53"/>
        <v>0</v>
      </c>
      <c r="O2228" s="247"/>
      <c r="P2228" s="247"/>
      <c r="Q2228" s="247"/>
      <c r="R2228" s="247"/>
      <c r="S2228" s="247"/>
      <c r="T2228" s="247"/>
      <c r="U2228" s="247"/>
      <c r="V2228" s="247"/>
      <c r="W2228" s="247"/>
      <c r="X2228" s="247"/>
    </row>
    <row r="2229">
      <c r="A2229" s="294">
        <v>46191.0</v>
      </c>
      <c r="B2229" s="295" t="s">
        <v>1238</v>
      </c>
      <c r="C2229" s="295" t="s">
        <v>985</v>
      </c>
      <c r="D2229" s="296">
        <v>6000.0</v>
      </c>
      <c r="E2229" s="295" t="s">
        <v>1017</v>
      </c>
      <c r="F2229" s="297" t="s">
        <v>1059</v>
      </c>
      <c r="G2229" s="293" t="str">
        <f>IFNA(IF(VLOOKUP(RC_OUT[BLOCK],RC_IN[[BLOCK]:[BLOCK LOC]],2,FALSE)=0,"",VLOOKUP(RC_OUT[BLOCK],RC_IN[[BLOCK]:[BLOCK LOC]],2,FALSE)),"")</f>
        <v/>
      </c>
      <c r="I2229" s="263">
        <f>IFERROR(AVERAGEIFS(RC_IN[MC],RC_IN[BLOCK],RC_OUT[BLOCK]),"")</f>
        <v>9.54</v>
      </c>
      <c r="J2229" s="264">
        <f t="shared" si="54"/>
        <v>57240</v>
      </c>
      <c r="K2229" s="246"/>
      <c r="L2229" s="246"/>
      <c r="M2229" s="249"/>
      <c r="N2229" s="266">
        <f t="shared" si="53"/>
        <v>0</v>
      </c>
      <c r="O2229" s="247"/>
      <c r="P2229" s="247"/>
      <c r="Q2229" s="247"/>
      <c r="R2229" s="247"/>
      <c r="S2229" s="247"/>
      <c r="T2229" s="247"/>
      <c r="U2229" s="247"/>
      <c r="V2229" s="247"/>
      <c r="W2229" s="247"/>
      <c r="X2229" s="247"/>
    </row>
    <row r="2230">
      <c r="A2230" s="294"/>
      <c r="B2230" s="295"/>
      <c r="C2230" s="295"/>
      <c r="D2230" s="296"/>
      <c r="E2230" s="295"/>
      <c r="F2230" s="292"/>
      <c r="G2230" s="293" t="str">
        <f>IFNA(IF(VLOOKUP(RC_OUT[BLOCK],RC_IN[[BLOCK]:[BLOCK LOC]],2,FALSE)=0,"",VLOOKUP(RC_OUT[BLOCK],RC_IN[[BLOCK]:[BLOCK LOC]],2,FALSE)),"")</f>
        <v/>
      </c>
      <c r="I2230" s="263" t="str">
        <f>IFERROR(AVERAGEIFS(RC_IN[MC],RC_IN[BLOCK],RC_OUT[BLOCK]),"")</f>
        <v/>
      </c>
      <c r="J2230" s="264">
        <f t="shared" si="54"/>
        <v>0</v>
      </c>
      <c r="K2230" s="246"/>
      <c r="L2230" s="246"/>
      <c r="M2230" s="249"/>
      <c r="N2230" s="266">
        <f t="shared" si="53"/>
        <v>0</v>
      </c>
      <c r="O2230" s="247"/>
      <c r="P2230" s="247"/>
      <c r="Q2230" s="247"/>
      <c r="R2230" s="247"/>
      <c r="S2230" s="247"/>
      <c r="T2230" s="247"/>
      <c r="U2230" s="247"/>
      <c r="V2230" s="247"/>
      <c r="W2230" s="247"/>
      <c r="X2230" s="247"/>
    </row>
    <row r="2231">
      <c r="A2231" s="294">
        <v>46192.0</v>
      </c>
      <c r="B2231" s="295" t="s">
        <v>1238</v>
      </c>
      <c r="C2231" s="295" t="s">
        <v>713</v>
      </c>
      <c r="D2231" s="296">
        <v>5970.0</v>
      </c>
      <c r="E2231" s="295" t="s">
        <v>1017</v>
      </c>
      <c r="F2231" s="292"/>
      <c r="G2231" s="293" t="str">
        <f>IFNA(IF(VLOOKUP(RC_OUT[BLOCK],RC_IN[[BLOCK]:[BLOCK LOC]],2,FALSE)=0,"",VLOOKUP(RC_OUT[BLOCK],RC_IN[[BLOCK]:[BLOCK LOC]],2,FALSE)),"")</f>
        <v>D-11D</v>
      </c>
      <c r="I2231" s="263">
        <f>IFERROR(AVERAGEIFS(RC_IN[MC],RC_IN[BLOCK],RC_OUT[BLOCK]),"")</f>
        <v>11.70285714</v>
      </c>
      <c r="J2231" s="264">
        <f t="shared" si="54"/>
        <v>69866.05714</v>
      </c>
      <c r="K2231" s="246"/>
      <c r="L2231" s="246"/>
      <c r="M2231" s="249"/>
      <c r="N2231" s="266">
        <f t="shared" si="53"/>
        <v>0</v>
      </c>
      <c r="O2231" s="247"/>
      <c r="P2231" s="247"/>
      <c r="Q2231" s="247"/>
      <c r="R2231" s="247"/>
      <c r="S2231" s="247"/>
      <c r="T2231" s="247"/>
      <c r="U2231" s="247"/>
      <c r="V2231" s="247"/>
      <c r="W2231" s="247"/>
      <c r="X2231" s="247"/>
    </row>
    <row r="2232">
      <c r="A2232" s="294">
        <v>46192.0</v>
      </c>
      <c r="B2232" s="295" t="s">
        <v>1238</v>
      </c>
      <c r="C2232" s="295" t="s">
        <v>814</v>
      </c>
      <c r="D2232" s="296">
        <v>12934.0</v>
      </c>
      <c r="E2232" s="295" t="s">
        <v>1017</v>
      </c>
      <c r="F2232" s="292"/>
      <c r="G2232" s="293" t="str">
        <f>IFNA(IF(VLOOKUP(RC_OUT[BLOCK],RC_IN[[BLOCK]:[BLOCK LOC]],2,FALSE)=0,"",VLOOKUP(RC_OUT[BLOCK],RC_IN[[BLOCK]:[BLOCK LOC]],2,FALSE)),"")</f>
        <v>C-6A</v>
      </c>
      <c r="I2232" s="263">
        <f>IFERROR(AVERAGEIFS(RC_IN[MC],RC_IN[BLOCK],RC_OUT[BLOCK]),"")</f>
        <v>11.17</v>
      </c>
      <c r="J2232" s="264">
        <f t="shared" si="54"/>
        <v>144472.78</v>
      </c>
      <c r="K2232" s="246"/>
      <c r="L2232" s="246"/>
      <c r="M2232" s="249"/>
      <c r="N2232" s="266">
        <f t="shared" si="53"/>
        <v>0</v>
      </c>
      <c r="O2232" s="247"/>
      <c r="P2232" s="247"/>
      <c r="Q2232" s="247"/>
      <c r="R2232" s="247"/>
      <c r="S2232" s="247"/>
      <c r="T2232" s="247"/>
      <c r="U2232" s="247"/>
      <c r="V2232" s="247"/>
      <c r="W2232" s="247"/>
      <c r="X2232" s="247"/>
    </row>
    <row r="2233">
      <c r="A2233" s="294">
        <v>46192.0</v>
      </c>
      <c r="B2233" s="295" t="s">
        <v>1238</v>
      </c>
      <c r="C2233" s="295" t="s">
        <v>986</v>
      </c>
      <c r="D2233" s="296">
        <v>10990.0</v>
      </c>
      <c r="E2233" s="295" t="s">
        <v>1017</v>
      </c>
      <c r="F2233" s="292"/>
      <c r="G2233" s="293" t="str">
        <f>IFNA(IF(VLOOKUP(RC_OUT[BLOCK],RC_IN[[BLOCK]:[BLOCK LOC]],2,FALSE)=0,"",VLOOKUP(RC_OUT[BLOCK],RC_IN[[BLOCK]:[BLOCK LOC]],2,FALSE)),"")</f>
        <v/>
      </c>
      <c r="I2233" s="263">
        <f>IFERROR(AVERAGEIFS(RC_IN[MC],RC_IN[BLOCK],RC_OUT[BLOCK]),"")</f>
        <v>11.07</v>
      </c>
      <c r="J2233" s="264">
        <f t="shared" si="54"/>
        <v>121659.3</v>
      </c>
      <c r="K2233" s="246"/>
      <c r="L2233" s="246"/>
      <c r="M2233" s="249"/>
      <c r="N2233" s="266">
        <f t="shared" si="53"/>
        <v>0</v>
      </c>
      <c r="O2233" s="247"/>
      <c r="P2233" s="247"/>
      <c r="Q2233" s="247"/>
      <c r="R2233" s="247"/>
      <c r="S2233" s="247"/>
      <c r="T2233" s="247"/>
      <c r="U2233" s="247"/>
      <c r="V2233" s="247"/>
      <c r="W2233" s="247"/>
      <c r="X2233" s="247"/>
    </row>
    <row r="2234">
      <c r="A2234" s="294"/>
      <c r="B2234" s="295"/>
      <c r="C2234" s="295"/>
      <c r="D2234" s="296"/>
      <c r="E2234" s="295"/>
      <c r="F2234" s="292"/>
      <c r="G2234" s="293" t="str">
        <f>IFNA(IF(VLOOKUP(RC_OUT[BLOCK],RC_IN[[BLOCK]:[BLOCK LOC]],2,FALSE)=0,"",VLOOKUP(RC_OUT[BLOCK],RC_IN[[BLOCK]:[BLOCK LOC]],2,FALSE)),"")</f>
        <v/>
      </c>
      <c r="I2234" s="263" t="str">
        <f>IFERROR(AVERAGEIFS(RC_IN[MC],RC_IN[BLOCK],RC_OUT[BLOCK]),"")</f>
        <v/>
      </c>
      <c r="J2234" s="264">
        <f t="shared" si="54"/>
        <v>0</v>
      </c>
      <c r="K2234" s="246"/>
      <c r="L2234" s="246"/>
      <c r="M2234" s="249"/>
      <c r="N2234" s="266">
        <f t="shared" si="53"/>
        <v>0</v>
      </c>
      <c r="O2234" s="247"/>
      <c r="P2234" s="247"/>
      <c r="Q2234" s="247"/>
      <c r="R2234" s="247"/>
      <c r="S2234" s="247"/>
      <c r="T2234" s="247"/>
      <c r="U2234" s="247"/>
      <c r="V2234" s="247"/>
      <c r="W2234" s="247"/>
      <c r="X2234" s="247"/>
    </row>
    <row r="2235">
      <c r="A2235" s="294">
        <v>46193.0</v>
      </c>
      <c r="B2235" s="295" t="s">
        <v>1238</v>
      </c>
      <c r="C2235" s="295" t="s">
        <v>713</v>
      </c>
      <c r="D2235" s="296">
        <v>5343.0</v>
      </c>
      <c r="E2235" s="295" t="s">
        <v>1017</v>
      </c>
      <c r="F2235" s="297" t="s">
        <v>1059</v>
      </c>
      <c r="G2235" s="293" t="str">
        <f>IFNA(IF(VLOOKUP(RC_OUT[BLOCK],RC_IN[[BLOCK]:[BLOCK LOC]],2,FALSE)=0,"",VLOOKUP(RC_OUT[BLOCK],RC_IN[[BLOCK]:[BLOCK LOC]],2,FALSE)),"")</f>
        <v>D-11D</v>
      </c>
      <c r="I2235" s="263">
        <f>IFERROR(AVERAGEIFS(RC_IN[MC],RC_IN[BLOCK],RC_OUT[BLOCK]),"")</f>
        <v>11.70285714</v>
      </c>
      <c r="J2235" s="264">
        <f t="shared" si="54"/>
        <v>62528.36571</v>
      </c>
      <c r="K2235" s="246"/>
      <c r="L2235" s="246"/>
      <c r="M2235" s="249"/>
      <c r="N2235" s="266">
        <f t="shared" si="53"/>
        <v>0</v>
      </c>
      <c r="O2235" s="247"/>
      <c r="P2235" s="247"/>
      <c r="Q2235" s="247"/>
      <c r="R2235" s="247"/>
      <c r="S2235" s="247"/>
      <c r="T2235" s="247"/>
      <c r="U2235" s="247"/>
      <c r="V2235" s="247"/>
      <c r="W2235" s="247"/>
      <c r="X2235" s="247"/>
    </row>
    <row r="2236">
      <c r="A2236" s="294">
        <v>46193.0</v>
      </c>
      <c r="B2236" s="295" t="s">
        <v>1238</v>
      </c>
      <c r="C2236" s="295" t="s">
        <v>814</v>
      </c>
      <c r="D2236" s="296">
        <v>7551.0</v>
      </c>
      <c r="E2236" s="295" t="s">
        <v>1017</v>
      </c>
      <c r="F2236" s="292"/>
      <c r="G2236" s="293" t="str">
        <f>IFNA(IF(VLOOKUP(RC_OUT[BLOCK],RC_IN[[BLOCK]:[BLOCK LOC]],2,FALSE)=0,"",VLOOKUP(RC_OUT[BLOCK],RC_IN[[BLOCK]:[BLOCK LOC]],2,FALSE)),"")</f>
        <v>C-6A</v>
      </c>
      <c r="I2236" s="263">
        <f>IFERROR(AVERAGEIFS(RC_IN[MC],RC_IN[BLOCK],RC_OUT[BLOCK]),"")</f>
        <v>11.17</v>
      </c>
      <c r="J2236" s="264">
        <f t="shared" si="54"/>
        <v>84344.67</v>
      </c>
      <c r="K2236" s="246"/>
      <c r="L2236" s="246"/>
      <c r="M2236" s="249"/>
      <c r="N2236" s="266">
        <f t="shared" si="53"/>
        <v>0</v>
      </c>
      <c r="O2236" s="247"/>
      <c r="P2236" s="247"/>
      <c r="Q2236" s="247"/>
      <c r="R2236" s="247"/>
      <c r="S2236" s="247"/>
      <c r="T2236" s="247"/>
      <c r="U2236" s="247"/>
      <c r="V2236" s="247"/>
      <c r="W2236" s="247"/>
      <c r="X2236" s="247"/>
    </row>
    <row r="2237">
      <c r="A2237" s="294">
        <v>46193.0</v>
      </c>
      <c r="B2237" s="295" t="s">
        <v>1238</v>
      </c>
      <c r="C2237" s="295" t="s">
        <v>986</v>
      </c>
      <c r="D2237" s="296">
        <v>8000.0</v>
      </c>
      <c r="E2237" s="295" t="s">
        <v>1017</v>
      </c>
      <c r="F2237" s="292"/>
      <c r="G2237" s="293" t="str">
        <f>IFNA(IF(VLOOKUP(RC_OUT[BLOCK],RC_IN[[BLOCK]:[BLOCK LOC]],2,FALSE)=0,"",VLOOKUP(RC_OUT[BLOCK],RC_IN[[BLOCK]:[BLOCK LOC]],2,FALSE)),"")</f>
        <v/>
      </c>
      <c r="I2237" s="263">
        <f>IFERROR(AVERAGEIFS(RC_IN[MC],RC_IN[BLOCK],RC_OUT[BLOCK]),"")</f>
        <v>11.07</v>
      </c>
      <c r="J2237" s="264">
        <f t="shared" si="54"/>
        <v>88560</v>
      </c>
      <c r="K2237" s="246"/>
      <c r="L2237" s="246"/>
      <c r="M2237" s="249"/>
      <c r="N2237" s="266">
        <f t="shared" si="53"/>
        <v>0</v>
      </c>
      <c r="O2237" s="247"/>
      <c r="P2237" s="247"/>
      <c r="Q2237" s="247"/>
      <c r="R2237" s="247"/>
      <c r="S2237" s="247"/>
      <c r="T2237" s="247"/>
      <c r="U2237" s="247"/>
      <c r="V2237" s="247"/>
      <c r="W2237" s="247"/>
      <c r="X2237" s="247"/>
    </row>
    <row r="2238">
      <c r="A2238" s="294">
        <v>46193.0</v>
      </c>
      <c r="B2238" s="295" t="s">
        <v>1238</v>
      </c>
      <c r="C2238" s="295" t="s">
        <v>900</v>
      </c>
      <c r="D2238" s="296">
        <v>5538.0</v>
      </c>
      <c r="E2238" s="295" t="s">
        <v>1017</v>
      </c>
      <c r="F2238" s="292"/>
      <c r="G2238" s="293" t="str">
        <f>IFNA(IF(VLOOKUP(RC_OUT[BLOCK],RC_IN[[BLOCK]:[BLOCK LOC]],2,FALSE)=0,"",VLOOKUP(RC_OUT[BLOCK],RC_IN[[BLOCK]:[BLOCK LOC]],2,FALSE)),"")</f>
        <v>A-5B</v>
      </c>
      <c r="I2238" s="263">
        <f>IFERROR(AVERAGEIFS(RC_IN[MC],RC_IN[BLOCK],RC_OUT[BLOCK]),"")</f>
        <v>11.7375</v>
      </c>
      <c r="J2238" s="264">
        <f t="shared" si="54"/>
        <v>65002.275</v>
      </c>
      <c r="K2238" s="246"/>
      <c r="L2238" s="246"/>
      <c r="M2238" s="249"/>
      <c r="N2238" s="266">
        <f t="shared" si="53"/>
        <v>0</v>
      </c>
      <c r="O2238" s="247"/>
      <c r="P2238" s="247"/>
      <c r="Q2238" s="247"/>
      <c r="R2238" s="247"/>
      <c r="S2238" s="247"/>
      <c r="T2238" s="247"/>
      <c r="U2238" s="247"/>
      <c r="V2238" s="247"/>
      <c r="W2238" s="247"/>
      <c r="X2238" s="247"/>
    </row>
    <row r="2239">
      <c r="A2239" s="294">
        <v>46193.0</v>
      </c>
      <c r="B2239" s="295" t="s">
        <v>1238</v>
      </c>
      <c r="C2239" s="295" t="s">
        <v>249</v>
      </c>
      <c r="D2239" s="296">
        <v>12310.0</v>
      </c>
      <c r="E2239" s="295" t="s">
        <v>1017</v>
      </c>
      <c r="F2239" s="292"/>
      <c r="G2239" s="293" t="str">
        <f>IFNA(IF(VLOOKUP(RC_OUT[BLOCK],RC_IN[[BLOCK]:[BLOCK LOC]],2,FALSE)=0,"",VLOOKUP(RC_OUT[BLOCK],RC_IN[[BLOCK]:[BLOCK LOC]],2,FALSE)),"")</f>
        <v>C-11A</v>
      </c>
      <c r="I2239" s="263">
        <f>IFERROR(AVERAGEIFS(RC_IN[MC],RC_IN[BLOCK],RC_OUT[BLOCK]),"")</f>
        <v>7.79</v>
      </c>
      <c r="J2239" s="264">
        <f t="shared" si="54"/>
        <v>95894.9</v>
      </c>
      <c r="K2239" s="246"/>
      <c r="L2239" s="246"/>
      <c r="M2239" s="249"/>
      <c r="N2239" s="266">
        <f t="shared" si="53"/>
        <v>0</v>
      </c>
      <c r="O2239" s="247"/>
      <c r="P2239" s="247"/>
      <c r="Q2239" s="247"/>
      <c r="R2239" s="247"/>
      <c r="S2239" s="247"/>
      <c r="T2239" s="247"/>
      <c r="U2239" s="247"/>
      <c r="V2239" s="247"/>
      <c r="W2239" s="247"/>
      <c r="X2239" s="247"/>
    </row>
    <row r="2240">
      <c r="A2240" s="294"/>
      <c r="B2240" s="295"/>
      <c r="C2240" s="295"/>
      <c r="D2240" s="296"/>
      <c r="E2240" s="295"/>
      <c r="F2240" s="292"/>
      <c r="G2240" s="293" t="str">
        <f>IFNA(IF(VLOOKUP(RC_OUT[BLOCK],RC_IN[[BLOCK]:[BLOCK LOC]],2,FALSE)=0,"",VLOOKUP(RC_OUT[BLOCK],RC_IN[[BLOCK]:[BLOCK LOC]],2,FALSE)),"")</f>
        <v/>
      </c>
      <c r="I2240" s="263" t="str">
        <f>IFERROR(AVERAGEIFS(RC_IN[MC],RC_IN[BLOCK],RC_OUT[BLOCK]),"")</f>
        <v/>
      </c>
      <c r="J2240" s="264">
        <f t="shared" si="54"/>
        <v>0</v>
      </c>
      <c r="K2240" s="246"/>
      <c r="L2240" s="246"/>
      <c r="M2240" s="249"/>
      <c r="N2240" s="266">
        <f t="shared" si="53"/>
        <v>0</v>
      </c>
      <c r="O2240" s="247"/>
      <c r="P2240" s="247"/>
      <c r="Q2240" s="247"/>
      <c r="R2240" s="247"/>
      <c r="S2240" s="247"/>
      <c r="T2240" s="247"/>
      <c r="U2240" s="247"/>
      <c r="V2240" s="247"/>
      <c r="W2240" s="247"/>
      <c r="X2240" s="247"/>
    </row>
    <row r="2241">
      <c r="A2241" s="294">
        <v>46195.0</v>
      </c>
      <c r="B2241" s="295" t="s">
        <v>1238</v>
      </c>
      <c r="C2241" s="295" t="s">
        <v>814</v>
      </c>
      <c r="D2241" s="296">
        <v>7668.0</v>
      </c>
      <c r="E2241" s="295" t="s">
        <v>1017</v>
      </c>
      <c r="F2241" s="292"/>
      <c r="G2241" s="293" t="str">
        <f>IFNA(IF(VLOOKUP(RC_OUT[BLOCK],RC_IN[[BLOCK]:[BLOCK LOC]],2,FALSE)=0,"",VLOOKUP(RC_OUT[BLOCK],RC_IN[[BLOCK]:[BLOCK LOC]],2,FALSE)),"")</f>
        <v>C-6A</v>
      </c>
      <c r="I2241" s="263">
        <f>IFERROR(AVERAGEIFS(RC_IN[MC],RC_IN[BLOCK],RC_OUT[BLOCK]),"")</f>
        <v>11.17</v>
      </c>
      <c r="J2241" s="264">
        <f t="shared" si="54"/>
        <v>85651.56</v>
      </c>
      <c r="K2241" s="246"/>
      <c r="L2241" s="246"/>
      <c r="M2241" s="249"/>
      <c r="N2241" s="266">
        <f t="shared" si="53"/>
        <v>0</v>
      </c>
      <c r="O2241" s="247"/>
      <c r="P2241" s="247"/>
      <c r="Q2241" s="247"/>
      <c r="R2241" s="247"/>
      <c r="S2241" s="247"/>
      <c r="T2241" s="247"/>
      <c r="U2241" s="247"/>
      <c r="V2241" s="247"/>
      <c r="W2241" s="247"/>
      <c r="X2241" s="247"/>
    </row>
    <row r="2242">
      <c r="A2242" s="294">
        <v>46195.0</v>
      </c>
      <c r="B2242" s="295" t="s">
        <v>1238</v>
      </c>
      <c r="C2242" s="295" t="s">
        <v>986</v>
      </c>
      <c r="D2242" s="296">
        <v>7000.0</v>
      </c>
      <c r="E2242" s="295" t="s">
        <v>1017</v>
      </c>
      <c r="F2242" s="297" t="s">
        <v>1059</v>
      </c>
      <c r="G2242" s="293" t="str">
        <f>IFNA(IF(VLOOKUP(RC_OUT[BLOCK],RC_IN[[BLOCK]:[BLOCK LOC]],2,FALSE)=0,"",VLOOKUP(RC_OUT[BLOCK],RC_IN[[BLOCK]:[BLOCK LOC]],2,FALSE)),"")</f>
        <v/>
      </c>
      <c r="I2242" s="263">
        <f>IFERROR(AVERAGEIFS(RC_IN[MC],RC_IN[BLOCK],RC_OUT[BLOCK]),"")</f>
        <v>11.07</v>
      </c>
      <c r="J2242" s="264">
        <f t="shared" si="54"/>
        <v>77490</v>
      </c>
      <c r="K2242" s="246"/>
      <c r="L2242" s="246"/>
      <c r="M2242" s="249"/>
      <c r="N2242" s="266">
        <f t="shared" si="53"/>
        <v>0</v>
      </c>
      <c r="O2242" s="247"/>
      <c r="P2242" s="247"/>
      <c r="Q2242" s="247"/>
      <c r="R2242" s="247"/>
      <c r="S2242" s="247"/>
      <c r="T2242" s="247"/>
      <c r="U2242" s="247"/>
      <c r="V2242" s="247"/>
      <c r="W2242" s="247"/>
      <c r="X2242" s="247"/>
    </row>
    <row r="2243">
      <c r="A2243" s="294">
        <v>46195.0</v>
      </c>
      <c r="B2243" s="295" t="s">
        <v>1238</v>
      </c>
      <c r="C2243" s="295" t="s">
        <v>900</v>
      </c>
      <c r="D2243" s="296">
        <v>5274.0</v>
      </c>
      <c r="E2243" s="295" t="s">
        <v>1017</v>
      </c>
      <c r="F2243" s="292"/>
      <c r="G2243" s="293" t="str">
        <f>IFNA(IF(VLOOKUP(RC_OUT[BLOCK],RC_IN[[BLOCK]:[BLOCK LOC]],2,FALSE)=0,"",VLOOKUP(RC_OUT[BLOCK],RC_IN[[BLOCK]:[BLOCK LOC]],2,FALSE)),"")</f>
        <v>A-5B</v>
      </c>
      <c r="I2243" s="263">
        <f>IFERROR(AVERAGEIFS(RC_IN[MC],RC_IN[BLOCK],RC_OUT[BLOCK]),"")</f>
        <v>11.7375</v>
      </c>
      <c r="J2243" s="264">
        <f t="shared" si="54"/>
        <v>61903.575</v>
      </c>
      <c r="K2243" s="246"/>
      <c r="L2243" s="246"/>
      <c r="M2243" s="249"/>
      <c r="N2243" s="266">
        <f t="shared" si="53"/>
        <v>0</v>
      </c>
      <c r="O2243" s="247"/>
      <c r="P2243" s="247"/>
      <c r="Q2243" s="247"/>
      <c r="R2243" s="247"/>
      <c r="S2243" s="247"/>
      <c r="T2243" s="247"/>
      <c r="U2243" s="247"/>
      <c r="V2243" s="247"/>
      <c r="W2243" s="247"/>
      <c r="X2243" s="247"/>
    </row>
    <row r="2244">
      <c r="A2244" s="294">
        <v>46195.0</v>
      </c>
      <c r="B2244" s="295" t="s">
        <v>1238</v>
      </c>
      <c r="C2244" s="295" t="s">
        <v>249</v>
      </c>
      <c r="D2244" s="296">
        <v>9697.0</v>
      </c>
      <c r="E2244" s="295" t="s">
        <v>1017</v>
      </c>
      <c r="F2244" s="292"/>
      <c r="G2244" s="293" t="str">
        <f>IFNA(IF(VLOOKUP(RC_OUT[BLOCK],RC_IN[[BLOCK]:[BLOCK LOC]],2,FALSE)=0,"",VLOOKUP(RC_OUT[BLOCK],RC_IN[[BLOCK]:[BLOCK LOC]],2,FALSE)),"")</f>
        <v>C-11A</v>
      </c>
      <c r="I2244" s="263">
        <f>IFERROR(AVERAGEIFS(RC_IN[MC],RC_IN[BLOCK],RC_OUT[BLOCK]),"")</f>
        <v>7.79</v>
      </c>
      <c r="J2244" s="264">
        <f t="shared" si="54"/>
        <v>75539.63</v>
      </c>
      <c r="K2244" s="246"/>
      <c r="L2244" s="246"/>
      <c r="M2244" s="249"/>
      <c r="N2244" s="266">
        <f t="shared" si="53"/>
        <v>0</v>
      </c>
      <c r="O2244" s="247"/>
      <c r="P2244" s="247"/>
      <c r="Q2244" s="247"/>
      <c r="R2244" s="247"/>
      <c r="S2244" s="247"/>
      <c r="T2244" s="247"/>
      <c r="U2244" s="247"/>
      <c r="V2244" s="247"/>
      <c r="W2244" s="247"/>
      <c r="X2244" s="247"/>
    </row>
    <row r="2245">
      <c r="A2245" s="294"/>
      <c r="B2245" s="295"/>
      <c r="C2245" s="295"/>
      <c r="D2245" s="296"/>
      <c r="E2245" s="295"/>
      <c r="F2245" s="292"/>
      <c r="G2245" s="293" t="str">
        <f>IFNA(IF(VLOOKUP(RC_OUT[BLOCK],RC_IN[[BLOCK]:[BLOCK LOC]],2,FALSE)=0,"",VLOOKUP(RC_OUT[BLOCK],RC_IN[[BLOCK]:[BLOCK LOC]],2,FALSE)),"")</f>
        <v/>
      </c>
      <c r="I2245" s="263" t="str">
        <f>IFERROR(AVERAGEIFS(RC_IN[MC],RC_IN[BLOCK],RC_OUT[BLOCK]),"")</f>
        <v/>
      </c>
      <c r="J2245" s="264">
        <f t="shared" si="54"/>
        <v>0</v>
      </c>
      <c r="K2245" s="246"/>
      <c r="L2245" s="246"/>
      <c r="M2245" s="249"/>
      <c r="N2245" s="266">
        <f t="shared" si="53"/>
        <v>0</v>
      </c>
      <c r="O2245" s="247"/>
      <c r="P2245" s="247"/>
      <c r="Q2245" s="247"/>
      <c r="R2245" s="247"/>
      <c r="S2245" s="247"/>
      <c r="T2245" s="247"/>
      <c r="U2245" s="247"/>
      <c r="V2245" s="247"/>
      <c r="W2245" s="247"/>
      <c r="X2245" s="247"/>
    </row>
    <row r="2246">
      <c r="A2246" s="294">
        <v>46196.0</v>
      </c>
      <c r="B2246" s="295" t="s">
        <v>1238</v>
      </c>
      <c r="C2246" s="295" t="s">
        <v>814</v>
      </c>
      <c r="D2246" s="296">
        <v>6770.0</v>
      </c>
      <c r="E2246" s="295" t="s">
        <v>1017</v>
      </c>
      <c r="F2246" s="292"/>
      <c r="G2246" s="293" t="str">
        <f>IFNA(IF(VLOOKUP(RC_OUT[BLOCK],RC_IN[[BLOCK]:[BLOCK LOC]],2,FALSE)=0,"",VLOOKUP(RC_OUT[BLOCK],RC_IN[[BLOCK]:[BLOCK LOC]],2,FALSE)),"")</f>
        <v>C-6A</v>
      </c>
      <c r="I2246" s="263">
        <f>IFERROR(AVERAGEIFS(RC_IN[MC],RC_IN[BLOCK],RC_OUT[BLOCK]),"")</f>
        <v>11.17</v>
      </c>
      <c r="J2246" s="264">
        <f t="shared" si="54"/>
        <v>75620.9</v>
      </c>
      <c r="K2246" s="246"/>
      <c r="L2246" s="246"/>
      <c r="M2246" s="249"/>
      <c r="N2246" s="266">
        <f t="shared" si="53"/>
        <v>0</v>
      </c>
      <c r="O2246" s="247"/>
      <c r="P2246" s="247"/>
      <c r="Q2246" s="247"/>
      <c r="R2246" s="247"/>
      <c r="S2246" s="247"/>
      <c r="T2246" s="247"/>
      <c r="U2246" s="247"/>
      <c r="V2246" s="247"/>
      <c r="W2246" s="247"/>
      <c r="X2246" s="247"/>
    </row>
    <row r="2247">
      <c r="A2247" s="294">
        <v>46196.0</v>
      </c>
      <c r="B2247" s="295" t="s">
        <v>1238</v>
      </c>
      <c r="C2247" s="295" t="s">
        <v>900</v>
      </c>
      <c r="D2247" s="296">
        <v>5137.0</v>
      </c>
      <c r="E2247" s="295" t="s">
        <v>1017</v>
      </c>
      <c r="F2247" s="292"/>
      <c r="G2247" s="293" t="str">
        <f>IFNA(IF(VLOOKUP(RC_OUT[BLOCK],RC_IN[[BLOCK]:[BLOCK LOC]],2,FALSE)=0,"",VLOOKUP(RC_OUT[BLOCK],RC_IN[[BLOCK]:[BLOCK LOC]],2,FALSE)),"")</f>
        <v>A-5B</v>
      </c>
      <c r="I2247" s="263">
        <f>IFERROR(AVERAGEIFS(RC_IN[MC],RC_IN[BLOCK],RC_OUT[BLOCK]),"")</f>
        <v>11.7375</v>
      </c>
      <c r="J2247" s="264">
        <f t="shared" si="54"/>
        <v>60295.5375</v>
      </c>
      <c r="K2247" s="246"/>
      <c r="L2247" s="246"/>
      <c r="M2247" s="249"/>
      <c r="N2247" s="266">
        <f t="shared" si="53"/>
        <v>0</v>
      </c>
      <c r="O2247" s="247"/>
      <c r="P2247" s="247"/>
      <c r="Q2247" s="247"/>
      <c r="R2247" s="247"/>
      <c r="S2247" s="247"/>
      <c r="T2247" s="247"/>
      <c r="U2247" s="247"/>
      <c r="V2247" s="247"/>
      <c r="W2247" s="247"/>
      <c r="X2247" s="247"/>
    </row>
    <row r="2248">
      <c r="A2248" s="294">
        <v>46196.0</v>
      </c>
      <c r="B2248" s="295" t="s">
        <v>1238</v>
      </c>
      <c r="C2248" s="295" t="s">
        <v>249</v>
      </c>
      <c r="D2248" s="296">
        <v>15319.0</v>
      </c>
      <c r="E2248" s="295" t="s">
        <v>1017</v>
      </c>
      <c r="F2248" s="292"/>
      <c r="G2248" s="293" t="str">
        <f>IFNA(IF(VLOOKUP(RC_OUT[BLOCK],RC_IN[[BLOCK]:[BLOCK LOC]],2,FALSE)=0,"",VLOOKUP(RC_OUT[BLOCK],RC_IN[[BLOCK]:[BLOCK LOC]],2,FALSE)),"")</f>
        <v>C-11A</v>
      </c>
      <c r="I2248" s="263">
        <f>IFERROR(AVERAGEIFS(RC_IN[MC],RC_IN[BLOCK],RC_OUT[BLOCK]),"")</f>
        <v>7.79</v>
      </c>
      <c r="J2248" s="264">
        <f t="shared" si="54"/>
        <v>119335.01</v>
      </c>
      <c r="K2248" s="246"/>
      <c r="L2248" s="246"/>
      <c r="M2248" s="249"/>
      <c r="N2248" s="266">
        <f t="shared" si="53"/>
        <v>0</v>
      </c>
      <c r="O2248" s="247"/>
      <c r="P2248" s="247"/>
      <c r="Q2248" s="247"/>
      <c r="R2248" s="247"/>
      <c r="S2248" s="247"/>
      <c r="T2248" s="247"/>
      <c r="U2248" s="247"/>
      <c r="V2248" s="247"/>
      <c r="W2248" s="247"/>
      <c r="X2248" s="247"/>
    </row>
    <row r="2249">
      <c r="A2249" s="294">
        <v>46196.0</v>
      </c>
      <c r="B2249" s="295" t="s">
        <v>1238</v>
      </c>
      <c r="C2249" s="295" t="s">
        <v>995</v>
      </c>
      <c r="D2249" s="296">
        <v>10000.0</v>
      </c>
      <c r="E2249" s="295" t="s">
        <v>1017</v>
      </c>
      <c r="F2249" s="292"/>
      <c r="G2249" s="293" t="str">
        <f>IFNA(IF(VLOOKUP(RC_OUT[BLOCK],RC_IN[[BLOCK]:[BLOCK LOC]],2,FALSE)=0,"",VLOOKUP(RC_OUT[BLOCK],RC_IN[[BLOCK]:[BLOCK LOC]],2,FALSE)),"")</f>
        <v/>
      </c>
      <c r="I2249" s="263">
        <f>IFERROR(AVERAGEIFS(RC_IN[MC],RC_IN[BLOCK],RC_OUT[BLOCK]),"")</f>
        <v>11.2</v>
      </c>
      <c r="J2249" s="264">
        <f t="shared" si="54"/>
        <v>112000</v>
      </c>
      <c r="K2249" s="246"/>
      <c r="L2249" s="246"/>
      <c r="M2249" s="249"/>
      <c r="N2249" s="266">
        <f t="shared" si="53"/>
        <v>0</v>
      </c>
      <c r="O2249" s="247"/>
      <c r="P2249" s="247"/>
      <c r="Q2249" s="247"/>
      <c r="R2249" s="247"/>
      <c r="S2249" s="247"/>
      <c r="T2249" s="247"/>
      <c r="U2249" s="247"/>
      <c r="V2249" s="247"/>
      <c r="W2249" s="247"/>
      <c r="X2249" s="247"/>
    </row>
    <row r="2250">
      <c r="A2250" s="294"/>
      <c r="B2250" s="295"/>
      <c r="C2250" s="295"/>
      <c r="D2250" s="296"/>
      <c r="E2250" s="295"/>
      <c r="F2250" s="292"/>
      <c r="G2250" s="293" t="str">
        <f>IFNA(IF(VLOOKUP(RC_OUT[BLOCK],RC_IN[[BLOCK]:[BLOCK LOC]],2,FALSE)=0,"",VLOOKUP(RC_OUT[BLOCK],RC_IN[[BLOCK]:[BLOCK LOC]],2,FALSE)),"")</f>
        <v/>
      </c>
      <c r="I2250" s="263" t="str">
        <f>IFERROR(AVERAGEIFS(RC_IN[MC],RC_IN[BLOCK],RC_OUT[BLOCK]),"")</f>
        <v/>
      </c>
      <c r="J2250" s="264">
        <f t="shared" si="54"/>
        <v>0</v>
      </c>
      <c r="K2250" s="246"/>
      <c r="L2250" s="246"/>
      <c r="M2250" s="249"/>
      <c r="N2250" s="266">
        <f t="shared" si="53"/>
        <v>0</v>
      </c>
      <c r="O2250" s="247"/>
      <c r="P2250" s="247"/>
      <c r="Q2250" s="247"/>
      <c r="R2250" s="247"/>
      <c r="S2250" s="247"/>
      <c r="T2250" s="247"/>
      <c r="U2250" s="247"/>
      <c r="V2250" s="247"/>
      <c r="W2250" s="247"/>
      <c r="X2250" s="247"/>
    </row>
    <row r="2251">
      <c r="A2251" s="294">
        <v>46197.0</v>
      </c>
      <c r="B2251" s="295" t="s">
        <v>1238</v>
      </c>
      <c r="C2251" s="295" t="s">
        <v>814</v>
      </c>
      <c r="D2251" s="296">
        <v>3787.0</v>
      </c>
      <c r="E2251" s="295" t="s">
        <v>1017</v>
      </c>
      <c r="F2251" s="292"/>
      <c r="G2251" s="293" t="str">
        <f>IFNA(IF(VLOOKUP(RC_OUT[BLOCK],RC_IN[[BLOCK]:[BLOCK LOC]],2,FALSE)=0,"",VLOOKUP(RC_OUT[BLOCK],RC_IN[[BLOCK]:[BLOCK LOC]],2,FALSE)),"")</f>
        <v>C-6A</v>
      </c>
      <c r="I2251" s="263">
        <f>IFERROR(AVERAGEIFS(RC_IN[MC],RC_IN[BLOCK],RC_OUT[BLOCK]),"")</f>
        <v>11.17</v>
      </c>
      <c r="J2251" s="264">
        <f t="shared" si="54"/>
        <v>42300.79</v>
      </c>
      <c r="K2251" s="246"/>
      <c r="L2251" s="246"/>
      <c r="M2251" s="249"/>
      <c r="N2251" s="266">
        <f t="shared" si="53"/>
        <v>0</v>
      </c>
      <c r="O2251" s="247"/>
      <c r="P2251" s="247"/>
      <c r="Q2251" s="247"/>
      <c r="R2251" s="247"/>
      <c r="S2251" s="247"/>
      <c r="T2251" s="247"/>
      <c r="U2251" s="247"/>
      <c r="V2251" s="247"/>
      <c r="W2251" s="247"/>
      <c r="X2251" s="247"/>
    </row>
    <row r="2252">
      <c r="A2252" s="294">
        <v>46197.0</v>
      </c>
      <c r="B2252" s="295" t="s">
        <v>1238</v>
      </c>
      <c r="C2252" s="295" t="s">
        <v>900</v>
      </c>
      <c r="D2252" s="296">
        <v>3757.0</v>
      </c>
      <c r="E2252" s="295" t="s">
        <v>1017</v>
      </c>
      <c r="F2252" s="292"/>
      <c r="G2252" s="293" t="str">
        <f>IFNA(IF(VLOOKUP(RC_OUT[BLOCK],RC_IN[[BLOCK]:[BLOCK LOC]],2,FALSE)=0,"",VLOOKUP(RC_OUT[BLOCK],RC_IN[[BLOCK]:[BLOCK LOC]],2,FALSE)),"")</f>
        <v>A-5B</v>
      </c>
      <c r="I2252" s="263">
        <f>IFERROR(AVERAGEIFS(RC_IN[MC],RC_IN[BLOCK],RC_OUT[BLOCK]),"")</f>
        <v>11.7375</v>
      </c>
      <c r="J2252" s="264">
        <f t="shared" si="54"/>
        <v>44097.7875</v>
      </c>
      <c r="K2252" s="246"/>
      <c r="L2252" s="246"/>
      <c r="M2252" s="249"/>
      <c r="N2252" s="266">
        <f t="shared" si="53"/>
        <v>0</v>
      </c>
      <c r="O2252" s="247"/>
      <c r="P2252" s="247"/>
      <c r="Q2252" s="247"/>
      <c r="R2252" s="247"/>
      <c r="S2252" s="247"/>
      <c r="T2252" s="247"/>
      <c r="U2252" s="247"/>
      <c r="V2252" s="247"/>
      <c r="W2252" s="247"/>
      <c r="X2252" s="247"/>
    </row>
    <row r="2253">
      <c r="A2253" s="294">
        <v>46197.0</v>
      </c>
      <c r="B2253" s="295" t="s">
        <v>1238</v>
      </c>
      <c r="C2253" s="295" t="s">
        <v>249</v>
      </c>
      <c r="D2253" s="296">
        <v>21220.0</v>
      </c>
      <c r="E2253" s="295" t="s">
        <v>1017</v>
      </c>
      <c r="F2253" s="297" t="s">
        <v>1059</v>
      </c>
      <c r="G2253" s="293" t="str">
        <f>IFNA(IF(VLOOKUP(RC_OUT[BLOCK],RC_IN[[BLOCK]:[BLOCK LOC]],2,FALSE)=0,"",VLOOKUP(RC_OUT[BLOCK],RC_IN[[BLOCK]:[BLOCK LOC]],2,FALSE)),"")</f>
        <v>C-11A</v>
      </c>
      <c r="I2253" s="263">
        <f>IFERROR(AVERAGEIFS(RC_IN[MC],RC_IN[BLOCK],RC_OUT[BLOCK]),"")</f>
        <v>7.79</v>
      </c>
      <c r="J2253" s="264">
        <f t="shared" si="54"/>
        <v>165303.8</v>
      </c>
      <c r="K2253" s="246"/>
      <c r="L2253" s="246"/>
      <c r="M2253" s="249"/>
      <c r="N2253" s="266">
        <f t="shared" si="53"/>
        <v>0</v>
      </c>
      <c r="O2253" s="247"/>
      <c r="P2253" s="247"/>
      <c r="Q2253" s="247"/>
      <c r="R2253" s="247"/>
      <c r="S2253" s="247"/>
      <c r="T2253" s="247"/>
      <c r="U2253" s="247"/>
      <c r="V2253" s="247"/>
      <c r="W2253" s="247"/>
      <c r="X2253" s="247"/>
    </row>
    <row r="2254">
      <c r="A2254" s="294">
        <v>46197.0</v>
      </c>
      <c r="B2254" s="295" t="s">
        <v>1238</v>
      </c>
      <c r="C2254" s="295" t="s">
        <v>995</v>
      </c>
      <c r="D2254" s="296">
        <v>9035.0</v>
      </c>
      <c r="E2254" s="295" t="s">
        <v>1017</v>
      </c>
      <c r="F2254" s="297" t="s">
        <v>1059</v>
      </c>
      <c r="G2254" s="293" t="str">
        <f>IFNA(IF(VLOOKUP(RC_OUT[BLOCK],RC_IN[[BLOCK]:[BLOCK LOC]],2,FALSE)=0,"",VLOOKUP(RC_OUT[BLOCK],RC_IN[[BLOCK]:[BLOCK LOC]],2,FALSE)),"")</f>
        <v/>
      </c>
      <c r="I2254" s="263">
        <f>IFERROR(AVERAGEIFS(RC_IN[MC],RC_IN[BLOCK],RC_OUT[BLOCK]),"")</f>
        <v>11.2</v>
      </c>
      <c r="J2254" s="264">
        <f t="shared" si="54"/>
        <v>101192</v>
      </c>
      <c r="K2254" s="246"/>
      <c r="L2254" s="246"/>
      <c r="M2254" s="249"/>
      <c r="N2254" s="266">
        <f t="shared" si="53"/>
        <v>0</v>
      </c>
      <c r="O2254" s="247"/>
      <c r="P2254" s="247"/>
      <c r="Q2254" s="247"/>
      <c r="R2254" s="247"/>
      <c r="S2254" s="247"/>
      <c r="T2254" s="247"/>
      <c r="U2254" s="247"/>
      <c r="V2254" s="247"/>
      <c r="W2254" s="247"/>
      <c r="X2254" s="247"/>
    </row>
    <row r="2255">
      <c r="A2255" s="294">
        <v>46197.0</v>
      </c>
      <c r="B2255" s="295" t="s">
        <v>1238</v>
      </c>
      <c r="C2255" s="295" t="s">
        <v>237</v>
      </c>
      <c r="D2255" s="296">
        <v>2769.0</v>
      </c>
      <c r="E2255" s="295" t="s">
        <v>1017</v>
      </c>
      <c r="F2255" s="292"/>
      <c r="G2255" s="293" t="str">
        <f>IFNA(IF(VLOOKUP(RC_OUT[BLOCK],RC_IN[[BLOCK]:[BLOCK LOC]],2,FALSE)=0,"",VLOOKUP(RC_OUT[BLOCK],RC_IN[[BLOCK]:[BLOCK LOC]],2,FALSE)),"")</f>
        <v>C-3B</v>
      </c>
      <c r="I2255" s="263">
        <f>IFERROR(AVERAGEIFS(RC_IN[MC],RC_IN[BLOCK],RC_OUT[BLOCK]),"")</f>
        <v>7.8525</v>
      </c>
      <c r="J2255" s="264">
        <f t="shared" si="54"/>
        <v>21743.5725</v>
      </c>
      <c r="K2255" s="246"/>
      <c r="L2255" s="246"/>
      <c r="M2255" s="249"/>
      <c r="N2255" s="266">
        <f t="shared" si="53"/>
        <v>0</v>
      </c>
      <c r="O2255" s="247"/>
      <c r="P2255" s="247"/>
      <c r="Q2255" s="247"/>
      <c r="R2255" s="247"/>
      <c r="S2255" s="247"/>
      <c r="T2255" s="247"/>
      <c r="U2255" s="247"/>
      <c r="V2255" s="247"/>
      <c r="W2255" s="247"/>
      <c r="X2255" s="247"/>
    </row>
    <row r="2256">
      <c r="A2256" s="294"/>
      <c r="B2256" s="295"/>
      <c r="C2256" s="295"/>
      <c r="D2256" s="296"/>
      <c r="E2256" s="295"/>
      <c r="F2256" s="292"/>
      <c r="G2256" s="293" t="str">
        <f>IFNA(IF(VLOOKUP(RC_OUT[BLOCK],RC_IN[[BLOCK]:[BLOCK LOC]],2,FALSE)=0,"",VLOOKUP(RC_OUT[BLOCK],RC_IN[[BLOCK]:[BLOCK LOC]],2,FALSE)),"")</f>
        <v/>
      </c>
      <c r="I2256" s="263" t="str">
        <f>IFERROR(AVERAGEIFS(RC_IN[MC],RC_IN[BLOCK],RC_OUT[BLOCK]),"")</f>
        <v/>
      </c>
      <c r="J2256" s="264">
        <f t="shared" si="54"/>
        <v>0</v>
      </c>
      <c r="K2256" s="246"/>
      <c r="L2256" s="246"/>
      <c r="M2256" s="249"/>
      <c r="N2256" s="266">
        <f t="shared" si="53"/>
        <v>0</v>
      </c>
      <c r="O2256" s="247"/>
      <c r="P2256" s="247"/>
      <c r="Q2256" s="247"/>
      <c r="R2256" s="247"/>
      <c r="S2256" s="247"/>
      <c r="T2256" s="247"/>
      <c r="U2256" s="247"/>
      <c r="V2256" s="247"/>
      <c r="W2256" s="247"/>
      <c r="X2256" s="247"/>
    </row>
    <row r="2257">
      <c r="A2257" s="294">
        <v>46198.0</v>
      </c>
      <c r="B2257" s="295" t="s">
        <v>1238</v>
      </c>
      <c r="C2257" s="295" t="s">
        <v>814</v>
      </c>
      <c r="D2257" s="296">
        <v>3482.0</v>
      </c>
      <c r="E2257" s="295" t="s">
        <v>1017</v>
      </c>
      <c r="F2257" s="292"/>
      <c r="G2257" s="293" t="str">
        <f>IFNA(IF(VLOOKUP(RC_OUT[BLOCK],RC_IN[[BLOCK]:[BLOCK LOC]],2,FALSE)=0,"",VLOOKUP(RC_OUT[BLOCK],RC_IN[[BLOCK]:[BLOCK LOC]],2,FALSE)),"")</f>
        <v>C-6A</v>
      </c>
      <c r="I2257" s="263">
        <f>IFERROR(AVERAGEIFS(RC_IN[MC],RC_IN[BLOCK],RC_OUT[BLOCK]),"")</f>
        <v>11.17</v>
      </c>
      <c r="J2257" s="264">
        <f t="shared" si="54"/>
        <v>38893.94</v>
      </c>
      <c r="K2257" s="246"/>
      <c r="L2257" s="246"/>
      <c r="M2257" s="249"/>
      <c r="N2257" s="266">
        <f t="shared" si="53"/>
        <v>0</v>
      </c>
      <c r="O2257" s="247"/>
      <c r="P2257" s="247"/>
      <c r="Q2257" s="247"/>
      <c r="R2257" s="247"/>
      <c r="S2257" s="247"/>
      <c r="T2257" s="247"/>
      <c r="U2257" s="247"/>
      <c r="V2257" s="247"/>
      <c r="W2257" s="247"/>
      <c r="X2257" s="247"/>
    </row>
    <row r="2258">
      <c r="A2258" s="294">
        <v>46198.0</v>
      </c>
      <c r="B2258" s="295" t="s">
        <v>1238</v>
      </c>
      <c r="C2258" s="295" t="s">
        <v>900</v>
      </c>
      <c r="D2258" s="296">
        <v>3698.0</v>
      </c>
      <c r="E2258" s="295" t="s">
        <v>1017</v>
      </c>
      <c r="F2258" s="292"/>
      <c r="G2258" s="293" t="str">
        <f>IFNA(IF(VLOOKUP(RC_OUT[BLOCK],RC_IN[[BLOCK]:[BLOCK LOC]],2,FALSE)=0,"",VLOOKUP(RC_OUT[BLOCK],RC_IN[[BLOCK]:[BLOCK LOC]],2,FALSE)),"")</f>
        <v>A-5B</v>
      </c>
      <c r="I2258" s="263">
        <f>IFERROR(AVERAGEIFS(RC_IN[MC],RC_IN[BLOCK],RC_OUT[BLOCK]),"")</f>
        <v>11.7375</v>
      </c>
      <c r="J2258" s="264">
        <f t="shared" si="54"/>
        <v>43405.275</v>
      </c>
      <c r="K2258" s="246"/>
      <c r="L2258" s="246"/>
      <c r="M2258" s="249"/>
      <c r="N2258" s="266">
        <f t="shared" si="53"/>
        <v>0</v>
      </c>
      <c r="O2258" s="247"/>
      <c r="P2258" s="247"/>
      <c r="Q2258" s="247"/>
      <c r="R2258" s="247"/>
      <c r="S2258" s="247"/>
      <c r="T2258" s="247"/>
      <c r="U2258" s="247"/>
      <c r="V2258" s="247"/>
      <c r="W2258" s="247"/>
      <c r="X2258" s="247"/>
    </row>
    <row r="2259">
      <c r="A2259" s="294">
        <v>46198.0</v>
      </c>
      <c r="B2259" s="295" t="s">
        <v>1238</v>
      </c>
      <c r="C2259" s="295" t="s">
        <v>237</v>
      </c>
      <c r="D2259" s="296">
        <v>26274.0</v>
      </c>
      <c r="E2259" s="295" t="s">
        <v>1017</v>
      </c>
      <c r="F2259" s="292"/>
      <c r="G2259" s="293" t="str">
        <f>IFNA(IF(VLOOKUP(RC_OUT[BLOCK],RC_IN[[BLOCK]:[BLOCK LOC]],2,FALSE)=0,"",VLOOKUP(RC_OUT[BLOCK],RC_IN[[BLOCK]:[BLOCK LOC]],2,FALSE)),"")</f>
        <v>C-3B</v>
      </c>
      <c r="I2259" s="263">
        <f>IFERROR(AVERAGEIFS(RC_IN[MC],RC_IN[BLOCK],RC_OUT[BLOCK]),"")</f>
        <v>7.8525</v>
      </c>
      <c r="J2259" s="264">
        <f t="shared" si="54"/>
        <v>206316.585</v>
      </c>
      <c r="K2259" s="246"/>
      <c r="L2259" s="246"/>
      <c r="M2259" s="249"/>
      <c r="N2259" s="266">
        <f t="shared" si="53"/>
        <v>0</v>
      </c>
      <c r="O2259" s="247"/>
      <c r="P2259" s="247"/>
      <c r="Q2259" s="247"/>
      <c r="R2259" s="247"/>
      <c r="S2259" s="247"/>
      <c r="T2259" s="247"/>
      <c r="U2259" s="247"/>
      <c r="V2259" s="247"/>
      <c r="W2259" s="247"/>
      <c r="X2259" s="247"/>
    </row>
    <row r="2260">
      <c r="A2260" s="294"/>
      <c r="B2260" s="295"/>
      <c r="C2260" s="295"/>
      <c r="D2260" s="296"/>
      <c r="E2260" s="295"/>
      <c r="F2260" s="292"/>
      <c r="G2260" s="293" t="str">
        <f>IFNA(IF(VLOOKUP(RC_OUT[BLOCK],RC_IN[[BLOCK]:[BLOCK LOC]],2,FALSE)=0,"",VLOOKUP(RC_OUT[BLOCK],RC_IN[[BLOCK]:[BLOCK LOC]],2,FALSE)),"")</f>
        <v/>
      </c>
      <c r="I2260" s="263" t="str">
        <f>IFERROR(AVERAGEIFS(RC_IN[MC],RC_IN[BLOCK],RC_OUT[BLOCK]),"")</f>
        <v/>
      </c>
      <c r="J2260" s="264">
        <f t="shared" si="54"/>
        <v>0</v>
      </c>
      <c r="K2260" s="246"/>
      <c r="L2260" s="246"/>
      <c r="M2260" s="249"/>
      <c r="N2260" s="266">
        <f t="shared" si="53"/>
        <v>0</v>
      </c>
      <c r="O2260" s="247"/>
      <c r="P2260" s="247"/>
      <c r="Q2260" s="247"/>
      <c r="R2260" s="247"/>
      <c r="S2260" s="247"/>
      <c r="T2260" s="247"/>
      <c r="U2260" s="247"/>
      <c r="V2260" s="247"/>
      <c r="W2260" s="247"/>
      <c r="X2260" s="247"/>
    </row>
    <row r="2261">
      <c r="A2261" s="294">
        <v>46199.0</v>
      </c>
      <c r="B2261" s="295" t="s">
        <v>1238</v>
      </c>
      <c r="C2261" s="295" t="s">
        <v>814</v>
      </c>
      <c r="D2261" s="296">
        <v>4733.0</v>
      </c>
      <c r="E2261" s="295" t="s">
        <v>1017</v>
      </c>
      <c r="F2261" s="292"/>
      <c r="G2261" s="293" t="str">
        <f>IFNA(IF(VLOOKUP(RC_OUT[BLOCK],RC_IN[[BLOCK]:[BLOCK LOC]],2,FALSE)=0,"",VLOOKUP(RC_OUT[BLOCK],RC_IN[[BLOCK]:[BLOCK LOC]],2,FALSE)),"")</f>
        <v>C-6A</v>
      </c>
      <c r="I2261" s="263">
        <f>IFERROR(AVERAGEIFS(RC_IN[MC],RC_IN[BLOCK],RC_OUT[BLOCK]),"")</f>
        <v>11.17</v>
      </c>
      <c r="J2261" s="264">
        <f t="shared" si="54"/>
        <v>52867.61</v>
      </c>
      <c r="K2261" s="246"/>
      <c r="L2261" s="246"/>
      <c r="M2261" s="249"/>
      <c r="N2261" s="266">
        <f t="shared" si="53"/>
        <v>0</v>
      </c>
      <c r="O2261" s="247"/>
      <c r="P2261" s="247"/>
      <c r="Q2261" s="247"/>
      <c r="R2261" s="247"/>
      <c r="S2261" s="247"/>
      <c r="T2261" s="247"/>
      <c r="U2261" s="247"/>
      <c r="V2261" s="247"/>
      <c r="W2261" s="247"/>
      <c r="X2261" s="247"/>
    </row>
    <row r="2262">
      <c r="A2262" s="294">
        <v>46199.0</v>
      </c>
      <c r="B2262" s="295" t="s">
        <v>1238</v>
      </c>
      <c r="C2262" s="295" t="s">
        <v>900</v>
      </c>
      <c r="D2262" s="296">
        <v>5111.0</v>
      </c>
      <c r="E2262" s="295" t="s">
        <v>1017</v>
      </c>
      <c r="F2262" s="292"/>
      <c r="G2262" s="293" t="str">
        <f>IFNA(IF(VLOOKUP(RC_OUT[BLOCK],RC_IN[[BLOCK]:[BLOCK LOC]],2,FALSE)=0,"",VLOOKUP(RC_OUT[BLOCK],RC_IN[[BLOCK]:[BLOCK LOC]],2,FALSE)),"")</f>
        <v>A-5B</v>
      </c>
      <c r="I2262" s="263">
        <f>IFERROR(AVERAGEIFS(RC_IN[MC],RC_IN[BLOCK],RC_OUT[BLOCK]),"")</f>
        <v>11.7375</v>
      </c>
      <c r="J2262" s="264">
        <f t="shared" si="54"/>
        <v>59990.3625</v>
      </c>
      <c r="K2262" s="246"/>
      <c r="L2262" s="246"/>
      <c r="M2262" s="249"/>
      <c r="N2262" s="266">
        <f t="shared" si="53"/>
        <v>0</v>
      </c>
      <c r="O2262" s="247"/>
      <c r="P2262" s="247"/>
      <c r="Q2262" s="247"/>
      <c r="R2262" s="247"/>
      <c r="S2262" s="247"/>
      <c r="T2262" s="247"/>
      <c r="U2262" s="247"/>
      <c r="V2262" s="247"/>
      <c r="W2262" s="247"/>
      <c r="X2262" s="247"/>
    </row>
    <row r="2263">
      <c r="A2263" s="294">
        <v>46199.0</v>
      </c>
      <c r="B2263" s="295" t="s">
        <v>1238</v>
      </c>
      <c r="C2263" s="295" t="s">
        <v>237</v>
      </c>
      <c r="D2263" s="296">
        <v>17700.0</v>
      </c>
      <c r="E2263" s="295" t="s">
        <v>1017</v>
      </c>
      <c r="F2263" s="297" t="s">
        <v>1059</v>
      </c>
      <c r="G2263" s="293" t="str">
        <f>IFNA(IF(VLOOKUP(RC_OUT[BLOCK],RC_IN[[BLOCK]:[BLOCK LOC]],2,FALSE)=0,"",VLOOKUP(RC_OUT[BLOCK],RC_IN[[BLOCK]:[BLOCK LOC]],2,FALSE)),"")</f>
        <v>C-3B</v>
      </c>
      <c r="I2263" s="263">
        <f>IFERROR(AVERAGEIFS(RC_IN[MC],RC_IN[BLOCK],RC_OUT[BLOCK]),"")</f>
        <v>7.8525</v>
      </c>
      <c r="J2263" s="264">
        <f t="shared" si="54"/>
        <v>138989.25</v>
      </c>
      <c r="K2263" s="246"/>
      <c r="L2263" s="246"/>
      <c r="M2263" s="249"/>
      <c r="N2263" s="266">
        <f t="shared" si="53"/>
        <v>0</v>
      </c>
      <c r="O2263" s="247"/>
      <c r="P2263" s="247"/>
      <c r="Q2263" s="247"/>
      <c r="R2263" s="247"/>
      <c r="S2263" s="247"/>
      <c r="T2263" s="247"/>
      <c r="U2263" s="247"/>
      <c r="V2263" s="247"/>
      <c r="W2263" s="247"/>
      <c r="X2263" s="247"/>
    </row>
    <row r="2264">
      <c r="A2264" s="294">
        <v>46199.0</v>
      </c>
      <c r="B2264" s="295" t="s">
        <v>1238</v>
      </c>
      <c r="C2264" s="295" t="s">
        <v>419</v>
      </c>
      <c r="D2264" s="296">
        <v>19246.0</v>
      </c>
      <c r="E2264" s="295" t="s">
        <v>1017</v>
      </c>
      <c r="F2264" s="292"/>
      <c r="G2264" s="293" t="str">
        <f>IFNA(IF(VLOOKUP(RC_OUT[BLOCK],RC_IN[[BLOCK]:[BLOCK LOC]],2,FALSE)=0,"",VLOOKUP(RC_OUT[BLOCK],RC_IN[[BLOCK]:[BLOCK LOC]],2,FALSE)),"")</f>
        <v>D-7A</v>
      </c>
      <c r="I2264" s="263">
        <f>IFERROR(AVERAGEIFS(RC_IN[MC],RC_IN[BLOCK],RC_OUT[BLOCK]),"")</f>
        <v>11.385</v>
      </c>
      <c r="J2264" s="264">
        <f t="shared" si="54"/>
        <v>219115.71</v>
      </c>
      <c r="K2264" s="246"/>
      <c r="L2264" s="246"/>
      <c r="M2264" s="249"/>
      <c r="N2264" s="266">
        <f t="shared" si="53"/>
        <v>0</v>
      </c>
      <c r="O2264" s="247"/>
      <c r="P2264" s="247"/>
      <c r="Q2264" s="247"/>
      <c r="R2264" s="247"/>
      <c r="S2264" s="247"/>
      <c r="T2264" s="247"/>
      <c r="U2264" s="247"/>
      <c r="V2264" s="247"/>
      <c r="W2264" s="247"/>
      <c r="X2264" s="247"/>
    </row>
    <row r="2265">
      <c r="A2265" s="294"/>
      <c r="B2265" s="295"/>
      <c r="C2265" s="295"/>
      <c r="D2265" s="296"/>
      <c r="E2265" s="295"/>
      <c r="F2265" s="292"/>
      <c r="G2265" s="293" t="str">
        <f>IFNA(IF(VLOOKUP(RC_OUT[BLOCK],RC_IN[[BLOCK]:[BLOCK LOC]],2,FALSE)=0,"",VLOOKUP(RC_OUT[BLOCK],RC_IN[[BLOCK]:[BLOCK LOC]],2,FALSE)),"")</f>
        <v/>
      </c>
      <c r="I2265" s="263" t="str">
        <f>IFERROR(AVERAGEIFS(RC_IN[MC],RC_IN[BLOCK],RC_OUT[BLOCK]),"")</f>
        <v/>
      </c>
      <c r="J2265" s="264">
        <f t="shared" si="54"/>
        <v>0</v>
      </c>
      <c r="K2265" s="246"/>
      <c r="L2265" s="246"/>
      <c r="M2265" s="249"/>
      <c r="N2265" s="266">
        <f t="shared" si="53"/>
        <v>0</v>
      </c>
      <c r="O2265" s="247"/>
      <c r="P2265" s="247"/>
      <c r="Q2265" s="247"/>
      <c r="R2265" s="247"/>
      <c r="S2265" s="247"/>
      <c r="T2265" s="247"/>
      <c r="U2265" s="247"/>
      <c r="V2265" s="247"/>
      <c r="W2265" s="247"/>
      <c r="X2265" s="247"/>
    </row>
    <row r="2266">
      <c r="A2266" s="294">
        <v>46200.0</v>
      </c>
      <c r="B2266" s="295" t="s">
        <v>1238</v>
      </c>
      <c r="C2266" s="295" t="s">
        <v>814</v>
      </c>
      <c r="D2266" s="296">
        <v>2502.0</v>
      </c>
      <c r="E2266" s="295" t="s">
        <v>1017</v>
      </c>
      <c r="F2266" s="292"/>
      <c r="G2266" s="293" t="str">
        <f>IFNA(IF(VLOOKUP(RC_OUT[BLOCK],RC_IN[[BLOCK]:[BLOCK LOC]],2,FALSE)=0,"",VLOOKUP(RC_OUT[BLOCK],RC_IN[[BLOCK]:[BLOCK LOC]],2,FALSE)),"")</f>
        <v>C-6A</v>
      </c>
      <c r="I2266" s="263">
        <f>IFERROR(AVERAGEIFS(RC_IN[MC],RC_IN[BLOCK],RC_OUT[BLOCK]),"")</f>
        <v>11.17</v>
      </c>
      <c r="J2266" s="264">
        <f t="shared" si="54"/>
        <v>27947.34</v>
      </c>
      <c r="K2266" s="246"/>
      <c r="L2266" s="246"/>
      <c r="M2266" s="249"/>
      <c r="N2266" s="266">
        <f t="shared" si="53"/>
        <v>0</v>
      </c>
      <c r="O2266" s="247"/>
      <c r="P2266" s="247"/>
      <c r="Q2266" s="247"/>
      <c r="R2266" s="247"/>
      <c r="S2266" s="247"/>
      <c r="T2266" s="247"/>
      <c r="U2266" s="247"/>
      <c r="V2266" s="247"/>
      <c r="W2266" s="247"/>
      <c r="X2266" s="247"/>
    </row>
    <row r="2267">
      <c r="A2267" s="294">
        <v>46200.0</v>
      </c>
      <c r="B2267" s="295" t="s">
        <v>1238</v>
      </c>
      <c r="C2267" s="295" t="s">
        <v>900</v>
      </c>
      <c r="D2267" s="296">
        <v>2364.0</v>
      </c>
      <c r="E2267" s="295" t="s">
        <v>1017</v>
      </c>
      <c r="F2267" s="292"/>
      <c r="G2267" s="293" t="str">
        <f>IFNA(IF(VLOOKUP(RC_OUT[BLOCK],RC_IN[[BLOCK]:[BLOCK LOC]],2,FALSE)=0,"",VLOOKUP(RC_OUT[BLOCK],RC_IN[[BLOCK]:[BLOCK LOC]],2,FALSE)),"")</f>
        <v>A-5B</v>
      </c>
      <c r="I2267" s="263">
        <f>IFERROR(AVERAGEIFS(RC_IN[MC],RC_IN[BLOCK],RC_OUT[BLOCK]),"")</f>
        <v>11.7375</v>
      </c>
      <c r="J2267" s="264">
        <f t="shared" si="54"/>
        <v>27747.45</v>
      </c>
      <c r="K2267" s="246"/>
      <c r="L2267" s="246"/>
      <c r="M2267" s="249"/>
      <c r="N2267" s="266">
        <f t="shared" si="53"/>
        <v>0</v>
      </c>
      <c r="O2267" s="247"/>
      <c r="P2267" s="247"/>
      <c r="Q2267" s="247"/>
      <c r="R2267" s="247"/>
      <c r="S2267" s="247"/>
      <c r="T2267" s="247"/>
      <c r="U2267" s="247"/>
      <c r="V2267" s="247"/>
      <c r="W2267" s="247"/>
      <c r="X2267" s="247"/>
    </row>
    <row r="2268">
      <c r="A2268" s="294">
        <v>46200.0</v>
      </c>
      <c r="B2268" s="295" t="s">
        <v>1238</v>
      </c>
      <c r="C2268" s="295" t="s">
        <v>419</v>
      </c>
      <c r="D2268" s="296">
        <v>17519.0</v>
      </c>
      <c r="E2268" s="295" t="s">
        <v>1017</v>
      </c>
      <c r="F2268" s="292"/>
      <c r="G2268" s="293" t="str">
        <f>IFNA(IF(VLOOKUP(RC_OUT[BLOCK],RC_IN[[BLOCK]:[BLOCK LOC]],2,FALSE)=0,"",VLOOKUP(RC_OUT[BLOCK],RC_IN[[BLOCK]:[BLOCK LOC]],2,FALSE)),"")</f>
        <v>D-7A</v>
      </c>
      <c r="I2268" s="263">
        <f>IFERROR(AVERAGEIFS(RC_IN[MC],RC_IN[BLOCK],RC_OUT[BLOCK]),"")</f>
        <v>11.385</v>
      </c>
      <c r="J2268" s="264">
        <f t="shared" si="54"/>
        <v>199453.815</v>
      </c>
      <c r="K2268" s="246"/>
      <c r="L2268" s="246"/>
      <c r="M2268" s="249"/>
      <c r="N2268" s="266">
        <f t="shared" si="53"/>
        <v>0</v>
      </c>
      <c r="O2268" s="247"/>
      <c r="P2268" s="247"/>
      <c r="Q2268" s="247"/>
      <c r="R2268" s="247"/>
      <c r="S2268" s="247"/>
      <c r="T2268" s="247"/>
      <c r="U2268" s="247"/>
      <c r="V2268" s="247"/>
      <c r="W2268" s="247"/>
      <c r="X2268" s="247"/>
    </row>
    <row r="2269">
      <c r="A2269" s="294"/>
      <c r="B2269" s="295"/>
      <c r="C2269" s="295"/>
      <c r="D2269" s="296"/>
      <c r="E2269" s="295"/>
      <c r="F2269" s="292"/>
      <c r="G2269" s="293" t="str">
        <f>IFNA(IF(VLOOKUP(RC_OUT[BLOCK],RC_IN[[BLOCK]:[BLOCK LOC]],2,FALSE)=0,"",VLOOKUP(RC_OUT[BLOCK],RC_IN[[BLOCK]:[BLOCK LOC]],2,FALSE)),"")</f>
        <v/>
      </c>
      <c r="I2269" s="263" t="str">
        <f>IFERROR(AVERAGEIFS(RC_IN[MC],RC_IN[BLOCK],RC_OUT[BLOCK]),"")</f>
        <v/>
      </c>
      <c r="J2269" s="264">
        <f t="shared" si="54"/>
        <v>0</v>
      </c>
      <c r="K2269" s="246"/>
      <c r="L2269" s="246"/>
      <c r="M2269" s="249"/>
      <c r="N2269" s="266">
        <f t="shared" si="53"/>
        <v>0</v>
      </c>
      <c r="O2269" s="247"/>
      <c r="P2269" s="247"/>
      <c r="Q2269" s="247"/>
      <c r="R2269" s="247"/>
      <c r="S2269" s="247"/>
      <c r="T2269" s="247"/>
      <c r="U2269" s="247"/>
      <c r="V2269" s="247"/>
      <c r="W2269" s="247"/>
      <c r="X2269" s="247"/>
    </row>
    <row r="2270">
      <c r="A2270" s="294">
        <v>46202.0</v>
      </c>
      <c r="B2270" s="295" t="s">
        <v>1238</v>
      </c>
      <c r="C2270" s="295" t="s">
        <v>814</v>
      </c>
      <c r="D2270" s="296">
        <v>3437.0</v>
      </c>
      <c r="E2270" s="295" t="s">
        <v>1017</v>
      </c>
      <c r="F2270" s="292"/>
      <c r="G2270" s="293" t="str">
        <f>IFNA(IF(VLOOKUP(RC_OUT[BLOCK],RC_IN[[BLOCK]:[BLOCK LOC]],2,FALSE)=0,"",VLOOKUP(RC_OUT[BLOCK],RC_IN[[BLOCK]:[BLOCK LOC]],2,FALSE)),"")</f>
        <v>C-6A</v>
      </c>
      <c r="I2270" s="263">
        <f>IFERROR(AVERAGEIFS(RC_IN[MC],RC_IN[BLOCK],RC_OUT[BLOCK]),"")</f>
        <v>11.17</v>
      </c>
      <c r="J2270" s="264">
        <f t="shared" si="54"/>
        <v>38391.29</v>
      </c>
      <c r="K2270" s="246"/>
      <c r="L2270" s="246"/>
      <c r="M2270" s="249"/>
      <c r="N2270" s="266">
        <f t="shared" si="53"/>
        <v>0</v>
      </c>
      <c r="O2270" s="247"/>
      <c r="P2270" s="247"/>
      <c r="Q2270" s="247"/>
      <c r="R2270" s="247"/>
      <c r="S2270" s="247"/>
      <c r="T2270" s="247"/>
      <c r="U2270" s="247"/>
      <c r="V2270" s="247"/>
      <c r="W2270" s="247"/>
      <c r="X2270" s="247"/>
    </row>
    <row r="2271">
      <c r="A2271" s="294">
        <v>46202.0</v>
      </c>
      <c r="B2271" s="295" t="s">
        <v>1238</v>
      </c>
      <c r="C2271" s="295" t="s">
        <v>900</v>
      </c>
      <c r="D2271" s="296">
        <v>3201.0</v>
      </c>
      <c r="E2271" s="295" t="s">
        <v>1017</v>
      </c>
      <c r="F2271" s="292"/>
      <c r="G2271" s="293" t="str">
        <f>IFNA(IF(VLOOKUP(RC_OUT[BLOCK],RC_IN[[BLOCK]:[BLOCK LOC]],2,FALSE)=0,"",VLOOKUP(RC_OUT[BLOCK],RC_IN[[BLOCK]:[BLOCK LOC]],2,FALSE)),"")</f>
        <v>A-5B</v>
      </c>
      <c r="I2271" s="263">
        <f>IFERROR(AVERAGEIFS(RC_IN[MC],RC_IN[BLOCK],RC_OUT[BLOCK]),"")</f>
        <v>11.7375</v>
      </c>
      <c r="J2271" s="264">
        <f t="shared" si="54"/>
        <v>37571.7375</v>
      </c>
      <c r="K2271" s="246"/>
      <c r="L2271" s="246"/>
      <c r="M2271" s="249"/>
      <c r="N2271" s="266">
        <f t="shared" si="53"/>
        <v>0</v>
      </c>
      <c r="O2271" s="247"/>
      <c r="P2271" s="247"/>
      <c r="Q2271" s="247"/>
      <c r="R2271" s="247"/>
      <c r="S2271" s="247"/>
      <c r="T2271" s="247"/>
      <c r="U2271" s="247"/>
      <c r="V2271" s="247"/>
      <c r="W2271" s="247"/>
      <c r="X2271" s="247"/>
    </row>
    <row r="2272">
      <c r="A2272" s="294">
        <v>46202.0</v>
      </c>
      <c r="B2272" s="295" t="s">
        <v>1238</v>
      </c>
      <c r="C2272" s="295" t="s">
        <v>419</v>
      </c>
      <c r="D2272" s="296">
        <v>29189.0</v>
      </c>
      <c r="E2272" s="295" t="s">
        <v>1017</v>
      </c>
      <c r="F2272" s="297" t="s">
        <v>1059</v>
      </c>
      <c r="G2272" s="293" t="str">
        <f>IFNA(IF(VLOOKUP(RC_OUT[BLOCK],RC_IN[[BLOCK]:[BLOCK LOC]],2,FALSE)=0,"",VLOOKUP(RC_OUT[BLOCK],RC_IN[[BLOCK]:[BLOCK LOC]],2,FALSE)),"")</f>
        <v>D-7A</v>
      </c>
      <c r="I2272" s="263">
        <f>IFERROR(AVERAGEIFS(RC_IN[MC],RC_IN[BLOCK],RC_OUT[BLOCK]),"")</f>
        <v>11.385</v>
      </c>
      <c r="J2272" s="264">
        <f t="shared" si="54"/>
        <v>332316.765</v>
      </c>
      <c r="K2272" s="246"/>
      <c r="L2272" s="246"/>
      <c r="M2272" s="249"/>
      <c r="N2272" s="266">
        <f t="shared" si="53"/>
        <v>0</v>
      </c>
      <c r="O2272" s="247"/>
      <c r="P2272" s="247"/>
      <c r="Q2272" s="247"/>
      <c r="R2272" s="247"/>
      <c r="S2272" s="247"/>
      <c r="T2272" s="247"/>
      <c r="U2272" s="247"/>
      <c r="V2272" s="247"/>
      <c r="W2272" s="247"/>
      <c r="X2272" s="247"/>
    </row>
    <row r="2273">
      <c r="A2273" s="294"/>
      <c r="B2273" s="295"/>
      <c r="C2273" s="295"/>
      <c r="D2273" s="296"/>
      <c r="E2273" s="295"/>
      <c r="F2273" s="292"/>
      <c r="G2273" s="293" t="str">
        <f>IFNA(IF(VLOOKUP(RC_OUT[BLOCK],RC_IN[[BLOCK]:[BLOCK LOC]],2,FALSE)=0,"",VLOOKUP(RC_OUT[BLOCK],RC_IN[[BLOCK]:[BLOCK LOC]],2,FALSE)),"")</f>
        <v/>
      </c>
      <c r="I2273" s="263" t="str">
        <f>IFERROR(AVERAGEIFS(RC_IN[MC],RC_IN[BLOCK],RC_OUT[BLOCK]),"")</f>
        <v/>
      </c>
      <c r="J2273" s="264">
        <f t="shared" si="54"/>
        <v>0</v>
      </c>
      <c r="K2273" s="246"/>
      <c r="L2273" s="246"/>
      <c r="M2273" s="249"/>
      <c r="N2273" s="266">
        <f t="shared" si="53"/>
        <v>0</v>
      </c>
      <c r="O2273" s="247"/>
      <c r="P2273" s="247"/>
      <c r="Q2273" s="247"/>
      <c r="R2273" s="247"/>
      <c r="S2273" s="247"/>
      <c r="T2273" s="247"/>
      <c r="U2273" s="247"/>
      <c r="V2273" s="247"/>
      <c r="W2273" s="247"/>
      <c r="X2273" s="247"/>
    </row>
    <row r="2274">
      <c r="A2274" s="294">
        <v>46203.0</v>
      </c>
      <c r="B2274" s="295" t="s">
        <v>1257</v>
      </c>
      <c r="C2274" s="295" t="s">
        <v>814</v>
      </c>
      <c r="D2274" s="296">
        <v>1414.0</v>
      </c>
      <c r="E2274" s="295" t="s">
        <v>1017</v>
      </c>
      <c r="F2274" s="297" t="s">
        <v>1059</v>
      </c>
      <c r="G2274" s="293" t="str">
        <f>IFNA(IF(VLOOKUP(RC_OUT[BLOCK],RC_IN[[BLOCK]:[BLOCK LOC]],2,FALSE)=0,"",VLOOKUP(RC_OUT[BLOCK],RC_IN[[BLOCK]:[BLOCK LOC]],2,FALSE)),"")</f>
        <v>C-6A</v>
      </c>
      <c r="I2274" s="263">
        <f>IFERROR(AVERAGEIFS(RC_IN[MC],RC_IN[BLOCK],RC_OUT[BLOCK]),"")</f>
        <v>11.17</v>
      </c>
      <c r="J2274" s="264">
        <f t="shared" si="54"/>
        <v>15794.38</v>
      </c>
      <c r="K2274" s="246"/>
      <c r="L2274" s="246"/>
      <c r="M2274" s="249"/>
      <c r="N2274" s="266">
        <f t="shared" si="53"/>
        <v>0</v>
      </c>
      <c r="O2274" s="247"/>
      <c r="P2274" s="247"/>
      <c r="Q2274" s="247"/>
      <c r="R2274" s="247"/>
      <c r="S2274" s="247"/>
      <c r="T2274" s="247"/>
      <c r="U2274" s="247"/>
      <c r="V2274" s="247"/>
      <c r="W2274" s="247"/>
      <c r="X2274" s="247"/>
    </row>
    <row r="2275">
      <c r="A2275" s="294">
        <v>46203.0</v>
      </c>
      <c r="B2275" s="295" t="s">
        <v>1257</v>
      </c>
      <c r="C2275" s="295" t="s">
        <v>900</v>
      </c>
      <c r="D2275" s="296">
        <v>1203.0</v>
      </c>
      <c r="E2275" s="295" t="s">
        <v>1017</v>
      </c>
      <c r="F2275" s="292"/>
      <c r="G2275" s="293" t="str">
        <f>IFNA(IF(VLOOKUP(RC_OUT[BLOCK],RC_IN[[BLOCK]:[BLOCK LOC]],2,FALSE)=0,"",VLOOKUP(RC_OUT[BLOCK],RC_IN[[BLOCK]:[BLOCK LOC]],2,FALSE)),"")</f>
        <v>A-5B</v>
      </c>
      <c r="I2275" s="263">
        <f>IFERROR(AVERAGEIFS(RC_IN[MC],RC_IN[BLOCK],RC_OUT[BLOCK]),"")</f>
        <v>11.7375</v>
      </c>
      <c r="J2275" s="264">
        <f t="shared" si="54"/>
        <v>14120.2125</v>
      </c>
      <c r="K2275" s="246"/>
      <c r="L2275" s="246"/>
      <c r="M2275" s="249"/>
      <c r="N2275" s="266">
        <f t="shared" si="53"/>
        <v>0</v>
      </c>
      <c r="O2275" s="247"/>
      <c r="P2275" s="247"/>
      <c r="Q2275" s="247"/>
      <c r="R2275" s="247"/>
      <c r="S2275" s="247"/>
      <c r="T2275" s="247"/>
      <c r="U2275" s="247"/>
      <c r="V2275" s="247"/>
      <c r="W2275" s="247"/>
      <c r="X2275" s="247"/>
    </row>
    <row r="2276">
      <c r="A2276" s="294">
        <v>46203.0</v>
      </c>
      <c r="B2276" s="295" t="s">
        <v>1257</v>
      </c>
      <c r="C2276" s="295" t="s">
        <v>251</v>
      </c>
      <c r="D2276" s="296">
        <v>11384.0</v>
      </c>
      <c r="E2276" s="295" t="s">
        <v>1017</v>
      </c>
      <c r="F2276" s="292"/>
      <c r="G2276" s="293" t="str">
        <f>IFNA(IF(VLOOKUP(RC_OUT[BLOCK],RC_IN[[BLOCK]:[BLOCK LOC]],2,FALSE)=0,"",VLOOKUP(RC_OUT[BLOCK],RC_IN[[BLOCK]:[BLOCK LOC]],2,FALSE)),"")</f>
        <v>C-11B</v>
      </c>
      <c r="I2276" s="263">
        <f>IFERROR(AVERAGEIFS(RC_IN[MC],RC_IN[BLOCK],RC_OUT[BLOCK]),"")</f>
        <v>9.566</v>
      </c>
      <c r="J2276" s="264">
        <f t="shared" si="54"/>
        <v>108899.344</v>
      </c>
      <c r="K2276" s="246"/>
      <c r="L2276" s="246"/>
      <c r="M2276" s="249"/>
      <c r="N2276" s="266">
        <f t="shared" si="53"/>
        <v>0</v>
      </c>
      <c r="O2276" s="247"/>
      <c r="P2276" s="247"/>
      <c r="Q2276" s="247"/>
      <c r="R2276" s="247"/>
      <c r="S2276" s="247"/>
      <c r="T2276" s="247"/>
      <c r="U2276" s="247"/>
      <c r="V2276" s="247"/>
      <c r="W2276" s="247"/>
      <c r="X2276" s="247"/>
    </row>
    <row r="2277">
      <c r="A2277" s="294">
        <v>46203.0</v>
      </c>
      <c r="B2277" s="295" t="s">
        <v>1257</v>
      </c>
      <c r="C2277" s="295" t="s">
        <v>393</v>
      </c>
      <c r="D2277" s="296">
        <v>2455.0</v>
      </c>
      <c r="E2277" s="295" t="s">
        <v>1017</v>
      </c>
      <c r="F2277" s="292"/>
      <c r="G2277" s="293" t="str">
        <f>IFNA(IF(VLOOKUP(RC_OUT[BLOCK],RC_IN[[BLOCK]:[BLOCK LOC]],2,FALSE)=0,"",VLOOKUP(RC_OUT[BLOCK],RC_IN[[BLOCK]:[BLOCK LOC]],2,FALSE)),"")</f>
        <v>D-7B</v>
      </c>
      <c r="I2277" s="263">
        <f>IFERROR(AVERAGEIFS(RC_IN[MC],RC_IN[BLOCK],RC_OUT[BLOCK]),"")</f>
        <v>10.9025</v>
      </c>
      <c r="J2277" s="264">
        <f t="shared" si="54"/>
        <v>26765.6375</v>
      </c>
      <c r="K2277" s="246"/>
      <c r="L2277" s="246"/>
      <c r="M2277" s="249"/>
      <c r="N2277" s="266">
        <f t="shared" si="53"/>
        <v>0</v>
      </c>
      <c r="O2277" s="247"/>
      <c r="P2277" s="247"/>
      <c r="Q2277" s="247"/>
      <c r="R2277" s="247"/>
      <c r="S2277" s="247"/>
      <c r="T2277" s="247"/>
      <c r="U2277" s="247"/>
      <c r="V2277" s="247"/>
      <c r="W2277" s="247"/>
      <c r="X2277" s="247"/>
    </row>
    <row r="2278">
      <c r="A2278" s="294">
        <v>46203.0</v>
      </c>
      <c r="B2278" s="295" t="s">
        <v>1257</v>
      </c>
      <c r="C2278" s="295" t="s">
        <v>674</v>
      </c>
      <c r="D2278" s="296">
        <v>2507.0</v>
      </c>
      <c r="E2278" s="295" t="s">
        <v>1017</v>
      </c>
      <c r="F2278" s="292"/>
      <c r="G2278" s="293" t="str">
        <f>IFNA(IF(VLOOKUP(RC_OUT[BLOCK],RC_IN[[BLOCK]:[BLOCK LOC]],2,FALSE)=0,"",VLOOKUP(RC_OUT[BLOCK],RC_IN[[BLOCK]:[BLOCK LOC]],2,FALSE)),"")</f>
        <v>A-7C</v>
      </c>
      <c r="I2278" s="263">
        <f>IFERROR(AVERAGEIFS(RC_IN[MC],RC_IN[BLOCK],RC_OUT[BLOCK]),"")</f>
        <v>10.044</v>
      </c>
      <c r="J2278" s="264">
        <f t="shared" si="54"/>
        <v>25180.308</v>
      </c>
      <c r="K2278" s="246"/>
      <c r="L2278" s="246"/>
      <c r="M2278" s="249"/>
      <c r="N2278" s="266">
        <f t="shared" si="53"/>
        <v>0</v>
      </c>
      <c r="O2278" s="247"/>
      <c r="P2278" s="247"/>
      <c r="Q2278" s="247"/>
      <c r="R2278" s="247"/>
      <c r="S2278" s="247"/>
      <c r="T2278" s="247"/>
      <c r="U2278" s="247"/>
      <c r="V2278" s="247"/>
      <c r="W2278" s="247"/>
      <c r="X2278" s="247"/>
    </row>
    <row r="2279">
      <c r="A2279" s="294"/>
      <c r="B2279" s="295"/>
      <c r="C2279" s="295"/>
      <c r="D2279" s="296"/>
      <c r="E2279" s="295"/>
      <c r="F2279" s="292"/>
      <c r="G2279" s="293" t="str">
        <f>IFNA(IF(VLOOKUP(RC_OUT[BLOCK],RC_IN[[BLOCK]:[BLOCK LOC]],2,FALSE)=0,"",VLOOKUP(RC_OUT[BLOCK],RC_IN[[BLOCK]:[BLOCK LOC]],2,FALSE)),"")</f>
        <v/>
      </c>
      <c r="I2279" s="263" t="str">
        <f>IFERROR(AVERAGEIFS(RC_IN[MC],RC_IN[BLOCK],RC_OUT[BLOCK]),"")</f>
        <v/>
      </c>
      <c r="J2279" s="264">
        <f t="shared" si="54"/>
        <v>0</v>
      </c>
      <c r="K2279" s="246"/>
      <c r="L2279" s="246"/>
      <c r="M2279" s="249"/>
      <c r="N2279" s="266">
        <f t="shared" si="53"/>
        <v>0</v>
      </c>
      <c r="O2279" s="247"/>
      <c r="P2279" s="247"/>
      <c r="Q2279" s="247"/>
      <c r="R2279" s="247"/>
      <c r="S2279" s="247"/>
      <c r="T2279" s="247"/>
      <c r="U2279" s="247"/>
      <c r="V2279" s="247"/>
      <c r="W2279" s="247"/>
      <c r="X2279" s="247"/>
    </row>
    <row r="2280">
      <c r="A2280" s="294">
        <v>46204.0</v>
      </c>
      <c r="B2280" s="295" t="s">
        <v>1257</v>
      </c>
      <c r="C2280" s="295" t="s">
        <v>900</v>
      </c>
      <c r="D2280" s="296">
        <v>2576.0</v>
      </c>
      <c r="E2280" s="295" t="s">
        <v>1017</v>
      </c>
      <c r="F2280" s="292"/>
      <c r="G2280" s="293" t="str">
        <f>IFNA(IF(VLOOKUP(RC_OUT[BLOCK],RC_IN[[BLOCK]:[BLOCK LOC]],2,FALSE)=0,"",VLOOKUP(RC_OUT[BLOCK],RC_IN[[BLOCK]:[BLOCK LOC]],2,FALSE)),"")</f>
        <v>A-5B</v>
      </c>
      <c r="I2280" s="263">
        <f>IFERROR(AVERAGEIFS(RC_IN[MC],RC_IN[BLOCK],RC_OUT[BLOCK]),"")</f>
        <v>11.7375</v>
      </c>
      <c r="J2280" s="264">
        <f t="shared" si="54"/>
        <v>30235.8</v>
      </c>
      <c r="K2280" s="246"/>
      <c r="L2280" s="246"/>
      <c r="M2280" s="249"/>
      <c r="N2280" s="266">
        <f t="shared" si="53"/>
        <v>0</v>
      </c>
      <c r="O2280" s="247"/>
      <c r="P2280" s="247"/>
      <c r="Q2280" s="247"/>
      <c r="R2280" s="247"/>
      <c r="S2280" s="247"/>
      <c r="T2280" s="247"/>
      <c r="U2280" s="247"/>
      <c r="V2280" s="247"/>
      <c r="W2280" s="247"/>
      <c r="X2280" s="247"/>
    </row>
    <row r="2281">
      <c r="A2281" s="294">
        <v>46204.0</v>
      </c>
      <c r="B2281" s="295" t="s">
        <v>1257</v>
      </c>
      <c r="C2281" s="295" t="s">
        <v>251</v>
      </c>
      <c r="D2281" s="296">
        <v>12473.0</v>
      </c>
      <c r="E2281" s="295" t="s">
        <v>1017</v>
      </c>
      <c r="F2281" s="292"/>
      <c r="G2281" s="293" t="str">
        <f>IFNA(IF(VLOOKUP(RC_OUT[BLOCK],RC_IN[[BLOCK]:[BLOCK LOC]],2,FALSE)=0,"",VLOOKUP(RC_OUT[BLOCK],RC_IN[[BLOCK]:[BLOCK LOC]],2,FALSE)),"")</f>
        <v>C-11B</v>
      </c>
      <c r="I2281" s="263">
        <f>IFERROR(AVERAGEIFS(RC_IN[MC],RC_IN[BLOCK],RC_OUT[BLOCK]),"")</f>
        <v>9.566</v>
      </c>
      <c r="J2281" s="264">
        <f t="shared" si="54"/>
        <v>119316.718</v>
      </c>
      <c r="K2281" s="246"/>
      <c r="L2281" s="246"/>
      <c r="M2281" s="249"/>
      <c r="N2281" s="266">
        <f t="shared" si="53"/>
        <v>0</v>
      </c>
      <c r="O2281" s="247"/>
      <c r="P2281" s="247"/>
      <c r="Q2281" s="247"/>
      <c r="R2281" s="247"/>
      <c r="S2281" s="247"/>
      <c r="T2281" s="247"/>
      <c r="U2281" s="247"/>
      <c r="V2281" s="247"/>
      <c r="W2281" s="247"/>
      <c r="X2281" s="247"/>
    </row>
    <row r="2282">
      <c r="A2282" s="294">
        <v>46204.0</v>
      </c>
      <c r="B2282" s="295" t="s">
        <v>1257</v>
      </c>
      <c r="C2282" s="295" t="s">
        <v>393</v>
      </c>
      <c r="D2282" s="296">
        <v>5519.0</v>
      </c>
      <c r="E2282" s="295" t="s">
        <v>1017</v>
      </c>
      <c r="F2282" s="292"/>
      <c r="G2282" s="293" t="str">
        <f>IFNA(IF(VLOOKUP(RC_OUT[BLOCK],RC_IN[[BLOCK]:[BLOCK LOC]],2,FALSE)=0,"",VLOOKUP(RC_OUT[BLOCK],RC_IN[[BLOCK]:[BLOCK LOC]],2,FALSE)),"")</f>
        <v>D-7B</v>
      </c>
      <c r="I2282" s="263">
        <f>IFERROR(AVERAGEIFS(RC_IN[MC],RC_IN[BLOCK],RC_OUT[BLOCK]),"")</f>
        <v>10.9025</v>
      </c>
      <c r="J2282" s="264">
        <f t="shared" si="54"/>
        <v>60170.8975</v>
      </c>
      <c r="K2282" s="246"/>
      <c r="L2282" s="246"/>
      <c r="M2282" s="249"/>
      <c r="N2282" s="266">
        <f t="shared" si="53"/>
        <v>0</v>
      </c>
      <c r="O2282" s="247"/>
      <c r="P2282" s="247"/>
      <c r="Q2282" s="247"/>
      <c r="R2282" s="247"/>
      <c r="S2282" s="247"/>
      <c r="T2282" s="247"/>
      <c r="U2282" s="247"/>
      <c r="V2282" s="247"/>
      <c r="W2282" s="247"/>
      <c r="X2282" s="247"/>
    </row>
    <row r="2283">
      <c r="A2283" s="294">
        <v>46204.0</v>
      </c>
      <c r="B2283" s="295" t="s">
        <v>1257</v>
      </c>
      <c r="C2283" s="295" t="s">
        <v>674</v>
      </c>
      <c r="D2283" s="296">
        <v>5658.0</v>
      </c>
      <c r="E2283" s="295" t="s">
        <v>1017</v>
      </c>
      <c r="F2283" s="292"/>
      <c r="G2283" s="293" t="str">
        <f>IFNA(IF(VLOOKUP(RC_OUT[BLOCK],RC_IN[[BLOCK]:[BLOCK LOC]],2,FALSE)=0,"",VLOOKUP(RC_OUT[BLOCK],RC_IN[[BLOCK]:[BLOCK LOC]],2,FALSE)),"")</f>
        <v>A-7C</v>
      </c>
      <c r="I2283" s="263">
        <f>IFERROR(AVERAGEIFS(RC_IN[MC],RC_IN[BLOCK],RC_OUT[BLOCK]),"")</f>
        <v>10.044</v>
      </c>
      <c r="J2283" s="264">
        <f t="shared" si="54"/>
        <v>56828.952</v>
      </c>
      <c r="K2283" s="246"/>
      <c r="L2283" s="246"/>
      <c r="M2283" s="249"/>
      <c r="N2283" s="266">
        <f t="shared" si="53"/>
        <v>0</v>
      </c>
      <c r="O2283" s="247"/>
      <c r="P2283" s="247"/>
      <c r="Q2283" s="247"/>
      <c r="R2283" s="247"/>
      <c r="S2283" s="247"/>
      <c r="T2283" s="247"/>
      <c r="U2283" s="247"/>
      <c r="V2283" s="247"/>
      <c r="W2283" s="247"/>
      <c r="X2283" s="247"/>
    </row>
    <row r="2284">
      <c r="A2284" s="294">
        <v>46204.0</v>
      </c>
      <c r="B2284" s="295" t="s">
        <v>1257</v>
      </c>
      <c r="C2284" s="295" t="s">
        <v>1002</v>
      </c>
      <c r="D2284" s="296">
        <v>10000.0</v>
      </c>
      <c r="E2284" s="295" t="s">
        <v>1017</v>
      </c>
      <c r="F2284" s="292"/>
      <c r="G2284" s="293" t="str">
        <f>IFNA(IF(VLOOKUP(RC_OUT[BLOCK],RC_IN[[BLOCK]:[BLOCK LOC]],2,FALSE)=0,"",VLOOKUP(RC_OUT[BLOCK],RC_IN[[BLOCK]:[BLOCK LOC]],2,FALSE)),"")</f>
        <v/>
      </c>
      <c r="I2284" s="263">
        <f>IFERROR(AVERAGEIFS(RC_IN[MC],RC_IN[BLOCK],RC_OUT[BLOCK]),"")</f>
        <v>11.4</v>
      </c>
      <c r="J2284" s="264">
        <f t="shared" si="54"/>
        <v>114000</v>
      </c>
      <c r="K2284" s="246"/>
      <c r="L2284" s="246"/>
      <c r="M2284" s="249"/>
      <c r="N2284" s="266">
        <f t="shared" si="53"/>
        <v>0</v>
      </c>
      <c r="O2284" s="247"/>
      <c r="P2284" s="247"/>
      <c r="Q2284" s="247"/>
      <c r="R2284" s="247"/>
      <c r="S2284" s="247"/>
      <c r="T2284" s="247"/>
      <c r="U2284" s="247"/>
      <c r="V2284" s="247"/>
      <c r="W2284" s="247"/>
      <c r="X2284" s="247"/>
    </row>
    <row r="2285">
      <c r="A2285" s="294"/>
      <c r="B2285" s="295"/>
      <c r="C2285" s="295"/>
      <c r="D2285" s="296"/>
      <c r="E2285" s="295"/>
      <c r="F2285" s="292"/>
      <c r="G2285" s="293" t="str">
        <f>IFNA(IF(VLOOKUP(RC_OUT[BLOCK],RC_IN[[BLOCK]:[BLOCK LOC]],2,FALSE)=0,"",VLOOKUP(RC_OUT[BLOCK],RC_IN[[BLOCK]:[BLOCK LOC]],2,FALSE)),"")</f>
        <v/>
      </c>
      <c r="I2285" s="263" t="str">
        <f>IFERROR(AVERAGEIFS(RC_IN[MC],RC_IN[BLOCK],RC_OUT[BLOCK]),"")</f>
        <v/>
      </c>
      <c r="J2285" s="264">
        <f t="shared" si="54"/>
        <v>0</v>
      </c>
      <c r="K2285" s="246"/>
      <c r="L2285" s="246"/>
      <c r="M2285" s="249"/>
      <c r="N2285" s="266">
        <f t="shared" si="53"/>
        <v>0</v>
      </c>
      <c r="O2285" s="247"/>
      <c r="P2285" s="247"/>
      <c r="Q2285" s="247"/>
      <c r="R2285" s="247"/>
      <c r="S2285" s="247"/>
      <c r="T2285" s="247"/>
      <c r="U2285" s="247"/>
      <c r="V2285" s="247"/>
      <c r="W2285" s="247"/>
      <c r="X2285" s="247"/>
    </row>
    <row r="2286">
      <c r="A2286" s="294">
        <v>46205.0</v>
      </c>
      <c r="B2286" s="295" t="s">
        <v>1257</v>
      </c>
      <c r="C2286" s="295" t="s">
        <v>900</v>
      </c>
      <c r="D2286" s="296">
        <v>2754.0</v>
      </c>
      <c r="E2286" s="295" t="s">
        <v>1017</v>
      </c>
      <c r="F2286" s="292"/>
      <c r="G2286" s="293" t="str">
        <f>IFNA(IF(VLOOKUP(RC_OUT[BLOCK],RC_IN[[BLOCK]:[BLOCK LOC]],2,FALSE)=0,"",VLOOKUP(RC_OUT[BLOCK],RC_IN[[BLOCK]:[BLOCK LOC]],2,FALSE)),"")</f>
        <v>A-5B</v>
      </c>
      <c r="I2286" s="263">
        <f>IFERROR(AVERAGEIFS(RC_IN[MC],RC_IN[BLOCK],RC_OUT[BLOCK]),"")</f>
        <v>11.7375</v>
      </c>
      <c r="J2286" s="264">
        <f t="shared" si="54"/>
        <v>32325.075</v>
      </c>
      <c r="K2286" s="246"/>
      <c r="L2286" s="246"/>
      <c r="M2286" s="249"/>
      <c r="N2286" s="266">
        <f t="shared" si="53"/>
        <v>0</v>
      </c>
      <c r="O2286" s="247"/>
      <c r="P2286" s="247"/>
      <c r="Q2286" s="247"/>
      <c r="R2286" s="247"/>
      <c r="S2286" s="247"/>
      <c r="T2286" s="247"/>
      <c r="U2286" s="247"/>
      <c r="V2286" s="247"/>
      <c r="W2286" s="247"/>
      <c r="X2286" s="247"/>
    </row>
    <row r="2287">
      <c r="A2287" s="294">
        <v>46205.0</v>
      </c>
      <c r="B2287" s="295" t="s">
        <v>1257</v>
      </c>
      <c r="C2287" s="295" t="s">
        <v>251</v>
      </c>
      <c r="D2287" s="296">
        <v>11831.0</v>
      </c>
      <c r="E2287" s="295" t="s">
        <v>1017</v>
      </c>
      <c r="F2287" s="292"/>
      <c r="G2287" s="293" t="str">
        <f>IFNA(IF(VLOOKUP(RC_OUT[BLOCK],RC_IN[[BLOCK]:[BLOCK LOC]],2,FALSE)=0,"",VLOOKUP(RC_OUT[BLOCK],RC_IN[[BLOCK]:[BLOCK LOC]],2,FALSE)),"")</f>
        <v>C-11B</v>
      </c>
      <c r="I2287" s="263">
        <f>IFERROR(AVERAGEIFS(RC_IN[MC],RC_IN[BLOCK],RC_OUT[BLOCK]),"")</f>
        <v>9.566</v>
      </c>
      <c r="J2287" s="264">
        <f t="shared" si="54"/>
        <v>113175.346</v>
      </c>
      <c r="K2287" s="246"/>
      <c r="L2287" s="246"/>
      <c r="M2287" s="249"/>
      <c r="N2287" s="266">
        <f t="shared" si="53"/>
        <v>0</v>
      </c>
      <c r="O2287" s="247"/>
      <c r="P2287" s="247"/>
      <c r="Q2287" s="247"/>
      <c r="R2287" s="247"/>
      <c r="S2287" s="247"/>
      <c r="T2287" s="247"/>
      <c r="U2287" s="247"/>
      <c r="V2287" s="247"/>
      <c r="W2287" s="247"/>
      <c r="X2287" s="247"/>
    </row>
    <row r="2288">
      <c r="A2288" s="294">
        <v>46205.0</v>
      </c>
      <c r="B2288" s="295" t="s">
        <v>1257</v>
      </c>
      <c r="C2288" s="295" t="s">
        <v>393</v>
      </c>
      <c r="D2288" s="296">
        <v>4977.0</v>
      </c>
      <c r="E2288" s="295" t="s">
        <v>1017</v>
      </c>
      <c r="F2288" s="292"/>
      <c r="G2288" s="293" t="str">
        <f>IFNA(IF(VLOOKUP(RC_OUT[BLOCK],RC_IN[[BLOCK]:[BLOCK LOC]],2,FALSE)=0,"",VLOOKUP(RC_OUT[BLOCK],RC_IN[[BLOCK]:[BLOCK LOC]],2,FALSE)),"")</f>
        <v>D-7B</v>
      </c>
      <c r="I2288" s="263">
        <f>IFERROR(AVERAGEIFS(RC_IN[MC],RC_IN[BLOCK],RC_OUT[BLOCK]),"")</f>
        <v>10.9025</v>
      </c>
      <c r="J2288" s="264">
        <f t="shared" si="54"/>
        <v>54261.7425</v>
      </c>
      <c r="K2288" s="246"/>
      <c r="L2288" s="246"/>
      <c r="M2288" s="249"/>
      <c r="N2288" s="266">
        <f t="shared" si="53"/>
        <v>0</v>
      </c>
      <c r="O2288" s="247"/>
      <c r="P2288" s="247"/>
      <c r="Q2288" s="247"/>
      <c r="R2288" s="247"/>
      <c r="S2288" s="247"/>
      <c r="T2288" s="247"/>
      <c r="U2288" s="247"/>
      <c r="V2288" s="247"/>
      <c r="W2288" s="247"/>
      <c r="X2288" s="247"/>
    </row>
    <row r="2289">
      <c r="A2289" s="294">
        <v>46205.0</v>
      </c>
      <c r="B2289" s="295" t="s">
        <v>1257</v>
      </c>
      <c r="C2289" s="295" t="s">
        <v>674</v>
      </c>
      <c r="D2289" s="296">
        <v>5430.0</v>
      </c>
      <c r="E2289" s="295" t="s">
        <v>1017</v>
      </c>
      <c r="F2289" s="292"/>
      <c r="G2289" s="293" t="str">
        <f>IFNA(IF(VLOOKUP(RC_OUT[BLOCK],RC_IN[[BLOCK]:[BLOCK LOC]],2,FALSE)=0,"",VLOOKUP(RC_OUT[BLOCK],RC_IN[[BLOCK]:[BLOCK LOC]],2,FALSE)),"")</f>
        <v>A-7C</v>
      </c>
      <c r="I2289" s="263">
        <f>IFERROR(AVERAGEIFS(RC_IN[MC],RC_IN[BLOCK],RC_OUT[BLOCK]),"")</f>
        <v>10.044</v>
      </c>
      <c r="J2289" s="264">
        <f t="shared" si="54"/>
        <v>54538.92</v>
      </c>
      <c r="K2289" s="246"/>
      <c r="L2289" s="246"/>
      <c r="M2289" s="249"/>
      <c r="N2289" s="266">
        <f t="shared" si="53"/>
        <v>0</v>
      </c>
      <c r="O2289" s="247"/>
      <c r="P2289" s="247"/>
      <c r="Q2289" s="247"/>
      <c r="R2289" s="247"/>
      <c r="S2289" s="247"/>
      <c r="T2289" s="247"/>
      <c r="U2289" s="247"/>
      <c r="V2289" s="247"/>
      <c r="W2289" s="247"/>
      <c r="X2289" s="247"/>
    </row>
    <row r="2290">
      <c r="A2290" s="294">
        <v>46205.0</v>
      </c>
      <c r="B2290" s="295" t="s">
        <v>1257</v>
      </c>
      <c r="C2290" s="295" t="s">
        <v>1002</v>
      </c>
      <c r="D2290" s="296">
        <v>6000.0</v>
      </c>
      <c r="E2290" s="295" t="s">
        <v>1017</v>
      </c>
      <c r="F2290" s="292"/>
      <c r="G2290" s="293" t="str">
        <f>IFNA(IF(VLOOKUP(RC_OUT[BLOCK],RC_IN[[BLOCK]:[BLOCK LOC]],2,FALSE)=0,"",VLOOKUP(RC_OUT[BLOCK],RC_IN[[BLOCK]:[BLOCK LOC]],2,FALSE)),"")</f>
        <v/>
      </c>
      <c r="I2290" s="263">
        <f>IFERROR(AVERAGEIFS(RC_IN[MC],RC_IN[BLOCK],RC_OUT[BLOCK]),"")</f>
        <v>11.4</v>
      </c>
      <c r="J2290" s="264">
        <f t="shared" si="54"/>
        <v>68400</v>
      </c>
      <c r="K2290" s="246"/>
      <c r="L2290" s="246"/>
      <c r="M2290" s="249"/>
      <c r="N2290" s="266">
        <f t="shared" si="53"/>
        <v>0</v>
      </c>
      <c r="O2290" s="247"/>
      <c r="P2290" s="247"/>
      <c r="Q2290" s="247"/>
      <c r="R2290" s="247"/>
      <c r="S2290" s="247"/>
      <c r="T2290" s="247"/>
      <c r="U2290" s="247"/>
      <c r="V2290" s="247"/>
      <c r="W2290" s="247"/>
      <c r="X2290" s="247"/>
    </row>
    <row r="2291">
      <c r="A2291" s="294"/>
      <c r="B2291" s="295"/>
      <c r="C2291" s="295"/>
      <c r="D2291" s="296"/>
      <c r="E2291" s="295"/>
      <c r="F2291" s="292"/>
      <c r="G2291" s="293" t="str">
        <f>IFNA(IF(VLOOKUP(RC_OUT[BLOCK],RC_IN[[BLOCK]:[BLOCK LOC]],2,FALSE)=0,"",VLOOKUP(RC_OUT[BLOCK],RC_IN[[BLOCK]:[BLOCK LOC]],2,FALSE)),"")</f>
        <v/>
      </c>
      <c r="I2291" s="263" t="str">
        <f>IFERROR(AVERAGEIFS(RC_IN[MC],RC_IN[BLOCK],RC_OUT[BLOCK]),"")</f>
        <v/>
      </c>
      <c r="J2291" s="264">
        <f t="shared" si="54"/>
        <v>0</v>
      </c>
      <c r="K2291" s="246"/>
      <c r="L2291" s="246"/>
      <c r="M2291" s="249"/>
      <c r="N2291" s="266">
        <f t="shared" si="53"/>
        <v>0</v>
      </c>
      <c r="O2291" s="247"/>
      <c r="P2291" s="247"/>
      <c r="Q2291" s="247"/>
      <c r="R2291" s="247"/>
      <c r="S2291" s="247"/>
      <c r="T2291" s="247"/>
      <c r="U2291" s="247"/>
      <c r="V2291" s="247"/>
      <c r="W2291" s="247"/>
      <c r="X2291" s="247"/>
    </row>
    <row r="2292">
      <c r="A2292" s="294">
        <v>46206.0</v>
      </c>
      <c r="B2292" s="295" t="s">
        <v>1257</v>
      </c>
      <c r="C2292" s="295" t="s">
        <v>900</v>
      </c>
      <c r="D2292" s="296">
        <v>3784.0</v>
      </c>
      <c r="E2292" s="295" t="s">
        <v>1017</v>
      </c>
      <c r="F2292" s="292"/>
      <c r="G2292" s="293" t="str">
        <f>IFNA(IF(VLOOKUP(RC_OUT[BLOCK],RC_IN[[BLOCK]:[BLOCK LOC]],2,FALSE)=0,"",VLOOKUP(RC_OUT[BLOCK],RC_IN[[BLOCK]:[BLOCK LOC]],2,FALSE)),"")</f>
        <v>A-5B</v>
      </c>
      <c r="I2292" s="263">
        <f>IFERROR(AVERAGEIFS(RC_IN[MC],RC_IN[BLOCK],RC_OUT[BLOCK]),"")</f>
        <v>11.7375</v>
      </c>
      <c r="J2292" s="264">
        <f t="shared" si="54"/>
        <v>44414.7</v>
      </c>
      <c r="K2292" s="246"/>
      <c r="L2292" s="246"/>
      <c r="M2292" s="249"/>
      <c r="N2292" s="266">
        <f t="shared" si="53"/>
        <v>0</v>
      </c>
      <c r="O2292" s="247"/>
      <c r="P2292" s="247"/>
      <c r="Q2292" s="247"/>
      <c r="R2292" s="247"/>
      <c r="S2292" s="247"/>
      <c r="T2292" s="247"/>
      <c r="U2292" s="247"/>
      <c r="V2292" s="247"/>
      <c r="W2292" s="247"/>
      <c r="X2292" s="247"/>
    </row>
    <row r="2293">
      <c r="A2293" s="294">
        <v>46206.0</v>
      </c>
      <c r="B2293" s="295" t="s">
        <v>1257</v>
      </c>
      <c r="C2293" s="295" t="s">
        <v>251</v>
      </c>
      <c r="D2293" s="296">
        <v>11686.0</v>
      </c>
      <c r="E2293" s="295" t="s">
        <v>1017</v>
      </c>
      <c r="F2293" s="292"/>
      <c r="G2293" s="293" t="str">
        <f>IFNA(IF(VLOOKUP(RC_OUT[BLOCK],RC_IN[[BLOCK]:[BLOCK LOC]],2,FALSE)=0,"",VLOOKUP(RC_OUT[BLOCK],RC_IN[[BLOCK]:[BLOCK LOC]],2,FALSE)),"")</f>
        <v>C-11B</v>
      </c>
      <c r="I2293" s="263">
        <f>IFERROR(AVERAGEIFS(RC_IN[MC],RC_IN[BLOCK],RC_OUT[BLOCK]),"")</f>
        <v>9.566</v>
      </c>
      <c r="J2293" s="264">
        <f t="shared" si="54"/>
        <v>111788.276</v>
      </c>
      <c r="K2293" s="246"/>
      <c r="L2293" s="246"/>
      <c r="M2293" s="249"/>
      <c r="N2293" s="266">
        <f t="shared" si="53"/>
        <v>0</v>
      </c>
      <c r="O2293" s="247"/>
      <c r="P2293" s="247"/>
      <c r="Q2293" s="247"/>
      <c r="R2293" s="247"/>
      <c r="S2293" s="247"/>
      <c r="T2293" s="247"/>
      <c r="U2293" s="247"/>
      <c r="V2293" s="247"/>
      <c r="W2293" s="247"/>
      <c r="X2293" s="247"/>
    </row>
    <row r="2294">
      <c r="A2294" s="294">
        <v>46206.0</v>
      </c>
      <c r="B2294" s="295" t="s">
        <v>1257</v>
      </c>
      <c r="C2294" s="295" t="s">
        <v>393</v>
      </c>
      <c r="D2294" s="296">
        <v>7003.0</v>
      </c>
      <c r="E2294" s="295" t="s">
        <v>1017</v>
      </c>
      <c r="F2294" s="292"/>
      <c r="G2294" s="293" t="str">
        <f>IFNA(IF(VLOOKUP(RC_OUT[BLOCK],RC_IN[[BLOCK]:[BLOCK LOC]],2,FALSE)=0,"",VLOOKUP(RC_OUT[BLOCK],RC_IN[[BLOCK]:[BLOCK LOC]],2,FALSE)),"")</f>
        <v>D-7B</v>
      </c>
      <c r="I2294" s="263">
        <f>IFERROR(AVERAGEIFS(RC_IN[MC],RC_IN[BLOCK],RC_OUT[BLOCK]),"")</f>
        <v>10.9025</v>
      </c>
      <c r="J2294" s="264">
        <f t="shared" si="54"/>
        <v>76350.2075</v>
      </c>
      <c r="K2294" s="246"/>
      <c r="L2294" s="246"/>
      <c r="M2294" s="249"/>
      <c r="N2294" s="266">
        <f t="shared" si="53"/>
        <v>0</v>
      </c>
      <c r="O2294" s="247"/>
      <c r="P2294" s="247"/>
      <c r="Q2294" s="247"/>
      <c r="R2294" s="247"/>
      <c r="S2294" s="247"/>
      <c r="T2294" s="247"/>
      <c r="U2294" s="247"/>
      <c r="V2294" s="247"/>
      <c r="W2294" s="247"/>
      <c r="X2294" s="247"/>
    </row>
    <row r="2295">
      <c r="A2295" s="294">
        <v>46206.0</v>
      </c>
      <c r="B2295" s="295" t="s">
        <v>1257</v>
      </c>
      <c r="C2295" s="295" t="s">
        <v>674</v>
      </c>
      <c r="D2295" s="296">
        <v>7142.0</v>
      </c>
      <c r="E2295" s="295" t="s">
        <v>1017</v>
      </c>
      <c r="F2295" s="292"/>
      <c r="G2295" s="293" t="str">
        <f>IFNA(IF(VLOOKUP(RC_OUT[BLOCK],RC_IN[[BLOCK]:[BLOCK LOC]],2,FALSE)=0,"",VLOOKUP(RC_OUT[BLOCK],RC_IN[[BLOCK]:[BLOCK LOC]],2,FALSE)),"")</f>
        <v>A-7C</v>
      </c>
      <c r="I2295" s="263">
        <f>IFERROR(AVERAGEIFS(RC_IN[MC],RC_IN[BLOCK],RC_OUT[BLOCK]),"")</f>
        <v>10.044</v>
      </c>
      <c r="J2295" s="264">
        <f t="shared" si="54"/>
        <v>71734.248</v>
      </c>
      <c r="K2295" s="246"/>
      <c r="L2295" s="246"/>
      <c r="M2295" s="249"/>
      <c r="N2295" s="266">
        <f t="shared" si="53"/>
        <v>0</v>
      </c>
      <c r="O2295" s="247"/>
      <c r="P2295" s="247"/>
      <c r="Q2295" s="247"/>
      <c r="R2295" s="247"/>
      <c r="S2295" s="247"/>
      <c r="T2295" s="247"/>
      <c r="U2295" s="247"/>
      <c r="V2295" s="247"/>
      <c r="W2295" s="247"/>
      <c r="X2295" s="247"/>
    </row>
    <row r="2296">
      <c r="A2296" s="294">
        <v>46206.0</v>
      </c>
      <c r="B2296" s="295" t="s">
        <v>1257</v>
      </c>
      <c r="C2296" s="295" t="s">
        <v>1002</v>
      </c>
      <c r="D2296" s="296">
        <v>3425.0</v>
      </c>
      <c r="E2296" s="295" t="s">
        <v>1017</v>
      </c>
      <c r="F2296" s="297" t="s">
        <v>1059</v>
      </c>
      <c r="G2296" s="293" t="str">
        <f>IFNA(IF(VLOOKUP(RC_OUT[BLOCK],RC_IN[[BLOCK]:[BLOCK LOC]],2,FALSE)=0,"",VLOOKUP(RC_OUT[BLOCK],RC_IN[[BLOCK]:[BLOCK LOC]],2,FALSE)),"")</f>
        <v/>
      </c>
      <c r="I2296" s="263">
        <f>IFERROR(AVERAGEIFS(RC_IN[MC],RC_IN[BLOCK],RC_OUT[BLOCK]),"")</f>
        <v>11.4</v>
      </c>
      <c r="J2296" s="264">
        <f t="shared" si="54"/>
        <v>39045</v>
      </c>
      <c r="K2296" s="246"/>
      <c r="L2296" s="246"/>
      <c r="M2296" s="249"/>
      <c r="N2296" s="266">
        <f t="shared" si="53"/>
        <v>0</v>
      </c>
      <c r="O2296" s="247"/>
      <c r="P2296" s="247"/>
      <c r="Q2296" s="247"/>
      <c r="R2296" s="247"/>
      <c r="S2296" s="247"/>
      <c r="T2296" s="247"/>
      <c r="U2296" s="247"/>
      <c r="V2296" s="247"/>
      <c r="W2296" s="247"/>
      <c r="X2296" s="247"/>
    </row>
    <row r="2297">
      <c r="A2297" s="294"/>
      <c r="B2297" s="295"/>
      <c r="C2297" s="295"/>
      <c r="D2297" s="296"/>
      <c r="E2297" s="295"/>
      <c r="F2297" s="292"/>
      <c r="G2297" s="293" t="str">
        <f>IFNA(IF(VLOOKUP(RC_OUT[BLOCK],RC_IN[[BLOCK]:[BLOCK LOC]],2,FALSE)=0,"",VLOOKUP(RC_OUT[BLOCK],RC_IN[[BLOCK]:[BLOCK LOC]],2,FALSE)),"")</f>
        <v/>
      </c>
      <c r="I2297" s="263" t="str">
        <f>IFERROR(AVERAGEIFS(RC_IN[MC],RC_IN[BLOCK],RC_OUT[BLOCK]),"")</f>
        <v/>
      </c>
      <c r="J2297" s="264">
        <f t="shared" si="54"/>
        <v>0</v>
      </c>
      <c r="K2297" s="246"/>
      <c r="L2297" s="246"/>
      <c r="M2297" s="249"/>
      <c r="N2297" s="266">
        <f t="shared" si="53"/>
        <v>0</v>
      </c>
      <c r="O2297" s="247"/>
      <c r="P2297" s="247"/>
      <c r="Q2297" s="247"/>
      <c r="R2297" s="247"/>
      <c r="S2297" s="247"/>
      <c r="T2297" s="247"/>
      <c r="U2297" s="247"/>
      <c r="V2297" s="247"/>
      <c r="W2297" s="247"/>
      <c r="X2297" s="247"/>
    </row>
    <row r="2298">
      <c r="A2298" s="294"/>
      <c r="B2298" s="295"/>
      <c r="C2298" s="295"/>
      <c r="D2298" s="296"/>
      <c r="E2298" s="295"/>
      <c r="F2298" s="292"/>
      <c r="G2298" s="293" t="str">
        <f>IFNA(IF(VLOOKUP(RC_OUT[BLOCK],RC_IN[[BLOCK]:[BLOCK LOC]],2,FALSE)=0,"",VLOOKUP(RC_OUT[BLOCK],RC_IN[[BLOCK]:[BLOCK LOC]],2,FALSE)),"")</f>
        <v/>
      </c>
      <c r="I2298" s="263" t="str">
        <f>IFERROR(AVERAGEIFS(RC_IN[MC],RC_IN[BLOCK],RC_OUT[BLOCK]),"")</f>
        <v/>
      </c>
      <c r="J2298" s="264">
        <f t="shared" si="54"/>
        <v>0</v>
      </c>
      <c r="K2298" s="246"/>
      <c r="L2298" s="246"/>
      <c r="M2298" s="249"/>
      <c r="N2298" s="266">
        <f t="shared" si="53"/>
        <v>0</v>
      </c>
      <c r="O2298" s="247"/>
      <c r="P2298" s="247"/>
      <c r="Q2298" s="247"/>
      <c r="R2298" s="247"/>
      <c r="S2298" s="247"/>
      <c r="T2298" s="247"/>
      <c r="U2298" s="247"/>
      <c r="V2298" s="247"/>
      <c r="W2298" s="247"/>
      <c r="X2298" s="247"/>
    </row>
    <row r="2299">
      <c r="A2299" s="294"/>
      <c r="B2299" s="295"/>
      <c r="C2299" s="295"/>
      <c r="D2299" s="296"/>
      <c r="E2299" s="295"/>
      <c r="F2299" s="292"/>
      <c r="G2299" s="293" t="str">
        <f>IFNA(IF(VLOOKUP(RC_OUT[BLOCK],RC_IN[[BLOCK]:[BLOCK LOC]],2,FALSE)=0,"",VLOOKUP(RC_OUT[BLOCK],RC_IN[[BLOCK]:[BLOCK LOC]],2,FALSE)),"")</f>
        <v/>
      </c>
      <c r="I2299" s="263" t="str">
        <f>IFERROR(AVERAGEIFS(RC_IN[MC],RC_IN[BLOCK],RC_OUT[BLOCK]),"")</f>
        <v/>
      </c>
      <c r="J2299" s="264">
        <f t="shared" si="54"/>
        <v>0</v>
      </c>
      <c r="K2299" s="246"/>
      <c r="L2299" s="246"/>
      <c r="M2299" s="249"/>
      <c r="N2299" s="266">
        <f t="shared" si="53"/>
        <v>0</v>
      </c>
      <c r="O2299" s="247"/>
      <c r="P2299" s="247"/>
      <c r="Q2299" s="247"/>
      <c r="R2299" s="247"/>
      <c r="S2299" s="247"/>
      <c r="T2299" s="247"/>
      <c r="U2299" s="247"/>
      <c r="V2299" s="247"/>
      <c r="W2299" s="247"/>
      <c r="X2299" s="247"/>
    </row>
    <row r="2300">
      <c r="A2300" s="294"/>
      <c r="B2300" s="295"/>
      <c r="C2300" s="295"/>
      <c r="D2300" s="296"/>
      <c r="E2300" s="295"/>
      <c r="F2300" s="292"/>
      <c r="G2300" s="293" t="str">
        <f>IFNA(IF(VLOOKUP(RC_OUT[BLOCK],RC_IN[[BLOCK]:[BLOCK LOC]],2,FALSE)=0,"",VLOOKUP(RC_OUT[BLOCK],RC_IN[[BLOCK]:[BLOCK LOC]],2,FALSE)),"")</f>
        <v/>
      </c>
      <c r="I2300" s="263" t="str">
        <f>IFERROR(AVERAGEIFS(RC_IN[MC],RC_IN[BLOCK],RC_OUT[BLOCK]),"")</f>
        <v/>
      </c>
      <c r="J2300" s="264">
        <f t="shared" si="54"/>
        <v>0</v>
      </c>
      <c r="K2300" s="246"/>
      <c r="L2300" s="246"/>
      <c r="M2300" s="249"/>
      <c r="N2300" s="266">
        <f t="shared" si="53"/>
        <v>0</v>
      </c>
      <c r="O2300" s="247"/>
      <c r="P2300" s="247"/>
      <c r="Q2300" s="247"/>
      <c r="R2300" s="247"/>
      <c r="S2300" s="247"/>
      <c r="T2300" s="247"/>
      <c r="U2300" s="247"/>
      <c r="V2300" s="247"/>
      <c r="W2300" s="247"/>
      <c r="X2300" s="247"/>
    </row>
    <row r="2301">
      <c r="A2301" s="294"/>
      <c r="B2301" s="295"/>
      <c r="C2301" s="295"/>
      <c r="D2301" s="296"/>
      <c r="E2301" s="295"/>
      <c r="F2301" s="292"/>
      <c r="G2301" s="293" t="str">
        <f>IFNA(IF(VLOOKUP(RC_OUT[BLOCK],RC_IN[[BLOCK]:[BLOCK LOC]],2,FALSE)=0,"",VLOOKUP(RC_OUT[BLOCK],RC_IN[[BLOCK]:[BLOCK LOC]],2,FALSE)),"")</f>
        <v/>
      </c>
      <c r="I2301" s="263" t="str">
        <f>IFERROR(AVERAGEIFS(RC_IN[MC],RC_IN[BLOCK],RC_OUT[BLOCK]),"")</f>
        <v/>
      </c>
      <c r="J2301" s="264">
        <f t="shared" si="54"/>
        <v>0</v>
      </c>
      <c r="K2301" s="246"/>
      <c r="L2301" s="246"/>
      <c r="M2301" s="249"/>
      <c r="N2301" s="266">
        <f t="shared" si="53"/>
        <v>0</v>
      </c>
      <c r="O2301" s="247"/>
      <c r="P2301" s="247"/>
      <c r="Q2301" s="247"/>
      <c r="R2301" s="247"/>
      <c r="S2301" s="247"/>
      <c r="T2301" s="247"/>
      <c r="U2301" s="247"/>
      <c r="V2301" s="247"/>
      <c r="W2301" s="247"/>
      <c r="X2301" s="247"/>
    </row>
    <row r="2302">
      <c r="A2302" s="294"/>
      <c r="B2302" s="295"/>
      <c r="C2302" s="295"/>
      <c r="D2302" s="296"/>
      <c r="E2302" s="295"/>
      <c r="F2302" s="292"/>
      <c r="G2302" s="293" t="str">
        <f>IFNA(IF(VLOOKUP(RC_OUT[BLOCK],RC_IN[[BLOCK]:[BLOCK LOC]],2,FALSE)=0,"",VLOOKUP(RC_OUT[BLOCK],RC_IN[[BLOCK]:[BLOCK LOC]],2,FALSE)),"")</f>
        <v/>
      </c>
      <c r="I2302" s="263" t="str">
        <f>IFERROR(AVERAGEIFS(RC_IN[MC],RC_IN[BLOCK],RC_OUT[BLOCK]),"")</f>
        <v/>
      </c>
      <c r="J2302" s="264">
        <f t="shared" si="54"/>
        <v>0</v>
      </c>
      <c r="K2302" s="246"/>
      <c r="L2302" s="246"/>
      <c r="M2302" s="249"/>
      <c r="N2302" s="266">
        <f t="shared" si="53"/>
        <v>0</v>
      </c>
      <c r="O2302" s="247"/>
      <c r="P2302" s="247"/>
      <c r="Q2302" s="247"/>
      <c r="R2302" s="247"/>
      <c r="S2302" s="247"/>
      <c r="T2302" s="247"/>
      <c r="U2302" s="247"/>
      <c r="V2302" s="247"/>
      <c r="W2302" s="247"/>
      <c r="X2302" s="247"/>
    </row>
    <row r="2303">
      <c r="A2303" s="294"/>
      <c r="B2303" s="295"/>
      <c r="C2303" s="295"/>
      <c r="D2303" s="296"/>
      <c r="E2303" s="295"/>
      <c r="F2303" s="292"/>
      <c r="G2303" s="293" t="str">
        <f>IFNA(IF(VLOOKUP(RC_OUT[BLOCK],RC_IN[[BLOCK]:[BLOCK LOC]],2,FALSE)=0,"",VLOOKUP(RC_OUT[BLOCK],RC_IN[[BLOCK]:[BLOCK LOC]],2,FALSE)),"")</f>
        <v/>
      </c>
      <c r="I2303" s="263" t="str">
        <f>IFERROR(AVERAGEIFS(RC_IN[MC],RC_IN[BLOCK],RC_OUT[BLOCK]),"")</f>
        <v/>
      </c>
      <c r="J2303" s="264">
        <f t="shared" si="54"/>
        <v>0</v>
      </c>
      <c r="K2303" s="246"/>
      <c r="L2303" s="246"/>
      <c r="M2303" s="249"/>
      <c r="N2303" s="266">
        <f t="shared" si="53"/>
        <v>0</v>
      </c>
      <c r="O2303" s="247"/>
      <c r="P2303" s="247"/>
      <c r="Q2303" s="247"/>
      <c r="R2303" s="247"/>
      <c r="S2303" s="247"/>
      <c r="T2303" s="247"/>
      <c r="U2303" s="247"/>
      <c r="V2303" s="247"/>
      <c r="W2303" s="247"/>
      <c r="X2303" s="247"/>
    </row>
    <row r="2304">
      <c r="A2304" s="294"/>
      <c r="B2304" s="295"/>
      <c r="C2304" s="295"/>
      <c r="D2304" s="296"/>
      <c r="E2304" s="295"/>
      <c r="F2304" s="292"/>
      <c r="G2304" s="293" t="str">
        <f>IFNA(IF(VLOOKUP(RC_OUT[BLOCK],RC_IN[[BLOCK]:[BLOCK LOC]],2,FALSE)=0,"",VLOOKUP(RC_OUT[BLOCK],RC_IN[[BLOCK]:[BLOCK LOC]],2,FALSE)),"")</f>
        <v/>
      </c>
      <c r="I2304" s="263" t="str">
        <f>IFERROR(AVERAGEIFS(RC_IN[MC],RC_IN[BLOCK],RC_OUT[BLOCK]),"")</f>
        <v/>
      </c>
      <c r="J2304" s="264">
        <f t="shared" si="54"/>
        <v>0</v>
      </c>
      <c r="K2304" s="246"/>
      <c r="L2304" s="246"/>
      <c r="M2304" s="249"/>
      <c r="N2304" s="266">
        <f t="shared" si="53"/>
        <v>0</v>
      </c>
      <c r="O2304" s="247"/>
      <c r="P2304" s="247"/>
      <c r="Q2304" s="247"/>
      <c r="R2304" s="247"/>
      <c r="S2304" s="247"/>
      <c r="T2304" s="247"/>
      <c r="U2304" s="247"/>
      <c r="V2304" s="247"/>
      <c r="W2304" s="247"/>
      <c r="X2304" s="247"/>
    </row>
    <row r="2305">
      <c r="A2305" s="294"/>
      <c r="B2305" s="295"/>
      <c r="C2305" s="295"/>
      <c r="D2305" s="296"/>
      <c r="E2305" s="295"/>
      <c r="F2305" s="292"/>
      <c r="G2305" s="293" t="str">
        <f>IFNA(IF(VLOOKUP(RC_OUT[BLOCK],RC_IN[[BLOCK]:[BLOCK LOC]],2,FALSE)=0,"",VLOOKUP(RC_OUT[BLOCK],RC_IN[[BLOCK]:[BLOCK LOC]],2,FALSE)),"")</f>
        <v/>
      </c>
      <c r="I2305" s="263" t="str">
        <f>IFERROR(AVERAGEIFS(RC_IN[MC],RC_IN[BLOCK],RC_OUT[BLOCK]),"")</f>
        <v/>
      </c>
      <c r="J2305" s="264">
        <f t="shared" si="54"/>
        <v>0</v>
      </c>
      <c r="K2305" s="246"/>
      <c r="L2305" s="246"/>
      <c r="M2305" s="249"/>
      <c r="N2305" s="266">
        <f t="shared" si="53"/>
        <v>0</v>
      </c>
      <c r="O2305" s="247"/>
      <c r="P2305" s="247"/>
      <c r="Q2305" s="247"/>
      <c r="R2305" s="247"/>
      <c r="S2305" s="247"/>
      <c r="T2305" s="247"/>
      <c r="U2305" s="247"/>
      <c r="V2305" s="247"/>
      <c r="W2305" s="247"/>
      <c r="X2305" s="247"/>
    </row>
    <row r="2306">
      <c r="A2306" s="294"/>
      <c r="B2306" s="295"/>
      <c r="C2306" s="295"/>
      <c r="D2306" s="296"/>
      <c r="E2306" s="295"/>
      <c r="F2306" s="292"/>
      <c r="G2306" s="293" t="str">
        <f>IFNA(IF(VLOOKUP(RC_OUT[BLOCK],RC_IN[[BLOCK]:[BLOCK LOC]],2,FALSE)=0,"",VLOOKUP(RC_OUT[BLOCK],RC_IN[[BLOCK]:[BLOCK LOC]],2,FALSE)),"")</f>
        <v/>
      </c>
      <c r="I2306" s="263" t="str">
        <f>IFERROR(AVERAGEIFS(RC_IN[MC],RC_IN[BLOCK],RC_OUT[BLOCK]),"")</f>
        <v/>
      </c>
      <c r="J2306" s="264">
        <f t="shared" si="54"/>
        <v>0</v>
      </c>
      <c r="K2306" s="246"/>
      <c r="L2306" s="246"/>
      <c r="M2306" s="249"/>
      <c r="N2306" s="266">
        <f t="shared" si="53"/>
        <v>0</v>
      </c>
      <c r="O2306" s="247"/>
      <c r="P2306" s="247"/>
      <c r="Q2306" s="247"/>
      <c r="R2306" s="247"/>
      <c r="S2306" s="247"/>
      <c r="T2306" s="247"/>
      <c r="U2306" s="247"/>
      <c r="V2306" s="247"/>
      <c r="W2306" s="247"/>
      <c r="X2306" s="247"/>
    </row>
    <row r="2307">
      <c r="A2307" s="294"/>
      <c r="B2307" s="295"/>
      <c r="C2307" s="295"/>
      <c r="D2307" s="296"/>
      <c r="E2307" s="295"/>
      <c r="F2307" s="292"/>
      <c r="G2307" s="293" t="str">
        <f>IFNA(IF(VLOOKUP(RC_OUT[BLOCK],RC_IN[[BLOCK]:[BLOCK LOC]],2,FALSE)=0,"",VLOOKUP(RC_OUT[BLOCK],RC_IN[[BLOCK]:[BLOCK LOC]],2,FALSE)),"")</f>
        <v/>
      </c>
      <c r="I2307" s="263" t="str">
        <f>IFERROR(AVERAGEIFS(RC_IN[MC],RC_IN[BLOCK],RC_OUT[BLOCK]),"")</f>
        <v/>
      </c>
      <c r="J2307" s="264">
        <f t="shared" si="54"/>
        <v>0</v>
      </c>
      <c r="K2307" s="246"/>
      <c r="L2307" s="246"/>
      <c r="M2307" s="249"/>
      <c r="N2307" s="266">
        <f t="shared" si="53"/>
        <v>0</v>
      </c>
      <c r="O2307" s="247"/>
      <c r="P2307" s="247"/>
      <c r="Q2307" s="247"/>
      <c r="R2307" s="247"/>
      <c r="S2307" s="247"/>
      <c r="T2307" s="247"/>
      <c r="U2307" s="247"/>
      <c r="V2307" s="247"/>
      <c r="W2307" s="247"/>
      <c r="X2307" s="247"/>
    </row>
    <row r="2308">
      <c r="A2308" s="294"/>
      <c r="B2308" s="295"/>
      <c r="C2308" s="295"/>
      <c r="D2308" s="296"/>
      <c r="E2308" s="295"/>
      <c r="F2308" s="292"/>
      <c r="G2308" s="293" t="str">
        <f>IFNA(IF(VLOOKUP(RC_OUT[BLOCK],RC_IN[[BLOCK]:[BLOCK LOC]],2,FALSE)=0,"",VLOOKUP(RC_OUT[BLOCK],RC_IN[[BLOCK]:[BLOCK LOC]],2,FALSE)),"")</f>
        <v/>
      </c>
      <c r="I2308" s="263" t="str">
        <f>IFERROR(AVERAGEIFS(RC_IN[MC],RC_IN[BLOCK],RC_OUT[BLOCK]),"")</f>
        <v/>
      </c>
      <c r="J2308" s="264">
        <f t="shared" si="54"/>
        <v>0</v>
      </c>
      <c r="K2308" s="246"/>
      <c r="L2308" s="246"/>
      <c r="M2308" s="249"/>
      <c r="N2308" s="266">
        <f t="shared" si="53"/>
        <v>0</v>
      </c>
      <c r="O2308" s="247"/>
      <c r="P2308" s="247"/>
      <c r="Q2308" s="247"/>
      <c r="R2308" s="247"/>
      <c r="S2308" s="247"/>
      <c r="T2308" s="247"/>
      <c r="U2308" s="247"/>
      <c r="V2308" s="247"/>
      <c r="W2308" s="247"/>
      <c r="X2308" s="247"/>
    </row>
    <row r="2309">
      <c r="A2309" s="294"/>
      <c r="B2309" s="295"/>
      <c r="C2309" s="295"/>
      <c r="D2309" s="296"/>
      <c r="E2309" s="295"/>
      <c r="F2309" s="292"/>
      <c r="G2309" s="293" t="str">
        <f>IFNA(IF(VLOOKUP(RC_OUT[BLOCK],RC_IN[[BLOCK]:[BLOCK LOC]],2,FALSE)=0,"",VLOOKUP(RC_OUT[BLOCK],RC_IN[[BLOCK]:[BLOCK LOC]],2,FALSE)),"")</f>
        <v/>
      </c>
      <c r="I2309" s="263" t="str">
        <f>IFERROR(AVERAGEIFS(RC_IN[MC],RC_IN[BLOCK],RC_OUT[BLOCK]),"")</f>
        <v/>
      </c>
      <c r="J2309" s="264">
        <f t="shared" si="54"/>
        <v>0</v>
      </c>
      <c r="K2309" s="246"/>
      <c r="L2309" s="246"/>
      <c r="M2309" s="249"/>
      <c r="N2309" s="266">
        <f t="shared" si="53"/>
        <v>0</v>
      </c>
      <c r="O2309" s="247"/>
      <c r="P2309" s="247"/>
      <c r="Q2309" s="247"/>
      <c r="R2309" s="247"/>
      <c r="S2309" s="247"/>
      <c r="T2309" s="247"/>
      <c r="U2309" s="247"/>
      <c r="V2309" s="247"/>
      <c r="W2309" s="247"/>
      <c r="X2309" s="247"/>
    </row>
    <row r="2310">
      <c r="A2310" s="294"/>
      <c r="B2310" s="295"/>
      <c r="C2310" s="295"/>
      <c r="D2310" s="296"/>
      <c r="E2310" s="295"/>
      <c r="F2310" s="292"/>
      <c r="G2310" s="293" t="str">
        <f>IFNA(IF(VLOOKUP(RC_OUT[BLOCK],RC_IN[[BLOCK]:[BLOCK LOC]],2,FALSE)=0,"",VLOOKUP(RC_OUT[BLOCK],RC_IN[[BLOCK]:[BLOCK LOC]],2,FALSE)),"")</f>
        <v/>
      </c>
      <c r="I2310" s="263" t="str">
        <f>IFERROR(AVERAGEIFS(RC_IN[MC],RC_IN[BLOCK],RC_OUT[BLOCK]),"")</f>
        <v/>
      </c>
      <c r="J2310" s="264">
        <f t="shared" si="54"/>
        <v>0</v>
      </c>
      <c r="K2310" s="246"/>
      <c r="L2310" s="246"/>
      <c r="M2310" s="249"/>
      <c r="N2310" s="266">
        <f t="shared" si="53"/>
        <v>0</v>
      </c>
      <c r="O2310" s="247"/>
      <c r="P2310" s="247"/>
      <c r="Q2310" s="247"/>
      <c r="R2310" s="247"/>
      <c r="S2310" s="247"/>
      <c r="T2310" s="247"/>
      <c r="U2310" s="247"/>
      <c r="V2310" s="247"/>
      <c r="W2310" s="247"/>
      <c r="X2310" s="247"/>
    </row>
    <row r="2311">
      <c r="A2311" s="294"/>
      <c r="B2311" s="295"/>
      <c r="C2311" s="295"/>
      <c r="D2311" s="296"/>
      <c r="E2311" s="295"/>
      <c r="F2311" s="292"/>
      <c r="G2311" s="293" t="str">
        <f>IFNA(IF(VLOOKUP(RC_OUT[BLOCK],RC_IN[[BLOCK]:[BLOCK LOC]],2,FALSE)=0,"",VLOOKUP(RC_OUT[BLOCK],RC_IN[[BLOCK]:[BLOCK LOC]],2,FALSE)),"")</f>
        <v/>
      </c>
      <c r="I2311" s="263" t="str">
        <f>IFERROR(AVERAGEIFS(RC_IN[MC],RC_IN[BLOCK],RC_OUT[BLOCK]),"")</f>
        <v/>
      </c>
      <c r="J2311" s="264">
        <f t="shared" si="54"/>
        <v>0</v>
      </c>
      <c r="K2311" s="246"/>
      <c r="L2311" s="246"/>
      <c r="M2311" s="249"/>
      <c r="N2311" s="266">
        <f t="shared" si="53"/>
        <v>0</v>
      </c>
      <c r="O2311" s="247"/>
      <c r="P2311" s="247"/>
      <c r="Q2311" s="247"/>
      <c r="R2311" s="247"/>
      <c r="S2311" s="247"/>
      <c r="T2311" s="247"/>
      <c r="U2311" s="247"/>
      <c r="V2311" s="247"/>
      <c r="W2311" s="247"/>
      <c r="X2311" s="247"/>
    </row>
    <row r="2312">
      <c r="A2312" s="294"/>
      <c r="B2312" s="295"/>
      <c r="C2312" s="295"/>
      <c r="D2312" s="296"/>
      <c r="E2312" s="295"/>
      <c r="F2312" s="292"/>
      <c r="G2312" s="293" t="str">
        <f>IFNA(IF(VLOOKUP(RC_OUT[BLOCK],RC_IN[[BLOCK]:[BLOCK LOC]],2,FALSE)=0,"",VLOOKUP(RC_OUT[BLOCK],RC_IN[[BLOCK]:[BLOCK LOC]],2,FALSE)),"")</f>
        <v/>
      </c>
      <c r="I2312" s="263" t="str">
        <f>IFERROR(AVERAGEIFS(RC_IN[MC],RC_IN[BLOCK],RC_OUT[BLOCK]),"")</f>
        <v/>
      </c>
      <c r="J2312" s="264">
        <f t="shared" si="54"/>
        <v>0</v>
      </c>
      <c r="K2312" s="246"/>
      <c r="L2312" s="246"/>
      <c r="M2312" s="249"/>
      <c r="N2312" s="266">
        <f t="shared" si="53"/>
        <v>0</v>
      </c>
      <c r="O2312" s="247"/>
      <c r="P2312" s="247"/>
      <c r="Q2312" s="247"/>
      <c r="R2312" s="247"/>
      <c r="S2312" s="247"/>
      <c r="T2312" s="247"/>
      <c r="U2312" s="247"/>
      <c r="V2312" s="247"/>
      <c r="W2312" s="247"/>
      <c r="X2312" s="247"/>
    </row>
    <row r="2313">
      <c r="A2313" s="294"/>
      <c r="B2313" s="295"/>
      <c r="C2313" s="295"/>
      <c r="D2313" s="296"/>
      <c r="E2313" s="295"/>
      <c r="F2313" s="292"/>
      <c r="G2313" s="293" t="str">
        <f>IFNA(IF(VLOOKUP(RC_OUT[BLOCK],RC_IN[[BLOCK]:[BLOCK LOC]],2,FALSE)=0,"",VLOOKUP(RC_OUT[BLOCK],RC_IN[[BLOCK]:[BLOCK LOC]],2,FALSE)),"")</f>
        <v/>
      </c>
      <c r="I2313" s="263" t="str">
        <f>IFERROR(AVERAGEIFS(RC_IN[MC],RC_IN[BLOCK],RC_OUT[BLOCK]),"")</f>
        <v/>
      </c>
      <c r="J2313" s="264">
        <f t="shared" si="54"/>
        <v>0</v>
      </c>
      <c r="K2313" s="246"/>
      <c r="L2313" s="246"/>
      <c r="M2313" s="249"/>
      <c r="N2313" s="266">
        <f t="shared" si="53"/>
        <v>0</v>
      </c>
      <c r="O2313" s="247"/>
      <c r="P2313" s="247"/>
      <c r="Q2313" s="247"/>
      <c r="R2313" s="247"/>
      <c r="S2313" s="247"/>
      <c r="T2313" s="247"/>
      <c r="U2313" s="247"/>
      <c r="V2313" s="247"/>
      <c r="W2313" s="247"/>
      <c r="X2313" s="247"/>
    </row>
    <row r="2314">
      <c r="A2314" s="294"/>
      <c r="B2314" s="295"/>
      <c r="C2314" s="295"/>
      <c r="D2314" s="296"/>
      <c r="E2314" s="295"/>
      <c r="F2314" s="292"/>
      <c r="G2314" s="293" t="str">
        <f>IFNA(IF(VLOOKUP(RC_OUT[BLOCK],RC_IN[[BLOCK]:[BLOCK LOC]],2,FALSE)=0,"",VLOOKUP(RC_OUT[BLOCK],RC_IN[[BLOCK]:[BLOCK LOC]],2,FALSE)),"")</f>
        <v/>
      </c>
      <c r="I2314" s="263" t="str">
        <f>IFERROR(AVERAGEIFS(RC_IN[MC],RC_IN[BLOCK],RC_OUT[BLOCK]),"")</f>
        <v/>
      </c>
      <c r="J2314" s="264">
        <f t="shared" si="54"/>
        <v>0</v>
      </c>
      <c r="K2314" s="246"/>
      <c r="L2314" s="246"/>
      <c r="M2314" s="249"/>
      <c r="N2314" s="266">
        <f t="shared" si="53"/>
        <v>0</v>
      </c>
      <c r="O2314" s="247"/>
      <c r="P2314" s="247"/>
      <c r="Q2314" s="247"/>
      <c r="R2314" s="247"/>
      <c r="S2314" s="247"/>
      <c r="T2314" s="247"/>
      <c r="U2314" s="247"/>
      <c r="V2314" s="247"/>
      <c r="W2314" s="247"/>
      <c r="X2314" s="247"/>
    </row>
    <row r="2315">
      <c r="A2315" s="294"/>
      <c r="B2315" s="295"/>
      <c r="C2315" s="295"/>
      <c r="D2315" s="296"/>
      <c r="E2315" s="295"/>
      <c r="F2315" s="292"/>
      <c r="G2315" s="293" t="str">
        <f>IFNA(IF(VLOOKUP(RC_OUT[BLOCK],RC_IN[[BLOCK]:[BLOCK LOC]],2,FALSE)=0,"",VLOOKUP(RC_OUT[BLOCK],RC_IN[[BLOCK]:[BLOCK LOC]],2,FALSE)),"")</f>
        <v/>
      </c>
      <c r="I2315" s="263" t="str">
        <f>IFERROR(AVERAGEIFS(RC_IN[MC],RC_IN[BLOCK],RC_OUT[BLOCK]),"")</f>
        <v/>
      </c>
      <c r="J2315" s="264">
        <f t="shared" si="54"/>
        <v>0</v>
      </c>
      <c r="K2315" s="246"/>
      <c r="L2315" s="246"/>
      <c r="M2315" s="249"/>
      <c r="N2315" s="266">
        <f t="shared" si="53"/>
        <v>0</v>
      </c>
      <c r="O2315" s="247"/>
      <c r="P2315" s="247"/>
      <c r="Q2315" s="247"/>
      <c r="R2315" s="247"/>
      <c r="S2315" s="247"/>
      <c r="T2315" s="247"/>
      <c r="U2315" s="247"/>
      <c r="V2315" s="247"/>
      <c r="W2315" s="247"/>
      <c r="X2315" s="247"/>
    </row>
    <row r="2316">
      <c r="A2316" s="294"/>
      <c r="B2316" s="295"/>
      <c r="C2316" s="295"/>
      <c r="D2316" s="296"/>
      <c r="E2316" s="295"/>
      <c r="F2316" s="292"/>
      <c r="G2316" s="293" t="str">
        <f>IFNA(IF(VLOOKUP(RC_OUT[BLOCK],RC_IN[[BLOCK]:[BLOCK LOC]],2,FALSE)=0,"",VLOOKUP(RC_OUT[BLOCK],RC_IN[[BLOCK]:[BLOCK LOC]],2,FALSE)),"")</f>
        <v/>
      </c>
      <c r="I2316" s="263" t="str">
        <f>IFERROR(AVERAGEIFS(RC_IN[MC],RC_IN[BLOCK],RC_OUT[BLOCK]),"")</f>
        <v/>
      </c>
      <c r="J2316" s="264">
        <f t="shared" si="54"/>
        <v>0</v>
      </c>
      <c r="K2316" s="246"/>
      <c r="L2316" s="246"/>
      <c r="M2316" s="249"/>
      <c r="N2316" s="266">
        <f t="shared" si="53"/>
        <v>0</v>
      </c>
      <c r="O2316" s="247"/>
      <c r="P2316" s="247"/>
      <c r="Q2316" s="247"/>
      <c r="R2316" s="247"/>
      <c r="S2316" s="247"/>
      <c r="T2316" s="247"/>
      <c r="U2316" s="247"/>
      <c r="V2316" s="247"/>
      <c r="W2316" s="247"/>
      <c r="X2316" s="247"/>
    </row>
    <row r="2317">
      <c r="A2317" s="294"/>
      <c r="B2317" s="295"/>
      <c r="C2317" s="295"/>
      <c r="D2317" s="296"/>
      <c r="E2317" s="295"/>
      <c r="F2317" s="292"/>
      <c r="G2317" s="293" t="str">
        <f>IFNA(IF(VLOOKUP(RC_OUT[BLOCK],RC_IN[[BLOCK]:[BLOCK LOC]],2,FALSE)=0,"",VLOOKUP(RC_OUT[BLOCK],RC_IN[[BLOCK]:[BLOCK LOC]],2,FALSE)),"")</f>
        <v/>
      </c>
      <c r="I2317" s="263" t="str">
        <f>IFERROR(AVERAGEIFS(RC_IN[MC],RC_IN[BLOCK],RC_OUT[BLOCK]),"")</f>
        <v/>
      </c>
      <c r="J2317" s="264">
        <f t="shared" si="54"/>
        <v>0</v>
      </c>
      <c r="K2317" s="246"/>
      <c r="L2317" s="246"/>
      <c r="M2317" s="249"/>
      <c r="N2317" s="266">
        <f t="shared" si="53"/>
        <v>0</v>
      </c>
      <c r="O2317" s="247"/>
      <c r="P2317" s="247"/>
      <c r="Q2317" s="247"/>
      <c r="R2317" s="247"/>
      <c r="S2317" s="247"/>
      <c r="T2317" s="247"/>
      <c r="U2317" s="247"/>
      <c r="V2317" s="247"/>
      <c r="W2317" s="247"/>
      <c r="X2317" s="247"/>
    </row>
    <row r="2318">
      <c r="A2318" s="294"/>
      <c r="B2318" s="295"/>
      <c r="C2318" s="295"/>
      <c r="D2318" s="296"/>
      <c r="E2318" s="295"/>
      <c r="F2318" s="292"/>
      <c r="G2318" s="293" t="str">
        <f>IFNA(IF(VLOOKUP(RC_OUT[BLOCK],RC_IN[[BLOCK]:[BLOCK LOC]],2,FALSE)=0,"",VLOOKUP(RC_OUT[BLOCK],RC_IN[[BLOCK]:[BLOCK LOC]],2,FALSE)),"")</f>
        <v/>
      </c>
      <c r="I2318" s="263" t="str">
        <f>IFERROR(AVERAGEIFS(RC_IN[MC],RC_IN[BLOCK],RC_OUT[BLOCK]),"")</f>
        <v/>
      </c>
      <c r="J2318" s="264">
        <f t="shared" si="54"/>
        <v>0</v>
      </c>
      <c r="K2318" s="246"/>
      <c r="L2318" s="246"/>
      <c r="M2318" s="249"/>
      <c r="N2318" s="266">
        <f t="shared" si="53"/>
        <v>0</v>
      </c>
      <c r="O2318" s="247"/>
      <c r="P2318" s="247"/>
      <c r="Q2318" s="247"/>
      <c r="R2318" s="247"/>
      <c r="S2318" s="247"/>
      <c r="T2318" s="247"/>
      <c r="U2318" s="247"/>
      <c r="V2318" s="247"/>
      <c r="W2318" s="247"/>
      <c r="X2318" s="247"/>
    </row>
    <row r="2319">
      <c r="A2319" s="294"/>
      <c r="B2319" s="295"/>
      <c r="C2319" s="295"/>
      <c r="D2319" s="296"/>
      <c r="E2319" s="295"/>
      <c r="F2319" s="292"/>
      <c r="G2319" s="293" t="str">
        <f>IFNA(IF(VLOOKUP(RC_OUT[BLOCK],RC_IN[[BLOCK]:[BLOCK LOC]],2,FALSE)=0,"",VLOOKUP(RC_OUT[BLOCK],RC_IN[[BLOCK]:[BLOCK LOC]],2,FALSE)),"")</f>
        <v/>
      </c>
      <c r="I2319" s="263" t="str">
        <f>IFERROR(AVERAGEIFS(RC_IN[MC],RC_IN[BLOCK],RC_OUT[BLOCK]),"")</f>
        <v/>
      </c>
      <c r="J2319" s="264">
        <f t="shared" si="54"/>
        <v>0</v>
      </c>
      <c r="K2319" s="246"/>
      <c r="L2319" s="246"/>
      <c r="M2319" s="249"/>
      <c r="N2319" s="266">
        <f t="shared" si="53"/>
        <v>0</v>
      </c>
      <c r="O2319" s="247"/>
      <c r="P2319" s="247"/>
      <c r="Q2319" s="247"/>
      <c r="R2319" s="247"/>
      <c r="S2319" s="247"/>
      <c r="T2319" s="247"/>
      <c r="U2319" s="247"/>
      <c r="V2319" s="247"/>
      <c r="W2319" s="247"/>
      <c r="X2319" s="247"/>
    </row>
    <row r="2320">
      <c r="A2320" s="294"/>
      <c r="B2320" s="295"/>
      <c r="C2320" s="295"/>
      <c r="D2320" s="296"/>
      <c r="E2320" s="295"/>
      <c r="F2320" s="292"/>
      <c r="G2320" s="293" t="str">
        <f>IFNA(IF(VLOOKUP(RC_OUT[BLOCK],RC_IN[[BLOCK]:[BLOCK LOC]],2,FALSE)=0,"",VLOOKUP(RC_OUT[BLOCK],RC_IN[[BLOCK]:[BLOCK LOC]],2,FALSE)),"")</f>
        <v/>
      </c>
      <c r="I2320" s="263" t="str">
        <f>IFERROR(AVERAGEIFS(RC_IN[MC],RC_IN[BLOCK],RC_OUT[BLOCK]),"")</f>
        <v/>
      </c>
      <c r="J2320" s="264">
        <f t="shared" si="54"/>
        <v>0</v>
      </c>
      <c r="K2320" s="246"/>
      <c r="L2320" s="246"/>
      <c r="M2320" s="249"/>
      <c r="N2320" s="266">
        <f t="shared" si="53"/>
        <v>0</v>
      </c>
      <c r="O2320" s="247"/>
      <c r="P2320" s="247"/>
      <c r="Q2320" s="247"/>
      <c r="R2320" s="247"/>
      <c r="S2320" s="247"/>
      <c r="T2320" s="247"/>
      <c r="U2320" s="247"/>
      <c r="V2320" s="247"/>
      <c r="W2320" s="247"/>
      <c r="X2320" s="247"/>
    </row>
    <row r="2321">
      <c r="A2321" s="294"/>
      <c r="B2321" s="295"/>
      <c r="C2321" s="295"/>
      <c r="D2321" s="296"/>
      <c r="E2321" s="295"/>
      <c r="F2321" s="292"/>
      <c r="G2321" s="293" t="str">
        <f>IFNA(IF(VLOOKUP(RC_OUT[BLOCK],RC_IN[[BLOCK]:[BLOCK LOC]],2,FALSE)=0,"",VLOOKUP(RC_OUT[BLOCK],RC_IN[[BLOCK]:[BLOCK LOC]],2,FALSE)),"")</f>
        <v/>
      </c>
      <c r="I2321" s="263" t="str">
        <f>IFERROR(AVERAGEIFS(RC_IN[MC],RC_IN[BLOCK],RC_OUT[BLOCK]),"")</f>
        <v/>
      </c>
      <c r="J2321" s="264">
        <f t="shared" si="54"/>
        <v>0</v>
      </c>
      <c r="K2321" s="246"/>
      <c r="L2321" s="246"/>
      <c r="M2321" s="249"/>
      <c r="N2321" s="266">
        <f t="shared" si="53"/>
        <v>0</v>
      </c>
      <c r="O2321" s="247"/>
      <c r="P2321" s="247"/>
      <c r="Q2321" s="247"/>
      <c r="R2321" s="247"/>
      <c r="S2321" s="247"/>
      <c r="T2321" s="247"/>
      <c r="U2321" s="247"/>
      <c r="V2321" s="247"/>
      <c r="W2321" s="247"/>
      <c r="X2321" s="247"/>
    </row>
    <row r="2322">
      <c r="A2322" s="294"/>
      <c r="B2322" s="295"/>
      <c r="C2322" s="295"/>
      <c r="D2322" s="296"/>
      <c r="E2322" s="295"/>
      <c r="F2322" s="292"/>
      <c r="G2322" s="293" t="str">
        <f>IFNA(IF(VLOOKUP(RC_OUT[BLOCK],RC_IN[[BLOCK]:[BLOCK LOC]],2,FALSE)=0,"",VLOOKUP(RC_OUT[BLOCK],RC_IN[[BLOCK]:[BLOCK LOC]],2,FALSE)),"")</f>
        <v/>
      </c>
      <c r="I2322" s="263" t="str">
        <f>IFERROR(AVERAGEIFS(RC_IN[MC],RC_IN[BLOCK],RC_OUT[BLOCK]),"")</f>
        <v/>
      </c>
      <c r="J2322" s="264">
        <f t="shared" si="54"/>
        <v>0</v>
      </c>
      <c r="K2322" s="246"/>
      <c r="L2322" s="246"/>
      <c r="M2322" s="249"/>
      <c r="N2322" s="266">
        <f t="shared" si="53"/>
        <v>0</v>
      </c>
      <c r="O2322" s="247"/>
      <c r="P2322" s="247"/>
      <c r="Q2322" s="247"/>
      <c r="R2322" s="247"/>
      <c r="S2322" s="247"/>
      <c r="T2322" s="247"/>
      <c r="U2322" s="247"/>
      <c r="V2322" s="247"/>
      <c r="W2322" s="247"/>
      <c r="X2322" s="247"/>
    </row>
    <row r="2323">
      <c r="A2323" s="294"/>
      <c r="B2323" s="295"/>
      <c r="C2323" s="295"/>
      <c r="D2323" s="296"/>
      <c r="E2323" s="295"/>
      <c r="F2323" s="292"/>
      <c r="G2323" s="293" t="str">
        <f>IFNA(IF(VLOOKUP(RC_OUT[BLOCK],RC_IN[[BLOCK]:[BLOCK LOC]],2,FALSE)=0,"",VLOOKUP(RC_OUT[BLOCK],RC_IN[[BLOCK]:[BLOCK LOC]],2,FALSE)),"")</f>
        <v/>
      </c>
      <c r="I2323" s="263" t="str">
        <f>IFERROR(AVERAGEIFS(RC_IN[MC],RC_IN[BLOCK],RC_OUT[BLOCK]),"")</f>
        <v/>
      </c>
      <c r="J2323" s="264">
        <f t="shared" si="54"/>
        <v>0</v>
      </c>
      <c r="K2323" s="246"/>
      <c r="L2323" s="246"/>
      <c r="M2323" s="249"/>
      <c r="N2323" s="266">
        <f t="shared" si="53"/>
        <v>0</v>
      </c>
      <c r="O2323" s="247"/>
      <c r="P2323" s="247"/>
      <c r="Q2323" s="247"/>
      <c r="R2323" s="247"/>
      <c r="S2323" s="247"/>
      <c r="T2323" s="247"/>
      <c r="U2323" s="247"/>
      <c r="V2323" s="247"/>
      <c r="W2323" s="247"/>
      <c r="X2323" s="247"/>
    </row>
    <row r="2324">
      <c r="A2324" s="294"/>
      <c r="B2324" s="295"/>
      <c r="C2324" s="295"/>
      <c r="D2324" s="296"/>
      <c r="E2324" s="295"/>
      <c r="F2324" s="292"/>
      <c r="G2324" s="293" t="str">
        <f>IFNA(IF(VLOOKUP(RC_OUT[BLOCK],RC_IN[[BLOCK]:[BLOCK LOC]],2,FALSE)=0,"",VLOOKUP(RC_OUT[BLOCK],RC_IN[[BLOCK]:[BLOCK LOC]],2,FALSE)),"")</f>
        <v/>
      </c>
      <c r="I2324" s="263" t="str">
        <f>IFERROR(AVERAGEIFS(RC_IN[MC],RC_IN[BLOCK],RC_OUT[BLOCK]),"")</f>
        <v/>
      </c>
      <c r="J2324" s="264">
        <f t="shared" si="54"/>
        <v>0</v>
      </c>
      <c r="K2324" s="246"/>
      <c r="L2324" s="246"/>
      <c r="M2324" s="249"/>
      <c r="N2324" s="266">
        <f t="shared" si="53"/>
        <v>0</v>
      </c>
      <c r="O2324" s="247"/>
      <c r="P2324" s="247"/>
      <c r="Q2324" s="247"/>
      <c r="R2324" s="247"/>
      <c r="S2324" s="247"/>
      <c r="T2324" s="247"/>
      <c r="U2324" s="247"/>
      <c r="V2324" s="247"/>
      <c r="W2324" s="247"/>
      <c r="X2324" s="247"/>
    </row>
    <row r="2325">
      <c r="A2325" s="294"/>
      <c r="B2325" s="295"/>
      <c r="C2325" s="295"/>
      <c r="D2325" s="296"/>
      <c r="E2325" s="295"/>
      <c r="F2325" s="292"/>
      <c r="G2325" s="293" t="str">
        <f>IFNA(IF(VLOOKUP(RC_OUT[BLOCK],RC_IN[[BLOCK]:[BLOCK LOC]],2,FALSE)=0,"",VLOOKUP(RC_OUT[BLOCK],RC_IN[[BLOCK]:[BLOCK LOC]],2,FALSE)),"")</f>
        <v/>
      </c>
      <c r="I2325" s="263" t="str">
        <f>IFERROR(AVERAGEIFS(RC_IN[MC],RC_IN[BLOCK],RC_OUT[BLOCK]),"")</f>
        <v/>
      </c>
      <c r="J2325" s="264">
        <f t="shared" si="54"/>
        <v>0</v>
      </c>
      <c r="K2325" s="246"/>
      <c r="L2325" s="246"/>
      <c r="M2325" s="249"/>
      <c r="N2325" s="266">
        <f t="shared" si="53"/>
        <v>0</v>
      </c>
      <c r="O2325" s="247"/>
      <c r="P2325" s="247"/>
      <c r="Q2325" s="247"/>
      <c r="R2325" s="247"/>
      <c r="S2325" s="247"/>
      <c r="T2325" s="247"/>
      <c r="U2325" s="247"/>
      <c r="V2325" s="247"/>
      <c r="W2325" s="247"/>
      <c r="X2325" s="247"/>
    </row>
    <row r="2326">
      <c r="A2326" s="294"/>
      <c r="B2326" s="295"/>
      <c r="C2326" s="295"/>
      <c r="D2326" s="296"/>
      <c r="E2326" s="295"/>
      <c r="F2326" s="292"/>
      <c r="G2326" s="293" t="str">
        <f>IFNA(IF(VLOOKUP(RC_OUT[BLOCK],RC_IN[[BLOCK]:[BLOCK LOC]],2,FALSE)=0,"",VLOOKUP(RC_OUT[BLOCK],RC_IN[[BLOCK]:[BLOCK LOC]],2,FALSE)),"")</f>
        <v/>
      </c>
      <c r="I2326" s="263" t="str">
        <f>IFERROR(AVERAGEIFS(RC_IN[MC],RC_IN[BLOCK],RC_OUT[BLOCK]),"")</f>
        <v/>
      </c>
      <c r="J2326" s="264">
        <f t="shared" si="54"/>
        <v>0</v>
      </c>
      <c r="K2326" s="246"/>
      <c r="L2326" s="246"/>
      <c r="M2326" s="249"/>
      <c r="N2326" s="266">
        <f t="shared" si="53"/>
        <v>0</v>
      </c>
      <c r="O2326" s="247"/>
      <c r="P2326" s="247"/>
      <c r="Q2326" s="247"/>
      <c r="R2326" s="247"/>
      <c r="S2326" s="247"/>
      <c r="T2326" s="247"/>
      <c r="U2326" s="247"/>
      <c r="V2326" s="247"/>
      <c r="W2326" s="247"/>
      <c r="X2326" s="247"/>
    </row>
    <row r="2327">
      <c r="A2327" s="294"/>
      <c r="B2327" s="295"/>
      <c r="C2327" s="295"/>
      <c r="D2327" s="296"/>
      <c r="E2327" s="295"/>
      <c r="F2327" s="292"/>
      <c r="G2327" s="293" t="str">
        <f>IFNA(IF(VLOOKUP(RC_OUT[BLOCK],RC_IN[[BLOCK]:[BLOCK LOC]],2,FALSE)=0,"",VLOOKUP(RC_OUT[BLOCK],RC_IN[[BLOCK]:[BLOCK LOC]],2,FALSE)),"")</f>
        <v/>
      </c>
      <c r="I2327" s="263" t="str">
        <f>IFERROR(AVERAGEIFS(RC_IN[MC],RC_IN[BLOCK],RC_OUT[BLOCK]),"")</f>
        <v/>
      </c>
      <c r="J2327" s="264">
        <f t="shared" si="54"/>
        <v>0</v>
      </c>
      <c r="K2327" s="246"/>
      <c r="L2327" s="246"/>
      <c r="M2327" s="249"/>
      <c r="N2327" s="266">
        <f t="shared" si="53"/>
        <v>0</v>
      </c>
      <c r="O2327" s="247"/>
      <c r="P2327" s="247"/>
      <c r="Q2327" s="247"/>
      <c r="R2327" s="247"/>
      <c r="S2327" s="247"/>
      <c r="T2327" s="247"/>
      <c r="U2327" s="247"/>
      <c r="V2327" s="247"/>
      <c r="W2327" s="247"/>
      <c r="X2327" s="247"/>
    </row>
    <row r="2328">
      <c r="A2328" s="294"/>
      <c r="B2328" s="295"/>
      <c r="C2328" s="295"/>
      <c r="D2328" s="296"/>
      <c r="E2328" s="295"/>
      <c r="F2328" s="292"/>
      <c r="G2328" s="293" t="str">
        <f>IFNA(IF(VLOOKUP(RC_OUT[BLOCK],RC_IN[[BLOCK]:[BLOCK LOC]],2,FALSE)=0,"",VLOOKUP(RC_OUT[BLOCK],RC_IN[[BLOCK]:[BLOCK LOC]],2,FALSE)),"")</f>
        <v/>
      </c>
      <c r="I2328" s="263" t="str">
        <f>IFERROR(AVERAGEIFS(RC_IN[MC],RC_IN[BLOCK],RC_OUT[BLOCK]),"")</f>
        <v/>
      </c>
      <c r="J2328" s="264">
        <f t="shared" si="54"/>
        <v>0</v>
      </c>
      <c r="K2328" s="246"/>
      <c r="L2328" s="246"/>
      <c r="M2328" s="249"/>
      <c r="N2328" s="266">
        <f t="shared" si="53"/>
        <v>0</v>
      </c>
      <c r="O2328" s="247"/>
      <c r="P2328" s="247"/>
      <c r="Q2328" s="247"/>
      <c r="R2328" s="247"/>
      <c r="S2328" s="247"/>
      <c r="T2328" s="247"/>
      <c r="U2328" s="247"/>
      <c r="V2328" s="247"/>
      <c r="W2328" s="247"/>
      <c r="X2328" s="247"/>
    </row>
    <row r="2329">
      <c r="A2329" s="294"/>
      <c r="B2329" s="295"/>
      <c r="C2329" s="295"/>
      <c r="D2329" s="296"/>
      <c r="E2329" s="295"/>
      <c r="F2329" s="292"/>
      <c r="G2329" s="293" t="str">
        <f>IFNA(IF(VLOOKUP(RC_OUT[BLOCK],RC_IN[[BLOCK]:[BLOCK LOC]],2,FALSE)=0,"",VLOOKUP(RC_OUT[BLOCK],RC_IN[[BLOCK]:[BLOCK LOC]],2,FALSE)),"")</f>
        <v/>
      </c>
      <c r="I2329" s="263" t="str">
        <f>IFERROR(AVERAGEIFS(RC_IN[MC],RC_IN[BLOCK],RC_OUT[BLOCK]),"")</f>
        <v/>
      </c>
      <c r="J2329" s="264">
        <f t="shared" si="54"/>
        <v>0</v>
      </c>
      <c r="K2329" s="246"/>
      <c r="L2329" s="246"/>
      <c r="M2329" s="249"/>
      <c r="N2329" s="266">
        <f t="shared" si="53"/>
        <v>0</v>
      </c>
      <c r="O2329" s="247"/>
      <c r="P2329" s="247"/>
      <c r="Q2329" s="247"/>
      <c r="R2329" s="247"/>
      <c r="S2329" s="247"/>
      <c r="T2329" s="247"/>
      <c r="U2329" s="247"/>
      <c r="V2329" s="247"/>
      <c r="W2329" s="247"/>
      <c r="X2329" s="247"/>
    </row>
    <row r="2330">
      <c r="A2330" s="294"/>
      <c r="B2330" s="295"/>
      <c r="C2330" s="295"/>
      <c r="D2330" s="296"/>
      <c r="E2330" s="295"/>
      <c r="F2330" s="292"/>
      <c r="G2330" s="293" t="str">
        <f>IFNA(IF(VLOOKUP(RC_OUT[BLOCK],RC_IN[[BLOCK]:[BLOCK LOC]],2,FALSE)=0,"",VLOOKUP(RC_OUT[BLOCK],RC_IN[[BLOCK]:[BLOCK LOC]],2,FALSE)),"")</f>
        <v/>
      </c>
      <c r="I2330" s="263" t="str">
        <f>IFERROR(AVERAGEIFS(RC_IN[MC],RC_IN[BLOCK],RC_OUT[BLOCK]),"")</f>
        <v/>
      </c>
      <c r="J2330" s="264">
        <f t="shared" si="54"/>
        <v>0</v>
      </c>
      <c r="K2330" s="246"/>
      <c r="L2330" s="246"/>
      <c r="M2330" s="249"/>
      <c r="N2330" s="266">
        <f t="shared" si="53"/>
        <v>0</v>
      </c>
      <c r="O2330" s="247"/>
      <c r="P2330" s="247"/>
      <c r="Q2330" s="247"/>
      <c r="R2330" s="247"/>
      <c r="S2330" s="247"/>
      <c r="T2330" s="247"/>
      <c r="U2330" s="247"/>
      <c r="V2330" s="247"/>
      <c r="W2330" s="247"/>
      <c r="X2330" s="247"/>
    </row>
    <row r="2331">
      <c r="A2331" s="294"/>
      <c r="B2331" s="295"/>
      <c r="C2331" s="295"/>
      <c r="D2331" s="296"/>
      <c r="E2331" s="295"/>
      <c r="F2331" s="292"/>
      <c r="G2331" s="293" t="str">
        <f>IFNA(IF(VLOOKUP(RC_OUT[BLOCK],RC_IN[[BLOCK]:[BLOCK LOC]],2,FALSE)=0,"",VLOOKUP(RC_OUT[BLOCK],RC_IN[[BLOCK]:[BLOCK LOC]],2,FALSE)),"")</f>
        <v/>
      </c>
      <c r="I2331" s="263" t="str">
        <f>IFERROR(AVERAGEIFS(RC_IN[MC],RC_IN[BLOCK],RC_OUT[BLOCK]),"")</f>
        <v/>
      </c>
      <c r="J2331" s="264">
        <f t="shared" si="54"/>
        <v>0</v>
      </c>
      <c r="K2331" s="246"/>
      <c r="L2331" s="246"/>
      <c r="M2331" s="249"/>
      <c r="N2331" s="266">
        <f t="shared" si="53"/>
        <v>0</v>
      </c>
      <c r="O2331" s="247"/>
      <c r="P2331" s="247"/>
      <c r="Q2331" s="247"/>
      <c r="R2331" s="247"/>
      <c r="S2331" s="247"/>
      <c r="T2331" s="247"/>
      <c r="U2331" s="247"/>
      <c r="V2331" s="247"/>
      <c r="W2331" s="247"/>
      <c r="X2331" s="247"/>
    </row>
    <row r="2332">
      <c r="A2332" s="294"/>
      <c r="B2332" s="295"/>
      <c r="C2332" s="295"/>
      <c r="D2332" s="296"/>
      <c r="E2332" s="295"/>
      <c r="F2332" s="292"/>
      <c r="G2332" s="293" t="str">
        <f>IFNA(IF(VLOOKUP(RC_OUT[BLOCK],RC_IN[[BLOCK]:[BLOCK LOC]],2,FALSE)=0,"",VLOOKUP(RC_OUT[BLOCK],RC_IN[[BLOCK]:[BLOCK LOC]],2,FALSE)),"")</f>
        <v/>
      </c>
      <c r="I2332" s="263" t="str">
        <f>IFERROR(AVERAGEIFS(RC_IN[MC],RC_IN[BLOCK],RC_OUT[BLOCK]),"")</f>
        <v/>
      </c>
      <c r="J2332" s="264">
        <f t="shared" si="54"/>
        <v>0</v>
      </c>
      <c r="K2332" s="246"/>
      <c r="L2332" s="246"/>
      <c r="M2332" s="249"/>
      <c r="N2332" s="266">
        <f t="shared" si="53"/>
        <v>0</v>
      </c>
      <c r="O2332" s="247"/>
      <c r="P2332" s="247"/>
      <c r="Q2332" s="247"/>
      <c r="R2332" s="247"/>
      <c r="S2332" s="247"/>
      <c r="T2332" s="247"/>
      <c r="U2332" s="247"/>
      <c r="V2332" s="247"/>
      <c r="W2332" s="247"/>
      <c r="X2332" s="247"/>
    </row>
    <row r="2333">
      <c r="A2333" s="294"/>
      <c r="B2333" s="295"/>
      <c r="C2333" s="295"/>
      <c r="D2333" s="296"/>
      <c r="E2333" s="295"/>
      <c r="F2333" s="292"/>
      <c r="G2333" s="293" t="str">
        <f>IFNA(IF(VLOOKUP(RC_OUT[BLOCK],RC_IN[[BLOCK]:[BLOCK LOC]],2,FALSE)=0,"",VLOOKUP(RC_OUT[BLOCK],RC_IN[[BLOCK]:[BLOCK LOC]],2,FALSE)),"")</f>
        <v/>
      </c>
      <c r="I2333" s="263" t="str">
        <f>IFERROR(AVERAGEIFS(RC_IN[MC],RC_IN[BLOCK],RC_OUT[BLOCK]),"")</f>
        <v/>
      </c>
      <c r="J2333" s="264">
        <f t="shared" si="54"/>
        <v>0</v>
      </c>
      <c r="K2333" s="246"/>
      <c r="L2333" s="246"/>
      <c r="M2333" s="249"/>
      <c r="N2333" s="266">
        <f t="shared" si="53"/>
        <v>0</v>
      </c>
      <c r="O2333" s="247"/>
      <c r="P2333" s="247"/>
      <c r="Q2333" s="247"/>
      <c r="R2333" s="247"/>
      <c r="S2333" s="247"/>
      <c r="T2333" s="247"/>
      <c r="U2333" s="247"/>
      <c r="V2333" s="247"/>
      <c r="W2333" s="247"/>
      <c r="X2333" s="247"/>
    </row>
    <row r="2334">
      <c r="A2334" s="294"/>
      <c r="B2334" s="295"/>
      <c r="C2334" s="295"/>
      <c r="D2334" s="296"/>
      <c r="E2334" s="295"/>
      <c r="F2334" s="292"/>
      <c r="G2334" s="293" t="str">
        <f>IFNA(IF(VLOOKUP(RC_OUT[BLOCK],RC_IN[[BLOCK]:[BLOCK LOC]],2,FALSE)=0,"",VLOOKUP(RC_OUT[BLOCK],RC_IN[[BLOCK]:[BLOCK LOC]],2,FALSE)),"")</f>
        <v/>
      </c>
      <c r="I2334" s="263" t="str">
        <f>IFERROR(AVERAGEIFS(RC_IN[MC],RC_IN[BLOCK],RC_OUT[BLOCK]),"")</f>
        <v/>
      </c>
      <c r="J2334" s="264">
        <f t="shared" si="54"/>
        <v>0</v>
      </c>
      <c r="K2334" s="246"/>
      <c r="L2334" s="246"/>
      <c r="M2334" s="249"/>
      <c r="N2334" s="266">
        <f t="shared" si="53"/>
        <v>0</v>
      </c>
      <c r="O2334" s="247"/>
      <c r="P2334" s="247"/>
      <c r="Q2334" s="247"/>
      <c r="R2334" s="247"/>
      <c r="S2334" s="247"/>
      <c r="T2334" s="247"/>
      <c r="U2334" s="247"/>
      <c r="V2334" s="247"/>
      <c r="W2334" s="247"/>
      <c r="X2334" s="247"/>
    </row>
    <row r="2335">
      <c r="A2335" s="294"/>
      <c r="B2335" s="295"/>
      <c r="C2335" s="295"/>
      <c r="D2335" s="296"/>
      <c r="E2335" s="295"/>
      <c r="F2335" s="292"/>
      <c r="G2335" s="293" t="str">
        <f>IFNA(IF(VLOOKUP(RC_OUT[BLOCK],RC_IN[[BLOCK]:[BLOCK LOC]],2,FALSE)=0,"",VLOOKUP(RC_OUT[BLOCK],RC_IN[[BLOCK]:[BLOCK LOC]],2,FALSE)),"")</f>
        <v/>
      </c>
      <c r="I2335" s="263" t="str">
        <f>IFERROR(AVERAGEIFS(RC_IN[MC],RC_IN[BLOCK],RC_OUT[BLOCK]),"")</f>
        <v/>
      </c>
      <c r="J2335" s="264">
        <f t="shared" si="54"/>
        <v>0</v>
      </c>
      <c r="K2335" s="246"/>
      <c r="L2335" s="246"/>
      <c r="M2335" s="249"/>
      <c r="N2335" s="266">
        <f t="shared" si="53"/>
        <v>0</v>
      </c>
      <c r="O2335" s="247"/>
      <c r="P2335" s="247"/>
      <c r="Q2335" s="247"/>
      <c r="R2335" s="247"/>
      <c r="S2335" s="247"/>
      <c r="T2335" s="247"/>
      <c r="U2335" s="247"/>
      <c r="V2335" s="247"/>
      <c r="W2335" s="247"/>
      <c r="X2335" s="247"/>
    </row>
    <row r="2336">
      <c r="A2336" s="294"/>
      <c r="B2336" s="295"/>
      <c r="C2336" s="295"/>
      <c r="D2336" s="296"/>
      <c r="E2336" s="295"/>
      <c r="F2336" s="292"/>
      <c r="G2336" s="293" t="str">
        <f>IFNA(IF(VLOOKUP(RC_OUT[BLOCK],RC_IN[[BLOCK]:[BLOCK LOC]],2,FALSE)=0,"",VLOOKUP(RC_OUT[BLOCK],RC_IN[[BLOCK]:[BLOCK LOC]],2,FALSE)),"")</f>
        <v/>
      </c>
      <c r="I2336" s="263" t="str">
        <f>IFERROR(AVERAGEIFS(RC_IN[MC],RC_IN[BLOCK],RC_OUT[BLOCK]),"")</f>
        <v/>
      </c>
      <c r="J2336" s="264">
        <f t="shared" si="54"/>
        <v>0</v>
      </c>
      <c r="K2336" s="246"/>
      <c r="L2336" s="246"/>
      <c r="M2336" s="249"/>
      <c r="N2336" s="266">
        <f t="shared" si="53"/>
        <v>0</v>
      </c>
      <c r="O2336" s="247"/>
      <c r="P2336" s="247"/>
      <c r="Q2336" s="247"/>
      <c r="R2336" s="247"/>
      <c r="S2336" s="247"/>
      <c r="T2336" s="247"/>
      <c r="U2336" s="247"/>
      <c r="V2336" s="247"/>
      <c r="W2336" s="247"/>
      <c r="X2336" s="247"/>
    </row>
    <row r="2337">
      <c r="A2337" s="294"/>
      <c r="B2337" s="295"/>
      <c r="C2337" s="295"/>
      <c r="D2337" s="296"/>
      <c r="E2337" s="295"/>
      <c r="F2337" s="292"/>
      <c r="G2337" s="293" t="str">
        <f>IFNA(IF(VLOOKUP(RC_OUT[BLOCK],RC_IN[[BLOCK]:[BLOCK LOC]],2,FALSE)=0,"",VLOOKUP(RC_OUT[BLOCK],RC_IN[[BLOCK]:[BLOCK LOC]],2,FALSE)),"")</f>
        <v/>
      </c>
      <c r="I2337" s="263" t="str">
        <f>IFERROR(AVERAGEIFS(RC_IN[MC],RC_IN[BLOCK],RC_OUT[BLOCK]),"")</f>
        <v/>
      </c>
      <c r="J2337" s="264">
        <f t="shared" si="54"/>
        <v>0</v>
      </c>
      <c r="K2337" s="246"/>
      <c r="L2337" s="246"/>
      <c r="M2337" s="249"/>
      <c r="N2337" s="266">
        <f t="shared" si="53"/>
        <v>0</v>
      </c>
      <c r="O2337" s="247"/>
      <c r="P2337" s="247"/>
      <c r="Q2337" s="247"/>
      <c r="R2337" s="247"/>
      <c r="S2337" s="247"/>
      <c r="T2337" s="247"/>
      <c r="U2337" s="247"/>
      <c r="V2337" s="247"/>
      <c r="W2337" s="247"/>
      <c r="X2337" s="247"/>
    </row>
    <row r="2338">
      <c r="A2338" s="294"/>
      <c r="B2338" s="295"/>
      <c r="C2338" s="295"/>
      <c r="D2338" s="296"/>
      <c r="E2338" s="295"/>
      <c r="F2338" s="292"/>
      <c r="G2338" s="293" t="str">
        <f>IFNA(IF(VLOOKUP(RC_OUT[BLOCK],RC_IN[[BLOCK]:[BLOCK LOC]],2,FALSE)=0,"",VLOOKUP(RC_OUT[BLOCK],RC_IN[[BLOCK]:[BLOCK LOC]],2,FALSE)),"")</f>
        <v/>
      </c>
      <c r="I2338" s="263" t="str">
        <f>IFERROR(AVERAGEIFS(RC_IN[MC],RC_IN[BLOCK],RC_OUT[BLOCK]),"")</f>
        <v/>
      </c>
      <c r="J2338" s="264">
        <f t="shared" si="54"/>
        <v>0</v>
      </c>
      <c r="K2338" s="246"/>
      <c r="L2338" s="246"/>
      <c r="M2338" s="249"/>
      <c r="N2338" s="266">
        <f t="shared" si="53"/>
        <v>0</v>
      </c>
      <c r="O2338" s="247"/>
      <c r="P2338" s="247"/>
      <c r="Q2338" s="247"/>
      <c r="R2338" s="247"/>
      <c r="S2338" s="247"/>
      <c r="T2338" s="247"/>
      <c r="U2338" s="247"/>
      <c r="V2338" s="247"/>
      <c r="W2338" s="247"/>
      <c r="X2338" s="247"/>
    </row>
    <row r="2339">
      <c r="A2339" s="294"/>
      <c r="B2339" s="295"/>
      <c r="C2339" s="295"/>
      <c r="D2339" s="296"/>
      <c r="E2339" s="295"/>
      <c r="F2339" s="292"/>
      <c r="G2339" s="293" t="str">
        <f>IFNA(IF(VLOOKUP(RC_OUT[BLOCK],RC_IN[[BLOCK]:[BLOCK LOC]],2,FALSE)=0,"",VLOOKUP(RC_OUT[BLOCK],RC_IN[[BLOCK]:[BLOCK LOC]],2,FALSE)),"")</f>
        <v/>
      </c>
      <c r="I2339" s="263" t="str">
        <f>IFERROR(AVERAGEIFS(RC_IN[MC],RC_IN[BLOCK],RC_OUT[BLOCK]),"")</f>
        <v/>
      </c>
      <c r="J2339" s="264">
        <f t="shared" si="54"/>
        <v>0</v>
      </c>
      <c r="K2339" s="246"/>
      <c r="L2339" s="246"/>
      <c r="M2339" s="249"/>
      <c r="N2339" s="266">
        <f t="shared" si="53"/>
        <v>0</v>
      </c>
      <c r="O2339" s="247"/>
      <c r="P2339" s="247"/>
      <c r="Q2339" s="247"/>
      <c r="R2339" s="247"/>
      <c r="S2339" s="247"/>
      <c r="T2339" s="247"/>
      <c r="U2339" s="247"/>
      <c r="V2339" s="247"/>
      <c r="W2339" s="247"/>
      <c r="X2339" s="247"/>
    </row>
    <row r="2340">
      <c r="A2340" s="294"/>
      <c r="B2340" s="295"/>
      <c r="C2340" s="295"/>
      <c r="D2340" s="296"/>
      <c r="E2340" s="295"/>
      <c r="F2340" s="292"/>
      <c r="G2340" s="293" t="str">
        <f>IFNA(IF(VLOOKUP(RC_OUT[BLOCK],RC_IN[[BLOCK]:[BLOCK LOC]],2,FALSE)=0,"",VLOOKUP(RC_OUT[BLOCK],RC_IN[[BLOCK]:[BLOCK LOC]],2,FALSE)),"")</f>
        <v/>
      </c>
      <c r="I2340" s="263" t="str">
        <f>IFERROR(AVERAGEIFS(RC_IN[MC],RC_IN[BLOCK],RC_OUT[BLOCK]),"")</f>
        <v/>
      </c>
      <c r="J2340" s="264">
        <f t="shared" si="54"/>
        <v>0</v>
      </c>
      <c r="K2340" s="246"/>
      <c r="L2340" s="246"/>
      <c r="M2340" s="249"/>
      <c r="N2340" s="266">
        <f t="shared" si="53"/>
        <v>0</v>
      </c>
      <c r="O2340" s="247"/>
      <c r="P2340" s="247"/>
      <c r="Q2340" s="247"/>
      <c r="R2340" s="247"/>
      <c r="S2340" s="247"/>
      <c r="T2340" s="247"/>
      <c r="U2340" s="247"/>
      <c r="V2340" s="247"/>
      <c r="W2340" s="247"/>
      <c r="X2340" s="247"/>
    </row>
    <row r="2341">
      <c r="A2341" s="294"/>
      <c r="B2341" s="295"/>
      <c r="C2341" s="295"/>
      <c r="D2341" s="296"/>
      <c r="E2341" s="295"/>
      <c r="F2341" s="292"/>
      <c r="G2341" s="293" t="str">
        <f>IFNA(IF(VLOOKUP(RC_OUT[BLOCK],RC_IN[[BLOCK]:[BLOCK LOC]],2,FALSE)=0,"",VLOOKUP(RC_OUT[BLOCK],RC_IN[[BLOCK]:[BLOCK LOC]],2,FALSE)),"")</f>
        <v/>
      </c>
      <c r="I2341" s="263" t="str">
        <f>IFERROR(AVERAGEIFS(RC_IN[MC],RC_IN[BLOCK],RC_OUT[BLOCK]),"")</f>
        <v/>
      </c>
      <c r="J2341" s="264">
        <f t="shared" si="54"/>
        <v>0</v>
      </c>
      <c r="K2341" s="246"/>
      <c r="L2341" s="246"/>
      <c r="M2341" s="249"/>
      <c r="N2341" s="266">
        <f t="shared" si="53"/>
        <v>0</v>
      </c>
      <c r="O2341" s="247"/>
      <c r="P2341" s="247"/>
      <c r="Q2341" s="247"/>
      <c r="R2341" s="247"/>
      <c r="S2341" s="247"/>
      <c r="T2341" s="247"/>
      <c r="U2341" s="247"/>
      <c r="V2341" s="247"/>
      <c r="W2341" s="247"/>
      <c r="X2341" s="247"/>
    </row>
    <row r="2342">
      <c r="A2342" s="294"/>
      <c r="B2342" s="295"/>
      <c r="C2342" s="295"/>
      <c r="D2342" s="296"/>
      <c r="E2342" s="295"/>
      <c r="F2342" s="292"/>
      <c r="G2342" s="293" t="str">
        <f>IFNA(IF(VLOOKUP(RC_OUT[BLOCK],RC_IN[[BLOCK]:[BLOCK LOC]],2,FALSE)=0,"",VLOOKUP(RC_OUT[BLOCK],RC_IN[[BLOCK]:[BLOCK LOC]],2,FALSE)),"")</f>
        <v/>
      </c>
      <c r="I2342" s="263" t="str">
        <f>IFERROR(AVERAGEIFS(RC_IN[MC],RC_IN[BLOCK],RC_OUT[BLOCK]),"")</f>
        <v/>
      </c>
      <c r="J2342" s="264">
        <f t="shared" si="54"/>
        <v>0</v>
      </c>
      <c r="K2342" s="246"/>
      <c r="L2342" s="246"/>
      <c r="M2342" s="249"/>
      <c r="N2342" s="266">
        <f t="shared" si="53"/>
        <v>0</v>
      </c>
      <c r="O2342" s="247"/>
      <c r="P2342" s="247"/>
      <c r="Q2342" s="247"/>
      <c r="R2342" s="247"/>
      <c r="S2342" s="247"/>
      <c r="T2342" s="247"/>
      <c r="U2342" s="247"/>
      <c r="V2342" s="247"/>
      <c r="W2342" s="247"/>
      <c r="X2342" s="247"/>
    </row>
    <row r="2343">
      <c r="A2343" s="294"/>
      <c r="B2343" s="295"/>
      <c r="C2343" s="295"/>
      <c r="D2343" s="296"/>
      <c r="E2343" s="295"/>
      <c r="F2343" s="292"/>
      <c r="G2343" s="293" t="str">
        <f>IFNA(IF(VLOOKUP(RC_OUT[BLOCK],RC_IN[[BLOCK]:[BLOCK LOC]],2,FALSE)=0,"",VLOOKUP(RC_OUT[BLOCK],RC_IN[[BLOCK]:[BLOCK LOC]],2,FALSE)),"")</f>
        <v/>
      </c>
      <c r="I2343" s="263" t="str">
        <f>IFERROR(AVERAGEIFS(RC_IN[MC],RC_IN[BLOCK],RC_OUT[BLOCK]),"")</f>
        <v/>
      </c>
      <c r="J2343" s="264">
        <f t="shared" si="54"/>
        <v>0</v>
      </c>
      <c r="K2343" s="246"/>
      <c r="L2343" s="246"/>
      <c r="M2343" s="249"/>
      <c r="N2343" s="266">
        <f t="shared" si="53"/>
        <v>0</v>
      </c>
      <c r="O2343" s="247"/>
      <c r="P2343" s="247"/>
      <c r="Q2343" s="247"/>
      <c r="R2343" s="247"/>
      <c r="S2343" s="247"/>
      <c r="T2343" s="247"/>
      <c r="U2343" s="247"/>
      <c r="V2343" s="247"/>
      <c r="W2343" s="247"/>
      <c r="X2343" s="247"/>
    </row>
    <row r="2344">
      <c r="A2344" s="294"/>
      <c r="B2344" s="295"/>
      <c r="C2344" s="295"/>
      <c r="D2344" s="296"/>
      <c r="E2344" s="295"/>
      <c r="F2344" s="292"/>
      <c r="G2344" s="293" t="str">
        <f>IFNA(IF(VLOOKUP(RC_OUT[BLOCK],RC_IN[[BLOCK]:[BLOCK LOC]],2,FALSE)=0,"",VLOOKUP(RC_OUT[BLOCK],RC_IN[[BLOCK]:[BLOCK LOC]],2,FALSE)),"")</f>
        <v/>
      </c>
      <c r="I2344" s="263" t="str">
        <f>IFERROR(AVERAGEIFS(RC_IN[MC],RC_IN[BLOCK],RC_OUT[BLOCK]),"")</f>
        <v/>
      </c>
      <c r="J2344" s="264">
        <f t="shared" si="54"/>
        <v>0</v>
      </c>
      <c r="K2344" s="246"/>
      <c r="L2344" s="246"/>
      <c r="M2344" s="249"/>
      <c r="N2344" s="266">
        <f t="shared" si="53"/>
        <v>0</v>
      </c>
      <c r="O2344" s="247"/>
      <c r="P2344" s="247"/>
      <c r="Q2344" s="247"/>
      <c r="R2344" s="247"/>
      <c r="S2344" s="247"/>
      <c r="T2344" s="247"/>
      <c r="U2344" s="247"/>
      <c r="V2344" s="247"/>
      <c r="W2344" s="247"/>
      <c r="X2344" s="247"/>
    </row>
    <row r="2345">
      <c r="A2345" s="294"/>
      <c r="B2345" s="295"/>
      <c r="C2345" s="295"/>
      <c r="D2345" s="296"/>
      <c r="E2345" s="295"/>
      <c r="F2345" s="292"/>
      <c r="G2345" s="293" t="str">
        <f>IFNA(IF(VLOOKUP(RC_OUT[BLOCK],RC_IN[[BLOCK]:[BLOCK LOC]],2,FALSE)=0,"",VLOOKUP(RC_OUT[BLOCK],RC_IN[[BLOCK]:[BLOCK LOC]],2,FALSE)),"")</f>
        <v/>
      </c>
      <c r="I2345" s="263" t="str">
        <f>IFERROR(AVERAGEIFS(RC_IN[MC],RC_IN[BLOCK],RC_OUT[BLOCK]),"")</f>
        <v/>
      </c>
      <c r="J2345" s="264">
        <f t="shared" si="54"/>
        <v>0</v>
      </c>
      <c r="K2345" s="246"/>
      <c r="L2345" s="246"/>
      <c r="M2345" s="249"/>
      <c r="N2345" s="266">
        <f t="shared" si="53"/>
        <v>0</v>
      </c>
      <c r="O2345" s="247"/>
      <c r="P2345" s="247"/>
      <c r="Q2345" s="247"/>
      <c r="R2345" s="247"/>
      <c r="S2345" s="247"/>
      <c r="T2345" s="247"/>
      <c r="U2345" s="247"/>
      <c r="V2345" s="247"/>
      <c r="W2345" s="247"/>
      <c r="X2345" s="247"/>
    </row>
    <row r="2346">
      <c r="A2346" s="294"/>
      <c r="B2346" s="295"/>
      <c r="C2346" s="295"/>
      <c r="D2346" s="296"/>
      <c r="E2346" s="295"/>
      <c r="F2346" s="292"/>
      <c r="G2346" s="293" t="str">
        <f>IFNA(IF(VLOOKUP(RC_OUT[BLOCK],RC_IN[[BLOCK]:[BLOCK LOC]],2,FALSE)=0,"",VLOOKUP(RC_OUT[BLOCK],RC_IN[[BLOCK]:[BLOCK LOC]],2,FALSE)),"")</f>
        <v/>
      </c>
      <c r="I2346" s="263" t="str">
        <f>IFERROR(AVERAGEIFS(RC_IN[MC],RC_IN[BLOCK],RC_OUT[BLOCK]),"")</f>
        <v/>
      </c>
      <c r="J2346" s="264">
        <f t="shared" si="54"/>
        <v>0</v>
      </c>
      <c r="K2346" s="246"/>
      <c r="L2346" s="246"/>
      <c r="M2346" s="249"/>
      <c r="N2346" s="266">
        <f t="shared" si="53"/>
        <v>0</v>
      </c>
      <c r="O2346" s="247"/>
      <c r="P2346" s="247"/>
      <c r="Q2346" s="247"/>
      <c r="R2346" s="247"/>
      <c r="S2346" s="247"/>
      <c r="T2346" s="247"/>
      <c r="U2346" s="247"/>
      <c r="V2346" s="247"/>
      <c r="W2346" s="247"/>
      <c r="X2346" s="247"/>
    </row>
    <row r="2347">
      <c r="A2347" s="294"/>
      <c r="B2347" s="295"/>
      <c r="C2347" s="295"/>
      <c r="D2347" s="296"/>
      <c r="E2347" s="295"/>
      <c r="F2347" s="292"/>
      <c r="G2347" s="293" t="str">
        <f>IFNA(IF(VLOOKUP(RC_OUT[BLOCK],RC_IN[[BLOCK]:[BLOCK LOC]],2,FALSE)=0,"",VLOOKUP(RC_OUT[BLOCK],RC_IN[[BLOCK]:[BLOCK LOC]],2,FALSE)),"")</f>
        <v/>
      </c>
      <c r="I2347" s="263" t="str">
        <f>IFERROR(AVERAGEIFS(RC_IN[MC],RC_IN[BLOCK],RC_OUT[BLOCK]),"")</f>
        <v/>
      </c>
      <c r="J2347" s="264">
        <f t="shared" si="54"/>
        <v>0</v>
      </c>
      <c r="K2347" s="246"/>
      <c r="L2347" s="246"/>
      <c r="M2347" s="249"/>
      <c r="N2347" s="266">
        <f t="shared" si="53"/>
        <v>0</v>
      </c>
      <c r="O2347" s="247"/>
      <c r="P2347" s="247"/>
      <c r="Q2347" s="247"/>
      <c r="R2347" s="247"/>
      <c r="S2347" s="247"/>
      <c r="T2347" s="247"/>
      <c r="U2347" s="247"/>
      <c r="V2347" s="247"/>
      <c r="W2347" s="247"/>
      <c r="X2347" s="247"/>
    </row>
    <row r="2348">
      <c r="A2348" s="294"/>
      <c r="B2348" s="295"/>
      <c r="C2348" s="295"/>
      <c r="D2348" s="296"/>
      <c r="E2348" s="295"/>
      <c r="F2348" s="292"/>
      <c r="G2348" s="293" t="str">
        <f>IFNA(IF(VLOOKUP(RC_OUT[BLOCK],RC_IN[[BLOCK]:[BLOCK LOC]],2,FALSE)=0,"",VLOOKUP(RC_OUT[BLOCK],RC_IN[[BLOCK]:[BLOCK LOC]],2,FALSE)),"")</f>
        <v/>
      </c>
      <c r="I2348" s="263" t="str">
        <f>IFERROR(AVERAGEIFS(RC_IN[MC],RC_IN[BLOCK],RC_OUT[BLOCK]),"")</f>
        <v/>
      </c>
      <c r="J2348" s="264">
        <f t="shared" si="54"/>
        <v>0</v>
      </c>
      <c r="K2348" s="246"/>
      <c r="L2348" s="246"/>
      <c r="M2348" s="249"/>
      <c r="N2348" s="266">
        <f t="shared" si="53"/>
        <v>0</v>
      </c>
      <c r="O2348" s="247"/>
      <c r="P2348" s="247"/>
      <c r="Q2348" s="247"/>
      <c r="R2348" s="247"/>
      <c r="S2348" s="247"/>
      <c r="T2348" s="247"/>
      <c r="U2348" s="247"/>
      <c r="V2348" s="247"/>
      <c r="W2348" s="247"/>
      <c r="X2348" s="247"/>
    </row>
    <row r="2349">
      <c r="A2349" s="294"/>
      <c r="B2349" s="295"/>
      <c r="C2349" s="295"/>
      <c r="D2349" s="296"/>
      <c r="E2349" s="295"/>
      <c r="F2349" s="292"/>
      <c r="G2349" s="293" t="str">
        <f>IFNA(IF(VLOOKUP(RC_OUT[BLOCK],RC_IN[[BLOCK]:[BLOCK LOC]],2,FALSE)=0,"",VLOOKUP(RC_OUT[BLOCK],RC_IN[[BLOCK]:[BLOCK LOC]],2,FALSE)),"")</f>
        <v/>
      </c>
      <c r="I2349" s="263" t="str">
        <f>IFERROR(AVERAGEIFS(RC_IN[MC],RC_IN[BLOCK],RC_OUT[BLOCK]),"")</f>
        <v/>
      </c>
      <c r="J2349" s="264">
        <f t="shared" si="54"/>
        <v>0</v>
      </c>
      <c r="K2349" s="246"/>
      <c r="L2349" s="246"/>
      <c r="M2349" s="249"/>
      <c r="N2349" s="266">
        <f t="shared" si="53"/>
        <v>0</v>
      </c>
      <c r="O2349" s="247"/>
      <c r="P2349" s="247"/>
      <c r="Q2349" s="247"/>
      <c r="R2349" s="247"/>
      <c r="S2349" s="247"/>
      <c r="T2349" s="247"/>
      <c r="U2349" s="247"/>
      <c r="V2349" s="247"/>
      <c r="W2349" s="247"/>
      <c r="X2349" s="247"/>
    </row>
    <row r="2350">
      <c r="A2350" s="294"/>
      <c r="B2350" s="295"/>
      <c r="C2350" s="295"/>
      <c r="D2350" s="296"/>
      <c r="E2350" s="295"/>
      <c r="F2350" s="292"/>
      <c r="G2350" s="293" t="str">
        <f>IFNA(IF(VLOOKUP(RC_OUT[BLOCK],RC_IN[[BLOCK]:[BLOCK LOC]],2,FALSE)=0,"",VLOOKUP(RC_OUT[BLOCK],RC_IN[[BLOCK]:[BLOCK LOC]],2,FALSE)),"")</f>
        <v/>
      </c>
      <c r="I2350" s="263" t="str">
        <f>IFERROR(AVERAGEIFS(RC_IN[MC],RC_IN[BLOCK],RC_OUT[BLOCK]),"")</f>
        <v/>
      </c>
      <c r="J2350" s="264">
        <f t="shared" si="54"/>
        <v>0</v>
      </c>
      <c r="K2350" s="246"/>
      <c r="L2350" s="246"/>
      <c r="M2350" s="249"/>
      <c r="N2350" s="266">
        <f t="shared" si="53"/>
        <v>0</v>
      </c>
      <c r="O2350" s="247"/>
      <c r="P2350" s="247"/>
      <c r="Q2350" s="247"/>
      <c r="R2350" s="247"/>
      <c r="S2350" s="247"/>
      <c r="T2350" s="247"/>
      <c r="U2350" s="247"/>
      <c r="V2350" s="247"/>
      <c r="W2350" s="247"/>
      <c r="X2350" s="247"/>
    </row>
    <row r="2351">
      <c r="A2351" s="294"/>
      <c r="B2351" s="295"/>
      <c r="C2351" s="295"/>
      <c r="D2351" s="296"/>
      <c r="E2351" s="295"/>
      <c r="F2351" s="292"/>
      <c r="G2351" s="293" t="str">
        <f>IFNA(IF(VLOOKUP(RC_OUT[BLOCK],RC_IN[[BLOCK]:[BLOCK LOC]],2,FALSE)=0,"",VLOOKUP(RC_OUT[BLOCK],RC_IN[[BLOCK]:[BLOCK LOC]],2,FALSE)),"")</f>
        <v/>
      </c>
      <c r="I2351" s="263" t="str">
        <f>IFERROR(AVERAGEIFS(RC_IN[MC],RC_IN[BLOCK],RC_OUT[BLOCK]),"")</f>
        <v/>
      </c>
      <c r="J2351" s="264">
        <f t="shared" si="54"/>
        <v>0</v>
      </c>
      <c r="K2351" s="246"/>
      <c r="L2351" s="246"/>
      <c r="M2351" s="249"/>
      <c r="N2351" s="266">
        <f t="shared" si="53"/>
        <v>0</v>
      </c>
      <c r="O2351" s="247"/>
      <c r="P2351" s="247"/>
      <c r="Q2351" s="247"/>
      <c r="R2351" s="247"/>
      <c r="S2351" s="247"/>
      <c r="T2351" s="247"/>
      <c r="U2351" s="247"/>
      <c r="V2351" s="247"/>
      <c r="W2351" s="247"/>
      <c r="X2351" s="247"/>
    </row>
    <row r="2352">
      <c r="A2352" s="294"/>
      <c r="B2352" s="295"/>
      <c r="C2352" s="295"/>
      <c r="D2352" s="296"/>
      <c r="E2352" s="295"/>
      <c r="F2352" s="292"/>
      <c r="G2352" s="293" t="str">
        <f>IFNA(IF(VLOOKUP(RC_OUT[BLOCK],RC_IN[[BLOCK]:[BLOCK LOC]],2,FALSE)=0,"",VLOOKUP(RC_OUT[BLOCK],RC_IN[[BLOCK]:[BLOCK LOC]],2,FALSE)),"")</f>
        <v/>
      </c>
      <c r="I2352" s="263" t="str">
        <f>IFERROR(AVERAGEIFS(RC_IN[MC],RC_IN[BLOCK],RC_OUT[BLOCK]),"")</f>
        <v/>
      </c>
      <c r="J2352" s="264">
        <f t="shared" si="54"/>
        <v>0</v>
      </c>
      <c r="K2352" s="246"/>
      <c r="L2352" s="246"/>
      <c r="M2352" s="249"/>
      <c r="N2352" s="266">
        <f t="shared" si="53"/>
        <v>0</v>
      </c>
      <c r="O2352" s="247"/>
      <c r="P2352" s="247"/>
      <c r="Q2352" s="247"/>
      <c r="R2352" s="247"/>
      <c r="S2352" s="247"/>
      <c r="T2352" s="247"/>
      <c r="U2352" s="247"/>
      <c r="V2352" s="247"/>
      <c r="W2352" s="247"/>
      <c r="X2352" s="247"/>
    </row>
    <row r="2353">
      <c r="A2353" s="294"/>
      <c r="B2353" s="295"/>
      <c r="C2353" s="295"/>
      <c r="D2353" s="296"/>
      <c r="E2353" s="295"/>
      <c r="F2353" s="292"/>
      <c r="G2353" s="293" t="str">
        <f>IFNA(IF(VLOOKUP(RC_OUT[BLOCK],RC_IN[[BLOCK]:[BLOCK LOC]],2,FALSE)=0,"",VLOOKUP(RC_OUT[BLOCK],RC_IN[[BLOCK]:[BLOCK LOC]],2,FALSE)),"")</f>
        <v/>
      </c>
      <c r="I2353" s="263" t="str">
        <f>IFERROR(AVERAGEIFS(RC_IN[MC],RC_IN[BLOCK],RC_OUT[BLOCK]),"")</f>
        <v/>
      </c>
      <c r="J2353" s="264">
        <f t="shared" si="54"/>
        <v>0</v>
      </c>
      <c r="K2353" s="246"/>
      <c r="L2353" s="246"/>
      <c r="M2353" s="249"/>
      <c r="N2353" s="266">
        <f t="shared" si="53"/>
        <v>0</v>
      </c>
      <c r="O2353" s="247"/>
      <c r="P2353" s="247"/>
      <c r="Q2353" s="247"/>
      <c r="R2353" s="247"/>
      <c r="S2353" s="247"/>
      <c r="T2353" s="247"/>
      <c r="U2353" s="247"/>
      <c r="V2353" s="247"/>
      <c r="W2353" s="247"/>
      <c r="X2353" s="247"/>
    </row>
    <row r="2354">
      <c r="A2354" s="294"/>
      <c r="B2354" s="295"/>
      <c r="C2354" s="295"/>
      <c r="D2354" s="296"/>
      <c r="E2354" s="295"/>
      <c r="F2354" s="292"/>
      <c r="G2354" s="293" t="str">
        <f>IFNA(IF(VLOOKUP(RC_OUT[BLOCK],RC_IN[[BLOCK]:[BLOCK LOC]],2,FALSE)=0,"",VLOOKUP(RC_OUT[BLOCK],RC_IN[[BLOCK]:[BLOCK LOC]],2,FALSE)),"")</f>
        <v/>
      </c>
      <c r="I2354" s="263" t="str">
        <f>IFERROR(AVERAGEIFS(RC_IN[MC],RC_IN[BLOCK],RC_OUT[BLOCK]),"")</f>
        <v/>
      </c>
      <c r="J2354" s="264">
        <f t="shared" si="54"/>
        <v>0</v>
      </c>
      <c r="K2354" s="246"/>
      <c r="L2354" s="246"/>
      <c r="M2354" s="249"/>
      <c r="N2354" s="266">
        <f t="shared" si="53"/>
        <v>0</v>
      </c>
      <c r="O2354" s="247"/>
      <c r="P2354" s="247"/>
      <c r="Q2354" s="247"/>
      <c r="R2354" s="247"/>
      <c r="S2354" s="247"/>
      <c r="T2354" s="247"/>
      <c r="U2354" s="247"/>
      <c r="V2354" s="247"/>
      <c r="W2354" s="247"/>
      <c r="X2354" s="247"/>
    </row>
    <row r="2355">
      <c r="A2355" s="294"/>
      <c r="B2355" s="295"/>
      <c r="C2355" s="295"/>
      <c r="D2355" s="296"/>
      <c r="E2355" s="295"/>
      <c r="F2355" s="292"/>
      <c r="G2355" s="293" t="str">
        <f>IFNA(IF(VLOOKUP(RC_OUT[BLOCK],RC_IN[[BLOCK]:[BLOCK LOC]],2,FALSE)=0,"",VLOOKUP(RC_OUT[BLOCK],RC_IN[[BLOCK]:[BLOCK LOC]],2,FALSE)),"")</f>
        <v/>
      </c>
      <c r="I2355" s="263" t="str">
        <f>IFERROR(AVERAGEIFS(RC_IN[MC],RC_IN[BLOCK],RC_OUT[BLOCK]),"")</f>
        <v/>
      </c>
      <c r="J2355" s="264">
        <f t="shared" si="54"/>
        <v>0</v>
      </c>
      <c r="K2355" s="246"/>
      <c r="L2355" s="246"/>
      <c r="M2355" s="249"/>
      <c r="N2355" s="266">
        <f t="shared" si="53"/>
        <v>0</v>
      </c>
      <c r="O2355" s="247"/>
      <c r="P2355" s="247"/>
      <c r="Q2355" s="247"/>
      <c r="R2355" s="247"/>
      <c r="S2355" s="247"/>
      <c r="T2355" s="247"/>
      <c r="U2355" s="247"/>
      <c r="V2355" s="247"/>
      <c r="W2355" s="247"/>
      <c r="X2355" s="247"/>
    </row>
    <row r="2356">
      <c r="A2356" s="294"/>
      <c r="B2356" s="295"/>
      <c r="C2356" s="295"/>
      <c r="D2356" s="296"/>
      <c r="E2356" s="295"/>
      <c r="F2356" s="292"/>
      <c r="G2356" s="293" t="str">
        <f>IFNA(IF(VLOOKUP(RC_OUT[BLOCK],RC_IN[[BLOCK]:[BLOCK LOC]],2,FALSE)=0,"",VLOOKUP(RC_OUT[BLOCK],RC_IN[[BLOCK]:[BLOCK LOC]],2,FALSE)),"")</f>
        <v/>
      </c>
      <c r="I2356" s="263" t="str">
        <f>IFERROR(AVERAGEIFS(RC_IN[MC],RC_IN[BLOCK],RC_OUT[BLOCK]),"")</f>
        <v/>
      </c>
      <c r="J2356" s="264">
        <f t="shared" si="54"/>
        <v>0</v>
      </c>
      <c r="K2356" s="246"/>
      <c r="L2356" s="246"/>
      <c r="M2356" s="249"/>
      <c r="N2356" s="266">
        <f t="shared" si="53"/>
        <v>0</v>
      </c>
      <c r="O2356" s="247"/>
      <c r="P2356" s="247"/>
      <c r="Q2356" s="247"/>
      <c r="R2356" s="247"/>
      <c r="S2356" s="247"/>
      <c r="T2356" s="247"/>
      <c r="U2356" s="247"/>
      <c r="V2356" s="247"/>
      <c r="W2356" s="247"/>
      <c r="X2356" s="247"/>
    </row>
    <row r="2357">
      <c r="A2357" s="294"/>
      <c r="B2357" s="295"/>
      <c r="C2357" s="295"/>
      <c r="D2357" s="296"/>
      <c r="E2357" s="295"/>
      <c r="F2357" s="292"/>
      <c r="G2357" s="293" t="str">
        <f>IFNA(IF(VLOOKUP(RC_OUT[BLOCK],RC_IN[[BLOCK]:[BLOCK LOC]],2,FALSE)=0,"",VLOOKUP(RC_OUT[BLOCK],RC_IN[[BLOCK]:[BLOCK LOC]],2,FALSE)),"")</f>
        <v/>
      </c>
      <c r="I2357" s="263" t="str">
        <f>IFERROR(AVERAGEIFS(RC_IN[MC],RC_IN[BLOCK],RC_OUT[BLOCK]),"")</f>
        <v/>
      </c>
      <c r="J2357" s="264">
        <f t="shared" si="54"/>
        <v>0</v>
      </c>
      <c r="K2357" s="246"/>
      <c r="L2357" s="246"/>
      <c r="M2357" s="249"/>
      <c r="N2357" s="266">
        <f t="shared" si="53"/>
        <v>0</v>
      </c>
      <c r="O2357" s="247"/>
      <c r="P2357" s="247"/>
      <c r="Q2357" s="247"/>
      <c r="R2357" s="247"/>
      <c r="S2357" s="247"/>
      <c r="T2357" s="247"/>
      <c r="U2357" s="247"/>
      <c r="V2357" s="247"/>
      <c r="W2357" s="247"/>
      <c r="X2357" s="247"/>
    </row>
    <row r="2358">
      <c r="A2358" s="294"/>
      <c r="B2358" s="295"/>
      <c r="C2358" s="295"/>
      <c r="D2358" s="296"/>
      <c r="E2358" s="295"/>
      <c r="F2358" s="292"/>
      <c r="G2358" s="293" t="str">
        <f>IFNA(IF(VLOOKUP(RC_OUT[BLOCK],RC_IN[[BLOCK]:[BLOCK LOC]],2,FALSE)=0,"",VLOOKUP(RC_OUT[BLOCK],RC_IN[[BLOCK]:[BLOCK LOC]],2,FALSE)),"")</f>
        <v/>
      </c>
      <c r="I2358" s="263" t="str">
        <f>IFERROR(AVERAGEIFS(RC_IN[MC],RC_IN[BLOCK],RC_OUT[BLOCK]),"")</f>
        <v/>
      </c>
      <c r="J2358" s="264">
        <f t="shared" si="54"/>
        <v>0</v>
      </c>
      <c r="K2358" s="246"/>
      <c r="L2358" s="246"/>
      <c r="M2358" s="249"/>
      <c r="N2358" s="266">
        <f t="shared" si="53"/>
        <v>0</v>
      </c>
      <c r="O2358" s="247"/>
      <c r="P2358" s="247"/>
      <c r="Q2358" s="247"/>
      <c r="R2358" s="247"/>
      <c r="S2358" s="247"/>
      <c r="T2358" s="247"/>
      <c r="U2358" s="247"/>
      <c r="V2358" s="247"/>
      <c r="W2358" s="247"/>
      <c r="X2358" s="247"/>
    </row>
    <row r="2359">
      <c r="A2359" s="294"/>
      <c r="B2359" s="295"/>
      <c r="C2359" s="295"/>
      <c r="D2359" s="296"/>
      <c r="E2359" s="295"/>
      <c r="F2359" s="292"/>
      <c r="G2359" s="293" t="str">
        <f>IFNA(IF(VLOOKUP(RC_OUT[BLOCK],RC_IN[[BLOCK]:[BLOCK LOC]],2,FALSE)=0,"",VLOOKUP(RC_OUT[BLOCK],RC_IN[[BLOCK]:[BLOCK LOC]],2,FALSE)),"")</f>
        <v/>
      </c>
      <c r="I2359" s="263" t="str">
        <f>IFERROR(AVERAGEIFS(RC_IN[MC],RC_IN[BLOCK],RC_OUT[BLOCK]),"")</f>
        <v/>
      </c>
      <c r="J2359" s="264">
        <f t="shared" si="54"/>
        <v>0</v>
      </c>
      <c r="K2359" s="246"/>
      <c r="L2359" s="246"/>
      <c r="M2359" s="249"/>
      <c r="N2359" s="266">
        <f t="shared" si="53"/>
        <v>0</v>
      </c>
      <c r="O2359" s="247"/>
      <c r="P2359" s="247"/>
      <c r="Q2359" s="247"/>
      <c r="R2359" s="247"/>
      <c r="S2359" s="247"/>
      <c r="T2359" s="247"/>
      <c r="U2359" s="247"/>
      <c r="V2359" s="247"/>
      <c r="W2359" s="247"/>
      <c r="X2359" s="247"/>
    </row>
    <row r="2360">
      <c r="A2360" s="294"/>
      <c r="B2360" s="295"/>
      <c r="C2360" s="295"/>
      <c r="D2360" s="296"/>
      <c r="E2360" s="295"/>
      <c r="F2360" s="292"/>
      <c r="G2360" s="293" t="str">
        <f>IFNA(IF(VLOOKUP(RC_OUT[BLOCK],RC_IN[[BLOCK]:[BLOCK LOC]],2,FALSE)=0,"",VLOOKUP(RC_OUT[BLOCK],RC_IN[[BLOCK]:[BLOCK LOC]],2,FALSE)),"")</f>
        <v/>
      </c>
      <c r="I2360" s="263" t="str">
        <f>IFERROR(AVERAGEIFS(RC_IN[MC],RC_IN[BLOCK],RC_OUT[BLOCK]),"")</f>
        <v/>
      </c>
      <c r="J2360" s="264">
        <f t="shared" si="54"/>
        <v>0</v>
      </c>
      <c r="K2360" s="246"/>
      <c r="L2360" s="246"/>
      <c r="M2360" s="249"/>
      <c r="N2360" s="266">
        <f t="shared" si="53"/>
        <v>0</v>
      </c>
      <c r="O2360" s="247"/>
      <c r="P2360" s="247"/>
      <c r="Q2360" s="247"/>
      <c r="R2360" s="247"/>
      <c r="S2360" s="247"/>
      <c r="T2360" s="247"/>
      <c r="U2360" s="247"/>
      <c r="V2360" s="247"/>
      <c r="W2360" s="247"/>
      <c r="X2360" s="247"/>
    </row>
    <row r="2361">
      <c r="A2361" s="294"/>
      <c r="B2361" s="295"/>
      <c r="C2361" s="295"/>
      <c r="D2361" s="296"/>
      <c r="E2361" s="295"/>
      <c r="F2361" s="292"/>
      <c r="G2361" s="293" t="str">
        <f>IFNA(IF(VLOOKUP(RC_OUT[BLOCK],RC_IN[[BLOCK]:[BLOCK LOC]],2,FALSE)=0,"",VLOOKUP(RC_OUT[BLOCK],RC_IN[[BLOCK]:[BLOCK LOC]],2,FALSE)),"")</f>
        <v/>
      </c>
      <c r="I2361" s="263" t="str">
        <f>IFERROR(AVERAGEIFS(RC_IN[MC],RC_IN[BLOCK],RC_OUT[BLOCK]),"")</f>
        <v/>
      </c>
      <c r="J2361" s="264">
        <f t="shared" si="54"/>
        <v>0</v>
      </c>
      <c r="K2361" s="246"/>
      <c r="L2361" s="246"/>
      <c r="M2361" s="249"/>
      <c r="N2361" s="266">
        <f t="shared" si="53"/>
        <v>0</v>
      </c>
      <c r="O2361" s="247"/>
      <c r="P2361" s="247"/>
      <c r="Q2361" s="247"/>
      <c r="R2361" s="247"/>
      <c r="S2361" s="247"/>
      <c r="T2361" s="247"/>
      <c r="U2361" s="247"/>
      <c r="V2361" s="247"/>
      <c r="W2361" s="247"/>
      <c r="X2361" s="247"/>
    </row>
    <row r="2362">
      <c r="A2362" s="294"/>
      <c r="B2362" s="295"/>
      <c r="C2362" s="295"/>
      <c r="D2362" s="296"/>
      <c r="E2362" s="295"/>
      <c r="F2362" s="292"/>
      <c r="G2362" s="293" t="str">
        <f>IFNA(IF(VLOOKUP(RC_OUT[BLOCK],RC_IN[[BLOCK]:[BLOCK LOC]],2,FALSE)=0,"",VLOOKUP(RC_OUT[BLOCK],RC_IN[[BLOCK]:[BLOCK LOC]],2,FALSE)),"")</f>
        <v/>
      </c>
      <c r="I2362" s="263" t="str">
        <f>IFERROR(AVERAGEIFS(RC_IN[MC],RC_IN[BLOCK],RC_OUT[BLOCK]),"")</f>
        <v/>
      </c>
      <c r="J2362" s="264">
        <f t="shared" si="54"/>
        <v>0</v>
      </c>
      <c r="K2362" s="246"/>
      <c r="L2362" s="246"/>
      <c r="M2362" s="249"/>
      <c r="N2362" s="266">
        <f t="shared" si="53"/>
        <v>0</v>
      </c>
      <c r="O2362" s="247"/>
      <c r="P2362" s="247"/>
      <c r="Q2362" s="247"/>
      <c r="R2362" s="247"/>
      <c r="S2362" s="247"/>
      <c r="T2362" s="247"/>
      <c r="U2362" s="247"/>
      <c r="V2362" s="247"/>
      <c r="W2362" s="247"/>
      <c r="X2362" s="247"/>
    </row>
    <row r="2363">
      <c r="A2363" s="294"/>
      <c r="B2363" s="295"/>
      <c r="C2363" s="295"/>
      <c r="D2363" s="296"/>
      <c r="E2363" s="295"/>
      <c r="F2363" s="292"/>
      <c r="G2363" s="293" t="str">
        <f>IFNA(IF(VLOOKUP(RC_OUT[BLOCK],RC_IN[[BLOCK]:[BLOCK LOC]],2,FALSE)=0,"",VLOOKUP(RC_OUT[BLOCK],RC_IN[[BLOCK]:[BLOCK LOC]],2,FALSE)),"")</f>
        <v/>
      </c>
      <c r="I2363" s="263" t="str">
        <f>IFERROR(AVERAGEIFS(RC_IN[MC],RC_IN[BLOCK],RC_OUT[BLOCK]),"")</f>
        <v/>
      </c>
      <c r="J2363" s="264">
        <f t="shared" si="54"/>
        <v>0</v>
      </c>
      <c r="K2363" s="246"/>
      <c r="L2363" s="246"/>
      <c r="M2363" s="249"/>
      <c r="N2363" s="266">
        <f t="shared" si="53"/>
        <v>0</v>
      </c>
      <c r="O2363" s="247"/>
      <c r="P2363" s="247"/>
      <c r="Q2363" s="247"/>
      <c r="R2363" s="247"/>
      <c r="S2363" s="247"/>
      <c r="T2363" s="247"/>
      <c r="U2363" s="247"/>
      <c r="V2363" s="247"/>
      <c r="W2363" s="247"/>
      <c r="X2363" s="247"/>
    </row>
    <row r="2364">
      <c r="A2364" s="294"/>
      <c r="B2364" s="295"/>
      <c r="C2364" s="295"/>
      <c r="D2364" s="296"/>
      <c r="E2364" s="295"/>
      <c r="F2364" s="292"/>
      <c r="G2364" s="293" t="str">
        <f>IFNA(IF(VLOOKUP(RC_OUT[BLOCK],RC_IN[[BLOCK]:[BLOCK LOC]],2,FALSE)=0,"",VLOOKUP(RC_OUT[BLOCK],RC_IN[[BLOCK]:[BLOCK LOC]],2,FALSE)),"")</f>
        <v/>
      </c>
      <c r="I2364" s="263" t="str">
        <f>IFERROR(AVERAGEIFS(RC_IN[MC],RC_IN[BLOCK],RC_OUT[BLOCK]),"")</f>
        <v/>
      </c>
      <c r="J2364" s="264">
        <f t="shared" si="54"/>
        <v>0</v>
      </c>
      <c r="K2364" s="246"/>
      <c r="L2364" s="246"/>
      <c r="M2364" s="249"/>
      <c r="N2364" s="266">
        <f t="shared" si="53"/>
        <v>0</v>
      </c>
      <c r="O2364" s="247"/>
      <c r="P2364" s="247"/>
      <c r="Q2364" s="247"/>
      <c r="R2364" s="247"/>
      <c r="S2364" s="247"/>
      <c r="T2364" s="247"/>
      <c r="U2364" s="247"/>
      <c r="V2364" s="247"/>
      <c r="W2364" s="247"/>
      <c r="X2364" s="247"/>
    </row>
    <row r="2365">
      <c r="A2365" s="294"/>
      <c r="B2365" s="295"/>
      <c r="C2365" s="295"/>
      <c r="D2365" s="296"/>
      <c r="E2365" s="295"/>
      <c r="F2365" s="292"/>
      <c r="G2365" s="293" t="str">
        <f>IFNA(IF(VLOOKUP(RC_OUT[BLOCK],RC_IN[[BLOCK]:[BLOCK LOC]],2,FALSE)=0,"",VLOOKUP(RC_OUT[BLOCK],RC_IN[[BLOCK]:[BLOCK LOC]],2,FALSE)),"")</f>
        <v/>
      </c>
      <c r="I2365" s="263" t="str">
        <f>IFERROR(AVERAGEIFS(RC_IN[MC],RC_IN[BLOCK],RC_OUT[BLOCK]),"")</f>
        <v/>
      </c>
      <c r="J2365" s="264">
        <f t="shared" si="54"/>
        <v>0</v>
      </c>
      <c r="K2365" s="246"/>
      <c r="L2365" s="246"/>
      <c r="M2365" s="249"/>
      <c r="N2365" s="266">
        <f t="shared" si="53"/>
        <v>0</v>
      </c>
      <c r="O2365" s="247"/>
      <c r="P2365" s="247"/>
      <c r="Q2365" s="247"/>
      <c r="R2365" s="247"/>
      <c r="S2365" s="247"/>
      <c r="T2365" s="247"/>
      <c r="U2365" s="247"/>
      <c r="V2365" s="247"/>
      <c r="W2365" s="247"/>
      <c r="X2365" s="247"/>
    </row>
    <row r="2366">
      <c r="A2366" s="294"/>
      <c r="B2366" s="295"/>
      <c r="C2366" s="295"/>
      <c r="D2366" s="296"/>
      <c r="E2366" s="295"/>
      <c r="F2366" s="292"/>
      <c r="G2366" s="293" t="str">
        <f>IFNA(IF(VLOOKUP(RC_OUT[BLOCK],RC_IN[[BLOCK]:[BLOCK LOC]],2,FALSE)=0,"",VLOOKUP(RC_OUT[BLOCK],RC_IN[[BLOCK]:[BLOCK LOC]],2,FALSE)),"")</f>
        <v/>
      </c>
      <c r="I2366" s="263" t="str">
        <f>IFERROR(AVERAGEIFS(RC_IN[MC],RC_IN[BLOCK],RC_OUT[BLOCK]),"")</f>
        <v/>
      </c>
      <c r="J2366" s="264">
        <f t="shared" si="54"/>
        <v>0</v>
      </c>
      <c r="K2366" s="246"/>
      <c r="L2366" s="246"/>
      <c r="M2366" s="249"/>
      <c r="N2366" s="266">
        <f t="shared" si="53"/>
        <v>0</v>
      </c>
      <c r="O2366" s="247"/>
      <c r="P2366" s="247"/>
      <c r="Q2366" s="247"/>
      <c r="R2366" s="247"/>
      <c r="S2366" s="247"/>
      <c r="T2366" s="247"/>
      <c r="U2366" s="247"/>
      <c r="V2366" s="247"/>
      <c r="W2366" s="247"/>
      <c r="X2366" s="247"/>
    </row>
    <row r="2367">
      <c r="A2367" s="294"/>
      <c r="B2367" s="295"/>
      <c r="C2367" s="295"/>
      <c r="D2367" s="296"/>
      <c r="E2367" s="295"/>
      <c r="F2367" s="292"/>
      <c r="G2367" s="293" t="str">
        <f>IFNA(IF(VLOOKUP(RC_OUT[BLOCK],RC_IN[[BLOCK]:[BLOCK LOC]],2,FALSE)=0,"",VLOOKUP(RC_OUT[BLOCK],RC_IN[[BLOCK]:[BLOCK LOC]],2,FALSE)),"")</f>
        <v/>
      </c>
      <c r="I2367" s="263" t="str">
        <f>IFERROR(AVERAGEIFS(RC_IN[MC],RC_IN[BLOCK],RC_OUT[BLOCK]),"")</f>
        <v/>
      </c>
      <c r="J2367" s="264">
        <f t="shared" si="54"/>
        <v>0</v>
      </c>
      <c r="K2367" s="246"/>
      <c r="L2367" s="246"/>
      <c r="M2367" s="249"/>
      <c r="N2367" s="266">
        <f t="shared" si="53"/>
        <v>0</v>
      </c>
      <c r="O2367" s="247"/>
      <c r="P2367" s="247"/>
      <c r="Q2367" s="247"/>
      <c r="R2367" s="247"/>
      <c r="S2367" s="247"/>
      <c r="T2367" s="247"/>
      <c r="U2367" s="247"/>
      <c r="V2367" s="247"/>
      <c r="W2367" s="247"/>
      <c r="X2367" s="247"/>
    </row>
    <row r="2368">
      <c r="A2368" s="294"/>
      <c r="B2368" s="295"/>
      <c r="C2368" s="295"/>
      <c r="D2368" s="296"/>
      <c r="E2368" s="295"/>
      <c r="F2368" s="292"/>
      <c r="G2368" s="293" t="str">
        <f>IFNA(IF(VLOOKUP(RC_OUT[BLOCK],RC_IN[[BLOCK]:[BLOCK LOC]],2,FALSE)=0,"",VLOOKUP(RC_OUT[BLOCK],RC_IN[[BLOCK]:[BLOCK LOC]],2,FALSE)),"")</f>
        <v/>
      </c>
      <c r="I2368" s="263" t="str">
        <f>IFERROR(AVERAGEIFS(RC_IN[MC],RC_IN[BLOCK],RC_OUT[BLOCK]),"")</f>
        <v/>
      </c>
      <c r="J2368" s="264">
        <f t="shared" si="54"/>
        <v>0</v>
      </c>
      <c r="K2368" s="246"/>
      <c r="L2368" s="246"/>
      <c r="M2368" s="249"/>
      <c r="N2368" s="266">
        <f t="shared" si="53"/>
        <v>0</v>
      </c>
      <c r="O2368" s="247"/>
      <c r="P2368" s="247"/>
      <c r="Q2368" s="247"/>
      <c r="R2368" s="247"/>
      <c r="S2368" s="247"/>
      <c r="T2368" s="247"/>
      <c r="U2368" s="247"/>
      <c r="V2368" s="247"/>
      <c r="W2368" s="247"/>
      <c r="X2368" s="247"/>
    </row>
    <row r="2369">
      <c r="A2369" s="294"/>
      <c r="B2369" s="295"/>
      <c r="C2369" s="295"/>
      <c r="D2369" s="296"/>
      <c r="E2369" s="295"/>
      <c r="F2369" s="292"/>
      <c r="G2369" s="293" t="str">
        <f>IFNA(IF(VLOOKUP(RC_OUT[BLOCK],RC_IN[[BLOCK]:[BLOCK LOC]],2,FALSE)=0,"",VLOOKUP(RC_OUT[BLOCK],RC_IN[[BLOCK]:[BLOCK LOC]],2,FALSE)),"")</f>
        <v/>
      </c>
      <c r="I2369" s="263" t="str">
        <f>IFERROR(AVERAGEIFS(RC_IN[MC],RC_IN[BLOCK],RC_OUT[BLOCK]),"")</f>
        <v/>
      </c>
      <c r="J2369" s="264">
        <f t="shared" si="54"/>
        <v>0</v>
      </c>
      <c r="K2369" s="246"/>
      <c r="L2369" s="246"/>
      <c r="M2369" s="249"/>
      <c r="N2369" s="266">
        <f t="shared" si="53"/>
        <v>0</v>
      </c>
      <c r="O2369" s="247"/>
      <c r="P2369" s="247"/>
      <c r="Q2369" s="247"/>
      <c r="R2369" s="247"/>
      <c r="S2369" s="247"/>
      <c r="T2369" s="247"/>
      <c r="U2369" s="247"/>
      <c r="V2369" s="247"/>
      <c r="W2369" s="247"/>
      <c r="X2369" s="247"/>
    </row>
    <row r="2370">
      <c r="A2370" s="294"/>
      <c r="B2370" s="295"/>
      <c r="C2370" s="295"/>
      <c r="D2370" s="296"/>
      <c r="E2370" s="295"/>
      <c r="F2370" s="292"/>
      <c r="G2370" s="293" t="str">
        <f>IFNA(IF(VLOOKUP(RC_OUT[BLOCK],RC_IN[[BLOCK]:[BLOCK LOC]],2,FALSE)=0,"",VLOOKUP(RC_OUT[BLOCK],RC_IN[[BLOCK]:[BLOCK LOC]],2,FALSE)),"")</f>
        <v/>
      </c>
      <c r="I2370" s="263" t="str">
        <f>IFERROR(AVERAGEIFS(RC_IN[MC],RC_IN[BLOCK],RC_OUT[BLOCK]),"")</f>
        <v/>
      </c>
      <c r="J2370" s="264">
        <f t="shared" si="54"/>
        <v>0</v>
      </c>
      <c r="K2370" s="246"/>
      <c r="L2370" s="246"/>
      <c r="M2370" s="249"/>
      <c r="N2370" s="266">
        <f t="shared" si="53"/>
        <v>0</v>
      </c>
      <c r="O2370" s="247"/>
      <c r="P2370" s="247"/>
      <c r="Q2370" s="247"/>
      <c r="R2370" s="247"/>
      <c r="S2370" s="247"/>
      <c r="T2370" s="247"/>
      <c r="U2370" s="247"/>
      <c r="V2370" s="247"/>
      <c r="W2370" s="247"/>
      <c r="X2370" s="247"/>
    </row>
    <row r="2371">
      <c r="A2371" s="294"/>
      <c r="B2371" s="295"/>
      <c r="C2371" s="295"/>
      <c r="D2371" s="296"/>
      <c r="E2371" s="295"/>
      <c r="F2371" s="292"/>
      <c r="G2371" s="293" t="str">
        <f>IFNA(IF(VLOOKUP(RC_OUT[BLOCK],RC_IN[[BLOCK]:[BLOCK LOC]],2,FALSE)=0,"",VLOOKUP(RC_OUT[BLOCK],RC_IN[[BLOCK]:[BLOCK LOC]],2,FALSE)),"")</f>
        <v/>
      </c>
      <c r="I2371" s="263" t="str">
        <f>IFERROR(AVERAGEIFS(RC_IN[MC],RC_IN[BLOCK],RC_OUT[BLOCK]),"")</f>
        <v/>
      </c>
      <c r="J2371" s="264">
        <f t="shared" si="54"/>
        <v>0</v>
      </c>
      <c r="K2371" s="246"/>
      <c r="L2371" s="246"/>
      <c r="M2371" s="249"/>
      <c r="N2371" s="266">
        <f t="shared" si="53"/>
        <v>0</v>
      </c>
      <c r="O2371" s="247"/>
      <c r="P2371" s="247"/>
      <c r="Q2371" s="247"/>
      <c r="R2371" s="247"/>
      <c r="S2371" s="247"/>
      <c r="T2371" s="247"/>
      <c r="U2371" s="247"/>
      <c r="V2371" s="247"/>
      <c r="W2371" s="247"/>
      <c r="X2371" s="247"/>
    </row>
    <row r="2372">
      <c r="A2372" s="294"/>
      <c r="B2372" s="295"/>
      <c r="C2372" s="295"/>
      <c r="D2372" s="296"/>
      <c r="E2372" s="295"/>
      <c r="F2372" s="292"/>
      <c r="G2372" s="293" t="str">
        <f>IFNA(IF(VLOOKUP(RC_OUT[BLOCK],RC_IN[[BLOCK]:[BLOCK LOC]],2,FALSE)=0,"",VLOOKUP(RC_OUT[BLOCK],RC_IN[[BLOCK]:[BLOCK LOC]],2,FALSE)),"")</f>
        <v/>
      </c>
      <c r="I2372" s="263" t="str">
        <f>IFERROR(AVERAGEIFS(RC_IN[MC],RC_IN[BLOCK],RC_OUT[BLOCK]),"")</f>
        <v/>
      </c>
      <c r="J2372" s="264">
        <f t="shared" si="54"/>
        <v>0</v>
      </c>
      <c r="K2372" s="246"/>
      <c r="L2372" s="246"/>
      <c r="M2372" s="249"/>
      <c r="N2372" s="266">
        <f t="shared" si="53"/>
        <v>0</v>
      </c>
      <c r="O2372" s="247"/>
      <c r="P2372" s="247"/>
      <c r="Q2372" s="247"/>
      <c r="R2372" s="247"/>
      <c r="S2372" s="247"/>
      <c r="T2372" s="247"/>
      <c r="U2372" s="247"/>
      <c r="V2372" s="247"/>
      <c r="W2372" s="247"/>
      <c r="X2372" s="247"/>
    </row>
    <row r="2373">
      <c r="A2373" s="294"/>
      <c r="B2373" s="295"/>
      <c r="C2373" s="295"/>
      <c r="D2373" s="296"/>
      <c r="E2373" s="295"/>
      <c r="F2373" s="292"/>
      <c r="G2373" s="293" t="str">
        <f>IFNA(IF(VLOOKUP(RC_OUT[BLOCK],RC_IN[[BLOCK]:[BLOCK LOC]],2,FALSE)=0,"",VLOOKUP(RC_OUT[BLOCK],RC_IN[[BLOCK]:[BLOCK LOC]],2,FALSE)),"")</f>
        <v/>
      </c>
      <c r="I2373" s="263" t="str">
        <f>IFERROR(AVERAGEIFS(RC_IN[MC],RC_IN[BLOCK],RC_OUT[BLOCK]),"")</f>
        <v/>
      </c>
      <c r="J2373" s="264">
        <f t="shared" si="54"/>
        <v>0</v>
      </c>
      <c r="K2373" s="246"/>
      <c r="L2373" s="246"/>
      <c r="M2373" s="249"/>
      <c r="N2373" s="266">
        <f t="shared" si="53"/>
        <v>0</v>
      </c>
      <c r="O2373" s="247"/>
      <c r="P2373" s="247"/>
      <c r="Q2373" s="247"/>
      <c r="R2373" s="247"/>
      <c r="S2373" s="247"/>
      <c r="T2373" s="247"/>
      <c r="U2373" s="247"/>
      <c r="V2373" s="247"/>
      <c r="W2373" s="247"/>
      <c r="X2373" s="247"/>
    </row>
    <row r="2374">
      <c r="A2374" s="294"/>
      <c r="B2374" s="295"/>
      <c r="C2374" s="295"/>
      <c r="D2374" s="296"/>
      <c r="E2374" s="295"/>
      <c r="F2374" s="292"/>
      <c r="G2374" s="293" t="str">
        <f>IFNA(IF(VLOOKUP(RC_OUT[BLOCK],RC_IN[[BLOCK]:[BLOCK LOC]],2,FALSE)=0,"",VLOOKUP(RC_OUT[BLOCK],RC_IN[[BLOCK]:[BLOCK LOC]],2,FALSE)),"")</f>
        <v/>
      </c>
      <c r="I2374" s="263" t="str">
        <f>IFERROR(AVERAGEIFS(RC_IN[MC],RC_IN[BLOCK],RC_OUT[BLOCK]),"")</f>
        <v/>
      </c>
      <c r="J2374" s="264">
        <f t="shared" si="54"/>
        <v>0</v>
      </c>
      <c r="K2374" s="246"/>
      <c r="L2374" s="246"/>
      <c r="M2374" s="249"/>
      <c r="N2374" s="266">
        <f t="shared" si="53"/>
        <v>0</v>
      </c>
      <c r="O2374" s="247"/>
      <c r="P2374" s="247"/>
      <c r="Q2374" s="247"/>
      <c r="R2374" s="247"/>
      <c r="S2374" s="247"/>
      <c r="T2374" s="247"/>
      <c r="U2374" s="247"/>
      <c r="V2374" s="247"/>
      <c r="W2374" s="247"/>
      <c r="X2374" s="247"/>
    </row>
    <row r="2375">
      <c r="A2375" s="294"/>
      <c r="B2375" s="295"/>
      <c r="C2375" s="295"/>
      <c r="D2375" s="296"/>
      <c r="E2375" s="295"/>
      <c r="F2375" s="292"/>
      <c r="G2375" s="293" t="str">
        <f>IFNA(IF(VLOOKUP(RC_OUT[BLOCK],RC_IN[[BLOCK]:[BLOCK LOC]],2,FALSE)=0,"",VLOOKUP(RC_OUT[BLOCK],RC_IN[[BLOCK]:[BLOCK LOC]],2,FALSE)),"")</f>
        <v/>
      </c>
      <c r="I2375" s="263" t="str">
        <f>IFERROR(AVERAGEIFS(RC_IN[MC],RC_IN[BLOCK],RC_OUT[BLOCK]),"")</f>
        <v/>
      </c>
      <c r="J2375" s="264">
        <f t="shared" si="54"/>
        <v>0</v>
      </c>
      <c r="K2375" s="246"/>
      <c r="L2375" s="246"/>
      <c r="M2375" s="249"/>
      <c r="N2375" s="266">
        <f t="shared" si="53"/>
        <v>0</v>
      </c>
      <c r="O2375" s="247"/>
      <c r="P2375" s="247"/>
      <c r="Q2375" s="247"/>
      <c r="R2375" s="247"/>
      <c r="S2375" s="247"/>
      <c r="T2375" s="247"/>
      <c r="U2375" s="247"/>
      <c r="V2375" s="247"/>
      <c r="W2375" s="247"/>
      <c r="X2375" s="247"/>
    </row>
    <row r="2376">
      <c r="A2376" s="294"/>
      <c r="B2376" s="295"/>
      <c r="C2376" s="295"/>
      <c r="D2376" s="296"/>
      <c r="E2376" s="295"/>
      <c r="F2376" s="292"/>
      <c r="G2376" s="293" t="str">
        <f>IFNA(IF(VLOOKUP(RC_OUT[BLOCK],RC_IN[[BLOCK]:[BLOCK LOC]],2,FALSE)=0,"",VLOOKUP(RC_OUT[BLOCK],RC_IN[[BLOCK]:[BLOCK LOC]],2,FALSE)),"")</f>
        <v/>
      </c>
      <c r="I2376" s="263" t="str">
        <f>IFERROR(AVERAGEIFS(RC_IN[MC],RC_IN[BLOCK],RC_OUT[BLOCK]),"")</f>
        <v/>
      </c>
      <c r="J2376" s="264">
        <f t="shared" si="54"/>
        <v>0</v>
      </c>
      <c r="K2376" s="246"/>
      <c r="L2376" s="246"/>
      <c r="M2376" s="249"/>
      <c r="N2376" s="266">
        <f t="shared" si="53"/>
        <v>0</v>
      </c>
      <c r="O2376" s="247"/>
      <c r="P2376" s="247"/>
      <c r="Q2376" s="247"/>
      <c r="R2376" s="247"/>
      <c r="S2376" s="247"/>
      <c r="T2376" s="247"/>
      <c r="U2376" s="247"/>
      <c r="V2376" s="247"/>
      <c r="W2376" s="247"/>
      <c r="X2376" s="247"/>
    </row>
    <row r="2377">
      <c r="A2377" s="294"/>
      <c r="B2377" s="295"/>
      <c r="C2377" s="295"/>
      <c r="D2377" s="296"/>
      <c r="E2377" s="295"/>
      <c r="F2377" s="292"/>
      <c r="G2377" s="293" t="str">
        <f>IFNA(IF(VLOOKUP(RC_OUT[BLOCK],RC_IN[[BLOCK]:[BLOCK LOC]],2,FALSE)=0,"",VLOOKUP(RC_OUT[BLOCK],RC_IN[[BLOCK]:[BLOCK LOC]],2,FALSE)),"")</f>
        <v/>
      </c>
      <c r="I2377" s="263" t="str">
        <f>IFERROR(AVERAGEIFS(RC_IN[MC],RC_IN[BLOCK],RC_OUT[BLOCK]),"")</f>
        <v/>
      </c>
      <c r="J2377" s="264">
        <f t="shared" si="54"/>
        <v>0</v>
      </c>
      <c r="K2377" s="246"/>
      <c r="L2377" s="246"/>
      <c r="M2377" s="249"/>
      <c r="N2377" s="266">
        <f t="shared" si="53"/>
        <v>0</v>
      </c>
      <c r="O2377" s="247"/>
      <c r="P2377" s="247"/>
      <c r="Q2377" s="247"/>
      <c r="R2377" s="247"/>
      <c r="S2377" s="247"/>
      <c r="T2377" s="247"/>
      <c r="U2377" s="247"/>
      <c r="V2377" s="247"/>
      <c r="W2377" s="247"/>
      <c r="X2377" s="247"/>
    </row>
    <row r="2378">
      <c r="A2378" s="294"/>
      <c r="B2378" s="295"/>
      <c r="C2378" s="295"/>
      <c r="D2378" s="296"/>
      <c r="E2378" s="295"/>
      <c r="F2378" s="292"/>
      <c r="G2378" s="293" t="str">
        <f>IFNA(IF(VLOOKUP(RC_OUT[BLOCK],RC_IN[[BLOCK]:[BLOCK LOC]],2,FALSE)=0,"",VLOOKUP(RC_OUT[BLOCK],RC_IN[[BLOCK]:[BLOCK LOC]],2,FALSE)),"")</f>
        <v/>
      </c>
      <c r="I2378" s="263" t="str">
        <f>IFERROR(AVERAGEIFS(RC_IN[MC],RC_IN[BLOCK],RC_OUT[BLOCK]),"")</f>
        <v/>
      </c>
      <c r="J2378" s="264">
        <f t="shared" si="54"/>
        <v>0</v>
      </c>
      <c r="K2378" s="246"/>
      <c r="L2378" s="246"/>
      <c r="M2378" s="249"/>
      <c r="N2378" s="266">
        <f t="shared" si="53"/>
        <v>0</v>
      </c>
      <c r="O2378" s="247"/>
      <c r="P2378" s="247"/>
      <c r="Q2378" s="247"/>
      <c r="R2378" s="247"/>
      <c r="S2378" s="247"/>
      <c r="T2378" s="247"/>
      <c r="U2378" s="247"/>
      <c r="V2378" s="247"/>
      <c r="W2378" s="247"/>
      <c r="X2378" s="247"/>
    </row>
    <row r="2379">
      <c r="A2379" s="294"/>
      <c r="B2379" s="295"/>
      <c r="C2379" s="295"/>
      <c r="D2379" s="296"/>
      <c r="E2379" s="295"/>
      <c r="F2379" s="292"/>
      <c r="G2379" s="293" t="str">
        <f>IFNA(IF(VLOOKUP(RC_OUT[BLOCK],RC_IN[[BLOCK]:[BLOCK LOC]],2,FALSE)=0,"",VLOOKUP(RC_OUT[BLOCK],RC_IN[[BLOCK]:[BLOCK LOC]],2,FALSE)),"")</f>
        <v/>
      </c>
      <c r="I2379" s="263" t="str">
        <f>IFERROR(AVERAGEIFS(RC_IN[MC],RC_IN[BLOCK],RC_OUT[BLOCK]),"")</f>
        <v/>
      </c>
      <c r="J2379" s="264">
        <f t="shared" si="54"/>
        <v>0</v>
      </c>
      <c r="K2379" s="246"/>
      <c r="L2379" s="246"/>
      <c r="M2379" s="249"/>
      <c r="N2379" s="266">
        <f t="shared" si="53"/>
        <v>0</v>
      </c>
      <c r="O2379" s="247"/>
      <c r="P2379" s="247"/>
      <c r="Q2379" s="247"/>
      <c r="R2379" s="247"/>
      <c r="S2379" s="247"/>
      <c r="T2379" s="247"/>
      <c r="U2379" s="247"/>
      <c r="V2379" s="247"/>
      <c r="W2379" s="247"/>
      <c r="X2379" s="247"/>
    </row>
    <row r="2380">
      <c r="A2380" s="294"/>
      <c r="B2380" s="295"/>
      <c r="C2380" s="295"/>
      <c r="D2380" s="296"/>
      <c r="E2380" s="295"/>
      <c r="F2380" s="292"/>
      <c r="G2380" s="293" t="str">
        <f>IFNA(IF(VLOOKUP(RC_OUT[BLOCK],RC_IN[[BLOCK]:[BLOCK LOC]],2,FALSE)=0,"",VLOOKUP(RC_OUT[BLOCK],RC_IN[[BLOCK]:[BLOCK LOC]],2,FALSE)),"")</f>
        <v/>
      </c>
      <c r="I2380" s="263" t="str">
        <f>IFERROR(AVERAGEIFS(RC_IN[MC],RC_IN[BLOCK],RC_OUT[BLOCK]),"")</f>
        <v/>
      </c>
      <c r="J2380" s="264">
        <f t="shared" si="54"/>
        <v>0</v>
      </c>
      <c r="K2380" s="246"/>
      <c r="L2380" s="246"/>
      <c r="M2380" s="249"/>
      <c r="N2380" s="266">
        <f t="shared" si="53"/>
        <v>0</v>
      </c>
      <c r="O2380" s="247"/>
      <c r="P2380" s="247"/>
      <c r="Q2380" s="247"/>
      <c r="R2380" s="247"/>
      <c r="S2380" s="247"/>
      <c r="T2380" s="247"/>
      <c r="U2380" s="247"/>
      <c r="V2380" s="247"/>
      <c r="W2380" s="247"/>
      <c r="X2380" s="247"/>
    </row>
    <row r="2381">
      <c r="A2381" s="294"/>
      <c r="B2381" s="295"/>
      <c r="C2381" s="295"/>
      <c r="D2381" s="296"/>
      <c r="E2381" s="295"/>
      <c r="F2381" s="292"/>
      <c r="G2381" s="293" t="str">
        <f>IFNA(IF(VLOOKUP(RC_OUT[BLOCK],RC_IN[[BLOCK]:[BLOCK LOC]],2,FALSE)=0,"",VLOOKUP(RC_OUT[BLOCK],RC_IN[[BLOCK]:[BLOCK LOC]],2,FALSE)),"")</f>
        <v/>
      </c>
      <c r="I2381" s="263" t="str">
        <f>IFERROR(AVERAGEIFS(RC_IN[MC],RC_IN[BLOCK],RC_OUT[BLOCK]),"")</f>
        <v/>
      </c>
      <c r="J2381" s="264">
        <f t="shared" si="54"/>
        <v>0</v>
      </c>
      <c r="K2381" s="246"/>
      <c r="L2381" s="246"/>
      <c r="M2381" s="249"/>
      <c r="N2381" s="266">
        <f t="shared" si="53"/>
        <v>0</v>
      </c>
      <c r="O2381" s="247"/>
      <c r="P2381" s="247"/>
      <c r="Q2381" s="247"/>
      <c r="R2381" s="247"/>
      <c r="S2381" s="247"/>
      <c r="T2381" s="247"/>
      <c r="U2381" s="247"/>
      <c r="V2381" s="247"/>
      <c r="W2381" s="247"/>
      <c r="X2381" s="247"/>
    </row>
    <row r="2382">
      <c r="A2382" s="294"/>
      <c r="B2382" s="295"/>
      <c r="C2382" s="295"/>
      <c r="D2382" s="296"/>
      <c r="E2382" s="295"/>
      <c r="F2382" s="292"/>
      <c r="G2382" s="293" t="str">
        <f>IFNA(IF(VLOOKUP(RC_OUT[BLOCK],RC_IN[[BLOCK]:[BLOCK LOC]],2,FALSE)=0,"",VLOOKUP(RC_OUT[BLOCK],RC_IN[[BLOCK]:[BLOCK LOC]],2,FALSE)),"")</f>
        <v/>
      </c>
      <c r="I2382" s="263" t="str">
        <f>IFERROR(AVERAGEIFS(RC_IN[MC],RC_IN[BLOCK],RC_OUT[BLOCK]),"")</f>
        <v/>
      </c>
      <c r="J2382" s="264">
        <f t="shared" si="54"/>
        <v>0</v>
      </c>
      <c r="K2382" s="246"/>
      <c r="L2382" s="246"/>
      <c r="M2382" s="249"/>
      <c r="N2382" s="266">
        <f t="shared" si="53"/>
        <v>0</v>
      </c>
      <c r="O2382" s="247"/>
      <c r="P2382" s="247"/>
      <c r="Q2382" s="247"/>
      <c r="R2382" s="247"/>
      <c r="S2382" s="247"/>
      <c r="T2382" s="247"/>
      <c r="U2382" s="247"/>
      <c r="V2382" s="247"/>
      <c r="W2382" s="247"/>
      <c r="X2382" s="247"/>
    </row>
    <row r="2383">
      <c r="A2383" s="294"/>
      <c r="B2383" s="295"/>
      <c r="C2383" s="295"/>
      <c r="D2383" s="296"/>
      <c r="E2383" s="295"/>
      <c r="F2383" s="292"/>
      <c r="G2383" s="293" t="str">
        <f>IFNA(IF(VLOOKUP(RC_OUT[BLOCK],RC_IN[[BLOCK]:[BLOCK LOC]],2,FALSE)=0,"",VLOOKUP(RC_OUT[BLOCK],RC_IN[[BLOCK]:[BLOCK LOC]],2,FALSE)),"")</f>
        <v/>
      </c>
      <c r="I2383" s="263" t="str">
        <f>IFERROR(AVERAGEIFS(RC_IN[MC],RC_IN[BLOCK],RC_OUT[BLOCK]),"")</f>
        <v/>
      </c>
      <c r="J2383" s="264">
        <f t="shared" si="54"/>
        <v>0</v>
      </c>
      <c r="K2383" s="246"/>
      <c r="L2383" s="246"/>
      <c r="M2383" s="249"/>
      <c r="N2383" s="266">
        <f t="shared" si="53"/>
        <v>0</v>
      </c>
      <c r="O2383" s="247"/>
      <c r="P2383" s="247"/>
      <c r="Q2383" s="247"/>
      <c r="R2383" s="247"/>
      <c r="S2383" s="247"/>
      <c r="T2383" s="247"/>
      <c r="U2383" s="247"/>
      <c r="V2383" s="247"/>
      <c r="W2383" s="247"/>
      <c r="X2383" s="247"/>
    </row>
    <row r="2384">
      <c r="A2384" s="294"/>
      <c r="B2384" s="295"/>
      <c r="C2384" s="295"/>
      <c r="D2384" s="296"/>
      <c r="E2384" s="295"/>
      <c r="F2384" s="292"/>
      <c r="G2384" s="293" t="str">
        <f>IFNA(IF(VLOOKUP(RC_OUT[BLOCK],RC_IN[[BLOCK]:[BLOCK LOC]],2,FALSE)=0,"",VLOOKUP(RC_OUT[BLOCK],RC_IN[[BLOCK]:[BLOCK LOC]],2,FALSE)),"")</f>
        <v/>
      </c>
      <c r="I2384" s="263" t="str">
        <f>IFERROR(AVERAGEIFS(RC_IN[MC],RC_IN[BLOCK],RC_OUT[BLOCK]),"")</f>
        <v/>
      </c>
      <c r="J2384" s="264">
        <f t="shared" si="54"/>
        <v>0</v>
      </c>
      <c r="K2384" s="246"/>
      <c r="L2384" s="246"/>
      <c r="M2384" s="249"/>
      <c r="N2384" s="266">
        <f t="shared" si="53"/>
        <v>0</v>
      </c>
      <c r="O2384" s="247"/>
      <c r="P2384" s="247"/>
      <c r="Q2384" s="247"/>
      <c r="R2384" s="247"/>
      <c r="S2384" s="247"/>
      <c r="T2384" s="247"/>
      <c r="U2384" s="247"/>
      <c r="V2384" s="247"/>
      <c r="W2384" s="247"/>
      <c r="X2384" s="247"/>
    </row>
    <row r="2385">
      <c r="A2385" s="294"/>
      <c r="B2385" s="295"/>
      <c r="C2385" s="295"/>
      <c r="D2385" s="296"/>
      <c r="E2385" s="295"/>
      <c r="F2385" s="292"/>
      <c r="G2385" s="293" t="str">
        <f>IFNA(IF(VLOOKUP(RC_OUT[BLOCK],RC_IN[[BLOCK]:[BLOCK LOC]],2,FALSE)=0,"",VLOOKUP(RC_OUT[BLOCK],RC_IN[[BLOCK]:[BLOCK LOC]],2,FALSE)),"")</f>
        <v/>
      </c>
      <c r="I2385" s="263" t="str">
        <f>IFERROR(AVERAGEIFS(RC_IN[MC],RC_IN[BLOCK],RC_OUT[BLOCK]),"")</f>
        <v/>
      </c>
      <c r="J2385" s="264">
        <f t="shared" si="54"/>
        <v>0</v>
      </c>
      <c r="K2385" s="246"/>
      <c r="L2385" s="246"/>
      <c r="M2385" s="249"/>
      <c r="N2385" s="266">
        <f t="shared" si="53"/>
        <v>0</v>
      </c>
      <c r="O2385" s="247"/>
      <c r="P2385" s="247"/>
      <c r="Q2385" s="247"/>
      <c r="R2385" s="247"/>
      <c r="S2385" s="247"/>
      <c r="T2385" s="247"/>
      <c r="U2385" s="247"/>
      <c r="V2385" s="247"/>
      <c r="W2385" s="247"/>
      <c r="X2385" s="247"/>
    </row>
    <row r="2386">
      <c r="A2386" s="294"/>
      <c r="B2386" s="295"/>
      <c r="C2386" s="295"/>
      <c r="D2386" s="296"/>
      <c r="E2386" s="295"/>
      <c r="F2386" s="292"/>
      <c r="G2386" s="293" t="str">
        <f>IFNA(IF(VLOOKUP(RC_OUT[BLOCK],RC_IN[[BLOCK]:[BLOCK LOC]],2,FALSE)=0,"",VLOOKUP(RC_OUT[BLOCK],RC_IN[[BLOCK]:[BLOCK LOC]],2,FALSE)),"")</f>
        <v/>
      </c>
      <c r="I2386" s="263" t="str">
        <f>IFERROR(AVERAGEIFS(RC_IN[MC],RC_IN[BLOCK],RC_OUT[BLOCK]),"")</f>
        <v/>
      </c>
      <c r="J2386" s="264">
        <f t="shared" si="54"/>
        <v>0</v>
      </c>
      <c r="K2386" s="246"/>
      <c r="L2386" s="246"/>
      <c r="M2386" s="249"/>
      <c r="N2386" s="266">
        <f t="shared" si="53"/>
        <v>0</v>
      </c>
      <c r="O2386" s="247"/>
      <c r="P2386" s="247"/>
      <c r="Q2386" s="247"/>
      <c r="R2386" s="247"/>
      <c r="S2386" s="247"/>
      <c r="T2386" s="247"/>
      <c r="U2386" s="247"/>
      <c r="V2386" s="247"/>
      <c r="W2386" s="247"/>
      <c r="X2386" s="247"/>
    </row>
    <row r="2387">
      <c r="A2387" s="294"/>
      <c r="B2387" s="295"/>
      <c r="C2387" s="295"/>
      <c r="D2387" s="296"/>
      <c r="E2387" s="295"/>
      <c r="F2387" s="292"/>
      <c r="G2387" s="293" t="str">
        <f>IFNA(IF(VLOOKUP(RC_OUT[BLOCK],RC_IN[[BLOCK]:[BLOCK LOC]],2,FALSE)=0,"",VLOOKUP(RC_OUT[BLOCK],RC_IN[[BLOCK]:[BLOCK LOC]],2,FALSE)),"")</f>
        <v/>
      </c>
      <c r="I2387" s="263" t="str">
        <f>IFERROR(AVERAGEIFS(RC_IN[MC],RC_IN[BLOCK],RC_OUT[BLOCK]),"")</f>
        <v/>
      </c>
      <c r="J2387" s="264">
        <f t="shared" si="54"/>
        <v>0</v>
      </c>
      <c r="K2387" s="246"/>
      <c r="L2387" s="246"/>
      <c r="M2387" s="249"/>
      <c r="N2387" s="266">
        <f t="shared" si="53"/>
        <v>0</v>
      </c>
      <c r="O2387" s="247"/>
      <c r="P2387" s="247"/>
      <c r="Q2387" s="247"/>
      <c r="R2387" s="247"/>
      <c r="S2387" s="247"/>
      <c r="T2387" s="247"/>
      <c r="U2387" s="247"/>
      <c r="V2387" s="247"/>
      <c r="W2387" s="247"/>
      <c r="X2387" s="247"/>
    </row>
    <row r="2388">
      <c r="A2388" s="294"/>
      <c r="B2388" s="295"/>
      <c r="C2388" s="295"/>
      <c r="D2388" s="296"/>
      <c r="E2388" s="295"/>
      <c r="F2388" s="292"/>
      <c r="G2388" s="293" t="str">
        <f>IFNA(IF(VLOOKUP(RC_OUT[BLOCK],RC_IN[[BLOCK]:[BLOCK LOC]],2,FALSE)=0,"",VLOOKUP(RC_OUT[BLOCK],RC_IN[[BLOCK]:[BLOCK LOC]],2,FALSE)),"")</f>
        <v/>
      </c>
      <c r="I2388" s="263" t="str">
        <f>IFERROR(AVERAGEIFS(RC_IN[MC],RC_IN[BLOCK],RC_OUT[BLOCK]),"")</f>
        <v/>
      </c>
      <c r="J2388" s="264">
        <f t="shared" si="54"/>
        <v>0</v>
      </c>
      <c r="K2388" s="246"/>
      <c r="L2388" s="246"/>
      <c r="M2388" s="249"/>
      <c r="N2388" s="266">
        <f t="shared" si="53"/>
        <v>0</v>
      </c>
      <c r="O2388" s="247"/>
      <c r="P2388" s="247"/>
      <c r="Q2388" s="247"/>
      <c r="R2388" s="247"/>
      <c r="S2388" s="247"/>
      <c r="T2388" s="247"/>
      <c r="U2388" s="247"/>
      <c r="V2388" s="247"/>
      <c r="W2388" s="247"/>
      <c r="X2388" s="247"/>
    </row>
    <row r="2389">
      <c r="A2389" s="294"/>
      <c r="B2389" s="295"/>
      <c r="C2389" s="295"/>
      <c r="D2389" s="296"/>
      <c r="E2389" s="295"/>
      <c r="F2389" s="292"/>
      <c r="G2389" s="293" t="str">
        <f>IFNA(IF(VLOOKUP(RC_OUT[BLOCK],RC_IN[[BLOCK]:[BLOCK LOC]],2,FALSE)=0,"",VLOOKUP(RC_OUT[BLOCK],RC_IN[[BLOCK]:[BLOCK LOC]],2,FALSE)),"")</f>
        <v/>
      </c>
      <c r="I2389" s="263" t="str">
        <f>IFERROR(AVERAGEIFS(RC_IN[MC],RC_IN[BLOCK],RC_OUT[BLOCK]),"")</f>
        <v/>
      </c>
      <c r="J2389" s="264">
        <f t="shared" si="54"/>
        <v>0</v>
      </c>
      <c r="K2389" s="246"/>
      <c r="L2389" s="246"/>
      <c r="M2389" s="249"/>
      <c r="N2389" s="266">
        <f t="shared" si="53"/>
        <v>0</v>
      </c>
      <c r="O2389" s="247"/>
      <c r="P2389" s="247"/>
      <c r="Q2389" s="247"/>
      <c r="R2389" s="247"/>
      <c r="S2389" s="247"/>
      <c r="T2389" s="247"/>
      <c r="U2389" s="247"/>
      <c r="V2389" s="247"/>
      <c r="W2389" s="247"/>
      <c r="X2389" s="247"/>
    </row>
    <row r="2390">
      <c r="A2390" s="294"/>
      <c r="B2390" s="295"/>
      <c r="C2390" s="295"/>
      <c r="D2390" s="296"/>
      <c r="E2390" s="295"/>
      <c r="F2390" s="292"/>
      <c r="G2390" s="293" t="str">
        <f>IFNA(IF(VLOOKUP(RC_OUT[BLOCK],RC_IN[[BLOCK]:[BLOCK LOC]],2,FALSE)=0,"",VLOOKUP(RC_OUT[BLOCK],RC_IN[[BLOCK]:[BLOCK LOC]],2,FALSE)),"")</f>
        <v/>
      </c>
      <c r="I2390" s="263" t="str">
        <f>IFERROR(AVERAGEIFS(RC_IN[MC],RC_IN[BLOCK],RC_OUT[BLOCK]),"")</f>
        <v/>
      </c>
      <c r="J2390" s="264">
        <f t="shared" si="54"/>
        <v>0</v>
      </c>
      <c r="K2390" s="246"/>
      <c r="L2390" s="246"/>
      <c r="M2390" s="249"/>
      <c r="N2390" s="266">
        <f t="shared" si="53"/>
        <v>0</v>
      </c>
      <c r="O2390" s="247"/>
      <c r="P2390" s="247"/>
      <c r="Q2390" s="247"/>
      <c r="R2390" s="247"/>
      <c r="S2390" s="247"/>
      <c r="T2390" s="247"/>
      <c r="U2390" s="247"/>
      <c r="V2390" s="247"/>
      <c r="W2390" s="247"/>
      <c r="X2390" s="247"/>
    </row>
    <row r="2391">
      <c r="A2391" s="294"/>
      <c r="B2391" s="295"/>
      <c r="C2391" s="295"/>
      <c r="D2391" s="296"/>
      <c r="E2391" s="295"/>
      <c r="F2391" s="292"/>
      <c r="G2391" s="293" t="str">
        <f>IFNA(IF(VLOOKUP(RC_OUT[BLOCK],RC_IN[[BLOCK]:[BLOCK LOC]],2,FALSE)=0,"",VLOOKUP(RC_OUT[BLOCK],RC_IN[[BLOCK]:[BLOCK LOC]],2,FALSE)),"")</f>
        <v/>
      </c>
      <c r="I2391" s="263" t="str">
        <f>IFERROR(AVERAGEIFS(RC_IN[MC],RC_IN[BLOCK],RC_OUT[BLOCK]),"")</f>
        <v/>
      </c>
      <c r="J2391" s="264">
        <f t="shared" si="54"/>
        <v>0</v>
      </c>
      <c r="K2391" s="246"/>
      <c r="L2391" s="246"/>
      <c r="M2391" s="249"/>
      <c r="N2391" s="266">
        <f t="shared" si="53"/>
        <v>0</v>
      </c>
      <c r="O2391" s="247"/>
      <c r="P2391" s="247"/>
      <c r="Q2391" s="247"/>
      <c r="R2391" s="247"/>
      <c r="S2391" s="247"/>
      <c r="T2391" s="247"/>
      <c r="U2391" s="247"/>
      <c r="V2391" s="247"/>
      <c r="W2391" s="247"/>
      <c r="X2391" s="247"/>
    </row>
    <row r="2392">
      <c r="A2392" s="294"/>
      <c r="B2392" s="295"/>
      <c r="C2392" s="295"/>
      <c r="D2392" s="296"/>
      <c r="E2392" s="295"/>
      <c r="F2392" s="292"/>
      <c r="G2392" s="293" t="str">
        <f>IFNA(IF(VLOOKUP(RC_OUT[BLOCK],RC_IN[[BLOCK]:[BLOCK LOC]],2,FALSE)=0,"",VLOOKUP(RC_OUT[BLOCK],RC_IN[[BLOCK]:[BLOCK LOC]],2,FALSE)),"")</f>
        <v/>
      </c>
      <c r="I2392" s="263" t="str">
        <f>IFERROR(AVERAGEIFS(RC_IN[MC],RC_IN[BLOCK],RC_OUT[BLOCK]),"")</f>
        <v/>
      </c>
      <c r="J2392" s="264">
        <f t="shared" si="54"/>
        <v>0</v>
      </c>
      <c r="K2392" s="246"/>
      <c r="L2392" s="246"/>
      <c r="M2392" s="249"/>
      <c r="N2392" s="266">
        <f t="shared" si="53"/>
        <v>0</v>
      </c>
      <c r="O2392" s="247"/>
      <c r="P2392" s="247"/>
      <c r="Q2392" s="247"/>
      <c r="R2392" s="247"/>
      <c r="S2392" s="247"/>
      <c r="T2392" s="247"/>
      <c r="U2392" s="247"/>
      <c r="V2392" s="247"/>
      <c r="W2392" s="247"/>
      <c r="X2392" s="247"/>
    </row>
    <row r="2393">
      <c r="A2393" s="294"/>
      <c r="B2393" s="295"/>
      <c r="C2393" s="295"/>
      <c r="D2393" s="296"/>
      <c r="E2393" s="295"/>
      <c r="F2393" s="292"/>
      <c r="G2393" s="293" t="str">
        <f>IFNA(IF(VLOOKUP(RC_OUT[BLOCK],RC_IN[[BLOCK]:[BLOCK LOC]],2,FALSE)=0,"",VLOOKUP(RC_OUT[BLOCK],RC_IN[[BLOCK]:[BLOCK LOC]],2,FALSE)),"")</f>
        <v/>
      </c>
      <c r="I2393" s="263" t="str">
        <f>IFERROR(AVERAGEIFS(RC_IN[MC],RC_IN[BLOCK],RC_OUT[BLOCK]),"")</f>
        <v/>
      </c>
      <c r="J2393" s="264">
        <f t="shared" si="54"/>
        <v>0</v>
      </c>
      <c r="K2393" s="246"/>
      <c r="L2393" s="246"/>
      <c r="M2393" s="249"/>
      <c r="N2393" s="266">
        <f t="shared" si="53"/>
        <v>0</v>
      </c>
      <c r="O2393" s="247"/>
      <c r="P2393" s="247"/>
      <c r="Q2393" s="247"/>
      <c r="R2393" s="247"/>
      <c r="S2393" s="247"/>
      <c r="T2393" s="247"/>
      <c r="U2393" s="247"/>
      <c r="V2393" s="247"/>
      <c r="W2393" s="247"/>
      <c r="X2393" s="247"/>
    </row>
    <row r="2394">
      <c r="A2394" s="294"/>
      <c r="B2394" s="295"/>
      <c r="C2394" s="295"/>
      <c r="D2394" s="296"/>
      <c r="E2394" s="295"/>
      <c r="F2394" s="292"/>
      <c r="G2394" s="293" t="str">
        <f>IFNA(IF(VLOOKUP(RC_OUT[BLOCK],RC_IN[[BLOCK]:[BLOCK LOC]],2,FALSE)=0,"",VLOOKUP(RC_OUT[BLOCK],RC_IN[[BLOCK]:[BLOCK LOC]],2,FALSE)),"")</f>
        <v/>
      </c>
      <c r="I2394" s="263" t="str">
        <f>IFERROR(AVERAGEIFS(RC_IN[MC],RC_IN[BLOCK],RC_OUT[BLOCK]),"")</f>
        <v/>
      </c>
      <c r="J2394" s="264">
        <f t="shared" si="54"/>
        <v>0</v>
      </c>
      <c r="K2394" s="246"/>
      <c r="L2394" s="246"/>
      <c r="M2394" s="249"/>
      <c r="N2394" s="266">
        <f t="shared" si="53"/>
        <v>0</v>
      </c>
      <c r="O2394" s="247"/>
      <c r="P2394" s="247"/>
      <c r="Q2394" s="247"/>
      <c r="R2394" s="247"/>
      <c r="S2394" s="247"/>
      <c r="T2394" s="247"/>
      <c r="U2394" s="247"/>
      <c r="V2394" s="247"/>
      <c r="W2394" s="247"/>
      <c r="X2394" s="247"/>
    </row>
    <row r="2395">
      <c r="A2395" s="294"/>
      <c r="B2395" s="295"/>
      <c r="C2395" s="295"/>
      <c r="D2395" s="296"/>
      <c r="E2395" s="295"/>
      <c r="F2395" s="292"/>
      <c r="G2395" s="293" t="str">
        <f>IFNA(IF(VLOOKUP(RC_OUT[BLOCK],RC_IN[[BLOCK]:[BLOCK LOC]],2,FALSE)=0,"",VLOOKUP(RC_OUT[BLOCK],RC_IN[[BLOCK]:[BLOCK LOC]],2,FALSE)),"")</f>
        <v/>
      </c>
      <c r="I2395" s="263" t="str">
        <f>IFERROR(AVERAGEIFS(RC_IN[MC],RC_IN[BLOCK],RC_OUT[BLOCK]),"")</f>
        <v/>
      </c>
      <c r="J2395" s="264">
        <f t="shared" si="54"/>
        <v>0</v>
      </c>
      <c r="K2395" s="246"/>
      <c r="L2395" s="246"/>
      <c r="M2395" s="249"/>
      <c r="N2395" s="266">
        <f t="shared" si="53"/>
        <v>0</v>
      </c>
      <c r="O2395" s="247"/>
      <c r="P2395" s="247"/>
      <c r="Q2395" s="247"/>
      <c r="R2395" s="247"/>
      <c r="S2395" s="247"/>
      <c r="T2395" s="247"/>
      <c r="U2395" s="247"/>
      <c r="V2395" s="247"/>
      <c r="W2395" s="247"/>
      <c r="X2395" s="247"/>
    </row>
    <row r="2396">
      <c r="A2396" s="294"/>
      <c r="B2396" s="295"/>
      <c r="C2396" s="295"/>
      <c r="D2396" s="296"/>
      <c r="E2396" s="295"/>
      <c r="F2396" s="292"/>
      <c r="G2396" s="293" t="str">
        <f>IFNA(IF(VLOOKUP(RC_OUT[BLOCK],RC_IN[[BLOCK]:[BLOCK LOC]],2,FALSE)=0,"",VLOOKUP(RC_OUT[BLOCK],RC_IN[[BLOCK]:[BLOCK LOC]],2,FALSE)),"")</f>
        <v/>
      </c>
      <c r="I2396" s="263" t="str">
        <f>IFERROR(AVERAGEIFS(RC_IN[MC],RC_IN[BLOCK],RC_OUT[BLOCK]),"")</f>
        <v/>
      </c>
      <c r="J2396" s="264">
        <f t="shared" si="54"/>
        <v>0</v>
      </c>
      <c r="K2396" s="246"/>
      <c r="L2396" s="246"/>
      <c r="M2396" s="249"/>
      <c r="N2396" s="266">
        <f t="shared" si="53"/>
        <v>0</v>
      </c>
      <c r="O2396" s="247"/>
      <c r="P2396" s="247"/>
      <c r="Q2396" s="247"/>
      <c r="R2396" s="247"/>
      <c r="S2396" s="247"/>
      <c r="T2396" s="247"/>
      <c r="U2396" s="247"/>
      <c r="V2396" s="247"/>
      <c r="W2396" s="247"/>
      <c r="X2396" s="247"/>
    </row>
    <row r="2397">
      <c r="A2397" s="294"/>
      <c r="B2397" s="295"/>
      <c r="C2397" s="295"/>
      <c r="D2397" s="296"/>
      <c r="E2397" s="295"/>
      <c r="F2397" s="292"/>
      <c r="G2397" s="293" t="str">
        <f>IFNA(IF(VLOOKUP(RC_OUT[BLOCK],RC_IN[[BLOCK]:[BLOCK LOC]],2,FALSE)=0,"",VLOOKUP(RC_OUT[BLOCK],RC_IN[[BLOCK]:[BLOCK LOC]],2,FALSE)),"")</f>
        <v/>
      </c>
      <c r="I2397" s="263" t="str">
        <f>IFERROR(AVERAGEIFS(RC_IN[MC],RC_IN[BLOCK],RC_OUT[BLOCK]),"")</f>
        <v/>
      </c>
      <c r="J2397" s="264">
        <f t="shared" si="54"/>
        <v>0</v>
      </c>
      <c r="K2397" s="246"/>
      <c r="L2397" s="246"/>
      <c r="M2397" s="249"/>
      <c r="N2397" s="266">
        <f t="shared" si="53"/>
        <v>0</v>
      </c>
      <c r="O2397" s="247"/>
      <c r="P2397" s="247"/>
      <c r="Q2397" s="247"/>
      <c r="R2397" s="247"/>
      <c r="S2397" s="247"/>
      <c r="T2397" s="247"/>
      <c r="U2397" s="247"/>
      <c r="V2397" s="247"/>
      <c r="W2397" s="247"/>
      <c r="X2397" s="247"/>
    </row>
    <row r="2398">
      <c r="A2398" s="294"/>
      <c r="B2398" s="295"/>
      <c r="C2398" s="295"/>
      <c r="D2398" s="296"/>
      <c r="E2398" s="295"/>
      <c r="F2398" s="292"/>
      <c r="G2398" s="293" t="str">
        <f>IFNA(IF(VLOOKUP(RC_OUT[BLOCK],RC_IN[[BLOCK]:[BLOCK LOC]],2,FALSE)=0,"",VLOOKUP(RC_OUT[BLOCK],RC_IN[[BLOCK]:[BLOCK LOC]],2,FALSE)),"")</f>
        <v/>
      </c>
      <c r="I2398" s="263" t="str">
        <f>IFERROR(AVERAGEIFS(RC_IN[MC],RC_IN[BLOCK],RC_OUT[BLOCK]),"")</f>
        <v/>
      </c>
      <c r="J2398" s="264">
        <f t="shared" si="54"/>
        <v>0</v>
      </c>
      <c r="K2398" s="246"/>
      <c r="L2398" s="246"/>
      <c r="M2398" s="249"/>
      <c r="N2398" s="266">
        <f t="shared" si="53"/>
        <v>0</v>
      </c>
      <c r="O2398" s="247"/>
      <c r="P2398" s="247"/>
      <c r="Q2398" s="247"/>
      <c r="R2398" s="247"/>
      <c r="S2398" s="247"/>
      <c r="T2398" s="247"/>
      <c r="U2398" s="247"/>
      <c r="V2398" s="247"/>
      <c r="W2398" s="247"/>
      <c r="X2398" s="247"/>
    </row>
    <row r="2399">
      <c r="A2399" s="294"/>
      <c r="B2399" s="295"/>
      <c r="C2399" s="295"/>
      <c r="D2399" s="296"/>
      <c r="E2399" s="295"/>
      <c r="F2399" s="292"/>
      <c r="G2399" s="293" t="str">
        <f>IFNA(IF(VLOOKUP(RC_OUT[BLOCK],RC_IN[[BLOCK]:[BLOCK LOC]],2,FALSE)=0,"",VLOOKUP(RC_OUT[BLOCK],RC_IN[[BLOCK]:[BLOCK LOC]],2,FALSE)),"")</f>
        <v/>
      </c>
      <c r="I2399" s="263" t="str">
        <f>IFERROR(AVERAGEIFS(RC_IN[MC],RC_IN[BLOCK],RC_OUT[BLOCK]),"")</f>
        <v/>
      </c>
      <c r="J2399" s="264">
        <f t="shared" si="54"/>
        <v>0</v>
      </c>
      <c r="K2399" s="246"/>
      <c r="L2399" s="246"/>
      <c r="M2399" s="249"/>
      <c r="N2399" s="266">
        <f t="shared" si="53"/>
        <v>0</v>
      </c>
      <c r="O2399" s="247"/>
      <c r="P2399" s="247"/>
      <c r="Q2399" s="247"/>
      <c r="R2399" s="247"/>
      <c r="S2399" s="247"/>
      <c r="T2399" s="247"/>
      <c r="U2399" s="247"/>
      <c r="V2399" s="247"/>
      <c r="W2399" s="247"/>
      <c r="X2399" s="247"/>
    </row>
    <row r="2400">
      <c r="A2400" s="294"/>
      <c r="B2400" s="295"/>
      <c r="C2400" s="295"/>
      <c r="D2400" s="296"/>
      <c r="E2400" s="295"/>
      <c r="F2400" s="292"/>
      <c r="G2400" s="293" t="str">
        <f>IFNA(IF(VLOOKUP(RC_OUT[BLOCK],RC_IN[[BLOCK]:[BLOCK LOC]],2,FALSE)=0,"",VLOOKUP(RC_OUT[BLOCK],RC_IN[[BLOCK]:[BLOCK LOC]],2,FALSE)),"")</f>
        <v/>
      </c>
      <c r="I2400" s="263" t="str">
        <f>IFERROR(AVERAGEIFS(RC_IN[MC],RC_IN[BLOCK],RC_OUT[BLOCK]),"")</f>
        <v/>
      </c>
      <c r="J2400" s="264">
        <f t="shared" si="54"/>
        <v>0</v>
      </c>
      <c r="K2400" s="246"/>
      <c r="L2400" s="246"/>
      <c r="M2400" s="249"/>
      <c r="N2400" s="266">
        <f t="shared" si="53"/>
        <v>0</v>
      </c>
      <c r="O2400" s="247"/>
      <c r="P2400" s="247"/>
      <c r="Q2400" s="247"/>
      <c r="R2400" s="247"/>
      <c r="S2400" s="247"/>
      <c r="T2400" s="247"/>
      <c r="U2400" s="247"/>
      <c r="V2400" s="247"/>
      <c r="W2400" s="247"/>
      <c r="X2400" s="247"/>
    </row>
    <row r="2401">
      <c r="A2401" s="294"/>
      <c r="B2401" s="295"/>
      <c r="C2401" s="295"/>
      <c r="D2401" s="296"/>
      <c r="E2401" s="295"/>
      <c r="F2401" s="292"/>
      <c r="G2401" s="293" t="str">
        <f>IFNA(IF(VLOOKUP(RC_OUT[BLOCK],RC_IN[[BLOCK]:[BLOCK LOC]],2,FALSE)=0,"",VLOOKUP(RC_OUT[BLOCK],RC_IN[[BLOCK]:[BLOCK LOC]],2,FALSE)),"")</f>
        <v/>
      </c>
      <c r="I2401" s="263" t="str">
        <f>IFERROR(AVERAGEIFS(RC_IN[MC],RC_IN[BLOCK],RC_OUT[BLOCK]),"")</f>
        <v/>
      </c>
      <c r="J2401" s="264">
        <f t="shared" si="54"/>
        <v>0</v>
      </c>
      <c r="K2401" s="246"/>
      <c r="L2401" s="246"/>
      <c r="M2401" s="249"/>
      <c r="N2401" s="266">
        <f t="shared" si="53"/>
        <v>0</v>
      </c>
      <c r="O2401" s="247"/>
      <c r="P2401" s="247"/>
      <c r="Q2401" s="247"/>
      <c r="R2401" s="247"/>
      <c r="S2401" s="247"/>
      <c r="T2401" s="247"/>
      <c r="U2401" s="247"/>
      <c r="V2401" s="247"/>
      <c r="W2401" s="247"/>
      <c r="X2401" s="247"/>
    </row>
    <row r="2402">
      <c r="A2402" s="294"/>
      <c r="B2402" s="295"/>
      <c r="C2402" s="295"/>
      <c r="D2402" s="296"/>
      <c r="E2402" s="295"/>
      <c r="F2402" s="292"/>
      <c r="G2402" s="293" t="str">
        <f>IFNA(IF(VLOOKUP(RC_OUT[BLOCK],RC_IN[[BLOCK]:[BLOCK LOC]],2,FALSE)=0,"",VLOOKUP(RC_OUT[BLOCK],RC_IN[[BLOCK]:[BLOCK LOC]],2,FALSE)),"")</f>
        <v/>
      </c>
      <c r="I2402" s="263" t="str">
        <f>IFERROR(AVERAGEIFS(RC_IN[MC],RC_IN[BLOCK],RC_OUT[BLOCK]),"")</f>
        <v/>
      </c>
      <c r="J2402" s="264">
        <f t="shared" si="54"/>
        <v>0</v>
      </c>
      <c r="K2402" s="246"/>
      <c r="L2402" s="246"/>
      <c r="M2402" s="249"/>
      <c r="N2402" s="266">
        <f t="shared" si="53"/>
        <v>0</v>
      </c>
      <c r="O2402" s="247"/>
      <c r="P2402" s="247"/>
      <c r="Q2402" s="247"/>
      <c r="R2402" s="247"/>
      <c r="S2402" s="247"/>
      <c r="T2402" s="247"/>
      <c r="U2402" s="247"/>
      <c r="V2402" s="247"/>
      <c r="W2402" s="247"/>
      <c r="X2402" s="247"/>
    </row>
    <row r="2403">
      <c r="A2403" s="294"/>
      <c r="B2403" s="295"/>
      <c r="C2403" s="295"/>
      <c r="D2403" s="296"/>
      <c r="E2403" s="295"/>
      <c r="F2403" s="292"/>
      <c r="G2403" s="293" t="str">
        <f>IFNA(IF(VLOOKUP(RC_OUT[BLOCK],RC_IN[[BLOCK]:[BLOCK LOC]],2,FALSE)=0,"",VLOOKUP(RC_OUT[BLOCK],RC_IN[[BLOCK]:[BLOCK LOC]],2,FALSE)),"")</f>
        <v/>
      </c>
      <c r="I2403" s="263" t="str">
        <f>IFERROR(AVERAGEIFS(RC_IN[MC],RC_IN[BLOCK],RC_OUT[BLOCK]),"")</f>
        <v/>
      </c>
      <c r="J2403" s="264">
        <f t="shared" si="54"/>
        <v>0</v>
      </c>
      <c r="K2403" s="246"/>
      <c r="L2403" s="246"/>
      <c r="M2403" s="249"/>
      <c r="N2403" s="266">
        <f t="shared" si="53"/>
        <v>0</v>
      </c>
      <c r="O2403" s="247"/>
      <c r="P2403" s="247"/>
      <c r="Q2403" s="247"/>
      <c r="R2403" s="247"/>
      <c r="S2403" s="247"/>
      <c r="T2403" s="247"/>
      <c r="U2403" s="247"/>
      <c r="V2403" s="247"/>
      <c r="W2403" s="247"/>
      <c r="X2403" s="247"/>
    </row>
    <row r="2404">
      <c r="A2404" s="294"/>
      <c r="B2404" s="295"/>
      <c r="C2404" s="295"/>
      <c r="D2404" s="296"/>
      <c r="E2404" s="295"/>
      <c r="F2404" s="292"/>
      <c r="G2404" s="293" t="str">
        <f>IFNA(IF(VLOOKUP(RC_OUT[BLOCK],RC_IN[[BLOCK]:[BLOCK LOC]],2,FALSE)=0,"",VLOOKUP(RC_OUT[BLOCK],RC_IN[[BLOCK]:[BLOCK LOC]],2,FALSE)),"")</f>
        <v/>
      </c>
      <c r="I2404" s="263" t="str">
        <f>IFERROR(AVERAGEIFS(RC_IN[MC],RC_IN[BLOCK],RC_OUT[BLOCK]),"")</f>
        <v/>
      </c>
      <c r="J2404" s="264">
        <f t="shared" si="54"/>
        <v>0</v>
      </c>
      <c r="K2404" s="246"/>
      <c r="L2404" s="246"/>
      <c r="M2404" s="249"/>
      <c r="N2404" s="266">
        <f t="shared" si="53"/>
        <v>0</v>
      </c>
      <c r="O2404" s="247"/>
      <c r="P2404" s="247"/>
      <c r="Q2404" s="247"/>
      <c r="R2404" s="247"/>
      <c r="S2404" s="247"/>
      <c r="T2404" s="247"/>
      <c r="U2404" s="247"/>
      <c r="V2404" s="247"/>
      <c r="W2404" s="247"/>
      <c r="X2404" s="247"/>
    </row>
    <row r="2405">
      <c r="A2405" s="294"/>
      <c r="B2405" s="295"/>
      <c r="C2405" s="295"/>
      <c r="D2405" s="296"/>
      <c r="E2405" s="295"/>
      <c r="F2405" s="292"/>
      <c r="G2405" s="293" t="str">
        <f>IFNA(IF(VLOOKUP(RC_OUT[BLOCK],RC_IN[[BLOCK]:[BLOCK LOC]],2,FALSE)=0,"",VLOOKUP(RC_OUT[BLOCK],RC_IN[[BLOCK]:[BLOCK LOC]],2,FALSE)),"")</f>
        <v/>
      </c>
      <c r="I2405" s="263" t="str">
        <f>IFERROR(AVERAGEIFS(RC_IN[MC],RC_IN[BLOCK],RC_OUT[BLOCK]),"")</f>
        <v/>
      </c>
      <c r="J2405" s="264">
        <f t="shared" si="54"/>
        <v>0</v>
      </c>
      <c r="K2405" s="246"/>
      <c r="L2405" s="246"/>
      <c r="M2405" s="249"/>
      <c r="N2405" s="266">
        <f t="shared" si="53"/>
        <v>0</v>
      </c>
      <c r="O2405" s="247"/>
      <c r="P2405" s="247"/>
      <c r="Q2405" s="247"/>
      <c r="R2405" s="247"/>
      <c r="S2405" s="247"/>
      <c r="T2405" s="247"/>
      <c r="U2405" s="247"/>
      <c r="V2405" s="247"/>
      <c r="W2405" s="247"/>
      <c r="X2405" s="247"/>
    </row>
    <row r="2406">
      <c r="A2406" s="294"/>
      <c r="B2406" s="295"/>
      <c r="C2406" s="295"/>
      <c r="D2406" s="296"/>
      <c r="E2406" s="295"/>
      <c r="F2406" s="292"/>
      <c r="G2406" s="293" t="str">
        <f>IFNA(IF(VLOOKUP(RC_OUT[BLOCK],RC_IN[[BLOCK]:[BLOCK LOC]],2,FALSE)=0,"",VLOOKUP(RC_OUT[BLOCK],RC_IN[[BLOCK]:[BLOCK LOC]],2,FALSE)),"")</f>
        <v/>
      </c>
      <c r="I2406" s="263" t="str">
        <f>IFERROR(AVERAGEIFS(RC_IN[MC],RC_IN[BLOCK],RC_OUT[BLOCK]),"")</f>
        <v/>
      </c>
      <c r="J2406" s="264">
        <f t="shared" si="54"/>
        <v>0</v>
      </c>
      <c r="K2406" s="246"/>
      <c r="L2406" s="246"/>
      <c r="M2406" s="249"/>
      <c r="N2406" s="266">
        <f t="shared" si="53"/>
        <v>0</v>
      </c>
      <c r="O2406" s="247"/>
      <c r="P2406" s="247"/>
      <c r="Q2406" s="247"/>
      <c r="R2406" s="247"/>
      <c r="S2406" s="247"/>
      <c r="T2406" s="247"/>
      <c r="U2406" s="247"/>
      <c r="V2406" s="247"/>
      <c r="W2406" s="247"/>
      <c r="X2406" s="247"/>
    </row>
    <row r="2407">
      <c r="A2407" s="294"/>
      <c r="B2407" s="295"/>
      <c r="C2407" s="295"/>
      <c r="D2407" s="296"/>
      <c r="E2407" s="295"/>
      <c r="F2407" s="292"/>
      <c r="G2407" s="293" t="str">
        <f>IFNA(IF(VLOOKUP(RC_OUT[BLOCK],RC_IN[[BLOCK]:[BLOCK LOC]],2,FALSE)=0,"",VLOOKUP(RC_OUT[BLOCK],RC_IN[[BLOCK]:[BLOCK LOC]],2,FALSE)),"")</f>
        <v/>
      </c>
      <c r="I2407" s="263" t="str">
        <f>IFERROR(AVERAGEIFS(RC_IN[MC],RC_IN[BLOCK],RC_OUT[BLOCK]),"")</f>
        <v/>
      </c>
      <c r="J2407" s="264">
        <f t="shared" si="54"/>
        <v>0</v>
      </c>
      <c r="K2407" s="246"/>
      <c r="L2407" s="246"/>
      <c r="M2407" s="249"/>
      <c r="N2407" s="266">
        <f t="shared" si="53"/>
        <v>0</v>
      </c>
      <c r="O2407" s="247"/>
      <c r="P2407" s="247"/>
      <c r="Q2407" s="247"/>
      <c r="R2407" s="247"/>
      <c r="S2407" s="247"/>
      <c r="T2407" s="247"/>
      <c r="U2407" s="247"/>
      <c r="V2407" s="247"/>
      <c r="W2407" s="247"/>
      <c r="X2407" s="247"/>
    </row>
    <row r="2408">
      <c r="A2408" s="294"/>
      <c r="B2408" s="295"/>
      <c r="C2408" s="295"/>
      <c r="D2408" s="296"/>
      <c r="E2408" s="295"/>
      <c r="F2408" s="292"/>
      <c r="G2408" s="293" t="str">
        <f>IFNA(IF(VLOOKUP(RC_OUT[BLOCK],RC_IN[[BLOCK]:[BLOCK LOC]],2,FALSE)=0,"",VLOOKUP(RC_OUT[BLOCK],RC_IN[[BLOCK]:[BLOCK LOC]],2,FALSE)),"")</f>
        <v/>
      </c>
      <c r="I2408" s="263" t="str">
        <f>IFERROR(AVERAGEIFS(RC_IN[MC],RC_IN[BLOCK],RC_OUT[BLOCK]),"")</f>
        <v/>
      </c>
      <c r="J2408" s="264">
        <f t="shared" si="54"/>
        <v>0</v>
      </c>
      <c r="K2408" s="246"/>
      <c r="L2408" s="246"/>
      <c r="M2408" s="249"/>
      <c r="N2408" s="266">
        <f t="shared" si="53"/>
        <v>0</v>
      </c>
      <c r="O2408" s="247"/>
      <c r="P2408" s="247"/>
      <c r="Q2408" s="247"/>
      <c r="R2408" s="247"/>
      <c r="S2408" s="247"/>
      <c r="T2408" s="247"/>
      <c r="U2408" s="247"/>
      <c r="V2408" s="247"/>
      <c r="W2408" s="247"/>
      <c r="X2408" s="247"/>
    </row>
    <row r="2409">
      <c r="A2409" s="294"/>
      <c r="B2409" s="295"/>
      <c r="C2409" s="295"/>
      <c r="D2409" s="296"/>
      <c r="E2409" s="295"/>
      <c r="F2409" s="292"/>
      <c r="G2409" s="293" t="str">
        <f>IFNA(IF(VLOOKUP(RC_OUT[BLOCK],RC_IN[[BLOCK]:[BLOCK LOC]],2,FALSE)=0,"",VLOOKUP(RC_OUT[BLOCK],RC_IN[[BLOCK]:[BLOCK LOC]],2,FALSE)),"")</f>
        <v/>
      </c>
      <c r="I2409" s="263" t="str">
        <f>IFERROR(AVERAGEIFS(RC_IN[MC],RC_IN[BLOCK],RC_OUT[BLOCK]),"")</f>
        <v/>
      </c>
      <c r="J2409" s="264">
        <f t="shared" si="54"/>
        <v>0</v>
      </c>
      <c r="K2409" s="246"/>
      <c r="L2409" s="246"/>
      <c r="M2409" s="249"/>
      <c r="N2409" s="266">
        <f t="shared" si="53"/>
        <v>0</v>
      </c>
      <c r="O2409" s="247"/>
      <c r="P2409" s="247"/>
      <c r="Q2409" s="247"/>
      <c r="R2409" s="247"/>
      <c r="S2409" s="247"/>
      <c r="T2409" s="247"/>
      <c r="U2409" s="247"/>
      <c r="V2409" s="247"/>
      <c r="W2409" s="247"/>
      <c r="X2409" s="247"/>
    </row>
    <row r="2410">
      <c r="A2410" s="294"/>
      <c r="B2410" s="295"/>
      <c r="C2410" s="295"/>
      <c r="D2410" s="296"/>
      <c r="E2410" s="295"/>
      <c r="F2410" s="292"/>
      <c r="G2410" s="293" t="str">
        <f>IFNA(IF(VLOOKUP(RC_OUT[BLOCK],RC_IN[[BLOCK]:[BLOCK LOC]],2,FALSE)=0,"",VLOOKUP(RC_OUT[BLOCK],RC_IN[[BLOCK]:[BLOCK LOC]],2,FALSE)),"")</f>
        <v/>
      </c>
      <c r="I2410" s="263" t="str">
        <f>IFERROR(AVERAGEIFS(RC_IN[MC],RC_IN[BLOCK],RC_OUT[BLOCK]),"")</f>
        <v/>
      </c>
      <c r="J2410" s="264">
        <f t="shared" si="54"/>
        <v>0</v>
      </c>
      <c r="K2410" s="246"/>
      <c r="L2410" s="246"/>
      <c r="M2410" s="249"/>
      <c r="N2410" s="266">
        <f t="shared" si="53"/>
        <v>0</v>
      </c>
      <c r="O2410" s="247"/>
      <c r="P2410" s="247"/>
      <c r="Q2410" s="247"/>
      <c r="R2410" s="247"/>
      <c r="S2410" s="247"/>
      <c r="T2410" s="247"/>
      <c r="U2410" s="247"/>
      <c r="V2410" s="247"/>
      <c r="W2410" s="247"/>
      <c r="X2410" s="247"/>
    </row>
    <row r="2411">
      <c r="A2411" s="294"/>
      <c r="B2411" s="295"/>
      <c r="C2411" s="295"/>
      <c r="D2411" s="296"/>
      <c r="E2411" s="295"/>
      <c r="F2411" s="292"/>
      <c r="G2411" s="293" t="str">
        <f>IFNA(IF(VLOOKUP(RC_OUT[BLOCK],RC_IN[[BLOCK]:[BLOCK LOC]],2,FALSE)=0,"",VLOOKUP(RC_OUT[BLOCK],RC_IN[[BLOCK]:[BLOCK LOC]],2,FALSE)),"")</f>
        <v/>
      </c>
      <c r="I2411" s="263" t="str">
        <f>IFERROR(AVERAGEIFS(RC_IN[MC],RC_IN[BLOCK],RC_OUT[BLOCK]),"")</f>
        <v/>
      </c>
      <c r="J2411" s="264">
        <f t="shared" si="54"/>
        <v>0</v>
      </c>
      <c r="K2411" s="246"/>
      <c r="L2411" s="246"/>
      <c r="M2411" s="249"/>
      <c r="N2411" s="266">
        <f t="shared" si="53"/>
        <v>0</v>
      </c>
      <c r="O2411" s="247"/>
      <c r="P2411" s="247"/>
      <c r="Q2411" s="247"/>
      <c r="R2411" s="247"/>
      <c r="S2411" s="247"/>
      <c r="T2411" s="247"/>
      <c r="U2411" s="247"/>
      <c r="V2411" s="247"/>
      <c r="W2411" s="247"/>
      <c r="X2411" s="247"/>
    </row>
    <row r="2412">
      <c r="A2412" s="294"/>
      <c r="B2412" s="295"/>
      <c r="C2412" s="295"/>
      <c r="D2412" s="296"/>
      <c r="E2412" s="295"/>
      <c r="F2412" s="292"/>
      <c r="G2412" s="293" t="str">
        <f>IFNA(IF(VLOOKUP(RC_OUT[BLOCK],RC_IN[[BLOCK]:[BLOCK LOC]],2,FALSE)=0,"",VLOOKUP(RC_OUT[BLOCK],RC_IN[[BLOCK]:[BLOCK LOC]],2,FALSE)),"")</f>
        <v/>
      </c>
      <c r="I2412" s="263" t="str">
        <f>IFERROR(AVERAGEIFS(RC_IN[MC],RC_IN[BLOCK],RC_OUT[BLOCK]),"")</f>
        <v/>
      </c>
      <c r="J2412" s="264">
        <f t="shared" si="54"/>
        <v>0</v>
      </c>
      <c r="K2412" s="246"/>
      <c r="L2412" s="246"/>
      <c r="M2412" s="249"/>
      <c r="N2412" s="266">
        <f t="shared" si="53"/>
        <v>0</v>
      </c>
      <c r="O2412" s="247"/>
      <c r="P2412" s="247"/>
      <c r="Q2412" s="247"/>
      <c r="R2412" s="247"/>
      <c r="S2412" s="247"/>
      <c r="T2412" s="247"/>
      <c r="U2412" s="247"/>
      <c r="V2412" s="247"/>
      <c r="W2412" s="247"/>
      <c r="X2412" s="247"/>
    </row>
    <row r="2413">
      <c r="A2413" s="294"/>
      <c r="B2413" s="295"/>
      <c r="C2413" s="295"/>
      <c r="D2413" s="296"/>
      <c r="E2413" s="295"/>
      <c r="F2413" s="292"/>
      <c r="G2413" s="293" t="str">
        <f>IFNA(IF(VLOOKUP(RC_OUT[BLOCK],RC_IN[[BLOCK]:[BLOCK LOC]],2,FALSE)=0,"",VLOOKUP(RC_OUT[BLOCK],RC_IN[[BLOCK]:[BLOCK LOC]],2,FALSE)),"")</f>
        <v/>
      </c>
      <c r="I2413" s="263" t="str">
        <f>IFERROR(AVERAGEIFS(RC_IN[MC],RC_IN[BLOCK],RC_OUT[BLOCK]),"")</f>
        <v/>
      </c>
      <c r="J2413" s="264">
        <f t="shared" si="54"/>
        <v>0</v>
      </c>
      <c r="K2413" s="246"/>
      <c r="L2413" s="246"/>
      <c r="M2413" s="249"/>
      <c r="N2413" s="266">
        <f t="shared" si="53"/>
        <v>0</v>
      </c>
      <c r="O2413" s="247"/>
      <c r="P2413" s="247"/>
      <c r="Q2413" s="247"/>
      <c r="R2413" s="247"/>
      <c r="S2413" s="247"/>
      <c r="T2413" s="247"/>
      <c r="U2413" s="247"/>
      <c r="V2413" s="247"/>
      <c r="W2413" s="247"/>
      <c r="X2413" s="247"/>
    </row>
    <row r="2414">
      <c r="A2414" s="294"/>
      <c r="B2414" s="295"/>
      <c r="C2414" s="295"/>
      <c r="D2414" s="296"/>
      <c r="E2414" s="295"/>
      <c r="F2414" s="292"/>
      <c r="G2414" s="293" t="str">
        <f>IFNA(IF(VLOOKUP(RC_OUT[BLOCK],RC_IN[[BLOCK]:[BLOCK LOC]],2,FALSE)=0,"",VLOOKUP(RC_OUT[BLOCK],RC_IN[[BLOCK]:[BLOCK LOC]],2,FALSE)),"")</f>
        <v/>
      </c>
      <c r="I2414" s="263" t="str">
        <f>IFERROR(AVERAGEIFS(RC_IN[MC],RC_IN[BLOCK],RC_OUT[BLOCK]),"")</f>
        <v/>
      </c>
      <c r="J2414" s="264">
        <f t="shared" si="54"/>
        <v>0</v>
      </c>
      <c r="K2414" s="246"/>
      <c r="L2414" s="246"/>
      <c r="M2414" s="249"/>
      <c r="N2414" s="266">
        <f t="shared" si="53"/>
        <v>0</v>
      </c>
      <c r="O2414" s="247"/>
      <c r="P2414" s="247"/>
      <c r="Q2414" s="247"/>
      <c r="R2414" s="247"/>
      <c r="S2414" s="247"/>
      <c r="T2414" s="247"/>
      <c r="U2414" s="247"/>
      <c r="V2414" s="247"/>
      <c r="W2414" s="247"/>
      <c r="X2414" s="247"/>
    </row>
    <row r="2415">
      <c r="A2415" s="294"/>
      <c r="B2415" s="295"/>
      <c r="C2415" s="295"/>
      <c r="D2415" s="296"/>
      <c r="E2415" s="295"/>
      <c r="F2415" s="292"/>
      <c r="G2415" s="293" t="str">
        <f>IFNA(IF(VLOOKUP(RC_OUT[BLOCK],RC_IN[[BLOCK]:[BLOCK LOC]],2,FALSE)=0,"",VLOOKUP(RC_OUT[BLOCK],RC_IN[[BLOCK]:[BLOCK LOC]],2,FALSE)),"")</f>
        <v/>
      </c>
      <c r="I2415" s="263" t="str">
        <f>IFERROR(AVERAGEIFS(RC_IN[MC],RC_IN[BLOCK],RC_OUT[BLOCK]),"")</f>
        <v/>
      </c>
      <c r="J2415" s="264">
        <f t="shared" si="54"/>
        <v>0</v>
      </c>
      <c r="K2415" s="246"/>
      <c r="L2415" s="246"/>
      <c r="M2415" s="249"/>
      <c r="N2415" s="266">
        <f t="shared" si="53"/>
        <v>0</v>
      </c>
      <c r="O2415" s="247"/>
      <c r="P2415" s="247"/>
      <c r="Q2415" s="247"/>
      <c r="R2415" s="247"/>
      <c r="S2415" s="247"/>
      <c r="T2415" s="247"/>
      <c r="U2415" s="247"/>
      <c r="V2415" s="247"/>
      <c r="W2415" s="247"/>
      <c r="X2415" s="247"/>
    </row>
    <row r="2416">
      <c r="A2416" s="294"/>
      <c r="B2416" s="295"/>
      <c r="C2416" s="295"/>
      <c r="D2416" s="296"/>
      <c r="E2416" s="295"/>
      <c r="F2416" s="292"/>
      <c r="G2416" s="293" t="str">
        <f>IFNA(IF(VLOOKUP(RC_OUT[BLOCK],RC_IN[[BLOCK]:[BLOCK LOC]],2,FALSE)=0,"",VLOOKUP(RC_OUT[BLOCK],RC_IN[[BLOCK]:[BLOCK LOC]],2,FALSE)),"")</f>
        <v/>
      </c>
      <c r="I2416" s="263" t="str">
        <f>IFERROR(AVERAGEIFS(RC_IN[MC],RC_IN[BLOCK],RC_OUT[BLOCK]),"")</f>
        <v/>
      </c>
      <c r="J2416" s="264">
        <f t="shared" si="54"/>
        <v>0</v>
      </c>
      <c r="K2416" s="246"/>
      <c r="L2416" s="246"/>
      <c r="M2416" s="249"/>
      <c r="N2416" s="266">
        <f t="shared" si="53"/>
        <v>0</v>
      </c>
      <c r="O2416" s="247"/>
      <c r="P2416" s="247"/>
      <c r="Q2416" s="247"/>
      <c r="R2416" s="247"/>
      <c r="S2416" s="247"/>
      <c r="T2416" s="247"/>
      <c r="U2416" s="247"/>
      <c r="V2416" s="247"/>
      <c r="W2416" s="247"/>
      <c r="X2416" s="247"/>
    </row>
    <row r="2417">
      <c r="A2417" s="294"/>
      <c r="B2417" s="295"/>
      <c r="C2417" s="295"/>
      <c r="D2417" s="296"/>
      <c r="E2417" s="295"/>
      <c r="F2417" s="292"/>
      <c r="G2417" s="293" t="str">
        <f>IFNA(IF(VLOOKUP(RC_OUT[BLOCK],RC_IN[[BLOCK]:[BLOCK LOC]],2,FALSE)=0,"",VLOOKUP(RC_OUT[BLOCK],RC_IN[[BLOCK]:[BLOCK LOC]],2,FALSE)),"")</f>
        <v/>
      </c>
      <c r="I2417" s="263" t="str">
        <f>IFERROR(AVERAGEIFS(RC_IN[MC],RC_IN[BLOCK],RC_OUT[BLOCK]),"")</f>
        <v/>
      </c>
      <c r="J2417" s="264">
        <f t="shared" si="54"/>
        <v>0</v>
      </c>
      <c r="K2417" s="246"/>
      <c r="L2417" s="246"/>
      <c r="M2417" s="249"/>
      <c r="N2417" s="266">
        <f t="shared" si="53"/>
        <v>0</v>
      </c>
      <c r="O2417" s="247"/>
      <c r="P2417" s="247"/>
      <c r="Q2417" s="247"/>
      <c r="R2417" s="247"/>
      <c r="S2417" s="247"/>
      <c r="T2417" s="247"/>
      <c r="U2417" s="247"/>
      <c r="V2417" s="247"/>
      <c r="W2417" s="247"/>
      <c r="X2417" s="247"/>
    </row>
    <row r="2418">
      <c r="A2418" s="294"/>
      <c r="B2418" s="295"/>
      <c r="C2418" s="295"/>
      <c r="D2418" s="296"/>
      <c r="E2418" s="295"/>
      <c r="F2418" s="292"/>
      <c r="G2418" s="293" t="str">
        <f>IFNA(IF(VLOOKUP(RC_OUT[BLOCK],RC_IN[[BLOCK]:[BLOCK LOC]],2,FALSE)=0,"",VLOOKUP(RC_OUT[BLOCK],RC_IN[[BLOCK]:[BLOCK LOC]],2,FALSE)),"")</f>
        <v/>
      </c>
      <c r="I2418" s="263" t="str">
        <f>IFERROR(AVERAGEIFS(RC_IN[MC],RC_IN[BLOCK],RC_OUT[BLOCK]),"")</f>
        <v/>
      </c>
      <c r="J2418" s="264">
        <f t="shared" si="54"/>
        <v>0</v>
      </c>
      <c r="K2418" s="246"/>
      <c r="L2418" s="246"/>
      <c r="M2418" s="249"/>
      <c r="N2418" s="266">
        <f t="shared" si="53"/>
        <v>0</v>
      </c>
      <c r="O2418" s="247"/>
      <c r="P2418" s="247"/>
      <c r="Q2418" s="247"/>
      <c r="R2418" s="247"/>
      <c r="S2418" s="247"/>
      <c r="T2418" s="247"/>
      <c r="U2418" s="247"/>
      <c r="V2418" s="247"/>
      <c r="W2418" s="247"/>
      <c r="X2418" s="247"/>
    </row>
    <row r="2419">
      <c r="A2419" s="294"/>
      <c r="B2419" s="295"/>
      <c r="C2419" s="295"/>
      <c r="D2419" s="296"/>
      <c r="E2419" s="295"/>
      <c r="F2419" s="292"/>
      <c r="G2419" s="293" t="str">
        <f>IFNA(IF(VLOOKUP(RC_OUT[BLOCK],RC_IN[[BLOCK]:[BLOCK LOC]],2,FALSE)=0,"",VLOOKUP(RC_OUT[BLOCK],RC_IN[[BLOCK]:[BLOCK LOC]],2,FALSE)),"")</f>
        <v/>
      </c>
      <c r="I2419" s="263" t="str">
        <f>IFERROR(AVERAGEIFS(RC_IN[MC],RC_IN[BLOCK],RC_OUT[BLOCK]),"")</f>
        <v/>
      </c>
      <c r="J2419" s="264">
        <f t="shared" si="54"/>
        <v>0</v>
      </c>
      <c r="K2419" s="246"/>
      <c r="L2419" s="246"/>
      <c r="M2419" s="249"/>
      <c r="N2419" s="266">
        <f t="shared" si="53"/>
        <v>0</v>
      </c>
      <c r="O2419" s="247"/>
      <c r="P2419" s="247"/>
      <c r="Q2419" s="247"/>
      <c r="R2419" s="247"/>
      <c r="S2419" s="247"/>
      <c r="T2419" s="247"/>
      <c r="U2419" s="247"/>
      <c r="V2419" s="247"/>
      <c r="W2419" s="247"/>
      <c r="X2419" s="247"/>
    </row>
    <row r="2420">
      <c r="A2420" s="294"/>
      <c r="B2420" s="295"/>
      <c r="C2420" s="295"/>
      <c r="D2420" s="296"/>
      <c r="E2420" s="295"/>
      <c r="F2420" s="292"/>
      <c r="G2420" s="293" t="str">
        <f>IFNA(IF(VLOOKUP(RC_OUT[BLOCK],RC_IN[[BLOCK]:[BLOCK LOC]],2,FALSE)=0,"",VLOOKUP(RC_OUT[BLOCK],RC_IN[[BLOCK]:[BLOCK LOC]],2,FALSE)),"")</f>
        <v/>
      </c>
      <c r="I2420" s="263" t="str">
        <f>IFERROR(AVERAGEIFS(RC_IN[MC],RC_IN[BLOCK],RC_OUT[BLOCK]),"")</f>
        <v/>
      </c>
      <c r="J2420" s="264">
        <f t="shared" si="54"/>
        <v>0</v>
      </c>
      <c r="K2420" s="246"/>
      <c r="L2420" s="246"/>
      <c r="M2420" s="249"/>
      <c r="N2420" s="266">
        <f t="shared" si="53"/>
        <v>0</v>
      </c>
      <c r="O2420" s="247"/>
      <c r="P2420" s="247"/>
      <c r="Q2420" s="247"/>
      <c r="R2420" s="247"/>
      <c r="S2420" s="247"/>
      <c r="T2420" s="247"/>
      <c r="U2420" s="247"/>
      <c r="V2420" s="247"/>
      <c r="W2420" s="247"/>
      <c r="X2420" s="247"/>
    </row>
    <row r="2421">
      <c r="A2421" s="294"/>
      <c r="B2421" s="295"/>
      <c r="C2421" s="295"/>
      <c r="D2421" s="296"/>
      <c r="E2421" s="295"/>
      <c r="F2421" s="292"/>
      <c r="G2421" s="293" t="str">
        <f>IFNA(IF(VLOOKUP(RC_OUT[BLOCK],RC_IN[[BLOCK]:[BLOCK LOC]],2,FALSE)=0,"",VLOOKUP(RC_OUT[BLOCK],RC_IN[[BLOCK]:[BLOCK LOC]],2,FALSE)),"")</f>
        <v/>
      </c>
      <c r="I2421" s="263" t="str">
        <f>IFERROR(AVERAGEIFS(RC_IN[MC],RC_IN[BLOCK],RC_OUT[BLOCK]),"")</f>
        <v/>
      </c>
      <c r="J2421" s="264">
        <f t="shared" si="54"/>
        <v>0</v>
      </c>
      <c r="K2421" s="246"/>
      <c r="L2421" s="246"/>
      <c r="M2421" s="249"/>
      <c r="N2421" s="266">
        <f t="shared" si="53"/>
        <v>0</v>
      </c>
      <c r="O2421" s="247"/>
      <c r="P2421" s="247"/>
      <c r="Q2421" s="247"/>
      <c r="R2421" s="247"/>
      <c r="S2421" s="247"/>
      <c r="T2421" s="247"/>
      <c r="U2421" s="247"/>
      <c r="V2421" s="247"/>
      <c r="W2421" s="247"/>
      <c r="X2421" s="247"/>
    </row>
    <row r="2422">
      <c r="A2422" s="294"/>
      <c r="B2422" s="295"/>
      <c r="C2422" s="295"/>
      <c r="D2422" s="296"/>
      <c r="E2422" s="295"/>
      <c r="F2422" s="292"/>
      <c r="G2422" s="293" t="str">
        <f>IFNA(IF(VLOOKUP(RC_OUT[BLOCK],RC_IN[[BLOCK]:[BLOCK LOC]],2,FALSE)=0,"",VLOOKUP(RC_OUT[BLOCK],RC_IN[[BLOCK]:[BLOCK LOC]],2,FALSE)),"")</f>
        <v/>
      </c>
      <c r="I2422" s="263" t="str">
        <f>IFERROR(AVERAGEIFS(RC_IN[MC],RC_IN[BLOCK],RC_OUT[BLOCK]),"")</f>
        <v/>
      </c>
      <c r="J2422" s="264">
        <f t="shared" si="54"/>
        <v>0</v>
      </c>
      <c r="K2422" s="246"/>
      <c r="L2422" s="246"/>
      <c r="M2422" s="249"/>
      <c r="N2422" s="266">
        <f t="shared" si="53"/>
        <v>0</v>
      </c>
      <c r="O2422" s="247"/>
      <c r="P2422" s="247"/>
      <c r="Q2422" s="247"/>
      <c r="R2422" s="247"/>
      <c r="S2422" s="247"/>
      <c r="T2422" s="247"/>
      <c r="U2422" s="247"/>
      <c r="V2422" s="247"/>
      <c r="W2422" s="247"/>
      <c r="X2422" s="247"/>
    </row>
    <row r="2423">
      <c r="A2423" s="294"/>
      <c r="B2423" s="295"/>
      <c r="C2423" s="295"/>
      <c r="D2423" s="296"/>
      <c r="E2423" s="295"/>
      <c r="F2423" s="292"/>
      <c r="G2423" s="293" t="str">
        <f>IFNA(IF(VLOOKUP(RC_OUT[BLOCK],RC_IN[[BLOCK]:[BLOCK LOC]],2,FALSE)=0,"",VLOOKUP(RC_OUT[BLOCK],RC_IN[[BLOCK]:[BLOCK LOC]],2,FALSE)),"")</f>
        <v/>
      </c>
      <c r="I2423" s="263" t="str">
        <f>IFERROR(AVERAGEIFS(RC_IN[MC],RC_IN[BLOCK],RC_OUT[BLOCK]),"")</f>
        <v/>
      </c>
      <c r="J2423" s="264">
        <f t="shared" si="54"/>
        <v>0</v>
      </c>
      <c r="K2423" s="246"/>
      <c r="L2423" s="246"/>
      <c r="M2423" s="249"/>
      <c r="N2423" s="266">
        <f t="shared" si="53"/>
        <v>0</v>
      </c>
      <c r="O2423" s="247"/>
      <c r="P2423" s="247"/>
      <c r="Q2423" s="247"/>
      <c r="R2423" s="247"/>
      <c r="S2423" s="247"/>
      <c r="T2423" s="247"/>
      <c r="U2423" s="247"/>
      <c r="V2423" s="247"/>
      <c r="W2423" s="247"/>
      <c r="X2423" s="247"/>
    </row>
    <row r="2424">
      <c r="A2424" s="294"/>
      <c r="B2424" s="295"/>
      <c r="C2424" s="295"/>
      <c r="D2424" s="296"/>
      <c r="E2424" s="295"/>
      <c r="F2424" s="292"/>
      <c r="G2424" s="293" t="str">
        <f>IFNA(IF(VLOOKUP(RC_OUT[BLOCK],RC_IN[[BLOCK]:[BLOCK LOC]],2,FALSE)=0,"",VLOOKUP(RC_OUT[BLOCK],RC_IN[[BLOCK]:[BLOCK LOC]],2,FALSE)),"")</f>
        <v/>
      </c>
      <c r="I2424" s="263" t="str">
        <f>IFERROR(AVERAGEIFS(RC_IN[MC],RC_IN[BLOCK],RC_OUT[BLOCK]),"")</f>
        <v/>
      </c>
      <c r="J2424" s="264">
        <f t="shared" si="54"/>
        <v>0</v>
      </c>
      <c r="K2424" s="246"/>
      <c r="L2424" s="246"/>
      <c r="M2424" s="249"/>
      <c r="N2424" s="266">
        <f t="shared" si="53"/>
        <v>0</v>
      </c>
      <c r="O2424" s="247"/>
      <c r="P2424" s="247"/>
      <c r="Q2424" s="247"/>
      <c r="R2424" s="247"/>
      <c r="S2424" s="247"/>
      <c r="T2424" s="247"/>
      <c r="U2424" s="247"/>
      <c r="V2424" s="247"/>
      <c r="W2424" s="247"/>
      <c r="X2424" s="247"/>
    </row>
    <row r="2425">
      <c r="A2425" s="294"/>
      <c r="B2425" s="295"/>
      <c r="C2425" s="295"/>
      <c r="D2425" s="296"/>
      <c r="E2425" s="295"/>
      <c r="F2425" s="292"/>
      <c r="G2425" s="293" t="str">
        <f>IFNA(IF(VLOOKUP(RC_OUT[BLOCK],RC_IN[[BLOCK]:[BLOCK LOC]],2,FALSE)=0,"",VLOOKUP(RC_OUT[BLOCK],RC_IN[[BLOCK]:[BLOCK LOC]],2,FALSE)),"")</f>
        <v/>
      </c>
      <c r="I2425" s="263" t="str">
        <f>IFERROR(AVERAGEIFS(RC_IN[MC],RC_IN[BLOCK],RC_OUT[BLOCK]),"")</f>
        <v/>
      </c>
      <c r="J2425" s="264">
        <f t="shared" si="54"/>
        <v>0</v>
      </c>
      <c r="K2425" s="246"/>
      <c r="L2425" s="246"/>
      <c r="M2425" s="249"/>
      <c r="N2425" s="266">
        <f t="shared" si="53"/>
        <v>0</v>
      </c>
      <c r="O2425" s="247"/>
      <c r="P2425" s="247"/>
      <c r="Q2425" s="247"/>
      <c r="R2425" s="247"/>
      <c r="S2425" s="247"/>
      <c r="T2425" s="247"/>
      <c r="U2425" s="247"/>
      <c r="V2425" s="247"/>
      <c r="W2425" s="247"/>
      <c r="X2425" s="247"/>
    </row>
    <row r="2426">
      <c r="A2426" s="294"/>
      <c r="B2426" s="295"/>
      <c r="C2426" s="295"/>
      <c r="D2426" s="296"/>
      <c r="E2426" s="295"/>
      <c r="F2426" s="292"/>
      <c r="G2426" s="293" t="str">
        <f>IFNA(IF(VLOOKUP(RC_OUT[BLOCK],RC_IN[[BLOCK]:[BLOCK LOC]],2,FALSE)=0,"",VLOOKUP(RC_OUT[BLOCK],RC_IN[[BLOCK]:[BLOCK LOC]],2,FALSE)),"")</f>
        <v/>
      </c>
      <c r="I2426" s="263" t="str">
        <f>IFERROR(AVERAGEIFS(RC_IN[MC],RC_IN[BLOCK],RC_OUT[BLOCK]),"")</f>
        <v/>
      </c>
      <c r="J2426" s="264">
        <f t="shared" si="54"/>
        <v>0</v>
      </c>
      <c r="K2426" s="246"/>
      <c r="L2426" s="246"/>
      <c r="M2426" s="249"/>
      <c r="N2426" s="266">
        <f t="shared" si="53"/>
        <v>0</v>
      </c>
      <c r="O2426" s="247"/>
      <c r="P2426" s="247"/>
      <c r="Q2426" s="247"/>
      <c r="R2426" s="247"/>
      <c r="S2426" s="247"/>
      <c r="T2426" s="247"/>
      <c r="U2426" s="247"/>
      <c r="V2426" s="247"/>
      <c r="W2426" s="247"/>
      <c r="X2426" s="247"/>
    </row>
    <row r="2427">
      <c r="A2427" s="294"/>
      <c r="B2427" s="295"/>
      <c r="C2427" s="295"/>
      <c r="D2427" s="296"/>
      <c r="E2427" s="295"/>
      <c r="F2427" s="292"/>
      <c r="G2427" s="293" t="str">
        <f>IFNA(IF(VLOOKUP(RC_OUT[BLOCK],RC_IN[[BLOCK]:[BLOCK LOC]],2,FALSE)=0,"",VLOOKUP(RC_OUT[BLOCK],RC_IN[[BLOCK]:[BLOCK LOC]],2,FALSE)),"")</f>
        <v/>
      </c>
      <c r="I2427" s="263" t="str">
        <f>IFERROR(AVERAGEIFS(RC_IN[MC],RC_IN[BLOCK],RC_OUT[BLOCK]),"")</f>
        <v/>
      </c>
      <c r="J2427" s="264">
        <f t="shared" si="54"/>
        <v>0</v>
      </c>
      <c r="K2427" s="246"/>
      <c r="L2427" s="246"/>
      <c r="M2427" s="249"/>
      <c r="N2427" s="266">
        <f t="shared" si="53"/>
        <v>0</v>
      </c>
      <c r="O2427" s="247"/>
      <c r="P2427" s="247"/>
      <c r="Q2427" s="247"/>
      <c r="R2427" s="247"/>
      <c r="S2427" s="247"/>
      <c r="T2427" s="247"/>
      <c r="U2427" s="247"/>
      <c r="V2427" s="247"/>
      <c r="W2427" s="247"/>
      <c r="X2427" s="247"/>
    </row>
    <row r="2428">
      <c r="A2428" s="294"/>
      <c r="B2428" s="295"/>
      <c r="C2428" s="295"/>
      <c r="D2428" s="296"/>
      <c r="E2428" s="295"/>
      <c r="F2428" s="292"/>
      <c r="G2428" s="293" t="str">
        <f>IFNA(IF(VLOOKUP(RC_OUT[BLOCK],RC_IN[[BLOCK]:[BLOCK LOC]],2,FALSE)=0,"",VLOOKUP(RC_OUT[BLOCK],RC_IN[[BLOCK]:[BLOCK LOC]],2,FALSE)),"")</f>
        <v/>
      </c>
      <c r="I2428" s="263" t="str">
        <f>IFERROR(AVERAGEIFS(RC_IN[MC],RC_IN[BLOCK],RC_OUT[BLOCK]),"")</f>
        <v/>
      </c>
      <c r="J2428" s="264">
        <f t="shared" si="54"/>
        <v>0</v>
      </c>
      <c r="K2428" s="246"/>
      <c r="L2428" s="246"/>
      <c r="M2428" s="249"/>
      <c r="N2428" s="266">
        <f t="shared" si="53"/>
        <v>0</v>
      </c>
      <c r="O2428" s="247"/>
      <c r="P2428" s="247"/>
      <c r="Q2428" s="247"/>
      <c r="R2428" s="247"/>
      <c r="S2428" s="247"/>
      <c r="T2428" s="247"/>
      <c r="U2428" s="247"/>
      <c r="V2428" s="247"/>
      <c r="W2428" s="247"/>
      <c r="X2428" s="247"/>
    </row>
    <row r="2429">
      <c r="A2429" s="294"/>
      <c r="B2429" s="295"/>
      <c r="C2429" s="295"/>
      <c r="D2429" s="296"/>
      <c r="E2429" s="295"/>
      <c r="F2429" s="292"/>
      <c r="G2429" s="293" t="str">
        <f>IFNA(IF(VLOOKUP(RC_OUT[BLOCK],RC_IN[[BLOCK]:[BLOCK LOC]],2,FALSE)=0,"",VLOOKUP(RC_OUT[BLOCK],RC_IN[[BLOCK]:[BLOCK LOC]],2,FALSE)),"")</f>
        <v/>
      </c>
      <c r="I2429" s="263" t="str">
        <f>IFERROR(AVERAGEIFS(RC_IN[MC],RC_IN[BLOCK],RC_OUT[BLOCK]),"")</f>
        <v/>
      </c>
      <c r="J2429" s="264">
        <f t="shared" si="54"/>
        <v>0</v>
      </c>
      <c r="K2429" s="246"/>
      <c r="L2429" s="246"/>
      <c r="M2429" s="249"/>
      <c r="N2429" s="266">
        <f t="shared" si="53"/>
        <v>0</v>
      </c>
      <c r="O2429" s="247"/>
      <c r="P2429" s="247"/>
      <c r="Q2429" s="247"/>
      <c r="R2429" s="247"/>
      <c r="S2429" s="247"/>
      <c r="T2429" s="247"/>
      <c r="U2429" s="247"/>
      <c r="V2429" s="247"/>
      <c r="W2429" s="247"/>
      <c r="X2429" s="247"/>
    </row>
    <row r="2430">
      <c r="A2430" s="294"/>
      <c r="B2430" s="295"/>
      <c r="C2430" s="295"/>
      <c r="D2430" s="296"/>
      <c r="E2430" s="295"/>
      <c r="F2430" s="292"/>
      <c r="G2430" s="293" t="str">
        <f>IFNA(IF(VLOOKUP(RC_OUT[BLOCK],RC_IN[[BLOCK]:[BLOCK LOC]],2,FALSE)=0,"",VLOOKUP(RC_OUT[BLOCK],RC_IN[[BLOCK]:[BLOCK LOC]],2,FALSE)),"")</f>
        <v/>
      </c>
      <c r="I2430" s="263" t="str">
        <f>IFERROR(AVERAGEIFS(RC_IN[MC],RC_IN[BLOCK],RC_OUT[BLOCK]),"")</f>
        <v/>
      </c>
      <c r="J2430" s="264">
        <f t="shared" si="54"/>
        <v>0</v>
      </c>
      <c r="K2430" s="246"/>
      <c r="L2430" s="246"/>
      <c r="M2430" s="249"/>
      <c r="N2430" s="266">
        <f t="shared" si="53"/>
        <v>0</v>
      </c>
      <c r="O2430" s="247"/>
      <c r="P2430" s="247"/>
      <c r="Q2430" s="247"/>
      <c r="R2430" s="247"/>
      <c r="S2430" s="247"/>
      <c r="T2430" s="247"/>
      <c r="U2430" s="247"/>
      <c r="V2430" s="247"/>
      <c r="W2430" s="247"/>
      <c r="X2430" s="247"/>
    </row>
    <row r="2431">
      <c r="A2431" s="294"/>
      <c r="B2431" s="295"/>
      <c r="C2431" s="295"/>
      <c r="D2431" s="296"/>
      <c r="E2431" s="295"/>
      <c r="F2431" s="292"/>
      <c r="G2431" s="293" t="str">
        <f>IFNA(IF(VLOOKUP(RC_OUT[BLOCK],RC_IN[[BLOCK]:[BLOCK LOC]],2,FALSE)=0,"",VLOOKUP(RC_OUT[BLOCK],RC_IN[[BLOCK]:[BLOCK LOC]],2,FALSE)),"")</f>
        <v/>
      </c>
      <c r="I2431" s="263" t="str">
        <f>IFERROR(AVERAGEIFS(RC_IN[MC],RC_IN[BLOCK],RC_OUT[BLOCK]),"")</f>
        <v/>
      </c>
      <c r="J2431" s="264">
        <f t="shared" si="54"/>
        <v>0</v>
      </c>
      <c r="K2431" s="246"/>
      <c r="L2431" s="246"/>
      <c r="M2431" s="249"/>
      <c r="N2431" s="266">
        <f t="shared" si="53"/>
        <v>0</v>
      </c>
      <c r="O2431" s="247"/>
      <c r="P2431" s="247"/>
      <c r="Q2431" s="247"/>
      <c r="R2431" s="247"/>
      <c r="S2431" s="247"/>
      <c r="T2431" s="247"/>
      <c r="U2431" s="247"/>
      <c r="V2431" s="247"/>
      <c r="W2431" s="247"/>
      <c r="X2431" s="247"/>
    </row>
    <row r="2432">
      <c r="A2432" s="294"/>
      <c r="B2432" s="295"/>
      <c r="C2432" s="295"/>
      <c r="D2432" s="296"/>
      <c r="E2432" s="295"/>
      <c r="F2432" s="292"/>
      <c r="G2432" s="293" t="str">
        <f>IFNA(IF(VLOOKUP(RC_OUT[BLOCK],RC_IN[[BLOCK]:[BLOCK LOC]],2,FALSE)=0,"",VLOOKUP(RC_OUT[BLOCK],RC_IN[[BLOCK]:[BLOCK LOC]],2,FALSE)),"")</f>
        <v/>
      </c>
      <c r="I2432" s="263" t="str">
        <f>IFERROR(AVERAGEIFS(RC_IN[MC],RC_IN[BLOCK],RC_OUT[BLOCK]),"")</f>
        <v/>
      </c>
      <c r="J2432" s="264">
        <f t="shared" si="54"/>
        <v>0</v>
      </c>
      <c r="K2432" s="246"/>
      <c r="L2432" s="246"/>
      <c r="M2432" s="249"/>
      <c r="N2432" s="266">
        <f t="shared" si="53"/>
        <v>0</v>
      </c>
      <c r="O2432" s="247"/>
      <c r="P2432" s="247"/>
      <c r="Q2432" s="247"/>
      <c r="R2432" s="247"/>
      <c r="S2432" s="247"/>
      <c r="T2432" s="247"/>
      <c r="U2432" s="247"/>
      <c r="V2432" s="247"/>
      <c r="W2432" s="247"/>
      <c r="X2432" s="247"/>
    </row>
    <row r="2433">
      <c r="A2433" s="294"/>
      <c r="B2433" s="295"/>
      <c r="C2433" s="295"/>
      <c r="D2433" s="296"/>
      <c r="E2433" s="295"/>
      <c r="F2433" s="292"/>
      <c r="G2433" s="293" t="str">
        <f>IFNA(IF(VLOOKUP(RC_OUT[BLOCK],RC_IN[[BLOCK]:[BLOCK LOC]],2,FALSE)=0,"",VLOOKUP(RC_OUT[BLOCK],RC_IN[[BLOCK]:[BLOCK LOC]],2,FALSE)),"")</f>
        <v/>
      </c>
      <c r="I2433" s="263" t="str">
        <f>IFERROR(AVERAGEIFS(RC_IN[MC],RC_IN[BLOCK],RC_OUT[BLOCK]),"")</f>
        <v/>
      </c>
      <c r="J2433" s="264">
        <f t="shared" si="54"/>
        <v>0</v>
      </c>
      <c r="K2433" s="246"/>
      <c r="L2433" s="246"/>
      <c r="M2433" s="249"/>
      <c r="N2433" s="266">
        <f t="shared" si="53"/>
        <v>0</v>
      </c>
      <c r="O2433" s="247"/>
      <c r="P2433" s="247"/>
      <c r="Q2433" s="247"/>
      <c r="R2433" s="247"/>
      <c r="S2433" s="247"/>
      <c r="T2433" s="247"/>
      <c r="U2433" s="247"/>
      <c r="V2433" s="247"/>
      <c r="W2433" s="247"/>
      <c r="X2433" s="247"/>
    </row>
    <row r="2434">
      <c r="A2434" s="294"/>
      <c r="B2434" s="295"/>
      <c r="C2434" s="295"/>
      <c r="D2434" s="296"/>
      <c r="E2434" s="295"/>
      <c r="F2434" s="292"/>
      <c r="G2434" s="293" t="str">
        <f>IFNA(IF(VLOOKUP(RC_OUT[BLOCK],RC_IN[[BLOCK]:[BLOCK LOC]],2,FALSE)=0,"",VLOOKUP(RC_OUT[BLOCK],RC_IN[[BLOCK]:[BLOCK LOC]],2,FALSE)),"")</f>
        <v/>
      </c>
      <c r="I2434" s="263" t="str">
        <f>IFERROR(AVERAGEIFS(RC_IN[MC],RC_IN[BLOCK],RC_OUT[BLOCK]),"")</f>
        <v/>
      </c>
      <c r="J2434" s="264">
        <f t="shared" si="54"/>
        <v>0</v>
      </c>
      <c r="K2434" s="246"/>
      <c r="L2434" s="246"/>
      <c r="M2434" s="249"/>
      <c r="N2434" s="266">
        <f t="shared" si="53"/>
        <v>0</v>
      </c>
      <c r="O2434" s="247"/>
      <c r="P2434" s="247"/>
      <c r="Q2434" s="247"/>
      <c r="R2434" s="247"/>
      <c r="S2434" s="247"/>
      <c r="T2434" s="247"/>
      <c r="U2434" s="247"/>
      <c r="V2434" s="247"/>
      <c r="W2434" s="247"/>
      <c r="X2434" s="247"/>
    </row>
    <row r="2435">
      <c r="A2435" s="294"/>
      <c r="B2435" s="295"/>
      <c r="C2435" s="295"/>
      <c r="D2435" s="296"/>
      <c r="E2435" s="295"/>
      <c r="F2435" s="292"/>
      <c r="G2435" s="293" t="str">
        <f>IFNA(IF(VLOOKUP(RC_OUT[BLOCK],RC_IN[[BLOCK]:[BLOCK LOC]],2,FALSE)=0,"",VLOOKUP(RC_OUT[BLOCK],RC_IN[[BLOCK]:[BLOCK LOC]],2,FALSE)),"")</f>
        <v/>
      </c>
      <c r="I2435" s="263" t="str">
        <f>IFERROR(AVERAGEIFS(RC_IN[MC],RC_IN[BLOCK],RC_OUT[BLOCK]),"")</f>
        <v/>
      </c>
      <c r="J2435" s="264">
        <f t="shared" si="54"/>
        <v>0</v>
      </c>
      <c r="K2435" s="246"/>
      <c r="L2435" s="246"/>
      <c r="M2435" s="249"/>
      <c r="N2435" s="266">
        <f t="shared" si="53"/>
        <v>0</v>
      </c>
      <c r="O2435" s="247"/>
      <c r="P2435" s="247"/>
      <c r="Q2435" s="247"/>
      <c r="R2435" s="247"/>
      <c r="S2435" s="247"/>
      <c r="T2435" s="247"/>
      <c r="U2435" s="247"/>
      <c r="V2435" s="247"/>
      <c r="W2435" s="247"/>
      <c r="X2435" s="247"/>
    </row>
    <row r="2436">
      <c r="A2436" s="294"/>
      <c r="B2436" s="295"/>
      <c r="C2436" s="295"/>
      <c r="D2436" s="296"/>
      <c r="E2436" s="295"/>
      <c r="F2436" s="292"/>
      <c r="G2436" s="293" t="str">
        <f>IFNA(IF(VLOOKUP(RC_OUT[BLOCK],RC_IN[[BLOCK]:[BLOCK LOC]],2,FALSE)=0,"",VLOOKUP(RC_OUT[BLOCK],RC_IN[[BLOCK]:[BLOCK LOC]],2,FALSE)),"")</f>
        <v/>
      </c>
      <c r="I2436" s="263" t="str">
        <f>IFERROR(AVERAGEIFS(RC_IN[MC],RC_IN[BLOCK],RC_OUT[BLOCK]),"")</f>
        <v/>
      </c>
      <c r="J2436" s="264">
        <f t="shared" si="54"/>
        <v>0</v>
      </c>
      <c r="K2436" s="246"/>
      <c r="L2436" s="246"/>
      <c r="M2436" s="249"/>
      <c r="N2436" s="266">
        <f t="shared" si="53"/>
        <v>0</v>
      </c>
      <c r="O2436" s="247"/>
      <c r="P2436" s="247"/>
      <c r="Q2436" s="247"/>
      <c r="R2436" s="247"/>
      <c r="S2436" s="247"/>
      <c r="T2436" s="247"/>
      <c r="U2436" s="247"/>
      <c r="V2436" s="247"/>
      <c r="W2436" s="247"/>
      <c r="X2436" s="247"/>
    </row>
    <row r="2437">
      <c r="A2437" s="294"/>
      <c r="B2437" s="295"/>
      <c r="C2437" s="295"/>
      <c r="D2437" s="296"/>
      <c r="E2437" s="295"/>
      <c r="F2437" s="292"/>
      <c r="G2437" s="293" t="str">
        <f>IFNA(IF(VLOOKUP(RC_OUT[BLOCK],RC_IN[[BLOCK]:[BLOCK LOC]],2,FALSE)=0,"",VLOOKUP(RC_OUT[BLOCK],RC_IN[[BLOCK]:[BLOCK LOC]],2,FALSE)),"")</f>
        <v/>
      </c>
      <c r="I2437" s="263" t="str">
        <f>IFERROR(AVERAGEIFS(RC_IN[MC],RC_IN[BLOCK],RC_OUT[BLOCK]),"")</f>
        <v/>
      </c>
      <c r="J2437" s="264">
        <f t="shared" si="54"/>
        <v>0</v>
      </c>
      <c r="K2437" s="246"/>
      <c r="L2437" s="246"/>
      <c r="M2437" s="249"/>
      <c r="N2437" s="266">
        <f t="shared" si="53"/>
        <v>0</v>
      </c>
      <c r="O2437" s="247"/>
      <c r="P2437" s="247"/>
      <c r="Q2437" s="247"/>
      <c r="R2437" s="247"/>
      <c r="S2437" s="247"/>
      <c r="T2437" s="247"/>
      <c r="U2437" s="247"/>
      <c r="V2437" s="247"/>
      <c r="W2437" s="247"/>
      <c r="X2437" s="247"/>
    </row>
    <row r="2438">
      <c r="A2438" s="294"/>
      <c r="B2438" s="295"/>
      <c r="C2438" s="295"/>
      <c r="D2438" s="296"/>
      <c r="E2438" s="295"/>
      <c r="F2438" s="292"/>
      <c r="G2438" s="293" t="str">
        <f>IFNA(IF(VLOOKUP(RC_OUT[BLOCK],RC_IN[[BLOCK]:[BLOCK LOC]],2,FALSE)=0,"",VLOOKUP(RC_OUT[BLOCK],RC_IN[[BLOCK]:[BLOCK LOC]],2,FALSE)),"")</f>
        <v/>
      </c>
      <c r="I2438" s="263" t="str">
        <f>IFERROR(AVERAGEIFS(RC_IN[MC],RC_IN[BLOCK],RC_OUT[BLOCK]),"")</f>
        <v/>
      </c>
      <c r="J2438" s="264">
        <f t="shared" si="54"/>
        <v>0</v>
      </c>
      <c r="K2438" s="246"/>
      <c r="L2438" s="246"/>
      <c r="M2438" s="249"/>
      <c r="N2438" s="266">
        <f t="shared" si="53"/>
        <v>0</v>
      </c>
      <c r="O2438" s="247"/>
      <c r="P2438" s="247"/>
      <c r="Q2438" s="247"/>
      <c r="R2438" s="247"/>
      <c r="S2438" s="247"/>
      <c r="T2438" s="247"/>
      <c r="U2438" s="247"/>
      <c r="V2438" s="247"/>
      <c r="W2438" s="247"/>
      <c r="X2438" s="247"/>
    </row>
    <row r="2439">
      <c r="A2439" s="294"/>
      <c r="B2439" s="295"/>
      <c r="C2439" s="295"/>
      <c r="D2439" s="296"/>
      <c r="E2439" s="295"/>
      <c r="F2439" s="292"/>
      <c r="G2439" s="293" t="str">
        <f>IFNA(IF(VLOOKUP(RC_OUT[BLOCK],RC_IN[[BLOCK]:[BLOCK LOC]],2,FALSE)=0,"",VLOOKUP(RC_OUT[BLOCK],RC_IN[[BLOCK]:[BLOCK LOC]],2,FALSE)),"")</f>
        <v/>
      </c>
      <c r="I2439" s="263" t="str">
        <f>IFERROR(AVERAGEIFS(RC_IN[MC],RC_IN[BLOCK],RC_OUT[BLOCK]),"")</f>
        <v/>
      </c>
      <c r="J2439" s="264">
        <f t="shared" si="54"/>
        <v>0</v>
      </c>
      <c r="K2439" s="246"/>
      <c r="L2439" s="246"/>
      <c r="M2439" s="249"/>
      <c r="N2439" s="266">
        <f t="shared" si="53"/>
        <v>0</v>
      </c>
      <c r="O2439" s="247"/>
      <c r="P2439" s="247"/>
      <c r="Q2439" s="247"/>
      <c r="R2439" s="247"/>
      <c r="S2439" s="247"/>
      <c r="T2439" s="247"/>
      <c r="U2439" s="247"/>
      <c r="V2439" s="247"/>
      <c r="W2439" s="247"/>
      <c r="X2439" s="247"/>
    </row>
    <row r="2440">
      <c r="A2440" s="294"/>
      <c r="B2440" s="295"/>
      <c r="C2440" s="295"/>
      <c r="D2440" s="296"/>
      <c r="E2440" s="295"/>
      <c r="F2440" s="292"/>
      <c r="G2440" s="293" t="str">
        <f>IFNA(IF(VLOOKUP(RC_OUT[BLOCK],RC_IN[[BLOCK]:[BLOCK LOC]],2,FALSE)=0,"",VLOOKUP(RC_OUT[BLOCK],RC_IN[[BLOCK]:[BLOCK LOC]],2,FALSE)),"")</f>
        <v/>
      </c>
      <c r="I2440" s="263" t="str">
        <f>IFERROR(AVERAGEIFS(RC_IN[MC],RC_IN[BLOCK],RC_OUT[BLOCK]),"")</f>
        <v/>
      </c>
      <c r="J2440" s="264">
        <f t="shared" si="54"/>
        <v>0</v>
      </c>
      <c r="K2440" s="246"/>
      <c r="L2440" s="246"/>
      <c r="M2440" s="249"/>
      <c r="N2440" s="266">
        <f t="shared" si="53"/>
        <v>0</v>
      </c>
      <c r="O2440" s="247"/>
      <c r="P2440" s="247"/>
      <c r="Q2440" s="247"/>
      <c r="R2440" s="247"/>
      <c r="S2440" s="247"/>
      <c r="T2440" s="247"/>
      <c r="U2440" s="247"/>
      <c r="V2440" s="247"/>
      <c r="W2440" s="247"/>
      <c r="X2440" s="247"/>
    </row>
    <row r="2441">
      <c r="A2441" s="294"/>
      <c r="B2441" s="295"/>
      <c r="C2441" s="295"/>
      <c r="D2441" s="296"/>
      <c r="E2441" s="295"/>
      <c r="F2441" s="292"/>
      <c r="G2441" s="293" t="str">
        <f>IFNA(IF(VLOOKUP(RC_OUT[BLOCK],RC_IN[[BLOCK]:[BLOCK LOC]],2,FALSE)=0,"",VLOOKUP(RC_OUT[BLOCK],RC_IN[[BLOCK]:[BLOCK LOC]],2,FALSE)),"")</f>
        <v/>
      </c>
      <c r="I2441" s="263" t="str">
        <f>IFERROR(AVERAGEIFS(RC_IN[MC],RC_IN[BLOCK],RC_OUT[BLOCK]),"")</f>
        <v/>
      </c>
      <c r="J2441" s="264">
        <f t="shared" si="54"/>
        <v>0</v>
      </c>
      <c r="K2441" s="246"/>
      <c r="L2441" s="246"/>
      <c r="M2441" s="249"/>
      <c r="N2441" s="266">
        <f t="shared" si="53"/>
        <v>0</v>
      </c>
      <c r="O2441" s="247"/>
      <c r="P2441" s="247"/>
      <c r="Q2441" s="247"/>
      <c r="R2441" s="247"/>
      <c r="S2441" s="247"/>
      <c r="T2441" s="247"/>
      <c r="U2441" s="247"/>
      <c r="V2441" s="247"/>
      <c r="W2441" s="247"/>
      <c r="X2441" s="247"/>
    </row>
    <row r="2442">
      <c r="A2442" s="294"/>
      <c r="B2442" s="295"/>
      <c r="C2442" s="295"/>
      <c r="D2442" s="296"/>
      <c r="E2442" s="295"/>
      <c r="F2442" s="292"/>
      <c r="G2442" s="293" t="str">
        <f>IFNA(IF(VLOOKUP(RC_OUT[BLOCK],RC_IN[[BLOCK]:[BLOCK LOC]],2,FALSE)=0,"",VLOOKUP(RC_OUT[BLOCK],RC_IN[[BLOCK]:[BLOCK LOC]],2,FALSE)),"")</f>
        <v/>
      </c>
      <c r="I2442" s="263" t="str">
        <f>IFERROR(AVERAGEIFS(RC_IN[MC],RC_IN[BLOCK],RC_OUT[BLOCK]),"")</f>
        <v/>
      </c>
      <c r="J2442" s="264">
        <f t="shared" si="54"/>
        <v>0</v>
      </c>
      <c r="K2442" s="246"/>
      <c r="L2442" s="246"/>
      <c r="M2442" s="249"/>
      <c r="N2442" s="266">
        <f t="shared" si="53"/>
        <v>0</v>
      </c>
      <c r="O2442" s="247"/>
      <c r="P2442" s="247"/>
      <c r="Q2442" s="247"/>
      <c r="R2442" s="247"/>
      <c r="S2442" s="247"/>
      <c r="T2442" s="247"/>
      <c r="U2442" s="247"/>
      <c r="V2442" s="247"/>
      <c r="W2442" s="247"/>
      <c r="X2442" s="247"/>
    </row>
    <row r="2443">
      <c r="A2443" s="294"/>
      <c r="B2443" s="295"/>
      <c r="C2443" s="295"/>
      <c r="D2443" s="296"/>
      <c r="E2443" s="295"/>
      <c r="F2443" s="292"/>
      <c r="G2443" s="293" t="str">
        <f>IFNA(IF(VLOOKUP(RC_OUT[BLOCK],RC_IN[[BLOCK]:[BLOCK LOC]],2,FALSE)=0,"",VLOOKUP(RC_OUT[BLOCK],RC_IN[[BLOCK]:[BLOCK LOC]],2,FALSE)),"")</f>
        <v/>
      </c>
      <c r="I2443" s="263" t="str">
        <f>IFERROR(AVERAGEIFS(RC_IN[MC],RC_IN[BLOCK],RC_OUT[BLOCK]),"")</f>
        <v/>
      </c>
      <c r="J2443" s="264">
        <f t="shared" si="54"/>
        <v>0</v>
      </c>
      <c r="K2443" s="246"/>
      <c r="L2443" s="246"/>
      <c r="M2443" s="249"/>
      <c r="N2443" s="266">
        <f t="shared" si="53"/>
        <v>0</v>
      </c>
      <c r="O2443" s="247"/>
      <c r="P2443" s="247"/>
      <c r="Q2443" s="247"/>
      <c r="R2443" s="247"/>
      <c r="S2443" s="247"/>
      <c r="T2443" s="247"/>
      <c r="U2443" s="247"/>
      <c r="V2443" s="247"/>
      <c r="W2443" s="247"/>
      <c r="X2443" s="247"/>
    </row>
    <row r="2444">
      <c r="A2444" s="294"/>
      <c r="B2444" s="295"/>
      <c r="C2444" s="295"/>
      <c r="D2444" s="296"/>
      <c r="E2444" s="295"/>
      <c r="F2444" s="292"/>
      <c r="G2444" s="293" t="str">
        <f>IFNA(IF(VLOOKUP(RC_OUT[BLOCK],RC_IN[[BLOCK]:[BLOCK LOC]],2,FALSE)=0,"",VLOOKUP(RC_OUT[BLOCK],RC_IN[[BLOCK]:[BLOCK LOC]],2,FALSE)),"")</f>
        <v/>
      </c>
      <c r="I2444" s="263" t="str">
        <f>IFERROR(AVERAGEIFS(RC_IN[MC],RC_IN[BLOCK],RC_OUT[BLOCK]),"")</f>
        <v/>
      </c>
      <c r="J2444" s="264">
        <f t="shared" si="54"/>
        <v>0</v>
      </c>
      <c r="K2444" s="246"/>
      <c r="L2444" s="246"/>
      <c r="M2444" s="249"/>
      <c r="N2444" s="266">
        <f t="shared" si="53"/>
        <v>0</v>
      </c>
      <c r="O2444" s="247"/>
      <c r="P2444" s="247"/>
      <c r="Q2444" s="247"/>
      <c r="R2444" s="247"/>
      <c r="S2444" s="247"/>
      <c r="T2444" s="247"/>
      <c r="U2444" s="247"/>
      <c r="V2444" s="247"/>
      <c r="W2444" s="247"/>
      <c r="X2444" s="247"/>
    </row>
    <row r="2445">
      <c r="A2445" s="294"/>
      <c r="B2445" s="295"/>
      <c r="C2445" s="295"/>
      <c r="D2445" s="296"/>
      <c r="E2445" s="295"/>
      <c r="F2445" s="292"/>
      <c r="G2445" s="293" t="str">
        <f>IFNA(IF(VLOOKUP(RC_OUT[BLOCK],RC_IN[[BLOCK]:[BLOCK LOC]],2,FALSE)=0,"",VLOOKUP(RC_OUT[BLOCK],RC_IN[[BLOCK]:[BLOCK LOC]],2,FALSE)),"")</f>
        <v/>
      </c>
      <c r="I2445" s="263" t="str">
        <f>IFERROR(AVERAGEIFS(RC_IN[MC],RC_IN[BLOCK],RC_OUT[BLOCK]),"")</f>
        <v/>
      </c>
      <c r="J2445" s="264">
        <f t="shared" si="54"/>
        <v>0</v>
      </c>
      <c r="K2445" s="246"/>
      <c r="L2445" s="246"/>
      <c r="M2445" s="249"/>
      <c r="N2445" s="266">
        <f t="shared" si="53"/>
        <v>0</v>
      </c>
      <c r="O2445" s="247"/>
      <c r="P2445" s="247"/>
      <c r="Q2445" s="247"/>
      <c r="R2445" s="247"/>
      <c r="S2445" s="247"/>
      <c r="T2445" s="247"/>
      <c r="U2445" s="247"/>
      <c r="V2445" s="247"/>
      <c r="W2445" s="247"/>
      <c r="X2445" s="247"/>
    </row>
    <row r="2446">
      <c r="A2446" s="294"/>
      <c r="B2446" s="295"/>
      <c r="C2446" s="295"/>
      <c r="D2446" s="296"/>
      <c r="E2446" s="295"/>
      <c r="F2446" s="292"/>
      <c r="G2446" s="293" t="str">
        <f>IFNA(IF(VLOOKUP(RC_OUT[BLOCK],RC_IN[[BLOCK]:[BLOCK LOC]],2,FALSE)=0,"",VLOOKUP(RC_OUT[BLOCK],RC_IN[[BLOCK]:[BLOCK LOC]],2,FALSE)),"")</f>
        <v/>
      </c>
      <c r="I2446" s="263" t="str">
        <f>IFERROR(AVERAGEIFS(RC_IN[MC],RC_IN[BLOCK],RC_OUT[BLOCK]),"")</f>
        <v/>
      </c>
      <c r="J2446" s="264">
        <f t="shared" si="54"/>
        <v>0</v>
      </c>
      <c r="K2446" s="246"/>
      <c r="L2446" s="246"/>
      <c r="M2446" s="249"/>
      <c r="N2446" s="266">
        <f t="shared" si="53"/>
        <v>0</v>
      </c>
      <c r="O2446" s="247"/>
      <c r="P2446" s="247"/>
      <c r="Q2446" s="247"/>
      <c r="R2446" s="247"/>
      <c r="S2446" s="247"/>
      <c r="T2446" s="247"/>
      <c r="U2446" s="247"/>
      <c r="V2446" s="247"/>
      <c r="W2446" s="247"/>
      <c r="X2446" s="247"/>
    </row>
    <row r="2447">
      <c r="A2447" s="294"/>
      <c r="B2447" s="295"/>
      <c r="C2447" s="295"/>
      <c r="D2447" s="296"/>
      <c r="E2447" s="295"/>
      <c r="F2447" s="292"/>
      <c r="G2447" s="293" t="str">
        <f>IFNA(IF(VLOOKUP(RC_OUT[BLOCK],RC_IN[[BLOCK]:[BLOCK LOC]],2,FALSE)=0,"",VLOOKUP(RC_OUT[BLOCK],RC_IN[[BLOCK]:[BLOCK LOC]],2,FALSE)),"")</f>
        <v/>
      </c>
      <c r="I2447" s="263" t="str">
        <f>IFERROR(AVERAGEIFS(RC_IN[MC],RC_IN[BLOCK],RC_OUT[BLOCK]),"")</f>
        <v/>
      </c>
      <c r="J2447" s="264">
        <f t="shared" si="54"/>
        <v>0</v>
      </c>
      <c r="K2447" s="246"/>
      <c r="L2447" s="246"/>
      <c r="M2447" s="249"/>
      <c r="N2447" s="266">
        <f t="shared" si="53"/>
        <v>0</v>
      </c>
      <c r="O2447" s="247"/>
      <c r="P2447" s="247"/>
      <c r="Q2447" s="247"/>
      <c r="R2447" s="247"/>
      <c r="S2447" s="247"/>
      <c r="T2447" s="247"/>
      <c r="U2447" s="247"/>
      <c r="V2447" s="247"/>
      <c r="W2447" s="247"/>
      <c r="X2447" s="247"/>
    </row>
    <row r="2448">
      <c r="A2448" s="294"/>
      <c r="B2448" s="295"/>
      <c r="C2448" s="295"/>
      <c r="D2448" s="296"/>
      <c r="E2448" s="295"/>
      <c r="F2448" s="292"/>
      <c r="G2448" s="293" t="str">
        <f>IFNA(IF(VLOOKUP(RC_OUT[BLOCK],RC_IN[[BLOCK]:[BLOCK LOC]],2,FALSE)=0,"",VLOOKUP(RC_OUT[BLOCK],RC_IN[[BLOCK]:[BLOCK LOC]],2,FALSE)),"")</f>
        <v/>
      </c>
      <c r="I2448" s="263" t="str">
        <f>IFERROR(AVERAGEIFS(RC_IN[MC],RC_IN[BLOCK],RC_OUT[BLOCK]),"")</f>
        <v/>
      </c>
      <c r="J2448" s="264">
        <f t="shared" si="54"/>
        <v>0</v>
      </c>
      <c r="K2448" s="246"/>
      <c r="L2448" s="246"/>
      <c r="M2448" s="249"/>
      <c r="N2448" s="266">
        <f t="shared" si="53"/>
        <v>0</v>
      </c>
      <c r="O2448" s="247"/>
      <c r="P2448" s="247"/>
      <c r="Q2448" s="247"/>
      <c r="R2448" s="247"/>
      <c r="S2448" s="247"/>
      <c r="T2448" s="247"/>
      <c r="U2448" s="247"/>
      <c r="V2448" s="247"/>
      <c r="W2448" s="247"/>
      <c r="X2448" s="247"/>
    </row>
    <row r="2449">
      <c r="A2449" s="294"/>
      <c r="B2449" s="295"/>
      <c r="C2449" s="295"/>
      <c r="D2449" s="296"/>
      <c r="E2449" s="295"/>
      <c r="F2449" s="292"/>
      <c r="G2449" s="293" t="str">
        <f>IFNA(IF(VLOOKUP(RC_OUT[BLOCK],RC_IN[[BLOCK]:[BLOCK LOC]],2,FALSE)=0,"",VLOOKUP(RC_OUT[BLOCK],RC_IN[[BLOCK]:[BLOCK LOC]],2,FALSE)),"")</f>
        <v/>
      </c>
      <c r="I2449" s="263" t="str">
        <f>IFERROR(AVERAGEIFS(RC_IN[MC],RC_IN[BLOCK],RC_OUT[BLOCK]),"")</f>
        <v/>
      </c>
      <c r="J2449" s="264">
        <f t="shared" si="54"/>
        <v>0</v>
      </c>
      <c r="K2449" s="246"/>
      <c r="L2449" s="246"/>
      <c r="M2449" s="249"/>
      <c r="N2449" s="266">
        <f t="shared" si="53"/>
        <v>0</v>
      </c>
      <c r="O2449" s="247"/>
      <c r="P2449" s="247"/>
      <c r="Q2449" s="247"/>
      <c r="R2449" s="247"/>
      <c r="S2449" s="247"/>
      <c r="T2449" s="247"/>
      <c r="U2449" s="247"/>
      <c r="V2449" s="247"/>
      <c r="W2449" s="247"/>
      <c r="X2449" s="247"/>
    </row>
    <row r="2450">
      <c r="A2450" s="294"/>
      <c r="B2450" s="295"/>
      <c r="C2450" s="295"/>
      <c r="D2450" s="296"/>
      <c r="E2450" s="295"/>
      <c r="F2450" s="292"/>
      <c r="G2450" s="293" t="str">
        <f>IFNA(IF(VLOOKUP(RC_OUT[BLOCK],RC_IN[[BLOCK]:[BLOCK LOC]],2,FALSE)=0,"",VLOOKUP(RC_OUT[BLOCK],RC_IN[[BLOCK]:[BLOCK LOC]],2,FALSE)),"")</f>
        <v/>
      </c>
      <c r="I2450" s="263" t="str">
        <f>IFERROR(AVERAGEIFS(RC_IN[MC],RC_IN[BLOCK],RC_OUT[BLOCK]),"")</f>
        <v/>
      </c>
      <c r="J2450" s="264">
        <f t="shared" si="54"/>
        <v>0</v>
      </c>
      <c r="K2450" s="246"/>
      <c r="L2450" s="246"/>
      <c r="M2450" s="249"/>
      <c r="N2450" s="266">
        <f t="shared" si="53"/>
        <v>0</v>
      </c>
      <c r="O2450" s="247"/>
      <c r="P2450" s="247"/>
      <c r="Q2450" s="247"/>
      <c r="R2450" s="247"/>
      <c r="S2450" s="247"/>
      <c r="T2450" s="247"/>
      <c r="U2450" s="247"/>
      <c r="V2450" s="247"/>
      <c r="W2450" s="247"/>
      <c r="X2450" s="247"/>
    </row>
    <row r="2451">
      <c r="A2451" s="294"/>
      <c r="B2451" s="295"/>
      <c r="C2451" s="295"/>
      <c r="D2451" s="296"/>
      <c r="E2451" s="295"/>
      <c r="F2451" s="292"/>
      <c r="G2451" s="293" t="str">
        <f>IFNA(IF(VLOOKUP(RC_OUT[BLOCK],RC_IN[[BLOCK]:[BLOCK LOC]],2,FALSE)=0,"",VLOOKUP(RC_OUT[BLOCK],RC_IN[[BLOCK]:[BLOCK LOC]],2,FALSE)),"")</f>
        <v/>
      </c>
      <c r="I2451" s="263" t="str">
        <f>IFERROR(AVERAGEIFS(RC_IN[MC],RC_IN[BLOCK],RC_OUT[BLOCK]),"")</f>
        <v/>
      </c>
      <c r="J2451" s="264">
        <f t="shared" si="54"/>
        <v>0</v>
      </c>
      <c r="K2451" s="246"/>
      <c r="L2451" s="246"/>
      <c r="M2451" s="249"/>
      <c r="N2451" s="266">
        <f t="shared" si="53"/>
        <v>0</v>
      </c>
      <c r="O2451" s="247"/>
      <c r="P2451" s="247"/>
      <c r="Q2451" s="247"/>
      <c r="R2451" s="247"/>
      <c r="S2451" s="247"/>
      <c r="T2451" s="247"/>
      <c r="U2451" s="247"/>
      <c r="V2451" s="247"/>
      <c r="W2451" s="247"/>
      <c r="X2451" s="247"/>
    </row>
    <row r="2452">
      <c r="A2452" s="294"/>
      <c r="B2452" s="295"/>
      <c r="C2452" s="295"/>
      <c r="D2452" s="296"/>
      <c r="E2452" s="295"/>
      <c r="F2452" s="292"/>
      <c r="G2452" s="293" t="str">
        <f>IFNA(IF(VLOOKUP(RC_OUT[BLOCK],RC_IN[[BLOCK]:[BLOCK LOC]],2,FALSE)=0,"",VLOOKUP(RC_OUT[BLOCK],RC_IN[[BLOCK]:[BLOCK LOC]],2,FALSE)),"")</f>
        <v/>
      </c>
      <c r="I2452" s="263" t="str">
        <f>IFERROR(AVERAGEIFS(RC_IN[MC],RC_IN[BLOCK],RC_OUT[BLOCK]),"")</f>
        <v/>
      </c>
      <c r="J2452" s="264">
        <f t="shared" si="54"/>
        <v>0</v>
      </c>
      <c r="K2452" s="246"/>
      <c r="L2452" s="246"/>
      <c r="M2452" s="249"/>
      <c r="N2452" s="266">
        <f t="shared" si="53"/>
        <v>0</v>
      </c>
      <c r="O2452" s="247"/>
      <c r="P2452" s="247"/>
      <c r="Q2452" s="247"/>
      <c r="R2452" s="247"/>
      <c r="S2452" s="247"/>
      <c r="T2452" s="247"/>
      <c r="U2452" s="247"/>
      <c r="V2452" s="247"/>
      <c r="W2452" s="247"/>
      <c r="X2452" s="247"/>
    </row>
    <row r="2453">
      <c r="A2453" s="294"/>
      <c r="B2453" s="295"/>
      <c r="C2453" s="295"/>
      <c r="D2453" s="296"/>
      <c r="E2453" s="295"/>
      <c r="F2453" s="292"/>
      <c r="G2453" s="293" t="str">
        <f>IFNA(IF(VLOOKUP(RC_OUT[BLOCK],RC_IN[[BLOCK]:[BLOCK LOC]],2,FALSE)=0,"",VLOOKUP(RC_OUT[BLOCK],RC_IN[[BLOCK]:[BLOCK LOC]],2,FALSE)),"")</f>
        <v/>
      </c>
      <c r="I2453" s="263" t="str">
        <f>IFERROR(AVERAGEIFS(RC_IN[MC],RC_IN[BLOCK],RC_OUT[BLOCK]),"")</f>
        <v/>
      </c>
      <c r="J2453" s="264">
        <f t="shared" si="54"/>
        <v>0</v>
      </c>
      <c r="K2453" s="246"/>
      <c r="L2453" s="246"/>
      <c r="M2453" s="249"/>
      <c r="N2453" s="266">
        <f t="shared" si="53"/>
        <v>0</v>
      </c>
      <c r="O2453" s="247"/>
      <c r="P2453" s="247"/>
      <c r="Q2453" s="247"/>
      <c r="R2453" s="247"/>
      <c r="S2453" s="247"/>
      <c r="T2453" s="247"/>
      <c r="U2453" s="247"/>
      <c r="V2453" s="247"/>
      <c r="W2453" s="247"/>
      <c r="X2453" s="247"/>
    </row>
    <row r="2454">
      <c r="A2454" s="294"/>
      <c r="B2454" s="295"/>
      <c r="C2454" s="295"/>
      <c r="D2454" s="296"/>
      <c r="E2454" s="295"/>
      <c r="F2454" s="292"/>
      <c r="G2454" s="293" t="str">
        <f>IFNA(IF(VLOOKUP(RC_OUT[BLOCK],RC_IN[[BLOCK]:[BLOCK LOC]],2,FALSE)=0,"",VLOOKUP(RC_OUT[BLOCK],RC_IN[[BLOCK]:[BLOCK LOC]],2,FALSE)),"")</f>
        <v/>
      </c>
      <c r="I2454" s="263" t="str">
        <f>IFERROR(AVERAGEIFS(RC_IN[MC],RC_IN[BLOCK],RC_OUT[BLOCK]),"")</f>
        <v/>
      </c>
      <c r="J2454" s="264">
        <f t="shared" si="54"/>
        <v>0</v>
      </c>
      <c r="K2454" s="246"/>
      <c r="L2454" s="246"/>
      <c r="M2454" s="249"/>
      <c r="N2454" s="266">
        <f t="shared" si="53"/>
        <v>0</v>
      </c>
      <c r="O2454" s="247"/>
      <c r="P2454" s="247"/>
      <c r="Q2454" s="247"/>
      <c r="R2454" s="247"/>
      <c r="S2454" s="247"/>
      <c r="T2454" s="247"/>
      <c r="U2454" s="247"/>
      <c r="V2454" s="247"/>
      <c r="W2454" s="247"/>
      <c r="X2454" s="247"/>
    </row>
    <row r="2455">
      <c r="A2455" s="294"/>
      <c r="B2455" s="295"/>
      <c r="C2455" s="295"/>
      <c r="D2455" s="296"/>
      <c r="E2455" s="295"/>
      <c r="F2455" s="292"/>
      <c r="G2455" s="293" t="str">
        <f>IFNA(IF(VLOOKUP(RC_OUT[BLOCK],RC_IN[[BLOCK]:[BLOCK LOC]],2,FALSE)=0,"",VLOOKUP(RC_OUT[BLOCK],RC_IN[[BLOCK]:[BLOCK LOC]],2,FALSE)),"")</f>
        <v/>
      </c>
      <c r="I2455" s="263" t="str">
        <f>IFERROR(AVERAGEIFS(RC_IN[MC],RC_IN[BLOCK],RC_OUT[BLOCK]),"")</f>
        <v/>
      </c>
      <c r="J2455" s="264">
        <f t="shared" si="54"/>
        <v>0</v>
      </c>
      <c r="K2455" s="246"/>
      <c r="L2455" s="246"/>
      <c r="M2455" s="249"/>
      <c r="N2455" s="266">
        <f t="shared" si="53"/>
        <v>0</v>
      </c>
      <c r="O2455" s="247"/>
      <c r="P2455" s="247"/>
      <c r="Q2455" s="247"/>
      <c r="R2455" s="247"/>
      <c r="S2455" s="247"/>
      <c r="T2455" s="247"/>
      <c r="U2455" s="247"/>
      <c r="V2455" s="247"/>
      <c r="W2455" s="247"/>
      <c r="X2455" s="247"/>
    </row>
    <row r="2456">
      <c r="A2456" s="294"/>
      <c r="B2456" s="295"/>
      <c r="C2456" s="295"/>
      <c r="D2456" s="296"/>
      <c r="E2456" s="295"/>
      <c r="F2456" s="292"/>
      <c r="G2456" s="293" t="str">
        <f>IFNA(IF(VLOOKUP(RC_OUT[BLOCK],RC_IN[[BLOCK]:[BLOCK LOC]],2,FALSE)=0,"",VLOOKUP(RC_OUT[BLOCK],RC_IN[[BLOCK]:[BLOCK LOC]],2,FALSE)),"")</f>
        <v/>
      </c>
      <c r="I2456" s="263" t="str">
        <f>IFERROR(AVERAGEIFS(RC_IN[MC],RC_IN[BLOCK],RC_OUT[BLOCK]),"")</f>
        <v/>
      </c>
      <c r="J2456" s="264">
        <f t="shared" si="54"/>
        <v>0</v>
      </c>
      <c r="K2456" s="246"/>
      <c r="L2456" s="246"/>
      <c r="M2456" s="249"/>
      <c r="N2456" s="266">
        <f t="shared" si="53"/>
        <v>0</v>
      </c>
      <c r="O2456" s="247"/>
      <c r="P2456" s="247"/>
      <c r="Q2456" s="247"/>
      <c r="R2456" s="247"/>
      <c r="S2456" s="247"/>
      <c r="T2456" s="247"/>
      <c r="U2456" s="247"/>
      <c r="V2456" s="247"/>
      <c r="W2456" s="247"/>
      <c r="X2456" s="247"/>
    </row>
    <row r="2457">
      <c r="A2457" s="294"/>
      <c r="B2457" s="295"/>
      <c r="C2457" s="295"/>
      <c r="D2457" s="296"/>
      <c r="E2457" s="295"/>
      <c r="F2457" s="292"/>
      <c r="G2457" s="293" t="str">
        <f>IFNA(IF(VLOOKUP(RC_OUT[BLOCK],RC_IN[[BLOCK]:[BLOCK LOC]],2,FALSE)=0,"",VLOOKUP(RC_OUT[BLOCK],RC_IN[[BLOCK]:[BLOCK LOC]],2,FALSE)),"")</f>
        <v/>
      </c>
      <c r="I2457" s="263" t="str">
        <f>IFERROR(AVERAGEIFS(RC_IN[MC],RC_IN[BLOCK],RC_OUT[BLOCK]),"")</f>
        <v/>
      </c>
      <c r="J2457" s="264">
        <f t="shared" si="54"/>
        <v>0</v>
      </c>
      <c r="K2457" s="246"/>
      <c r="L2457" s="246"/>
      <c r="M2457" s="249"/>
      <c r="N2457" s="266">
        <f t="shared" si="53"/>
        <v>0</v>
      </c>
      <c r="O2457" s="247"/>
      <c r="P2457" s="247"/>
      <c r="Q2457" s="247"/>
      <c r="R2457" s="247"/>
      <c r="S2457" s="247"/>
      <c r="T2457" s="247"/>
      <c r="U2457" s="247"/>
      <c r="V2457" s="247"/>
      <c r="W2457" s="247"/>
      <c r="X2457" s="247"/>
    </row>
    <row r="2458">
      <c r="A2458" s="294"/>
      <c r="B2458" s="295"/>
      <c r="C2458" s="295"/>
      <c r="D2458" s="296"/>
      <c r="E2458" s="295"/>
      <c r="F2458" s="292"/>
      <c r="G2458" s="293" t="str">
        <f>IFNA(IF(VLOOKUP(RC_OUT[BLOCK],RC_IN[[BLOCK]:[BLOCK LOC]],2,FALSE)=0,"",VLOOKUP(RC_OUT[BLOCK],RC_IN[[BLOCK]:[BLOCK LOC]],2,FALSE)),"")</f>
        <v/>
      </c>
      <c r="I2458" s="263" t="str">
        <f>IFERROR(AVERAGEIFS(RC_IN[MC],RC_IN[BLOCK],RC_OUT[BLOCK]),"")</f>
        <v/>
      </c>
      <c r="J2458" s="264">
        <f t="shared" si="54"/>
        <v>0</v>
      </c>
      <c r="K2458" s="246"/>
      <c r="L2458" s="246"/>
      <c r="M2458" s="249"/>
      <c r="N2458" s="266">
        <f t="shared" si="53"/>
        <v>0</v>
      </c>
      <c r="O2458" s="247"/>
      <c r="P2458" s="247"/>
      <c r="Q2458" s="247"/>
      <c r="R2458" s="247"/>
      <c r="S2458" s="247"/>
      <c r="T2458" s="247"/>
      <c r="U2458" s="247"/>
      <c r="V2458" s="247"/>
      <c r="W2458" s="247"/>
      <c r="X2458" s="247"/>
    </row>
    <row r="2459">
      <c r="A2459" s="294"/>
      <c r="B2459" s="295"/>
      <c r="C2459" s="295"/>
      <c r="D2459" s="296"/>
      <c r="E2459" s="295"/>
      <c r="F2459" s="292"/>
      <c r="G2459" s="293" t="str">
        <f>IFNA(IF(VLOOKUP(RC_OUT[BLOCK],RC_IN[[BLOCK]:[BLOCK LOC]],2,FALSE)=0,"",VLOOKUP(RC_OUT[BLOCK],RC_IN[[BLOCK]:[BLOCK LOC]],2,FALSE)),"")</f>
        <v/>
      </c>
      <c r="I2459" s="263" t="str">
        <f>IFERROR(AVERAGEIFS(RC_IN[MC],RC_IN[BLOCK],RC_OUT[BLOCK]),"")</f>
        <v/>
      </c>
      <c r="J2459" s="264">
        <f t="shared" si="54"/>
        <v>0</v>
      </c>
      <c r="K2459" s="246"/>
      <c r="L2459" s="246"/>
      <c r="M2459" s="249"/>
      <c r="N2459" s="266">
        <f t="shared" si="53"/>
        <v>0</v>
      </c>
      <c r="O2459" s="247"/>
      <c r="P2459" s="247"/>
      <c r="Q2459" s="247"/>
      <c r="R2459" s="247"/>
      <c r="S2459" s="247"/>
      <c r="T2459" s="247"/>
      <c r="U2459" s="247"/>
      <c r="V2459" s="247"/>
      <c r="W2459" s="247"/>
      <c r="X2459" s="247"/>
    </row>
    <row r="2460">
      <c r="A2460" s="294"/>
      <c r="B2460" s="295"/>
      <c r="C2460" s="295"/>
      <c r="D2460" s="296"/>
      <c r="E2460" s="295"/>
      <c r="F2460" s="292"/>
      <c r="G2460" s="293" t="str">
        <f>IFNA(IF(VLOOKUP(RC_OUT[BLOCK],RC_IN[[BLOCK]:[BLOCK LOC]],2,FALSE)=0,"",VLOOKUP(RC_OUT[BLOCK],RC_IN[[BLOCK]:[BLOCK LOC]],2,FALSE)),"")</f>
        <v/>
      </c>
      <c r="I2460" s="263" t="str">
        <f>IFERROR(AVERAGEIFS(RC_IN[MC],RC_IN[BLOCK],RC_OUT[BLOCK]),"")</f>
        <v/>
      </c>
      <c r="J2460" s="264">
        <f t="shared" si="54"/>
        <v>0</v>
      </c>
      <c r="K2460" s="246"/>
      <c r="L2460" s="246"/>
      <c r="M2460" s="249"/>
      <c r="N2460" s="266">
        <f t="shared" si="53"/>
        <v>0</v>
      </c>
      <c r="O2460" s="247"/>
      <c r="P2460" s="247"/>
      <c r="Q2460" s="247"/>
      <c r="R2460" s="247"/>
      <c r="S2460" s="247"/>
      <c r="T2460" s="247"/>
      <c r="U2460" s="247"/>
      <c r="V2460" s="247"/>
      <c r="W2460" s="247"/>
      <c r="X2460" s="247"/>
    </row>
    <row r="2461">
      <c r="A2461" s="294"/>
      <c r="B2461" s="295"/>
      <c r="C2461" s="295"/>
      <c r="D2461" s="296"/>
      <c r="E2461" s="295"/>
      <c r="F2461" s="292"/>
      <c r="G2461" s="293" t="str">
        <f>IFNA(IF(VLOOKUP(RC_OUT[BLOCK],RC_IN[[BLOCK]:[BLOCK LOC]],2,FALSE)=0,"",VLOOKUP(RC_OUT[BLOCK],RC_IN[[BLOCK]:[BLOCK LOC]],2,FALSE)),"")</f>
        <v/>
      </c>
      <c r="I2461" s="263" t="str">
        <f>IFERROR(AVERAGEIFS(RC_IN[MC],RC_IN[BLOCK],RC_OUT[BLOCK]),"")</f>
        <v/>
      </c>
      <c r="J2461" s="264">
        <f t="shared" si="54"/>
        <v>0</v>
      </c>
      <c r="K2461" s="246"/>
      <c r="L2461" s="246"/>
      <c r="M2461" s="249"/>
      <c r="N2461" s="266">
        <f t="shared" si="53"/>
        <v>0</v>
      </c>
      <c r="O2461" s="247"/>
      <c r="P2461" s="247"/>
      <c r="Q2461" s="247"/>
      <c r="R2461" s="247"/>
      <c r="S2461" s="247"/>
      <c r="T2461" s="247"/>
      <c r="U2461" s="247"/>
      <c r="V2461" s="247"/>
      <c r="W2461" s="247"/>
      <c r="X2461" s="247"/>
    </row>
    <row r="2462">
      <c r="A2462" s="294"/>
      <c r="B2462" s="295"/>
      <c r="C2462" s="295"/>
      <c r="D2462" s="296"/>
      <c r="E2462" s="295"/>
      <c r="F2462" s="292"/>
      <c r="G2462" s="293" t="str">
        <f>IFNA(IF(VLOOKUP(RC_OUT[BLOCK],RC_IN[[BLOCK]:[BLOCK LOC]],2,FALSE)=0,"",VLOOKUP(RC_OUT[BLOCK],RC_IN[[BLOCK]:[BLOCK LOC]],2,FALSE)),"")</f>
        <v/>
      </c>
      <c r="I2462" s="263" t="str">
        <f>IFERROR(AVERAGEIFS(RC_IN[MC],RC_IN[BLOCK],RC_OUT[BLOCK]),"")</f>
        <v/>
      </c>
      <c r="J2462" s="264">
        <f t="shared" si="54"/>
        <v>0</v>
      </c>
      <c r="K2462" s="246"/>
      <c r="L2462" s="246"/>
      <c r="M2462" s="249"/>
      <c r="N2462" s="266">
        <f t="shared" si="53"/>
        <v>0</v>
      </c>
      <c r="O2462" s="247"/>
      <c r="P2462" s="247"/>
      <c r="Q2462" s="247"/>
      <c r="R2462" s="247"/>
      <c r="S2462" s="247"/>
      <c r="T2462" s="247"/>
      <c r="U2462" s="247"/>
      <c r="V2462" s="247"/>
      <c r="W2462" s="247"/>
      <c r="X2462" s="247"/>
    </row>
    <row r="2463">
      <c r="A2463" s="294"/>
      <c r="B2463" s="295"/>
      <c r="C2463" s="295"/>
      <c r="D2463" s="296"/>
      <c r="E2463" s="295"/>
      <c r="F2463" s="292"/>
      <c r="G2463" s="293" t="str">
        <f>IFNA(IF(VLOOKUP(RC_OUT[BLOCK],RC_IN[[BLOCK]:[BLOCK LOC]],2,FALSE)=0,"",VLOOKUP(RC_OUT[BLOCK],RC_IN[[BLOCK]:[BLOCK LOC]],2,FALSE)),"")</f>
        <v/>
      </c>
      <c r="I2463" s="263" t="str">
        <f>IFERROR(AVERAGEIFS(RC_IN[MC],RC_IN[BLOCK],RC_OUT[BLOCK]),"")</f>
        <v/>
      </c>
      <c r="J2463" s="264">
        <f t="shared" si="54"/>
        <v>0</v>
      </c>
      <c r="K2463" s="246"/>
      <c r="L2463" s="246"/>
      <c r="M2463" s="249"/>
      <c r="N2463" s="266">
        <f t="shared" si="53"/>
        <v>0</v>
      </c>
      <c r="O2463" s="247"/>
      <c r="P2463" s="247"/>
      <c r="Q2463" s="247"/>
      <c r="R2463" s="247"/>
      <c r="S2463" s="247"/>
      <c r="T2463" s="247"/>
      <c r="U2463" s="247"/>
      <c r="V2463" s="247"/>
      <c r="W2463" s="247"/>
      <c r="X2463" s="247"/>
    </row>
    <row r="2464">
      <c r="A2464" s="294"/>
      <c r="B2464" s="295"/>
      <c r="C2464" s="295"/>
      <c r="D2464" s="296"/>
      <c r="E2464" s="295"/>
      <c r="F2464" s="292"/>
      <c r="G2464" s="293" t="str">
        <f>IFNA(IF(VLOOKUP(RC_OUT[BLOCK],RC_IN[[BLOCK]:[BLOCK LOC]],2,FALSE)=0,"",VLOOKUP(RC_OUT[BLOCK],RC_IN[[BLOCK]:[BLOCK LOC]],2,FALSE)),"")</f>
        <v/>
      </c>
      <c r="I2464" s="263" t="str">
        <f>IFERROR(AVERAGEIFS(RC_IN[MC],RC_IN[BLOCK],RC_OUT[BLOCK]),"")</f>
        <v/>
      </c>
      <c r="J2464" s="264">
        <f t="shared" si="54"/>
        <v>0</v>
      </c>
      <c r="K2464" s="246"/>
      <c r="L2464" s="246"/>
      <c r="M2464" s="249"/>
      <c r="N2464" s="266">
        <f t="shared" si="53"/>
        <v>0</v>
      </c>
      <c r="O2464" s="247"/>
      <c r="P2464" s="247"/>
      <c r="Q2464" s="247"/>
      <c r="R2464" s="247"/>
      <c r="S2464" s="247"/>
      <c r="T2464" s="247"/>
      <c r="U2464" s="247"/>
      <c r="V2464" s="247"/>
      <c r="W2464" s="247"/>
      <c r="X2464" s="247"/>
    </row>
    <row r="2465">
      <c r="A2465" s="294"/>
      <c r="B2465" s="295"/>
      <c r="C2465" s="295"/>
      <c r="D2465" s="296"/>
      <c r="E2465" s="295"/>
      <c r="F2465" s="292"/>
      <c r="G2465" s="293" t="str">
        <f>IFNA(IF(VLOOKUP(RC_OUT[BLOCK],RC_IN[[BLOCK]:[BLOCK LOC]],2,FALSE)=0,"",VLOOKUP(RC_OUT[BLOCK],RC_IN[[BLOCK]:[BLOCK LOC]],2,FALSE)),"")</f>
        <v/>
      </c>
      <c r="I2465" s="263" t="str">
        <f>IFERROR(AVERAGEIFS(RC_IN[MC],RC_IN[BLOCK],RC_OUT[BLOCK]),"")</f>
        <v/>
      </c>
      <c r="J2465" s="264">
        <f t="shared" si="54"/>
        <v>0</v>
      </c>
      <c r="K2465" s="246"/>
      <c r="L2465" s="246"/>
      <c r="M2465" s="249"/>
      <c r="N2465" s="266">
        <f t="shared" si="53"/>
        <v>0</v>
      </c>
      <c r="O2465" s="247"/>
      <c r="P2465" s="247"/>
      <c r="Q2465" s="247"/>
      <c r="R2465" s="247"/>
      <c r="S2465" s="247"/>
      <c r="T2465" s="247"/>
      <c r="U2465" s="247"/>
      <c r="V2465" s="247"/>
      <c r="W2465" s="247"/>
      <c r="X2465" s="247"/>
    </row>
    <row r="2466">
      <c r="A2466" s="294"/>
      <c r="B2466" s="295"/>
      <c r="C2466" s="295"/>
      <c r="D2466" s="296"/>
      <c r="E2466" s="295"/>
      <c r="F2466" s="292"/>
      <c r="G2466" s="293" t="str">
        <f>IFNA(IF(VLOOKUP(RC_OUT[BLOCK],RC_IN[[BLOCK]:[BLOCK LOC]],2,FALSE)=0,"",VLOOKUP(RC_OUT[BLOCK],RC_IN[[BLOCK]:[BLOCK LOC]],2,FALSE)),"")</f>
        <v/>
      </c>
      <c r="I2466" s="263" t="str">
        <f>IFERROR(AVERAGEIFS(RC_IN[MC],RC_IN[BLOCK],RC_OUT[BLOCK]),"")</f>
        <v/>
      </c>
      <c r="J2466" s="264">
        <f t="shared" si="54"/>
        <v>0</v>
      </c>
      <c r="K2466" s="246"/>
      <c r="L2466" s="246"/>
      <c r="M2466" s="249"/>
      <c r="N2466" s="266">
        <f t="shared" si="53"/>
        <v>0</v>
      </c>
      <c r="O2466" s="247"/>
      <c r="P2466" s="247"/>
      <c r="Q2466" s="247"/>
      <c r="R2466" s="247"/>
      <c r="S2466" s="247"/>
      <c r="T2466" s="247"/>
      <c r="U2466" s="247"/>
      <c r="V2466" s="247"/>
      <c r="W2466" s="247"/>
      <c r="X2466" s="247"/>
    </row>
    <row r="2467">
      <c r="A2467" s="294"/>
      <c r="B2467" s="295"/>
      <c r="C2467" s="295"/>
      <c r="D2467" s="296"/>
      <c r="E2467" s="295"/>
      <c r="F2467" s="292"/>
      <c r="G2467" s="293" t="str">
        <f>IFNA(IF(VLOOKUP(RC_OUT[BLOCK],RC_IN[[BLOCK]:[BLOCK LOC]],2,FALSE)=0,"",VLOOKUP(RC_OUT[BLOCK],RC_IN[[BLOCK]:[BLOCK LOC]],2,FALSE)),"")</f>
        <v/>
      </c>
      <c r="I2467" s="263" t="str">
        <f>IFERROR(AVERAGEIFS(RC_IN[MC],RC_IN[BLOCK],RC_OUT[BLOCK]),"")</f>
        <v/>
      </c>
      <c r="J2467" s="264">
        <f t="shared" si="54"/>
        <v>0</v>
      </c>
      <c r="K2467" s="246"/>
      <c r="L2467" s="246"/>
      <c r="M2467" s="249"/>
      <c r="N2467" s="266">
        <f t="shared" si="53"/>
        <v>0</v>
      </c>
      <c r="O2467" s="247"/>
      <c r="P2467" s="247"/>
      <c r="Q2467" s="247"/>
      <c r="R2467" s="247"/>
      <c r="S2467" s="247"/>
      <c r="T2467" s="247"/>
      <c r="U2467" s="247"/>
      <c r="V2467" s="247"/>
      <c r="W2467" s="247"/>
      <c r="X2467" s="247"/>
    </row>
    <row r="2468">
      <c r="A2468" s="294"/>
      <c r="B2468" s="295"/>
      <c r="C2468" s="295"/>
      <c r="D2468" s="296"/>
      <c r="E2468" s="295"/>
      <c r="F2468" s="292"/>
      <c r="G2468" s="293" t="str">
        <f>IFNA(IF(VLOOKUP(RC_OUT[BLOCK],RC_IN[[BLOCK]:[BLOCK LOC]],2,FALSE)=0,"",VLOOKUP(RC_OUT[BLOCK],RC_IN[[BLOCK]:[BLOCK LOC]],2,FALSE)),"")</f>
        <v/>
      </c>
      <c r="I2468" s="263" t="str">
        <f>IFERROR(AVERAGEIFS(RC_IN[MC],RC_IN[BLOCK],RC_OUT[BLOCK]),"")</f>
        <v/>
      </c>
      <c r="J2468" s="264">
        <f t="shared" si="54"/>
        <v>0</v>
      </c>
      <c r="K2468" s="246"/>
      <c r="L2468" s="246"/>
      <c r="M2468" s="249"/>
      <c r="N2468" s="266">
        <f t="shared" si="53"/>
        <v>0</v>
      </c>
      <c r="O2468" s="247"/>
      <c r="P2468" s="247"/>
      <c r="Q2468" s="247"/>
      <c r="R2468" s="247"/>
      <c r="S2468" s="247"/>
      <c r="T2468" s="247"/>
      <c r="U2468" s="247"/>
      <c r="V2468" s="247"/>
      <c r="W2468" s="247"/>
      <c r="X2468" s="247"/>
    </row>
    <row r="2469">
      <c r="A2469" s="294"/>
      <c r="B2469" s="295"/>
      <c r="C2469" s="295"/>
      <c r="D2469" s="296"/>
      <c r="E2469" s="295"/>
      <c r="F2469" s="292"/>
      <c r="G2469" s="293" t="str">
        <f>IFNA(IF(VLOOKUP(RC_OUT[BLOCK],RC_IN[[BLOCK]:[BLOCK LOC]],2,FALSE)=0,"",VLOOKUP(RC_OUT[BLOCK],RC_IN[[BLOCK]:[BLOCK LOC]],2,FALSE)),"")</f>
        <v/>
      </c>
      <c r="I2469" s="263" t="str">
        <f>IFERROR(AVERAGEIFS(RC_IN[MC],RC_IN[BLOCK],RC_OUT[BLOCK]),"")</f>
        <v/>
      </c>
      <c r="J2469" s="264">
        <f t="shared" si="54"/>
        <v>0</v>
      </c>
      <c r="K2469" s="246"/>
      <c r="L2469" s="246"/>
      <c r="M2469" s="249"/>
      <c r="N2469" s="266">
        <f t="shared" si="53"/>
        <v>0</v>
      </c>
      <c r="O2469" s="247"/>
      <c r="P2469" s="247"/>
      <c r="Q2469" s="247"/>
      <c r="R2469" s="247"/>
      <c r="S2469" s="247"/>
      <c r="T2469" s="247"/>
      <c r="U2469" s="247"/>
      <c r="V2469" s="247"/>
      <c r="W2469" s="247"/>
      <c r="X2469" s="247"/>
    </row>
    <row r="2470">
      <c r="A2470" s="294"/>
      <c r="B2470" s="295"/>
      <c r="C2470" s="295"/>
      <c r="D2470" s="296"/>
      <c r="E2470" s="295"/>
      <c r="F2470" s="292"/>
      <c r="G2470" s="293" t="str">
        <f>IFNA(IF(VLOOKUP(RC_OUT[BLOCK],RC_IN[[BLOCK]:[BLOCK LOC]],2,FALSE)=0,"",VLOOKUP(RC_OUT[BLOCK],RC_IN[[BLOCK]:[BLOCK LOC]],2,FALSE)),"")</f>
        <v/>
      </c>
      <c r="I2470" s="263" t="str">
        <f>IFERROR(AVERAGEIFS(RC_IN[MC],RC_IN[BLOCK],RC_OUT[BLOCK]),"")</f>
        <v/>
      </c>
      <c r="J2470" s="264">
        <f t="shared" si="54"/>
        <v>0</v>
      </c>
      <c r="K2470" s="246"/>
      <c r="L2470" s="246"/>
      <c r="M2470" s="249"/>
      <c r="N2470" s="266">
        <f t="shared" si="53"/>
        <v>0</v>
      </c>
      <c r="O2470" s="247"/>
      <c r="P2470" s="247"/>
      <c r="Q2470" s="247"/>
      <c r="R2470" s="247"/>
      <c r="S2470" s="247"/>
      <c r="T2470" s="247"/>
      <c r="U2470" s="247"/>
      <c r="V2470" s="247"/>
      <c r="W2470" s="247"/>
      <c r="X2470" s="247"/>
    </row>
    <row r="2471">
      <c r="A2471" s="294"/>
      <c r="B2471" s="295"/>
      <c r="C2471" s="295"/>
      <c r="D2471" s="296"/>
      <c r="E2471" s="295"/>
      <c r="F2471" s="292"/>
      <c r="G2471" s="293" t="str">
        <f>IFNA(IF(VLOOKUP(RC_OUT[BLOCK],RC_IN[[BLOCK]:[BLOCK LOC]],2,FALSE)=0,"",VLOOKUP(RC_OUT[BLOCK],RC_IN[[BLOCK]:[BLOCK LOC]],2,FALSE)),"")</f>
        <v/>
      </c>
      <c r="I2471" s="263" t="str">
        <f>IFERROR(AVERAGEIFS(RC_IN[MC],RC_IN[BLOCK],RC_OUT[BLOCK]),"")</f>
        <v/>
      </c>
      <c r="J2471" s="264">
        <f t="shared" si="54"/>
        <v>0</v>
      </c>
      <c r="K2471" s="246"/>
      <c r="L2471" s="246"/>
      <c r="M2471" s="249"/>
      <c r="N2471" s="266">
        <f t="shared" si="53"/>
        <v>0</v>
      </c>
      <c r="O2471" s="247"/>
      <c r="P2471" s="247"/>
      <c r="Q2471" s="247"/>
      <c r="R2471" s="247"/>
      <c r="S2471" s="247"/>
      <c r="T2471" s="247"/>
      <c r="U2471" s="247"/>
      <c r="V2471" s="247"/>
      <c r="W2471" s="247"/>
      <c r="X2471" s="247"/>
    </row>
    <row r="2472">
      <c r="A2472" s="294"/>
      <c r="B2472" s="295"/>
      <c r="C2472" s="295"/>
      <c r="D2472" s="296"/>
      <c r="E2472" s="295"/>
      <c r="F2472" s="292"/>
      <c r="G2472" s="293" t="str">
        <f>IFNA(IF(VLOOKUP(RC_OUT[BLOCK],RC_IN[[BLOCK]:[BLOCK LOC]],2,FALSE)=0,"",VLOOKUP(RC_OUT[BLOCK],RC_IN[[BLOCK]:[BLOCK LOC]],2,FALSE)),"")</f>
        <v/>
      </c>
      <c r="I2472" s="263" t="str">
        <f>IFERROR(AVERAGEIFS(RC_IN[MC],RC_IN[BLOCK],RC_OUT[BLOCK]),"")</f>
        <v/>
      </c>
      <c r="J2472" s="264">
        <f t="shared" si="54"/>
        <v>0</v>
      </c>
      <c r="K2472" s="246"/>
      <c r="L2472" s="246"/>
      <c r="M2472" s="249"/>
      <c r="N2472" s="266">
        <f t="shared" si="53"/>
        <v>0</v>
      </c>
      <c r="O2472" s="247"/>
      <c r="P2472" s="247"/>
      <c r="Q2472" s="247"/>
      <c r="R2472" s="247"/>
      <c r="S2472" s="247"/>
      <c r="T2472" s="247"/>
      <c r="U2472" s="247"/>
      <c r="V2472" s="247"/>
      <c r="W2472" s="247"/>
      <c r="X2472" s="247"/>
    </row>
    <row r="2473">
      <c r="A2473" s="294"/>
      <c r="B2473" s="295"/>
      <c r="C2473" s="295"/>
      <c r="D2473" s="296"/>
      <c r="E2473" s="295"/>
      <c r="F2473" s="292"/>
      <c r="G2473" s="293" t="str">
        <f>IFNA(IF(VLOOKUP(RC_OUT[BLOCK],RC_IN[[BLOCK]:[BLOCK LOC]],2,FALSE)=0,"",VLOOKUP(RC_OUT[BLOCK],RC_IN[[BLOCK]:[BLOCK LOC]],2,FALSE)),"")</f>
        <v/>
      </c>
      <c r="I2473" s="263" t="str">
        <f>IFERROR(AVERAGEIFS(RC_IN[MC],RC_IN[BLOCK],RC_OUT[BLOCK]),"")</f>
        <v/>
      </c>
      <c r="J2473" s="264">
        <f t="shared" si="54"/>
        <v>0</v>
      </c>
      <c r="K2473" s="246"/>
      <c r="L2473" s="246"/>
      <c r="M2473" s="249"/>
      <c r="N2473" s="266">
        <f t="shared" si="53"/>
        <v>0</v>
      </c>
      <c r="O2473" s="247"/>
      <c r="P2473" s="247"/>
      <c r="Q2473" s="247"/>
      <c r="R2473" s="247"/>
      <c r="S2473" s="247"/>
      <c r="T2473" s="247"/>
      <c r="U2473" s="247"/>
      <c r="V2473" s="247"/>
      <c r="W2473" s="247"/>
      <c r="X2473" s="247"/>
    </row>
    <row r="2474">
      <c r="A2474" s="294"/>
      <c r="B2474" s="295"/>
      <c r="C2474" s="295"/>
      <c r="D2474" s="296"/>
      <c r="E2474" s="295"/>
      <c r="F2474" s="292"/>
      <c r="G2474" s="293" t="str">
        <f>IFNA(IF(VLOOKUP(RC_OUT[BLOCK],RC_IN[[BLOCK]:[BLOCK LOC]],2,FALSE)=0,"",VLOOKUP(RC_OUT[BLOCK],RC_IN[[BLOCK]:[BLOCK LOC]],2,FALSE)),"")</f>
        <v/>
      </c>
      <c r="I2474" s="263" t="str">
        <f>IFERROR(AVERAGEIFS(RC_IN[MC],RC_IN[BLOCK],RC_OUT[BLOCK]),"")</f>
        <v/>
      </c>
      <c r="J2474" s="264">
        <f t="shared" si="54"/>
        <v>0</v>
      </c>
      <c r="K2474" s="246"/>
      <c r="L2474" s="246"/>
      <c r="M2474" s="249"/>
      <c r="N2474" s="266">
        <f t="shared" si="53"/>
        <v>0</v>
      </c>
      <c r="O2474" s="247"/>
      <c r="P2474" s="247"/>
      <c r="Q2474" s="247"/>
      <c r="R2474" s="247"/>
      <c r="S2474" s="247"/>
      <c r="T2474" s="247"/>
      <c r="U2474" s="247"/>
      <c r="V2474" s="247"/>
      <c r="W2474" s="247"/>
      <c r="X2474" s="247"/>
    </row>
    <row r="2475">
      <c r="A2475" s="294"/>
      <c r="B2475" s="295"/>
      <c r="C2475" s="295"/>
      <c r="D2475" s="296"/>
      <c r="E2475" s="295"/>
      <c r="F2475" s="292"/>
      <c r="G2475" s="293" t="str">
        <f>IFNA(IF(VLOOKUP(RC_OUT[BLOCK],RC_IN[[BLOCK]:[BLOCK LOC]],2,FALSE)=0,"",VLOOKUP(RC_OUT[BLOCK],RC_IN[[BLOCK]:[BLOCK LOC]],2,FALSE)),"")</f>
        <v/>
      </c>
      <c r="I2475" s="263" t="str">
        <f>IFERROR(AVERAGEIFS(RC_IN[MC],RC_IN[BLOCK],RC_OUT[BLOCK]),"")</f>
        <v/>
      </c>
      <c r="J2475" s="264">
        <f t="shared" si="54"/>
        <v>0</v>
      </c>
      <c r="K2475" s="246"/>
      <c r="L2475" s="246"/>
      <c r="M2475" s="249"/>
      <c r="N2475" s="266">
        <f t="shared" si="53"/>
        <v>0</v>
      </c>
      <c r="O2475" s="247"/>
      <c r="P2475" s="247"/>
      <c r="Q2475" s="247"/>
      <c r="R2475" s="247"/>
      <c r="S2475" s="247"/>
      <c r="T2475" s="247"/>
      <c r="U2475" s="247"/>
      <c r="V2475" s="247"/>
      <c r="W2475" s="247"/>
      <c r="X2475" s="247"/>
    </row>
    <row r="2476">
      <c r="A2476" s="294"/>
      <c r="B2476" s="295"/>
      <c r="C2476" s="295"/>
      <c r="D2476" s="296"/>
      <c r="E2476" s="295"/>
      <c r="F2476" s="292"/>
      <c r="G2476" s="293" t="str">
        <f>IFNA(IF(VLOOKUP(RC_OUT[BLOCK],RC_IN[[BLOCK]:[BLOCK LOC]],2,FALSE)=0,"",VLOOKUP(RC_OUT[BLOCK],RC_IN[[BLOCK]:[BLOCK LOC]],2,FALSE)),"")</f>
        <v/>
      </c>
      <c r="I2476" s="263" t="str">
        <f>IFERROR(AVERAGEIFS(RC_IN[MC],RC_IN[BLOCK],RC_OUT[BLOCK]),"")</f>
        <v/>
      </c>
      <c r="J2476" s="264">
        <f t="shared" si="54"/>
        <v>0</v>
      </c>
      <c r="K2476" s="246"/>
      <c r="L2476" s="246"/>
      <c r="M2476" s="249"/>
      <c r="N2476" s="266">
        <f t="shared" si="53"/>
        <v>0</v>
      </c>
      <c r="O2476" s="247"/>
      <c r="P2476" s="247"/>
      <c r="Q2476" s="247"/>
      <c r="R2476" s="247"/>
      <c r="S2476" s="247"/>
      <c r="T2476" s="247"/>
      <c r="U2476" s="247"/>
      <c r="V2476" s="247"/>
      <c r="W2476" s="247"/>
      <c r="X2476" s="247"/>
    </row>
    <row r="2477">
      <c r="A2477" s="294"/>
      <c r="B2477" s="295"/>
      <c r="C2477" s="295"/>
      <c r="D2477" s="296"/>
      <c r="E2477" s="295"/>
      <c r="F2477" s="292"/>
      <c r="G2477" s="293" t="str">
        <f>IFNA(IF(VLOOKUP(RC_OUT[BLOCK],RC_IN[[BLOCK]:[BLOCK LOC]],2,FALSE)=0,"",VLOOKUP(RC_OUT[BLOCK],RC_IN[[BLOCK]:[BLOCK LOC]],2,FALSE)),"")</f>
        <v/>
      </c>
      <c r="I2477" s="263" t="str">
        <f>IFERROR(AVERAGEIFS(RC_IN[MC],RC_IN[BLOCK],RC_OUT[BLOCK]),"")</f>
        <v/>
      </c>
      <c r="J2477" s="264">
        <f t="shared" si="54"/>
        <v>0</v>
      </c>
      <c r="K2477" s="246"/>
      <c r="L2477" s="246"/>
      <c r="M2477" s="249"/>
      <c r="N2477" s="266">
        <f t="shared" si="53"/>
        <v>0</v>
      </c>
      <c r="O2477" s="247"/>
      <c r="P2477" s="247"/>
      <c r="Q2477" s="247"/>
      <c r="R2477" s="247"/>
      <c r="S2477" s="247"/>
      <c r="T2477" s="247"/>
      <c r="U2477" s="247"/>
      <c r="V2477" s="247"/>
      <c r="W2477" s="247"/>
      <c r="X2477" s="247"/>
    </row>
    <row r="2478">
      <c r="A2478" s="294"/>
      <c r="B2478" s="295"/>
      <c r="C2478" s="295"/>
      <c r="D2478" s="296"/>
      <c r="E2478" s="295"/>
      <c r="F2478" s="292"/>
      <c r="G2478" s="293" t="str">
        <f>IFNA(IF(VLOOKUP(RC_OUT[BLOCK],RC_IN[[BLOCK]:[BLOCK LOC]],2,FALSE)=0,"",VLOOKUP(RC_OUT[BLOCK],RC_IN[[BLOCK]:[BLOCK LOC]],2,FALSE)),"")</f>
        <v/>
      </c>
      <c r="I2478" s="263" t="str">
        <f>IFERROR(AVERAGEIFS(RC_IN[MC],RC_IN[BLOCK],RC_OUT[BLOCK]),"")</f>
        <v/>
      </c>
      <c r="J2478" s="264">
        <f t="shared" si="54"/>
        <v>0</v>
      </c>
      <c r="K2478" s="246"/>
      <c r="L2478" s="246"/>
      <c r="M2478" s="249"/>
      <c r="N2478" s="266">
        <f t="shared" si="53"/>
        <v>0</v>
      </c>
      <c r="O2478" s="247"/>
      <c r="P2478" s="247"/>
      <c r="Q2478" s="247"/>
      <c r="R2478" s="247"/>
      <c r="S2478" s="247"/>
      <c r="T2478" s="247"/>
      <c r="U2478" s="247"/>
      <c r="V2478" s="247"/>
      <c r="W2478" s="247"/>
      <c r="X2478" s="247"/>
    </row>
    <row r="2479">
      <c r="A2479" s="294"/>
      <c r="B2479" s="295"/>
      <c r="C2479" s="295"/>
      <c r="D2479" s="296"/>
      <c r="E2479" s="295"/>
      <c r="F2479" s="292"/>
      <c r="G2479" s="293" t="str">
        <f>IFNA(IF(VLOOKUP(RC_OUT[BLOCK],RC_IN[[BLOCK]:[BLOCK LOC]],2,FALSE)=0,"",VLOOKUP(RC_OUT[BLOCK],RC_IN[[BLOCK]:[BLOCK LOC]],2,FALSE)),"")</f>
        <v/>
      </c>
      <c r="I2479" s="263" t="str">
        <f>IFERROR(AVERAGEIFS(RC_IN[MC],RC_IN[BLOCK],RC_OUT[BLOCK]),"")</f>
        <v/>
      </c>
      <c r="J2479" s="264">
        <f t="shared" si="54"/>
        <v>0</v>
      </c>
      <c r="K2479" s="246"/>
      <c r="L2479" s="246"/>
      <c r="M2479" s="249"/>
      <c r="N2479" s="266">
        <f t="shared" si="53"/>
        <v>0</v>
      </c>
      <c r="O2479" s="247"/>
      <c r="P2479" s="247"/>
      <c r="Q2479" s="247"/>
      <c r="R2479" s="247"/>
      <c r="S2479" s="247"/>
      <c r="T2479" s="247"/>
      <c r="U2479" s="247"/>
      <c r="V2479" s="247"/>
      <c r="W2479" s="247"/>
      <c r="X2479" s="247"/>
    </row>
    <row r="2480">
      <c r="A2480" s="294"/>
      <c r="B2480" s="295"/>
      <c r="C2480" s="295"/>
      <c r="D2480" s="296"/>
      <c r="E2480" s="295"/>
      <c r="F2480" s="292"/>
      <c r="G2480" s="293" t="str">
        <f>IFNA(IF(VLOOKUP(RC_OUT[BLOCK],RC_IN[[BLOCK]:[BLOCK LOC]],2,FALSE)=0,"",VLOOKUP(RC_OUT[BLOCK],RC_IN[[BLOCK]:[BLOCK LOC]],2,FALSE)),"")</f>
        <v/>
      </c>
      <c r="I2480" s="263" t="str">
        <f>IFERROR(AVERAGEIFS(RC_IN[MC],RC_IN[BLOCK],RC_OUT[BLOCK]),"")</f>
        <v/>
      </c>
      <c r="J2480" s="264">
        <f t="shared" si="54"/>
        <v>0</v>
      </c>
      <c r="K2480" s="246"/>
      <c r="L2480" s="246"/>
      <c r="M2480" s="249"/>
      <c r="N2480" s="266">
        <f t="shared" si="53"/>
        <v>0</v>
      </c>
      <c r="O2480" s="247"/>
      <c r="P2480" s="247"/>
      <c r="Q2480" s="247"/>
      <c r="R2480" s="247"/>
      <c r="S2480" s="247"/>
      <c r="T2480" s="247"/>
      <c r="U2480" s="247"/>
      <c r="V2480" s="247"/>
      <c r="W2480" s="247"/>
      <c r="X2480" s="247"/>
    </row>
    <row r="2481">
      <c r="A2481" s="294"/>
      <c r="B2481" s="295"/>
      <c r="C2481" s="295"/>
      <c r="D2481" s="296"/>
      <c r="E2481" s="295"/>
      <c r="F2481" s="292"/>
      <c r="G2481" s="293" t="str">
        <f>IFNA(IF(VLOOKUP(RC_OUT[BLOCK],RC_IN[[BLOCK]:[BLOCK LOC]],2,FALSE)=0,"",VLOOKUP(RC_OUT[BLOCK],RC_IN[[BLOCK]:[BLOCK LOC]],2,FALSE)),"")</f>
        <v/>
      </c>
      <c r="I2481" s="263" t="str">
        <f>IFERROR(AVERAGEIFS(RC_IN[MC],RC_IN[BLOCK],RC_OUT[BLOCK]),"")</f>
        <v/>
      </c>
      <c r="J2481" s="264">
        <f t="shared" si="54"/>
        <v>0</v>
      </c>
      <c r="K2481" s="246"/>
      <c r="L2481" s="246"/>
      <c r="M2481" s="249"/>
      <c r="N2481" s="266">
        <f t="shared" si="53"/>
        <v>0</v>
      </c>
      <c r="O2481" s="247"/>
      <c r="P2481" s="247"/>
      <c r="Q2481" s="247"/>
      <c r="R2481" s="247"/>
      <c r="S2481" s="247"/>
      <c r="T2481" s="247"/>
      <c r="U2481" s="247"/>
      <c r="V2481" s="247"/>
      <c r="W2481" s="247"/>
      <c r="X2481" s="247"/>
    </row>
    <row r="2482">
      <c r="A2482" s="294"/>
      <c r="B2482" s="295"/>
      <c r="C2482" s="295"/>
      <c r="D2482" s="296"/>
      <c r="E2482" s="295"/>
      <c r="F2482" s="292"/>
      <c r="G2482" s="293" t="str">
        <f>IFNA(IF(VLOOKUP(RC_OUT[BLOCK],RC_IN[[BLOCK]:[BLOCK LOC]],2,FALSE)=0,"",VLOOKUP(RC_OUT[BLOCK],RC_IN[[BLOCK]:[BLOCK LOC]],2,FALSE)),"")</f>
        <v/>
      </c>
      <c r="I2482" s="263" t="str">
        <f>IFERROR(AVERAGEIFS(RC_IN[MC],RC_IN[BLOCK],RC_OUT[BLOCK]),"")</f>
        <v/>
      </c>
      <c r="J2482" s="264">
        <f t="shared" si="54"/>
        <v>0</v>
      </c>
      <c r="K2482" s="246"/>
      <c r="L2482" s="246"/>
      <c r="M2482" s="249"/>
      <c r="N2482" s="266">
        <f t="shared" si="53"/>
        <v>0</v>
      </c>
      <c r="O2482" s="247"/>
      <c r="P2482" s="247"/>
      <c r="Q2482" s="247"/>
      <c r="R2482" s="247"/>
      <c r="S2482" s="247"/>
      <c r="T2482" s="247"/>
      <c r="U2482" s="247"/>
      <c r="V2482" s="247"/>
      <c r="W2482" s="247"/>
      <c r="X2482" s="247"/>
    </row>
    <row r="2483">
      <c r="A2483" s="294"/>
      <c r="B2483" s="295"/>
      <c r="C2483" s="295"/>
      <c r="D2483" s="296"/>
      <c r="E2483" s="295"/>
      <c r="F2483" s="292"/>
      <c r="G2483" s="293" t="str">
        <f>IFNA(IF(VLOOKUP(RC_OUT[BLOCK],RC_IN[[BLOCK]:[BLOCK LOC]],2,FALSE)=0,"",VLOOKUP(RC_OUT[BLOCK],RC_IN[[BLOCK]:[BLOCK LOC]],2,FALSE)),"")</f>
        <v/>
      </c>
      <c r="I2483" s="263" t="str">
        <f>IFERROR(AVERAGEIFS(RC_IN[MC],RC_IN[BLOCK],RC_OUT[BLOCK]),"")</f>
        <v/>
      </c>
      <c r="J2483" s="264">
        <f t="shared" si="54"/>
        <v>0</v>
      </c>
      <c r="K2483" s="246"/>
      <c r="L2483" s="246"/>
      <c r="M2483" s="249"/>
      <c r="N2483" s="266">
        <f t="shared" si="53"/>
        <v>0</v>
      </c>
      <c r="O2483" s="247"/>
      <c r="P2483" s="247"/>
      <c r="Q2483" s="247"/>
      <c r="R2483" s="247"/>
      <c r="S2483" s="247"/>
      <c r="T2483" s="247"/>
      <c r="U2483" s="247"/>
      <c r="V2483" s="247"/>
      <c r="W2483" s="247"/>
      <c r="X2483" s="247"/>
    </row>
    <row r="2484">
      <c r="A2484" s="294"/>
      <c r="B2484" s="295"/>
      <c r="C2484" s="295"/>
      <c r="D2484" s="296"/>
      <c r="E2484" s="295"/>
      <c r="F2484" s="292"/>
      <c r="G2484" s="293" t="str">
        <f>IFNA(IF(VLOOKUP(RC_OUT[BLOCK],RC_IN[[BLOCK]:[BLOCK LOC]],2,FALSE)=0,"",VLOOKUP(RC_OUT[BLOCK],RC_IN[[BLOCK]:[BLOCK LOC]],2,FALSE)),"")</f>
        <v/>
      </c>
      <c r="I2484" s="263" t="str">
        <f>IFERROR(AVERAGEIFS(RC_IN[MC],RC_IN[BLOCK],RC_OUT[BLOCK]),"")</f>
        <v/>
      </c>
      <c r="J2484" s="264">
        <f t="shared" si="54"/>
        <v>0</v>
      </c>
      <c r="K2484" s="246"/>
      <c r="L2484" s="246"/>
      <c r="M2484" s="249"/>
      <c r="N2484" s="266">
        <f t="shared" si="53"/>
        <v>0</v>
      </c>
      <c r="O2484" s="247"/>
      <c r="P2484" s="247"/>
      <c r="Q2484" s="247"/>
      <c r="R2484" s="247"/>
      <c r="S2484" s="247"/>
      <c r="T2484" s="247"/>
      <c r="U2484" s="247"/>
      <c r="V2484" s="247"/>
      <c r="W2484" s="247"/>
      <c r="X2484" s="247"/>
    </row>
    <row r="2485">
      <c r="A2485" s="294"/>
      <c r="B2485" s="295"/>
      <c r="C2485" s="295"/>
      <c r="D2485" s="296"/>
      <c r="E2485" s="295"/>
      <c r="F2485" s="292"/>
      <c r="G2485" s="293" t="str">
        <f>IFNA(IF(VLOOKUP(RC_OUT[BLOCK],RC_IN[[BLOCK]:[BLOCK LOC]],2,FALSE)=0,"",VLOOKUP(RC_OUT[BLOCK],RC_IN[[BLOCK]:[BLOCK LOC]],2,FALSE)),"")</f>
        <v/>
      </c>
      <c r="I2485" s="263" t="str">
        <f>IFERROR(AVERAGEIFS(RC_IN[MC],RC_IN[BLOCK],RC_OUT[BLOCK]),"")</f>
        <v/>
      </c>
      <c r="J2485" s="264">
        <f t="shared" si="54"/>
        <v>0</v>
      </c>
      <c r="K2485" s="246"/>
      <c r="L2485" s="246"/>
      <c r="M2485" s="249"/>
      <c r="N2485" s="266">
        <f t="shared" si="53"/>
        <v>0</v>
      </c>
      <c r="O2485" s="247"/>
      <c r="P2485" s="247"/>
      <c r="Q2485" s="247"/>
      <c r="R2485" s="247"/>
      <c r="S2485" s="247"/>
      <c r="T2485" s="247"/>
      <c r="U2485" s="247"/>
      <c r="V2485" s="247"/>
      <c r="W2485" s="247"/>
      <c r="X2485" s="247"/>
    </row>
    <row r="2486">
      <c r="A2486" s="294"/>
      <c r="B2486" s="295"/>
      <c r="C2486" s="295"/>
      <c r="D2486" s="296"/>
      <c r="E2486" s="295"/>
      <c r="F2486" s="292"/>
      <c r="G2486" s="293" t="str">
        <f>IFNA(IF(VLOOKUP(RC_OUT[BLOCK],RC_IN[[BLOCK]:[BLOCK LOC]],2,FALSE)=0,"",VLOOKUP(RC_OUT[BLOCK],RC_IN[[BLOCK]:[BLOCK LOC]],2,FALSE)),"")</f>
        <v/>
      </c>
      <c r="I2486" s="263" t="str">
        <f>IFERROR(AVERAGEIFS(RC_IN[MC],RC_IN[BLOCK],RC_OUT[BLOCK]),"")</f>
        <v/>
      </c>
      <c r="J2486" s="264">
        <f t="shared" si="54"/>
        <v>0</v>
      </c>
      <c r="K2486" s="246"/>
      <c r="L2486" s="246"/>
      <c r="M2486" s="249"/>
      <c r="N2486" s="266">
        <f t="shared" si="53"/>
        <v>0</v>
      </c>
      <c r="O2486" s="247"/>
      <c r="P2486" s="247"/>
      <c r="Q2486" s="247"/>
      <c r="R2486" s="247"/>
      <c r="S2486" s="247"/>
      <c r="T2486" s="247"/>
      <c r="U2486" s="247"/>
      <c r="V2486" s="247"/>
      <c r="W2486" s="247"/>
      <c r="X2486" s="247"/>
    </row>
    <row r="2487">
      <c r="A2487" s="294"/>
      <c r="B2487" s="295"/>
      <c r="C2487" s="295"/>
      <c r="D2487" s="296"/>
      <c r="E2487" s="295"/>
      <c r="F2487" s="292"/>
      <c r="G2487" s="293" t="str">
        <f>IFNA(IF(VLOOKUP(RC_OUT[BLOCK],RC_IN[[BLOCK]:[BLOCK LOC]],2,FALSE)=0,"",VLOOKUP(RC_OUT[BLOCK],RC_IN[[BLOCK]:[BLOCK LOC]],2,FALSE)),"")</f>
        <v/>
      </c>
      <c r="I2487" s="263" t="str">
        <f>IFERROR(AVERAGEIFS(RC_IN[MC],RC_IN[BLOCK],RC_OUT[BLOCK]),"")</f>
        <v/>
      </c>
      <c r="J2487" s="264">
        <f t="shared" si="54"/>
        <v>0</v>
      </c>
      <c r="K2487" s="246"/>
      <c r="L2487" s="246"/>
      <c r="M2487" s="249"/>
      <c r="N2487" s="266">
        <f t="shared" si="53"/>
        <v>0</v>
      </c>
      <c r="O2487" s="247"/>
      <c r="P2487" s="247"/>
      <c r="Q2487" s="247"/>
      <c r="R2487" s="247"/>
      <c r="S2487" s="247"/>
      <c r="T2487" s="247"/>
      <c r="U2487" s="247"/>
      <c r="V2487" s="247"/>
      <c r="W2487" s="247"/>
      <c r="X2487" s="247"/>
    </row>
    <row r="2488">
      <c r="A2488" s="294"/>
      <c r="B2488" s="295"/>
      <c r="C2488" s="295"/>
      <c r="D2488" s="296"/>
      <c r="E2488" s="295"/>
      <c r="F2488" s="292"/>
      <c r="G2488" s="293" t="str">
        <f>IFNA(IF(VLOOKUP(RC_OUT[BLOCK],RC_IN[[BLOCK]:[BLOCK LOC]],2,FALSE)=0,"",VLOOKUP(RC_OUT[BLOCK],RC_IN[[BLOCK]:[BLOCK LOC]],2,FALSE)),"")</f>
        <v/>
      </c>
      <c r="I2488" s="263" t="str">
        <f>IFERROR(AVERAGEIFS(RC_IN[MC],RC_IN[BLOCK],RC_OUT[BLOCK]),"")</f>
        <v/>
      </c>
      <c r="J2488" s="264">
        <f t="shared" si="54"/>
        <v>0</v>
      </c>
      <c r="K2488" s="246"/>
      <c r="L2488" s="246"/>
      <c r="M2488" s="249"/>
      <c r="N2488" s="266">
        <f t="shared" si="53"/>
        <v>0</v>
      </c>
      <c r="O2488" s="247"/>
      <c r="P2488" s="247"/>
      <c r="Q2488" s="247"/>
      <c r="R2488" s="247"/>
      <c r="S2488" s="247"/>
      <c r="T2488" s="247"/>
      <c r="U2488" s="247"/>
      <c r="V2488" s="247"/>
      <c r="W2488" s="247"/>
      <c r="X2488" s="247"/>
    </row>
    <row r="2489">
      <c r="A2489" s="294"/>
      <c r="B2489" s="295"/>
      <c r="C2489" s="295"/>
      <c r="D2489" s="296"/>
      <c r="E2489" s="295"/>
      <c r="F2489" s="292"/>
      <c r="G2489" s="293" t="str">
        <f>IFNA(IF(VLOOKUP(RC_OUT[BLOCK],RC_IN[[BLOCK]:[BLOCK LOC]],2,FALSE)=0,"",VLOOKUP(RC_OUT[BLOCK],RC_IN[[BLOCK]:[BLOCK LOC]],2,FALSE)),"")</f>
        <v/>
      </c>
      <c r="I2489" s="263" t="str">
        <f>IFERROR(AVERAGEIFS(RC_IN[MC],RC_IN[BLOCK],RC_OUT[BLOCK]),"")</f>
        <v/>
      </c>
      <c r="J2489" s="264">
        <f t="shared" si="54"/>
        <v>0</v>
      </c>
      <c r="K2489" s="246"/>
      <c r="L2489" s="246"/>
      <c r="M2489" s="249"/>
      <c r="N2489" s="266">
        <f t="shared" si="53"/>
        <v>0</v>
      </c>
      <c r="O2489" s="247"/>
      <c r="P2489" s="247"/>
      <c r="Q2489" s="247"/>
      <c r="R2489" s="247"/>
      <c r="S2489" s="247"/>
      <c r="T2489" s="247"/>
      <c r="U2489" s="247"/>
      <c r="V2489" s="247"/>
      <c r="W2489" s="247"/>
      <c r="X2489" s="247"/>
    </row>
    <row r="2490">
      <c r="A2490" s="294"/>
      <c r="B2490" s="295"/>
      <c r="C2490" s="295"/>
      <c r="D2490" s="296"/>
      <c r="E2490" s="295"/>
      <c r="F2490" s="292"/>
      <c r="G2490" s="293" t="str">
        <f>IFNA(IF(VLOOKUP(RC_OUT[BLOCK],RC_IN[[BLOCK]:[BLOCK LOC]],2,FALSE)=0,"",VLOOKUP(RC_OUT[BLOCK],RC_IN[[BLOCK]:[BLOCK LOC]],2,FALSE)),"")</f>
        <v/>
      </c>
      <c r="I2490" s="263" t="str">
        <f>IFERROR(AVERAGEIFS(RC_IN[MC],RC_IN[BLOCK],RC_OUT[BLOCK]),"")</f>
        <v/>
      </c>
      <c r="J2490" s="264">
        <f t="shared" si="54"/>
        <v>0</v>
      </c>
      <c r="K2490" s="246"/>
      <c r="L2490" s="246"/>
      <c r="M2490" s="249"/>
      <c r="N2490" s="266">
        <f t="shared" si="53"/>
        <v>0</v>
      </c>
      <c r="O2490" s="247"/>
      <c r="P2490" s="247"/>
      <c r="Q2490" s="247"/>
      <c r="R2490" s="247"/>
      <c r="S2490" s="247"/>
      <c r="T2490" s="247"/>
      <c r="U2490" s="247"/>
      <c r="V2490" s="247"/>
      <c r="W2490" s="247"/>
      <c r="X2490" s="247"/>
    </row>
    <row r="2491">
      <c r="A2491" s="294"/>
      <c r="B2491" s="295"/>
      <c r="C2491" s="295"/>
      <c r="D2491" s="296"/>
      <c r="E2491" s="295"/>
      <c r="F2491" s="292"/>
      <c r="G2491" s="293" t="str">
        <f>IFNA(IF(VLOOKUP(RC_OUT[BLOCK],RC_IN[[BLOCK]:[BLOCK LOC]],2,FALSE)=0,"",VLOOKUP(RC_OUT[BLOCK],RC_IN[[BLOCK]:[BLOCK LOC]],2,FALSE)),"")</f>
        <v/>
      </c>
      <c r="I2491" s="263" t="str">
        <f>IFERROR(AVERAGEIFS(RC_IN[MC],RC_IN[BLOCK],RC_OUT[BLOCK]),"")</f>
        <v/>
      </c>
      <c r="J2491" s="264">
        <f t="shared" si="54"/>
        <v>0</v>
      </c>
      <c r="K2491" s="246"/>
      <c r="L2491" s="246"/>
      <c r="M2491" s="249"/>
      <c r="N2491" s="266">
        <f t="shared" si="53"/>
        <v>0</v>
      </c>
      <c r="O2491" s="247"/>
      <c r="P2491" s="247"/>
      <c r="Q2491" s="247"/>
      <c r="R2491" s="247"/>
      <c r="S2491" s="247"/>
      <c r="T2491" s="247"/>
      <c r="U2491" s="247"/>
      <c r="V2491" s="247"/>
      <c r="W2491" s="247"/>
      <c r="X2491" s="247"/>
    </row>
    <row r="2492">
      <c r="A2492" s="294"/>
      <c r="B2492" s="295"/>
      <c r="C2492" s="295"/>
      <c r="D2492" s="296"/>
      <c r="E2492" s="295"/>
      <c r="F2492" s="292"/>
      <c r="G2492" s="293" t="str">
        <f>IFNA(IF(VLOOKUP(RC_OUT[BLOCK],RC_IN[[BLOCK]:[BLOCK LOC]],2,FALSE)=0,"",VLOOKUP(RC_OUT[BLOCK],RC_IN[[BLOCK]:[BLOCK LOC]],2,FALSE)),"")</f>
        <v/>
      </c>
      <c r="I2492" s="263" t="str">
        <f>IFERROR(AVERAGEIFS(RC_IN[MC],RC_IN[BLOCK],RC_OUT[BLOCK]),"")</f>
        <v/>
      </c>
      <c r="J2492" s="264">
        <f t="shared" si="54"/>
        <v>0</v>
      </c>
      <c r="K2492" s="246"/>
      <c r="L2492" s="246"/>
      <c r="M2492" s="249"/>
      <c r="N2492" s="266">
        <f t="shared" si="53"/>
        <v>0</v>
      </c>
      <c r="O2492" s="247"/>
      <c r="P2492" s="247"/>
      <c r="Q2492" s="247"/>
      <c r="R2492" s="247"/>
      <c r="S2492" s="247"/>
      <c r="T2492" s="247"/>
      <c r="U2492" s="247"/>
      <c r="V2492" s="247"/>
      <c r="W2492" s="247"/>
      <c r="X2492" s="247"/>
    </row>
    <row r="2493">
      <c r="A2493" s="294"/>
      <c r="B2493" s="295"/>
      <c r="C2493" s="295"/>
      <c r="D2493" s="296"/>
      <c r="E2493" s="295"/>
      <c r="F2493" s="292"/>
      <c r="G2493" s="293" t="str">
        <f>IFNA(IF(VLOOKUP(RC_OUT[BLOCK],RC_IN[[BLOCK]:[BLOCK LOC]],2,FALSE)=0,"",VLOOKUP(RC_OUT[BLOCK],RC_IN[[BLOCK]:[BLOCK LOC]],2,FALSE)),"")</f>
        <v/>
      </c>
      <c r="I2493" s="263" t="str">
        <f>IFERROR(AVERAGEIFS(RC_IN[MC],RC_IN[BLOCK],RC_OUT[BLOCK]),"")</f>
        <v/>
      </c>
      <c r="J2493" s="264">
        <f t="shared" si="54"/>
        <v>0</v>
      </c>
      <c r="K2493" s="246"/>
      <c r="L2493" s="246"/>
      <c r="M2493" s="249"/>
      <c r="N2493" s="266">
        <f t="shared" si="53"/>
        <v>0</v>
      </c>
      <c r="O2493" s="247"/>
      <c r="P2493" s="247"/>
      <c r="Q2493" s="247"/>
      <c r="R2493" s="247"/>
      <c r="S2493" s="247"/>
      <c r="T2493" s="247"/>
      <c r="U2493" s="247"/>
      <c r="V2493" s="247"/>
      <c r="W2493" s="247"/>
      <c r="X2493" s="247"/>
    </row>
    <row r="2494">
      <c r="A2494" s="294"/>
      <c r="B2494" s="295"/>
      <c r="C2494" s="295"/>
      <c r="D2494" s="296"/>
      <c r="E2494" s="295"/>
      <c r="F2494" s="292"/>
      <c r="G2494" s="293" t="str">
        <f>IFNA(IF(VLOOKUP(RC_OUT[BLOCK],RC_IN[[BLOCK]:[BLOCK LOC]],2,FALSE)=0,"",VLOOKUP(RC_OUT[BLOCK],RC_IN[[BLOCK]:[BLOCK LOC]],2,FALSE)),"")</f>
        <v/>
      </c>
      <c r="I2494" s="263" t="str">
        <f>IFERROR(AVERAGEIFS(RC_IN[MC],RC_IN[BLOCK],RC_OUT[BLOCK]),"")</f>
        <v/>
      </c>
      <c r="J2494" s="264">
        <f t="shared" si="54"/>
        <v>0</v>
      </c>
      <c r="K2494" s="246"/>
      <c r="L2494" s="246"/>
      <c r="M2494" s="249"/>
      <c r="N2494" s="266">
        <f t="shared" si="53"/>
        <v>0</v>
      </c>
      <c r="O2494" s="247"/>
      <c r="P2494" s="247"/>
      <c r="Q2494" s="247"/>
      <c r="R2494" s="247"/>
      <c r="S2494" s="247"/>
      <c r="T2494" s="247"/>
      <c r="U2494" s="247"/>
      <c r="V2494" s="247"/>
      <c r="W2494" s="247"/>
      <c r="X2494" s="247"/>
    </row>
    <row r="2495">
      <c r="A2495" s="294"/>
      <c r="B2495" s="295"/>
      <c r="C2495" s="295"/>
      <c r="D2495" s="296"/>
      <c r="E2495" s="295"/>
      <c r="F2495" s="292"/>
      <c r="G2495" s="293" t="str">
        <f>IFNA(IF(VLOOKUP(RC_OUT[BLOCK],RC_IN[[BLOCK]:[BLOCK LOC]],2,FALSE)=0,"",VLOOKUP(RC_OUT[BLOCK],RC_IN[[BLOCK]:[BLOCK LOC]],2,FALSE)),"")</f>
        <v/>
      </c>
      <c r="I2495" s="263" t="str">
        <f>IFERROR(AVERAGEIFS(RC_IN[MC],RC_IN[BLOCK],RC_OUT[BLOCK]),"")</f>
        <v/>
      </c>
      <c r="J2495" s="264">
        <f t="shared" si="54"/>
        <v>0</v>
      </c>
      <c r="K2495" s="246"/>
      <c r="L2495" s="246"/>
      <c r="M2495" s="249"/>
      <c r="N2495" s="266">
        <f t="shared" si="53"/>
        <v>0</v>
      </c>
      <c r="O2495" s="247"/>
      <c r="P2495" s="247"/>
      <c r="Q2495" s="247"/>
      <c r="R2495" s="247"/>
      <c r="S2495" s="247"/>
      <c r="T2495" s="247"/>
      <c r="U2495" s="247"/>
      <c r="V2495" s="247"/>
      <c r="W2495" s="247"/>
      <c r="X2495" s="247"/>
    </row>
    <row r="2496">
      <c r="A2496" s="294"/>
      <c r="B2496" s="295"/>
      <c r="C2496" s="295"/>
      <c r="D2496" s="296"/>
      <c r="E2496" s="295"/>
      <c r="F2496" s="292"/>
      <c r="G2496" s="293" t="str">
        <f>IFNA(IF(VLOOKUP(RC_OUT[BLOCK],RC_IN[[BLOCK]:[BLOCK LOC]],2,FALSE)=0,"",VLOOKUP(RC_OUT[BLOCK],RC_IN[[BLOCK]:[BLOCK LOC]],2,FALSE)),"")</f>
        <v/>
      </c>
      <c r="I2496" s="263" t="str">
        <f>IFERROR(AVERAGEIFS(RC_IN[MC],RC_IN[BLOCK],RC_OUT[BLOCK]),"")</f>
        <v/>
      </c>
      <c r="J2496" s="264">
        <f t="shared" si="54"/>
        <v>0</v>
      </c>
      <c r="K2496" s="246"/>
      <c r="L2496" s="246"/>
      <c r="M2496" s="249"/>
      <c r="N2496" s="266">
        <f t="shared" si="53"/>
        <v>0</v>
      </c>
      <c r="O2496" s="247"/>
      <c r="P2496" s="247"/>
      <c r="Q2496" s="247"/>
      <c r="R2496" s="247"/>
      <c r="S2496" s="247"/>
      <c r="T2496" s="247"/>
      <c r="U2496" s="247"/>
      <c r="V2496" s="247"/>
      <c r="W2496" s="247"/>
      <c r="X2496" s="247"/>
    </row>
    <row r="2497">
      <c r="A2497" s="294"/>
      <c r="B2497" s="295"/>
      <c r="C2497" s="295"/>
      <c r="D2497" s="296"/>
      <c r="E2497" s="295"/>
      <c r="F2497" s="292"/>
      <c r="G2497" s="293" t="str">
        <f>IFNA(IF(VLOOKUP(RC_OUT[BLOCK],RC_IN[[BLOCK]:[BLOCK LOC]],2,FALSE)=0,"",VLOOKUP(RC_OUT[BLOCK],RC_IN[[BLOCK]:[BLOCK LOC]],2,FALSE)),"")</f>
        <v/>
      </c>
      <c r="I2497" s="263" t="str">
        <f>IFERROR(AVERAGEIFS(RC_IN[MC],RC_IN[BLOCK],RC_OUT[BLOCK]),"")</f>
        <v/>
      </c>
      <c r="J2497" s="264">
        <f t="shared" si="54"/>
        <v>0</v>
      </c>
      <c r="K2497" s="246"/>
      <c r="L2497" s="246"/>
      <c r="M2497" s="249"/>
      <c r="N2497" s="266">
        <f t="shared" si="53"/>
        <v>0</v>
      </c>
      <c r="O2497" s="247"/>
      <c r="P2497" s="247"/>
      <c r="Q2497" s="247"/>
      <c r="R2497" s="247"/>
      <c r="S2497" s="247"/>
      <c r="T2497" s="247"/>
      <c r="U2497" s="247"/>
      <c r="V2497" s="247"/>
      <c r="W2497" s="247"/>
      <c r="X2497" s="247"/>
    </row>
    <row r="2498">
      <c r="A2498" s="294"/>
      <c r="B2498" s="295"/>
      <c r="C2498" s="295"/>
      <c r="D2498" s="296"/>
      <c r="E2498" s="295"/>
      <c r="F2498" s="292"/>
      <c r="G2498" s="293" t="str">
        <f>IFNA(IF(VLOOKUP(RC_OUT[BLOCK],RC_IN[[BLOCK]:[BLOCK LOC]],2,FALSE)=0,"",VLOOKUP(RC_OUT[BLOCK],RC_IN[[BLOCK]:[BLOCK LOC]],2,FALSE)),"")</f>
        <v/>
      </c>
      <c r="I2498" s="263" t="str">
        <f>IFERROR(AVERAGEIFS(RC_IN[MC],RC_IN[BLOCK],RC_OUT[BLOCK]),"")</f>
        <v/>
      </c>
      <c r="J2498" s="264">
        <f t="shared" si="54"/>
        <v>0</v>
      </c>
      <c r="K2498" s="246"/>
      <c r="L2498" s="246"/>
      <c r="M2498" s="249"/>
      <c r="N2498" s="266">
        <f t="shared" si="53"/>
        <v>0</v>
      </c>
      <c r="O2498" s="247"/>
      <c r="P2498" s="247"/>
      <c r="Q2498" s="247"/>
      <c r="R2498" s="247"/>
      <c r="S2498" s="247"/>
      <c r="T2498" s="247"/>
      <c r="U2498" s="247"/>
      <c r="V2498" s="247"/>
      <c r="W2498" s="247"/>
      <c r="X2498" s="247"/>
    </row>
    <row r="2499">
      <c r="A2499" s="294"/>
      <c r="B2499" s="295"/>
      <c r="C2499" s="295"/>
      <c r="D2499" s="296"/>
      <c r="E2499" s="295"/>
      <c r="F2499" s="292"/>
      <c r="G2499" s="293" t="str">
        <f>IFNA(IF(VLOOKUP(RC_OUT[BLOCK],RC_IN[[BLOCK]:[BLOCK LOC]],2,FALSE)=0,"",VLOOKUP(RC_OUT[BLOCK],RC_IN[[BLOCK]:[BLOCK LOC]],2,FALSE)),"")</f>
        <v/>
      </c>
      <c r="I2499" s="263" t="str">
        <f>IFERROR(AVERAGEIFS(RC_IN[MC],RC_IN[BLOCK],RC_OUT[BLOCK]),"")</f>
        <v/>
      </c>
      <c r="J2499" s="264">
        <f t="shared" si="54"/>
        <v>0</v>
      </c>
      <c r="K2499" s="246"/>
      <c r="L2499" s="246"/>
      <c r="M2499" s="249"/>
      <c r="N2499" s="266">
        <f t="shared" si="53"/>
        <v>0</v>
      </c>
      <c r="O2499" s="247"/>
      <c r="P2499" s="247"/>
      <c r="Q2499" s="247"/>
      <c r="R2499" s="247"/>
      <c r="S2499" s="247"/>
      <c r="T2499" s="247"/>
      <c r="U2499" s="247"/>
      <c r="V2499" s="247"/>
      <c r="W2499" s="247"/>
      <c r="X2499" s="247"/>
    </row>
    <row r="2500">
      <c r="A2500" s="294"/>
      <c r="B2500" s="295"/>
      <c r="C2500" s="295"/>
      <c r="D2500" s="296"/>
      <c r="E2500" s="295"/>
      <c r="F2500" s="292"/>
      <c r="G2500" s="293" t="str">
        <f>IFNA(IF(VLOOKUP(RC_OUT[BLOCK],RC_IN[[BLOCK]:[BLOCK LOC]],2,FALSE)=0,"",VLOOKUP(RC_OUT[BLOCK],RC_IN[[BLOCK]:[BLOCK LOC]],2,FALSE)),"")</f>
        <v/>
      </c>
      <c r="I2500" s="263" t="str">
        <f>IFERROR(AVERAGEIFS(RC_IN[MC],RC_IN[BLOCK],RC_OUT[BLOCK]),"")</f>
        <v/>
      </c>
      <c r="J2500" s="264">
        <f t="shared" si="54"/>
        <v>0</v>
      </c>
      <c r="K2500" s="246"/>
      <c r="L2500" s="246"/>
      <c r="M2500" s="249"/>
      <c r="N2500" s="266">
        <f t="shared" si="53"/>
        <v>0</v>
      </c>
      <c r="O2500" s="247"/>
      <c r="P2500" s="247"/>
      <c r="Q2500" s="247"/>
      <c r="R2500" s="247"/>
      <c r="S2500" s="247"/>
      <c r="T2500" s="247"/>
      <c r="U2500" s="247"/>
      <c r="V2500" s="247"/>
      <c r="W2500" s="247"/>
      <c r="X2500" s="247"/>
    </row>
    <row r="2501">
      <c r="A2501" s="294"/>
      <c r="B2501" s="295"/>
      <c r="C2501" s="295"/>
      <c r="D2501" s="296"/>
      <c r="E2501" s="295"/>
      <c r="F2501" s="292"/>
      <c r="G2501" s="293" t="str">
        <f>IFNA(IF(VLOOKUP(RC_OUT[BLOCK],RC_IN[[BLOCK]:[BLOCK LOC]],2,FALSE)=0,"",VLOOKUP(RC_OUT[BLOCK],RC_IN[[BLOCK]:[BLOCK LOC]],2,FALSE)),"")</f>
        <v/>
      </c>
      <c r="I2501" s="263" t="str">
        <f>IFERROR(AVERAGEIFS(RC_IN[MC],RC_IN[BLOCK],RC_OUT[BLOCK]),"")</f>
        <v/>
      </c>
      <c r="J2501" s="264">
        <f t="shared" si="54"/>
        <v>0</v>
      </c>
      <c r="K2501" s="246"/>
      <c r="L2501" s="246"/>
      <c r="M2501" s="249"/>
      <c r="N2501" s="266">
        <f t="shared" si="53"/>
        <v>0</v>
      </c>
      <c r="O2501" s="247"/>
      <c r="P2501" s="247"/>
      <c r="Q2501" s="247"/>
      <c r="R2501" s="247"/>
      <c r="S2501" s="247"/>
      <c r="T2501" s="247"/>
      <c r="U2501" s="247"/>
      <c r="V2501" s="247"/>
      <c r="W2501" s="247"/>
      <c r="X2501" s="247"/>
    </row>
    <row r="2502">
      <c r="A2502" s="294"/>
      <c r="B2502" s="295"/>
      <c r="C2502" s="295"/>
      <c r="D2502" s="296"/>
      <c r="E2502" s="295"/>
      <c r="F2502" s="292"/>
      <c r="G2502" s="293" t="str">
        <f>IFNA(IF(VLOOKUP(RC_OUT[BLOCK],RC_IN[[BLOCK]:[BLOCK LOC]],2,FALSE)=0,"",VLOOKUP(RC_OUT[BLOCK],RC_IN[[BLOCK]:[BLOCK LOC]],2,FALSE)),"")</f>
        <v/>
      </c>
      <c r="I2502" s="263" t="str">
        <f>IFERROR(AVERAGEIFS(RC_IN[MC],RC_IN[BLOCK],RC_OUT[BLOCK]),"")</f>
        <v/>
      </c>
      <c r="J2502" s="264">
        <f t="shared" si="54"/>
        <v>0</v>
      </c>
      <c r="K2502" s="246"/>
      <c r="L2502" s="246"/>
      <c r="M2502" s="249"/>
      <c r="N2502" s="266">
        <f t="shared" si="53"/>
        <v>0</v>
      </c>
      <c r="O2502" s="247"/>
      <c r="P2502" s="247"/>
      <c r="Q2502" s="247"/>
      <c r="R2502" s="247"/>
      <c r="S2502" s="247"/>
      <c r="T2502" s="247"/>
      <c r="U2502" s="247"/>
      <c r="V2502" s="247"/>
      <c r="W2502" s="247"/>
      <c r="X2502" s="247"/>
    </row>
    <row r="2503">
      <c r="A2503" s="294"/>
      <c r="B2503" s="295"/>
      <c r="C2503" s="295"/>
      <c r="D2503" s="296"/>
      <c r="E2503" s="295"/>
      <c r="F2503" s="292"/>
      <c r="G2503" s="293" t="str">
        <f>IFNA(IF(VLOOKUP(RC_OUT[BLOCK],RC_IN[[BLOCK]:[BLOCK LOC]],2,FALSE)=0,"",VLOOKUP(RC_OUT[BLOCK],RC_IN[[BLOCK]:[BLOCK LOC]],2,FALSE)),"")</f>
        <v/>
      </c>
      <c r="I2503" s="263" t="str">
        <f>IFERROR(AVERAGEIFS(RC_IN[MC],RC_IN[BLOCK],RC_OUT[BLOCK]),"")</f>
        <v/>
      </c>
      <c r="J2503" s="264">
        <f t="shared" si="54"/>
        <v>0</v>
      </c>
      <c r="K2503" s="246"/>
      <c r="L2503" s="246"/>
      <c r="M2503" s="249"/>
      <c r="N2503" s="266">
        <f t="shared" si="53"/>
        <v>0</v>
      </c>
      <c r="O2503" s="247"/>
      <c r="P2503" s="247"/>
      <c r="Q2503" s="247"/>
      <c r="R2503" s="247"/>
      <c r="S2503" s="247"/>
      <c r="T2503" s="247"/>
      <c r="U2503" s="247"/>
      <c r="V2503" s="247"/>
      <c r="W2503" s="247"/>
      <c r="X2503" s="247"/>
    </row>
    <row r="2504">
      <c r="A2504" s="294"/>
      <c r="B2504" s="295"/>
      <c r="C2504" s="295"/>
      <c r="D2504" s="296"/>
      <c r="E2504" s="295"/>
      <c r="F2504" s="292"/>
      <c r="G2504" s="293" t="str">
        <f>IFNA(IF(VLOOKUP(RC_OUT[BLOCK],RC_IN[[BLOCK]:[BLOCK LOC]],2,FALSE)=0,"",VLOOKUP(RC_OUT[BLOCK],RC_IN[[BLOCK]:[BLOCK LOC]],2,FALSE)),"")</f>
        <v/>
      </c>
      <c r="I2504" s="263" t="str">
        <f>IFERROR(AVERAGEIFS(RC_IN[MC],RC_IN[BLOCK],RC_OUT[BLOCK]),"")</f>
        <v/>
      </c>
      <c r="J2504" s="264">
        <f t="shared" si="54"/>
        <v>0</v>
      </c>
      <c r="K2504" s="246"/>
      <c r="L2504" s="246"/>
      <c r="M2504" s="249"/>
      <c r="N2504" s="266">
        <f t="shared" si="53"/>
        <v>0</v>
      </c>
      <c r="O2504" s="247"/>
      <c r="P2504" s="247"/>
      <c r="Q2504" s="247"/>
      <c r="R2504" s="247"/>
      <c r="S2504" s="247"/>
      <c r="T2504" s="247"/>
      <c r="U2504" s="247"/>
      <c r="V2504" s="247"/>
      <c r="W2504" s="247"/>
      <c r="X2504" s="247"/>
    </row>
    <row r="2505">
      <c r="A2505" s="294"/>
      <c r="B2505" s="295"/>
      <c r="C2505" s="295"/>
      <c r="D2505" s="296"/>
      <c r="E2505" s="295"/>
      <c r="F2505" s="292"/>
      <c r="G2505" s="293" t="str">
        <f>IFNA(IF(VLOOKUP(RC_OUT[BLOCK],RC_IN[[BLOCK]:[BLOCK LOC]],2,FALSE)=0,"",VLOOKUP(RC_OUT[BLOCK],RC_IN[[BLOCK]:[BLOCK LOC]],2,FALSE)),"")</f>
        <v/>
      </c>
      <c r="I2505" s="263" t="str">
        <f>IFERROR(AVERAGEIFS(RC_IN[MC],RC_IN[BLOCK],RC_OUT[BLOCK]),"")</f>
        <v/>
      </c>
      <c r="J2505" s="264">
        <f t="shared" si="54"/>
        <v>0</v>
      </c>
      <c r="K2505" s="246"/>
      <c r="L2505" s="246"/>
      <c r="M2505" s="249"/>
      <c r="N2505" s="266">
        <f t="shared" si="53"/>
        <v>0</v>
      </c>
      <c r="O2505" s="247"/>
      <c r="P2505" s="247"/>
      <c r="Q2505" s="247"/>
      <c r="R2505" s="247"/>
      <c r="S2505" s="247"/>
      <c r="T2505" s="247"/>
      <c r="U2505" s="247"/>
      <c r="V2505" s="247"/>
      <c r="W2505" s="247"/>
      <c r="X2505" s="247"/>
    </row>
    <row r="2506">
      <c r="A2506" s="294"/>
      <c r="B2506" s="295"/>
      <c r="C2506" s="295"/>
      <c r="D2506" s="296"/>
      <c r="E2506" s="295"/>
      <c r="F2506" s="292"/>
      <c r="G2506" s="293" t="str">
        <f>IFNA(IF(VLOOKUP(RC_OUT[BLOCK],RC_IN[[BLOCK]:[BLOCK LOC]],2,FALSE)=0,"",VLOOKUP(RC_OUT[BLOCK],RC_IN[[BLOCK]:[BLOCK LOC]],2,FALSE)),"")</f>
        <v/>
      </c>
      <c r="I2506" s="263" t="str">
        <f>IFERROR(AVERAGEIFS(RC_IN[MC],RC_IN[BLOCK],RC_OUT[BLOCK]),"")</f>
        <v/>
      </c>
      <c r="J2506" s="264">
        <f t="shared" si="54"/>
        <v>0</v>
      </c>
      <c r="K2506" s="246"/>
      <c r="L2506" s="246"/>
      <c r="M2506" s="249"/>
      <c r="N2506" s="266">
        <f t="shared" si="53"/>
        <v>0</v>
      </c>
      <c r="O2506" s="247"/>
      <c r="P2506" s="247"/>
      <c r="Q2506" s="247"/>
      <c r="R2506" s="247"/>
      <c r="S2506" s="247"/>
      <c r="T2506" s="247"/>
      <c r="U2506" s="247"/>
      <c r="V2506" s="247"/>
      <c r="W2506" s="247"/>
      <c r="X2506" s="247"/>
    </row>
    <row r="2507">
      <c r="A2507" s="294"/>
      <c r="B2507" s="295"/>
      <c r="C2507" s="295"/>
      <c r="D2507" s="296"/>
      <c r="E2507" s="295"/>
      <c r="F2507" s="292"/>
      <c r="G2507" s="293" t="str">
        <f>IFNA(IF(VLOOKUP(RC_OUT[BLOCK],RC_IN[[BLOCK]:[BLOCK LOC]],2,FALSE)=0,"",VLOOKUP(RC_OUT[BLOCK],RC_IN[[BLOCK]:[BLOCK LOC]],2,FALSE)),"")</f>
        <v/>
      </c>
      <c r="I2507" s="263" t="str">
        <f>IFERROR(AVERAGEIFS(RC_IN[MC],RC_IN[BLOCK],RC_OUT[BLOCK]),"")</f>
        <v/>
      </c>
      <c r="J2507" s="264">
        <f t="shared" si="54"/>
        <v>0</v>
      </c>
      <c r="K2507" s="246"/>
      <c r="L2507" s="246"/>
      <c r="M2507" s="249"/>
      <c r="N2507" s="266">
        <f t="shared" si="53"/>
        <v>0</v>
      </c>
      <c r="O2507" s="247"/>
      <c r="P2507" s="247"/>
      <c r="Q2507" s="247"/>
      <c r="R2507" s="247"/>
      <c r="S2507" s="247"/>
      <c r="T2507" s="247"/>
      <c r="U2507" s="247"/>
      <c r="V2507" s="247"/>
      <c r="W2507" s="247"/>
      <c r="X2507" s="247"/>
    </row>
    <row r="2508">
      <c r="A2508" s="294"/>
      <c r="B2508" s="295"/>
      <c r="C2508" s="295"/>
      <c r="D2508" s="296"/>
      <c r="E2508" s="295"/>
      <c r="F2508" s="292"/>
      <c r="G2508" s="293" t="str">
        <f>IFNA(IF(VLOOKUP(RC_OUT[BLOCK],RC_IN[[BLOCK]:[BLOCK LOC]],2,FALSE)=0,"",VLOOKUP(RC_OUT[BLOCK],RC_IN[[BLOCK]:[BLOCK LOC]],2,FALSE)),"")</f>
        <v/>
      </c>
      <c r="I2508" s="263" t="str">
        <f>IFERROR(AVERAGEIFS(RC_IN[MC],RC_IN[BLOCK],RC_OUT[BLOCK]),"")</f>
        <v/>
      </c>
      <c r="J2508" s="264">
        <f t="shared" si="54"/>
        <v>0</v>
      </c>
      <c r="K2508" s="246"/>
      <c r="L2508" s="246"/>
      <c r="M2508" s="249"/>
      <c r="N2508" s="266">
        <f t="shared" si="53"/>
        <v>0</v>
      </c>
      <c r="O2508" s="247"/>
      <c r="P2508" s="247"/>
      <c r="Q2508" s="247"/>
      <c r="R2508" s="247"/>
      <c r="S2508" s="247"/>
      <c r="T2508" s="247"/>
      <c r="U2508" s="247"/>
      <c r="V2508" s="247"/>
      <c r="W2508" s="247"/>
      <c r="X2508" s="247"/>
    </row>
    <row r="2509">
      <c r="A2509" s="294"/>
      <c r="B2509" s="295"/>
      <c r="C2509" s="295"/>
      <c r="D2509" s="296"/>
      <c r="E2509" s="295"/>
      <c r="F2509" s="292"/>
      <c r="G2509" s="293" t="str">
        <f>IFNA(IF(VLOOKUP(RC_OUT[BLOCK],RC_IN[[BLOCK]:[BLOCK LOC]],2,FALSE)=0,"",VLOOKUP(RC_OUT[BLOCK],RC_IN[[BLOCK]:[BLOCK LOC]],2,FALSE)),"")</f>
        <v/>
      </c>
      <c r="I2509" s="263" t="str">
        <f>IFERROR(AVERAGEIFS(RC_IN[MC],RC_IN[BLOCK],RC_OUT[BLOCK]),"")</f>
        <v/>
      </c>
      <c r="J2509" s="264">
        <f t="shared" si="54"/>
        <v>0</v>
      </c>
      <c r="K2509" s="246"/>
      <c r="L2509" s="246"/>
      <c r="M2509" s="249"/>
      <c r="N2509" s="266">
        <f t="shared" si="53"/>
        <v>0</v>
      </c>
      <c r="O2509" s="247"/>
      <c r="P2509" s="247"/>
      <c r="Q2509" s="247"/>
      <c r="R2509" s="247"/>
      <c r="S2509" s="247"/>
      <c r="T2509" s="247"/>
      <c r="U2509" s="247"/>
      <c r="V2509" s="247"/>
      <c r="W2509" s="247"/>
      <c r="X2509" s="247"/>
    </row>
    <row r="2510">
      <c r="A2510" s="294"/>
      <c r="B2510" s="295"/>
      <c r="C2510" s="295"/>
      <c r="D2510" s="296"/>
      <c r="E2510" s="295"/>
      <c r="F2510" s="292"/>
      <c r="G2510" s="293" t="str">
        <f>IFNA(IF(VLOOKUP(RC_OUT[BLOCK],RC_IN[[BLOCK]:[BLOCK LOC]],2,FALSE)=0,"",VLOOKUP(RC_OUT[BLOCK],RC_IN[[BLOCK]:[BLOCK LOC]],2,FALSE)),"")</f>
        <v/>
      </c>
      <c r="I2510" s="263" t="str">
        <f>IFERROR(AVERAGEIFS(RC_IN[MC],RC_IN[BLOCK],RC_OUT[BLOCK]),"")</f>
        <v/>
      </c>
      <c r="J2510" s="264">
        <f t="shared" si="54"/>
        <v>0</v>
      </c>
      <c r="K2510" s="246"/>
      <c r="L2510" s="246"/>
      <c r="M2510" s="249"/>
      <c r="N2510" s="266">
        <f t="shared" si="53"/>
        <v>0</v>
      </c>
      <c r="O2510" s="247"/>
      <c r="P2510" s="247"/>
      <c r="Q2510" s="247"/>
      <c r="R2510" s="247"/>
      <c r="S2510" s="247"/>
      <c r="T2510" s="247"/>
      <c r="U2510" s="247"/>
      <c r="V2510" s="247"/>
      <c r="W2510" s="247"/>
      <c r="X2510" s="247"/>
    </row>
    <row r="2511">
      <c r="A2511" s="294"/>
      <c r="B2511" s="295"/>
      <c r="C2511" s="295"/>
      <c r="D2511" s="296"/>
      <c r="E2511" s="295"/>
      <c r="F2511" s="292"/>
      <c r="G2511" s="293" t="str">
        <f>IFNA(IF(VLOOKUP(RC_OUT[BLOCK],RC_IN[[BLOCK]:[BLOCK LOC]],2,FALSE)=0,"",VLOOKUP(RC_OUT[BLOCK],RC_IN[[BLOCK]:[BLOCK LOC]],2,FALSE)),"")</f>
        <v/>
      </c>
      <c r="I2511" s="263" t="str">
        <f>IFERROR(AVERAGEIFS(RC_IN[MC],RC_IN[BLOCK],RC_OUT[BLOCK]),"")</f>
        <v/>
      </c>
      <c r="J2511" s="264">
        <f t="shared" si="54"/>
        <v>0</v>
      </c>
      <c r="K2511" s="246"/>
      <c r="L2511" s="246"/>
      <c r="M2511" s="249"/>
      <c r="N2511" s="266">
        <f t="shared" si="53"/>
        <v>0</v>
      </c>
      <c r="O2511" s="247"/>
      <c r="P2511" s="247"/>
      <c r="Q2511" s="247"/>
      <c r="R2511" s="247"/>
      <c r="S2511" s="247"/>
      <c r="T2511" s="247"/>
      <c r="U2511" s="247"/>
      <c r="V2511" s="247"/>
      <c r="W2511" s="247"/>
      <c r="X2511" s="247"/>
    </row>
    <row r="2512">
      <c r="A2512" s="294"/>
      <c r="B2512" s="295"/>
      <c r="C2512" s="295"/>
      <c r="D2512" s="296"/>
      <c r="E2512" s="295"/>
      <c r="F2512" s="292"/>
      <c r="G2512" s="293" t="str">
        <f>IFNA(IF(VLOOKUP(RC_OUT[BLOCK],RC_IN[[BLOCK]:[BLOCK LOC]],2,FALSE)=0,"",VLOOKUP(RC_OUT[BLOCK],RC_IN[[BLOCK]:[BLOCK LOC]],2,FALSE)),"")</f>
        <v/>
      </c>
      <c r="I2512" s="263" t="str">
        <f>IFERROR(AVERAGEIFS(RC_IN[MC],RC_IN[BLOCK],RC_OUT[BLOCK]),"")</f>
        <v/>
      </c>
      <c r="J2512" s="264">
        <f t="shared" si="54"/>
        <v>0</v>
      </c>
      <c r="K2512" s="246"/>
      <c r="L2512" s="246"/>
      <c r="M2512" s="249"/>
      <c r="N2512" s="266">
        <f t="shared" si="53"/>
        <v>0</v>
      </c>
      <c r="O2512" s="247"/>
      <c r="P2512" s="247"/>
      <c r="Q2512" s="247"/>
      <c r="R2512" s="247"/>
      <c r="S2512" s="247"/>
      <c r="T2512" s="247"/>
      <c r="U2512" s="247"/>
      <c r="V2512" s="247"/>
      <c r="W2512" s="247"/>
      <c r="X2512" s="247"/>
    </row>
    <row r="2513">
      <c r="A2513" s="294"/>
      <c r="B2513" s="295"/>
      <c r="C2513" s="295"/>
      <c r="D2513" s="296"/>
      <c r="E2513" s="295"/>
      <c r="F2513" s="292"/>
      <c r="G2513" s="293" t="str">
        <f>IFNA(IF(VLOOKUP(RC_OUT[BLOCK],RC_IN[[BLOCK]:[BLOCK LOC]],2,FALSE)=0,"",VLOOKUP(RC_OUT[BLOCK],RC_IN[[BLOCK]:[BLOCK LOC]],2,FALSE)),"")</f>
        <v/>
      </c>
      <c r="I2513" s="263" t="str">
        <f>IFERROR(AVERAGEIFS(RC_IN[MC],RC_IN[BLOCK],RC_OUT[BLOCK]),"")</f>
        <v/>
      </c>
      <c r="J2513" s="264">
        <f t="shared" si="54"/>
        <v>0</v>
      </c>
      <c r="K2513" s="246"/>
      <c r="L2513" s="246"/>
      <c r="M2513" s="249"/>
      <c r="N2513" s="266">
        <f t="shared" si="53"/>
        <v>0</v>
      </c>
      <c r="O2513" s="247"/>
      <c r="P2513" s="247"/>
      <c r="Q2513" s="247"/>
      <c r="R2513" s="247"/>
      <c r="S2513" s="247"/>
      <c r="T2513" s="247"/>
      <c r="U2513" s="247"/>
      <c r="V2513" s="247"/>
      <c r="W2513" s="247"/>
      <c r="X2513" s="247"/>
    </row>
    <row r="2514">
      <c r="A2514" s="294"/>
      <c r="B2514" s="295"/>
      <c r="C2514" s="295"/>
      <c r="D2514" s="296"/>
      <c r="E2514" s="295"/>
      <c r="F2514" s="292"/>
      <c r="G2514" s="293" t="str">
        <f>IFNA(IF(VLOOKUP(RC_OUT[BLOCK],RC_IN[[BLOCK]:[BLOCK LOC]],2,FALSE)=0,"",VLOOKUP(RC_OUT[BLOCK],RC_IN[[BLOCK]:[BLOCK LOC]],2,FALSE)),"")</f>
        <v/>
      </c>
      <c r="I2514" s="263" t="str">
        <f>IFERROR(AVERAGEIFS(RC_IN[MC],RC_IN[BLOCK],RC_OUT[BLOCK]),"")</f>
        <v/>
      </c>
      <c r="J2514" s="264">
        <f t="shared" si="54"/>
        <v>0</v>
      </c>
      <c r="K2514" s="246"/>
      <c r="L2514" s="246"/>
      <c r="M2514" s="249"/>
      <c r="N2514" s="266">
        <f t="shared" si="53"/>
        <v>0</v>
      </c>
      <c r="O2514" s="247"/>
      <c r="P2514" s="247"/>
      <c r="Q2514" s="247"/>
      <c r="R2514" s="247"/>
      <c r="S2514" s="247"/>
      <c r="T2514" s="247"/>
      <c r="U2514" s="247"/>
      <c r="V2514" s="247"/>
      <c r="W2514" s="247"/>
      <c r="X2514" s="247"/>
    </row>
    <row r="2515">
      <c r="A2515" s="294"/>
      <c r="B2515" s="295"/>
      <c r="C2515" s="295"/>
      <c r="D2515" s="296"/>
      <c r="E2515" s="295"/>
      <c r="F2515" s="292"/>
      <c r="G2515" s="293" t="str">
        <f>IFNA(IF(VLOOKUP(RC_OUT[BLOCK],RC_IN[[BLOCK]:[BLOCK LOC]],2,FALSE)=0,"",VLOOKUP(RC_OUT[BLOCK],RC_IN[[BLOCK]:[BLOCK LOC]],2,FALSE)),"")</f>
        <v/>
      </c>
      <c r="I2515" s="263" t="str">
        <f>IFERROR(AVERAGEIFS(RC_IN[MC],RC_IN[BLOCK],RC_OUT[BLOCK]),"")</f>
        <v/>
      </c>
      <c r="J2515" s="264">
        <f t="shared" si="54"/>
        <v>0</v>
      </c>
      <c r="K2515" s="246"/>
      <c r="L2515" s="246"/>
      <c r="M2515" s="249"/>
      <c r="N2515" s="266">
        <f t="shared" si="53"/>
        <v>0</v>
      </c>
      <c r="O2515" s="247"/>
      <c r="P2515" s="247"/>
      <c r="Q2515" s="247"/>
      <c r="R2515" s="247"/>
      <c r="S2515" s="247"/>
      <c r="T2515" s="247"/>
      <c r="U2515" s="247"/>
      <c r="V2515" s="247"/>
      <c r="W2515" s="247"/>
      <c r="X2515" s="247"/>
    </row>
    <row r="2516">
      <c r="A2516" s="294"/>
      <c r="B2516" s="295"/>
      <c r="C2516" s="295"/>
      <c r="D2516" s="296"/>
      <c r="E2516" s="295"/>
      <c r="F2516" s="292"/>
      <c r="G2516" s="293" t="str">
        <f>IFNA(IF(VLOOKUP(RC_OUT[BLOCK],RC_IN[[BLOCK]:[BLOCK LOC]],2,FALSE)=0,"",VLOOKUP(RC_OUT[BLOCK],RC_IN[[BLOCK]:[BLOCK LOC]],2,FALSE)),"")</f>
        <v/>
      </c>
      <c r="I2516" s="263" t="str">
        <f>IFERROR(AVERAGEIFS(RC_IN[MC],RC_IN[BLOCK],RC_OUT[BLOCK]),"")</f>
        <v/>
      </c>
      <c r="J2516" s="264">
        <f t="shared" si="54"/>
        <v>0</v>
      </c>
      <c r="K2516" s="246"/>
      <c r="L2516" s="246"/>
      <c r="M2516" s="249"/>
      <c r="N2516" s="266">
        <f t="shared" si="53"/>
        <v>0</v>
      </c>
      <c r="O2516" s="247"/>
      <c r="P2516" s="247"/>
      <c r="Q2516" s="247"/>
      <c r="R2516" s="247"/>
      <c r="S2516" s="247"/>
      <c r="T2516" s="247"/>
      <c r="U2516" s="247"/>
      <c r="V2516" s="247"/>
      <c r="W2516" s="247"/>
      <c r="X2516" s="247"/>
    </row>
    <row r="2517">
      <c r="A2517" s="294"/>
      <c r="B2517" s="295"/>
      <c r="C2517" s="295"/>
      <c r="D2517" s="296"/>
      <c r="E2517" s="295"/>
      <c r="F2517" s="292"/>
      <c r="G2517" s="293" t="str">
        <f>IFNA(IF(VLOOKUP(RC_OUT[BLOCK],RC_IN[[BLOCK]:[BLOCK LOC]],2,FALSE)=0,"",VLOOKUP(RC_OUT[BLOCK],RC_IN[[BLOCK]:[BLOCK LOC]],2,FALSE)),"")</f>
        <v/>
      </c>
      <c r="I2517" s="263" t="str">
        <f>IFERROR(AVERAGEIFS(RC_IN[MC],RC_IN[BLOCK],RC_OUT[BLOCK]),"")</f>
        <v/>
      </c>
      <c r="J2517" s="264">
        <f t="shared" si="54"/>
        <v>0</v>
      </c>
      <c r="K2517" s="246"/>
      <c r="L2517" s="246"/>
      <c r="M2517" s="249"/>
      <c r="N2517" s="266">
        <f t="shared" si="53"/>
        <v>0</v>
      </c>
      <c r="O2517" s="247"/>
      <c r="P2517" s="247"/>
      <c r="Q2517" s="247"/>
      <c r="R2517" s="247"/>
      <c r="S2517" s="247"/>
      <c r="T2517" s="247"/>
      <c r="U2517" s="247"/>
      <c r="V2517" s="247"/>
      <c r="W2517" s="247"/>
      <c r="X2517" s="247"/>
    </row>
    <row r="2518">
      <c r="A2518" s="294"/>
      <c r="B2518" s="295"/>
      <c r="C2518" s="295"/>
      <c r="D2518" s="296"/>
      <c r="E2518" s="295"/>
      <c r="F2518" s="292"/>
      <c r="G2518" s="293" t="str">
        <f>IFNA(IF(VLOOKUP(RC_OUT[BLOCK],RC_IN[[BLOCK]:[BLOCK LOC]],2,FALSE)=0,"",VLOOKUP(RC_OUT[BLOCK],RC_IN[[BLOCK]:[BLOCK LOC]],2,FALSE)),"")</f>
        <v/>
      </c>
      <c r="I2518" s="263" t="str">
        <f>IFERROR(AVERAGEIFS(RC_IN[MC],RC_IN[BLOCK],RC_OUT[BLOCK]),"")</f>
        <v/>
      </c>
      <c r="J2518" s="264">
        <f t="shared" si="54"/>
        <v>0</v>
      </c>
      <c r="K2518" s="246"/>
      <c r="L2518" s="246"/>
      <c r="M2518" s="249"/>
      <c r="N2518" s="266">
        <f t="shared" si="53"/>
        <v>0</v>
      </c>
      <c r="O2518" s="247"/>
      <c r="P2518" s="247"/>
      <c r="Q2518" s="247"/>
      <c r="R2518" s="247"/>
      <c r="S2518" s="247"/>
      <c r="T2518" s="247"/>
      <c r="U2518" s="247"/>
      <c r="V2518" s="247"/>
      <c r="W2518" s="247"/>
      <c r="X2518" s="247"/>
    </row>
    <row r="2519">
      <c r="A2519" s="294"/>
      <c r="B2519" s="295"/>
      <c r="C2519" s="295"/>
      <c r="D2519" s="296"/>
      <c r="E2519" s="295"/>
      <c r="F2519" s="292"/>
      <c r="G2519" s="293" t="str">
        <f>IFNA(IF(VLOOKUP(RC_OUT[BLOCK],RC_IN[[BLOCK]:[BLOCK LOC]],2,FALSE)=0,"",VLOOKUP(RC_OUT[BLOCK],RC_IN[[BLOCK]:[BLOCK LOC]],2,FALSE)),"")</f>
        <v/>
      </c>
      <c r="I2519" s="263" t="str">
        <f>IFERROR(AVERAGEIFS(RC_IN[MC],RC_IN[BLOCK],RC_OUT[BLOCK]),"")</f>
        <v/>
      </c>
      <c r="J2519" s="264">
        <f t="shared" si="54"/>
        <v>0</v>
      </c>
      <c r="K2519" s="246"/>
      <c r="L2519" s="246"/>
      <c r="M2519" s="249"/>
      <c r="N2519" s="266">
        <f t="shared" si="53"/>
        <v>0</v>
      </c>
      <c r="O2519" s="247"/>
      <c r="P2519" s="247"/>
      <c r="Q2519" s="247"/>
      <c r="R2519" s="247"/>
      <c r="S2519" s="247"/>
      <c r="T2519" s="247"/>
      <c r="U2519" s="247"/>
      <c r="V2519" s="247"/>
      <c r="W2519" s="247"/>
      <c r="X2519" s="247"/>
    </row>
    <row r="2520">
      <c r="A2520" s="294"/>
      <c r="B2520" s="295"/>
      <c r="C2520" s="295"/>
      <c r="D2520" s="296"/>
      <c r="E2520" s="295"/>
      <c r="F2520" s="292"/>
      <c r="G2520" s="293" t="str">
        <f>IFNA(IF(VLOOKUP(RC_OUT[BLOCK],RC_IN[[BLOCK]:[BLOCK LOC]],2,FALSE)=0,"",VLOOKUP(RC_OUT[BLOCK],RC_IN[[BLOCK]:[BLOCK LOC]],2,FALSE)),"")</f>
        <v/>
      </c>
      <c r="I2520" s="263" t="str">
        <f>IFERROR(AVERAGEIFS(RC_IN[MC],RC_IN[BLOCK],RC_OUT[BLOCK]),"")</f>
        <v/>
      </c>
      <c r="J2520" s="264">
        <f t="shared" si="54"/>
        <v>0</v>
      </c>
      <c r="K2520" s="246"/>
      <c r="L2520" s="246"/>
      <c r="M2520" s="249"/>
      <c r="N2520" s="266">
        <f t="shared" si="53"/>
        <v>0</v>
      </c>
      <c r="O2520" s="247"/>
      <c r="P2520" s="247"/>
      <c r="Q2520" s="247"/>
      <c r="R2520" s="247"/>
      <c r="S2520" s="247"/>
      <c r="T2520" s="247"/>
      <c r="U2520" s="247"/>
      <c r="V2520" s="247"/>
      <c r="W2520" s="247"/>
      <c r="X2520" s="247"/>
    </row>
    <row r="2521">
      <c r="A2521" s="294"/>
      <c r="B2521" s="295"/>
      <c r="C2521" s="295"/>
      <c r="D2521" s="296"/>
      <c r="E2521" s="295"/>
      <c r="F2521" s="292"/>
      <c r="G2521" s="293" t="str">
        <f>IFNA(IF(VLOOKUP(RC_OUT[BLOCK],RC_IN[[BLOCK]:[BLOCK LOC]],2,FALSE)=0,"",VLOOKUP(RC_OUT[BLOCK],RC_IN[[BLOCK]:[BLOCK LOC]],2,FALSE)),"")</f>
        <v/>
      </c>
      <c r="I2521" s="263" t="str">
        <f>IFERROR(AVERAGEIFS(RC_IN[MC],RC_IN[BLOCK],RC_OUT[BLOCK]),"")</f>
        <v/>
      </c>
      <c r="J2521" s="264">
        <f t="shared" si="54"/>
        <v>0</v>
      </c>
      <c r="K2521" s="246"/>
      <c r="L2521" s="246"/>
      <c r="M2521" s="249"/>
      <c r="N2521" s="266">
        <f t="shared" si="53"/>
        <v>0</v>
      </c>
      <c r="O2521" s="247"/>
      <c r="P2521" s="247"/>
      <c r="Q2521" s="247"/>
      <c r="R2521" s="247"/>
      <c r="S2521" s="247"/>
      <c r="T2521" s="247"/>
      <c r="U2521" s="247"/>
      <c r="V2521" s="247"/>
      <c r="W2521" s="247"/>
      <c r="X2521" s="247"/>
    </row>
    <row r="2522">
      <c r="A2522" s="294"/>
      <c r="B2522" s="295"/>
      <c r="C2522" s="295"/>
      <c r="D2522" s="296"/>
      <c r="E2522" s="295"/>
      <c r="F2522" s="292"/>
      <c r="G2522" s="293" t="str">
        <f>IFNA(IF(VLOOKUP(RC_OUT[BLOCK],RC_IN[[BLOCK]:[BLOCK LOC]],2,FALSE)=0,"",VLOOKUP(RC_OUT[BLOCK],RC_IN[[BLOCK]:[BLOCK LOC]],2,FALSE)),"")</f>
        <v/>
      </c>
      <c r="I2522" s="263" t="str">
        <f>IFERROR(AVERAGEIFS(RC_IN[MC],RC_IN[BLOCK],RC_OUT[BLOCK]),"")</f>
        <v/>
      </c>
      <c r="J2522" s="264">
        <f t="shared" si="54"/>
        <v>0</v>
      </c>
      <c r="K2522" s="246"/>
      <c r="L2522" s="246"/>
      <c r="M2522" s="249"/>
      <c r="N2522" s="266">
        <f t="shared" si="53"/>
        <v>0</v>
      </c>
      <c r="O2522" s="247"/>
      <c r="P2522" s="247"/>
      <c r="Q2522" s="247"/>
      <c r="R2522" s="247"/>
      <c r="S2522" s="247"/>
      <c r="T2522" s="247"/>
      <c r="U2522" s="247"/>
      <c r="V2522" s="247"/>
      <c r="W2522" s="247"/>
      <c r="X2522" s="247"/>
    </row>
    <row r="2523">
      <c r="A2523" s="294"/>
      <c r="B2523" s="295"/>
      <c r="C2523" s="295"/>
      <c r="D2523" s="296"/>
      <c r="E2523" s="295"/>
      <c r="F2523" s="292"/>
      <c r="G2523" s="293" t="str">
        <f>IFNA(IF(VLOOKUP(RC_OUT[BLOCK],RC_IN[[BLOCK]:[BLOCK LOC]],2,FALSE)=0,"",VLOOKUP(RC_OUT[BLOCK],RC_IN[[BLOCK]:[BLOCK LOC]],2,FALSE)),"")</f>
        <v/>
      </c>
      <c r="I2523" s="263" t="str">
        <f>IFERROR(AVERAGEIFS(RC_IN[MC],RC_IN[BLOCK],RC_OUT[BLOCK]),"")</f>
        <v/>
      </c>
      <c r="J2523" s="264">
        <f t="shared" si="54"/>
        <v>0</v>
      </c>
      <c r="K2523" s="246"/>
      <c r="L2523" s="246"/>
      <c r="M2523" s="249"/>
      <c r="N2523" s="266">
        <f t="shared" si="53"/>
        <v>0</v>
      </c>
      <c r="O2523" s="247"/>
      <c r="P2523" s="247"/>
      <c r="Q2523" s="247"/>
      <c r="R2523" s="247"/>
      <c r="S2523" s="247"/>
      <c r="T2523" s="247"/>
      <c r="U2523" s="247"/>
      <c r="V2523" s="247"/>
      <c r="W2523" s="247"/>
      <c r="X2523" s="247"/>
    </row>
    <row r="2524">
      <c r="A2524" s="294"/>
      <c r="B2524" s="295"/>
      <c r="C2524" s="295"/>
      <c r="D2524" s="296"/>
      <c r="E2524" s="295"/>
      <c r="F2524" s="292"/>
      <c r="G2524" s="293" t="str">
        <f>IFNA(IF(VLOOKUP(RC_OUT[BLOCK],RC_IN[[BLOCK]:[BLOCK LOC]],2,FALSE)=0,"",VLOOKUP(RC_OUT[BLOCK],RC_IN[[BLOCK]:[BLOCK LOC]],2,FALSE)),"")</f>
        <v/>
      </c>
      <c r="I2524" s="263" t="str">
        <f>IFERROR(AVERAGEIFS(RC_IN[MC],RC_IN[BLOCK],RC_OUT[BLOCK]),"")</f>
        <v/>
      </c>
      <c r="J2524" s="264">
        <f t="shared" si="54"/>
        <v>0</v>
      </c>
      <c r="K2524" s="246"/>
      <c r="L2524" s="246"/>
      <c r="M2524" s="249"/>
      <c r="N2524" s="266">
        <f t="shared" si="53"/>
        <v>0</v>
      </c>
      <c r="O2524" s="247"/>
      <c r="P2524" s="247"/>
      <c r="Q2524" s="247"/>
      <c r="R2524" s="247"/>
      <c r="S2524" s="247"/>
      <c r="T2524" s="247"/>
      <c r="U2524" s="247"/>
      <c r="V2524" s="247"/>
      <c r="W2524" s="247"/>
      <c r="X2524" s="247"/>
    </row>
    <row r="2525">
      <c r="A2525" s="294"/>
      <c r="B2525" s="295"/>
      <c r="C2525" s="295"/>
      <c r="D2525" s="296"/>
      <c r="E2525" s="295"/>
      <c r="F2525" s="292"/>
      <c r="G2525" s="293" t="str">
        <f>IFNA(IF(VLOOKUP(RC_OUT[BLOCK],RC_IN[[BLOCK]:[BLOCK LOC]],2,FALSE)=0,"",VLOOKUP(RC_OUT[BLOCK],RC_IN[[BLOCK]:[BLOCK LOC]],2,FALSE)),"")</f>
        <v/>
      </c>
      <c r="I2525" s="263" t="str">
        <f>IFERROR(AVERAGEIFS(RC_IN[MC],RC_IN[BLOCK],RC_OUT[BLOCK]),"")</f>
        <v/>
      </c>
      <c r="J2525" s="264">
        <f t="shared" si="54"/>
        <v>0</v>
      </c>
      <c r="K2525" s="246"/>
      <c r="L2525" s="246"/>
      <c r="M2525" s="249"/>
      <c r="N2525" s="266">
        <f t="shared" si="53"/>
        <v>0</v>
      </c>
      <c r="O2525" s="247"/>
      <c r="P2525" s="247"/>
      <c r="Q2525" s="247"/>
      <c r="R2525" s="247"/>
      <c r="S2525" s="247"/>
      <c r="T2525" s="247"/>
      <c r="U2525" s="247"/>
      <c r="V2525" s="247"/>
      <c r="W2525" s="247"/>
      <c r="X2525" s="247"/>
    </row>
    <row r="2526">
      <c r="A2526" s="294"/>
      <c r="B2526" s="295"/>
      <c r="C2526" s="295"/>
      <c r="D2526" s="296"/>
      <c r="E2526" s="295"/>
      <c r="F2526" s="292"/>
      <c r="G2526" s="293" t="str">
        <f>IFNA(IF(VLOOKUP(RC_OUT[BLOCK],RC_IN[[BLOCK]:[BLOCK LOC]],2,FALSE)=0,"",VLOOKUP(RC_OUT[BLOCK],RC_IN[[BLOCK]:[BLOCK LOC]],2,FALSE)),"")</f>
        <v/>
      </c>
      <c r="I2526" s="263" t="str">
        <f>IFERROR(AVERAGEIFS(RC_IN[MC],RC_IN[BLOCK],RC_OUT[BLOCK]),"")</f>
        <v/>
      </c>
      <c r="J2526" s="264">
        <f t="shared" si="54"/>
        <v>0</v>
      </c>
      <c r="K2526" s="246"/>
      <c r="L2526" s="246"/>
      <c r="M2526" s="249"/>
      <c r="N2526" s="266">
        <f t="shared" si="53"/>
        <v>0</v>
      </c>
      <c r="O2526" s="247"/>
      <c r="P2526" s="247"/>
      <c r="Q2526" s="247"/>
      <c r="R2526" s="247"/>
      <c r="S2526" s="247"/>
      <c r="T2526" s="247"/>
      <c r="U2526" s="247"/>
      <c r="V2526" s="247"/>
      <c r="W2526" s="247"/>
      <c r="X2526" s="247"/>
    </row>
    <row r="2527">
      <c r="A2527" s="294"/>
      <c r="B2527" s="295"/>
      <c r="C2527" s="295"/>
      <c r="D2527" s="296"/>
      <c r="E2527" s="295"/>
      <c r="F2527" s="292"/>
      <c r="G2527" s="293" t="str">
        <f>IFNA(IF(VLOOKUP(RC_OUT[BLOCK],RC_IN[[BLOCK]:[BLOCK LOC]],2,FALSE)=0,"",VLOOKUP(RC_OUT[BLOCK],RC_IN[[BLOCK]:[BLOCK LOC]],2,FALSE)),"")</f>
        <v/>
      </c>
      <c r="I2527" s="263" t="str">
        <f>IFERROR(AVERAGEIFS(RC_IN[MC],RC_IN[BLOCK],RC_OUT[BLOCK]),"")</f>
        <v/>
      </c>
      <c r="J2527" s="264">
        <f t="shared" si="54"/>
        <v>0</v>
      </c>
      <c r="K2527" s="246"/>
      <c r="L2527" s="246"/>
      <c r="M2527" s="249"/>
      <c r="N2527" s="266">
        <f t="shared" si="53"/>
        <v>0</v>
      </c>
      <c r="O2527" s="247"/>
      <c r="P2527" s="247"/>
      <c r="Q2527" s="247"/>
      <c r="R2527" s="247"/>
      <c r="S2527" s="247"/>
      <c r="T2527" s="247"/>
      <c r="U2527" s="247"/>
      <c r="V2527" s="247"/>
      <c r="W2527" s="247"/>
      <c r="X2527" s="247"/>
    </row>
    <row r="2528">
      <c r="A2528" s="294"/>
      <c r="B2528" s="295"/>
      <c r="C2528" s="295"/>
      <c r="D2528" s="296"/>
      <c r="E2528" s="295"/>
      <c r="F2528" s="292"/>
      <c r="G2528" s="293" t="str">
        <f>IFNA(IF(VLOOKUP(RC_OUT[BLOCK],RC_IN[[BLOCK]:[BLOCK LOC]],2,FALSE)=0,"",VLOOKUP(RC_OUT[BLOCK],RC_IN[[BLOCK]:[BLOCK LOC]],2,FALSE)),"")</f>
        <v/>
      </c>
      <c r="I2528" s="263" t="str">
        <f>IFERROR(AVERAGEIFS(RC_IN[MC],RC_IN[BLOCK],RC_OUT[BLOCK]),"")</f>
        <v/>
      </c>
      <c r="J2528" s="264">
        <f t="shared" si="54"/>
        <v>0</v>
      </c>
      <c r="K2528" s="246"/>
      <c r="L2528" s="246"/>
      <c r="M2528" s="249"/>
      <c r="N2528" s="266">
        <f t="shared" si="53"/>
        <v>0</v>
      </c>
      <c r="O2528" s="247"/>
      <c r="P2528" s="247"/>
      <c r="Q2528" s="247"/>
      <c r="R2528" s="247"/>
      <c r="S2528" s="247"/>
      <c r="T2528" s="247"/>
      <c r="U2528" s="247"/>
      <c r="V2528" s="247"/>
      <c r="W2528" s="247"/>
      <c r="X2528" s="247"/>
    </row>
    <row r="2529">
      <c r="A2529" s="294"/>
      <c r="B2529" s="295"/>
      <c r="C2529" s="295"/>
      <c r="D2529" s="296"/>
      <c r="E2529" s="295"/>
      <c r="F2529" s="292"/>
      <c r="G2529" s="293" t="str">
        <f>IFNA(IF(VLOOKUP(RC_OUT[BLOCK],RC_IN[[BLOCK]:[BLOCK LOC]],2,FALSE)=0,"",VLOOKUP(RC_OUT[BLOCK],RC_IN[[BLOCK]:[BLOCK LOC]],2,FALSE)),"")</f>
        <v/>
      </c>
      <c r="I2529" s="263" t="str">
        <f>IFERROR(AVERAGEIFS(RC_IN[MC],RC_IN[BLOCK],RC_OUT[BLOCK]),"")</f>
        <v/>
      </c>
      <c r="J2529" s="264">
        <f t="shared" si="54"/>
        <v>0</v>
      </c>
      <c r="K2529" s="246"/>
      <c r="L2529" s="246"/>
      <c r="M2529" s="249"/>
      <c r="N2529" s="266">
        <f t="shared" si="53"/>
        <v>0</v>
      </c>
      <c r="O2529" s="247"/>
      <c r="P2529" s="247"/>
      <c r="Q2529" s="247"/>
      <c r="R2529" s="247"/>
      <c r="S2529" s="247"/>
      <c r="T2529" s="247"/>
      <c r="U2529" s="247"/>
      <c r="V2529" s="247"/>
      <c r="W2529" s="247"/>
      <c r="X2529" s="247"/>
    </row>
    <row r="2530">
      <c r="A2530" s="294"/>
      <c r="B2530" s="295"/>
      <c r="C2530" s="295"/>
      <c r="D2530" s="296"/>
      <c r="E2530" s="295"/>
      <c r="F2530" s="292"/>
      <c r="G2530" s="293" t="str">
        <f>IFNA(IF(VLOOKUP(RC_OUT[BLOCK],RC_IN[[BLOCK]:[BLOCK LOC]],2,FALSE)=0,"",VLOOKUP(RC_OUT[BLOCK],RC_IN[[BLOCK]:[BLOCK LOC]],2,FALSE)),"")</f>
        <v/>
      </c>
      <c r="I2530" s="263" t="str">
        <f>IFERROR(AVERAGEIFS(RC_IN[MC],RC_IN[BLOCK],RC_OUT[BLOCK]),"")</f>
        <v/>
      </c>
      <c r="J2530" s="264">
        <f t="shared" si="54"/>
        <v>0</v>
      </c>
      <c r="K2530" s="246"/>
      <c r="L2530" s="246"/>
      <c r="M2530" s="249"/>
      <c r="N2530" s="266">
        <f t="shared" si="53"/>
        <v>0</v>
      </c>
      <c r="O2530" s="247"/>
      <c r="P2530" s="247"/>
      <c r="Q2530" s="247"/>
      <c r="R2530" s="247"/>
      <c r="S2530" s="247"/>
      <c r="T2530" s="247"/>
      <c r="U2530" s="247"/>
      <c r="V2530" s="247"/>
      <c r="W2530" s="247"/>
      <c r="X2530" s="247"/>
    </row>
    <row r="2531">
      <c r="A2531" s="294"/>
      <c r="B2531" s="295"/>
      <c r="C2531" s="295"/>
      <c r="D2531" s="296"/>
      <c r="E2531" s="295"/>
      <c r="F2531" s="292"/>
      <c r="G2531" s="293" t="str">
        <f>IFNA(IF(VLOOKUP(RC_OUT[BLOCK],RC_IN[[BLOCK]:[BLOCK LOC]],2,FALSE)=0,"",VLOOKUP(RC_OUT[BLOCK],RC_IN[[BLOCK]:[BLOCK LOC]],2,FALSE)),"")</f>
        <v/>
      </c>
      <c r="I2531" s="263" t="str">
        <f>IFERROR(AVERAGEIFS(RC_IN[MC],RC_IN[BLOCK],RC_OUT[BLOCK]),"")</f>
        <v/>
      </c>
      <c r="J2531" s="264">
        <f t="shared" si="54"/>
        <v>0</v>
      </c>
      <c r="K2531" s="246"/>
      <c r="L2531" s="246"/>
      <c r="M2531" s="249"/>
      <c r="N2531" s="266">
        <f t="shared" si="53"/>
        <v>0</v>
      </c>
      <c r="O2531" s="247"/>
      <c r="P2531" s="247"/>
      <c r="Q2531" s="247"/>
      <c r="R2531" s="247"/>
      <c r="S2531" s="247"/>
      <c r="T2531" s="247"/>
      <c r="U2531" s="247"/>
      <c r="V2531" s="247"/>
      <c r="W2531" s="247"/>
      <c r="X2531" s="247"/>
    </row>
    <row r="2532">
      <c r="A2532" s="294"/>
      <c r="B2532" s="295"/>
      <c r="C2532" s="295"/>
      <c r="D2532" s="296"/>
      <c r="E2532" s="295"/>
      <c r="F2532" s="292"/>
      <c r="G2532" s="293" t="str">
        <f>IFNA(IF(VLOOKUP(RC_OUT[BLOCK],RC_IN[[BLOCK]:[BLOCK LOC]],2,FALSE)=0,"",VLOOKUP(RC_OUT[BLOCK],RC_IN[[BLOCK]:[BLOCK LOC]],2,FALSE)),"")</f>
        <v/>
      </c>
      <c r="I2532" s="263" t="str">
        <f>IFERROR(AVERAGEIFS(RC_IN[MC],RC_IN[BLOCK],RC_OUT[BLOCK]),"")</f>
        <v/>
      </c>
      <c r="J2532" s="264">
        <f t="shared" si="54"/>
        <v>0</v>
      </c>
      <c r="K2532" s="246"/>
      <c r="L2532" s="246"/>
      <c r="M2532" s="249"/>
      <c r="N2532" s="266">
        <f t="shared" si="53"/>
        <v>0</v>
      </c>
      <c r="O2532" s="247"/>
      <c r="P2532" s="247"/>
      <c r="Q2532" s="247"/>
      <c r="R2532" s="247"/>
      <c r="S2532" s="247"/>
      <c r="T2532" s="247"/>
      <c r="U2532" s="247"/>
      <c r="V2532" s="247"/>
      <c r="W2532" s="247"/>
      <c r="X2532" s="247"/>
    </row>
    <row r="2533">
      <c r="A2533" s="294"/>
      <c r="B2533" s="295"/>
      <c r="C2533" s="295"/>
      <c r="D2533" s="296"/>
      <c r="E2533" s="295"/>
      <c r="F2533" s="292"/>
      <c r="G2533" s="293" t="str">
        <f>IFNA(IF(VLOOKUP(RC_OUT[BLOCK],RC_IN[[BLOCK]:[BLOCK LOC]],2,FALSE)=0,"",VLOOKUP(RC_OUT[BLOCK],RC_IN[[BLOCK]:[BLOCK LOC]],2,FALSE)),"")</f>
        <v/>
      </c>
      <c r="I2533" s="263" t="str">
        <f>IFERROR(AVERAGEIFS(RC_IN[MC],RC_IN[BLOCK],RC_OUT[BLOCK]),"")</f>
        <v/>
      </c>
      <c r="J2533" s="264">
        <f t="shared" si="54"/>
        <v>0</v>
      </c>
      <c r="K2533" s="246"/>
      <c r="L2533" s="246"/>
      <c r="M2533" s="249"/>
      <c r="N2533" s="266">
        <f t="shared" si="53"/>
        <v>0</v>
      </c>
      <c r="O2533" s="247"/>
      <c r="P2533" s="247"/>
      <c r="Q2533" s="247"/>
      <c r="R2533" s="247"/>
      <c r="S2533" s="247"/>
      <c r="T2533" s="247"/>
      <c r="U2533" s="247"/>
      <c r="V2533" s="247"/>
      <c r="W2533" s="247"/>
      <c r="X2533" s="247"/>
    </row>
    <row r="2534">
      <c r="A2534" s="294"/>
      <c r="B2534" s="295"/>
      <c r="C2534" s="295"/>
      <c r="D2534" s="296"/>
      <c r="E2534" s="295"/>
      <c r="F2534" s="292"/>
      <c r="G2534" s="293" t="str">
        <f>IFNA(IF(VLOOKUP(RC_OUT[BLOCK],RC_IN[[BLOCK]:[BLOCK LOC]],2,FALSE)=0,"",VLOOKUP(RC_OUT[BLOCK],RC_IN[[BLOCK]:[BLOCK LOC]],2,FALSE)),"")</f>
        <v/>
      </c>
      <c r="I2534" s="263" t="str">
        <f>IFERROR(AVERAGEIFS(RC_IN[MC],RC_IN[BLOCK],RC_OUT[BLOCK]),"")</f>
        <v/>
      </c>
      <c r="J2534" s="264">
        <f t="shared" si="54"/>
        <v>0</v>
      </c>
      <c r="K2534" s="246"/>
      <c r="L2534" s="246"/>
      <c r="M2534" s="249"/>
      <c r="N2534" s="266">
        <f t="shared" si="53"/>
        <v>0</v>
      </c>
      <c r="O2534" s="247"/>
      <c r="P2534" s="247"/>
      <c r="Q2534" s="247"/>
      <c r="R2534" s="247"/>
      <c r="S2534" s="247"/>
      <c r="T2534" s="247"/>
      <c r="U2534" s="247"/>
      <c r="V2534" s="247"/>
      <c r="W2534" s="247"/>
      <c r="X2534" s="247"/>
    </row>
    <row r="2535">
      <c r="A2535" s="294"/>
      <c r="B2535" s="295"/>
      <c r="C2535" s="295"/>
      <c r="D2535" s="296"/>
      <c r="E2535" s="295"/>
      <c r="F2535" s="292"/>
      <c r="G2535" s="293" t="str">
        <f>IFNA(IF(VLOOKUP(RC_OUT[BLOCK],RC_IN[[BLOCK]:[BLOCK LOC]],2,FALSE)=0,"",VLOOKUP(RC_OUT[BLOCK],RC_IN[[BLOCK]:[BLOCK LOC]],2,FALSE)),"")</f>
        <v/>
      </c>
      <c r="I2535" s="263" t="str">
        <f>IFERROR(AVERAGEIFS(RC_IN[MC],RC_IN[BLOCK],RC_OUT[BLOCK]),"")</f>
        <v/>
      </c>
      <c r="J2535" s="264">
        <f t="shared" si="54"/>
        <v>0</v>
      </c>
      <c r="K2535" s="246"/>
      <c r="L2535" s="246"/>
      <c r="M2535" s="249"/>
      <c r="N2535" s="266">
        <f t="shared" si="53"/>
        <v>0</v>
      </c>
      <c r="O2535" s="247"/>
      <c r="P2535" s="247"/>
      <c r="Q2535" s="247"/>
      <c r="R2535" s="247"/>
      <c r="S2535" s="247"/>
      <c r="T2535" s="247"/>
      <c r="U2535" s="247"/>
      <c r="V2535" s="247"/>
      <c r="W2535" s="247"/>
      <c r="X2535" s="247"/>
    </row>
    <row r="2536">
      <c r="A2536" s="294"/>
      <c r="B2536" s="295"/>
      <c r="C2536" s="295"/>
      <c r="D2536" s="296"/>
      <c r="E2536" s="295"/>
      <c r="F2536" s="292"/>
      <c r="G2536" s="293" t="str">
        <f>IFNA(IF(VLOOKUP(RC_OUT[BLOCK],RC_IN[[BLOCK]:[BLOCK LOC]],2,FALSE)=0,"",VLOOKUP(RC_OUT[BLOCK],RC_IN[[BLOCK]:[BLOCK LOC]],2,FALSE)),"")</f>
        <v/>
      </c>
      <c r="I2536" s="263" t="str">
        <f>IFERROR(AVERAGEIFS(RC_IN[MC],RC_IN[BLOCK],RC_OUT[BLOCK]),"")</f>
        <v/>
      </c>
      <c r="J2536" s="264">
        <f t="shared" si="54"/>
        <v>0</v>
      </c>
      <c r="K2536" s="246"/>
      <c r="L2536" s="246"/>
      <c r="M2536" s="249"/>
      <c r="N2536" s="266">
        <f t="shared" si="53"/>
        <v>0</v>
      </c>
      <c r="O2536" s="247"/>
      <c r="P2536" s="247"/>
      <c r="Q2536" s="247"/>
      <c r="R2536" s="247"/>
      <c r="S2536" s="247"/>
      <c r="T2536" s="247"/>
      <c r="U2536" s="247"/>
      <c r="V2536" s="247"/>
      <c r="W2536" s="247"/>
      <c r="X2536" s="247"/>
    </row>
    <row r="2537">
      <c r="A2537" s="294"/>
      <c r="B2537" s="295"/>
      <c r="C2537" s="295"/>
      <c r="D2537" s="296"/>
      <c r="E2537" s="295"/>
      <c r="F2537" s="292"/>
      <c r="G2537" s="293" t="str">
        <f>IFNA(IF(VLOOKUP(RC_OUT[BLOCK],RC_IN[[BLOCK]:[BLOCK LOC]],2,FALSE)=0,"",VLOOKUP(RC_OUT[BLOCK],RC_IN[[BLOCK]:[BLOCK LOC]],2,FALSE)),"")</f>
        <v/>
      </c>
      <c r="I2537" s="263" t="str">
        <f>IFERROR(AVERAGEIFS(RC_IN[MC],RC_IN[BLOCK],RC_OUT[BLOCK]),"")</f>
        <v/>
      </c>
      <c r="J2537" s="264">
        <f t="shared" si="54"/>
        <v>0</v>
      </c>
      <c r="K2537" s="246"/>
      <c r="L2537" s="246"/>
      <c r="M2537" s="249"/>
      <c r="N2537" s="266">
        <f t="shared" si="53"/>
        <v>0</v>
      </c>
      <c r="O2537" s="247"/>
      <c r="P2537" s="247"/>
      <c r="Q2537" s="247"/>
      <c r="R2537" s="247"/>
      <c r="S2537" s="247"/>
      <c r="T2537" s="247"/>
      <c r="U2537" s="247"/>
      <c r="V2537" s="247"/>
      <c r="W2537" s="247"/>
      <c r="X2537" s="247"/>
    </row>
    <row r="2538">
      <c r="A2538" s="294"/>
      <c r="B2538" s="295"/>
      <c r="C2538" s="295"/>
      <c r="D2538" s="296"/>
      <c r="E2538" s="295"/>
      <c r="F2538" s="292"/>
      <c r="G2538" s="293" t="str">
        <f>IFNA(IF(VLOOKUP(RC_OUT[BLOCK],RC_IN[[BLOCK]:[BLOCK LOC]],2,FALSE)=0,"",VLOOKUP(RC_OUT[BLOCK],RC_IN[[BLOCK]:[BLOCK LOC]],2,FALSE)),"")</f>
        <v/>
      </c>
      <c r="I2538" s="263" t="str">
        <f>IFERROR(AVERAGEIFS(RC_IN[MC],RC_IN[BLOCK],RC_OUT[BLOCK]),"")</f>
        <v/>
      </c>
      <c r="J2538" s="264">
        <f t="shared" si="54"/>
        <v>0</v>
      </c>
      <c r="K2538" s="246"/>
      <c r="L2538" s="246"/>
      <c r="M2538" s="249"/>
      <c r="N2538" s="266">
        <f t="shared" si="53"/>
        <v>0</v>
      </c>
      <c r="O2538" s="247"/>
      <c r="P2538" s="247"/>
      <c r="Q2538" s="247"/>
      <c r="R2538" s="247"/>
      <c r="S2538" s="247"/>
      <c r="T2538" s="247"/>
      <c r="U2538" s="247"/>
      <c r="V2538" s="247"/>
      <c r="W2538" s="247"/>
      <c r="X2538" s="247"/>
    </row>
    <row r="2539">
      <c r="A2539" s="294"/>
      <c r="B2539" s="295"/>
      <c r="C2539" s="295"/>
      <c r="D2539" s="296"/>
      <c r="E2539" s="295"/>
      <c r="F2539" s="292"/>
      <c r="G2539" s="293" t="str">
        <f>IFNA(IF(VLOOKUP(RC_OUT[BLOCK],RC_IN[[BLOCK]:[BLOCK LOC]],2,FALSE)=0,"",VLOOKUP(RC_OUT[BLOCK],RC_IN[[BLOCK]:[BLOCK LOC]],2,FALSE)),"")</f>
        <v/>
      </c>
      <c r="I2539" s="263" t="str">
        <f>IFERROR(AVERAGEIFS(RC_IN[MC],RC_IN[BLOCK],RC_OUT[BLOCK]),"")</f>
        <v/>
      </c>
      <c r="J2539" s="264">
        <f t="shared" si="54"/>
        <v>0</v>
      </c>
      <c r="K2539" s="246"/>
      <c r="L2539" s="246"/>
      <c r="M2539" s="249"/>
      <c r="N2539" s="266">
        <f t="shared" si="53"/>
        <v>0</v>
      </c>
      <c r="O2539" s="247"/>
      <c r="P2539" s="247"/>
      <c r="Q2539" s="247"/>
      <c r="R2539" s="247"/>
      <c r="S2539" s="247"/>
      <c r="T2539" s="247"/>
      <c r="U2539" s="247"/>
      <c r="V2539" s="247"/>
      <c r="W2539" s="247"/>
      <c r="X2539" s="247"/>
    </row>
    <row r="2540">
      <c r="A2540" s="294"/>
      <c r="B2540" s="295"/>
      <c r="C2540" s="295"/>
      <c r="D2540" s="296"/>
      <c r="E2540" s="295"/>
      <c r="F2540" s="292"/>
      <c r="G2540" s="293" t="str">
        <f>IFNA(IF(VLOOKUP(RC_OUT[BLOCK],RC_IN[[BLOCK]:[BLOCK LOC]],2,FALSE)=0,"",VLOOKUP(RC_OUT[BLOCK],RC_IN[[BLOCK]:[BLOCK LOC]],2,FALSE)),"")</f>
        <v/>
      </c>
      <c r="I2540" s="263" t="str">
        <f>IFERROR(AVERAGEIFS(RC_IN[MC],RC_IN[BLOCK],RC_OUT[BLOCK]),"")</f>
        <v/>
      </c>
      <c r="J2540" s="264">
        <f t="shared" si="54"/>
        <v>0</v>
      </c>
      <c r="K2540" s="246"/>
      <c r="L2540" s="246"/>
      <c r="M2540" s="249"/>
      <c r="N2540" s="266">
        <f t="shared" si="53"/>
        <v>0</v>
      </c>
      <c r="O2540" s="247"/>
      <c r="P2540" s="247"/>
      <c r="Q2540" s="247"/>
      <c r="R2540" s="247"/>
      <c r="S2540" s="247"/>
      <c r="T2540" s="247"/>
      <c r="U2540" s="247"/>
      <c r="V2540" s="247"/>
      <c r="W2540" s="247"/>
      <c r="X2540" s="247"/>
    </row>
    <row r="2541">
      <c r="A2541" s="294"/>
      <c r="B2541" s="295"/>
      <c r="C2541" s="295"/>
      <c r="D2541" s="296"/>
      <c r="E2541" s="295"/>
      <c r="F2541" s="292"/>
      <c r="G2541" s="293" t="str">
        <f>IFNA(IF(VLOOKUP(RC_OUT[BLOCK],RC_IN[[BLOCK]:[BLOCK LOC]],2,FALSE)=0,"",VLOOKUP(RC_OUT[BLOCK],RC_IN[[BLOCK]:[BLOCK LOC]],2,FALSE)),"")</f>
        <v/>
      </c>
      <c r="I2541" s="263" t="str">
        <f>IFERROR(AVERAGEIFS(RC_IN[MC],RC_IN[BLOCK],RC_OUT[BLOCK]),"")</f>
        <v/>
      </c>
      <c r="J2541" s="264">
        <f t="shared" si="54"/>
        <v>0</v>
      </c>
      <c r="K2541" s="246"/>
      <c r="L2541" s="246"/>
      <c r="M2541" s="249"/>
      <c r="N2541" s="266">
        <f t="shared" si="53"/>
        <v>0</v>
      </c>
      <c r="O2541" s="247"/>
      <c r="P2541" s="247"/>
      <c r="Q2541" s="247"/>
      <c r="R2541" s="247"/>
      <c r="S2541" s="247"/>
      <c r="T2541" s="247"/>
      <c r="U2541" s="247"/>
      <c r="V2541" s="247"/>
      <c r="W2541" s="247"/>
      <c r="X2541" s="247"/>
    </row>
    <row r="2542">
      <c r="A2542" s="294"/>
      <c r="B2542" s="295"/>
      <c r="C2542" s="295"/>
      <c r="D2542" s="296"/>
      <c r="E2542" s="295"/>
      <c r="F2542" s="292"/>
      <c r="G2542" s="293" t="str">
        <f>IFNA(IF(VLOOKUP(RC_OUT[BLOCK],RC_IN[[BLOCK]:[BLOCK LOC]],2,FALSE)=0,"",VLOOKUP(RC_OUT[BLOCK],RC_IN[[BLOCK]:[BLOCK LOC]],2,FALSE)),"")</f>
        <v/>
      </c>
      <c r="I2542" s="263" t="str">
        <f>IFERROR(AVERAGEIFS(RC_IN[MC],RC_IN[BLOCK],RC_OUT[BLOCK]),"")</f>
        <v/>
      </c>
      <c r="J2542" s="264">
        <f t="shared" si="54"/>
        <v>0</v>
      </c>
      <c r="K2542" s="246"/>
      <c r="L2542" s="246"/>
      <c r="M2542" s="249"/>
      <c r="N2542" s="266">
        <f t="shared" si="53"/>
        <v>0</v>
      </c>
      <c r="O2542" s="247"/>
      <c r="P2542" s="247"/>
      <c r="Q2542" s="247"/>
      <c r="R2542" s="247"/>
      <c r="S2542" s="247"/>
      <c r="T2542" s="247"/>
      <c r="U2542" s="247"/>
      <c r="V2542" s="247"/>
      <c r="W2542" s="247"/>
      <c r="X2542" s="247"/>
    </row>
    <row r="2543">
      <c r="A2543" s="294"/>
      <c r="B2543" s="295"/>
      <c r="C2543" s="295"/>
      <c r="D2543" s="296"/>
      <c r="E2543" s="295"/>
      <c r="F2543" s="292"/>
      <c r="G2543" s="293" t="str">
        <f>IFNA(IF(VLOOKUP(RC_OUT[BLOCK],RC_IN[[BLOCK]:[BLOCK LOC]],2,FALSE)=0,"",VLOOKUP(RC_OUT[BLOCK],RC_IN[[BLOCK]:[BLOCK LOC]],2,FALSE)),"")</f>
        <v/>
      </c>
      <c r="I2543" s="263" t="str">
        <f>IFERROR(AVERAGEIFS(RC_IN[MC],RC_IN[BLOCK],RC_OUT[BLOCK]),"")</f>
        <v/>
      </c>
      <c r="J2543" s="264">
        <f t="shared" si="54"/>
        <v>0</v>
      </c>
      <c r="K2543" s="246"/>
      <c r="L2543" s="246"/>
      <c r="M2543" s="249"/>
      <c r="N2543" s="266">
        <f t="shared" si="53"/>
        <v>0</v>
      </c>
      <c r="O2543" s="247"/>
      <c r="P2543" s="247"/>
      <c r="Q2543" s="247"/>
      <c r="R2543" s="247"/>
      <c r="S2543" s="247"/>
      <c r="T2543" s="247"/>
      <c r="U2543" s="247"/>
      <c r="V2543" s="247"/>
      <c r="W2543" s="247"/>
      <c r="X2543" s="247"/>
    </row>
    <row r="2544">
      <c r="A2544" s="294"/>
      <c r="B2544" s="295"/>
      <c r="C2544" s="295"/>
      <c r="D2544" s="296"/>
      <c r="E2544" s="295"/>
      <c r="F2544" s="292"/>
      <c r="G2544" s="293" t="str">
        <f>IFNA(IF(VLOOKUP(RC_OUT[BLOCK],RC_IN[[BLOCK]:[BLOCK LOC]],2,FALSE)=0,"",VLOOKUP(RC_OUT[BLOCK],RC_IN[[BLOCK]:[BLOCK LOC]],2,FALSE)),"")</f>
        <v/>
      </c>
      <c r="I2544" s="263" t="str">
        <f>IFERROR(AVERAGEIFS(RC_IN[MC],RC_IN[BLOCK],RC_OUT[BLOCK]),"")</f>
        <v/>
      </c>
      <c r="J2544" s="264">
        <f t="shared" si="54"/>
        <v>0</v>
      </c>
      <c r="K2544" s="246"/>
      <c r="L2544" s="246"/>
      <c r="M2544" s="249"/>
      <c r="N2544" s="266">
        <f t="shared" si="53"/>
        <v>0</v>
      </c>
      <c r="O2544" s="247"/>
      <c r="P2544" s="247"/>
      <c r="Q2544" s="247"/>
      <c r="R2544" s="247"/>
      <c r="S2544" s="247"/>
      <c r="T2544" s="247"/>
      <c r="U2544" s="247"/>
      <c r="V2544" s="247"/>
      <c r="W2544" s="247"/>
      <c r="X2544" s="247"/>
    </row>
    <row r="2545">
      <c r="A2545" s="294"/>
      <c r="B2545" s="295"/>
      <c r="C2545" s="295"/>
      <c r="D2545" s="296"/>
      <c r="E2545" s="295"/>
      <c r="F2545" s="292"/>
      <c r="G2545" s="293" t="str">
        <f>IFNA(IF(VLOOKUP(RC_OUT[BLOCK],RC_IN[[BLOCK]:[BLOCK LOC]],2,FALSE)=0,"",VLOOKUP(RC_OUT[BLOCK],RC_IN[[BLOCK]:[BLOCK LOC]],2,FALSE)),"")</f>
        <v/>
      </c>
      <c r="I2545" s="263" t="str">
        <f>IFERROR(AVERAGEIFS(RC_IN[MC],RC_IN[BLOCK],RC_OUT[BLOCK]),"")</f>
        <v/>
      </c>
      <c r="J2545" s="264">
        <f t="shared" si="54"/>
        <v>0</v>
      </c>
      <c r="K2545" s="246"/>
      <c r="L2545" s="246"/>
      <c r="M2545" s="249"/>
      <c r="N2545" s="266">
        <f t="shared" si="53"/>
        <v>0</v>
      </c>
      <c r="O2545" s="247"/>
      <c r="P2545" s="247"/>
      <c r="Q2545" s="247"/>
      <c r="R2545" s="247"/>
      <c r="S2545" s="247"/>
      <c r="T2545" s="247"/>
      <c r="U2545" s="247"/>
      <c r="V2545" s="247"/>
      <c r="W2545" s="247"/>
      <c r="X2545" s="247"/>
    </row>
    <row r="2546">
      <c r="A2546" s="294"/>
      <c r="B2546" s="295"/>
      <c r="C2546" s="295"/>
      <c r="D2546" s="296"/>
      <c r="E2546" s="295"/>
      <c r="F2546" s="292"/>
      <c r="G2546" s="293" t="str">
        <f>IFNA(IF(VLOOKUP(RC_OUT[BLOCK],RC_IN[[BLOCK]:[BLOCK LOC]],2,FALSE)=0,"",VLOOKUP(RC_OUT[BLOCK],RC_IN[[BLOCK]:[BLOCK LOC]],2,FALSE)),"")</f>
        <v/>
      </c>
      <c r="I2546" s="263" t="str">
        <f>IFERROR(AVERAGEIFS(RC_IN[MC],RC_IN[BLOCK],RC_OUT[BLOCK]),"")</f>
        <v/>
      </c>
      <c r="J2546" s="264">
        <f t="shared" si="54"/>
        <v>0</v>
      </c>
      <c r="K2546" s="246"/>
      <c r="L2546" s="246"/>
      <c r="M2546" s="249"/>
      <c r="N2546" s="266">
        <f t="shared" si="53"/>
        <v>0</v>
      </c>
      <c r="O2546" s="247"/>
      <c r="P2546" s="247"/>
      <c r="Q2546" s="247"/>
      <c r="R2546" s="247"/>
      <c r="S2546" s="247"/>
      <c r="T2546" s="247"/>
      <c r="U2546" s="247"/>
      <c r="V2546" s="247"/>
      <c r="W2546" s="247"/>
      <c r="X2546" s="247"/>
    </row>
    <row r="2547">
      <c r="A2547" s="294"/>
      <c r="B2547" s="295"/>
      <c r="C2547" s="295"/>
      <c r="D2547" s="296"/>
      <c r="E2547" s="295"/>
      <c r="F2547" s="292"/>
      <c r="G2547" s="293" t="str">
        <f>IFNA(IF(VLOOKUP(RC_OUT[BLOCK],RC_IN[[BLOCK]:[BLOCK LOC]],2,FALSE)=0,"",VLOOKUP(RC_OUT[BLOCK],RC_IN[[BLOCK]:[BLOCK LOC]],2,FALSE)),"")</f>
        <v/>
      </c>
      <c r="I2547" s="263" t="str">
        <f>IFERROR(AVERAGEIFS(RC_IN[MC],RC_IN[BLOCK],RC_OUT[BLOCK]),"")</f>
        <v/>
      </c>
      <c r="J2547" s="264">
        <f t="shared" si="54"/>
        <v>0</v>
      </c>
      <c r="K2547" s="246"/>
      <c r="L2547" s="246"/>
      <c r="M2547" s="249"/>
      <c r="N2547" s="266">
        <f t="shared" si="53"/>
        <v>0</v>
      </c>
      <c r="O2547" s="247"/>
      <c r="P2547" s="247"/>
      <c r="Q2547" s="247"/>
      <c r="R2547" s="247"/>
      <c r="S2547" s="247"/>
      <c r="T2547" s="247"/>
      <c r="U2547" s="247"/>
      <c r="V2547" s="247"/>
      <c r="W2547" s="247"/>
      <c r="X2547" s="247"/>
    </row>
    <row r="2548">
      <c r="A2548" s="294"/>
      <c r="B2548" s="295"/>
      <c r="C2548" s="295"/>
      <c r="D2548" s="296"/>
      <c r="E2548" s="295"/>
      <c r="F2548" s="292"/>
      <c r="G2548" s="293" t="str">
        <f>IFNA(IF(VLOOKUP(RC_OUT[BLOCK],RC_IN[[BLOCK]:[BLOCK LOC]],2,FALSE)=0,"",VLOOKUP(RC_OUT[BLOCK],RC_IN[[BLOCK]:[BLOCK LOC]],2,FALSE)),"")</f>
        <v/>
      </c>
      <c r="I2548" s="263" t="str">
        <f>IFERROR(AVERAGEIFS(RC_IN[MC],RC_IN[BLOCK],RC_OUT[BLOCK]),"")</f>
        <v/>
      </c>
      <c r="J2548" s="264">
        <f t="shared" si="54"/>
        <v>0</v>
      </c>
      <c r="K2548" s="246"/>
      <c r="L2548" s="246"/>
      <c r="M2548" s="249"/>
      <c r="N2548" s="266">
        <f t="shared" si="53"/>
        <v>0</v>
      </c>
      <c r="O2548" s="247"/>
      <c r="P2548" s="247"/>
      <c r="Q2548" s="247"/>
      <c r="R2548" s="247"/>
      <c r="S2548" s="247"/>
      <c r="T2548" s="247"/>
      <c r="U2548" s="247"/>
      <c r="V2548" s="247"/>
      <c r="W2548" s="247"/>
      <c r="X2548" s="247"/>
    </row>
    <row r="2549">
      <c r="A2549" s="294"/>
      <c r="B2549" s="295"/>
      <c r="C2549" s="295"/>
      <c r="D2549" s="296"/>
      <c r="E2549" s="295"/>
      <c r="F2549" s="292"/>
      <c r="G2549" s="293" t="str">
        <f>IFNA(IF(VLOOKUP(RC_OUT[BLOCK],RC_IN[[BLOCK]:[BLOCK LOC]],2,FALSE)=0,"",VLOOKUP(RC_OUT[BLOCK],RC_IN[[BLOCK]:[BLOCK LOC]],2,FALSE)),"")</f>
        <v/>
      </c>
      <c r="I2549" s="263" t="str">
        <f>IFERROR(AVERAGEIFS(RC_IN[MC],RC_IN[BLOCK],RC_OUT[BLOCK]),"")</f>
        <v/>
      </c>
      <c r="J2549" s="264">
        <f t="shared" si="54"/>
        <v>0</v>
      </c>
      <c r="K2549" s="246"/>
      <c r="L2549" s="246"/>
      <c r="M2549" s="249"/>
      <c r="N2549" s="266">
        <f t="shared" si="53"/>
        <v>0</v>
      </c>
      <c r="O2549" s="247"/>
      <c r="P2549" s="247"/>
      <c r="Q2549" s="247"/>
      <c r="R2549" s="247"/>
      <c r="S2549" s="247"/>
      <c r="T2549" s="247"/>
      <c r="U2549" s="247"/>
      <c r="V2549" s="247"/>
      <c r="W2549" s="247"/>
      <c r="X2549" s="247"/>
    </row>
    <row r="2550">
      <c r="A2550" s="294"/>
      <c r="B2550" s="295"/>
      <c r="C2550" s="295"/>
      <c r="D2550" s="296"/>
      <c r="E2550" s="295"/>
      <c r="F2550" s="292"/>
      <c r="G2550" s="293" t="str">
        <f>IFNA(IF(VLOOKUP(RC_OUT[BLOCK],RC_IN[[BLOCK]:[BLOCK LOC]],2,FALSE)=0,"",VLOOKUP(RC_OUT[BLOCK],RC_IN[[BLOCK]:[BLOCK LOC]],2,FALSE)),"")</f>
        <v/>
      </c>
      <c r="I2550" s="263" t="str">
        <f>IFERROR(AVERAGEIFS(RC_IN[MC],RC_IN[BLOCK],RC_OUT[BLOCK]),"")</f>
        <v/>
      </c>
      <c r="J2550" s="264">
        <f t="shared" si="54"/>
        <v>0</v>
      </c>
      <c r="K2550" s="246"/>
      <c r="L2550" s="246"/>
      <c r="M2550" s="249"/>
      <c r="N2550" s="266">
        <f t="shared" si="53"/>
        <v>0</v>
      </c>
      <c r="O2550" s="247"/>
      <c r="P2550" s="247"/>
      <c r="Q2550" s="247"/>
      <c r="R2550" s="247"/>
      <c r="S2550" s="247"/>
      <c r="T2550" s="247"/>
      <c r="U2550" s="247"/>
      <c r="V2550" s="247"/>
      <c r="W2550" s="247"/>
      <c r="X2550" s="247"/>
    </row>
    <row r="2551">
      <c r="A2551" s="294"/>
      <c r="B2551" s="295"/>
      <c r="C2551" s="295"/>
      <c r="D2551" s="296"/>
      <c r="E2551" s="295"/>
      <c r="F2551" s="292"/>
      <c r="G2551" s="293" t="str">
        <f>IFNA(IF(VLOOKUP(RC_OUT[BLOCK],RC_IN[[BLOCK]:[BLOCK LOC]],2,FALSE)=0,"",VLOOKUP(RC_OUT[BLOCK],RC_IN[[BLOCK]:[BLOCK LOC]],2,FALSE)),"")</f>
        <v/>
      </c>
      <c r="I2551" s="263" t="str">
        <f>IFERROR(AVERAGEIFS(RC_IN[MC],RC_IN[BLOCK],RC_OUT[BLOCK]),"")</f>
        <v/>
      </c>
      <c r="J2551" s="264">
        <f t="shared" si="54"/>
        <v>0</v>
      </c>
      <c r="K2551" s="246"/>
      <c r="L2551" s="246"/>
      <c r="M2551" s="249"/>
      <c r="N2551" s="266">
        <f t="shared" si="53"/>
        <v>0</v>
      </c>
      <c r="O2551" s="247"/>
      <c r="P2551" s="247"/>
      <c r="Q2551" s="247"/>
      <c r="R2551" s="247"/>
      <c r="S2551" s="247"/>
      <c r="T2551" s="247"/>
      <c r="U2551" s="247"/>
      <c r="V2551" s="247"/>
      <c r="W2551" s="247"/>
      <c r="X2551" s="247"/>
    </row>
    <row r="2552">
      <c r="A2552" s="294"/>
      <c r="B2552" s="295"/>
      <c r="C2552" s="295"/>
      <c r="D2552" s="296"/>
      <c r="E2552" s="295"/>
      <c r="F2552" s="292"/>
      <c r="G2552" s="293" t="str">
        <f>IFNA(IF(VLOOKUP(RC_OUT[BLOCK],RC_IN[[BLOCK]:[BLOCK LOC]],2,FALSE)=0,"",VLOOKUP(RC_OUT[BLOCK],RC_IN[[BLOCK]:[BLOCK LOC]],2,FALSE)),"")</f>
        <v/>
      </c>
      <c r="I2552" s="263" t="str">
        <f>IFERROR(AVERAGEIFS(RC_IN[MC],RC_IN[BLOCK],RC_OUT[BLOCK]),"")</f>
        <v/>
      </c>
      <c r="J2552" s="264">
        <f t="shared" si="54"/>
        <v>0</v>
      </c>
      <c r="K2552" s="246"/>
      <c r="L2552" s="246"/>
      <c r="M2552" s="249"/>
      <c r="N2552" s="266">
        <f t="shared" si="53"/>
        <v>0</v>
      </c>
      <c r="O2552" s="247"/>
      <c r="P2552" s="247"/>
      <c r="Q2552" s="247"/>
      <c r="R2552" s="247"/>
      <c r="S2552" s="247"/>
      <c r="T2552" s="247"/>
      <c r="U2552" s="247"/>
      <c r="V2552" s="247"/>
      <c r="W2552" s="247"/>
      <c r="X2552" s="247"/>
    </row>
    <row r="2553">
      <c r="A2553" s="294"/>
      <c r="B2553" s="295"/>
      <c r="C2553" s="295"/>
      <c r="D2553" s="296"/>
      <c r="E2553" s="295"/>
      <c r="F2553" s="292"/>
      <c r="G2553" s="293" t="str">
        <f>IFNA(IF(VLOOKUP(RC_OUT[BLOCK],RC_IN[[BLOCK]:[BLOCK LOC]],2,FALSE)=0,"",VLOOKUP(RC_OUT[BLOCK],RC_IN[[BLOCK]:[BLOCK LOC]],2,FALSE)),"")</f>
        <v/>
      </c>
      <c r="I2553" s="263" t="str">
        <f>IFERROR(AVERAGEIFS(RC_IN[MC],RC_IN[BLOCK],RC_OUT[BLOCK]),"")</f>
        <v/>
      </c>
      <c r="J2553" s="264">
        <f t="shared" si="54"/>
        <v>0</v>
      </c>
      <c r="K2553" s="246"/>
      <c r="L2553" s="246"/>
      <c r="M2553" s="249"/>
      <c r="N2553" s="266">
        <f t="shared" si="53"/>
        <v>0</v>
      </c>
      <c r="O2553" s="247"/>
      <c r="P2553" s="247"/>
      <c r="Q2553" s="247"/>
      <c r="R2553" s="247"/>
      <c r="S2553" s="247"/>
      <c r="T2553" s="247"/>
      <c r="U2553" s="247"/>
      <c r="V2553" s="247"/>
      <c r="W2553" s="247"/>
      <c r="X2553" s="247"/>
    </row>
    <row r="2554">
      <c r="A2554" s="294"/>
      <c r="B2554" s="295"/>
      <c r="C2554" s="295"/>
      <c r="D2554" s="296"/>
      <c r="E2554" s="295"/>
      <c r="F2554" s="292"/>
      <c r="G2554" s="293" t="str">
        <f>IFNA(IF(VLOOKUP(RC_OUT[BLOCK],RC_IN[[BLOCK]:[BLOCK LOC]],2,FALSE)=0,"",VLOOKUP(RC_OUT[BLOCK],RC_IN[[BLOCK]:[BLOCK LOC]],2,FALSE)),"")</f>
        <v/>
      </c>
      <c r="I2554" s="263" t="str">
        <f>IFERROR(AVERAGEIFS(RC_IN[MC],RC_IN[BLOCK],RC_OUT[BLOCK]),"")</f>
        <v/>
      </c>
      <c r="J2554" s="264">
        <f t="shared" si="54"/>
        <v>0</v>
      </c>
      <c r="K2554" s="246"/>
      <c r="L2554" s="246"/>
      <c r="M2554" s="249"/>
      <c r="N2554" s="266">
        <f t="shared" si="53"/>
        <v>0</v>
      </c>
      <c r="O2554" s="247"/>
      <c r="P2554" s="247"/>
      <c r="Q2554" s="247"/>
      <c r="R2554" s="247"/>
      <c r="S2554" s="247"/>
      <c r="T2554" s="247"/>
      <c r="U2554" s="247"/>
      <c r="V2554" s="247"/>
      <c r="W2554" s="247"/>
      <c r="X2554" s="247"/>
    </row>
    <row r="2555">
      <c r="A2555" s="294"/>
      <c r="B2555" s="295"/>
      <c r="C2555" s="295"/>
      <c r="D2555" s="296"/>
      <c r="E2555" s="295"/>
      <c r="F2555" s="292"/>
      <c r="G2555" s="293" t="str">
        <f>IFNA(IF(VLOOKUP(RC_OUT[BLOCK],RC_IN[[BLOCK]:[BLOCK LOC]],2,FALSE)=0,"",VLOOKUP(RC_OUT[BLOCK],RC_IN[[BLOCK]:[BLOCK LOC]],2,FALSE)),"")</f>
        <v/>
      </c>
      <c r="I2555" s="263" t="str">
        <f>IFERROR(AVERAGEIFS(RC_IN[MC],RC_IN[BLOCK],RC_OUT[BLOCK]),"")</f>
        <v/>
      </c>
      <c r="J2555" s="264">
        <f t="shared" si="54"/>
        <v>0</v>
      </c>
      <c r="K2555" s="246"/>
      <c r="L2555" s="246"/>
      <c r="M2555" s="249"/>
      <c r="N2555" s="266">
        <f t="shared" si="53"/>
        <v>0</v>
      </c>
      <c r="O2555" s="247"/>
      <c r="P2555" s="247"/>
      <c r="Q2555" s="247"/>
      <c r="R2555" s="247"/>
      <c r="S2555" s="247"/>
      <c r="T2555" s="247"/>
      <c r="U2555" s="247"/>
      <c r="V2555" s="247"/>
      <c r="W2555" s="247"/>
      <c r="X2555" s="247"/>
    </row>
    <row r="2556">
      <c r="A2556" s="294"/>
      <c r="B2556" s="295"/>
      <c r="C2556" s="295"/>
      <c r="D2556" s="296"/>
      <c r="E2556" s="295"/>
      <c r="F2556" s="292"/>
      <c r="G2556" s="293" t="str">
        <f>IFNA(IF(VLOOKUP(RC_OUT[BLOCK],RC_IN[[BLOCK]:[BLOCK LOC]],2,FALSE)=0,"",VLOOKUP(RC_OUT[BLOCK],RC_IN[[BLOCK]:[BLOCK LOC]],2,FALSE)),"")</f>
        <v/>
      </c>
      <c r="I2556" s="263" t="str">
        <f>IFERROR(AVERAGEIFS(RC_IN[MC],RC_IN[BLOCK],RC_OUT[BLOCK]),"")</f>
        <v/>
      </c>
      <c r="J2556" s="264">
        <f t="shared" si="54"/>
        <v>0</v>
      </c>
      <c r="K2556" s="246"/>
      <c r="L2556" s="246"/>
      <c r="M2556" s="249"/>
      <c r="N2556" s="266">
        <f t="shared" si="53"/>
        <v>0</v>
      </c>
      <c r="O2556" s="247"/>
      <c r="P2556" s="247"/>
      <c r="Q2556" s="247"/>
      <c r="R2556" s="247"/>
      <c r="S2556" s="247"/>
      <c r="T2556" s="247"/>
      <c r="U2556" s="247"/>
      <c r="V2556" s="247"/>
      <c r="W2556" s="247"/>
      <c r="X2556" s="247"/>
    </row>
    <row r="2557">
      <c r="A2557" s="294"/>
      <c r="B2557" s="295"/>
      <c r="C2557" s="295"/>
      <c r="D2557" s="296"/>
      <c r="E2557" s="295"/>
      <c r="F2557" s="292"/>
      <c r="G2557" s="293" t="str">
        <f>IFNA(IF(VLOOKUP(RC_OUT[BLOCK],RC_IN[[BLOCK]:[BLOCK LOC]],2,FALSE)=0,"",VLOOKUP(RC_OUT[BLOCK],RC_IN[[BLOCK]:[BLOCK LOC]],2,FALSE)),"")</f>
        <v/>
      </c>
      <c r="I2557" s="263" t="str">
        <f>IFERROR(AVERAGEIFS(RC_IN[MC],RC_IN[BLOCK],RC_OUT[BLOCK]),"")</f>
        <v/>
      </c>
      <c r="J2557" s="264">
        <f t="shared" si="54"/>
        <v>0</v>
      </c>
      <c r="K2557" s="246"/>
      <c r="L2557" s="246"/>
      <c r="M2557" s="249"/>
      <c r="N2557" s="266">
        <f t="shared" si="53"/>
        <v>0</v>
      </c>
      <c r="O2557" s="247"/>
      <c r="P2557" s="247"/>
      <c r="Q2557" s="247"/>
      <c r="R2557" s="247"/>
      <c r="S2557" s="247"/>
      <c r="T2557" s="247"/>
      <c r="U2557" s="247"/>
      <c r="V2557" s="247"/>
      <c r="W2557" s="247"/>
      <c r="X2557" s="247"/>
    </row>
    <row r="2558">
      <c r="A2558" s="294"/>
      <c r="B2558" s="295"/>
      <c r="C2558" s="295"/>
      <c r="D2558" s="296"/>
      <c r="E2558" s="295"/>
      <c r="F2558" s="292"/>
      <c r="G2558" s="293" t="str">
        <f>IFNA(IF(VLOOKUP(RC_OUT[BLOCK],RC_IN[[BLOCK]:[BLOCK LOC]],2,FALSE)=0,"",VLOOKUP(RC_OUT[BLOCK],RC_IN[[BLOCK]:[BLOCK LOC]],2,FALSE)),"")</f>
        <v/>
      </c>
      <c r="I2558" s="263" t="str">
        <f>IFERROR(AVERAGEIFS(RC_IN[MC],RC_IN[BLOCK],RC_OUT[BLOCK]),"")</f>
        <v/>
      </c>
      <c r="J2558" s="264">
        <f t="shared" si="54"/>
        <v>0</v>
      </c>
      <c r="K2558" s="246"/>
      <c r="L2558" s="246"/>
      <c r="M2558" s="249"/>
      <c r="N2558" s="266">
        <f t="shared" si="53"/>
        <v>0</v>
      </c>
      <c r="O2558" s="247"/>
      <c r="P2558" s="247"/>
      <c r="Q2558" s="247"/>
      <c r="R2558" s="247"/>
      <c r="S2558" s="247"/>
      <c r="T2558" s="247"/>
      <c r="U2558" s="247"/>
      <c r="V2558" s="247"/>
      <c r="W2558" s="247"/>
      <c r="X2558" s="247"/>
    </row>
    <row r="2559">
      <c r="A2559" s="294"/>
      <c r="B2559" s="295"/>
      <c r="C2559" s="295"/>
      <c r="D2559" s="296"/>
      <c r="E2559" s="295"/>
      <c r="F2559" s="292"/>
      <c r="G2559" s="293" t="str">
        <f>IFNA(IF(VLOOKUP(RC_OUT[BLOCK],RC_IN[[BLOCK]:[BLOCK LOC]],2,FALSE)=0,"",VLOOKUP(RC_OUT[BLOCK],RC_IN[[BLOCK]:[BLOCK LOC]],2,FALSE)),"")</f>
        <v/>
      </c>
      <c r="I2559" s="263" t="str">
        <f>IFERROR(AVERAGEIFS(RC_IN[MC],RC_IN[BLOCK],RC_OUT[BLOCK]),"")</f>
        <v/>
      </c>
      <c r="J2559" s="264">
        <f t="shared" si="54"/>
        <v>0</v>
      </c>
      <c r="K2559" s="246"/>
      <c r="L2559" s="246"/>
      <c r="M2559" s="249"/>
      <c r="N2559" s="266">
        <f t="shared" si="53"/>
        <v>0</v>
      </c>
      <c r="O2559" s="247"/>
      <c r="P2559" s="247"/>
      <c r="Q2559" s="247"/>
      <c r="R2559" s="247"/>
      <c r="S2559" s="247"/>
      <c r="T2559" s="247"/>
      <c r="U2559" s="247"/>
      <c r="V2559" s="247"/>
      <c r="W2559" s="247"/>
      <c r="X2559" s="247"/>
    </row>
    <row r="2560">
      <c r="A2560" s="294"/>
      <c r="B2560" s="295"/>
      <c r="C2560" s="295"/>
      <c r="D2560" s="296"/>
      <c r="E2560" s="295"/>
      <c r="F2560" s="292"/>
      <c r="G2560" s="293" t="str">
        <f>IFNA(IF(VLOOKUP(RC_OUT[BLOCK],RC_IN[[BLOCK]:[BLOCK LOC]],2,FALSE)=0,"",VLOOKUP(RC_OUT[BLOCK],RC_IN[[BLOCK]:[BLOCK LOC]],2,FALSE)),"")</f>
        <v/>
      </c>
      <c r="I2560" s="263" t="str">
        <f>IFERROR(AVERAGEIFS(RC_IN[MC],RC_IN[BLOCK],RC_OUT[BLOCK]),"")</f>
        <v/>
      </c>
      <c r="J2560" s="264">
        <f t="shared" si="54"/>
        <v>0</v>
      </c>
      <c r="K2560" s="246"/>
      <c r="L2560" s="246"/>
      <c r="M2560" s="249"/>
      <c r="N2560" s="266">
        <f t="shared" si="53"/>
        <v>0</v>
      </c>
      <c r="O2560" s="247"/>
      <c r="P2560" s="247"/>
      <c r="Q2560" s="247"/>
      <c r="R2560" s="247"/>
      <c r="S2560" s="247"/>
      <c r="T2560" s="247"/>
      <c r="U2560" s="247"/>
      <c r="V2560" s="247"/>
      <c r="W2560" s="247"/>
      <c r="X2560" s="247"/>
    </row>
    <row r="2561">
      <c r="A2561" s="294"/>
      <c r="B2561" s="295"/>
      <c r="C2561" s="295"/>
      <c r="D2561" s="296"/>
      <c r="E2561" s="295"/>
      <c r="F2561" s="292"/>
      <c r="G2561" s="293" t="str">
        <f>IFNA(IF(VLOOKUP(RC_OUT[BLOCK],RC_IN[[BLOCK]:[BLOCK LOC]],2,FALSE)=0,"",VLOOKUP(RC_OUT[BLOCK],RC_IN[[BLOCK]:[BLOCK LOC]],2,FALSE)),"")</f>
        <v/>
      </c>
      <c r="I2561" s="263" t="str">
        <f>IFERROR(AVERAGEIFS(RC_IN[MC],RC_IN[BLOCK],RC_OUT[BLOCK]),"")</f>
        <v/>
      </c>
      <c r="J2561" s="264">
        <f t="shared" si="54"/>
        <v>0</v>
      </c>
      <c r="K2561" s="246"/>
      <c r="L2561" s="246"/>
      <c r="M2561" s="249"/>
      <c r="N2561" s="266">
        <f t="shared" si="53"/>
        <v>0</v>
      </c>
      <c r="O2561" s="247"/>
      <c r="P2561" s="247"/>
      <c r="Q2561" s="247"/>
      <c r="R2561" s="247"/>
      <c r="S2561" s="247"/>
      <c r="T2561" s="247"/>
      <c r="U2561" s="247"/>
      <c r="V2561" s="247"/>
      <c r="W2561" s="247"/>
      <c r="X2561" s="247"/>
    </row>
    <row r="2562">
      <c r="A2562" s="294"/>
      <c r="B2562" s="295"/>
      <c r="C2562" s="295"/>
      <c r="D2562" s="296"/>
      <c r="E2562" s="295"/>
      <c r="F2562" s="292"/>
      <c r="G2562" s="293" t="str">
        <f>IFNA(IF(VLOOKUP(RC_OUT[BLOCK],RC_IN[[BLOCK]:[BLOCK LOC]],2,FALSE)=0,"",VLOOKUP(RC_OUT[BLOCK],RC_IN[[BLOCK]:[BLOCK LOC]],2,FALSE)),"")</f>
        <v/>
      </c>
      <c r="I2562" s="263" t="str">
        <f>IFERROR(AVERAGEIFS(RC_IN[MC],RC_IN[BLOCK],RC_OUT[BLOCK]),"")</f>
        <v/>
      </c>
      <c r="J2562" s="264">
        <f t="shared" si="54"/>
        <v>0</v>
      </c>
      <c r="K2562" s="246"/>
      <c r="L2562" s="246"/>
      <c r="M2562" s="249"/>
      <c r="N2562" s="266">
        <f t="shared" si="53"/>
        <v>0</v>
      </c>
      <c r="O2562" s="247"/>
      <c r="P2562" s="247"/>
      <c r="Q2562" s="247"/>
      <c r="R2562" s="247"/>
      <c r="S2562" s="247"/>
      <c r="T2562" s="247"/>
      <c r="U2562" s="247"/>
      <c r="V2562" s="247"/>
      <c r="W2562" s="247"/>
      <c r="X2562" s="247"/>
    </row>
    <row r="2563">
      <c r="A2563" s="294"/>
      <c r="B2563" s="295"/>
      <c r="C2563" s="295"/>
      <c r="D2563" s="296"/>
      <c r="E2563" s="295"/>
      <c r="F2563" s="292"/>
      <c r="G2563" s="293" t="str">
        <f>IFNA(IF(VLOOKUP(RC_OUT[BLOCK],RC_IN[[BLOCK]:[BLOCK LOC]],2,FALSE)=0,"",VLOOKUP(RC_OUT[BLOCK],RC_IN[[BLOCK]:[BLOCK LOC]],2,FALSE)),"")</f>
        <v/>
      </c>
      <c r="I2563" s="263" t="str">
        <f>IFERROR(AVERAGEIFS(RC_IN[MC],RC_IN[BLOCK],RC_OUT[BLOCK]),"")</f>
        <v/>
      </c>
      <c r="J2563" s="264">
        <f t="shared" si="54"/>
        <v>0</v>
      </c>
      <c r="K2563" s="246"/>
      <c r="L2563" s="246"/>
      <c r="M2563" s="249"/>
      <c r="N2563" s="266">
        <f t="shared" si="53"/>
        <v>0</v>
      </c>
      <c r="O2563" s="247"/>
      <c r="P2563" s="247"/>
      <c r="Q2563" s="247"/>
      <c r="R2563" s="247"/>
      <c r="S2563" s="247"/>
      <c r="T2563" s="247"/>
      <c r="U2563" s="247"/>
      <c r="V2563" s="247"/>
      <c r="W2563" s="247"/>
      <c r="X2563" s="247"/>
    </row>
    <row r="2564">
      <c r="A2564" s="294"/>
      <c r="B2564" s="295"/>
      <c r="C2564" s="295"/>
      <c r="D2564" s="296"/>
      <c r="E2564" s="295"/>
      <c r="F2564" s="292"/>
      <c r="G2564" s="293" t="str">
        <f>IFNA(IF(VLOOKUP(RC_OUT[BLOCK],RC_IN[[BLOCK]:[BLOCK LOC]],2,FALSE)=0,"",VLOOKUP(RC_OUT[BLOCK],RC_IN[[BLOCK]:[BLOCK LOC]],2,FALSE)),"")</f>
        <v/>
      </c>
      <c r="I2564" s="263" t="str">
        <f>IFERROR(AVERAGEIFS(RC_IN[MC],RC_IN[BLOCK],RC_OUT[BLOCK]),"")</f>
        <v/>
      </c>
      <c r="J2564" s="264">
        <f t="shared" si="54"/>
        <v>0</v>
      </c>
      <c r="K2564" s="246"/>
      <c r="L2564" s="246"/>
      <c r="M2564" s="249"/>
      <c r="N2564" s="266">
        <f t="shared" si="53"/>
        <v>0</v>
      </c>
      <c r="O2564" s="247"/>
      <c r="P2564" s="247"/>
      <c r="Q2564" s="247"/>
      <c r="R2564" s="247"/>
      <c r="S2564" s="247"/>
      <c r="T2564" s="247"/>
      <c r="U2564" s="247"/>
      <c r="V2564" s="247"/>
      <c r="W2564" s="247"/>
      <c r="X2564" s="247"/>
    </row>
    <row r="2565">
      <c r="A2565" s="294"/>
      <c r="B2565" s="295"/>
      <c r="C2565" s="295"/>
      <c r="D2565" s="296"/>
      <c r="E2565" s="295"/>
      <c r="F2565" s="292"/>
      <c r="G2565" s="293" t="str">
        <f>IFNA(IF(VLOOKUP(RC_OUT[BLOCK],RC_IN[[BLOCK]:[BLOCK LOC]],2,FALSE)=0,"",VLOOKUP(RC_OUT[BLOCK],RC_IN[[BLOCK]:[BLOCK LOC]],2,FALSE)),"")</f>
        <v/>
      </c>
      <c r="I2565" s="263" t="str">
        <f>IFERROR(AVERAGEIFS(RC_IN[MC],RC_IN[BLOCK],RC_OUT[BLOCK]),"")</f>
        <v/>
      </c>
      <c r="J2565" s="264">
        <f t="shared" si="54"/>
        <v>0</v>
      </c>
      <c r="K2565" s="246"/>
      <c r="L2565" s="246"/>
      <c r="M2565" s="249"/>
      <c r="N2565" s="266">
        <f t="shared" si="53"/>
        <v>0</v>
      </c>
      <c r="O2565" s="247"/>
      <c r="P2565" s="247"/>
      <c r="Q2565" s="247"/>
      <c r="R2565" s="247"/>
      <c r="S2565" s="247"/>
      <c r="T2565" s="247"/>
      <c r="U2565" s="247"/>
      <c r="V2565" s="247"/>
      <c r="W2565" s="247"/>
      <c r="X2565" s="247"/>
    </row>
    <row r="2566">
      <c r="A2566" s="294"/>
      <c r="B2566" s="295"/>
      <c r="C2566" s="295"/>
      <c r="D2566" s="296"/>
      <c r="E2566" s="295"/>
      <c r="F2566" s="292"/>
      <c r="G2566" s="293" t="str">
        <f>IFNA(IF(VLOOKUP(RC_OUT[BLOCK],RC_IN[[BLOCK]:[BLOCK LOC]],2,FALSE)=0,"",VLOOKUP(RC_OUT[BLOCK],RC_IN[[BLOCK]:[BLOCK LOC]],2,FALSE)),"")</f>
        <v/>
      </c>
      <c r="I2566" s="263" t="str">
        <f>IFERROR(AVERAGEIFS(RC_IN[MC],RC_IN[BLOCK],RC_OUT[BLOCK]),"")</f>
        <v/>
      </c>
      <c r="J2566" s="264">
        <f t="shared" si="54"/>
        <v>0</v>
      </c>
      <c r="K2566" s="246"/>
      <c r="L2566" s="246"/>
      <c r="M2566" s="249"/>
      <c r="N2566" s="266">
        <f t="shared" si="53"/>
        <v>0</v>
      </c>
      <c r="O2566" s="247"/>
      <c r="P2566" s="247"/>
      <c r="Q2566" s="247"/>
      <c r="R2566" s="247"/>
      <c r="S2566" s="247"/>
      <c r="T2566" s="247"/>
      <c r="U2566" s="247"/>
      <c r="V2566" s="247"/>
      <c r="W2566" s="247"/>
      <c r="X2566" s="247"/>
    </row>
    <row r="2567">
      <c r="A2567" s="294"/>
      <c r="B2567" s="295"/>
      <c r="C2567" s="295"/>
      <c r="D2567" s="296"/>
      <c r="E2567" s="295"/>
      <c r="F2567" s="292"/>
      <c r="G2567" s="293" t="str">
        <f>IFNA(IF(VLOOKUP(RC_OUT[BLOCK],RC_IN[[BLOCK]:[BLOCK LOC]],2,FALSE)=0,"",VLOOKUP(RC_OUT[BLOCK],RC_IN[[BLOCK]:[BLOCK LOC]],2,FALSE)),"")</f>
        <v/>
      </c>
      <c r="I2567" s="263" t="str">
        <f>IFERROR(AVERAGEIFS(RC_IN[MC],RC_IN[BLOCK],RC_OUT[BLOCK]),"")</f>
        <v/>
      </c>
      <c r="J2567" s="264">
        <f t="shared" si="54"/>
        <v>0</v>
      </c>
      <c r="K2567" s="246"/>
      <c r="L2567" s="246"/>
      <c r="M2567" s="249"/>
      <c r="N2567" s="266">
        <f t="shared" si="53"/>
        <v>0</v>
      </c>
      <c r="O2567" s="247"/>
      <c r="P2567" s="247"/>
      <c r="Q2567" s="247"/>
      <c r="R2567" s="247"/>
      <c r="S2567" s="247"/>
      <c r="T2567" s="247"/>
      <c r="U2567" s="247"/>
      <c r="V2567" s="247"/>
      <c r="W2567" s="247"/>
      <c r="X2567" s="247"/>
    </row>
    <row r="2568">
      <c r="A2568" s="294"/>
      <c r="B2568" s="295"/>
      <c r="C2568" s="295"/>
      <c r="D2568" s="296"/>
      <c r="E2568" s="295"/>
      <c r="F2568" s="292"/>
      <c r="G2568" s="293" t="str">
        <f>IFNA(IF(VLOOKUP(RC_OUT[BLOCK],RC_IN[[BLOCK]:[BLOCK LOC]],2,FALSE)=0,"",VLOOKUP(RC_OUT[BLOCK],RC_IN[[BLOCK]:[BLOCK LOC]],2,FALSE)),"")</f>
        <v/>
      </c>
      <c r="I2568" s="263" t="str">
        <f>IFERROR(AVERAGEIFS(RC_IN[MC],RC_IN[BLOCK],RC_OUT[BLOCK]),"")</f>
        <v/>
      </c>
      <c r="J2568" s="264">
        <f t="shared" si="54"/>
        <v>0</v>
      </c>
      <c r="K2568" s="246"/>
      <c r="L2568" s="246"/>
      <c r="M2568" s="249"/>
      <c r="N2568" s="266">
        <f t="shared" si="53"/>
        <v>0</v>
      </c>
      <c r="O2568" s="247"/>
      <c r="P2568" s="247"/>
      <c r="Q2568" s="247"/>
      <c r="R2568" s="247"/>
      <c r="S2568" s="247"/>
      <c r="T2568" s="247"/>
      <c r="U2568" s="247"/>
      <c r="V2568" s="247"/>
      <c r="W2568" s="247"/>
      <c r="X2568" s="247"/>
    </row>
    <row r="2569">
      <c r="A2569" s="294"/>
      <c r="B2569" s="295"/>
      <c r="C2569" s="295"/>
      <c r="D2569" s="296"/>
      <c r="E2569" s="295"/>
      <c r="F2569" s="292"/>
      <c r="G2569" s="293" t="str">
        <f>IFNA(IF(VLOOKUP(RC_OUT[BLOCK],RC_IN[[BLOCK]:[BLOCK LOC]],2,FALSE)=0,"",VLOOKUP(RC_OUT[BLOCK],RC_IN[[BLOCK]:[BLOCK LOC]],2,FALSE)),"")</f>
        <v/>
      </c>
      <c r="I2569" s="263" t="str">
        <f>IFERROR(AVERAGEIFS(RC_IN[MC],RC_IN[BLOCK],RC_OUT[BLOCK]),"")</f>
        <v/>
      </c>
      <c r="J2569" s="264">
        <f t="shared" si="54"/>
        <v>0</v>
      </c>
      <c r="K2569" s="246"/>
      <c r="L2569" s="246"/>
      <c r="M2569" s="249"/>
      <c r="N2569" s="266">
        <f t="shared" si="53"/>
        <v>0</v>
      </c>
      <c r="O2569" s="247"/>
      <c r="P2569" s="247"/>
      <c r="Q2569" s="247"/>
      <c r="R2569" s="247"/>
      <c r="S2569" s="247"/>
      <c r="T2569" s="247"/>
      <c r="U2569" s="247"/>
      <c r="V2569" s="247"/>
      <c r="W2569" s="247"/>
      <c r="X2569" s="247"/>
    </row>
    <row r="2570">
      <c r="A2570" s="294"/>
      <c r="B2570" s="295"/>
      <c r="C2570" s="295"/>
      <c r="D2570" s="296"/>
      <c r="E2570" s="295"/>
      <c r="F2570" s="292"/>
      <c r="G2570" s="293" t="str">
        <f>IFNA(IF(VLOOKUP(RC_OUT[BLOCK],RC_IN[[BLOCK]:[BLOCK LOC]],2,FALSE)=0,"",VLOOKUP(RC_OUT[BLOCK],RC_IN[[BLOCK]:[BLOCK LOC]],2,FALSE)),"")</f>
        <v/>
      </c>
      <c r="I2570" s="263" t="str">
        <f>IFERROR(AVERAGEIFS(RC_IN[MC],RC_IN[BLOCK],RC_OUT[BLOCK]),"")</f>
        <v/>
      </c>
      <c r="J2570" s="264">
        <f t="shared" si="54"/>
        <v>0</v>
      </c>
      <c r="K2570" s="246"/>
      <c r="L2570" s="246"/>
      <c r="M2570" s="249"/>
      <c r="N2570" s="266">
        <f t="shared" si="53"/>
        <v>0</v>
      </c>
      <c r="O2570" s="247"/>
      <c r="P2570" s="247"/>
      <c r="Q2570" s="247"/>
      <c r="R2570" s="247"/>
      <c r="S2570" s="247"/>
      <c r="T2570" s="247"/>
      <c r="U2570" s="247"/>
      <c r="V2570" s="247"/>
      <c r="W2570" s="247"/>
      <c r="X2570" s="247"/>
    </row>
    <row r="2571">
      <c r="A2571" s="294"/>
      <c r="B2571" s="295"/>
      <c r="C2571" s="295"/>
      <c r="D2571" s="296"/>
      <c r="E2571" s="295"/>
      <c r="F2571" s="292"/>
      <c r="G2571" s="293" t="str">
        <f>IFNA(IF(VLOOKUP(RC_OUT[BLOCK],RC_IN[[BLOCK]:[BLOCK LOC]],2,FALSE)=0,"",VLOOKUP(RC_OUT[BLOCK],RC_IN[[BLOCK]:[BLOCK LOC]],2,FALSE)),"")</f>
        <v/>
      </c>
      <c r="I2571" s="263" t="str">
        <f>IFERROR(AVERAGEIFS(RC_IN[MC],RC_IN[BLOCK],RC_OUT[BLOCK]),"")</f>
        <v/>
      </c>
      <c r="J2571" s="264">
        <f t="shared" si="54"/>
        <v>0</v>
      </c>
      <c r="K2571" s="246"/>
      <c r="L2571" s="246"/>
      <c r="M2571" s="249"/>
      <c r="N2571" s="266">
        <f t="shared" si="53"/>
        <v>0</v>
      </c>
      <c r="O2571" s="247"/>
      <c r="P2571" s="247"/>
      <c r="Q2571" s="247"/>
      <c r="R2571" s="247"/>
      <c r="S2571" s="247"/>
      <c r="T2571" s="247"/>
      <c r="U2571" s="247"/>
      <c r="V2571" s="247"/>
      <c r="W2571" s="247"/>
      <c r="X2571" s="247"/>
    </row>
    <row r="2572">
      <c r="A2572" s="294"/>
      <c r="B2572" s="295"/>
      <c r="C2572" s="295"/>
      <c r="D2572" s="296"/>
      <c r="E2572" s="295"/>
      <c r="F2572" s="292"/>
      <c r="G2572" s="293" t="str">
        <f>IFNA(IF(VLOOKUP(RC_OUT[BLOCK],RC_IN[[BLOCK]:[BLOCK LOC]],2,FALSE)=0,"",VLOOKUP(RC_OUT[BLOCK],RC_IN[[BLOCK]:[BLOCK LOC]],2,FALSE)),"")</f>
        <v/>
      </c>
      <c r="I2572" s="263" t="str">
        <f>IFERROR(AVERAGEIFS(RC_IN[MC],RC_IN[BLOCK],RC_OUT[BLOCK]),"")</f>
        <v/>
      </c>
      <c r="J2572" s="264">
        <f t="shared" si="54"/>
        <v>0</v>
      </c>
      <c r="K2572" s="246"/>
      <c r="L2572" s="246"/>
      <c r="M2572" s="249"/>
      <c r="N2572" s="266">
        <f t="shared" si="53"/>
        <v>0</v>
      </c>
      <c r="O2572" s="247"/>
      <c r="P2572" s="247"/>
      <c r="Q2572" s="247"/>
      <c r="R2572" s="247"/>
      <c r="S2572" s="247"/>
      <c r="T2572" s="247"/>
      <c r="U2572" s="247"/>
      <c r="V2572" s="247"/>
      <c r="W2572" s="247"/>
      <c r="X2572" s="247"/>
    </row>
    <row r="2573">
      <c r="A2573" s="294"/>
      <c r="B2573" s="295"/>
      <c r="C2573" s="295"/>
      <c r="D2573" s="296"/>
      <c r="E2573" s="295"/>
      <c r="F2573" s="292"/>
      <c r="G2573" s="293" t="str">
        <f>IFNA(IF(VLOOKUP(RC_OUT[BLOCK],RC_IN[[BLOCK]:[BLOCK LOC]],2,FALSE)=0,"",VLOOKUP(RC_OUT[BLOCK],RC_IN[[BLOCK]:[BLOCK LOC]],2,FALSE)),"")</f>
        <v/>
      </c>
      <c r="I2573" s="263" t="str">
        <f>IFERROR(AVERAGEIFS(RC_IN[MC],RC_IN[BLOCK],RC_OUT[BLOCK]),"")</f>
        <v/>
      </c>
      <c r="J2573" s="264">
        <f t="shared" si="54"/>
        <v>0</v>
      </c>
      <c r="K2573" s="246"/>
      <c r="L2573" s="246"/>
      <c r="M2573" s="249"/>
      <c r="N2573" s="266">
        <f t="shared" si="53"/>
        <v>0</v>
      </c>
      <c r="O2573" s="247"/>
      <c r="P2573" s="247"/>
      <c r="Q2573" s="247"/>
      <c r="R2573" s="247"/>
      <c r="S2573" s="247"/>
      <c r="T2573" s="247"/>
      <c r="U2573" s="247"/>
      <c r="V2573" s="247"/>
      <c r="W2573" s="247"/>
      <c r="X2573" s="247"/>
    </row>
    <row r="2574">
      <c r="A2574" s="294"/>
      <c r="B2574" s="295"/>
      <c r="C2574" s="295"/>
      <c r="D2574" s="296"/>
      <c r="E2574" s="295"/>
      <c r="F2574" s="292"/>
      <c r="G2574" s="293" t="str">
        <f>IFNA(IF(VLOOKUP(RC_OUT[BLOCK],RC_IN[[BLOCK]:[BLOCK LOC]],2,FALSE)=0,"",VLOOKUP(RC_OUT[BLOCK],RC_IN[[BLOCK]:[BLOCK LOC]],2,FALSE)),"")</f>
        <v/>
      </c>
      <c r="I2574" s="263" t="str">
        <f>IFERROR(AVERAGEIFS(RC_IN[MC],RC_IN[BLOCK],RC_OUT[BLOCK]),"")</f>
        <v/>
      </c>
      <c r="J2574" s="264">
        <f t="shared" si="54"/>
        <v>0</v>
      </c>
      <c r="K2574" s="246"/>
      <c r="L2574" s="246"/>
      <c r="M2574" s="249"/>
      <c r="N2574" s="266">
        <f t="shared" si="53"/>
        <v>0</v>
      </c>
      <c r="O2574" s="247"/>
      <c r="P2574" s="247"/>
      <c r="Q2574" s="247"/>
      <c r="R2574" s="247"/>
      <c r="S2574" s="247"/>
      <c r="T2574" s="247"/>
      <c r="U2574" s="247"/>
      <c r="V2574" s="247"/>
      <c r="W2574" s="247"/>
      <c r="X2574" s="247"/>
    </row>
    <row r="2575">
      <c r="A2575" s="294"/>
      <c r="B2575" s="295"/>
      <c r="C2575" s="295"/>
      <c r="D2575" s="296"/>
      <c r="E2575" s="295"/>
      <c r="F2575" s="292"/>
      <c r="G2575" s="293" t="str">
        <f>IFNA(IF(VLOOKUP(RC_OUT[BLOCK],RC_IN[[BLOCK]:[BLOCK LOC]],2,FALSE)=0,"",VLOOKUP(RC_OUT[BLOCK],RC_IN[[BLOCK]:[BLOCK LOC]],2,FALSE)),"")</f>
        <v/>
      </c>
      <c r="I2575" s="263" t="str">
        <f>IFERROR(AVERAGEIFS(RC_IN[MC],RC_IN[BLOCK],RC_OUT[BLOCK]),"")</f>
        <v/>
      </c>
      <c r="J2575" s="264">
        <f t="shared" si="54"/>
        <v>0</v>
      </c>
      <c r="K2575" s="246"/>
      <c r="L2575" s="246"/>
      <c r="M2575" s="249"/>
      <c r="N2575" s="266">
        <f t="shared" si="53"/>
        <v>0</v>
      </c>
      <c r="O2575" s="247"/>
      <c r="P2575" s="247"/>
      <c r="Q2575" s="247"/>
      <c r="R2575" s="247"/>
      <c r="S2575" s="247"/>
      <c r="T2575" s="247"/>
      <c r="U2575" s="247"/>
      <c r="V2575" s="247"/>
      <c r="W2575" s="247"/>
      <c r="X2575" s="247"/>
    </row>
    <row r="2576">
      <c r="A2576" s="294"/>
      <c r="B2576" s="295"/>
      <c r="C2576" s="295"/>
      <c r="D2576" s="296"/>
      <c r="E2576" s="295"/>
      <c r="F2576" s="292"/>
      <c r="G2576" s="293" t="str">
        <f>IFNA(IF(VLOOKUP(RC_OUT[BLOCK],RC_IN[[BLOCK]:[BLOCK LOC]],2,FALSE)=0,"",VLOOKUP(RC_OUT[BLOCK],RC_IN[[BLOCK]:[BLOCK LOC]],2,FALSE)),"")</f>
        <v/>
      </c>
      <c r="I2576" s="263" t="str">
        <f>IFERROR(AVERAGEIFS(RC_IN[MC],RC_IN[BLOCK],RC_OUT[BLOCK]),"")</f>
        <v/>
      </c>
      <c r="J2576" s="264">
        <f t="shared" si="54"/>
        <v>0</v>
      </c>
      <c r="K2576" s="246"/>
      <c r="L2576" s="246"/>
      <c r="M2576" s="249"/>
      <c r="N2576" s="266">
        <f t="shared" si="53"/>
        <v>0</v>
      </c>
      <c r="O2576" s="247"/>
      <c r="P2576" s="247"/>
      <c r="Q2576" s="247"/>
      <c r="R2576" s="247"/>
      <c r="S2576" s="247"/>
      <c r="T2576" s="247"/>
      <c r="U2576" s="247"/>
      <c r="V2576" s="247"/>
      <c r="W2576" s="247"/>
      <c r="X2576" s="247"/>
    </row>
    <row r="2577">
      <c r="A2577" s="294"/>
      <c r="B2577" s="295"/>
      <c r="C2577" s="295"/>
      <c r="D2577" s="296"/>
      <c r="E2577" s="295"/>
      <c r="F2577" s="292"/>
      <c r="G2577" s="293" t="str">
        <f>IFNA(IF(VLOOKUP(RC_OUT[BLOCK],RC_IN[[BLOCK]:[BLOCK LOC]],2,FALSE)=0,"",VLOOKUP(RC_OUT[BLOCK],RC_IN[[BLOCK]:[BLOCK LOC]],2,FALSE)),"")</f>
        <v/>
      </c>
      <c r="I2577" s="263" t="str">
        <f>IFERROR(AVERAGEIFS(RC_IN[MC],RC_IN[BLOCK],RC_OUT[BLOCK]),"")</f>
        <v/>
      </c>
      <c r="J2577" s="264">
        <f t="shared" si="54"/>
        <v>0</v>
      </c>
      <c r="K2577" s="246"/>
      <c r="L2577" s="246"/>
      <c r="M2577" s="249"/>
      <c r="N2577" s="266">
        <f t="shared" si="53"/>
        <v>0</v>
      </c>
      <c r="O2577" s="247"/>
      <c r="P2577" s="247"/>
      <c r="Q2577" s="247"/>
      <c r="R2577" s="247"/>
      <c r="S2577" s="247"/>
      <c r="T2577" s="247"/>
      <c r="U2577" s="247"/>
      <c r="V2577" s="247"/>
      <c r="W2577" s="247"/>
      <c r="X2577" s="247"/>
    </row>
    <row r="2578">
      <c r="A2578" s="294"/>
      <c r="B2578" s="295"/>
      <c r="C2578" s="295"/>
      <c r="D2578" s="296"/>
      <c r="E2578" s="295"/>
      <c r="F2578" s="292"/>
      <c r="G2578" s="293" t="str">
        <f>IFNA(IF(VLOOKUP(RC_OUT[BLOCK],RC_IN[[BLOCK]:[BLOCK LOC]],2,FALSE)=0,"",VLOOKUP(RC_OUT[BLOCK],RC_IN[[BLOCK]:[BLOCK LOC]],2,FALSE)),"")</f>
        <v/>
      </c>
      <c r="I2578" s="263" t="str">
        <f>IFERROR(AVERAGEIFS(RC_IN[MC],RC_IN[BLOCK],RC_OUT[BLOCK]),"")</f>
        <v/>
      </c>
      <c r="J2578" s="264">
        <f t="shared" si="54"/>
        <v>0</v>
      </c>
      <c r="K2578" s="246"/>
      <c r="L2578" s="246"/>
      <c r="M2578" s="249"/>
      <c r="N2578" s="266">
        <f t="shared" si="53"/>
        <v>0</v>
      </c>
      <c r="O2578" s="247"/>
      <c r="P2578" s="247"/>
      <c r="Q2578" s="247"/>
      <c r="R2578" s="247"/>
      <c r="S2578" s="247"/>
      <c r="T2578" s="247"/>
      <c r="U2578" s="247"/>
      <c r="V2578" s="247"/>
      <c r="W2578" s="247"/>
      <c r="X2578" s="247"/>
    </row>
    <row r="2579">
      <c r="A2579" s="294"/>
      <c r="B2579" s="295"/>
      <c r="C2579" s="295"/>
      <c r="D2579" s="296"/>
      <c r="E2579" s="295"/>
      <c r="F2579" s="292"/>
      <c r="G2579" s="293" t="str">
        <f>IFNA(IF(VLOOKUP(RC_OUT[BLOCK],RC_IN[[BLOCK]:[BLOCK LOC]],2,FALSE)=0,"",VLOOKUP(RC_OUT[BLOCK],RC_IN[[BLOCK]:[BLOCK LOC]],2,FALSE)),"")</f>
        <v/>
      </c>
      <c r="I2579" s="263" t="str">
        <f>IFERROR(AVERAGEIFS(RC_IN[MC],RC_IN[BLOCK],RC_OUT[BLOCK]),"")</f>
        <v/>
      </c>
      <c r="J2579" s="264">
        <f t="shared" si="54"/>
        <v>0</v>
      </c>
      <c r="K2579" s="246"/>
      <c r="L2579" s="246"/>
      <c r="M2579" s="249"/>
      <c r="N2579" s="266">
        <f t="shared" si="53"/>
        <v>0</v>
      </c>
      <c r="O2579" s="247"/>
      <c r="P2579" s="247"/>
      <c r="Q2579" s="247"/>
      <c r="R2579" s="247"/>
      <c r="S2579" s="247"/>
      <c r="T2579" s="247"/>
      <c r="U2579" s="247"/>
      <c r="V2579" s="247"/>
      <c r="W2579" s="247"/>
      <c r="X2579" s="247"/>
    </row>
    <row r="2580">
      <c r="A2580" s="294"/>
      <c r="B2580" s="295"/>
      <c r="C2580" s="295"/>
      <c r="D2580" s="296"/>
      <c r="E2580" s="295"/>
      <c r="F2580" s="292"/>
      <c r="G2580" s="293" t="str">
        <f>IFNA(IF(VLOOKUP(RC_OUT[BLOCK],RC_IN[[BLOCK]:[BLOCK LOC]],2,FALSE)=0,"",VLOOKUP(RC_OUT[BLOCK],RC_IN[[BLOCK]:[BLOCK LOC]],2,FALSE)),"")</f>
        <v/>
      </c>
      <c r="I2580" s="263" t="str">
        <f>IFERROR(AVERAGEIFS(RC_IN[MC],RC_IN[BLOCK],RC_OUT[BLOCK]),"")</f>
        <v/>
      </c>
      <c r="J2580" s="264">
        <f t="shared" si="54"/>
        <v>0</v>
      </c>
      <c r="K2580" s="246"/>
      <c r="L2580" s="246"/>
      <c r="M2580" s="249"/>
      <c r="N2580" s="266">
        <f t="shared" si="53"/>
        <v>0</v>
      </c>
      <c r="O2580" s="247"/>
      <c r="P2580" s="247"/>
      <c r="Q2580" s="247"/>
      <c r="R2580" s="247"/>
      <c r="S2580" s="247"/>
      <c r="T2580" s="247"/>
      <c r="U2580" s="247"/>
      <c r="V2580" s="247"/>
      <c r="W2580" s="247"/>
      <c r="X2580" s="247"/>
    </row>
    <row r="2581">
      <c r="A2581" s="294"/>
      <c r="B2581" s="295"/>
      <c r="C2581" s="295"/>
      <c r="D2581" s="296"/>
      <c r="E2581" s="295"/>
      <c r="F2581" s="292"/>
      <c r="G2581" s="293" t="str">
        <f>IFNA(IF(VLOOKUP(RC_OUT[BLOCK],RC_IN[[BLOCK]:[BLOCK LOC]],2,FALSE)=0,"",VLOOKUP(RC_OUT[BLOCK],RC_IN[[BLOCK]:[BLOCK LOC]],2,FALSE)),"")</f>
        <v/>
      </c>
      <c r="I2581" s="263" t="str">
        <f>IFERROR(AVERAGEIFS(RC_IN[MC],RC_IN[BLOCK],RC_OUT[BLOCK]),"")</f>
        <v/>
      </c>
      <c r="J2581" s="264">
        <f t="shared" si="54"/>
        <v>0</v>
      </c>
      <c r="K2581" s="246"/>
      <c r="L2581" s="246"/>
      <c r="M2581" s="249"/>
      <c r="N2581" s="266">
        <f t="shared" si="53"/>
        <v>0</v>
      </c>
      <c r="O2581" s="247"/>
      <c r="P2581" s="247"/>
      <c r="Q2581" s="247"/>
      <c r="R2581" s="247"/>
      <c r="S2581" s="247"/>
      <c r="T2581" s="247"/>
      <c r="U2581" s="247"/>
      <c r="V2581" s="247"/>
      <c r="W2581" s="247"/>
      <c r="X2581" s="247"/>
    </row>
    <row r="2582">
      <c r="A2582" s="294"/>
      <c r="B2582" s="295"/>
      <c r="C2582" s="295"/>
      <c r="D2582" s="296"/>
      <c r="E2582" s="295"/>
      <c r="F2582" s="292"/>
      <c r="G2582" s="293" t="str">
        <f>IFNA(IF(VLOOKUP(RC_OUT[BLOCK],RC_IN[[BLOCK]:[BLOCK LOC]],2,FALSE)=0,"",VLOOKUP(RC_OUT[BLOCK],RC_IN[[BLOCK]:[BLOCK LOC]],2,FALSE)),"")</f>
        <v/>
      </c>
      <c r="I2582" s="263" t="str">
        <f>IFERROR(AVERAGEIFS(RC_IN[MC],RC_IN[BLOCK],RC_OUT[BLOCK]),"")</f>
        <v/>
      </c>
      <c r="J2582" s="264">
        <f t="shared" si="54"/>
        <v>0</v>
      </c>
      <c r="K2582" s="246"/>
      <c r="L2582" s="246"/>
      <c r="M2582" s="249"/>
      <c r="N2582" s="266">
        <f t="shared" si="53"/>
        <v>0</v>
      </c>
      <c r="O2582" s="247"/>
      <c r="P2582" s="247"/>
      <c r="Q2582" s="247"/>
      <c r="R2582" s="247"/>
      <c r="S2582" s="247"/>
      <c r="T2582" s="247"/>
      <c r="U2582" s="247"/>
      <c r="V2582" s="247"/>
      <c r="W2582" s="247"/>
      <c r="X2582" s="247"/>
    </row>
    <row r="2583">
      <c r="A2583" s="294"/>
      <c r="B2583" s="295"/>
      <c r="C2583" s="295"/>
      <c r="D2583" s="296"/>
      <c r="E2583" s="295"/>
      <c r="F2583" s="292"/>
      <c r="G2583" s="293" t="str">
        <f>IFNA(IF(VLOOKUP(RC_OUT[BLOCK],RC_IN[[BLOCK]:[BLOCK LOC]],2,FALSE)=0,"",VLOOKUP(RC_OUT[BLOCK],RC_IN[[BLOCK]:[BLOCK LOC]],2,FALSE)),"")</f>
        <v/>
      </c>
      <c r="I2583" s="263" t="str">
        <f>IFERROR(AVERAGEIFS(RC_IN[MC],RC_IN[BLOCK],RC_OUT[BLOCK]),"")</f>
        <v/>
      </c>
      <c r="J2583" s="264">
        <f t="shared" si="54"/>
        <v>0</v>
      </c>
      <c r="K2583" s="246"/>
      <c r="L2583" s="246"/>
      <c r="M2583" s="249"/>
      <c r="N2583" s="266">
        <f t="shared" si="53"/>
        <v>0</v>
      </c>
      <c r="O2583" s="247"/>
      <c r="P2583" s="247"/>
      <c r="Q2583" s="247"/>
      <c r="R2583" s="247"/>
      <c r="S2583" s="247"/>
      <c r="T2583" s="247"/>
      <c r="U2583" s="247"/>
      <c r="V2583" s="247"/>
      <c r="W2583" s="247"/>
      <c r="X2583" s="247"/>
    </row>
    <row r="2584">
      <c r="A2584" s="294"/>
      <c r="B2584" s="295"/>
      <c r="C2584" s="295"/>
      <c r="D2584" s="296"/>
      <c r="E2584" s="295"/>
      <c r="F2584" s="292"/>
      <c r="G2584" s="293" t="str">
        <f>IFNA(IF(VLOOKUP(RC_OUT[BLOCK],RC_IN[[BLOCK]:[BLOCK LOC]],2,FALSE)=0,"",VLOOKUP(RC_OUT[BLOCK],RC_IN[[BLOCK]:[BLOCK LOC]],2,FALSE)),"")</f>
        <v/>
      </c>
      <c r="I2584" s="263" t="str">
        <f>IFERROR(AVERAGEIFS(RC_IN[MC],RC_IN[BLOCK],RC_OUT[BLOCK]),"")</f>
        <v/>
      </c>
      <c r="J2584" s="264">
        <f t="shared" si="54"/>
        <v>0</v>
      </c>
      <c r="K2584" s="246"/>
      <c r="L2584" s="246"/>
      <c r="M2584" s="249"/>
      <c r="N2584" s="266">
        <f t="shared" si="53"/>
        <v>0</v>
      </c>
      <c r="O2584" s="247"/>
      <c r="P2584" s="247"/>
      <c r="Q2584" s="247"/>
      <c r="R2584" s="247"/>
      <c r="S2584" s="247"/>
      <c r="T2584" s="247"/>
      <c r="U2584" s="247"/>
      <c r="V2584" s="247"/>
      <c r="W2584" s="247"/>
      <c r="X2584" s="247"/>
    </row>
    <row r="2585">
      <c r="A2585" s="294"/>
      <c r="B2585" s="295"/>
      <c r="C2585" s="295"/>
      <c r="D2585" s="296"/>
      <c r="E2585" s="295"/>
      <c r="F2585" s="292"/>
      <c r="G2585" s="293" t="str">
        <f>IFNA(IF(VLOOKUP(RC_OUT[BLOCK],RC_IN[[BLOCK]:[BLOCK LOC]],2,FALSE)=0,"",VLOOKUP(RC_OUT[BLOCK],RC_IN[[BLOCK]:[BLOCK LOC]],2,FALSE)),"")</f>
        <v/>
      </c>
      <c r="I2585" s="263" t="str">
        <f>IFERROR(AVERAGEIFS(RC_IN[MC],RC_IN[BLOCK],RC_OUT[BLOCK]),"")</f>
        <v/>
      </c>
      <c r="J2585" s="264">
        <f t="shared" si="54"/>
        <v>0</v>
      </c>
      <c r="K2585" s="246"/>
      <c r="L2585" s="246"/>
      <c r="M2585" s="249"/>
      <c r="N2585" s="266">
        <f t="shared" si="53"/>
        <v>0</v>
      </c>
      <c r="O2585" s="247"/>
      <c r="P2585" s="247"/>
      <c r="Q2585" s="247"/>
      <c r="R2585" s="247"/>
      <c r="S2585" s="247"/>
      <c r="T2585" s="247"/>
      <c r="U2585" s="247"/>
      <c r="V2585" s="247"/>
      <c r="W2585" s="247"/>
      <c r="X2585" s="247"/>
    </row>
    <row r="2586">
      <c r="A2586" s="294"/>
      <c r="B2586" s="295"/>
      <c r="C2586" s="295"/>
      <c r="D2586" s="296"/>
      <c r="E2586" s="295"/>
      <c r="F2586" s="292"/>
      <c r="G2586" s="293" t="str">
        <f>IFNA(IF(VLOOKUP(RC_OUT[BLOCK],RC_IN[[BLOCK]:[BLOCK LOC]],2,FALSE)=0,"",VLOOKUP(RC_OUT[BLOCK],RC_IN[[BLOCK]:[BLOCK LOC]],2,FALSE)),"")</f>
        <v/>
      </c>
      <c r="I2586" s="263" t="str">
        <f>IFERROR(AVERAGEIFS(RC_IN[MC],RC_IN[BLOCK],RC_OUT[BLOCK]),"")</f>
        <v/>
      </c>
      <c r="J2586" s="264">
        <f t="shared" si="54"/>
        <v>0</v>
      </c>
      <c r="K2586" s="246"/>
      <c r="L2586" s="246"/>
      <c r="M2586" s="249"/>
      <c r="N2586" s="266">
        <f t="shared" si="53"/>
        <v>0</v>
      </c>
      <c r="O2586" s="247"/>
      <c r="P2586" s="247"/>
      <c r="Q2586" s="247"/>
      <c r="R2586" s="247"/>
      <c r="S2586" s="247"/>
      <c r="T2586" s="247"/>
      <c r="U2586" s="247"/>
      <c r="V2586" s="247"/>
      <c r="W2586" s="247"/>
      <c r="X2586" s="247"/>
    </row>
    <row r="2587">
      <c r="A2587" s="294"/>
      <c r="B2587" s="295"/>
      <c r="C2587" s="295"/>
      <c r="D2587" s="296"/>
      <c r="E2587" s="295"/>
      <c r="F2587" s="292"/>
      <c r="G2587" s="293" t="str">
        <f>IFNA(IF(VLOOKUP(RC_OUT[BLOCK],RC_IN[[BLOCK]:[BLOCK LOC]],2,FALSE)=0,"",VLOOKUP(RC_OUT[BLOCK],RC_IN[[BLOCK]:[BLOCK LOC]],2,FALSE)),"")</f>
        <v/>
      </c>
      <c r="I2587" s="263" t="str">
        <f>IFERROR(AVERAGEIFS(RC_IN[MC],RC_IN[BLOCK],RC_OUT[BLOCK]),"")</f>
        <v/>
      </c>
      <c r="J2587" s="264">
        <f t="shared" si="54"/>
        <v>0</v>
      </c>
      <c r="K2587" s="246"/>
      <c r="L2587" s="246"/>
      <c r="M2587" s="249"/>
      <c r="N2587" s="266">
        <f t="shared" si="53"/>
        <v>0</v>
      </c>
      <c r="O2587" s="247"/>
      <c r="P2587" s="247"/>
      <c r="Q2587" s="247"/>
      <c r="R2587" s="247"/>
      <c r="S2587" s="247"/>
      <c r="T2587" s="247"/>
      <c r="U2587" s="247"/>
      <c r="V2587" s="247"/>
      <c r="W2587" s="247"/>
      <c r="X2587" s="247"/>
    </row>
    <row r="2588">
      <c r="A2588" s="294"/>
      <c r="B2588" s="295"/>
      <c r="C2588" s="295"/>
      <c r="D2588" s="296"/>
      <c r="E2588" s="295"/>
      <c r="F2588" s="292"/>
      <c r="G2588" s="293" t="str">
        <f>IFNA(IF(VLOOKUP(RC_OUT[BLOCK],RC_IN[[BLOCK]:[BLOCK LOC]],2,FALSE)=0,"",VLOOKUP(RC_OUT[BLOCK],RC_IN[[BLOCK]:[BLOCK LOC]],2,FALSE)),"")</f>
        <v/>
      </c>
      <c r="I2588" s="263" t="str">
        <f>IFERROR(AVERAGEIFS(RC_IN[MC],RC_IN[BLOCK],RC_OUT[BLOCK]),"")</f>
        <v/>
      </c>
      <c r="J2588" s="264">
        <f t="shared" si="54"/>
        <v>0</v>
      </c>
      <c r="K2588" s="246"/>
      <c r="L2588" s="246"/>
      <c r="M2588" s="249"/>
      <c r="N2588" s="266">
        <f t="shared" si="53"/>
        <v>0</v>
      </c>
      <c r="O2588" s="247"/>
      <c r="P2588" s="247"/>
      <c r="Q2588" s="247"/>
      <c r="R2588" s="247"/>
      <c r="S2588" s="247"/>
      <c r="T2588" s="247"/>
      <c r="U2588" s="247"/>
      <c r="V2588" s="247"/>
      <c r="W2588" s="247"/>
      <c r="X2588" s="247"/>
    </row>
    <row r="2589">
      <c r="A2589" s="294"/>
      <c r="B2589" s="295"/>
      <c r="C2589" s="295"/>
      <c r="D2589" s="296"/>
      <c r="E2589" s="295"/>
      <c r="F2589" s="292"/>
      <c r="G2589" s="293" t="str">
        <f>IFNA(IF(VLOOKUP(RC_OUT[BLOCK],RC_IN[[BLOCK]:[BLOCK LOC]],2,FALSE)=0,"",VLOOKUP(RC_OUT[BLOCK],RC_IN[[BLOCK]:[BLOCK LOC]],2,FALSE)),"")</f>
        <v/>
      </c>
      <c r="I2589" s="263" t="str">
        <f>IFERROR(AVERAGEIFS(RC_IN[MC],RC_IN[BLOCK],RC_OUT[BLOCK]),"")</f>
        <v/>
      </c>
      <c r="J2589" s="264">
        <f t="shared" si="54"/>
        <v>0</v>
      </c>
      <c r="K2589" s="246"/>
      <c r="L2589" s="246"/>
      <c r="M2589" s="249"/>
      <c r="N2589" s="266">
        <f t="shared" si="53"/>
        <v>0</v>
      </c>
      <c r="O2589" s="247"/>
      <c r="P2589" s="247"/>
      <c r="Q2589" s="247"/>
      <c r="R2589" s="247"/>
      <c r="S2589" s="247"/>
      <c r="T2589" s="247"/>
      <c r="U2589" s="247"/>
      <c r="V2589" s="247"/>
      <c r="W2589" s="247"/>
      <c r="X2589" s="247"/>
    </row>
    <row r="2590">
      <c r="A2590" s="294"/>
      <c r="B2590" s="295"/>
      <c r="C2590" s="295"/>
      <c r="D2590" s="296"/>
      <c r="E2590" s="295"/>
      <c r="F2590" s="292"/>
      <c r="G2590" s="293" t="str">
        <f>IFNA(IF(VLOOKUP(RC_OUT[BLOCK],RC_IN[[BLOCK]:[BLOCK LOC]],2,FALSE)=0,"",VLOOKUP(RC_OUT[BLOCK],RC_IN[[BLOCK]:[BLOCK LOC]],2,FALSE)),"")</f>
        <v/>
      </c>
      <c r="I2590" s="263" t="str">
        <f>IFERROR(AVERAGEIFS(RC_IN[MC],RC_IN[BLOCK],RC_OUT[BLOCK]),"")</f>
        <v/>
      </c>
      <c r="J2590" s="264">
        <f t="shared" si="54"/>
        <v>0</v>
      </c>
      <c r="K2590" s="246"/>
      <c r="L2590" s="246"/>
      <c r="M2590" s="249"/>
      <c r="N2590" s="266">
        <f t="shared" si="53"/>
        <v>0</v>
      </c>
      <c r="O2590" s="247"/>
      <c r="P2590" s="247"/>
      <c r="Q2590" s="247"/>
      <c r="R2590" s="247"/>
      <c r="S2590" s="247"/>
      <c r="T2590" s="247"/>
      <c r="U2590" s="247"/>
      <c r="V2590" s="247"/>
      <c r="W2590" s="247"/>
      <c r="X2590" s="247"/>
    </row>
    <row r="2591">
      <c r="A2591" s="294"/>
      <c r="B2591" s="295"/>
      <c r="C2591" s="295"/>
      <c r="D2591" s="296"/>
      <c r="E2591" s="295"/>
      <c r="F2591" s="292"/>
      <c r="G2591" s="293" t="str">
        <f>IFNA(IF(VLOOKUP(RC_OUT[BLOCK],RC_IN[[BLOCK]:[BLOCK LOC]],2,FALSE)=0,"",VLOOKUP(RC_OUT[BLOCK],RC_IN[[BLOCK]:[BLOCK LOC]],2,FALSE)),"")</f>
        <v/>
      </c>
      <c r="I2591" s="263" t="str">
        <f>IFERROR(AVERAGEIFS(RC_IN[MC],RC_IN[BLOCK],RC_OUT[BLOCK]),"")</f>
        <v/>
      </c>
      <c r="J2591" s="264">
        <f t="shared" si="54"/>
        <v>0</v>
      </c>
      <c r="K2591" s="246"/>
      <c r="L2591" s="246"/>
      <c r="M2591" s="249"/>
      <c r="N2591" s="266">
        <f t="shared" si="53"/>
        <v>0</v>
      </c>
      <c r="O2591" s="247"/>
      <c r="P2591" s="247"/>
      <c r="Q2591" s="247"/>
      <c r="R2591" s="247"/>
      <c r="S2591" s="247"/>
      <c r="T2591" s="247"/>
      <c r="U2591" s="247"/>
      <c r="V2591" s="247"/>
      <c r="W2591" s="247"/>
      <c r="X2591" s="247"/>
    </row>
    <row r="2592">
      <c r="A2592" s="294"/>
      <c r="B2592" s="295"/>
      <c r="C2592" s="295"/>
      <c r="D2592" s="296"/>
      <c r="E2592" s="295"/>
      <c r="F2592" s="292"/>
      <c r="G2592" s="293" t="str">
        <f>IFNA(IF(VLOOKUP(RC_OUT[BLOCK],RC_IN[[BLOCK]:[BLOCK LOC]],2,FALSE)=0,"",VLOOKUP(RC_OUT[BLOCK],RC_IN[[BLOCK]:[BLOCK LOC]],2,FALSE)),"")</f>
        <v/>
      </c>
      <c r="I2592" s="263" t="str">
        <f>IFERROR(AVERAGEIFS(RC_IN[MC],RC_IN[BLOCK],RC_OUT[BLOCK]),"")</f>
        <v/>
      </c>
      <c r="J2592" s="264">
        <f t="shared" si="54"/>
        <v>0</v>
      </c>
      <c r="K2592" s="246"/>
      <c r="L2592" s="246"/>
      <c r="M2592" s="249"/>
      <c r="N2592" s="266">
        <f t="shared" si="53"/>
        <v>0</v>
      </c>
      <c r="O2592" s="247"/>
      <c r="P2592" s="247"/>
      <c r="Q2592" s="247"/>
      <c r="R2592" s="247"/>
      <c r="S2592" s="247"/>
      <c r="T2592" s="247"/>
      <c r="U2592" s="247"/>
      <c r="V2592" s="247"/>
      <c r="W2592" s="247"/>
      <c r="X2592" s="247"/>
    </row>
    <row r="2593">
      <c r="A2593" s="294"/>
      <c r="B2593" s="295"/>
      <c r="C2593" s="295"/>
      <c r="D2593" s="296"/>
      <c r="E2593" s="295"/>
      <c r="F2593" s="292"/>
      <c r="G2593" s="293" t="str">
        <f>IFNA(IF(VLOOKUP(RC_OUT[BLOCK],RC_IN[[BLOCK]:[BLOCK LOC]],2,FALSE)=0,"",VLOOKUP(RC_OUT[BLOCK],RC_IN[[BLOCK]:[BLOCK LOC]],2,FALSE)),"")</f>
        <v/>
      </c>
      <c r="I2593" s="263" t="str">
        <f>IFERROR(AVERAGEIFS(RC_IN[MC],RC_IN[BLOCK],RC_OUT[BLOCK]),"")</f>
        <v/>
      </c>
      <c r="J2593" s="264">
        <f t="shared" si="54"/>
        <v>0</v>
      </c>
      <c r="K2593" s="246"/>
      <c r="L2593" s="246"/>
      <c r="M2593" s="249"/>
      <c r="N2593" s="266">
        <f t="shared" si="53"/>
        <v>0</v>
      </c>
      <c r="O2593" s="247"/>
      <c r="P2593" s="247"/>
      <c r="Q2593" s="247"/>
      <c r="R2593" s="247"/>
      <c r="S2593" s="247"/>
      <c r="T2593" s="247"/>
      <c r="U2593" s="247"/>
      <c r="V2593" s="247"/>
      <c r="W2593" s="247"/>
      <c r="X2593" s="247"/>
    </row>
    <row r="2594">
      <c r="A2594" s="294"/>
      <c r="B2594" s="295"/>
      <c r="C2594" s="295"/>
      <c r="D2594" s="296"/>
      <c r="E2594" s="295"/>
      <c r="F2594" s="292"/>
      <c r="G2594" s="293" t="str">
        <f>IFNA(IF(VLOOKUP(RC_OUT[BLOCK],RC_IN[[BLOCK]:[BLOCK LOC]],2,FALSE)=0,"",VLOOKUP(RC_OUT[BLOCK],RC_IN[[BLOCK]:[BLOCK LOC]],2,FALSE)),"")</f>
        <v/>
      </c>
      <c r="I2594" s="263" t="str">
        <f>IFERROR(AVERAGEIFS(RC_IN[MC],RC_IN[BLOCK],RC_OUT[BLOCK]),"")</f>
        <v/>
      </c>
      <c r="J2594" s="264">
        <f t="shared" si="54"/>
        <v>0</v>
      </c>
      <c r="K2594" s="246"/>
      <c r="L2594" s="246"/>
      <c r="M2594" s="249"/>
      <c r="N2594" s="266">
        <f t="shared" si="53"/>
        <v>0</v>
      </c>
      <c r="O2594" s="247"/>
      <c r="P2594" s="247"/>
      <c r="Q2594" s="247"/>
      <c r="R2594" s="247"/>
      <c r="S2594" s="247"/>
      <c r="T2594" s="247"/>
      <c r="U2594" s="247"/>
      <c r="V2594" s="247"/>
      <c r="W2594" s="247"/>
      <c r="X2594" s="247"/>
    </row>
    <row r="2595">
      <c r="A2595" s="294"/>
      <c r="B2595" s="295"/>
      <c r="C2595" s="295"/>
      <c r="D2595" s="296"/>
      <c r="E2595" s="295"/>
      <c r="F2595" s="292"/>
      <c r="G2595" s="293" t="str">
        <f>IFNA(IF(VLOOKUP(RC_OUT[BLOCK],RC_IN[[BLOCK]:[BLOCK LOC]],2,FALSE)=0,"",VLOOKUP(RC_OUT[BLOCK],RC_IN[[BLOCK]:[BLOCK LOC]],2,FALSE)),"")</f>
        <v/>
      </c>
      <c r="I2595" s="263" t="str">
        <f>IFERROR(AVERAGEIFS(RC_IN[MC],RC_IN[BLOCK],RC_OUT[BLOCK]),"")</f>
        <v/>
      </c>
      <c r="J2595" s="264">
        <f t="shared" si="54"/>
        <v>0</v>
      </c>
      <c r="K2595" s="246"/>
      <c r="L2595" s="246"/>
      <c r="M2595" s="249"/>
      <c r="N2595" s="266">
        <f t="shared" si="53"/>
        <v>0</v>
      </c>
      <c r="O2595" s="247"/>
      <c r="P2595" s="247"/>
      <c r="Q2595" s="247"/>
      <c r="R2595" s="247"/>
      <c r="S2595" s="247"/>
      <c r="T2595" s="247"/>
      <c r="U2595" s="247"/>
      <c r="V2595" s="247"/>
      <c r="W2595" s="247"/>
      <c r="X2595" s="247"/>
    </row>
    <row r="2596">
      <c r="A2596" s="294"/>
      <c r="B2596" s="295"/>
      <c r="C2596" s="295"/>
      <c r="D2596" s="296"/>
      <c r="E2596" s="295"/>
      <c r="F2596" s="292"/>
      <c r="G2596" s="293" t="str">
        <f>IFNA(IF(VLOOKUP(RC_OUT[BLOCK],RC_IN[[BLOCK]:[BLOCK LOC]],2,FALSE)=0,"",VLOOKUP(RC_OUT[BLOCK],RC_IN[[BLOCK]:[BLOCK LOC]],2,FALSE)),"")</f>
        <v/>
      </c>
      <c r="I2596" s="263" t="str">
        <f>IFERROR(AVERAGEIFS(RC_IN[MC],RC_IN[BLOCK],RC_OUT[BLOCK]),"")</f>
        <v/>
      </c>
      <c r="J2596" s="264">
        <f t="shared" si="54"/>
        <v>0</v>
      </c>
      <c r="K2596" s="246"/>
      <c r="L2596" s="246"/>
      <c r="M2596" s="249"/>
      <c r="N2596" s="266">
        <f t="shared" si="53"/>
        <v>0</v>
      </c>
      <c r="O2596" s="247"/>
      <c r="P2596" s="247"/>
      <c r="Q2596" s="247"/>
      <c r="R2596" s="247"/>
      <c r="S2596" s="247"/>
      <c r="T2596" s="247"/>
      <c r="U2596" s="247"/>
      <c r="V2596" s="247"/>
      <c r="W2596" s="247"/>
      <c r="X2596" s="247"/>
    </row>
    <row r="2597">
      <c r="A2597" s="294"/>
      <c r="B2597" s="295"/>
      <c r="C2597" s="295"/>
      <c r="D2597" s="296"/>
      <c r="E2597" s="295"/>
      <c r="F2597" s="292"/>
      <c r="G2597" s="293" t="str">
        <f>IFNA(IF(VLOOKUP(RC_OUT[BLOCK],RC_IN[[BLOCK]:[BLOCK LOC]],2,FALSE)=0,"",VLOOKUP(RC_OUT[BLOCK],RC_IN[[BLOCK]:[BLOCK LOC]],2,FALSE)),"")</f>
        <v/>
      </c>
      <c r="I2597" s="263" t="str">
        <f>IFERROR(AVERAGEIFS(RC_IN[MC],RC_IN[BLOCK],RC_OUT[BLOCK]),"")</f>
        <v/>
      </c>
      <c r="J2597" s="264">
        <f t="shared" si="54"/>
        <v>0</v>
      </c>
      <c r="K2597" s="246"/>
      <c r="L2597" s="246"/>
      <c r="M2597" s="249"/>
      <c r="N2597" s="266">
        <f t="shared" si="53"/>
        <v>0</v>
      </c>
      <c r="O2597" s="247"/>
      <c r="P2597" s="247"/>
      <c r="Q2597" s="247"/>
      <c r="R2597" s="247"/>
      <c r="S2597" s="247"/>
      <c r="T2597" s="247"/>
      <c r="U2597" s="247"/>
      <c r="V2597" s="247"/>
      <c r="W2597" s="247"/>
      <c r="X2597" s="247"/>
    </row>
    <row r="2598">
      <c r="A2598" s="294"/>
      <c r="B2598" s="295"/>
      <c r="C2598" s="295"/>
      <c r="D2598" s="296"/>
      <c r="E2598" s="295"/>
      <c r="F2598" s="292"/>
      <c r="G2598" s="293" t="str">
        <f>IFNA(IF(VLOOKUP(RC_OUT[BLOCK],RC_IN[[BLOCK]:[BLOCK LOC]],2,FALSE)=0,"",VLOOKUP(RC_OUT[BLOCK],RC_IN[[BLOCK]:[BLOCK LOC]],2,FALSE)),"")</f>
        <v/>
      </c>
      <c r="I2598" s="263" t="str">
        <f>IFERROR(AVERAGEIFS(RC_IN[MC],RC_IN[BLOCK],RC_OUT[BLOCK]),"")</f>
        <v/>
      </c>
      <c r="J2598" s="264">
        <f t="shared" si="54"/>
        <v>0</v>
      </c>
      <c r="K2598" s="246"/>
      <c r="L2598" s="246"/>
      <c r="M2598" s="249"/>
      <c r="N2598" s="266">
        <f t="shared" si="53"/>
        <v>0</v>
      </c>
      <c r="O2598" s="247"/>
      <c r="P2598" s="247"/>
      <c r="Q2598" s="247"/>
      <c r="R2598" s="247"/>
      <c r="S2598" s="247"/>
      <c r="T2598" s="247"/>
      <c r="U2598" s="247"/>
      <c r="V2598" s="247"/>
      <c r="W2598" s="247"/>
      <c r="X2598" s="247"/>
    </row>
    <row r="2599">
      <c r="A2599" s="294"/>
      <c r="B2599" s="295"/>
      <c r="C2599" s="295"/>
      <c r="D2599" s="296"/>
      <c r="E2599" s="295"/>
      <c r="F2599" s="292"/>
      <c r="G2599" s="293" t="str">
        <f>IFNA(IF(VLOOKUP(RC_OUT[BLOCK],RC_IN[[BLOCK]:[BLOCK LOC]],2,FALSE)=0,"",VLOOKUP(RC_OUT[BLOCK],RC_IN[[BLOCK]:[BLOCK LOC]],2,FALSE)),"")</f>
        <v/>
      </c>
      <c r="I2599" s="263" t="str">
        <f>IFERROR(AVERAGEIFS(RC_IN[MC],RC_IN[BLOCK],RC_OUT[BLOCK]),"")</f>
        <v/>
      </c>
      <c r="J2599" s="264">
        <f t="shared" si="54"/>
        <v>0</v>
      </c>
      <c r="K2599" s="246"/>
      <c r="L2599" s="246"/>
      <c r="M2599" s="249"/>
      <c r="N2599" s="266">
        <f t="shared" si="53"/>
        <v>0</v>
      </c>
      <c r="O2599" s="247"/>
      <c r="P2599" s="247"/>
      <c r="Q2599" s="247"/>
      <c r="R2599" s="247"/>
      <c r="S2599" s="247"/>
      <c r="T2599" s="247"/>
      <c r="U2599" s="247"/>
      <c r="V2599" s="247"/>
      <c r="W2599" s="247"/>
      <c r="X2599" s="247"/>
    </row>
    <row r="2600">
      <c r="A2600" s="294"/>
      <c r="B2600" s="295"/>
      <c r="C2600" s="295"/>
      <c r="D2600" s="296"/>
      <c r="E2600" s="295"/>
      <c r="F2600" s="292"/>
      <c r="G2600" s="293" t="str">
        <f>IFNA(IF(VLOOKUP(RC_OUT[BLOCK],RC_IN[[BLOCK]:[BLOCK LOC]],2,FALSE)=0,"",VLOOKUP(RC_OUT[BLOCK],RC_IN[[BLOCK]:[BLOCK LOC]],2,FALSE)),"")</f>
        <v/>
      </c>
      <c r="I2600" s="263" t="str">
        <f>IFERROR(AVERAGEIFS(RC_IN[MC],RC_IN[BLOCK],RC_OUT[BLOCK]),"")</f>
        <v/>
      </c>
      <c r="J2600" s="264">
        <f t="shared" si="54"/>
        <v>0</v>
      </c>
      <c r="K2600" s="246"/>
      <c r="L2600" s="246"/>
      <c r="M2600" s="249"/>
      <c r="N2600" s="266">
        <f t="shared" si="53"/>
        <v>0</v>
      </c>
      <c r="O2600" s="247"/>
      <c r="P2600" s="247"/>
      <c r="Q2600" s="247"/>
      <c r="R2600" s="247"/>
      <c r="S2600" s="247"/>
      <c r="T2600" s="247"/>
      <c r="U2600" s="247"/>
      <c r="V2600" s="247"/>
      <c r="W2600" s="247"/>
      <c r="X2600" s="247"/>
    </row>
    <row r="2601">
      <c r="A2601" s="294"/>
      <c r="B2601" s="295"/>
      <c r="C2601" s="295"/>
      <c r="D2601" s="296"/>
      <c r="E2601" s="295"/>
      <c r="F2601" s="292"/>
      <c r="G2601" s="293" t="str">
        <f>IFNA(IF(VLOOKUP(RC_OUT[BLOCK],RC_IN[[BLOCK]:[BLOCK LOC]],2,FALSE)=0,"",VLOOKUP(RC_OUT[BLOCK],RC_IN[[BLOCK]:[BLOCK LOC]],2,FALSE)),"")</f>
        <v/>
      </c>
      <c r="I2601" s="263" t="str">
        <f>IFERROR(AVERAGEIFS(RC_IN[MC],RC_IN[BLOCK],RC_OUT[BLOCK]),"")</f>
        <v/>
      </c>
      <c r="J2601" s="264">
        <f t="shared" si="54"/>
        <v>0</v>
      </c>
      <c r="K2601" s="246"/>
      <c r="L2601" s="246"/>
      <c r="M2601" s="249"/>
      <c r="N2601" s="266">
        <f t="shared" si="53"/>
        <v>0</v>
      </c>
      <c r="O2601" s="247"/>
      <c r="P2601" s="247"/>
      <c r="Q2601" s="247"/>
      <c r="R2601" s="247"/>
      <c r="S2601" s="247"/>
      <c r="T2601" s="247"/>
      <c r="U2601" s="247"/>
      <c r="V2601" s="247"/>
      <c r="W2601" s="247"/>
      <c r="X2601" s="247"/>
    </row>
    <row r="2602">
      <c r="A2602" s="294"/>
      <c r="B2602" s="295"/>
      <c r="C2602" s="295"/>
      <c r="D2602" s="296"/>
      <c r="E2602" s="295"/>
      <c r="F2602" s="292"/>
      <c r="G2602" s="293" t="str">
        <f>IFNA(IF(VLOOKUP(RC_OUT[BLOCK],RC_IN[[BLOCK]:[BLOCK LOC]],2,FALSE)=0,"",VLOOKUP(RC_OUT[BLOCK],RC_IN[[BLOCK]:[BLOCK LOC]],2,FALSE)),"")</f>
        <v/>
      </c>
      <c r="I2602" s="263" t="str">
        <f>IFERROR(AVERAGEIFS(RC_IN[MC],RC_IN[BLOCK],RC_OUT[BLOCK]),"")</f>
        <v/>
      </c>
      <c r="J2602" s="264">
        <f t="shared" si="54"/>
        <v>0</v>
      </c>
      <c r="K2602" s="246"/>
      <c r="L2602" s="246"/>
      <c r="M2602" s="249"/>
      <c r="N2602" s="266">
        <f t="shared" si="53"/>
        <v>0</v>
      </c>
      <c r="O2602" s="247"/>
      <c r="P2602" s="247"/>
      <c r="Q2602" s="247"/>
      <c r="R2602" s="247"/>
      <c r="S2602" s="247"/>
      <c r="T2602" s="247"/>
      <c r="U2602" s="247"/>
      <c r="V2602" s="247"/>
      <c r="W2602" s="247"/>
      <c r="X2602" s="247"/>
    </row>
  </sheetData>
  <dataValidations>
    <dataValidation type="custom" allowBlank="1" showDropDown="1" sqref="D5:D2602">
      <formula1>AND(ISNUMBER(D5),(NOT(OR(NOT(ISERROR(DATEVALUE(D5))), AND(ISNUMBER(D5), LEFT(CELL("format", D5))="D")))))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7.38"/>
    <col customWidth="1" min="3" max="3" width="14.13"/>
    <col customWidth="1" hidden="1" min="4" max="4" width="8.88"/>
    <col customWidth="1" hidden="1" min="5" max="5" width="17.38"/>
    <col customWidth="1" min="6" max="6" width="14.13"/>
    <col customWidth="1" min="7" max="7" width="8.88"/>
    <col customWidth="1" min="8" max="9" width="10.13"/>
    <col customWidth="1" min="10" max="11" width="7.38"/>
    <col customWidth="1" min="12" max="12" width="7.88"/>
    <col customWidth="1" min="13" max="13" width="10.25"/>
  </cols>
  <sheetData>
    <row r="1" ht="13.5" customHeight="1">
      <c r="A1" s="302" t="s">
        <v>1376</v>
      </c>
      <c r="B1" s="247"/>
      <c r="E1" s="60"/>
      <c r="F1" s="60"/>
      <c r="G1" s="60"/>
      <c r="H1" s="303"/>
      <c r="I1" s="304"/>
      <c r="J1" s="305"/>
      <c r="K1" s="306"/>
      <c r="L1" s="307"/>
      <c r="M1" s="243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ht="13.5" customHeight="1">
      <c r="A2" s="302" t="s">
        <v>1377</v>
      </c>
      <c r="B2" s="308">
        <v>46082.0</v>
      </c>
      <c r="E2" s="60"/>
      <c r="F2" s="60"/>
      <c r="G2" s="60"/>
      <c r="H2" s="303"/>
      <c r="I2" s="304"/>
      <c r="J2" s="305"/>
      <c r="K2" s="306"/>
      <c r="L2" s="307"/>
      <c r="M2" s="243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ht="13.5" customHeight="1">
      <c r="A3" s="302" t="s">
        <v>1378</v>
      </c>
      <c r="B3" s="308">
        <v>46387.0</v>
      </c>
      <c r="E3" s="60"/>
      <c r="F3" s="60"/>
      <c r="G3" s="60"/>
      <c r="H3" s="303"/>
      <c r="I3" s="304"/>
      <c r="J3" s="305"/>
      <c r="K3" s="306"/>
      <c r="L3" s="307"/>
      <c r="M3" s="243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</row>
    <row r="4" ht="13.5" customHeight="1">
      <c r="A4" s="309"/>
      <c r="B4" s="309"/>
      <c r="C4" s="309"/>
      <c r="D4" s="309"/>
      <c r="E4" s="310"/>
      <c r="F4" s="310"/>
      <c r="G4" s="310"/>
      <c r="H4" s="311">
        <f t="shared" ref="H4:I4" si="1">SUMIFS(H6:H98,$A6:$A98,"SUNDRIED")</f>
        <v>252681</v>
      </c>
      <c r="I4" s="311">
        <f t="shared" si="1"/>
        <v>321616</v>
      </c>
      <c r="J4" s="305"/>
      <c r="K4" s="306"/>
      <c r="L4" s="307"/>
      <c r="M4" s="312">
        <f>IFERROR(1-(H4/I4),"")</f>
        <v>0.2143394607</v>
      </c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</row>
    <row r="5" ht="24.75" customHeight="1">
      <c r="A5" s="313" t="s">
        <v>3</v>
      </c>
      <c r="B5" s="314" t="s">
        <v>1379</v>
      </c>
      <c r="C5" s="315" t="s">
        <v>1380</v>
      </c>
      <c r="D5" s="316" t="s">
        <v>1381</v>
      </c>
      <c r="E5" s="317" t="s">
        <v>1382</v>
      </c>
      <c r="F5" s="318" t="s">
        <v>1383</v>
      </c>
      <c r="G5" s="319" t="s">
        <v>1381</v>
      </c>
      <c r="H5" s="320" t="s">
        <v>1384</v>
      </c>
      <c r="I5" s="321" t="s">
        <v>1385</v>
      </c>
      <c r="J5" s="322" t="s">
        <v>1386</v>
      </c>
      <c r="K5" s="323" t="s">
        <v>1387</v>
      </c>
      <c r="L5" s="324" t="s">
        <v>1388</v>
      </c>
      <c r="M5" s="325" t="s">
        <v>1389</v>
      </c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</row>
    <row r="6" ht="13.5" customHeight="1">
      <c r="A6" s="327" t="str">
        <f t="array" ref="A6">IF(E6="", "", IF(XLOOKUP(E6, 'RC IN'!$E$7:$E$1013, 'RC IN'!$A$7:$A$1013, "")="CLOSED", "SUNDRIED", "IN-PROGRESS"))</f>
        <v>SUNDRIED</v>
      </c>
      <c r="B6" s="328" t="str">
        <f>IFERROR(__xludf.DUMMYFUNCTION("IFERROR(SORT(UNIQUE(FILTER('RC IN'!E8:E1013, ISNUMBER(SEARCH(""SUNDRY"", 'RC IN'!E8:E1013)), 'RC IN'!C8:C1013 &gt;= B2, 'RC IN'!C8:C1013 &lt;= B3)), 1, TRUE), """")"),"APRIL-26-SUNDRY1")</f>
        <v>APRIL-26-SUNDRY1</v>
      </c>
      <c r="C6" s="329" t="str">
        <f>IFERROR(__xludf.DUMMYFUNCTION("IF(E6="""", """", IFERROR(TEXTJOIN("", "", TRUE, UNIQUE(FILTER('RC IN'!$D$10:$D$9999, 'RC IN'!$E$10:$E$9999=E6))), """"))"),"Sevilla")</f>
        <v>Sevilla</v>
      </c>
      <c r="D6" s="330" t="str">
        <f t="array" ref="D6">XLOOKUP(B6, 'RC IN'!$E$8:$E$1013, 'RC IN'!$F$8:$F$1013, "")</f>
        <v>PCB-16A</v>
      </c>
      <c r="E6" s="331" t="str">
        <f>IFERROR(__xludf.DUMMYFUNCTION("IFERROR(REGEXEXTRACT(XLOOKUP(B6, 'RC IN'!$E$8:$E$1013, 'RC IN'!$D$8:$D$1013, """"), "" - (.*)""), """")"),"NOV-24-BLK5")</f>
        <v>NOV-24-BLK5</v>
      </c>
      <c r="F6" s="332" t="str">
        <f t="shared" ref="F6:F98" si="2">IF(E6="", "", PROPER(LEFT(E6, FIND("-", E6)-1)) &amp; " 20" &amp; MID(E6, FIND("-", E6)+1, FIND("-", E6, FIND("-", E6)+1)-FIND("-", E6)-1) &amp; " Blk " &amp; MID(E6, FIND("BLK", E6)+3, 10))</f>
        <v>Nov 2024 Blk 5</v>
      </c>
      <c r="G6" s="333" t="str">
        <f t="array" ref="G6">XLOOKUP(E6, RC_IN[BLOCK], RC_IN[BLOCK LOC], "")</f>
        <v>A-20B</v>
      </c>
      <c r="H6" s="334">
        <f>IF(B6="","", sumifs(RC_IN[WT],RC_IN[BLOCK],B6))</f>
        <v>45704</v>
      </c>
      <c r="I6" s="335">
        <f>IF(E6="","", sumifs(RC_IN[WT],RC_IN[BLOCK],E6))</f>
        <v>60182</v>
      </c>
      <c r="J6" s="336">
        <f>IFERROR(sumifs(RC_IN[WTD MC],RC_IN[BLOCK],B6)/H6,"")
</f>
        <v>6.648823517</v>
      </c>
      <c r="K6" s="337">
        <f>IFERROR(sumifs(RC_IN[WTD MC],RC_IN[BLOCK],E6)/I6,"")</f>
        <v>37.13612326</v>
      </c>
      <c r="L6" s="338">
        <f t="shared" ref="L6:L98" si="3">J6-K6</f>
        <v>-30.48729974</v>
      </c>
      <c r="M6" s="339">
        <f t="shared" ref="M6:M15" si="4">IF(A6="","", IFERROR(1-(H6/I6),""))</f>
        <v>0.2405702702</v>
      </c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</row>
    <row r="7" ht="13.5" customHeight="1">
      <c r="A7" s="340" t="str">
        <f t="array" ref="A7">IF(E16="", "", IF(XLOOKUP(E16, 'RC IN'!$E$7:$E$1013, 'RC IN'!$A$7:$A$1013, "")="CLOSED", "SUNDRIED", "IN-PROGRESS"))</f>
        <v>SUNDRIED</v>
      </c>
      <c r="B7" s="341" t="str">
        <f>IFERROR(__xludf.DUMMYFUNCTION("""COMPUTED_VALUE"""),"JAN-26-SUNDRY7")</f>
        <v>JAN-26-SUNDRY7</v>
      </c>
      <c r="C7" s="329" t="str">
        <f>IFERROR(__xludf.DUMMYFUNCTION("IF(E7="""", """", IFERROR(TEXTJOIN("", "", TRUE, UNIQUE(FILTER('RC IN'!$D$10:$D$9999, 'RC IN'!$E$10:$E$9999=E7))), """"))"),"Lacoto")</f>
        <v>Lacoto</v>
      </c>
      <c r="D7" s="342" t="str">
        <f t="array" ref="D7">XLOOKUP(B7, 'RC IN'!$E$8:$E$1013, 'RC IN'!$F$8:$F$1013, "")</f>
        <v>PCA-16B</v>
      </c>
      <c r="E7" s="343" t="str">
        <f>IFERROR(__xludf.DUMMYFUNCTION("IFERROR(REGEXEXTRACT(XLOOKUP(B7, 'RC IN'!$E$8:$E$1013, 'RC IN'!$D$8:$D$1013, """"), "" - (.*)""), """")"),"JAN-26-BLK4")</f>
        <v>JAN-26-BLK4</v>
      </c>
      <c r="F7" s="332" t="str">
        <f t="shared" si="2"/>
        <v>Jan 2026 Blk 4</v>
      </c>
      <c r="G7" s="344" t="str">
        <f t="array" ref="G7">XLOOKUP(E7, RC_IN[BLOCK], RC_IN[BLOCK LOC], "")</f>
        <v>D-18C</v>
      </c>
      <c r="H7" s="345">
        <f>IF(B7="","", sumifs(RC_IN[WT],RC_IN[BLOCK],B7))</f>
        <v>24670</v>
      </c>
      <c r="I7" s="346">
        <f>IF(E7="","", sumifs(RC_IN[WT],RC_IN[BLOCK],E7))</f>
        <v>32533</v>
      </c>
      <c r="J7" s="347">
        <f>IFERROR(sumifs(RC_IN[WTD MC],RC_IN[BLOCK],B7)/H7,"")
</f>
        <v>9.507401702</v>
      </c>
      <c r="K7" s="348">
        <f>IFERROR(sumifs(RC_IN[WTD MC],RC_IN[BLOCK],E7)/I7,"")</f>
        <v>14.04171057</v>
      </c>
      <c r="L7" s="338">
        <f t="shared" si="3"/>
        <v>-4.534308868</v>
      </c>
      <c r="M7" s="339">
        <f t="shared" si="4"/>
        <v>0.2416930501</v>
      </c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</row>
    <row r="8" ht="13.5" customHeight="1">
      <c r="A8" s="340" t="str">
        <f t="array" ref="A8">IF(E8="", "", IF(XLOOKUP(E8, 'RC IN'!$E$7:$E$1013, 'RC IN'!$A$7:$A$1013, "")="CLOSED", "SUNDRIED", "IN-PROGRESS"))</f>
        <v>SUNDRIED</v>
      </c>
      <c r="B8" s="341" t="str">
        <f>IFERROR(__xludf.DUMMYFUNCTION("""COMPUTED_VALUE"""),"MARCH-26-SUNDRY1")</f>
        <v>MARCH-26-SUNDRY1</v>
      </c>
      <c r="C8" s="329" t="str">
        <f>IFERROR(__xludf.DUMMYFUNCTION("IF(E8="""", """", IFERROR(TEXTJOIN("", "", TRUE, UNIQUE(FILTER('RC IN'!$D$10:$D$9999, 'RC IN'!$E$10:$E$9999=E8))), """"))"),"Nazarino, Esito")</f>
        <v>Nazarino, Esito</v>
      </c>
      <c r="D8" s="342" t="str">
        <f t="array" ref="D8">XLOOKUP(B8, 'RC IN'!$E$8:$E$1013, 'RC IN'!$F$8:$F$1013, "")</f>
        <v>PCA-17B</v>
      </c>
      <c r="E8" s="343" t="str">
        <f>IFERROR(__xludf.DUMMYFUNCTION("IFERROR(REGEXEXTRACT(XLOOKUP(B8, 'RC IN'!$E$8:$E$1013, 'RC IN'!$D$8:$D$1013, """"), "" - (.*)""), """")"),"FEB-26-BLK15")</f>
        <v>FEB-26-BLK15</v>
      </c>
      <c r="F8" s="332" t="str">
        <f t="shared" si="2"/>
        <v>Feb 2026 Blk 15</v>
      </c>
      <c r="G8" s="344" t="str">
        <f t="array" ref="G8">XLOOKUP(E8, RC_IN[BLOCK], RC_IN[BLOCK LOC], "")</f>
        <v>D-20D</v>
      </c>
      <c r="H8" s="345">
        <f>IF(B8="","", sumifs(RC_IN[WT],RC_IN[BLOCK],B8))</f>
        <v>24102</v>
      </c>
      <c r="I8" s="346">
        <f>IF(E8="","", sumifs(RC_IN[WT],RC_IN[BLOCK],E8))</f>
        <v>28678</v>
      </c>
      <c r="J8" s="347">
        <f>IFERROR(sumifs(RC_IN[WTD MC],RC_IN[BLOCK],B8)/H8,"")
</f>
        <v>9.960092938</v>
      </c>
      <c r="K8" s="348">
        <f>IFERROR(sumifs(RC_IN[WTD MC],RC_IN[BLOCK],E8)/I8,"")</f>
        <v>15.83891485</v>
      </c>
      <c r="L8" s="338">
        <f t="shared" si="3"/>
        <v>-5.878821909</v>
      </c>
      <c r="M8" s="339">
        <f t="shared" si="4"/>
        <v>0.1595648232</v>
      </c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</row>
    <row r="9" ht="13.5" customHeight="1">
      <c r="A9" s="340" t="str">
        <f t="array" ref="A9">IF(E9="", "", IF(XLOOKUP(E9, 'RC IN'!$E$7:$E$1013, 'RC IN'!$A$7:$A$1013, "")="CLOSED", "SUNDRIED", "IN-PROGRESS"))</f>
        <v>SUNDRIED</v>
      </c>
      <c r="B9" s="341" t="str">
        <f>IFERROR(__xludf.DUMMYFUNCTION("""COMPUTED_VALUE"""),"MARCH-26-SUNDRY2")</f>
        <v>MARCH-26-SUNDRY2</v>
      </c>
      <c r="C9" s="329" t="str">
        <f>IFERROR(__xludf.DUMMYFUNCTION("IF(E9="""", """", IFERROR(TEXTJOIN("", "", TRUE, UNIQUE(FILTER('RC IN'!$D$10:$D$9999, 'RC IN'!$E$10:$E$9999=E9))), """"))"),"Layupan")</f>
        <v>Layupan</v>
      </c>
      <c r="D9" s="342" t="str">
        <f t="array" ref="D9">XLOOKUP(B9, 'RC IN'!$E$8:$E$1013, 'RC IN'!$F$8:$F$1013, "")</f>
        <v>PCA-17A</v>
      </c>
      <c r="E9" s="343" t="str">
        <f>IFERROR(__xludf.DUMMYFUNCTION("IFERROR(REGEXEXTRACT(XLOOKUP(B9, 'RC IN'!$E$8:$E$1013, 'RC IN'!$D$8:$D$1013, """"), "" - (.*)""), """")"),"FEB-26-BLK19")</f>
        <v>FEB-26-BLK19</v>
      </c>
      <c r="F9" s="332" t="str">
        <f t="shared" si="2"/>
        <v>Feb 2026 Blk 19</v>
      </c>
      <c r="G9" s="344" t="str">
        <f t="array" ref="G9">XLOOKUP(E9, RC_IN[BLOCK], RC_IN[BLOCK LOC], "")</f>
        <v>D-20C</v>
      </c>
      <c r="H9" s="345">
        <f>IF(B9="","", sumifs(RC_IN[WT],RC_IN[BLOCK],B9))</f>
        <v>12453</v>
      </c>
      <c r="I9" s="346">
        <f>IF(E9="","", sumifs(RC_IN[WT],RC_IN[BLOCK],E9))</f>
        <v>14961</v>
      </c>
      <c r="J9" s="347">
        <f>IFERROR(sumifs(RC_IN[WTD MC],RC_IN[BLOCK],B9)/H9,"")
</f>
        <v>9.45283787</v>
      </c>
      <c r="K9" s="348">
        <f>IFERROR(sumifs(RC_IN[WTD MC],RC_IN[BLOCK],E9)/I9,"")</f>
        <v>15.07</v>
      </c>
      <c r="L9" s="338">
        <f t="shared" si="3"/>
        <v>-5.61716213</v>
      </c>
      <c r="M9" s="339">
        <f t="shared" si="4"/>
        <v>0.1676358532</v>
      </c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</row>
    <row r="10" ht="13.5" customHeight="1">
      <c r="A10" s="340" t="str">
        <f t="array" ref="A10">IF(E10="", "", IF(XLOOKUP(E10, 'RC IN'!$E$7:$E$1013, 'RC IN'!$A$7:$A$1013, "")="CLOSED", "SUNDRIED", "IN-PROGRESS"))</f>
        <v>SUNDRIED</v>
      </c>
      <c r="B10" s="341" t="str">
        <f>IFERROR(__xludf.DUMMYFUNCTION("""COMPUTED_VALUE"""),"MARCH-26-SUNDRY3")</f>
        <v>MARCH-26-SUNDRY3</v>
      </c>
      <c r="C10" s="329" t="str">
        <f>IFERROR(__xludf.DUMMYFUNCTION("IF(E10="""", """", IFERROR(TEXTJOIN("", "", TRUE, UNIQUE(FILTER('RC IN'!$D$10:$D$9999, 'RC IN'!$E$10:$E$9999=E10))), """"))"),"Layupan")</f>
        <v>Layupan</v>
      </c>
      <c r="D10" s="342" t="str">
        <f t="array" ref="D10">XLOOKUP(B10, 'RC IN'!$E$8:$E$1013, 'RC IN'!$F$8:$F$1013, "")</f>
        <v>PCA-17C</v>
      </c>
      <c r="E10" s="343" t="str">
        <f>IFERROR(__xludf.DUMMYFUNCTION("IFERROR(REGEXEXTRACT(XLOOKUP(B10, 'RC IN'!$E$8:$E$1013, 'RC IN'!$D$8:$D$1013, """"), "" - (.*)""), """")"),"FEB-26-BLK25")</f>
        <v>FEB-26-BLK25</v>
      </c>
      <c r="F10" s="332" t="str">
        <f t="shared" si="2"/>
        <v>Feb 2026 Blk 25</v>
      </c>
      <c r="G10" s="344" t="str">
        <f t="array" ref="G10">XLOOKUP(E10, RC_IN[BLOCK], RC_IN[BLOCK LOC], "")</f>
        <v>D-20A</v>
      </c>
      <c r="H10" s="345">
        <f>IF(B10="","", sumifs(RC_IN[WT],RC_IN[BLOCK],B10))</f>
        <v>11601</v>
      </c>
      <c r="I10" s="346">
        <f>IF(E10="","", sumifs(RC_IN[WT],RC_IN[BLOCK],E10))</f>
        <v>13580</v>
      </c>
      <c r="J10" s="347">
        <f>IFERROR(sumifs(RC_IN[WTD MC],RC_IN[BLOCK],B10)/H10,"")
</f>
        <v>9.727770882</v>
      </c>
      <c r="K10" s="348">
        <f>IFERROR(sumifs(RC_IN[WTD MC],RC_IN[BLOCK],E10)/I10,"")</f>
        <v>15.14</v>
      </c>
      <c r="L10" s="338">
        <f t="shared" si="3"/>
        <v>-5.412229118</v>
      </c>
      <c r="M10" s="339">
        <f t="shared" si="4"/>
        <v>0.1457290133</v>
      </c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</row>
    <row r="11" ht="13.5" customHeight="1">
      <c r="A11" s="340" t="str">
        <f t="array" ref="A11">IF(E11="", "", IF(XLOOKUP(E11, 'RC IN'!$E$7:$E$1013, 'RC IN'!$A$7:$A$1013, "")="CLOSED", "SUNDRIED", "IN-PROGRESS"))</f>
        <v>SUNDRIED</v>
      </c>
      <c r="B11" s="341" t="str">
        <f>IFERROR(__xludf.DUMMYFUNCTION("""COMPUTED_VALUE"""),"MARCH-26-SUNDRY4")</f>
        <v>MARCH-26-SUNDRY4</v>
      </c>
      <c r="C11" s="329" t="str">
        <f>IFERROR(__xludf.DUMMYFUNCTION("IF(E11="""", """", IFERROR(TEXTJOIN("", "", TRUE, UNIQUE(FILTER('RC IN'!$D$10:$D$9999, 'RC IN'!$E$10:$E$9999=E11))), """"))"),"Sevilla")</f>
        <v>Sevilla</v>
      </c>
      <c r="D11" s="342" t="str">
        <f t="array" ref="D11">XLOOKUP(B11, 'RC IN'!$E$8:$E$1013, 'RC IN'!$F$8:$F$1013, "")</f>
        <v>PCA-16C</v>
      </c>
      <c r="E11" s="343" t="str">
        <f>IFERROR(__xludf.DUMMYFUNCTION("IFERROR(REGEXEXTRACT(XLOOKUP(B11, 'RC IN'!$E$8:$E$1013, 'RC IN'!$D$8:$D$1013, """"), "" - (.*)""), """")"),"NOV-24-BLK10")</f>
        <v>NOV-24-BLK10</v>
      </c>
      <c r="F11" s="332" t="str">
        <f t="shared" si="2"/>
        <v>Nov 2024 Blk 10</v>
      </c>
      <c r="G11" s="344" t="str">
        <f t="array" ref="G11">XLOOKUP(E11, RC_IN[BLOCK], RC_IN[BLOCK LOC], "")</f>
        <v>A-20C</v>
      </c>
      <c r="H11" s="345">
        <f>IF(B11="","", sumifs(RC_IN[WT],RC_IN[BLOCK],B11))</f>
        <v>44976</v>
      </c>
      <c r="I11" s="346">
        <f>IF(E11="","", sumifs(RC_IN[WT],RC_IN[BLOCK],E11))</f>
        <v>63311</v>
      </c>
      <c r="J11" s="347">
        <f>IFERROR(sumifs(RC_IN[WTD MC],RC_IN[BLOCK],B11)/H11,"")
</f>
        <v>11.01906906</v>
      </c>
      <c r="K11" s="348">
        <f>IFERROR(sumifs(RC_IN[WTD MC],RC_IN[BLOCK],E11)/I11,"")</f>
        <v>38.90764417</v>
      </c>
      <c r="L11" s="338">
        <f t="shared" si="3"/>
        <v>-27.88857511</v>
      </c>
      <c r="M11" s="339">
        <f t="shared" si="4"/>
        <v>0.2896021229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</row>
    <row r="12" ht="13.5" customHeight="1">
      <c r="A12" s="340" t="str">
        <f t="array" ref="A12">IF(E12="", "", IF(XLOOKUP(E12, 'RC IN'!$E$7:$E$1013, 'RC IN'!$A$7:$A$1013, "")="CLOSED", "SUNDRIED", "IN-PROGRESS"))</f>
        <v>SUNDRIED</v>
      </c>
      <c r="B12" s="341" t="str">
        <f>IFERROR(__xludf.DUMMYFUNCTION("""COMPUTED_VALUE"""),"MARCH-26-SUNDRY5")</f>
        <v>MARCH-26-SUNDRY5</v>
      </c>
      <c r="C12" s="329" t="str">
        <f>IFERROR(__xludf.DUMMYFUNCTION("IF(E12="""", """", IFERROR(TEXTJOIN("", "", TRUE, UNIQUE(FILTER('RC IN'!$D$10:$D$9999, 'RC IN'!$E$10:$E$9999=E12))), """"))"),"Layupan")</f>
        <v>Layupan</v>
      </c>
      <c r="D12" s="342" t="str">
        <f t="array" ref="D12">XLOOKUP(B12, 'RC IN'!$E$8:$E$1013, 'RC IN'!$F$8:$F$1013, "")</f>
        <v>PCA-15A</v>
      </c>
      <c r="E12" s="343" t="str">
        <f>IFERROR(__xludf.DUMMYFUNCTION("IFERROR(REGEXEXTRACT(XLOOKUP(B12, 'RC IN'!$E$8:$E$1013, 'RC IN'!$D$8:$D$1013, """"), "" - (.*)""), """")"),"MARCH-26-BLK2")</f>
        <v>MARCH-26-BLK2</v>
      </c>
      <c r="F12" s="332" t="str">
        <f t="shared" si="2"/>
        <v>March 2026 Blk 2</v>
      </c>
      <c r="G12" s="344" t="str">
        <f t="array" ref="G12">XLOOKUP(E12, RC_IN[BLOCK], RC_IN[BLOCK LOC], "")</f>
        <v>D-19D</v>
      </c>
      <c r="H12" s="345">
        <f>IF(B12="","", sumifs(RC_IN[WT],RC_IN[BLOCK],B12))</f>
        <v>10635</v>
      </c>
      <c r="I12" s="346">
        <f>IF(E12="","", sumifs(RC_IN[WT],RC_IN[BLOCK],E12))</f>
        <v>12664</v>
      </c>
      <c r="J12" s="347">
        <f>IFERROR(sumifs(RC_IN[WTD MC],RC_IN[BLOCK],B12)/H12,"")
</f>
        <v>10.18970663</v>
      </c>
      <c r="K12" s="348">
        <f>IFERROR(sumifs(RC_IN[WTD MC],RC_IN[BLOCK],E12)/I12,"")</f>
        <v>15.07</v>
      </c>
      <c r="L12" s="338">
        <f t="shared" si="3"/>
        <v>-4.880293371</v>
      </c>
      <c r="M12" s="339">
        <f t="shared" si="4"/>
        <v>0.1602179406</v>
      </c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</row>
    <row r="13" ht="13.5" customHeight="1">
      <c r="A13" s="340" t="str">
        <f t="array" ref="A13">IF(E13="", "", IF(XLOOKUP(E13, 'RC IN'!$E$7:$E$1013, 'RC IN'!$A$7:$A$1013, "")="CLOSED", "SUNDRIED", "IN-PROGRESS"))</f>
        <v>SUNDRIED</v>
      </c>
      <c r="B13" s="341" t="str">
        <f>IFERROR(__xludf.DUMMYFUNCTION("""COMPUTED_VALUE"""),"MARCH-26-SUNDRY6")</f>
        <v>MARCH-26-SUNDRY6</v>
      </c>
      <c r="C13" s="329" t="str">
        <f>IFERROR(__xludf.DUMMYFUNCTION("IF(E13="""", """", IFERROR(TEXTJOIN("", "", TRUE, UNIQUE(FILTER('RC IN'!$D$10:$D$9999, 'RC IN'!$E$10:$E$9999=E13))), """"))"),"Layupan")</f>
        <v>Layupan</v>
      </c>
      <c r="D13" s="342" t="str">
        <f t="array" ref="D13">XLOOKUP(B13, 'RC IN'!$E$8:$E$1013, 'RC IN'!$F$8:$F$1013, "")</f>
        <v>PCA-15B</v>
      </c>
      <c r="E13" s="343" t="str">
        <f>IFERROR(__xludf.DUMMYFUNCTION("IFERROR(REGEXEXTRACT(XLOOKUP(B13, 'RC IN'!$E$8:$E$1013, 'RC IN'!$D$8:$D$1013, """"), "" - (.*)""), """")"),"MARCH-26-BLK12")</f>
        <v>MARCH-26-BLK12</v>
      </c>
      <c r="F13" s="332" t="str">
        <f t="shared" si="2"/>
        <v>March 2026 Blk 12</v>
      </c>
      <c r="G13" s="344" t="str">
        <f t="array" ref="G13">XLOOKUP(E13, RC_IN[BLOCK], RC_IN[BLOCK LOC], "")</f>
        <v>D-20D</v>
      </c>
      <c r="H13" s="345">
        <f>IF(B13="","", sumifs(RC_IN[WT],RC_IN[BLOCK],B13))</f>
        <v>27532</v>
      </c>
      <c r="I13" s="346">
        <f>IF(E13="","", sumifs(RC_IN[WT],RC_IN[BLOCK],E13))</f>
        <v>33872</v>
      </c>
      <c r="J13" s="347">
        <f>IFERROR(sumifs(RC_IN[WTD MC],RC_IN[BLOCK],B13)/H13,"")
</f>
        <v>9.494777713</v>
      </c>
      <c r="K13" s="348">
        <f>IFERROR(sumifs(RC_IN[WTD MC],RC_IN[BLOCK],E13)/I13,"")</f>
        <v>17.30364136</v>
      </c>
      <c r="L13" s="338">
        <f t="shared" si="3"/>
        <v>-7.808863642</v>
      </c>
      <c r="M13" s="339">
        <f t="shared" si="4"/>
        <v>0.187175248</v>
      </c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</row>
    <row r="14" ht="13.5" customHeight="1">
      <c r="A14" s="340" t="str">
        <f t="array" ref="A14">IF(E14="", "", IF(XLOOKUP(E14, 'RC IN'!$E$7:$E$1013, 'RC IN'!$A$7:$A$1013, "")="CLOSED", "SUNDRIED", "IN-PROGRESS"))</f>
        <v>SUNDRIED</v>
      </c>
      <c r="B14" s="341" t="str">
        <f>IFERROR(__xludf.DUMMYFUNCTION("""COMPUTED_VALUE"""),"MARCH-26-SUNDRY7")</f>
        <v>MARCH-26-SUNDRY7</v>
      </c>
      <c r="C14" s="329" t="str">
        <f>IFERROR(__xludf.DUMMYFUNCTION("IF(E14="""", """", IFERROR(TEXTJOIN("", "", TRUE, UNIQUE(FILTER('RC IN'!$D$10:$D$9999, 'RC IN'!$E$10:$E$9999=E14))), """"))"),"Layupan")</f>
        <v>Layupan</v>
      </c>
      <c r="D14" s="342" t="str">
        <f t="array" ref="D14">XLOOKUP(B14, 'RC IN'!$E$8:$E$1013, 'RC IN'!$F$8:$F$1013, "")</f>
        <v>PCA-15C</v>
      </c>
      <c r="E14" s="343" t="str">
        <f>IFERROR(__xludf.DUMMYFUNCTION("IFERROR(REGEXEXTRACT(XLOOKUP(B14, 'RC IN'!$E$8:$E$1013, 'RC IN'!$D$8:$D$1013, """"), "" - (.*)""), """")"),"MARCH-26-BLK7")</f>
        <v>MARCH-26-BLK7</v>
      </c>
      <c r="F14" s="332" t="str">
        <f t="shared" si="2"/>
        <v>March 2026 Blk 7</v>
      </c>
      <c r="G14" s="344" t="str">
        <f t="array" ref="G14">XLOOKUP(E14, RC_IN[BLOCK], RC_IN[BLOCK LOC], "")</f>
        <v>D-20A</v>
      </c>
      <c r="H14" s="345">
        <f>IF(B14="","", sumifs(RC_IN[WT],RC_IN[BLOCK],B14))</f>
        <v>7766</v>
      </c>
      <c r="I14" s="346">
        <f>IF(E14="","", sumifs(RC_IN[WT],RC_IN[BLOCK],E14))</f>
        <v>9288</v>
      </c>
      <c r="J14" s="347">
        <f>IFERROR(sumifs(RC_IN[WTD MC],RC_IN[BLOCK],B14)/H14,"")
</f>
        <v>10.34</v>
      </c>
      <c r="K14" s="348">
        <f>IFERROR(sumifs(RC_IN[WTD MC],RC_IN[BLOCK],E14)/I14,"")</f>
        <v>15.6</v>
      </c>
      <c r="L14" s="338">
        <f t="shared" si="3"/>
        <v>-5.26</v>
      </c>
      <c r="M14" s="339">
        <f t="shared" si="4"/>
        <v>0.1638673557</v>
      </c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</row>
    <row r="15" ht="13.5" customHeight="1">
      <c r="A15" s="340" t="str">
        <f t="array" ref="A15">IF(E15="", "", IF(XLOOKUP(E15, 'RC IN'!$E$7:$E$1013, 'RC IN'!$A$7:$A$1013, "")="CLOSED", "SUNDRIED", "IN-PROGRESS"))</f>
        <v>SUNDRIED</v>
      </c>
      <c r="B15" s="341" t="str">
        <f>IFERROR(__xludf.DUMMYFUNCTION("""COMPUTED_VALUE"""),"MARCH-26-SUNDRY8")</f>
        <v>MARCH-26-SUNDRY8</v>
      </c>
      <c r="C15" s="329" t="str">
        <f>IFERROR(__xludf.DUMMYFUNCTION("IF(E15="""", """", IFERROR(TEXTJOIN("", "", TRUE, UNIQUE(FILTER('RC IN'!$D$10:$D$9999, 'RC IN'!$E$10:$E$9999=E15))), """"))"),"Layupan")</f>
        <v>Layupan</v>
      </c>
      <c r="D15" s="342" t="str">
        <f t="array" ref="D15">XLOOKUP(B15, 'RC IN'!$E$8:$E$1013, 'RC IN'!$F$8:$F$1013, "")</f>
        <v>PCB-15B</v>
      </c>
      <c r="E15" s="343" t="str">
        <f>IFERROR(__xludf.DUMMYFUNCTION("IFERROR(REGEXEXTRACT(XLOOKUP(B15, 'RC IN'!$E$8:$E$1013, 'RC IN'!$D$8:$D$1013, """"), "" - (.*)""), """")"),"MARCH-26-BLK18")</f>
        <v>MARCH-26-BLK18</v>
      </c>
      <c r="F15" s="332" t="str">
        <f t="shared" si="2"/>
        <v>March 2026 Blk 18</v>
      </c>
      <c r="G15" s="344" t="str">
        <f t="array" ref="G15">XLOOKUP(E15, RC_IN[BLOCK], RC_IN[BLOCK LOC], "")</f>
        <v>D-20C</v>
      </c>
      <c r="H15" s="345">
        <f>IF(B15="","", sumifs(RC_IN[WT],RC_IN[BLOCK],B15))</f>
        <v>8989</v>
      </c>
      <c r="I15" s="346">
        <f>IF(E15="","", sumifs(RC_IN[WT],RC_IN[BLOCK],E15))</f>
        <v>11144</v>
      </c>
      <c r="J15" s="347">
        <f>IFERROR(sumifs(RC_IN[WTD MC],RC_IN[BLOCK],B15)/H15,"")
</f>
        <v>8.899717432</v>
      </c>
      <c r="K15" s="348">
        <f>IFERROR(sumifs(RC_IN[WTD MC],RC_IN[BLOCK],E15)/I15,"")</f>
        <v>15.6</v>
      </c>
      <c r="L15" s="338">
        <f t="shared" si="3"/>
        <v>-6.700282568</v>
      </c>
      <c r="M15" s="339">
        <f t="shared" si="4"/>
        <v>0.1933776023</v>
      </c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</row>
    <row r="16" ht="13.5" customHeight="1">
      <c r="A16" s="340" t="str">
        <f t="array" ref="A16">IF(E16="", "", IF(XLOOKUP(E16, 'RC IN'!$E$7:$E$1013, 'RC IN'!$A$7:$A$1013, "")="CLOSED", "SUNDRIED", "IN-PROGRESS"))</f>
        <v>SUNDRIED</v>
      </c>
      <c r="B16" s="341" t="str">
        <f>IFERROR(__xludf.DUMMYFUNCTION("""COMPUTED_VALUE"""),"MARCH-26-SUNDRY9")</f>
        <v>MARCH-26-SUNDRY9</v>
      </c>
      <c r="C16" s="329" t="str">
        <f>IFERROR(__xludf.DUMMYFUNCTION("IF(E16="""", """", IFERROR(TEXTJOIN("", "", TRUE, UNIQUE(FILTER('RC IN'!$D$10:$D$9999, 'RC IN'!$E$10:$E$9999=E16))), """"))"),"Ecito, Paquibot")</f>
        <v>Ecito, Paquibot</v>
      </c>
      <c r="D16" s="342" t="str">
        <f t="array" ref="D16">XLOOKUP(B16, 'RC IN'!$E$8:$E$1013, 'RC IN'!$F$8:$F$1013, "")</f>
        <v>PCB-16B</v>
      </c>
      <c r="E16" s="343" t="str">
        <f>IFERROR(__xludf.DUMMYFUNCTION("IFERROR(REGEXEXTRACT(XLOOKUP(B16, 'RC IN'!$E$8:$E$1013, 'RC IN'!$D$8:$D$1013, """"), "" - (.*)""), """")"),"MARCH-26-BLK11")</f>
        <v>MARCH-26-BLK11</v>
      </c>
      <c r="F16" s="332" t="str">
        <f t="shared" si="2"/>
        <v>March 2026 Blk 11</v>
      </c>
      <c r="G16" s="344" t="str">
        <f t="array" ref="G16">XLOOKUP(E16, RC_IN[BLOCK], RC_IN[BLOCK LOC], "")</f>
        <v>D-19D</v>
      </c>
      <c r="H16" s="345">
        <f>IF(B16="","", sumifs(RC_IN[WT],RC_IN[BLOCK],B16))</f>
        <v>19585</v>
      </c>
      <c r="I16" s="346">
        <f>IF(E16="","", sumifs(RC_IN[WT],RC_IN[BLOCK],E16))</f>
        <v>23575</v>
      </c>
      <c r="J16" s="347">
        <f>IFERROR(sumifs(RC_IN[WTD MC],RC_IN[BLOCK],B16)/H16,"")
</f>
        <v>8.565093694</v>
      </c>
      <c r="K16" s="348">
        <f>IFERROR(sumifs(RC_IN[WTD MC],RC_IN[BLOCK],E16)/I16,"")</f>
        <v>16.07</v>
      </c>
      <c r="L16" s="338">
        <f t="shared" si="3"/>
        <v>-7.504906306</v>
      </c>
      <c r="M16" s="339">
        <f>IF(A7="","", IFERROR(1-(H16/I16),""))</f>
        <v>0.1692470838</v>
      </c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</row>
    <row r="17" ht="13.5" customHeight="1">
      <c r="A17" s="340" t="str">
        <f t="array" ref="A17">IF(E17="", "", IF(XLOOKUP(E17, 'RC IN'!$E$7:$E$1013, 'RC IN'!$A$7:$A$1013, "")="CLOSED", "SUNDRIED", "IN-PROGRESS"))</f>
        <v>SUNDRIED</v>
      </c>
      <c r="B17" s="349" t="s">
        <v>711</v>
      </c>
      <c r="C17" s="329" t="str">
        <f>IFERROR(__xludf.DUMMYFUNCTION("IF(E17="""", """", IFERROR(TEXTJOIN("", "", TRUE, UNIQUE(FILTER('RC IN'!$D$10:$D$9999, 'RC IN'!$E$10:$E$9999=E17))), """"))"),"Layupan")</f>
        <v>Layupan</v>
      </c>
      <c r="D17" s="342" t="str">
        <f t="array" ref="D17">XLOOKUP(B17, 'RC IN'!$E$8:$E$1013, 'RC IN'!$F$8:$F$1013, "")</f>
        <v>PCA-16A</v>
      </c>
      <c r="E17" s="343" t="str">
        <f>IFERROR(__xludf.DUMMYFUNCTION("IFERROR(REGEXEXTRACT(XLOOKUP(B17, 'RC IN'!$E$8:$E$1013, 'RC IN'!$D$8:$D$1013, """"), "" - (.*)""), """")"),"FEB-26-BLK7")</f>
        <v>FEB-26-BLK7</v>
      </c>
      <c r="F17" s="332" t="str">
        <f t="shared" si="2"/>
        <v>Feb 2026 Blk 7</v>
      </c>
      <c r="G17" s="344" t="str">
        <f t="array" ref="G17">XLOOKUP(E17, RC_IN[BLOCK], RC_IN[BLOCK LOC], "")</f>
        <v>D-20D</v>
      </c>
      <c r="H17" s="345">
        <f>IF(B17="","", sumifs(RC_IN[WT],RC_IN[BLOCK],B17))</f>
        <v>14668</v>
      </c>
      <c r="I17" s="346">
        <f>IF(E17="","", sumifs(RC_IN[WT],RC_IN[BLOCK],E17))</f>
        <v>17828</v>
      </c>
      <c r="J17" s="347">
        <f>IFERROR(sumifs(RC_IN[WTD MC],RC_IN[BLOCK],B17)/H17,"")
</f>
        <v>7.154357786</v>
      </c>
      <c r="K17" s="348">
        <f>IFERROR(sumifs(RC_IN[WTD MC],RC_IN[BLOCK],E17)/I17,"")</f>
        <v>17.07</v>
      </c>
      <c r="L17" s="338">
        <f t="shared" si="3"/>
        <v>-9.915642214</v>
      </c>
      <c r="M17" s="339">
        <f t="shared" ref="M17:M98" si="5">IF(A17="","", IFERROR(1-(H17/I17),""))</f>
        <v>0.1772492708</v>
      </c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</row>
    <row r="18" ht="13.5" customHeight="1">
      <c r="A18" s="340" t="str">
        <f t="array" ref="A18">IF(E18="", "", IF(XLOOKUP(E18, 'RC IN'!$E$7:$E$1013, 'RC IN'!$A$7:$A$1013, "")="CLOSED", "SUNDRIED", "IN-PROGRESS"))</f>
        <v/>
      </c>
      <c r="B18" s="349" t="s">
        <v>932</v>
      </c>
      <c r="C18" s="329" t="str">
        <f>IFERROR(__xludf.DUMMYFUNCTION("IF(E18="""", """", IFERROR(TEXTJOIN("", "", TRUE, UNIQUE(FILTER('RC IN'!$D$10:$D$9999, 'RC IN'!$E$10:$E$9999=E18))), """"))"),"")</f>
        <v/>
      </c>
      <c r="D18" s="342" t="str">
        <f t="array" ref="D18">XLOOKUP(B18, 'RC IN'!$E$8:$E$1013, 'RC IN'!$F$8:$F$1013, "")</f>
        <v/>
      </c>
      <c r="E18" s="343" t="str">
        <f>IFERROR(__xludf.DUMMYFUNCTION("IFERROR(REGEXEXTRACT(XLOOKUP(B18, 'RC IN'!$E$8:$E$1013, 'RC IN'!$D$8:$D$1013, """"), "" - (.*)""), """")"),"")</f>
        <v/>
      </c>
      <c r="F18" s="332" t="str">
        <f t="shared" si="2"/>
        <v/>
      </c>
      <c r="G18" s="344" t="str">
        <f t="array" ref="G18">XLOOKUP(E18, RC_IN[BLOCK], RC_IN[BLOCK LOC], "")</f>
        <v/>
      </c>
      <c r="H18" s="345">
        <f>IF(B18="","", sumifs(RC_IN[WT],RC_IN[BLOCK],B18))</f>
        <v>20077</v>
      </c>
      <c r="I18" s="346" t="str">
        <f>IF(E18="","", sumifs(RC_IN[WT],RC_IN[BLOCK],E18))</f>
        <v/>
      </c>
      <c r="J18" s="347">
        <f>IFERROR(sumifs(RC_IN[WTD MC],RC_IN[BLOCK],B18)/H18,"")
</f>
        <v>0</v>
      </c>
      <c r="K18" s="348" t="str">
        <f>IFERROR(sumifs(RC_IN[WTD MC],RC_IN[BLOCK],E18)/I18,"")</f>
        <v/>
      </c>
      <c r="L18" s="338">
        <f t="shared" si="3"/>
        <v>0</v>
      </c>
      <c r="M18" s="339" t="str">
        <f t="shared" si="5"/>
        <v/>
      </c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</row>
    <row r="19" ht="13.5" customHeight="1">
      <c r="A19" s="340" t="str">
        <f t="array" ref="A19">IF(E19="", "", IF(XLOOKUP(E19, 'RC IN'!$E$7:$E$1013, 'RC IN'!$A$7:$A$1013, "")="CLOSED", "SUNDRIED", "IN-PROGRESS"))</f>
        <v/>
      </c>
      <c r="B19" s="349"/>
      <c r="C19" s="329" t="str">
        <f>IFERROR(__xludf.DUMMYFUNCTION("IF(E19="""", """", IFERROR(TEXTJOIN("", "", TRUE, UNIQUE(FILTER('RC IN'!$D$10:$D$9999, 'RC IN'!$E$10:$E$9999=E19))), """"))"),"")</f>
        <v/>
      </c>
      <c r="D19" s="342" t="str">
        <f t="array" ref="D19">XLOOKUP(B19, 'RC IN'!$E$8:$E$1013, 'RC IN'!$F$8:$F$1013, "")</f>
        <v/>
      </c>
      <c r="E19" s="343" t="str">
        <f>IFERROR(__xludf.DUMMYFUNCTION("IFERROR(REGEXEXTRACT(XLOOKUP(B19, 'RC IN'!$E$8:$E$1013, 'RC IN'!$D$8:$D$1013, """"), "" - (.*)""), """")"),"")</f>
        <v/>
      </c>
      <c r="F19" s="332" t="str">
        <f t="shared" si="2"/>
        <v/>
      </c>
      <c r="G19" s="344" t="str">
        <f t="array" ref="G19">XLOOKUP(E19, RC_IN[BLOCK], RC_IN[BLOCK LOC], "")</f>
        <v/>
      </c>
      <c r="H19" s="345" t="str">
        <f>IF(B19="","", sumifs(RC_IN[WT],RC_IN[BLOCK],B19))</f>
        <v/>
      </c>
      <c r="I19" s="346" t="str">
        <f>IF(E19="","", sumifs(RC_IN[WT],RC_IN[BLOCK],E19))</f>
        <v/>
      </c>
      <c r="J19" s="347" t="str">
        <f>IFERROR(sumifs(RC_IN[WTD MC],RC_IN[BLOCK],B19)/H19,"")
</f>
        <v/>
      </c>
      <c r="K19" s="348" t="str">
        <f>IFERROR(sumifs(RC_IN[WTD MC],RC_IN[BLOCK],E19)/I19,"")</f>
        <v/>
      </c>
      <c r="L19" s="338">
        <f t="shared" si="3"/>
        <v>0</v>
      </c>
      <c r="M19" s="339" t="str">
        <f t="shared" si="5"/>
        <v/>
      </c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</row>
    <row r="20" ht="13.5" customHeight="1">
      <c r="A20" s="340" t="str">
        <f t="array" ref="A20">IF(E20="", "", IF(XLOOKUP(E20, 'RC IN'!$E$7:$E$1013, 'RC IN'!$A$7:$A$1013, "")="CLOSED", "SUNDRIED", "IN-PROGRESS"))</f>
        <v/>
      </c>
      <c r="B20" s="349"/>
      <c r="C20" s="329" t="str">
        <f>IFERROR(__xludf.DUMMYFUNCTION("IF(E20="""", """", IFERROR(TEXTJOIN("", "", TRUE, UNIQUE(FILTER('RC IN'!$D$10:$D$9999, 'RC IN'!$E$10:$E$9999=E20))), """"))"),"")</f>
        <v/>
      </c>
      <c r="D20" s="342" t="str">
        <f t="array" ref="D20">XLOOKUP(B20, 'RC IN'!$E$8:$E$1013, 'RC IN'!$F$8:$F$1013, "")</f>
        <v/>
      </c>
      <c r="E20" s="343" t="str">
        <f>IFERROR(__xludf.DUMMYFUNCTION("IFERROR(REGEXEXTRACT(XLOOKUP(B20, 'RC IN'!$E$8:$E$1013, 'RC IN'!$D$8:$D$1013, """"), "" - (.*)""), """")"),"")</f>
        <v/>
      </c>
      <c r="F20" s="332" t="str">
        <f t="shared" si="2"/>
        <v/>
      </c>
      <c r="G20" s="344" t="str">
        <f t="array" ref="G20">XLOOKUP(E20, RC_IN[BLOCK], RC_IN[BLOCK LOC], "")</f>
        <v/>
      </c>
      <c r="H20" s="345" t="str">
        <f>IF(B20="","", sumifs(RC_IN[WT],RC_IN[BLOCK],B20))</f>
        <v/>
      </c>
      <c r="I20" s="346" t="str">
        <f>IF(E20="","", sumifs(RC_IN[WT],RC_IN[BLOCK],E20))</f>
        <v/>
      </c>
      <c r="J20" s="347" t="str">
        <f>IFERROR(sumifs(RC_IN[WTD MC],RC_IN[BLOCK],B20)/H20,"")
</f>
        <v/>
      </c>
      <c r="K20" s="348" t="str">
        <f>IFERROR(sumifs(RC_IN[WTD MC],RC_IN[BLOCK],E20)/I20,"")</f>
        <v/>
      </c>
      <c r="L20" s="338">
        <f t="shared" si="3"/>
        <v>0</v>
      </c>
      <c r="M20" s="339" t="str">
        <f t="shared" si="5"/>
        <v/>
      </c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</row>
    <row r="21" ht="13.5" customHeight="1">
      <c r="A21" s="340" t="str">
        <f t="array" ref="A21">IF(E21="", "", IF(XLOOKUP(E21, 'RC IN'!$E$7:$E$1013, 'RC IN'!$A$7:$A$1013, "")="CLOSED", "SUNDRIED", "IN-PROGRESS"))</f>
        <v/>
      </c>
      <c r="B21" s="341"/>
      <c r="C21" s="329" t="str">
        <f>IFERROR(__xludf.DUMMYFUNCTION("IF(E21="""", """", IFERROR(TEXTJOIN("", "", TRUE, UNIQUE(FILTER('RC IN'!$D$10:$D$9999, 'RC IN'!$E$10:$E$9999=E21))), """"))"),"")</f>
        <v/>
      </c>
      <c r="D21" s="342" t="str">
        <f t="array" ref="D21">XLOOKUP(B21, 'RC IN'!$E$8:$E$1013, 'RC IN'!$F$8:$F$1013, "")</f>
        <v/>
      </c>
      <c r="E21" s="343" t="str">
        <f>IFERROR(__xludf.DUMMYFUNCTION("IFERROR(REGEXEXTRACT(XLOOKUP(B21, 'RC IN'!$E$8:$E$1013, 'RC IN'!$D$8:$D$1013, """"), "" - (.*)""), """")"),"")</f>
        <v/>
      </c>
      <c r="F21" s="332" t="str">
        <f t="shared" si="2"/>
        <v/>
      </c>
      <c r="G21" s="344" t="str">
        <f t="array" ref="G21">XLOOKUP(E21, RC_IN[BLOCK], RC_IN[BLOCK LOC], "")</f>
        <v/>
      </c>
      <c r="H21" s="345" t="str">
        <f>IF(B21="","", sumifs(RC_IN[WT],RC_IN[BLOCK],B21))</f>
        <v/>
      </c>
      <c r="I21" s="346" t="str">
        <f>IF(E21="","", sumifs(RC_IN[WT],RC_IN[BLOCK],E21))</f>
        <v/>
      </c>
      <c r="J21" s="347" t="str">
        <f>IFERROR(sumifs(RC_IN[WTD MC],RC_IN[BLOCK],B21)/H21,"")
</f>
        <v/>
      </c>
      <c r="K21" s="348" t="str">
        <f>IFERROR(sumifs(RC_IN[WTD MC],RC_IN[BLOCK],E21)/I21,"")</f>
        <v/>
      </c>
      <c r="L21" s="338">
        <f t="shared" si="3"/>
        <v>0</v>
      </c>
      <c r="M21" s="339" t="str">
        <f t="shared" si="5"/>
        <v/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</row>
    <row r="22" ht="13.5" customHeight="1">
      <c r="A22" s="340" t="str">
        <f t="array" ref="A22">IF(E22="", "", IF(XLOOKUP(E22, 'RC IN'!$E$7:$E$1013, 'RC IN'!$A$7:$A$1013, "")="CLOSED", "SUNDRIED", "IN-PROGRESS"))</f>
        <v/>
      </c>
      <c r="B22" s="341"/>
      <c r="C22" s="329" t="str">
        <f>IFERROR(__xludf.DUMMYFUNCTION("IF(E22="""", """", IFERROR(TEXTJOIN("", "", TRUE, UNIQUE(FILTER('RC IN'!$D$10:$D$9999, 'RC IN'!$E$10:$E$9999=E22))), """"))"),"")</f>
        <v/>
      </c>
      <c r="D22" s="342" t="str">
        <f t="array" ref="D22">XLOOKUP(B22, 'RC IN'!$E$8:$E$1013, 'RC IN'!$F$8:$F$1013, "")</f>
        <v/>
      </c>
      <c r="E22" s="343" t="str">
        <f>IFERROR(__xludf.DUMMYFUNCTION("IFERROR(REGEXEXTRACT(XLOOKUP(B22, 'RC IN'!$E$8:$E$1013, 'RC IN'!$D$8:$D$1013, """"), "" - (.*)""), """")"),"")</f>
        <v/>
      </c>
      <c r="F22" s="332" t="str">
        <f t="shared" si="2"/>
        <v/>
      </c>
      <c r="G22" s="344" t="str">
        <f t="array" ref="G22">XLOOKUP(E22, RC_IN[BLOCK], RC_IN[BLOCK LOC], "")</f>
        <v/>
      </c>
      <c r="H22" s="345" t="str">
        <f>IF(B22="","", sumifs(RC_IN[WT],RC_IN[BLOCK],B22))</f>
        <v/>
      </c>
      <c r="I22" s="346" t="str">
        <f>IF(E22="","", sumifs(RC_IN[WT],RC_IN[BLOCK],E22))</f>
        <v/>
      </c>
      <c r="J22" s="347" t="str">
        <f>IFERROR(sumifs(RC_IN[WTD MC],RC_IN[BLOCK],B22)/H22,"")
</f>
        <v/>
      </c>
      <c r="K22" s="348" t="str">
        <f>IFERROR(sumifs(RC_IN[WTD MC],RC_IN[BLOCK],E22)/I22,"")</f>
        <v/>
      </c>
      <c r="L22" s="338">
        <f t="shared" si="3"/>
        <v>0</v>
      </c>
      <c r="M22" s="339" t="str">
        <f t="shared" si="5"/>
        <v/>
      </c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</row>
    <row r="23" ht="13.5" customHeight="1">
      <c r="A23" s="340" t="str">
        <f t="array" ref="A23">IF(E23="", "", IF(XLOOKUP(E23, 'RC IN'!$E$7:$E$1013, 'RC IN'!$A$7:$A$1013, "")="CLOSED", "SUNDRIED", "IN-PROGRESS"))</f>
        <v/>
      </c>
      <c r="B23" s="341"/>
      <c r="C23" s="329" t="str">
        <f>IFERROR(__xludf.DUMMYFUNCTION("IF(E23="""", """", IFERROR(TEXTJOIN("", "", TRUE, UNIQUE(FILTER('RC IN'!$D$10:$D$9999, 'RC IN'!$E$10:$E$9999=E23))), """"))"),"")</f>
        <v/>
      </c>
      <c r="D23" s="342" t="str">
        <f t="array" ref="D23">XLOOKUP(B23, 'RC IN'!$E$8:$E$1013, 'RC IN'!$F$8:$F$1013, "")</f>
        <v/>
      </c>
      <c r="E23" s="343" t="str">
        <f>IFERROR(__xludf.DUMMYFUNCTION("IFERROR(REGEXEXTRACT(XLOOKUP(B23, 'RC IN'!$E$8:$E$1013, 'RC IN'!$D$8:$D$1013, """"), "" - (.*)""), """")"),"")</f>
        <v/>
      </c>
      <c r="F23" s="332" t="str">
        <f t="shared" si="2"/>
        <v/>
      </c>
      <c r="G23" s="344" t="str">
        <f t="array" ref="G23">XLOOKUP(E23, RC_IN[BLOCK], RC_IN[BLOCK LOC], "")</f>
        <v/>
      </c>
      <c r="H23" s="345" t="str">
        <f>IF(B23="","", sumifs(RC_IN[WT],RC_IN[BLOCK],B23))</f>
        <v/>
      </c>
      <c r="I23" s="346" t="str">
        <f>IF(E23="","", sumifs(RC_IN[WT],RC_IN[BLOCK],E23))</f>
        <v/>
      </c>
      <c r="J23" s="347" t="str">
        <f>IFERROR(sumifs(RC_IN[WTD MC],RC_IN[BLOCK],B23)/H23,"")
</f>
        <v/>
      </c>
      <c r="K23" s="348" t="str">
        <f>IFERROR(sumifs(RC_IN[WTD MC],RC_IN[BLOCK],E23)/I23,"")</f>
        <v/>
      </c>
      <c r="L23" s="338">
        <f t="shared" si="3"/>
        <v>0</v>
      </c>
      <c r="M23" s="339" t="str">
        <f t="shared" si="5"/>
        <v/>
      </c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</row>
    <row r="24" ht="13.5" customHeight="1">
      <c r="A24" s="340" t="str">
        <f t="array" ref="A24">IF(E24="", "", IF(XLOOKUP(E24, 'RC IN'!$E$7:$E$1013, 'RC IN'!$A$7:$A$1013, "")="CLOSED", "SUNDRIED", "IN-PROGRESS"))</f>
        <v/>
      </c>
      <c r="B24" s="341"/>
      <c r="C24" s="329" t="str">
        <f>IFERROR(__xludf.DUMMYFUNCTION("IF(E24="""", """", IFERROR(TEXTJOIN("", "", TRUE, UNIQUE(FILTER('RC IN'!$D$10:$D$9999, 'RC IN'!$E$10:$E$9999=E24))), """"))"),"")</f>
        <v/>
      </c>
      <c r="D24" s="342" t="str">
        <f t="array" ref="D24">XLOOKUP(B24, 'RC IN'!$E$8:$E$1013, 'RC IN'!$F$8:$F$1013, "")</f>
        <v/>
      </c>
      <c r="E24" s="343" t="str">
        <f>IFERROR(__xludf.DUMMYFUNCTION("IFERROR(REGEXEXTRACT(XLOOKUP(B24, 'RC IN'!$E$8:$E$1013, 'RC IN'!$D$8:$D$1013, """"), "" - (.*)""), """")"),"")</f>
        <v/>
      </c>
      <c r="F24" s="332" t="str">
        <f t="shared" si="2"/>
        <v/>
      </c>
      <c r="G24" s="344" t="str">
        <f t="array" ref="G24">XLOOKUP(E24, RC_IN[BLOCK], RC_IN[BLOCK LOC], "")</f>
        <v/>
      </c>
      <c r="H24" s="345" t="str">
        <f>IF(B24="","", sumifs(RC_IN[WT],RC_IN[BLOCK],B24))</f>
        <v/>
      </c>
      <c r="I24" s="346" t="str">
        <f>IF(E24="","", sumifs(RC_IN[WT],RC_IN[BLOCK],E24))</f>
        <v/>
      </c>
      <c r="J24" s="347" t="str">
        <f>IFERROR(sumifs(RC_IN[WTD MC],RC_IN[BLOCK],B24)/H24,"")
</f>
        <v/>
      </c>
      <c r="K24" s="348" t="str">
        <f>IFERROR(sumifs(RC_IN[WTD MC],RC_IN[BLOCK],E24)/I24,"")</f>
        <v/>
      </c>
      <c r="L24" s="338">
        <f t="shared" si="3"/>
        <v>0</v>
      </c>
      <c r="M24" s="339" t="str">
        <f t="shared" si="5"/>
        <v/>
      </c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</row>
    <row r="25" ht="13.5" customHeight="1">
      <c r="A25" s="340" t="str">
        <f t="array" ref="A25">IF(E25="", "", IF(XLOOKUP(E25, 'RC IN'!$E$7:$E$1013, 'RC IN'!$A$7:$A$1013, "")="CLOSED", "SUNDRIED", "IN-PROGRESS"))</f>
        <v/>
      </c>
      <c r="B25" s="341"/>
      <c r="C25" s="329" t="str">
        <f>IFERROR(__xludf.DUMMYFUNCTION("IF(E25="""", """", IFERROR(TEXTJOIN("", "", TRUE, UNIQUE(FILTER('RC IN'!$D$10:$D$9999, 'RC IN'!$E$10:$E$9999=E25))), """"))"),"")</f>
        <v/>
      </c>
      <c r="D25" s="342" t="str">
        <f t="array" ref="D25">XLOOKUP(B25, 'RC IN'!$E$8:$E$1013, 'RC IN'!$F$8:$F$1013, "")</f>
        <v/>
      </c>
      <c r="E25" s="343" t="str">
        <f>IFERROR(__xludf.DUMMYFUNCTION("IFERROR(REGEXEXTRACT(XLOOKUP(B25, 'RC IN'!$E$8:$E$1013, 'RC IN'!$D$8:$D$1013, """"), "" - (.*)""), """")"),"")</f>
        <v/>
      </c>
      <c r="F25" s="332" t="str">
        <f t="shared" si="2"/>
        <v/>
      </c>
      <c r="G25" s="344" t="str">
        <f t="array" ref="G25">XLOOKUP(E25, RC_IN[BLOCK], RC_IN[BLOCK LOC], "")</f>
        <v/>
      </c>
      <c r="H25" s="345" t="str">
        <f>IF(B25="","", sumifs(RC_IN[WT],RC_IN[BLOCK],B25))</f>
        <v/>
      </c>
      <c r="I25" s="346" t="str">
        <f>IF(E25="","", sumifs(RC_IN[WT],RC_IN[BLOCK],E25))</f>
        <v/>
      </c>
      <c r="J25" s="347" t="str">
        <f>IFERROR(sumifs(RC_IN[WTD MC],RC_IN[BLOCK],B25)/H25,"")
</f>
        <v/>
      </c>
      <c r="K25" s="348" t="str">
        <f>IFERROR(sumifs(RC_IN[WTD MC],RC_IN[BLOCK],E25)/I25,"")</f>
        <v/>
      </c>
      <c r="L25" s="338">
        <f t="shared" si="3"/>
        <v>0</v>
      </c>
      <c r="M25" s="339" t="str">
        <f t="shared" si="5"/>
        <v/>
      </c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</row>
    <row r="26" ht="13.5" customHeight="1">
      <c r="A26" s="340" t="str">
        <f t="array" ref="A26">IF(E26="", "", IF(XLOOKUP(E26, 'RC IN'!$E$7:$E$1013, 'RC IN'!$A$7:$A$1013, "")="CLOSED", "SUNDRIED", "IN-PROGRESS"))</f>
        <v/>
      </c>
      <c r="B26" s="341"/>
      <c r="C26" s="329" t="str">
        <f>IFERROR(__xludf.DUMMYFUNCTION("IF(E26="""", """", IFERROR(TEXTJOIN("", "", TRUE, UNIQUE(FILTER('RC IN'!$D$10:$D$9999, 'RC IN'!$E$10:$E$9999=E26))), """"))"),"")</f>
        <v/>
      </c>
      <c r="D26" s="342" t="str">
        <f t="array" ref="D26">XLOOKUP(B26, 'RC IN'!$E$8:$E$1013, 'RC IN'!$F$8:$F$1013, "")</f>
        <v/>
      </c>
      <c r="E26" s="343" t="str">
        <f>IFERROR(__xludf.DUMMYFUNCTION("IFERROR(REGEXEXTRACT(XLOOKUP(B26, 'RC IN'!$E$8:$E$1013, 'RC IN'!$D$8:$D$1013, """"), "" - (.*)""), """")"),"")</f>
        <v/>
      </c>
      <c r="F26" s="332" t="str">
        <f t="shared" si="2"/>
        <v/>
      </c>
      <c r="G26" s="344" t="str">
        <f t="array" ref="G26">XLOOKUP(E26, RC_IN[BLOCK], RC_IN[BLOCK LOC], "")</f>
        <v/>
      </c>
      <c r="H26" s="345" t="str">
        <f>IF(B26="","", sumifs(RC_IN[WT],RC_IN[BLOCK],B26))</f>
        <v/>
      </c>
      <c r="I26" s="346" t="str">
        <f>IF(E26="","", sumifs(RC_IN[WT],RC_IN[BLOCK],E26))</f>
        <v/>
      </c>
      <c r="J26" s="347" t="str">
        <f>IFERROR(sumifs(RC_IN[WTD MC],RC_IN[BLOCK],B26)/H26,"")
</f>
        <v/>
      </c>
      <c r="K26" s="348" t="str">
        <f>IFERROR(sumifs(RC_IN[WTD MC],RC_IN[BLOCK],E26)/I26,"")</f>
        <v/>
      </c>
      <c r="L26" s="338">
        <f t="shared" si="3"/>
        <v>0</v>
      </c>
      <c r="M26" s="339" t="str">
        <f t="shared" si="5"/>
        <v/>
      </c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</row>
    <row r="27" ht="13.5" customHeight="1">
      <c r="A27" s="340" t="str">
        <f t="array" ref="A27">IF(E27="", "", IF(XLOOKUP(E27, 'RC IN'!$E$7:$E$1013, 'RC IN'!$A$7:$A$1013, "")="CLOSED", "SUNDRIED", "IN-PROGRESS"))</f>
        <v/>
      </c>
      <c r="B27" s="341"/>
      <c r="C27" s="329" t="str">
        <f>IFERROR(__xludf.DUMMYFUNCTION("IF(E27="""", """", IFERROR(TEXTJOIN("", "", TRUE, UNIQUE(FILTER('RC IN'!$D$10:$D$9999, 'RC IN'!$E$10:$E$9999=E27))), """"))"),"")</f>
        <v/>
      </c>
      <c r="D27" s="342" t="str">
        <f t="array" ref="D27">XLOOKUP(B27, 'RC IN'!$E$8:$E$1013, 'RC IN'!$F$8:$F$1013, "")</f>
        <v/>
      </c>
      <c r="E27" s="343" t="str">
        <f>IFERROR(__xludf.DUMMYFUNCTION("IFERROR(REGEXEXTRACT(XLOOKUP(B27, 'RC IN'!$E$8:$E$1013, 'RC IN'!$D$8:$D$1013, """"), "" - (.*)""), """")"),"")</f>
        <v/>
      </c>
      <c r="F27" s="332" t="str">
        <f t="shared" si="2"/>
        <v/>
      </c>
      <c r="G27" s="344" t="str">
        <f t="array" ref="G27">XLOOKUP(E27, RC_IN[BLOCK], RC_IN[BLOCK LOC], "")</f>
        <v/>
      </c>
      <c r="H27" s="345" t="str">
        <f>IF(B27="","", sumifs(RC_IN[WT],RC_IN[BLOCK],B27))</f>
        <v/>
      </c>
      <c r="I27" s="346" t="str">
        <f>IF(E27="","", sumifs(RC_IN[WT],RC_IN[BLOCK],E27))</f>
        <v/>
      </c>
      <c r="J27" s="347" t="str">
        <f>IFERROR(sumifs(RC_IN[WTD MC],RC_IN[BLOCK],B27)/H27,"")
</f>
        <v/>
      </c>
      <c r="K27" s="348" t="str">
        <f>IFERROR(sumifs(RC_IN[WTD MC],RC_IN[BLOCK],E27)/I27,"")</f>
        <v/>
      </c>
      <c r="L27" s="338">
        <f t="shared" si="3"/>
        <v>0</v>
      </c>
      <c r="M27" s="339" t="str">
        <f t="shared" si="5"/>
        <v/>
      </c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</row>
    <row r="28" ht="13.5" customHeight="1">
      <c r="A28" s="340" t="str">
        <f t="array" ref="A28">IF(E28="", "", IF(XLOOKUP(E28, 'RC IN'!$E$7:$E$1013, 'RC IN'!$A$7:$A$1013, "")="CLOSED", "SUNDRIED", "IN-PROGRESS"))</f>
        <v/>
      </c>
      <c r="B28" s="341"/>
      <c r="C28" s="329" t="str">
        <f>IFERROR(__xludf.DUMMYFUNCTION("IF(E28="""", """", IFERROR(TEXTJOIN("", "", TRUE, UNIQUE(FILTER('RC IN'!$D$10:$D$9999, 'RC IN'!$E$10:$E$9999=E28))), """"))"),"")</f>
        <v/>
      </c>
      <c r="D28" s="342" t="str">
        <f t="array" ref="D28">XLOOKUP(B28, 'RC IN'!$E$8:$E$1013, 'RC IN'!$F$8:$F$1013, "")</f>
        <v/>
      </c>
      <c r="E28" s="343" t="str">
        <f>IFERROR(__xludf.DUMMYFUNCTION("IFERROR(REGEXEXTRACT(XLOOKUP(B28, 'RC IN'!$E$8:$E$1013, 'RC IN'!$D$8:$D$1013, """"), "" - (.*)""), """")"),"")</f>
        <v/>
      </c>
      <c r="F28" s="332" t="str">
        <f t="shared" si="2"/>
        <v/>
      </c>
      <c r="G28" s="344" t="str">
        <f t="array" ref="G28">XLOOKUP(E28, RC_IN[BLOCK], RC_IN[BLOCK LOC], "")</f>
        <v/>
      </c>
      <c r="H28" s="345" t="str">
        <f>IF(B28="","", sumifs(RC_IN[WT],RC_IN[BLOCK],B28))</f>
        <v/>
      </c>
      <c r="I28" s="346" t="str">
        <f>IF(E28="","", sumifs(RC_IN[WT],RC_IN[BLOCK],E28))</f>
        <v/>
      </c>
      <c r="J28" s="347" t="str">
        <f>IFERROR(sumifs(RC_IN[WTD MC],RC_IN[BLOCK],B28)/H28,"")
</f>
        <v/>
      </c>
      <c r="K28" s="348" t="str">
        <f>IFERROR(sumifs(RC_IN[WTD MC],RC_IN[BLOCK],E28)/I28,"")</f>
        <v/>
      </c>
      <c r="L28" s="338">
        <f t="shared" si="3"/>
        <v>0</v>
      </c>
      <c r="M28" s="339" t="str">
        <f t="shared" si="5"/>
        <v/>
      </c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</row>
    <row r="29" ht="13.5" customHeight="1">
      <c r="A29" s="340" t="str">
        <f t="array" ref="A29">IF(E29="", "", IF(XLOOKUP(E29, 'RC IN'!$E$7:$E$1013, 'RC IN'!$A$7:$A$1013, "")="CLOSED", "SUNDRIED", "IN-PROGRESS"))</f>
        <v/>
      </c>
      <c r="B29" s="341"/>
      <c r="C29" s="329" t="str">
        <f>IFERROR(__xludf.DUMMYFUNCTION("IF(E29="""", """", IFERROR(TEXTJOIN("", "", TRUE, UNIQUE(FILTER('RC IN'!$D$10:$D$9999, 'RC IN'!$E$10:$E$9999=E29))), """"))"),"")</f>
        <v/>
      </c>
      <c r="D29" s="342" t="str">
        <f t="array" ref="D29">XLOOKUP(B29, 'RC IN'!$E$8:$E$1013, 'RC IN'!$F$8:$F$1013, "")</f>
        <v/>
      </c>
      <c r="E29" s="343" t="str">
        <f>IFERROR(__xludf.DUMMYFUNCTION("IFERROR(REGEXEXTRACT(XLOOKUP(B29, 'RC IN'!$E$8:$E$1013, 'RC IN'!$D$8:$D$1013, """"), "" - (.*)""), """")"),"")</f>
        <v/>
      </c>
      <c r="F29" s="332" t="str">
        <f t="shared" si="2"/>
        <v/>
      </c>
      <c r="G29" s="344" t="str">
        <f t="array" ref="G29">XLOOKUP(E29, RC_IN[BLOCK], RC_IN[BLOCK LOC], "")</f>
        <v/>
      </c>
      <c r="H29" s="345" t="str">
        <f>IF(B29="","", sumifs(RC_IN[WT],RC_IN[BLOCK],B29))</f>
        <v/>
      </c>
      <c r="I29" s="346" t="str">
        <f>IF(E29="","", sumifs(RC_IN[WT],RC_IN[BLOCK],E29))</f>
        <v/>
      </c>
      <c r="J29" s="347" t="str">
        <f>IFERROR(sumifs(RC_IN[WTD MC],RC_IN[BLOCK],B29)/H29,"")
</f>
        <v/>
      </c>
      <c r="K29" s="348" t="str">
        <f>IFERROR(sumifs(RC_IN[WTD MC],RC_IN[BLOCK],E29)/I29,"")</f>
        <v/>
      </c>
      <c r="L29" s="338">
        <f t="shared" si="3"/>
        <v>0</v>
      </c>
      <c r="M29" s="339" t="str">
        <f t="shared" si="5"/>
        <v/>
      </c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</row>
    <row r="30" ht="13.5" customHeight="1">
      <c r="A30" s="340" t="str">
        <f t="array" ref="A30">IF(E30="", "", IF(XLOOKUP(E30, 'RC IN'!$E$7:$E$1013, 'RC IN'!$A$7:$A$1013, "")="CLOSED", "SUNDRIED", "IN-PROGRESS"))</f>
        <v/>
      </c>
      <c r="B30" s="341"/>
      <c r="C30" s="329" t="str">
        <f>IFERROR(__xludf.DUMMYFUNCTION("IF(E30="""", """", IFERROR(TEXTJOIN("", "", TRUE, UNIQUE(FILTER('RC IN'!$D$10:$D$9999, 'RC IN'!$E$10:$E$9999=E30))), """"))"),"")</f>
        <v/>
      </c>
      <c r="D30" s="342" t="str">
        <f t="array" ref="D30">XLOOKUP(B30, 'RC IN'!$E$8:$E$1013, 'RC IN'!$F$8:$F$1013, "")</f>
        <v/>
      </c>
      <c r="E30" s="343" t="str">
        <f>IFERROR(__xludf.DUMMYFUNCTION("IFERROR(REGEXEXTRACT(XLOOKUP(B30, 'RC IN'!$E$8:$E$1013, 'RC IN'!$D$8:$D$1013, """"), "" - (.*)""), """")"),"")</f>
        <v/>
      </c>
      <c r="F30" s="332" t="str">
        <f t="shared" si="2"/>
        <v/>
      </c>
      <c r="G30" s="344" t="str">
        <f t="array" ref="G30">XLOOKUP(E30, RC_IN[BLOCK], RC_IN[BLOCK LOC], "")</f>
        <v/>
      </c>
      <c r="H30" s="345" t="str">
        <f>IF(B30="","", sumifs(RC_IN[WT],RC_IN[BLOCK],B30))</f>
        <v/>
      </c>
      <c r="I30" s="346" t="str">
        <f>IF(E30="","", sumifs(RC_IN[WT],RC_IN[BLOCK],E30))</f>
        <v/>
      </c>
      <c r="J30" s="347" t="str">
        <f>IFERROR(sumifs(RC_IN[WTD MC],RC_IN[BLOCK],B30)/H30,"")
</f>
        <v/>
      </c>
      <c r="K30" s="348" t="str">
        <f>IFERROR(sumifs(RC_IN[WTD MC],RC_IN[BLOCK],E30)/I30,"")</f>
        <v/>
      </c>
      <c r="L30" s="338">
        <f t="shared" si="3"/>
        <v>0</v>
      </c>
      <c r="M30" s="339" t="str">
        <f t="shared" si="5"/>
        <v/>
      </c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</row>
    <row r="31" ht="13.5" customHeight="1">
      <c r="A31" s="340" t="str">
        <f t="array" ref="A31">IF(E31="", "", IF(XLOOKUP(E31, 'RC IN'!$E$7:$E$1013, 'RC IN'!$A$7:$A$1013, "")="CLOSED", "SUNDRIED", "IN-PROGRESS"))</f>
        <v/>
      </c>
      <c r="B31" s="341"/>
      <c r="C31" s="329" t="str">
        <f>IFERROR(__xludf.DUMMYFUNCTION("IF(E31="""", """", IFERROR(TEXTJOIN("", "", TRUE, UNIQUE(FILTER('RC IN'!$D$10:$D$9999, 'RC IN'!$E$10:$E$9999=E31))), """"))"),"")</f>
        <v/>
      </c>
      <c r="D31" s="342" t="str">
        <f t="array" ref="D31">XLOOKUP(B31, 'RC IN'!$E$8:$E$1013, 'RC IN'!$F$8:$F$1013, "")</f>
        <v/>
      </c>
      <c r="E31" s="343" t="str">
        <f>IFERROR(__xludf.DUMMYFUNCTION("IFERROR(REGEXEXTRACT(XLOOKUP(B31, 'RC IN'!$E$8:$E$1013, 'RC IN'!$D$8:$D$1013, """"), "" - (.*)""), """")"),"")</f>
        <v/>
      </c>
      <c r="F31" s="332" t="str">
        <f t="shared" si="2"/>
        <v/>
      </c>
      <c r="G31" s="344" t="str">
        <f t="array" ref="G31">XLOOKUP(E31, RC_IN[BLOCK], RC_IN[BLOCK LOC], "")</f>
        <v/>
      </c>
      <c r="H31" s="345" t="str">
        <f>IF(B31="","", sumifs(RC_IN[WT],RC_IN[BLOCK],B31))</f>
        <v/>
      </c>
      <c r="I31" s="346" t="str">
        <f>IF(E31="","", sumifs(RC_IN[WT],RC_IN[BLOCK],E31))</f>
        <v/>
      </c>
      <c r="J31" s="347" t="str">
        <f>IFERROR(sumifs(RC_IN[WTD MC],RC_IN[BLOCK],B31)/H31,"")
</f>
        <v/>
      </c>
      <c r="K31" s="348" t="str">
        <f>IFERROR(sumifs(RC_IN[WTD MC],RC_IN[BLOCK],E31)/I31,"")</f>
        <v/>
      </c>
      <c r="L31" s="338">
        <f t="shared" si="3"/>
        <v>0</v>
      </c>
      <c r="M31" s="339" t="str">
        <f t="shared" si="5"/>
        <v/>
      </c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</row>
    <row r="32" ht="13.5" customHeight="1">
      <c r="A32" s="340" t="str">
        <f t="array" ref="A32">IF(E32="", "", IF(XLOOKUP(E32, 'RC IN'!$E$7:$E$1013, 'RC IN'!$A$7:$A$1013, "")="CLOSED", "SUNDRIED", "IN-PROGRESS"))</f>
        <v/>
      </c>
      <c r="B32" s="341"/>
      <c r="C32" s="329" t="str">
        <f>IFERROR(__xludf.DUMMYFUNCTION("IF(E32="""", """", IFERROR(TEXTJOIN("", "", TRUE, UNIQUE(FILTER('RC IN'!$D$10:$D$9999, 'RC IN'!$E$10:$E$9999=E32))), """"))"),"")</f>
        <v/>
      </c>
      <c r="D32" s="342" t="str">
        <f t="array" ref="D32">XLOOKUP(B32, 'RC IN'!$E$8:$E$1013, 'RC IN'!$F$8:$F$1013, "")</f>
        <v/>
      </c>
      <c r="E32" s="343" t="str">
        <f>IFERROR(__xludf.DUMMYFUNCTION("IFERROR(REGEXEXTRACT(XLOOKUP(B32, 'RC IN'!$E$8:$E$1013, 'RC IN'!$D$8:$D$1013, """"), "" - (.*)""), """")"),"")</f>
        <v/>
      </c>
      <c r="F32" s="332" t="str">
        <f t="shared" si="2"/>
        <v/>
      </c>
      <c r="G32" s="344" t="str">
        <f t="array" ref="G32">XLOOKUP(E32, RC_IN[BLOCK], RC_IN[BLOCK LOC], "")</f>
        <v/>
      </c>
      <c r="H32" s="345" t="str">
        <f>IF(B32="","", sumifs(RC_IN[WT],RC_IN[BLOCK],B32))</f>
        <v/>
      </c>
      <c r="I32" s="346" t="str">
        <f>IF(E32="","", sumifs(RC_IN[WT],RC_IN[BLOCK],E32))</f>
        <v/>
      </c>
      <c r="J32" s="347" t="str">
        <f>IFERROR(sumifs(RC_IN[WTD MC],RC_IN[BLOCK],B32)/H32,"")
</f>
        <v/>
      </c>
      <c r="K32" s="348" t="str">
        <f>IFERROR(sumifs(RC_IN[WTD MC],RC_IN[BLOCK],E32)/I32,"")</f>
        <v/>
      </c>
      <c r="L32" s="338">
        <f t="shared" si="3"/>
        <v>0</v>
      </c>
      <c r="M32" s="339" t="str">
        <f t="shared" si="5"/>
        <v/>
      </c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</row>
    <row r="33" ht="13.5" customHeight="1">
      <c r="A33" s="340" t="str">
        <f t="array" ref="A33">IF(E33="", "", IF(XLOOKUP(E33, 'RC IN'!$E$7:$E$1013, 'RC IN'!$A$7:$A$1013, "")="CLOSED", "SUNDRIED", "IN-PROGRESS"))</f>
        <v/>
      </c>
      <c r="B33" s="341"/>
      <c r="C33" s="329" t="str">
        <f>IFERROR(__xludf.DUMMYFUNCTION("IF(E33="""", """", IFERROR(TEXTJOIN("", "", TRUE, UNIQUE(FILTER('RC IN'!$D$10:$D$9999, 'RC IN'!$E$10:$E$9999=E33))), """"))"),"")</f>
        <v/>
      </c>
      <c r="D33" s="342" t="str">
        <f t="array" ref="D33">XLOOKUP(B33, 'RC IN'!$E$8:$E$1013, 'RC IN'!$F$8:$F$1013, "")</f>
        <v/>
      </c>
      <c r="E33" s="343" t="str">
        <f>IFERROR(__xludf.DUMMYFUNCTION("IFERROR(REGEXEXTRACT(XLOOKUP(B33, 'RC IN'!$E$8:$E$1013, 'RC IN'!$D$8:$D$1013, """"), "" - (.*)""), """")"),"")</f>
        <v/>
      </c>
      <c r="F33" s="332" t="str">
        <f t="shared" si="2"/>
        <v/>
      </c>
      <c r="G33" s="344" t="str">
        <f t="array" ref="G33">XLOOKUP(E33, RC_IN[BLOCK], RC_IN[BLOCK LOC], "")</f>
        <v/>
      </c>
      <c r="H33" s="345" t="str">
        <f>IF(B33="","", sumifs(RC_IN[WT],RC_IN[BLOCK],B33))</f>
        <v/>
      </c>
      <c r="I33" s="346" t="str">
        <f>IF(E33="","", sumifs(RC_IN[WT],RC_IN[BLOCK],E33))</f>
        <v/>
      </c>
      <c r="J33" s="347" t="str">
        <f>IFERROR(sumifs(RC_IN[WTD MC],RC_IN[BLOCK],B33)/H33,"")
</f>
        <v/>
      </c>
      <c r="K33" s="348" t="str">
        <f>IFERROR(sumifs(RC_IN[WTD MC],RC_IN[BLOCK],E33)/I33,"")</f>
        <v/>
      </c>
      <c r="L33" s="338">
        <f t="shared" si="3"/>
        <v>0</v>
      </c>
      <c r="M33" s="339" t="str">
        <f t="shared" si="5"/>
        <v/>
      </c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</row>
    <row r="34" ht="13.5" customHeight="1">
      <c r="A34" s="340" t="str">
        <f t="array" ref="A34">IF(E34="", "", IF(XLOOKUP(E34, 'RC IN'!$E$7:$E$1013, 'RC IN'!$A$7:$A$1013, "")="CLOSED", "SUNDRIED", "IN-PROGRESS"))</f>
        <v/>
      </c>
      <c r="B34" s="341"/>
      <c r="C34" s="329" t="str">
        <f>IFERROR(__xludf.DUMMYFUNCTION("IF(E34="""", """", IFERROR(TEXTJOIN("", "", TRUE, UNIQUE(FILTER('RC IN'!$D$10:$D$9999, 'RC IN'!$E$10:$E$9999=E34))), """"))"),"")</f>
        <v/>
      </c>
      <c r="D34" s="342" t="str">
        <f t="array" ref="D34">XLOOKUP(B34, 'RC IN'!$E$8:$E$1013, 'RC IN'!$F$8:$F$1013, "")</f>
        <v/>
      </c>
      <c r="E34" s="343" t="str">
        <f>IFERROR(__xludf.DUMMYFUNCTION("IFERROR(REGEXEXTRACT(XLOOKUP(B34, 'RC IN'!$E$8:$E$1013, 'RC IN'!$D$8:$D$1013, """"), "" - (.*)""), """")"),"")</f>
        <v/>
      </c>
      <c r="F34" s="332" t="str">
        <f t="shared" si="2"/>
        <v/>
      </c>
      <c r="G34" s="344" t="str">
        <f t="array" ref="G34">XLOOKUP(E34, RC_IN[BLOCK], RC_IN[BLOCK LOC], "")</f>
        <v/>
      </c>
      <c r="H34" s="345" t="str">
        <f>IF(B34="","", sumifs(RC_IN[WT],RC_IN[BLOCK],B34))</f>
        <v/>
      </c>
      <c r="I34" s="346" t="str">
        <f>IF(E34="","", sumifs(RC_IN[WT],RC_IN[BLOCK],E34))</f>
        <v/>
      </c>
      <c r="J34" s="347" t="str">
        <f>IFERROR(sumifs(RC_IN[WTD MC],RC_IN[BLOCK],B34)/H34,"")
</f>
        <v/>
      </c>
      <c r="K34" s="348" t="str">
        <f>IFERROR(sumifs(RC_IN[WTD MC],RC_IN[BLOCK],E34)/I34,"")</f>
        <v/>
      </c>
      <c r="L34" s="338">
        <f t="shared" si="3"/>
        <v>0</v>
      </c>
      <c r="M34" s="339" t="str">
        <f t="shared" si="5"/>
        <v/>
      </c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</row>
    <row r="35" ht="13.5" customHeight="1">
      <c r="A35" s="340" t="str">
        <f t="array" ref="A35">IF(E35="", "", IF(XLOOKUP(E35, 'RC IN'!$E$7:$E$1013, 'RC IN'!$A$7:$A$1013, "")="CLOSED", "SUNDRIED", "IN-PROGRESS"))</f>
        <v/>
      </c>
      <c r="B35" s="341"/>
      <c r="C35" s="329" t="str">
        <f>IFERROR(__xludf.DUMMYFUNCTION("IF(E35="""", """", IFERROR(TEXTJOIN("", "", TRUE, UNIQUE(FILTER('RC IN'!$D$10:$D$9999, 'RC IN'!$E$10:$E$9999=E35))), """"))"),"")</f>
        <v/>
      </c>
      <c r="D35" s="342" t="str">
        <f t="array" ref="D35">XLOOKUP(B35, 'RC IN'!$E$8:$E$1013, 'RC IN'!$F$8:$F$1013, "")</f>
        <v/>
      </c>
      <c r="E35" s="343" t="str">
        <f>IFERROR(__xludf.DUMMYFUNCTION("IFERROR(REGEXEXTRACT(XLOOKUP(B35, 'RC IN'!$E$8:$E$1013, 'RC IN'!$D$8:$D$1013, """"), "" - (.*)""), """")"),"")</f>
        <v/>
      </c>
      <c r="F35" s="332" t="str">
        <f t="shared" si="2"/>
        <v/>
      </c>
      <c r="G35" s="344" t="str">
        <f t="array" ref="G35">XLOOKUP(E35, RC_IN[BLOCK], RC_IN[BLOCK LOC], "")</f>
        <v/>
      </c>
      <c r="H35" s="345" t="str">
        <f>IF(B35="","", sumifs(RC_IN[WT],RC_IN[BLOCK],B35))</f>
        <v/>
      </c>
      <c r="I35" s="346" t="str">
        <f>IF(E35="","", sumifs(RC_IN[WT],RC_IN[BLOCK],E35))</f>
        <v/>
      </c>
      <c r="J35" s="347" t="str">
        <f>IFERROR(sumifs(RC_IN[WTD MC],RC_IN[BLOCK],B35)/H35,"")
</f>
        <v/>
      </c>
      <c r="K35" s="348" t="str">
        <f>IFERROR(sumifs(RC_IN[WTD MC],RC_IN[BLOCK],E35)/I35,"")</f>
        <v/>
      </c>
      <c r="L35" s="338">
        <f t="shared" si="3"/>
        <v>0</v>
      </c>
      <c r="M35" s="339" t="str">
        <f t="shared" si="5"/>
        <v/>
      </c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</row>
    <row r="36" ht="13.5" customHeight="1">
      <c r="A36" s="340" t="str">
        <f t="array" ref="A36">IF(E36="", "", IF(XLOOKUP(E36, 'RC IN'!$E$7:$E$1013, 'RC IN'!$A$7:$A$1013, "")="CLOSED", "SUNDRIED", "IN-PROGRESS"))</f>
        <v/>
      </c>
      <c r="B36" s="341"/>
      <c r="C36" s="329" t="str">
        <f>IFERROR(__xludf.DUMMYFUNCTION("IF(E36="""", """", IFERROR(TEXTJOIN("", "", TRUE, UNIQUE(FILTER('RC IN'!$D$10:$D$9999, 'RC IN'!$E$10:$E$9999=E36))), """"))"),"")</f>
        <v/>
      </c>
      <c r="D36" s="342" t="str">
        <f t="array" ref="D36">XLOOKUP(B36, 'RC IN'!$E$8:$E$1013, 'RC IN'!$F$8:$F$1013, "")</f>
        <v/>
      </c>
      <c r="E36" s="343" t="str">
        <f>IFERROR(__xludf.DUMMYFUNCTION("IFERROR(REGEXEXTRACT(XLOOKUP(B36, 'RC IN'!$E$8:$E$1013, 'RC IN'!$D$8:$D$1013, """"), "" - (.*)""), """")"),"")</f>
        <v/>
      </c>
      <c r="F36" s="332" t="str">
        <f t="shared" si="2"/>
        <v/>
      </c>
      <c r="G36" s="344" t="str">
        <f t="array" ref="G36">XLOOKUP(E36, RC_IN[BLOCK], RC_IN[BLOCK LOC], "")</f>
        <v/>
      </c>
      <c r="H36" s="345" t="str">
        <f>IF(B36="","", sumifs(RC_IN[WT],RC_IN[BLOCK],B36))</f>
        <v/>
      </c>
      <c r="I36" s="346" t="str">
        <f>IF(E36="","", sumifs(RC_IN[WT],RC_IN[BLOCK],E36))</f>
        <v/>
      </c>
      <c r="J36" s="347" t="str">
        <f>IFERROR(sumifs(RC_IN[WTD MC],RC_IN[BLOCK],B36)/H36,"")
</f>
        <v/>
      </c>
      <c r="K36" s="348" t="str">
        <f>IFERROR(sumifs(RC_IN[WTD MC],RC_IN[BLOCK],E36)/I36,"")</f>
        <v/>
      </c>
      <c r="L36" s="338">
        <f t="shared" si="3"/>
        <v>0</v>
      </c>
      <c r="M36" s="339" t="str">
        <f t="shared" si="5"/>
        <v/>
      </c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</row>
    <row r="37" ht="13.5" customHeight="1">
      <c r="A37" s="340" t="str">
        <f t="array" ref="A37">IF(E37="", "", IF(XLOOKUP(E37, 'RC IN'!$E$7:$E$1013, 'RC IN'!$A$7:$A$1013, "")="CLOSED", "SUNDRIED", "IN-PROGRESS"))</f>
        <v/>
      </c>
      <c r="B37" s="341"/>
      <c r="C37" s="329" t="str">
        <f>IFERROR(__xludf.DUMMYFUNCTION("IF(E37="""", """", IFERROR(TEXTJOIN("", "", TRUE, UNIQUE(FILTER('RC IN'!$D$10:$D$9999, 'RC IN'!$E$10:$E$9999=E37))), """"))"),"")</f>
        <v/>
      </c>
      <c r="D37" s="342" t="str">
        <f t="array" ref="D37">XLOOKUP(B37, 'RC IN'!$E$8:$E$1013, 'RC IN'!$F$8:$F$1013, "")</f>
        <v/>
      </c>
      <c r="E37" s="343" t="str">
        <f>IFERROR(__xludf.DUMMYFUNCTION("IFERROR(REGEXEXTRACT(XLOOKUP(B37, 'RC IN'!$E$8:$E$1013, 'RC IN'!$D$8:$D$1013, """"), "" - (.*)""), """")"),"")</f>
        <v/>
      </c>
      <c r="F37" s="332" t="str">
        <f t="shared" si="2"/>
        <v/>
      </c>
      <c r="G37" s="344" t="str">
        <f t="array" ref="G37">XLOOKUP(E37, RC_IN[BLOCK], RC_IN[BLOCK LOC], "")</f>
        <v/>
      </c>
      <c r="H37" s="345" t="str">
        <f>IF(B37="","", sumifs(RC_IN[WT],RC_IN[BLOCK],B37))</f>
        <v/>
      </c>
      <c r="I37" s="346" t="str">
        <f>IF(E37="","", sumifs(RC_IN[WT],RC_IN[BLOCK],E37))</f>
        <v/>
      </c>
      <c r="J37" s="347" t="str">
        <f>IFERROR(sumifs(RC_IN[WTD MC],RC_IN[BLOCK],B37)/H37,"")
</f>
        <v/>
      </c>
      <c r="K37" s="348" t="str">
        <f>IFERROR(sumifs(RC_IN[WTD MC],RC_IN[BLOCK],E37)/I37,"")</f>
        <v/>
      </c>
      <c r="L37" s="338">
        <f t="shared" si="3"/>
        <v>0</v>
      </c>
      <c r="M37" s="339" t="str">
        <f t="shared" si="5"/>
        <v/>
      </c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</row>
    <row r="38" ht="13.5" customHeight="1">
      <c r="A38" s="340" t="str">
        <f t="array" ref="A38">IF(E38="", "", IF(XLOOKUP(E38, 'RC IN'!$E$7:$E$1013, 'RC IN'!$A$7:$A$1013, "")="CLOSED", "SUNDRIED", "IN-PROGRESS"))</f>
        <v/>
      </c>
      <c r="B38" s="341"/>
      <c r="C38" s="329" t="str">
        <f>IFERROR(__xludf.DUMMYFUNCTION("IF(E38="""", """", IFERROR(TEXTJOIN("", "", TRUE, UNIQUE(FILTER('RC IN'!$D$10:$D$9999, 'RC IN'!$E$10:$E$9999=E38))), """"))"),"")</f>
        <v/>
      </c>
      <c r="D38" s="342" t="str">
        <f t="array" ref="D38">XLOOKUP(B38, 'RC IN'!$E$8:$E$1013, 'RC IN'!$F$8:$F$1013, "")</f>
        <v/>
      </c>
      <c r="E38" s="343" t="str">
        <f>IFERROR(__xludf.DUMMYFUNCTION("IFERROR(REGEXEXTRACT(XLOOKUP(B38, 'RC IN'!$E$8:$E$1013, 'RC IN'!$D$8:$D$1013, """"), "" - (.*)""), """")"),"")</f>
        <v/>
      </c>
      <c r="F38" s="332" t="str">
        <f t="shared" si="2"/>
        <v/>
      </c>
      <c r="G38" s="344" t="str">
        <f t="array" ref="G38">XLOOKUP(E38, RC_IN[BLOCK], RC_IN[BLOCK LOC], "")</f>
        <v/>
      </c>
      <c r="H38" s="345" t="str">
        <f>IF(B38="","", sumifs(RC_IN[WT],RC_IN[BLOCK],B38))</f>
        <v/>
      </c>
      <c r="I38" s="346" t="str">
        <f>IF(E38="","", sumifs(RC_IN[WT],RC_IN[BLOCK],E38))</f>
        <v/>
      </c>
      <c r="J38" s="347" t="str">
        <f>IFERROR(sumifs(RC_IN[WTD MC],RC_IN[BLOCK],B38)/H38,"")
</f>
        <v/>
      </c>
      <c r="K38" s="348" t="str">
        <f>IFERROR(sumifs(RC_IN[WTD MC],RC_IN[BLOCK],E38)/I38,"")</f>
        <v/>
      </c>
      <c r="L38" s="338">
        <f t="shared" si="3"/>
        <v>0</v>
      </c>
      <c r="M38" s="339" t="str">
        <f t="shared" si="5"/>
        <v/>
      </c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</row>
    <row r="39" ht="13.5" customHeight="1">
      <c r="A39" s="340" t="str">
        <f t="array" ref="A39">IF(E39="", "", IF(XLOOKUP(E39, 'RC IN'!$E$7:$E$1013, 'RC IN'!$A$7:$A$1013, "")="CLOSED", "SUNDRIED", "IN-PROGRESS"))</f>
        <v/>
      </c>
      <c r="B39" s="341"/>
      <c r="C39" s="329" t="str">
        <f>IFERROR(__xludf.DUMMYFUNCTION("IF(E39="""", """", IFERROR(TEXTJOIN("", "", TRUE, UNIQUE(FILTER('RC IN'!$D$10:$D$9999, 'RC IN'!$E$10:$E$9999=E39))), """"))"),"")</f>
        <v/>
      </c>
      <c r="D39" s="342" t="str">
        <f t="array" ref="D39">XLOOKUP(B39, 'RC IN'!$E$8:$E$1013, 'RC IN'!$F$8:$F$1013, "")</f>
        <v/>
      </c>
      <c r="E39" s="343" t="str">
        <f>IFERROR(__xludf.DUMMYFUNCTION("IFERROR(REGEXEXTRACT(XLOOKUP(B39, 'RC IN'!$E$8:$E$1013, 'RC IN'!$D$8:$D$1013, """"), "" - (.*)""), """")"),"")</f>
        <v/>
      </c>
      <c r="F39" s="332" t="str">
        <f t="shared" si="2"/>
        <v/>
      </c>
      <c r="G39" s="344" t="str">
        <f t="array" ref="G39">XLOOKUP(E39, RC_IN[BLOCK], RC_IN[BLOCK LOC], "")</f>
        <v/>
      </c>
      <c r="H39" s="345" t="str">
        <f>IF(B39="","", sumifs(RC_IN[WT],RC_IN[BLOCK],B39))</f>
        <v/>
      </c>
      <c r="I39" s="346" t="str">
        <f>IF(E39="","", sumifs(RC_IN[WT],RC_IN[BLOCK],E39))</f>
        <v/>
      </c>
      <c r="J39" s="347" t="str">
        <f>IFERROR(sumifs(RC_IN[WTD MC],RC_IN[BLOCK],B39)/H39,"")
</f>
        <v/>
      </c>
      <c r="K39" s="348" t="str">
        <f>IFERROR(sumifs(RC_IN[WTD MC],RC_IN[BLOCK],E39)/I39,"")</f>
        <v/>
      </c>
      <c r="L39" s="338">
        <f t="shared" si="3"/>
        <v>0</v>
      </c>
      <c r="M39" s="339" t="str">
        <f t="shared" si="5"/>
        <v/>
      </c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</row>
    <row r="40" ht="13.5" customHeight="1">
      <c r="A40" s="340" t="str">
        <f t="array" ref="A40">IF(E40="", "", IF(XLOOKUP(E40, 'RC IN'!$E$7:$E$1013, 'RC IN'!$A$7:$A$1013, "")="CLOSED", "SUNDRIED", "IN-PROGRESS"))</f>
        <v/>
      </c>
      <c r="B40" s="341"/>
      <c r="C40" s="329" t="str">
        <f>IFERROR(__xludf.DUMMYFUNCTION("IF(E40="""", """", IFERROR(TEXTJOIN("", "", TRUE, UNIQUE(FILTER('RC IN'!$D$10:$D$9999, 'RC IN'!$E$10:$E$9999=E40))), """"))"),"")</f>
        <v/>
      </c>
      <c r="D40" s="342" t="str">
        <f t="array" ref="D40">XLOOKUP(B40, 'RC IN'!$E$8:$E$1013, 'RC IN'!$F$8:$F$1013, "")</f>
        <v/>
      </c>
      <c r="E40" s="343" t="str">
        <f>IFERROR(__xludf.DUMMYFUNCTION("IFERROR(REGEXEXTRACT(XLOOKUP(B40, 'RC IN'!$E$8:$E$1013, 'RC IN'!$D$8:$D$1013, """"), "" - (.*)""), """")"),"")</f>
        <v/>
      </c>
      <c r="F40" s="332" t="str">
        <f t="shared" si="2"/>
        <v/>
      </c>
      <c r="G40" s="344" t="str">
        <f t="array" ref="G40">XLOOKUP(E40, RC_IN[BLOCK], RC_IN[BLOCK LOC], "")</f>
        <v/>
      </c>
      <c r="H40" s="345" t="str">
        <f>IF(B40="","", sumifs(RC_IN[WT],RC_IN[BLOCK],B40))</f>
        <v/>
      </c>
      <c r="I40" s="346" t="str">
        <f>IF(E40="","", sumifs(RC_IN[WT],RC_IN[BLOCK],E40))</f>
        <v/>
      </c>
      <c r="J40" s="347" t="str">
        <f>IFERROR(sumifs(RC_IN[WTD MC],RC_IN[BLOCK],B40)/H40,"")
</f>
        <v/>
      </c>
      <c r="K40" s="348" t="str">
        <f>IFERROR(sumifs(RC_IN[WTD MC],RC_IN[BLOCK],E40)/I40,"")</f>
        <v/>
      </c>
      <c r="L40" s="338">
        <f t="shared" si="3"/>
        <v>0</v>
      </c>
      <c r="M40" s="339" t="str">
        <f t="shared" si="5"/>
        <v/>
      </c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</row>
    <row r="41" ht="13.5" customHeight="1">
      <c r="A41" s="340" t="str">
        <f t="array" ref="A41">IF(E41="", "", IF(XLOOKUP(E41, 'RC IN'!$E$7:$E$1013, 'RC IN'!$A$7:$A$1013, "")="CLOSED", "SUNDRIED", "IN-PROGRESS"))</f>
        <v/>
      </c>
      <c r="B41" s="341"/>
      <c r="C41" s="329" t="str">
        <f>IFERROR(__xludf.DUMMYFUNCTION("IF(E41="""", """", IFERROR(TEXTJOIN("", "", TRUE, UNIQUE(FILTER('RC IN'!$D$10:$D$9999, 'RC IN'!$E$10:$E$9999=E41))), """"))"),"")</f>
        <v/>
      </c>
      <c r="D41" s="342" t="str">
        <f t="array" ref="D41">XLOOKUP(B41, 'RC IN'!$E$8:$E$1013, 'RC IN'!$F$8:$F$1013, "")</f>
        <v/>
      </c>
      <c r="E41" s="343" t="str">
        <f>IFERROR(__xludf.DUMMYFUNCTION("IFERROR(REGEXEXTRACT(XLOOKUP(B41, 'RC IN'!$E$8:$E$1013, 'RC IN'!$D$8:$D$1013, """"), "" - (.*)""), """")"),"")</f>
        <v/>
      </c>
      <c r="F41" s="332" t="str">
        <f t="shared" si="2"/>
        <v/>
      </c>
      <c r="G41" s="344" t="str">
        <f t="array" ref="G41">XLOOKUP(E41, RC_IN[BLOCK], RC_IN[BLOCK LOC], "")</f>
        <v/>
      </c>
      <c r="H41" s="345" t="str">
        <f>IF(B41="","", sumifs(RC_IN[WT],RC_IN[BLOCK],B41))</f>
        <v/>
      </c>
      <c r="I41" s="346" t="str">
        <f>IF(E41="","", sumifs(RC_IN[WT],RC_IN[BLOCK],E41))</f>
        <v/>
      </c>
      <c r="J41" s="347" t="str">
        <f>IFERROR(sumifs(RC_IN[WTD MC],RC_IN[BLOCK],B41)/H41,"")
</f>
        <v/>
      </c>
      <c r="K41" s="348" t="str">
        <f>IFERROR(sumifs(RC_IN[WTD MC],RC_IN[BLOCK],E41)/I41,"")</f>
        <v/>
      </c>
      <c r="L41" s="338">
        <f t="shared" si="3"/>
        <v>0</v>
      </c>
      <c r="M41" s="339" t="str">
        <f t="shared" si="5"/>
        <v/>
      </c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</row>
    <row r="42" ht="13.5" customHeight="1">
      <c r="A42" s="340" t="str">
        <f t="array" ref="A42">IF(E42="", "", IF(XLOOKUP(E42, 'RC IN'!$E$7:$E$1013, 'RC IN'!$A$7:$A$1013, "")="CLOSED", "SUNDRIED", "IN-PROGRESS"))</f>
        <v/>
      </c>
      <c r="B42" s="341"/>
      <c r="C42" s="329" t="str">
        <f>IFERROR(__xludf.DUMMYFUNCTION("IF(E42="""", """", IFERROR(TEXTJOIN("", "", TRUE, UNIQUE(FILTER('RC IN'!$D$10:$D$9999, 'RC IN'!$E$10:$E$9999=E42))), """"))"),"")</f>
        <v/>
      </c>
      <c r="D42" s="342" t="str">
        <f t="array" ref="D42">XLOOKUP(B42, 'RC IN'!$E$8:$E$1013, 'RC IN'!$F$8:$F$1013, "")</f>
        <v/>
      </c>
      <c r="E42" s="343" t="str">
        <f>IFERROR(__xludf.DUMMYFUNCTION("IFERROR(REGEXEXTRACT(XLOOKUP(B42, 'RC IN'!$E$8:$E$1013, 'RC IN'!$D$8:$D$1013, """"), "" - (.*)""), """")"),"")</f>
        <v/>
      </c>
      <c r="F42" s="332" t="str">
        <f t="shared" si="2"/>
        <v/>
      </c>
      <c r="G42" s="344" t="str">
        <f t="array" ref="G42">XLOOKUP(E42, RC_IN[BLOCK], RC_IN[BLOCK LOC], "")</f>
        <v/>
      </c>
      <c r="H42" s="345" t="str">
        <f>IF(B42="","", sumifs(RC_IN[WT],RC_IN[BLOCK],B42))</f>
        <v/>
      </c>
      <c r="I42" s="346" t="str">
        <f>IF(E42="","", sumifs(RC_IN[WT],RC_IN[BLOCK],E42))</f>
        <v/>
      </c>
      <c r="J42" s="347" t="str">
        <f>IFERROR(sumifs(RC_IN[WTD MC],RC_IN[BLOCK],B42)/H42,"")
</f>
        <v/>
      </c>
      <c r="K42" s="348" t="str">
        <f>IFERROR(sumifs(RC_IN[WTD MC],RC_IN[BLOCK],E42)/I42,"")</f>
        <v/>
      </c>
      <c r="L42" s="338">
        <f t="shared" si="3"/>
        <v>0</v>
      </c>
      <c r="M42" s="339" t="str">
        <f t="shared" si="5"/>
        <v/>
      </c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</row>
    <row r="43" ht="13.5" customHeight="1">
      <c r="A43" s="340" t="str">
        <f t="array" ref="A43">IF(E43="", "", IF(XLOOKUP(E43, 'RC IN'!$E$7:$E$1013, 'RC IN'!$A$7:$A$1013, "")="CLOSED", "SUNDRIED", "IN-PROGRESS"))</f>
        <v/>
      </c>
      <c r="B43" s="341"/>
      <c r="C43" s="329" t="str">
        <f>IFERROR(__xludf.DUMMYFUNCTION("IF(E43="""", """", IFERROR(TEXTJOIN("", "", TRUE, UNIQUE(FILTER('RC IN'!$D$10:$D$9999, 'RC IN'!$E$10:$E$9999=E43))), """"))"),"")</f>
        <v/>
      </c>
      <c r="D43" s="342" t="str">
        <f t="array" ref="D43">XLOOKUP(B43, 'RC IN'!$E$8:$E$1013, 'RC IN'!$F$8:$F$1013, "")</f>
        <v/>
      </c>
      <c r="E43" s="343" t="str">
        <f>IFERROR(__xludf.DUMMYFUNCTION("IFERROR(REGEXEXTRACT(XLOOKUP(B43, 'RC IN'!$E$8:$E$1013, 'RC IN'!$D$8:$D$1013, """"), "" - (.*)""), """")"),"")</f>
        <v/>
      </c>
      <c r="F43" s="332" t="str">
        <f t="shared" si="2"/>
        <v/>
      </c>
      <c r="G43" s="344" t="str">
        <f t="array" ref="G43">XLOOKUP(E43, RC_IN[BLOCK], RC_IN[BLOCK LOC], "")</f>
        <v/>
      </c>
      <c r="H43" s="345" t="str">
        <f>IF(B43="","", sumifs(RC_IN[WT],RC_IN[BLOCK],B43))</f>
        <v/>
      </c>
      <c r="I43" s="346" t="str">
        <f>IF(E43="","", sumifs(RC_IN[WT],RC_IN[BLOCK],E43))</f>
        <v/>
      </c>
      <c r="J43" s="347" t="str">
        <f>IFERROR(sumifs(RC_IN[WTD MC],RC_IN[BLOCK],B43)/H43,"")
</f>
        <v/>
      </c>
      <c r="K43" s="348" t="str">
        <f>IFERROR(sumifs(RC_IN[WTD MC],RC_IN[BLOCK],E43)/I43,"")</f>
        <v/>
      </c>
      <c r="L43" s="338">
        <f t="shared" si="3"/>
        <v>0</v>
      </c>
      <c r="M43" s="339" t="str">
        <f t="shared" si="5"/>
        <v/>
      </c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</row>
    <row r="44" ht="13.5" customHeight="1">
      <c r="A44" s="340" t="str">
        <f t="array" ref="A44">IF(E44="", "", IF(XLOOKUP(E44, 'RC IN'!$E$7:$E$1013, 'RC IN'!$A$7:$A$1013, "")="CLOSED", "SUNDRIED", "IN-PROGRESS"))</f>
        <v/>
      </c>
      <c r="B44" s="341"/>
      <c r="C44" s="329" t="str">
        <f>IFERROR(__xludf.DUMMYFUNCTION("IF(E44="""", """", IFERROR(TEXTJOIN("", "", TRUE, UNIQUE(FILTER('RC IN'!$D$10:$D$9999, 'RC IN'!$E$10:$E$9999=E44))), """"))"),"")</f>
        <v/>
      </c>
      <c r="D44" s="342" t="str">
        <f t="array" ref="D44">XLOOKUP(B44, 'RC IN'!$E$8:$E$1013, 'RC IN'!$F$8:$F$1013, "")</f>
        <v/>
      </c>
      <c r="E44" s="343" t="str">
        <f>IFERROR(__xludf.DUMMYFUNCTION("IFERROR(REGEXEXTRACT(XLOOKUP(B44, 'RC IN'!$E$8:$E$1013, 'RC IN'!$D$8:$D$1013, """"), "" - (.*)""), """")"),"")</f>
        <v/>
      </c>
      <c r="F44" s="332" t="str">
        <f t="shared" si="2"/>
        <v/>
      </c>
      <c r="G44" s="344" t="str">
        <f t="array" ref="G44">XLOOKUP(E44, RC_IN[BLOCK], RC_IN[BLOCK LOC], "")</f>
        <v/>
      </c>
      <c r="H44" s="345" t="str">
        <f>IF(B44="","", sumifs(RC_IN[WT],RC_IN[BLOCK],B44))</f>
        <v/>
      </c>
      <c r="I44" s="346" t="str">
        <f>IF(E44="","", sumifs(RC_IN[WT],RC_IN[BLOCK],E44))</f>
        <v/>
      </c>
      <c r="J44" s="347" t="str">
        <f>IFERROR(sumifs(RC_IN[WTD MC],RC_IN[BLOCK],B44)/H44,"")
</f>
        <v/>
      </c>
      <c r="K44" s="348" t="str">
        <f>IFERROR(sumifs(RC_IN[WTD MC],RC_IN[BLOCK],E44)/I44,"")</f>
        <v/>
      </c>
      <c r="L44" s="338">
        <f t="shared" si="3"/>
        <v>0</v>
      </c>
      <c r="M44" s="339" t="str">
        <f t="shared" si="5"/>
        <v/>
      </c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</row>
    <row r="45" ht="13.5" customHeight="1">
      <c r="A45" s="340" t="str">
        <f t="array" ref="A45">IF(E45="", "", IF(XLOOKUP(E45, 'RC IN'!$E$7:$E$1013, 'RC IN'!$A$7:$A$1013, "")="CLOSED", "SUNDRIED", "IN-PROGRESS"))</f>
        <v/>
      </c>
      <c r="B45" s="341"/>
      <c r="C45" s="329" t="str">
        <f>IFERROR(__xludf.DUMMYFUNCTION("IF(E45="""", """", IFERROR(TEXTJOIN("", "", TRUE, UNIQUE(FILTER('RC IN'!$D$10:$D$9999, 'RC IN'!$E$10:$E$9999=E45))), """"))"),"")</f>
        <v/>
      </c>
      <c r="D45" s="342" t="str">
        <f t="array" ref="D45">XLOOKUP(B45, 'RC IN'!$E$8:$E$1013, 'RC IN'!$F$8:$F$1013, "")</f>
        <v/>
      </c>
      <c r="E45" s="343" t="str">
        <f>IFERROR(__xludf.DUMMYFUNCTION("IFERROR(REGEXEXTRACT(XLOOKUP(B45, 'RC IN'!$E$8:$E$1013, 'RC IN'!$D$8:$D$1013, """"), "" - (.*)""), """")"),"")</f>
        <v/>
      </c>
      <c r="F45" s="332" t="str">
        <f t="shared" si="2"/>
        <v/>
      </c>
      <c r="G45" s="344" t="str">
        <f t="array" ref="G45">XLOOKUP(E45, RC_IN[BLOCK], RC_IN[BLOCK LOC], "")</f>
        <v/>
      </c>
      <c r="H45" s="345" t="str">
        <f>IF(B45="","", sumifs(RC_IN[WT],RC_IN[BLOCK],B45))</f>
        <v/>
      </c>
      <c r="I45" s="346" t="str">
        <f>IF(E45="","", sumifs(RC_IN[WT],RC_IN[BLOCK],E45))</f>
        <v/>
      </c>
      <c r="J45" s="347" t="str">
        <f>IFERROR(sumifs(RC_IN[WTD MC],RC_IN[BLOCK],B45)/H45,"")
</f>
        <v/>
      </c>
      <c r="K45" s="348" t="str">
        <f>IFERROR(sumifs(RC_IN[WTD MC],RC_IN[BLOCK],E45)/I45,"")</f>
        <v/>
      </c>
      <c r="L45" s="338">
        <f t="shared" si="3"/>
        <v>0</v>
      </c>
      <c r="M45" s="339" t="str">
        <f t="shared" si="5"/>
        <v/>
      </c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</row>
    <row r="46" ht="13.5" customHeight="1">
      <c r="A46" s="340" t="str">
        <f t="array" ref="A46">IF(E46="", "", IF(XLOOKUP(E46, 'RC IN'!$E$7:$E$1013, 'RC IN'!$A$7:$A$1013, "")="CLOSED", "SUNDRIED", "IN-PROGRESS"))</f>
        <v/>
      </c>
      <c r="B46" s="341"/>
      <c r="C46" s="329" t="str">
        <f>IFERROR(__xludf.DUMMYFUNCTION("IF(E46="""", """", IFERROR(TEXTJOIN("", "", TRUE, UNIQUE(FILTER('RC IN'!$D$10:$D$9999, 'RC IN'!$E$10:$E$9999=E46))), """"))"),"")</f>
        <v/>
      </c>
      <c r="D46" s="342" t="str">
        <f t="array" ref="D46">XLOOKUP(B46, 'RC IN'!$E$8:$E$1013, 'RC IN'!$F$8:$F$1013, "")</f>
        <v/>
      </c>
      <c r="E46" s="343" t="str">
        <f>IFERROR(__xludf.DUMMYFUNCTION("IFERROR(REGEXEXTRACT(XLOOKUP(B46, 'RC IN'!$E$8:$E$1013, 'RC IN'!$D$8:$D$1013, """"), "" - (.*)""), """")"),"")</f>
        <v/>
      </c>
      <c r="F46" s="332" t="str">
        <f t="shared" si="2"/>
        <v/>
      </c>
      <c r="G46" s="344" t="str">
        <f t="array" ref="G46">XLOOKUP(E46, RC_IN[BLOCK], RC_IN[BLOCK LOC], "")</f>
        <v/>
      </c>
      <c r="H46" s="345" t="str">
        <f>IF(B46="","", sumifs(RC_IN[WT],RC_IN[BLOCK],B46))</f>
        <v/>
      </c>
      <c r="I46" s="346" t="str">
        <f>IF(E46="","", sumifs(RC_IN[WT],RC_IN[BLOCK],E46))</f>
        <v/>
      </c>
      <c r="J46" s="347" t="str">
        <f>IFERROR(sumifs(RC_IN[WTD MC],RC_IN[BLOCK],B46)/H46,"")
</f>
        <v/>
      </c>
      <c r="K46" s="348" t="str">
        <f>IFERROR(sumifs(RC_IN[WTD MC],RC_IN[BLOCK],E46)/I46,"")</f>
        <v/>
      </c>
      <c r="L46" s="338">
        <f t="shared" si="3"/>
        <v>0</v>
      </c>
      <c r="M46" s="339" t="str">
        <f t="shared" si="5"/>
        <v/>
      </c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</row>
    <row r="47" ht="13.5" customHeight="1">
      <c r="A47" s="340" t="str">
        <f t="array" ref="A47">IF(E47="", "", IF(XLOOKUP(E47, 'RC IN'!$E$7:$E$1013, 'RC IN'!$A$7:$A$1013, "")="CLOSED", "SUNDRIED", "IN-PROGRESS"))</f>
        <v/>
      </c>
      <c r="B47" s="341"/>
      <c r="C47" s="329" t="str">
        <f>IFERROR(__xludf.DUMMYFUNCTION("IF(E47="""", """", IFERROR(TEXTJOIN("", "", TRUE, UNIQUE(FILTER('RC IN'!$D$10:$D$9999, 'RC IN'!$E$10:$E$9999=E47))), """"))"),"")</f>
        <v/>
      </c>
      <c r="D47" s="342" t="str">
        <f t="array" ref="D47">XLOOKUP(B47, 'RC IN'!$E$8:$E$1013, 'RC IN'!$F$8:$F$1013, "")</f>
        <v/>
      </c>
      <c r="E47" s="343" t="str">
        <f>IFERROR(__xludf.DUMMYFUNCTION("IFERROR(REGEXEXTRACT(XLOOKUP(B47, 'RC IN'!$E$8:$E$1013, 'RC IN'!$D$8:$D$1013, """"), "" - (.*)""), """")"),"")</f>
        <v/>
      </c>
      <c r="F47" s="332" t="str">
        <f t="shared" si="2"/>
        <v/>
      </c>
      <c r="G47" s="344" t="str">
        <f t="array" ref="G47">XLOOKUP(E47, RC_IN[BLOCK], RC_IN[BLOCK LOC], "")</f>
        <v/>
      </c>
      <c r="H47" s="345" t="str">
        <f>IF(B47="","", sumifs(RC_IN[WT],RC_IN[BLOCK],B47))</f>
        <v/>
      </c>
      <c r="I47" s="346" t="str">
        <f>IF(E47="","", sumifs(RC_IN[WT],RC_IN[BLOCK],E47))</f>
        <v/>
      </c>
      <c r="J47" s="347" t="str">
        <f>IFERROR(sumifs(RC_IN[WTD MC],RC_IN[BLOCK],B47)/H47,"")
</f>
        <v/>
      </c>
      <c r="K47" s="348" t="str">
        <f>IFERROR(sumifs(RC_IN[WTD MC],RC_IN[BLOCK],E47)/I47,"")</f>
        <v/>
      </c>
      <c r="L47" s="338">
        <f t="shared" si="3"/>
        <v>0</v>
      </c>
      <c r="M47" s="339" t="str">
        <f t="shared" si="5"/>
        <v/>
      </c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</row>
    <row r="48" ht="13.5" customHeight="1">
      <c r="A48" s="340" t="str">
        <f t="array" ref="A48">IF(E48="", "", IF(XLOOKUP(E48, 'RC IN'!$E$7:$E$1013, 'RC IN'!$A$7:$A$1013, "")="CLOSED", "SUNDRIED", "IN-PROGRESS"))</f>
        <v/>
      </c>
      <c r="B48" s="341"/>
      <c r="C48" s="329" t="str">
        <f>IFERROR(__xludf.DUMMYFUNCTION("IF(E48="""", """", IFERROR(TEXTJOIN("", "", TRUE, UNIQUE(FILTER('RC IN'!$D$10:$D$9999, 'RC IN'!$E$10:$E$9999=E48))), """"))"),"")</f>
        <v/>
      </c>
      <c r="D48" s="342" t="str">
        <f t="array" ref="D48">XLOOKUP(B48, 'RC IN'!$E$8:$E$1013, 'RC IN'!$F$8:$F$1013, "")</f>
        <v/>
      </c>
      <c r="E48" s="343" t="str">
        <f>IFERROR(__xludf.DUMMYFUNCTION("IFERROR(REGEXEXTRACT(XLOOKUP(B48, 'RC IN'!$E$8:$E$1013, 'RC IN'!$D$8:$D$1013, """"), "" - (.*)""), """")"),"")</f>
        <v/>
      </c>
      <c r="F48" s="332" t="str">
        <f t="shared" si="2"/>
        <v/>
      </c>
      <c r="G48" s="344" t="str">
        <f t="array" ref="G48">XLOOKUP(E48, RC_IN[BLOCK], RC_IN[BLOCK LOC], "")</f>
        <v/>
      </c>
      <c r="H48" s="345" t="str">
        <f>IF(B48="","", sumifs(RC_IN[WT],RC_IN[BLOCK],B48))</f>
        <v/>
      </c>
      <c r="I48" s="346" t="str">
        <f>IF(E48="","", sumifs(RC_IN[WT],RC_IN[BLOCK],E48))</f>
        <v/>
      </c>
      <c r="J48" s="347" t="str">
        <f>IFERROR(sumifs(RC_IN[WTD MC],RC_IN[BLOCK],B48)/H48,"")
</f>
        <v/>
      </c>
      <c r="K48" s="348" t="str">
        <f>IFERROR(sumifs(RC_IN[WTD MC],RC_IN[BLOCK],E48)/I48,"")</f>
        <v/>
      </c>
      <c r="L48" s="338">
        <f t="shared" si="3"/>
        <v>0</v>
      </c>
      <c r="M48" s="339" t="str">
        <f t="shared" si="5"/>
        <v/>
      </c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</row>
    <row r="49" ht="13.5" customHeight="1">
      <c r="A49" s="340" t="str">
        <f t="array" ref="A49">IF(E49="", "", IF(XLOOKUP(E49, 'RC IN'!$E$7:$E$1013, 'RC IN'!$A$7:$A$1013, "")="CLOSED", "SUNDRIED", "IN-PROGRESS"))</f>
        <v/>
      </c>
      <c r="B49" s="341"/>
      <c r="C49" s="329" t="str">
        <f>IFERROR(__xludf.DUMMYFUNCTION("IF(E49="""", """", IFERROR(TEXTJOIN("", "", TRUE, UNIQUE(FILTER('RC IN'!$D$10:$D$9999, 'RC IN'!$E$10:$E$9999=E49))), """"))"),"")</f>
        <v/>
      </c>
      <c r="D49" s="342" t="str">
        <f t="array" ref="D49">XLOOKUP(B49, 'RC IN'!$E$8:$E$1013, 'RC IN'!$F$8:$F$1013, "")</f>
        <v/>
      </c>
      <c r="E49" s="343" t="str">
        <f>IFERROR(__xludf.DUMMYFUNCTION("IFERROR(REGEXEXTRACT(XLOOKUP(B49, 'RC IN'!$E$8:$E$1013, 'RC IN'!$D$8:$D$1013, """"), "" - (.*)""), """")"),"")</f>
        <v/>
      </c>
      <c r="F49" s="332" t="str">
        <f t="shared" si="2"/>
        <v/>
      </c>
      <c r="G49" s="344" t="str">
        <f t="array" ref="G49">XLOOKUP(E49, RC_IN[BLOCK], RC_IN[BLOCK LOC], "")</f>
        <v/>
      </c>
      <c r="H49" s="345" t="str">
        <f>IF(B49="","", sumifs(RC_IN[WT],RC_IN[BLOCK],B49))</f>
        <v/>
      </c>
      <c r="I49" s="346" t="str">
        <f>IF(E49="","", sumifs(RC_IN[WT],RC_IN[BLOCK],E49))</f>
        <v/>
      </c>
      <c r="J49" s="347" t="str">
        <f>IFERROR(sumifs(RC_IN[WTD MC],RC_IN[BLOCK],B49)/H49,"")
</f>
        <v/>
      </c>
      <c r="K49" s="348" t="str">
        <f>IFERROR(sumifs(RC_IN[WTD MC],RC_IN[BLOCK],E49)/I49,"")</f>
        <v/>
      </c>
      <c r="L49" s="338">
        <f t="shared" si="3"/>
        <v>0</v>
      </c>
      <c r="M49" s="339" t="str">
        <f t="shared" si="5"/>
        <v/>
      </c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</row>
    <row r="50" ht="13.5" customHeight="1">
      <c r="A50" s="340" t="str">
        <f t="array" ref="A50">IF(E50="", "", IF(XLOOKUP(E50, 'RC IN'!$E$7:$E$1013, 'RC IN'!$A$7:$A$1013, "")="CLOSED", "SUNDRIED", "IN-PROGRESS"))</f>
        <v/>
      </c>
      <c r="B50" s="341"/>
      <c r="C50" s="329" t="str">
        <f>IFERROR(__xludf.DUMMYFUNCTION("IF(E50="""", """", IFERROR(TEXTJOIN("", "", TRUE, UNIQUE(FILTER('RC IN'!$D$10:$D$9999, 'RC IN'!$E$10:$E$9999=E50))), """"))"),"")</f>
        <v/>
      </c>
      <c r="D50" s="342" t="str">
        <f t="array" ref="D50">XLOOKUP(B50, 'RC IN'!$E$8:$E$1013, 'RC IN'!$F$8:$F$1013, "")</f>
        <v/>
      </c>
      <c r="E50" s="343" t="str">
        <f>IFERROR(__xludf.DUMMYFUNCTION("IFERROR(REGEXEXTRACT(XLOOKUP(B50, 'RC IN'!$E$8:$E$1013, 'RC IN'!$D$8:$D$1013, """"), "" - (.*)""), """")"),"")</f>
        <v/>
      </c>
      <c r="F50" s="332" t="str">
        <f t="shared" si="2"/>
        <v/>
      </c>
      <c r="G50" s="344" t="str">
        <f t="array" ref="G50">XLOOKUP(E50, RC_IN[BLOCK], RC_IN[BLOCK LOC], "")</f>
        <v/>
      </c>
      <c r="H50" s="345" t="str">
        <f>IF(B50="","", sumifs(RC_IN[WT],RC_IN[BLOCK],B50))</f>
        <v/>
      </c>
      <c r="I50" s="346" t="str">
        <f>IF(E50="","", sumifs(RC_IN[WT],RC_IN[BLOCK],E50))</f>
        <v/>
      </c>
      <c r="J50" s="347" t="str">
        <f>IFERROR(sumifs(RC_IN[WTD MC],RC_IN[BLOCK],B50)/H50,"")
</f>
        <v/>
      </c>
      <c r="K50" s="348" t="str">
        <f>IFERROR(sumifs(RC_IN[WTD MC],RC_IN[BLOCK],E50)/I50,"")</f>
        <v/>
      </c>
      <c r="L50" s="338">
        <f t="shared" si="3"/>
        <v>0</v>
      </c>
      <c r="M50" s="339" t="str">
        <f t="shared" si="5"/>
        <v/>
      </c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</row>
    <row r="51" ht="13.5" customHeight="1">
      <c r="A51" s="340" t="str">
        <f t="array" ref="A51">IF(E51="", "", IF(XLOOKUP(E51, 'RC IN'!$E$7:$E$1013, 'RC IN'!$A$7:$A$1013, "")="CLOSED", "SUNDRIED", "IN-PROGRESS"))</f>
        <v/>
      </c>
      <c r="B51" s="341"/>
      <c r="C51" s="329" t="str">
        <f>IFERROR(__xludf.DUMMYFUNCTION("IF(E51="""", """", IFERROR(TEXTJOIN("", "", TRUE, UNIQUE(FILTER('RC IN'!$D$10:$D$9999, 'RC IN'!$E$10:$E$9999=E51))), """"))"),"")</f>
        <v/>
      </c>
      <c r="D51" s="342" t="str">
        <f t="array" ref="D51">XLOOKUP(B51, 'RC IN'!$E$8:$E$1013, 'RC IN'!$F$8:$F$1013, "")</f>
        <v/>
      </c>
      <c r="E51" s="343" t="str">
        <f>IFERROR(__xludf.DUMMYFUNCTION("IFERROR(REGEXEXTRACT(XLOOKUP(B51, 'RC IN'!$E$8:$E$1013, 'RC IN'!$D$8:$D$1013, """"), "" - (.*)""), """")"),"")</f>
        <v/>
      </c>
      <c r="F51" s="332" t="str">
        <f t="shared" si="2"/>
        <v/>
      </c>
      <c r="G51" s="344" t="str">
        <f t="array" ref="G51">XLOOKUP(E51, RC_IN[BLOCK], RC_IN[BLOCK LOC], "")</f>
        <v/>
      </c>
      <c r="H51" s="345" t="str">
        <f>IF(B51="","", sumifs(RC_IN[WT],RC_IN[BLOCK],B51))</f>
        <v/>
      </c>
      <c r="I51" s="346" t="str">
        <f>IF(E51="","", sumifs(RC_IN[WT],RC_IN[BLOCK],E51))</f>
        <v/>
      </c>
      <c r="J51" s="347" t="str">
        <f>IFERROR(sumifs(RC_IN[WTD MC],RC_IN[BLOCK],B51)/H51,"")
</f>
        <v/>
      </c>
      <c r="K51" s="348" t="str">
        <f>IFERROR(sumifs(RC_IN[WTD MC],RC_IN[BLOCK],E51)/I51,"")</f>
        <v/>
      </c>
      <c r="L51" s="338">
        <f t="shared" si="3"/>
        <v>0</v>
      </c>
      <c r="M51" s="339" t="str">
        <f t="shared" si="5"/>
        <v/>
      </c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</row>
    <row r="52" ht="13.5" customHeight="1">
      <c r="A52" s="340" t="str">
        <f t="array" ref="A52">IF(E52="", "", IF(XLOOKUP(E52, 'RC IN'!$E$7:$E$1013, 'RC IN'!$A$7:$A$1013, "")="CLOSED", "SUNDRIED", "IN-PROGRESS"))</f>
        <v/>
      </c>
      <c r="B52" s="341"/>
      <c r="C52" s="329" t="str">
        <f>IFERROR(__xludf.DUMMYFUNCTION("IF(E52="""", """", IFERROR(TEXTJOIN("", "", TRUE, UNIQUE(FILTER('RC IN'!$D$10:$D$9999, 'RC IN'!$E$10:$E$9999=E52))), """"))"),"")</f>
        <v/>
      </c>
      <c r="D52" s="342" t="str">
        <f t="array" ref="D52">XLOOKUP(B52, 'RC IN'!$E$8:$E$1013, 'RC IN'!$F$8:$F$1013, "")</f>
        <v/>
      </c>
      <c r="E52" s="343" t="str">
        <f>IFERROR(__xludf.DUMMYFUNCTION("IFERROR(REGEXEXTRACT(XLOOKUP(B52, 'RC IN'!$E$8:$E$1013, 'RC IN'!$D$8:$D$1013, """"), "" - (.*)""), """")"),"")</f>
        <v/>
      </c>
      <c r="F52" s="332" t="str">
        <f t="shared" si="2"/>
        <v/>
      </c>
      <c r="G52" s="344" t="str">
        <f t="array" ref="G52">XLOOKUP(E52, RC_IN[BLOCK], RC_IN[BLOCK LOC], "")</f>
        <v/>
      </c>
      <c r="H52" s="345" t="str">
        <f>IF(B52="","", sumifs(RC_IN[WT],RC_IN[BLOCK],B52))</f>
        <v/>
      </c>
      <c r="I52" s="346" t="str">
        <f>IF(E52="","", sumifs(RC_IN[WT],RC_IN[BLOCK],E52))</f>
        <v/>
      </c>
      <c r="J52" s="347" t="str">
        <f>IFERROR(sumifs(RC_IN[WTD MC],RC_IN[BLOCK],B52)/H52,"")
</f>
        <v/>
      </c>
      <c r="K52" s="348" t="str">
        <f>IFERROR(sumifs(RC_IN[WTD MC],RC_IN[BLOCK],E52)/I52,"")</f>
        <v/>
      </c>
      <c r="L52" s="338">
        <f t="shared" si="3"/>
        <v>0</v>
      </c>
      <c r="M52" s="339" t="str">
        <f t="shared" si="5"/>
        <v/>
      </c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</row>
    <row r="53" ht="13.5" customHeight="1">
      <c r="A53" s="340" t="str">
        <f t="array" ref="A53">IF(E53="", "", IF(XLOOKUP(E53, 'RC IN'!$E$7:$E$1013, 'RC IN'!$A$7:$A$1013, "")="CLOSED", "SUNDRIED", "IN-PROGRESS"))</f>
        <v/>
      </c>
      <c r="B53" s="341"/>
      <c r="C53" s="329" t="str">
        <f>IFERROR(__xludf.DUMMYFUNCTION("IF(E53="""", """", IFERROR(TEXTJOIN("", "", TRUE, UNIQUE(FILTER('RC IN'!$D$10:$D$9999, 'RC IN'!$E$10:$E$9999=E53))), """"))"),"")</f>
        <v/>
      </c>
      <c r="D53" s="342" t="str">
        <f t="array" ref="D53">XLOOKUP(B53, 'RC IN'!$E$8:$E$1013, 'RC IN'!$F$8:$F$1013, "")</f>
        <v/>
      </c>
      <c r="E53" s="343" t="str">
        <f>IFERROR(__xludf.DUMMYFUNCTION("IFERROR(REGEXEXTRACT(XLOOKUP(B53, 'RC IN'!$E$8:$E$1013, 'RC IN'!$D$8:$D$1013, """"), "" - (.*)""), """")"),"")</f>
        <v/>
      </c>
      <c r="F53" s="332" t="str">
        <f t="shared" si="2"/>
        <v/>
      </c>
      <c r="G53" s="344" t="str">
        <f t="array" ref="G53">XLOOKUP(E53, RC_IN[BLOCK], RC_IN[BLOCK LOC], "")</f>
        <v/>
      </c>
      <c r="H53" s="345" t="str">
        <f>IF(B53="","", sumifs(RC_IN[WT],RC_IN[BLOCK],B53))</f>
        <v/>
      </c>
      <c r="I53" s="346" t="str">
        <f>IF(E53="","", sumifs(RC_IN[WT],RC_IN[BLOCK],E53))</f>
        <v/>
      </c>
      <c r="J53" s="347" t="str">
        <f>IFERROR(sumifs(RC_IN[WTD MC],RC_IN[BLOCK],B53)/H53,"")
</f>
        <v/>
      </c>
      <c r="K53" s="348" t="str">
        <f>IFERROR(sumifs(RC_IN[WTD MC],RC_IN[BLOCK],E53)/I53,"")</f>
        <v/>
      </c>
      <c r="L53" s="338">
        <f t="shared" si="3"/>
        <v>0</v>
      </c>
      <c r="M53" s="339" t="str">
        <f t="shared" si="5"/>
        <v/>
      </c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</row>
    <row r="54" ht="13.5" customHeight="1">
      <c r="A54" s="340" t="str">
        <f t="array" ref="A54">IF(E54="", "", IF(XLOOKUP(E54, 'RC IN'!$E$7:$E$1013, 'RC IN'!$A$7:$A$1013, "")="CLOSED", "SUNDRIED", "IN-PROGRESS"))</f>
        <v/>
      </c>
      <c r="B54" s="341"/>
      <c r="C54" s="329" t="str">
        <f>IFERROR(__xludf.DUMMYFUNCTION("IF(E54="""", """", IFERROR(TEXTJOIN("", "", TRUE, UNIQUE(FILTER('RC IN'!$D$10:$D$9999, 'RC IN'!$E$10:$E$9999=E54))), """"))"),"")</f>
        <v/>
      </c>
      <c r="D54" s="342" t="str">
        <f t="array" ref="D54">XLOOKUP(B54, 'RC IN'!$E$8:$E$1013, 'RC IN'!$F$8:$F$1013, "")</f>
        <v/>
      </c>
      <c r="E54" s="343" t="str">
        <f>IFERROR(__xludf.DUMMYFUNCTION("IFERROR(REGEXEXTRACT(XLOOKUP(B54, 'RC IN'!$E$8:$E$1013, 'RC IN'!$D$8:$D$1013, """"), "" - (.*)""), """")"),"")</f>
        <v/>
      </c>
      <c r="F54" s="332" t="str">
        <f t="shared" si="2"/>
        <v/>
      </c>
      <c r="G54" s="344" t="str">
        <f t="array" ref="G54">XLOOKUP(E54, RC_IN[BLOCK], RC_IN[BLOCK LOC], "")</f>
        <v/>
      </c>
      <c r="H54" s="345" t="str">
        <f>IF(B54="","", sumifs(RC_IN[WT],RC_IN[BLOCK],B54))</f>
        <v/>
      </c>
      <c r="I54" s="346" t="str">
        <f>IF(E54="","", sumifs(RC_IN[WT],RC_IN[BLOCK],E54))</f>
        <v/>
      </c>
      <c r="J54" s="347" t="str">
        <f>IFERROR(sumifs(RC_IN[WTD MC],RC_IN[BLOCK],B54)/H54,"")
</f>
        <v/>
      </c>
      <c r="K54" s="348" t="str">
        <f>IFERROR(sumifs(RC_IN[WTD MC],RC_IN[BLOCK],E54)/I54,"")</f>
        <v/>
      </c>
      <c r="L54" s="338">
        <f t="shared" si="3"/>
        <v>0</v>
      </c>
      <c r="M54" s="339" t="str">
        <f t="shared" si="5"/>
        <v/>
      </c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</row>
    <row r="55" ht="13.5" customHeight="1">
      <c r="A55" s="340" t="str">
        <f t="array" ref="A55">IF(E55="", "", IF(XLOOKUP(E55, 'RC IN'!$E$7:$E$1013, 'RC IN'!$A$7:$A$1013, "")="CLOSED", "SUNDRIED", "IN-PROGRESS"))</f>
        <v/>
      </c>
      <c r="B55" s="341"/>
      <c r="C55" s="329" t="str">
        <f>IFERROR(__xludf.DUMMYFUNCTION("IF(E55="""", """", IFERROR(TEXTJOIN("", "", TRUE, UNIQUE(FILTER('RC IN'!$D$10:$D$9999, 'RC IN'!$E$10:$E$9999=E55))), """"))"),"")</f>
        <v/>
      </c>
      <c r="D55" s="342" t="str">
        <f t="array" ref="D55">XLOOKUP(B55, 'RC IN'!$E$8:$E$1013, 'RC IN'!$F$8:$F$1013, "")</f>
        <v/>
      </c>
      <c r="E55" s="343" t="str">
        <f>IFERROR(__xludf.DUMMYFUNCTION("IFERROR(REGEXEXTRACT(XLOOKUP(B55, 'RC IN'!$E$8:$E$1013, 'RC IN'!$D$8:$D$1013, """"), "" - (.*)""), """")"),"")</f>
        <v/>
      </c>
      <c r="F55" s="332" t="str">
        <f t="shared" si="2"/>
        <v/>
      </c>
      <c r="G55" s="344" t="str">
        <f t="array" ref="G55">XLOOKUP(E55, RC_IN[BLOCK], RC_IN[BLOCK LOC], "")</f>
        <v/>
      </c>
      <c r="H55" s="345" t="str">
        <f>IF(B55="","", sumifs(RC_IN[WT],RC_IN[BLOCK],B55))</f>
        <v/>
      </c>
      <c r="I55" s="346" t="str">
        <f>IF(E55="","", sumifs(RC_IN[WT],RC_IN[BLOCK],E55))</f>
        <v/>
      </c>
      <c r="J55" s="347" t="str">
        <f>IFERROR(sumifs(RC_IN[WTD MC],RC_IN[BLOCK],B55)/H55,"")
</f>
        <v/>
      </c>
      <c r="K55" s="348" t="str">
        <f>IFERROR(sumifs(RC_IN[WTD MC],RC_IN[BLOCK],E55)/I55,"")</f>
        <v/>
      </c>
      <c r="L55" s="338">
        <f t="shared" si="3"/>
        <v>0</v>
      </c>
      <c r="M55" s="339" t="str">
        <f t="shared" si="5"/>
        <v/>
      </c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</row>
    <row r="56" ht="13.5" customHeight="1">
      <c r="A56" s="340" t="str">
        <f t="array" ref="A56">IF(E56="", "", IF(XLOOKUP(E56, 'RC IN'!$E$7:$E$1013, 'RC IN'!$A$7:$A$1013, "")="CLOSED", "SUNDRIED", "IN-PROGRESS"))</f>
        <v/>
      </c>
      <c r="B56" s="341"/>
      <c r="C56" s="329" t="str">
        <f>IFERROR(__xludf.DUMMYFUNCTION("IF(E56="""", """", IFERROR(TEXTJOIN("", "", TRUE, UNIQUE(FILTER('RC IN'!$D$10:$D$9999, 'RC IN'!$E$10:$E$9999=E56))), """"))"),"")</f>
        <v/>
      </c>
      <c r="D56" s="342" t="str">
        <f t="array" ref="D56">XLOOKUP(B56, 'RC IN'!$E$8:$E$1013, 'RC IN'!$F$8:$F$1013, "")</f>
        <v/>
      </c>
      <c r="E56" s="343" t="str">
        <f>IFERROR(__xludf.DUMMYFUNCTION("IFERROR(REGEXEXTRACT(XLOOKUP(B56, 'RC IN'!$E$8:$E$1013, 'RC IN'!$D$8:$D$1013, """"), "" - (.*)""), """")"),"")</f>
        <v/>
      </c>
      <c r="F56" s="332" t="str">
        <f t="shared" si="2"/>
        <v/>
      </c>
      <c r="G56" s="344" t="str">
        <f t="array" ref="G56">XLOOKUP(E56, RC_IN[BLOCK], RC_IN[BLOCK LOC], "")</f>
        <v/>
      </c>
      <c r="H56" s="345" t="str">
        <f>IF(B56="","", sumifs(RC_IN[WT],RC_IN[BLOCK],B56))</f>
        <v/>
      </c>
      <c r="I56" s="346" t="str">
        <f>IF(E56="","", sumifs(RC_IN[WT],RC_IN[BLOCK],E56))</f>
        <v/>
      </c>
      <c r="J56" s="347" t="str">
        <f>IFERROR(sumifs(RC_IN[WTD MC],RC_IN[BLOCK],B56)/H56,"")
</f>
        <v/>
      </c>
      <c r="K56" s="348" t="str">
        <f>IFERROR(sumifs(RC_IN[WTD MC],RC_IN[BLOCK],E56)/I56,"")</f>
        <v/>
      </c>
      <c r="L56" s="338">
        <f t="shared" si="3"/>
        <v>0</v>
      </c>
      <c r="M56" s="339" t="str">
        <f t="shared" si="5"/>
        <v/>
      </c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</row>
    <row r="57" ht="13.5" customHeight="1">
      <c r="A57" s="340" t="str">
        <f t="array" ref="A57">IF(E57="", "", IF(XLOOKUP(E57, 'RC IN'!$E$7:$E$1013, 'RC IN'!$A$7:$A$1013, "")="CLOSED", "SUNDRIED", "IN-PROGRESS"))</f>
        <v/>
      </c>
      <c r="B57" s="341"/>
      <c r="C57" s="329" t="str">
        <f>IFERROR(__xludf.DUMMYFUNCTION("IF(E57="""", """", IFERROR(TEXTJOIN("", "", TRUE, UNIQUE(FILTER('RC IN'!$D$10:$D$9999, 'RC IN'!$E$10:$E$9999=E57))), """"))"),"")</f>
        <v/>
      </c>
      <c r="D57" s="342" t="str">
        <f t="array" ref="D57">XLOOKUP(B57, 'RC IN'!$E$8:$E$1013, 'RC IN'!$F$8:$F$1013, "")</f>
        <v/>
      </c>
      <c r="E57" s="343" t="str">
        <f>IFERROR(__xludf.DUMMYFUNCTION("IFERROR(REGEXEXTRACT(XLOOKUP(B57, 'RC IN'!$E$8:$E$1013, 'RC IN'!$D$8:$D$1013, """"), "" - (.*)""), """")"),"")</f>
        <v/>
      </c>
      <c r="F57" s="332" t="str">
        <f t="shared" si="2"/>
        <v/>
      </c>
      <c r="G57" s="344" t="str">
        <f t="array" ref="G57">XLOOKUP(E57, RC_IN[BLOCK], RC_IN[BLOCK LOC], "")</f>
        <v/>
      </c>
      <c r="H57" s="345" t="str">
        <f>IF(B57="","", sumifs(RC_IN[WT],RC_IN[BLOCK],B57))</f>
        <v/>
      </c>
      <c r="I57" s="346" t="str">
        <f>IF(E57="","", sumifs(RC_IN[WT],RC_IN[BLOCK],E57))</f>
        <v/>
      </c>
      <c r="J57" s="347" t="str">
        <f>IFERROR(sumifs(RC_IN[WTD MC],RC_IN[BLOCK],B57)/H57,"")
</f>
        <v/>
      </c>
      <c r="K57" s="348" t="str">
        <f>IFERROR(sumifs(RC_IN[WTD MC],RC_IN[BLOCK],E57)/I57,"")</f>
        <v/>
      </c>
      <c r="L57" s="338">
        <f t="shared" si="3"/>
        <v>0</v>
      </c>
      <c r="M57" s="339" t="str">
        <f t="shared" si="5"/>
        <v/>
      </c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</row>
    <row r="58" ht="13.5" customHeight="1">
      <c r="A58" s="340" t="str">
        <f t="array" ref="A58">IF(E58="", "", IF(XLOOKUP(E58, 'RC IN'!$E$7:$E$1013, 'RC IN'!$A$7:$A$1013, "")="CLOSED", "SUNDRIED", "IN-PROGRESS"))</f>
        <v/>
      </c>
      <c r="B58" s="341"/>
      <c r="C58" s="329" t="str">
        <f>IFERROR(__xludf.DUMMYFUNCTION("IF(E58="""", """", IFERROR(TEXTJOIN("", "", TRUE, UNIQUE(FILTER('RC IN'!$D$10:$D$9999, 'RC IN'!$E$10:$E$9999=E58))), """"))"),"")</f>
        <v/>
      </c>
      <c r="D58" s="342" t="str">
        <f t="array" ref="D58">XLOOKUP(B58, 'RC IN'!$E$8:$E$1013, 'RC IN'!$F$8:$F$1013, "")</f>
        <v/>
      </c>
      <c r="E58" s="343" t="str">
        <f>IFERROR(__xludf.DUMMYFUNCTION("IFERROR(REGEXEXTRACT(XLOOKUP(B58, 'RC IN'!$E$8:$E$1013, 'RC IN'!$D$8:$D$1013, """"), "" - (.*)""), """")"),"")</f>
        <v/>
      </c>
      <c r="F58" s="332" t="str">
        <f t="shared" si="2"/>
        <v/>
      </c>
      <c r="G58" s="344" t="str">
        <f t="array" ref="G58">XLOOKUP(E58, RC_IN[BLOCK], RC_IN[BLOCK LOC], "")</f>
        <v/>
      </c>
      <c r="H58" s="345" t="str">
        <f>IF(B58="","", sumifs(RC_IN[WT],RC_IN[BLOCK],B58))</f>
        <v/>
      </c>
      <c r="I58" s="346" t="str">
        <f>IF(E58="","", sumifs(RC_IN[WT],RC_IN[BLOCK],E58))</f>
        <v/>
      </c>
      <c r="J58" s="347" t="str">
        <f>IFERROR(sumifs(RC_IN[WTD MC],RC_IN[BLOCK],B58)/H58,"")
</f>
        <v/>
      </c>
      <c r="K58" s="348" t="str">
        <f>IFERROR(sumifs(RC_IN[WTD MC],RC_IN[BLOCK],E58)/I58,"")</f>
        <v/>
      </c>
      <c r="L58" s="338">
        <f t="shared" si="3"/>
        <v>0</v>
      </c>
      <c r="M58" s="339" t="str">
        <f t="shared" si="5"/>
        <v/>
      </c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</row>
    <row r="59" ht="13.5" customHeight="1">
      <c r="A59" s="340" t="str">
        <f t="array" ref="A59">IF(E59="", "", IF(XLOOKUP(E59, 'RC IN'!$E$7:$E$1013, 'RC IN'!$A$7:$A$1013, "")="CLOSED", "SUNDRIED", "IN-PROGRESS"))</f>
        <v/>
      </c>
      <c r="B59" s="341"/>
      <c r="C59" s="329" t="str">
        <f>IFERROR(__xludf.DUMMYFUNCTION("IF(E59="""", """", IFERROR(TEXTJOIN("", "", TRUE, UNIQUE(FILTER('RC IN'!$D$10:$D$9999, 'RC IN'!$E$10:$E$9999=E59))), """"))"),"")</f>
        <v/>
      </c>
      <c r="D59" s="342" t="str">
        <f t="array" ref="D59">XLOOKUP(B59, 'RC IN'!$E$8:$E$1013, 'RC IN'!$F$8:$F$1013, "")</f>
        <v/>
      </c>
      <c r="E59" s="343" t="str">
        <f>IFERROR(__xludf.DUMMYFUNCTION("IFERROR(REGEXEXTRACT(XLOOKUP(B59, 'RC IN'!$E$8:$E$1013, 'RC IN'!$D$8:$D$1013, """"), "" - (.*)""), """")"),"")</f>
        <v/>
      </c>
      <c r="F59" s="332" t="str">
        <f t="shared" si="2"/>
        <v/>
      </c>
      <c r="G59" s="344" t="str">
        <f t="array" ref="G59">XLOOKUP(E59, RC_IN[BLOCK], RC_IN[BLOCK LOC], "")</f>
        <v/>
      </c>
      <c r="H59" s="345" t="str">
        <f>IF(B59="","", sumifs(RC_IN[WT],RC_IN[BLOCK],B59))</f>
        <v/>
      </c>
      <c r="I59" s="346" t="str">
        <f>IF(E59="","", sumifs(RC_IN[WT],RC_IN[BLOCK],E59))</f>
        <v/>
      </c>
      <c r="J59" s="347" t="str">
        <f>IFERROR(sumifs(RC_IN[WTD MC],RC_IN[BLOCK],B59)/H59,"")
</f>
        <v/>
      </c>
      <c r="K59" s="348" t="str">
        <f>IFERROR(sumifs(RC_IN[WTD MC],RC_IN[BLOCK],E59)/I59,"")</f>
        <v/>
      </c>
      <c r="L59" s="338">
        <f t="shared" si="3"/>
        <v>0</v>
      </c>
      <c r="M59" s="339" t="str">
        <f t="shared" si="5"/>
        <v/>
      </c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</row>
    <row r="60" ht="13.5" customHeight="1">
      <c r="A60" s="340" t="str">
        <f t="array" ref="A60">IF(E60="", "", IF(XLOOKUP(E60, 'RC IN'!$E$7:$E$1013, 'RC IN'!$A$7:$A$1013, "")="CLOSED", "SUNDRIED", "IN-PROGRESS"))</f>
        <v/>
      </c>
      <c r="B60" s="341"/>
      <c r="C60" s="329" t="str">
        <f>IFERROR(__xludf.DUMMYFUNCTION("IF(E60="""", """", IFERROR(TEXTJOIN("", "", TRUE, UNIQUE(FILTER('RC IN'!$D$10:$D$9999, 'RC IN'!$E$10:$E$9999=E60))), """"))"),"")</f>
        <v/>
      </c>
      <c r="D60" s="342" t="str">
        <f t="array" ref="D60">XLOOKUP(B60, 'RC IN'!$E$8:$E$1013, 'RC IN'!$F$8:$F$1013, "")</f>
        <v/>
      </c>
      <c r="E60" s="343" t="str">
        <f>IFERROR(__xludf.DUMMYFUNCTION("IFERROR(REGEXEXTRACT(XLOOKUP(B60, 'RC IN'!$E$8:$E$1013, 'RC IN'!$D$8:$D$1013, """"), "" - (.*)""), """")"),"")</f>
        <v/>
      </c>
      <c r="F60" s="332" t="str">
        <f t="shared" si="2"/>
        <v/>
      </c>
      <c r="G60" s="344" t="str">
        <f t="array" ref="G60">XLOOKUP(E60, RC_IN[BLOCK], RC_IN[BLOCK LOC], "")</f>
        <v/>
      </c>
      <c r="H60" s="345" t="str">
        <f>IF(B60="","", sumifs(RC_IN[WT],RC_IN[BLOCK],B60))</f>
        <v/>
      </c>
      <c r="I60" s="346" t="str">
        <f>IF(E60="","", sumifs(RC_IN[WT],RC_IN[BLOCK],E60))</f>
        <v/>
      </c>
      <c r="J60" s="347" t="str">
        <f>IFERROR(sumifs(RC_IN[WTD MC],RC_IN[BLOCK],B60)/H60,"")
</f>
        <v/>
      </c>
      <c r="K60" s="348" t="str">
        <f>IFERROR(sumifs(RC_IN[WTD MC],RC_IN[BLOCK],E60)/I60,"")</f>
        <v/>
      </c>
      <c r="L60" s="338">
        <f t="shared" si="3"/>
        <v>0</v>
      </c>
      <c r="M60" s="339" t="str">
        <f t="shared" si="5"/>
        <v/>
      </c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</row>
    <row r="61" ht="13.5" customHeight="1">
      <c r="A61" s="340" t="str">
        <f t="array" ref="A61">IF(E61="", "", IF(XLOOKUP(E61, 'RC IN'!$E$7:$E$1013, 'RC IN'!$A$7:$A$1013, "")="CLOSED", "SUNDRIED", "IN-PROGRESS"))</f>
        <v/>
      </c>
      <c r="B61" s="341"/>
      <c r="C61" s="329" t="str">
        <f>IFERROR(__xludf.DUMMYFUNCTION("IF(E61="""", """", IFERROR(TEXTJOIN("", "", TRUE, UNIQUE(FILTER('RC IN'!$D$10:$D$9999, 'RC IN'!$E$10:$E$9999=E61))), """"))"),"")</f>
        <v/>
      </c>
      <c r="D61" s="342" t="str">
        <f t="array" ref="D61">XLOOKUP(B61, 'RC IN'!$E$8:$E$1013, 'RC IN'!$F$8:$F$1013, "")</f>
        <v/>
      </c>
      <c r="E61" s="343" t="str">
        <f>IFERROR(__xludf.DUMMYFUNCTION("IFERROR(REGEXEXTRACT(XLOOKUP(B61, 'RC IN'!$E$8:$E$1013, 'RC IN'!$D$8:$D$1013, """"), "" - (.*)""), """")"),"")</f>
        <v/>
      </c>
      <c r="F61" s="332" t="str">
        <f t="shared" si="2"/>
        <v/>
      </c>
      <c r="G61" s="344" t="str">
        <f t="array" ref="G61">XLOOKUP(E61, RC_IN[BLOCK], RC_IN[BLOCK LOC], "")</f>
        <v/>
      </c>
      <c r="H61" s="345" t="str">
        <f>IF(B61="","", sumifs(RC_IN[WT],RC_IN[BLOCK],B61))</f>
        <v/>
      </c>
      <c r="I61" s="346" t="str">
        <f>IF(E61="","", sumifs(RC_IN[WT],RC_IN[BLOCK],E61))</f>
        <v/>
      </c>
      <c r="J61" s="347" t="str">
        <f>IFERROR(sumifs(RC_IN[WTD MC],RC_IN[BLOCK],B61)/H61,"")
</f>
        <v/>
      </c>
      <c r="K61" s="348" t="str">
        <f>IFERROR(sumifs(RC_IN[WTD MC],RC_IN[BLOCK],E61)/I61,"")</f>
        <v/>
      </c>
      <c r="L61" s="338">
        <f t="shared" si="3"/>
        <v>0</v>
      </c>
      <c r="M61" s="339" t="str">
        <f t="shared" si="5"/>
        <v/>
      </c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</row>
    <row r="62" ht="13.5" customHeight="1">
      <c r="A62" s="340" t="str">
        <f t="array" ref="A62">IF(E62="", "", IF(XLOOKUP(E62, 'RC IN'!$E$7:$E$1013, 'RC IN'!$A$7:$A$1013, "")="CLOSED", "SUNDRIED", "IN-PROGRESS"))</f>
        <v/>
      </c>
      <c r="B62" s="341"/>
      <c r="C62" s="329" t="str">
        <f>IFERROR(__xludf.DUMMYFUNCTION("IF(E62="""", """", IFERROR(TEXTJOIN("", "", TRUE, UNIQUE(FILTER('RC IN'!$D$10:$D$9999, 'RC IN'!$E$10:$E$9999=E62))), """"))"),"")</f>
        <v/>
      </c>
      <c r="D62" s="342" t="str">
        <f t="array" ref="D62">XLOOKUP(B62, 'RC IN'!$E$8:$E$1013, 'RC IN'!$F$8:$F$1013, "")</f>
        <v/>
      </c>
      <c r="E62" s="343" t="str">
        <f>IFERROR(__xludf.DUMMYFUNCTION("IFERROR(REGEXEXTRACT(XLOOKUP(B62, 'RC IN'!$E$8:$E$1013, 'RC IN'!$D$8:$D$1013, """"), "" - (.*)""), """")"),"")</f>
        <v/>
      </c>
      <c r="F62" s="332" t="str">
        <f t="shared" si="2"/>
        <v/>
      </c>
      <c r="G62" s="344" t="str">
        <f t="array" ref="G62">XLOOKUP(E62, RC_IN[BLOCK], RC_IN[BLOCK LOC], "")</f>
        <v/>
      </c>
      <c r="H62" s="345" t="str">
        <f>IF(B62="","", sumifs(RC_IN[WT],RC_IN[BLOCK],B62))</f>
        <v/>
      </c>
      <c r="I62" s="346" t="str">
        <f>IF(E62="","", sumifs(RC_IN[WT],RC_IN[BLOCK],E62))</f>
        <v/>
      </c>
      <c r="J62" s="347" t="str">
        <f>IFERROR(sumifs(RC_IN[WTD MC],RC_IN[BLOCK],B62)/H62,"")
</f>
        <v/>
      </c>
      <c r="K62" s="348" t="str">
        <f>IFERROR(sumifs(RC_IN[WTD MC],RC_IN[BLOCK],E62)/I62,"")</f>
        <v/>
      </c>
      <c r="L62" s="338">
        <f t="shared" si="3"/>
        <v>0</v>
      </c>
      <c r="M62" s="339" t="str">
        <f t="shared" si="5"/>
        <v/>
      </c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</row>
    <row r="63" ht="13.5" customHeight="1">
      <c r="A63" s="340" t="str">
        <f t="array" ref="A63">IF(E63="", "", IF(XLOOKUP(E63, 'RC IN'!$E$7:$E$1013, 'RC IN'!$A$7:$A$1013, "")="CLOSED", "SUNDRIED", "IN-PROGRESS"))</f>
        <v/>
      </c>
      <c r="B63" s="341"/>
      <c r="C63" s="329" t="str">
        <f>IFERROR(__xludf.DUMMYFUNCTION("IF(E63="""", """", IFERROR(TEXTJOIN("", "", TRUE, UNIQUE(FILTER('RC IN'!$D$10:$D$9999, 'RC IN'!$E$10:$E$9999=E63))), """"))"),"")</f>
        <v/>
      </c>
      <c r="D63" s="342" t="str">
        <f t="array" ref="D63">XLOOKUP(B63, 'RC IN'!$E$8:$E$1013, 'RC IN'!$F$8:$F$1013, "")</f>
        <v/>
      </c>
      <c r="E63" s="343" t="str">
        <f>IFERROR(__xludf.DUMMYFUNCTION("IFERROR(REGEXEXTRACT(XLOOKUP(B63, 'RC IN'!$E$8:$E$1013, 'RC IN'!$D$8:$D$1013, """"), "" - (.*)""), """")"),"")</f>
        <v/>
      </c>
      <c r="F63" s="332" t="str">
        <f t="shared" si="2"/>
        <v/>
      </c>
      <c r="G63" s="344" t="str">
        <f t="array" ref="G63">XLOOKUP(E63, RC_IN[BLOCK], RC_IN[BLOCK LOC], "")</f>
        <v/>
      </c>
      <c r="H63" s="345" t="str">
        <f>IF(B63="","", sumifs(RC_IN[WT],RC_IN[BLOCK],B63))</f>
        <v/>
      </c>
      <c r="I63" s="346" t="str">
        <f>IF(E63="","", sumifs(RC_IN[WT],RC_IN[BLOCK],E63))</f>
        <v/>
      </c>
      <c r="J63" s="347" t="str">
        <f>IFERROR(sumifs(RC_IN[WTD MC],RC_IN[BLOCK],B63)/H63,"")
</f>
        <v/>
      </c>
      <c r="K63" s="348" t="str">
        <f>IFERROR(sumifs(RC_IN[WTD MC],RC_IN[BLOCK],E63)/I63,"")</f>
        <v/>
      </c>
      <c r="L63" s="338">
        <f t="shared" si="3"/>
        <v>0</v>
      </c>
      <c r="M63" s="339" t="str">
        <f t="shared" si="5"/>
        <v/>
      </c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</row>
    <row r="64" ht="13.5" customHeight="1">
      <c r="A64" s="340" t="str">
        <f t="array" ref="A64">IF(E64="", "", IF(XLOOKUP(E64, 'RC IN'!$E$7:$E$1013, 'RC IN'!$A$7:$A$1013, "")="CLOSED", "SUNDRIED", "IN-PROGRESS"))</f>
        <v/>
      </c>
      <c r="B64" s="341"/>
      <c r="C64" s="329" t="str">
        <f>IFERROR(__xludf.DUMMYFUNCTION("IF(E64="""", """", IFERROR(TEXTJOIN("", "", TRUE, UNIQUE(FILTER('RC IN'!$D$10:$D$9999, 'RC IN'!$E$10:$E$9999=E64))), """"))"),"")</f>
        <v/>
      </c>
      <c r="D64" s="342" t="str">
        <f t="array" ref="D64">XLOOKUP(B64, 'RC IN'!$E$8:$E$1013, 'RC IN'!$F$8:$F$1013, "")</f>
        <v/>
      </c>
      <c r="E64" s="343" t="str">
        <f>IFERROR(__xludf.DUMMYFUNCTION("IFERROR(REGEXEXTRACT(XLOOKUP(B64, 'RC IN'!$E$8:$E$1013, 'RC IN'!$D$8:$D$1013, """"), "" - (.*)""), """")"),"")</f>
        <v/>
      </c>
      <c r="F64" s="332" t="str">
        <f t="shared" si="2"/>
        <v/>
      </c>
      <c r="G64" s="344" t="str">
        <f t="array" ref="G64">XLOOKUP(E64, RC_IN[BLOCK], RC_IN[BLOCK LOC], "")</f>
        <v/>
      </c>
      <c r="H64" s="345" t="str">
        <f>IF(B64="","", sumifs(RC_IN[WT],RC_IN[BLOCK],B64))</f>
        <v/>
      </c>
      <c r="I64" s="346" t="str">
        <f>IF(E64="","", sumifs(RC_IN[WT],RC_IN[BLOCK],E64))</f>
        <v/>
      </c>
      <c r="J64" s="347" t="str">
        <f>IFERROR(sumifs(RC_IN[WTD MC],RC_IN[BLOCK],B64)/H64,"")
</f>
        <v/>
      </c>
      <c r="K64" s="348" t="str">
        <f>IFERROR(sumifs(RC_IN[WTD MC],RC_IN[BLOCK],E64)/I64,"")</f>
        <v/>
      </c>
      <c r="L64" s="338">
        <f t="shared" si="3"/>
        <v>0</v>
      </c>
      <c r="M64" s="339" t="str">
        <f t="shared" si="5"/>
        <v/>
      </c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</row>
    <row r="65" ht="13.5" customHeight="1">
      <c r="A65" s="340" t="str">
        <f t="array" ref="A65">IF(E65="", "", IF(XLOOKUP(E65, 'RC IN'!$E$7:$E$1013, 'RC IN'!$A$7:$A$1013, "")="CLOSED", "SUNDRIED", "IN-PROGRESS"))</f>
        <v/>
      </c>
      <c r="B65" s="341"/>
      <c r="C65" s="329" t="str">
        <f>IFERROR(__xludf.DUMMYFUNCTION("IF(E65="""", """", IFERROR(TEXTJOIN("", "", TRUE, UNIQUE(FILTER('RC IN'!$D$10:$D$9999, 'RC IN'!$E$10:$E$9999=E65))), """"))"),"")</f>
        <v/>
      </c>
      <c r="D65" s="342" t="str">
        <f t="array" ref="D65">XLOOKUP(B65, 'RC IN'!$E$8:$E$1013, 'RC IN'!$F$8:$F$1013, "")</f>
        <v/>
      </c>
      <c r="E65" s="343" t="str">
        <f>IFERROR(__xludf.DUMMYFUNCTION("IFERROR(REGEXEXTRACT(XLOOKUP(B65, 'RC IN'!$E$8:$E$1013, 'RC IN'!$D$8:$D$1013, """"), "" - (.*)""), """")"),"")</f>
        <v/>
      </c>
      <c r="F65" s="332" t="str">
        <f t="shared" si="2"/>
        <v/>
      </c>
      <c r="G65" s="344" t="str">
        <f t="array" ref="G65">XLOOKUP(E65, RC_IN[BLOCK], RC_IN[BLOCK LOC], "")</f>
        <v/>
      </c>
      <c r="H65" s="345" t="str">
        <f>IF(B65="","", sumifs(RC_IN[WT],RC_IN[BLOCK],B65))</f>
        <v/>
      </c>
      <c r="I65" s="346" t="str">
        <f>IF(E65="","", sumifs(RC_IN[WT],RC_IN[BLOCK],E65))</f>
        <v/>
      </c>
      <c r="J65" s="347" t="str">
        <f>IFERROR(sumifs(RC_IN[WTD MC],RC_IN[BLOCK],B65)/H65,"")
</f>
        <v/>
      </c>
      <c r="K65" s="348" t="str">
        <f>IFERROR(sumifs(RC_IN[WTD MC],RC_IN[BLOCK],E65)/I65,"")</f>
        <v/>
      </c>
      <c r="L65" s="338">
        <f t="shared" si="3"/>
        <v>0</v>
      </c>
      <c r="M65" s="339" t="str">
        <f t="shared" si="5"/>
        <v/>
      </c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</row>
    <row r="66" ht="13.5" customHeight="1">
      <c r="A66" s="340" t="str">
        <f t="array" ref="A66">IF(E66="", "", IF(XLOOKUP(E66, 'RC IN'!$E$7:$E$1013, 'RC IN'!$A$7:$A$1013, "")="CLOSED", "SUNDRIED", "IN-PROGRESS"))</f>
        <v/>
      </c>
      <c r="B66" s="341"/>
      <c r="C66" s="329" t="str">
        <f>IFERROR(__xludf.DUMMYFUNCTION("IF(E66="""", """", IFERROR(TEXTJOIN("", "", TRUE, UNIQUE(FILTER('RC IN'!$D$10:$D$9999, 'RC IN'!$E$10:$E$9999=E66))), """"))"),"")</f>
        <v/>
      </c>
      <c r="D66" s="342" t="str">
        <f t="array" ref="D66">XLOOKUP(B66, 'RC IN'!$E$8:$E$1013, 'RC IN'!$F$8:$F$1013, "")</f>
        <v/>
      </c>
      <c r="E66" s="343" t="str">
        <f>IFERROR(__xludf.DUMMYFUNCTION("IFERROR(REGEXEXTRACT(XLOOKUP(B66, 'RC IN'!$E$8:$E$1013, 'RC IN'!$D$8:$D$1013, """"), "" - (.*)""), """")"),"")</f>
        <v/>
      </c>
      <c r="F66" s="332" t="str">
        <f t="shared" si="2"/>
        <v/>
      </c>
      <c r="G66" s="344" t="str">
        <f t="array" ref="G66">XLOOKUP(E66, RC_IN[BLOCK], RC_IN[BLOCK LOC], "")</f>
        <v/>
      </c>
      <c r="H66" s="345" t="str">
        <f>IF(B66="","", sumifs(RC_IN[WT],RC_IN[BLOCK],B66))</f>
        <v/>
      </c>
      <c r="I66" s="346" t="str">
        <f>IF(E66="","", sumifs(RC_IN[WT],RC_IN[BLOCK],E66))</f>
        <v/>
      </c>
      <c r="J66" s="347" t="str">
        <f>IFERROR(sumifs(RC_IN[WTD MC],RC_IN[BLOCK],B66)/H66,"")
</f>
        <v/>
      </c>
      <c r="K66" s="348" t="str">
        <f>IFERROR(sumifs(RC_IN[WTD MC],RC_IN[BLOCK],E66)/I66,"")</f>
        <v/>
      </c>
      <c r="L66" s="338">
        <f t="shared" si="3"/>
        <v>0</v>
      </c>
      <c r="M66" s="339" t="str">
        <f t="shared" si="5"/>
        <v/>
      </c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</row>
    <row r="67" ht="13.5" customHeight="1">
      <c r="A67" s="340" t="str">
        <f t="array" ref="A67">IF(E67="", "", IF(XLOOKUP(E67, 'RC IN'!$E$7:$E$1013, 'RC IN'!$A$7:$A$1013, "")="CLOSED", "SUNDRIED", "IN-PROGRESS"))</f>
        <v/>
      </c>
      <c r="B67" s="341"/>
      <c r="C67" s="329" t="str">
        <f>IFERROR(__xludf.DUMMYFUNCTION("IF(E67="""", """", IFERROR(TEXTJOIN("", "", TRUE, UNIQUE(FILTER('RC IN'!$D$10:$D$9999, 'RC IN'!$E$10:$E$9999=E67))), """"))"),"")</f>
        <v/>
      </c>
      <c r="D67" s="342" t="str">
        <f t="array" ref="D67">XLOOKUP(B67, 'RC IN'!$E$8:$E$1013, 'RC IN'!$F$8:$F$1013, "")</f>
        <v/>
      </c>
      <c r="E67" s="343" t="str">
        <f>IFERROR(__xludf.DUMMYFUNCTION("IFERROR(REGEXEXTRACT(XLOOKUP(B67, 'RC IN'!$E$8:$E$1013, 'RC IN'!$D$8:$D$1013, """"), "" - (.*)""), """")"),"")</f>
        <v/>
      </c>
      <c r="F67" s="332" t="str">
        <f t="shared" si="2"/>
        <v/>
      </c>
      <c r="G67" s="344" t="str">
        <f t="array" ref="G67">XLOOKUP(E67, RC_IN[BLOCK], RC_IN[BLOCK LOC], "")</f>
        <v/>
      </c>
      <c r="H67" s="345" t="str">
        <f>IF(B67="","", sumifs(RC_IN[WT],RC_IN[BLOCK],B67))</f>
        <v/>
      </c>
      <c r="I67" s="346" t="str">
        <f>IF(E67="","", sumifs(RC_IN[WT],RC_IN[BLOCK],E67))</f>
        <v/>
      </c>
      <c r="J67" s="347" t="str">
        <f>IFERROR(sumifs(RC_IN[WTD MC],RC_IN[BLOCK],B67)/H67,"")
</f>
        <v/>
      </c>
      <c r="K67" s="348" t="str">
        <f>IFERROR(sumifs(RC_IN[WTD MC],RC_IN[BLOCK],E67)/I67,"")</f>
        <v/>
      </c>
      <c r="L67" s="338">
        <f t="shared" si="3"/>
        <v>0</v>
      </c>
      <c r="M67" s="339" t="str">
        <f t="shared" si="5"/>
        <v/>
      </c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</row>
    <row r="68" ht="13.5" customHeight="1">
      <c r="A68" s="340" t="str">
        <f t="array" ref="A68">IF(E68="", "", IF(XLOOKUP(E68, 'RC IN'!$E$7:$E$1013, 'RC IN'!$A$7:$A$1013, "")="CLOSED", "SUNDRIED", "IN-PROGRESS"))</f>
        <v/>
      </c>
      <c r="B68" s="341"/>
      <c r="C68" s="329" t="str">
        <f>IFERROR(__xludf.DUMMYFUNCTION("IF(E68="""", """", IFERROR(TEXTJOIN("", "", TRUE, UNIQUE(FILTER('RC IN'!$D$10:$D$9999, 'RC IN'!$E$10:$E$9999=E68))), """"))"),"")</f>
        <v/>
      </c>
      <c r="D68" s="342" t="str">
        <f t="array" ref="D68">XLOOKUP(B68, 'RC IN'!$E$8:$E$1013, 'RC IN'!$F$8:$F$1013, "")</f>
        <v/>
      </c>
      <c r="E68" s="343" t="str">
        <f>IFERROR(__xludf.DUMMYFUNCTION("IFERROR(REGEXEXTRACT(XLOOKUP(B68, 'RC IN'!$E$8:$E$1013, 'RC IN'!$D$8:$D$1013, """"), "" - (.*)""), """")"),"")</f>
        <v/>
      </c>
      <c r="F68" s="332" t="str">
        <f t="shared" si="2"/>
        <v/>
      </c>
      <c r="G68" s="344" t="str">
        <f t="array" ref="G68">XLOOKUP(E68, RC_IN[BLOCK], RC_IN[BLOCK LOC], "")</f>
        <v/>
      </c>
      <c r="H68" s="345" t="str">
        <f>IF(B68="","", sumifs(RC_IN[WT],RC_IN[BLOCK],B68))</f>
        <v/>
      </c>
      <c r="I68" s="346" t="str">
        <f>IF(E68="","", sumifs(RC_IN[WT],RC_IN[BLOCK],E68))</f>
        <v/>
      </c>
      <c r="J68" s="347" t="str">
        <f>IFERROR(sumifs(RC_IN[WTD MC],RC_IN[BLOCK],B68)/H68,"")
</f>
        <v/>
      </c>
      <c r="K68" s="348" t="str">
        <f>IFERROR(sumifs(RC_IN[WTD MC],RC_IN[BLOCK],E68)/I68,"")</f>
        <v/>
      </c>
      <c r="L68" s="338">
        <f t="shared" si="3"/>
        <v>0</v>
      </c>
      <c r="M68" s="339" t="str">
        <f t="shared" si="5"/>
        <v/>
      </c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</row>
    <row r="69" ht="13.5" customHeight="1">
      <c r="A69" s="340" t="str">
        <f t="array" ref="A69">IF(E69="", "", IF(XLOOKUP(E69, 'RC IN'!$E$7:$E$1013, 'RC IN'!$A$7:$A$1013, "")="CLOSED", "SUNDRIED", "IN-PROGRESS"))</f>
        <v/>
      </c>
      <c r="B69" s="341"/>
      <c r="C69" s="329" t="str">
        <f>IFERROR(__xludf.DUMMYFUNCTION("IF(E69="""", """", IFERROR(TEXTJOIN("", "", TRUE, UNIQUE(FILTER('RC IN'!$D$10:$D$9999, 'RC IN'!$E$10:$E$9999=E69))), """"))"),"")</f>
        <v/>
      </c>
      <c r="D69" s="342" t="str">
        <f t="array" ref="D69">XLOOKUP(B69, 'RC IN'!$E$8:$E$1013, 'RC IN'!$F$8:$F$1013, "")</f>
        <v/>
      </c>
      <c r="E69" s="343" t="str">
        <f>IFERROR(__xludf.DUMMYFUNCTION("IFERROR(REGEXEXTRACT(XLOOKUP(B69, 'RC IN'!$E$8:$E$1013, 'RC IN'!$D$8:$D$1013, """"), "" - (.*)""), """")"),"")</f>
        <v/>
      </c>
      <c r="F69" s="332" t="str">
        <f t="shared" si="2"/>
        <v/>
      </c>
      <c r="G69" s="344" t="str">
        <f t="array" ref="G69">XLOOKUP(E69, RC_IN[BLOCK], RC_IN[BLOCK LOC], "")</f>
        <v/>
      </c>
      <c r="H69" s="345" t="str">
        <f>IF(B69="","", sumifs(RC_IN[WT],RC_IN[BLOCK],B69))</f>
        <v/>
      </c>
      <c r="I69" s="346" t="str">
        <f>IF(E69="","", sumifs(RC_IN[WT],RC_IN[BLOCK],E69))</f>
        <v/>
      </c>
      <c r="J69" s="347" t="str">
        <f>IFERROR(sumifs(RC_IN[WTD MC],RC_IN[BLOCK],B69)/H69,"")
</f>
        <v/>
      </c>
      <c r="K69" s="348" t="str">
        <f>IFERROR(sumifs(RC_IN[WTD MC],RC_IN[BLOCK],E69)/I69,"")</f>
        <v/>
      </c>
      <c r="L69" s="338">
        <f t="shared" si="3"/>
        <v>0</v>
      </c>
      <c r="M69" s="339" t="str">
        <f t="shared" si="5"/>
        <v/>
      </c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</row>
    <row r="70" ht="13.5" customHeight="1">
      <c r="A70" s="340" t="str">
        <f t="array" ref="A70">IF(E70="", "", IF(XLOOKUP(E70, 'RC IN'!$E$7:$E$1013, 'RC IN'!$A$7:$A$1013, "")="CLOSED", "SUNDRIED", "IN-PROGRESS"))</f>
        <v/>
      </c>
      <c r="B70" s="341"/>
      <c r="C70" s="329" t="str">
        <f>IFERROR(__xludf.DUMMYFUNCTION("IF(E70="""", """", IFERROR(TEXTJOIN("", "", TRUE, UNIQUE(FILTER('RC IN'!$D$10:$D$9999, 'RC IN'!$E$10:$E$9999=E70))), """"))"),"")</f>
        <v/>
      </c>
      <c r="D70" s="342" t="str">
        <f t="array" ref="D70">XLOOKUP(B70, 'RC IN'!$E$8:$E$1013, 'RC IN'!$F$8:$F$1013, "")</f>
        <v/>
      </c>
      <c r="E70" s="343" t="str">
        <f>IFERROR(__xludf.DUMMYFUNCTION("IFERROR(REGEXEXTRACT(XLOOKUP(B70, 'RC IN'!$E$8:$E$1013, 'RC IN'!$D$8:$D$1013, """"), "" - (.*)""), """")"),"")</f>
        <v/>
      </c>
      <c r="F70" s="332" t="str">
        <f t="shared" si="2"/>
        <v/>
      </c>
      <c r="G70" s="344" t="str">
        <f t="array" ref="G70">XLOOKUP(E70, RC_IN[BLOCK], RC_IN[BLOCK LOC], "")</f>
        <v/>
      </c>
      <c r="H70" s="345" t="str">
        <f>IF(B70="","", sumifs(RC_IN[WT],RC_IN[BLOCK],B70))</f>
        <v/>
      </c>
      <c r="I70" s="346" t="str">
        <f>IF(E70="","", sumifs(RC_IN[WT],RC_IN[BLOCK],E70))</f>
        <v/>
      </c>
      <c r="J70" s="347" t="str">
        <f>IFERROR(sumifs(RC_IN[WTD MC],RC_IN[BLOCK],B70)/H70,"")
</f>
        <v/>
      </c>
      <c r="K70" s="348" t="str">
        <f>IFERROR(sumifs(RC_IN[WTD MC],RC_IN[BLOCK],E70)/I70,"")</f>
        <v/>
      </c>
      <c r="L70" s="338">
        <f t="shared" si="3"/>
        <v>0</v>
      </c>
      <c r="M70" s="339" t="str">
        <f t="shared" si="5"/>
        <v/>
      </c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</row>
    <row r="71" ht="13.5" customHeight="1">
      <c r="A71" s="340" t="str">
        <f t="array" ref="A71">IF(E71="", "", IF(XLOOKUP(E71, 'RC IN'!$E$7:$E$1013, 'RC IN'!$A$7:$A$1013, "")="CLOSED", "SUNDRIED", "IN-PROGRESS"))</f>
        <v/>
      </c>
      <c r="B71" s="341"/>
      <c r="C71" s="329" t="str">
        <f>IFERROR(__xludf.DUMMYFUNCTION("IF(E71="""", """", IFERROR(TEXTJOIN("", "", TRUE, UNIQUE(FILTER('RC IN'!$D$10:$D$9999, 'RC IN'!$E$10:$E$9999=E71))), """"))"),"")</f>
        <v/>
      </c>
      <c r="D71" s="342" t="str">
        <f t="array" ref="D71">XLOOKUP(B71, 'RC IN'!$E$8:$E$1013, 'RC IN'!$F$8:$F$1013, "")</f>
        <v/>
      </c>
      <c r="E71" s="343" t="str">
        <f>IFERROR(__xludf.DUMMYFUNCTION("IFERROR(REGEXEXTRACT(XLOOKUP(B71, 'RC IN'!$E$8:$E$1013, 'RC IN'!$D$8:$D$1013, """"), "" - (.*)""), """")"),"")</f>
        <v/>
      </c>
      <c r="F71" s="332" t="str">
        <f t="shared" si="2"/>
        <v/>
      </c>
      <c r="G71" s="344" t="str">
        <f t="array" ref="G71">XLOOKUP(E71, RC_IN[BLOCK], RC_IN[BLOCK LOC], "")</f>
        <v/>
      </c>
      <c r="H71" s="345" t="str">
        <f>IF(B71="","", sumifs(RC_IN[WT],RC_IN[BLOCK],B71))</f>
        <v/>
      </c>
      <c r="I71" s="346" t="str">
        <f>IF(E71="","", sumifs(RC_IN[WT],RC_IN[BLOCK],E71))</f>
        <v/>
      </c>
      <c r="J71" s="347" t="str">
        <f>IFERROR(sumifs(RC_IN[WTD MC],RC_IN[BLOCK],B71)/H71,"")
</f>
        <v/>
      </c>
      <c r="K71" s="348" t="str">
        <f>IFERROR(sumifs(RC_IN[WTD MC],RC_IN[BLOCK],E71)/I71,"")</f>
        <v/>
      </c>
      <c r="L71" s="338">
        <f t="shared" si="3"/>
        <v>0</v>
      </c>
      <c r="M71" s="339" t="str">
        <f t="shared" si="5"/>
        <v/>
      </c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</row>
    <row r="72" ht="13.5" customHeight="1">
      <c r="A72" s="340" t="str">
        <f t="array" ref="A72">IF(E72="", "", IF(XLOOKUP(E72, 'RC IN'!$E$7:$E$1013, 'RC IN'!$A$7:$A$1013, "")="CLOSED", "SUNDRIED", "IN-PROGRESS"))</f>
        <v/>
      </c>
      <c r="B72" s="341"/>
      <c r="C72" s="329" t="str">
        <f>IFERROR(__xludf.DUMMYFUNCTION("IF(E72="""", """", IFERROR(TEXTJOIN("", "", TRUE, UNIQUE(FILTER('RC IN'!$D$10:$D$9999, 'RC IN'!$E$10:$E$9999=E72))), """"))"),"")</f>
        <v/>
      </c>
      <c r="D72" s="342" t="str">
        <f t="array" ref="D72">XLOOKUP(B72, 'RC IN'!$E$8:$E$1013, 'RC IN'!$F$8:$F$1013, "")</f>
        <v/>
      </c>
      <c r="E72" s="343" t="str">
        <f>IFERROR(__xludf.DUMMYFUNCTION("IFERROR(REGEXEXTRACT(XLOOKUP(B72, 'RC IN'!$E$8:$E$1013, 'RC IN'!$D$8:$D$1013, """"), "" - (.*)""), """")"),"")</f>
        <v/>
      </c>
      <c r="F72" s="332" t="str">
        <f t="shared" si="2"/>
        <v/>
      </c>
      <c r="G72" s="344" t="str">
        <f t="array" ref="G72">XLOOKUP(E72, RC_IN[BLOCK], RC_IN[BLOCK LOC], "")</f>
        <v/>
      </c>
      <c r="H72" s="345" t="str">
        <f>IF(B72="","", sumifs(RC_IN[WT],RC_IN[BLOCK],B72))</f>
        <v/>
      </c>
      <c r="I72" s="346" t="str">
        <f>IF(E72="","", sumifs(RC_IN[WT],RC_IN[BLOCK],E72))</f>
        <v/>
      </c>
      <c r="J72" s="347" t="str">
        <f>IFERROR(sumifs(RC_IN[WTD MC],RC_IN[BLOCK],B72)/H72,"")
</f>
        <v/>
      </c>
      <c r="K72" s="348" t="str">
        <f>IFERROR(sumifs(RC_IN[WTD MC],RC_IN[BLOCK],E72)/I72,"")</f>
        <v/>
      </c>
      <c r="L72" s="338">
        <f t="shared" si="3"/>
        <v>0</v>
      </c>
      <c r="M72" s="339" t="str">
        <f t="shared" si="5"/>
        <v/>
      </c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</row>
    <row r="73" ht="13.5" customHeight="1">
      <c r="A73" s="340" t="str">
        <f t="array" ref="A73">IF(E73="", "", IF(XLOOKUP(E73, 'RC IN'!$E$7:$E$1013, 'RC IN'!$A$7:$A$1013, "")="CLOSED", "SUNDRIED", "IN-PROGRESS"))</f>
        <v/>
      </c>
      <c r="B73" s="341"/>
      <c r="C73" s="329" t="str">
        <f>IFERROR(__xludf.DUMMYFUNCTION("IF(E73="""", """", IFERROR(TEXTJOIN("", "", TRUE, UNIQUE(FILTER('RC IN'!$D$10:$D$9999, 'RC IN'!$E$10:$E$9999=E73))), """"))"),"")</f>
        <v/>
      </c>
      <c r="D73" s="342" t="str">
        <f t="array" ref="D73">XLOOKUP(B73, 'RC IN'!$E$8:$E$1013, 'RC IN'!$F$8:$F$1013, "")</f>
        <v/>
      </c>
      <c r="E73" s="343" t="str">
        <f>IFERROR(__xludf.DUMMYFUNCTION("IFERROR(REGEXEXTRACT(XLOOKUP(B73, 'RC IN'!$E$8:$E$1013, 'RC IN'!$D$8:$D$1013, """"), "" - (.*)""), """")"),"")</f>
        <v/>
      </c>
      <c r="F73" s="332" t="str">
        <f t="shared" si="2"/>
        <v/>
      </c>
      <c r="G73" s="344" t="str">
        <f t="array" ref="G73">XLOOKUP(E73, RC_IN[BLOCK], RC_IN[BLOCK LOC], "")</f>
        <v/>
      </c>
      <c r="H73" s="345" t="str">
        <f>IF(B73="","", sumifs(RC_IN[WT],RC_IN[BLOCK],B73))</f>
        <v/>
      </c>
      <c r="I73" s="346" t="str">
        <f>IF(E73="","", sumifs(RC_IN[WT],RC_IN[BLOCK],E73))</f>
        <v/>
      </c>
      <c r="J73" s="347" t="str">
        <f>IFERROR(sumifs(RC_IN[WTD MC],RC_IN[BLOCK],B73)/H73,"")
</f>
        <v/>
      </c>
      <c r="K73" s="348" t="str">
        <f>IFERROR(sumifs(RC_IN[WTD MC],RC_IN[BLOCK],E73)/I73,"")</f>
        <v/>
      </c>
      <c r="L73" s="338">
        <f t="shared" si="3"/>
        <v>0</v>
      </c>
      <c r="M73" s="339" t="str">
        <f t="shared" si="5"/>
        <v/>
      </c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</row>
    <row r="74" ht="13.5" customHeight="1">
      <c r="A74" s="340" t="str">
        <f t="array" ref="A74">IF(E74="", "", IF(XLOOKUP(E74, 'RC IN'!$E$7:$E$1013, 'RC IN'!$A$7:$A$1013, "")="CLOSED", "SUNDRIED", "IN-PROGRESS"))</f>
        <v/>
      </c>
      <c r="B74" s="341"/>
      <c r="C74" s="329" t="str">
        <f>IFERROR(__xludf.DUMMYFUNCTION("IF(E74="""", """", IFERROR(TEXTJOIN("", "", TRUE, UNIQUE(FILTER('RC IN'!$D$10:$D$9999, 'RC IN'!$E$10:$E$9999=E74))), """"))"),"")</f>
        <v/>
      </c>
      <c r="D74" s="342" t="str">
        <f t="array" ref="D74">XLOOKUP(B74, 'RC IN'!$E$8:$E$1013, 'RC IN'!$F$8:$F$1013, "")</f>
        <v/>
      </c>
      <c r="E74" s="343" t="str">
        <f>IFERROR(__xludf.DUMMYFUNCTION("IFERROR(REGEXEXTRACT(XLOOKUP(B74, 'RC IN'!$E$8:$E$1013, 'RC IN'!$D$8:$D$1013, """"), "" - (.*)""), """")"),"")</f>
        <v/>
      </c>
      <c r="F74" s="332" t="str">
        <f t="shared" si="2"/>
        <v/>
      </c>
      <c r="G74" s="344" t="str">
        <f t="array" ref="G74">XLOOKUP(E74, RC_IN[BLOCK], RC_IN[BLOCK LOC], "")</f>
        <v/>
      </c>
      <c r="H74" s="345" t="str">
        <f>IF(B74="","", sumifs(RC_IN[WT],RC_IN[BLOCK],B74))</f>
        <v/>
      </c>
      <c r="I74" s="346" t="str">
        <f>IF(E74="","", sumifs(RC_IN[WT],RC_IN[BLOCK],E74))</f>
        <v/>
      </c>
      <c r="J74" s="347" t="str">
        <f>IFERROR(sumifs(RC_IN[WTD MC],RC_IN[BLOCK],B74)/H74,"")
</f>
        <v/>
      </c>
      <c r="K74" s="348" t="str">
        <f>IFERROR(sumifs(RC_IN[WTD MC],RC_IN[BLOCK],E74)/I74,"")</f>
        <v/>
      </c>
      <c r="L74" s="338">
        <f t="shared" si="3"/>
        <v>0</v>
      </c>
      <c r="M74" s="339" t="str">
        <f t="shared" si="5"/>
        <v/>
      </c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</row>
    <row r="75" ht="13.5" customHeight="1">
      <c r="A75" s="340" t="str">
        <f t="array" ref="A75">IF(E75="", "", IF(XLOOKUP(E75, 'RC IN'!$E$7:$E$1013, 'RC IN'!$A$7:$A$1013, "")="CLOSED", "SUNDRIED", "IN-PROGRESS"))</f>
        <v/>
      </c>
      <c r="B75" s="341"/>
      <c r="C75" s="329" t="str">
        <f>IFERROR(__xludf.DUMMYFUNCTION("IF(E75="""", """", IFERROR(TEXTJOIN("", "", TRUE, UNIQUE(FILTER('RC IN'!$D$10:$D$9999, 'RC IN'!$E$10:$E$9999=E75))), """"))"),"")</f>
        <v/>
      </c>
      <c r="D75" s="342" t="str">
        <f t="array" ref="D75">XLOOKUP(B75, 'RC IN'!$E$8:$E$1013, 'RC IN'!$F$8:$F$1013, "")</f>
        <v/>
      </c>
      <c r="E75" s="343" t="str">
        <f>IFERROR(__xludf.DUMMYFUNCTION("IFERROR(REGEXEXTRACT(XLOOKUP(B75, 'RC IN'!$E$8:$E$1013, 'RC IN'!$D$8:$D$1013, """"), "" - (.*)""), """")"),"")</f>
        <v/>
      </c>
      <c r="F75" s="332" t="str">
        <f t="shared" si="2"/>
        <v/>
      </c>
      <c r="G75" s="344" t="str">
        <f t="array" ref="G75">XLOOKUP(E75, RC_IN[BLOCK], RC_IN[BLOCK LOC], "")</f>
        <v/>
      </c>
      <c r="H75" s="345" t="str">
        <f>IF(B75="","", sumifs(RC_IN[WT],RC_IN[BLOCK],B75))</f>
        <v/>
      </c>
      <c r="I75" s="346" t="str">
        <f>IF(E75="","", sumifs(RC_IN[WT],RC_IN[BLOCK],E75))</f>
        <v/>
      </c>
      <c r="J75" s="347" t="str">
        <f>IFERROR(sumifs(RC_IN[WTD MC],RC_IN[BLOCK],B75)/H75,"")
</f>
        <v/>
      </c>
      <c r="K75" s="348" t="str">
        <f>IFERROR(sumifs(RC_IN[WTD MC],RC_IN[BLOCK],E75)/I75,"")</f>
        <v/>
      </c>
      <c r="L75" s="338">
        <f t="shared" si="3"/>
        <v>0</v>
      </c>
      <c r="M75" s="339" t="str">
        <f t="shared" si="5"/>
        <v/>
      </c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</row>
    <row r="76" ht="13.5" customHeight="1">
      <c r="A76" s="340" t="str">
        <f t="array" ref="A76">IF(E76="", "", IF(XLOOKUP(E76, 'RC IN'!$E$7:$E$1013, 'RC IN'!$A$7:$A$1013, "")="CLOSED", "SUNDRIED", "IN-PROGRESS"))</f>
        <v/>
      </c>
      <c r="B76" s="341"/>
      <c r="C76" s="329" t="str">
        <f>IFERROR(__xludf.DUMMYFUNCTION("IF(E76="""", """", IFERROR(TEXTJOIN("", "", TRUE, UNIQUE(FILTER('RC IN'!$D$10:$D$9999, 'RC IN'!$E$10:$E$9999=E76))), """"))"),"")</f>
        <v/>
      </c>
      <c r="D76" s="342" t="str">
        <f t="array" ref="D76">XLOOKUP(B76, 'RC IN'!$E$8:$E$1013, 'RC IN'!$F$8:$F$1013, "")</f>
        <v/>
      </c>
      <c r="E76" s="343" t="str">
        <f>IFERROR(__xludf.DUMMYFUNCTION("IFERROR(REGEXEXTRACT(XLOOKUP(B76, 'RC IN'!$E$8:$E$1013, 'RC IN'!$D$8:$D$1013, """"), "" - (.*)""), """")"),"")</f>
        <v/>
      </c>
      <c r="F76" s="332" t="str">
        <f t="shared" si="2"/>
        <v/>
      </c>
      <c r="G76" s="344" t="str">
        <f t="array" ref="G76">XLOOKUP(E76, RC_IN[BLOCK], RC_IN[BLOCK LOC], "")</f>
        <v/>
      </c>
      <c r="H76" s="345" t="str">
        <f>IF(B76="","", sumifs(RC_IN[WT],RC_IN[BLOCK],B76))</f>
        <v/>
      </c>
      <c r="I76" s="346" t="str">
        <f>IF(E76="","", sumifs(RC_IN[WT],RC_IN[BLOCK],E76))</f>
        <v/>
      </c>
      <c r="J76" s="347" t="str">
        <f>IFERROR(sumifs(RC_IN[WTD MC],RC_IN[BLOCK],B76)/H76,"")
</f>
        <v/>
      </c>
      <c r="K76" s="348" t="str">
        <f>IFERROR(sumifs(RC_IN[WTD MC],RC_IN[BLOCK],E76)/I76,"")</f>
        <v/>
      </c>
      <c r="L76" s="338">
        <f t="shared" si="3"/>
        <v>0</v>
      </c>
      <c r="M76" s="339" t="str">
        <f t="shared" si="5"/>
        <v/>
      </c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</row>
    <row r="77" ht="13.5" customHeight="1">
      <c r="A77" s="340" t="str">
        <f t="array" ref="A77">IF(E77="", "", IF(XLOOKUP(E77, 'RC IN'!$E$7:$E$1013, 'RC IN'!$A$7:$A$1013, "")="CLOSED", "SUNDRIED", "IN-PROGRESS"))</f>
        <v/>
      </c>
      <c r="B77" s="341"/>
      <c r="C77" s="329" t="str">
        <f>IFERROR(__xludf.DUMMYFUNCTION("IF(E77="""", """", IFERROR(TEXTJOIN("", "", TRUE, UNIQUE(FILTER('RC IN'!$D$10:$D$9999, 'RC IN'!$E$10:$E$9999=E77))), """"))"),"")</f>
        <v/>
      </c>
      <c r="D77" s="342" t="str">
        <f t="array" ref="D77">XLOOKUP(B77, 'RC IN'!$E$8:$E$1013, 'RC IN'!$F$8:$F$1013, "")</f>
        <v/>
      </c>
      <c r="E77" s="343" t="str">
        <f>IFERROR(__xludf.DUMMYFUNCTION("IFERROR(REGEXEXTRACT(XLOOKUP(B77, 'RC IN'!$E$8:$E$1013, 'RC IN'!$D$8:$D$1013, """"), "" - (.*)""), """")"),"")</f>
        <v/>
      </c>
      <c r="F77" s="332" t="str">
        <f t="shared" si="2"/>
        <v/>
      </c>
      <c r="G77" s="344" t="str">
        <f t="array" ref="G77">XLOOKUP(E77, RC_IN[BLOCK], RC_IN[BLOCK LOC], "")</f>
        <v/>
      </c>
      <c r="H77" s="345" t="str">
        <f>IF(B77="","", sumifs(RC_IN[WT],RC_IN[BLOCK],B77))</f>
        <v/>
      </c>
      <c r="I77" s="346" t="str">
        <f>IF(E77="","", sumifs(RC_IN[WT],RC_IN[BLOCK],E77))</f>
        <v/>
      </c>
      <c r="J77" s="347" t="str">
        <f>IFERROR(sumifs(RC_IN[WTD MC],RC_IN[BLOCK],B77)/H77,"")
</f>
        <v/>
      </c>
      <c r="K77" s="348" t="str">
        <f>IFERROR(sumifs(RC_IN[WTD MC],RC_IN[BLOCK],E77)/I77,"")</f>
        <v/>
      </c>
      <c r="L77" s="338">
        <f t="shared" si="3"/>
        <v>0</v>
      </c>
      <c r="M77" s="339" t="str">
        <f t="shared" si="5"/>
        <v/>
      </c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</row>
    <row r="78" ht="13.5" customHeight="1">
      <c r="A78" s="340" t="str">
        <f t="array" ref="A78">IF(E78="", "", IF(XLOOKUP(E78, 'RC IN'!$E$7:$E$1013, 'RC IN'!$A$7:$A$1013, "")="CLOSED", "SUNDRIED", "IN-PROGRESS"))</f>
        <v/>
      </c>
      <c r="B78" s="341"/>
      <c r="C78" s="329" t="str">
        <f>IFERROR(__xludf.DUMMYFUNCTION("IF(E78="""", """", IFERROR(TEXTJOIN("", "", TRUE, UNIQUE(FILTER('RC IN'!$D$10:$D$9999, 'RC IN'!$E$10:$E$9999=E78))), """"))"),"")</f>
        <v/>
      </c>
      <c r="D78" s="342" t="str">
        <f t="array" ref="D78">XLOOKUP(B78, 'RC IN'!$E$8:$E$1013, 'RC IN'!$F$8:$F$1013, "")</f>
        <v/>
      </c>
      <c r="E78" s="343" t="str">
        <f>IFERROR(__xludf.DUMMYFUNCTION("IFERROR(REGEXEXTRACT(XLOOKUP(B78, 'RC IN'!$E$8:$E$1013, 'RC IN'!$D$8:$D$1013, """"), "" - (.*)""), """")"),"")</f>
        <v/>
      </c>
      <c r="F78" s="332" t="str">
        <f t="shared" si="2"/>
        <v/>
      </c>
      <c r="G78" s="344" t="str">
        <f t="array" ref="G78">XLOOKUP(E78, RC_IN[BLOCK], RC_IN[BLOCK LOC], "")</f>
        <v/>
      </c>
      <c r="H78" s="345" t="str">
        <f>IF(B78="","", sumifs(RC_IN[WT],RC_IN[BLOCK],B78))</f>
        <v/>
      </c>
      <c r="I78" s="346" t="str">
        <f>IF(E78="","", sumifs(RC_IN[WT],RC_IN[BLOCK],E78))</f>
        <v/>
      </c>
      <c r="J78" s="347" t="str">
        <f>IFERROR(sumifs(RC_IN[WTD MC],RC_IN[BLOCK],B78)/H78,"")
</f>
        <v/>
      </c>
      <c r="K78" s="348" t="str">
        <f>IFERROR(sumifs(RC_IN[WTD MC],RC_IN[BLOCK],E78)/I78,"")</f>
        <v/>
      </c>
      <c r="L78" s="338">
        <f t="shared" si="3"/>
        <v>0</v>
      </c>
      <c r="M78" s="339" t="str">
        <f t="shared" si="5"/>
        <v/>
      </c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</row>
    <row r="79" ht="13.5" customHeight="1">
      <c r="A79" s="340" t="str">
        <f t="array" ref="A79">IF(E79="", "", IF(XLOOKUP(E79, 'RC IN'!$E$7:$E$1013, 'RC IN'!$A$7:$A$1013, "")="CLOSED", "SUNDRIED", "IN-PROGRESS"))</f>
        <v/>
      </c>
      <c r="B79" s="341"/>
      <c r="C79" s="329" t="str">
        <f>IFERROR(__xludf.DUMMYFUNCTION("IF(E79="""", """", IFERROR(TEXTJOIN("", "", TRUE, UNIQUE(FILTER('RC IN'!$D$10:$D$9999, 'RC IN'!$E$10:$E$9999=E79))), """"))"),"")</f>
        <v/>
      </c>
      <c r="D79" s="342" t="str">
        <f t="array" ref="D79">XLOOKUP(B79, 'RC IN'!$E$8:$E$1013, 'RC IN'!$F$8:$F$1013, "")</f>
        <v/>
      </c>
      <c r="E79" s="343" t="str">
        <f>IFERROR(__xludf.DUMMYFUNCTION("IFERROR(REGEXEXTRACT(XLOOKUP(B79, 'RC IN'!$E$8:$E$1013, 'RC IN'!$D$8:$D$1013, """"), "" - (.*)""), """")"),"")</f>
        <v/>
      </c>
      <c r="F79" s="332" t="str">
        <f t="shared" si="2"/>
        <v/>
      </c>
      <c r="G79" s="344" t="str">
        <f t="array" ref="G79">XLOOKUP(E79, RC_IN[BLOCK], RC_IN[BLOCK LOC], "")</f>
        <v/>
      </c>
      <c r="H79" s="345" t="str">
        <f>IF(B79="","", sumifs(RC_IN[WT],RC_IN[BLOCK],B79))</f>
        <v/>
      </c>
      <c r="I79" s="346" t="str">
        <f>IF(E79="","", sumifs(RC_IN[WT],RC_IN[BLOCK],E79))</f>
        <v/>
      </c>
      <c r="J79" s="347" t="str">
        <f>IFERROR(sumifs(RC_IN[WTD MC],RC_IN[BLOCK],B79)/H79,"")
</f>
        <v/>
      </c>
      <c r="K79" s="348" t="str">
        <f>IFERROR(sumifs(RC_IN[WTD MC],RC_IN[BLOCK],E79)/I79,"")</f>
        <v/>
      </c>
      <c r="L79" s="338">
        <f t="shared" si="3"/>
        <v>0</v>
      </c>
      <c r="M79" s="339" t="str">
        <f t="shared" si="5"/>
        <v/>
      </c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</row>
    <row r="80" ht="13.5" customHeight="1">
      <c r="A80" s="340" t="str">
        <f t="array" ref="A80">IF(E80="", "", IF(XLOOKUP(E80, 'RC IN'!$E$7:$E$1013, 'RC IN'!$A$7:$A$1013, "")="CLOSED", "SUNDRIED", "IN-PROGRESS"))</f>
        <v/>
      </c>
      <c r="B80" s="341"/>
      <c r="C80" s="329" t="str">
        <f>IFERROR(__xludf.DUMMYFUNCTION("IF(E80="""", """", IFERROR(TEXTJOIN("", "", TRUE, UNIQUE(FILTER('RC IN'!$D$10:$D$9999, 'RC IN'!$E$10:$E$9999=E80))), """"))"),"")</f>
        <v/>
      </c>
      <c r="D80" s="342" t="str">
        <f t="array" ref="D80">XLOOKUP(B80, 'RC IN'!$E$8:$E$1013, 'RC IN'!$F$8:$F$1013, "")</f>
        <v/>
      </c>
      <c r="E80" s="343" t="str">
        <f>IFERROR(__xludf.DUMMYFUNCTION("IFERROR(REGEXEXTRACT(XLOOKUP(B80, 'RC IN'!$E$8:$E$1013, 'RC IN'!$D$8:$D$1013, """"), "" - (.*)""), """")"),"")</f>
        <v/>
      </c>
      <c r="F80" s="332" t="str">
        <f t="shared" si="2"/>
        <v/>
      </c>
      <c r="G80" s="344" t="str">
        <f t="array" ref="G80">XLOOKUP(E80, RC_IN[BLOCK], RC_IN[BLOCK LOC], "")</f>
        <v/>
      </c>
      <c r="H80" s="345" t="str">
        <f>IF(B80="","", sumifs(RC_IN[WT],RC_IN[BLOCK],B80))</f>
        <v/>
      </c>
      <c r="I80" s="346" t="str">
        <f>IF(E80="","", sumifs(RC_IN[WT],RC_IN[BLOCK],E80))</f>
        <v/>
      </c>
      <c r="J80" s="347" t="str">
        <f>IFERROR(sumifs(RC_IN[WTD MC],RC_IN[BLOCK],B80)/H80,"")
</f>
        <v/>
      </c>
      <c r="K80" s="348" t="str">
        <f>IFERROR(sumifs(RC_IN[WTD MC],RC_IN[BLOCK],E80)/I80,"")</f>
        <v/>
      </c>
      <c r="L80" s="338">
        <f t="shared" si="3"/>
        <v>0</v>
      </c>
      <c r="M80" s="339" t="str">
        <f t="shared" si="5"/>
        <v/>
      </c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</row>
    <row r="81" ht="13.5" customHeight="1">
      <c r="A81" s="340" t="str">
        <f t="array" ref="A81">IF(E81="", "", IF(XLOOKUP(E81, 'RC IN'!$E$7:$E$1013, 'RC IN'!$A$7:$A$1013, "")="CLOSED", "SUNDRIED", "IN-PROGRESS"))</f>
        <v/>
      </c>
      <c r="B81" s="341"/>
      <c r="C81" s="329" t="str">
        <f>IFERROR(__xludf.DUMMYFUNCTION("IF(E81="""", """", IFERROR(TEXTJOIN("", "", TRUE, UNIQUE(FILTER('RC IN'!$D$10:$D$9999, 'RC IN'!$E$10:$E$9999=E81))), """"))"),"")</f>
        <v/>
      </c>
      <c r="D81" s="342" t="str">
        <f t="array" ref="D81">XLOOKUP(B81, 'RC IN'!$E$8:$E$1013, 'RC IN'!$F$8:$F$1013, "")</f>
        <v/>
      </c>
      <c r="E81" s="343" t="str">
        <f>IFERROR(__xludf.DUMMYFUNCTION("IFERROR(REGEXEXTRACT(XLOOKUP(B81, 'RC IN'!$E$8:$E$1013, 'RC IN'!$D$8:$D$1013, """"), "" - (.*)""), """")"),"")</f>
        <v/>
      </c>
      <c r="F81" s="332" t="str">
        <f t="shared" si="2"/>
        <v/>
      </c>
      <c r="G81" s="344" t="str">
        <f t="array" ref="G81">XLOOKUP(E81, RC_IN[BLOCK], RC_IN[BLOCK LOC], "")</f>
        <v/>
      </c>
      <c r="H81" s="345" t="str">
        <f>IF(B81="","", sumifs(RC_IN[WT],RC_IN[BLOCK],B81))</f>
        <v/>
      </c>
      <c r="I81" s="346" t="str">
        <f>IF(E81="","", sumifs(RC_IN[WT],RC_IN[BLOCK],E81))</f>
        <v/>
      </c>
      <c r="J81" s="347" t="str">
        <f>IFERROR(sumifs(RC_IN[WTD MC],RC_IN[BLOCK],B81)/H81,"")
</f>
        <v/>
      </c>
      <c r="K81" s="348" t="str">
        <f>IFERROR(sumifs(RC_IN[WTD MC],RC_IN[BLOCK],E81)/I81,"")</f>
        <v/>
      </c>
      <c r="L81" s="338">
        <f t="shared" si="3"/>
        <v>0</v>
      </c>
      <c r="M81" s="339" t="str">
        <f t="shared" si="5"/>
        <v/>
      </c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</row>
    <row r="82" ht="13.5" customHeight="1">
      <c r="A82" s="340" t="str">
        <f t="array" ref="A82">IF(E82="", "", IF(XLOOKUP(E82, 'RC IN'!$E$7:$E$1013, 'RC IN'!$A$7:$A$1013, "")="CLOSED", "SUNDRIED", "IN-PROGRESS"))</f>
        <v/>
      </c>
      <c r="B82" s="341"/>
      <c r="C82" s="329" t="str">
        <f>IFERROR(__xludf.DUMMYFUNCTION("IF(E82="""", """", IFERROR(TEXTJOIN("", "", TRUE, UNIQUE(FILTER('RC IN'!$D$10:$D$9999, 'RC IN'!$E$10:$E$9999=E82))), """"))"),"")</f>
        <v/>
      </c>
      <c r="D82" s="342" t="str">
        <f t="array" ref="D82">XLOOKUP(B82, 'RC IN'!$E$8:$E$1013, 'RC IN'!$F$8:$F$1013, "")</f>
        <v/>
      </c>
      <c r="E82" s="343" t="str">
        <f>IFERROR(__xludf.DUMMYFUNCTION("IFERROR(REGEXEXTRACT(XLOOKUP(B82, 'RC IN'!$E$8:$E$1013, 'RC IN'!$D$8:$D$1013, """"), "" - (.*)""), """")"),"")</f>
        <v/>
      </c>
      <c r="F82" s="332" t="str">
        <f t="shared" si="2"/>
        <v/>
      </c>
      <c r="G82" s="344" t="str">
        <f t="array" ref="G82">XLOOKUP(E82, RC_IN[BLOCK], RC_IN[BLOCK LOC], "")</f>
        <v/>
      </c>
      <c r="H82" s="345" t="str">
        <f>IF(B82="","", sumifs(RC_IN[WT],RC_IN[BLOCK],B82))</f>
        <v/>
      </c>
      <c r="I82" s="346" t="str">
        <f>IF(E82="","", sumifs(RC_IN[WT],RC_IN[BLOCK],E82))</f>
        <v/>
      </c>
      <c r="J82" s="347" t="str">
        <f>IFERROR(sumifs(RC_IN[WTD MC],RC_IN[BLOCK],B82)/H82,"")
</f>
        <v/>
      </c>
      <c r="K82" s="348" t="str">
        <f>IFERROR(sumifs(RC_IN[WTD MC],RC_IN[BLOCK],E82)/I82,"")</f>
        <v/>
      </c>
      <c r="L82" s="338">
        <f t="shared" si="3"/>
        <v>0</v>
      </c>
      <c r="M82" s="339" t="str">
        <f t="shared" si="5"/>
        <v/>
      </c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</row>
    <row r="83" ht="13.5" customHeight="1">
      <c r="A83" s="340" t="str">
        <f t="array" ref="A83">IF(E83="", "", IF(XLOOKUP(E83, 'RC IN'!$E$7:$E$1013, 'RC IN'!$A$7:$A$1013, "")="CLOSED", "SUNDRIED", "IN-PROGRESS"))</f>
        <v/>
      </c>
      <c r="B83" s="341"/>
      <c r="C83" s="329" t="str">
        <f>IFERROR(__xludf.DUMMYFUNCTION("IF(E83="""", """", IFERROR(TEXTJOIN("", "", TRUE, UNIQUE(FILTER('RC IN'!$D$10:$D$9999, 'RC IN'!$E$10:$E$9999=E83))), """"))"),"")</f>
        <v/>
      </c>
      <c r="D83" s="342" t="str">
        <f t="array" ref="D83">XLOOKUP(B83, 'RC IN'!$E$8:$E$1013, 'RC IN'!$F$8:$F$1013, "")</f>
        <v/>
      </c>
      <c r="E83" s="343" t="str">
        <f>IFERROR(__xludf.DUMMYFUNCTION("IFERROR(REGEXEXTRACT(XLOOKUP(B83, 'RC IN'!$E$8:$E$1013, 'RC IN'!$D$8:$D$1013, """"), "" - (.*)""), """")"),"")</f>
        <v/>
      </c>
      <c r="F83" s="332" t="str">
        <f t="shared" si="2"/>
        <v/>
      </c>
      <c r="G83" s="344" t="str">
        <f t="array" ref="G83">XLOOKUP(E83, RC_IN[BLOCK], RC_IN[BLOCK LOC], "")</f>
        <v/>
      </c>
      <c r="H83" s="345" t="str">
        <f>IF(B83="","", sumifs(RC_IN[WT],RC_IN[BLOCK],B83))</f>
        <v/>
      </c>
      <c r="I83" s="346" t="str">
        <f>IF(E83="","", sumifs(RC_IN[WT],RC_IN[BLOCK],E83))</f>
        <v/>
      </c>
      <c r="J83" s="347" t="str">
        <f>IFERROR(sumifs(RC_IN[WTD MC],RC_IN[BLOCK],B83)/H83,"")
</f>
        <v/>
      </c>
      <c r="K83" s="348" t="str">
        <f>IFERROR(sumifs(RC_IN[WTD MC],RC_IN[BLOCK],E83)/I83,"")</f>
        <v/>
      </c>
      <c r="L83" s="338">
        <f t="shared" si="3"/>
        <v>0</v>
      </c>
      <c r="M83" s="339" t="str">
        <f t="shared" si="5"/>
        <v/>
      </c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</row>
    <row r="84" ht="13.5" customHeight="1">
      <c r="A84" s="340" t="str">
        <f t="array" ref="A84">IF(E84="", "", IF(XLOOKUP(E84, 'RC IN'!$E$7:$E$1013, 'RC IN'!$A$7:$A$1013, "")="CLOSED", "SUNDRIED", "IN-PROGRESS"))</f>
        <v/>
      </c>
      <c r="B84" s="341"/>
      <c r="C84" s="329" t="str">
        <f>IFERROR(__xludf.DUMMYFUNCTION("IF(E84="""", """", IFERROR(TEXTJOIN("", "", TRUE, UNIQUE(FILTER('RC IN'!$D$10:$D$9999, 'RC IN'!$E$10:$E$9999=E84))), """"))"),"")</f>
        <v/>
      </c>
      <c r="D84" s="342" t="str">
        <f t="array" ref="D84">XLOOKUP(B84, 'RC IN'!$E$8:$E$1013, 'RC IN'!$F$8:$F$1013, "")</f>
        <v/>
      </c>
      <c r="E84" s="343" t="str">
        <f>IFERROR(__xludf.DUMMYFUNCTION("IFERROR(REGEXEXTRACT(XLOOKUP(B84, 'RC IN'!$E$8:$E$1013, 'RC IN'!$D$8:$D$1013, """"), "" - (.*)""), """")"),"")</f>
        <v/>
      </c>
      <c r="F84" s="332" t="str">
        <f t="shared" si="2"/>
        <v/>
      </c>
      <c r="G84" s="344" t="str">
        <f t="array" ref="G84">XLOOKUP(E84, RC_IN[BLOCK], RC_IN[BLOCK LOC], "")</f>
        <v/>
      </c>
      <c r="H84" s="345" t="str">
        <f>IF(B84="","", sumifs(RC_IN[WT],RC_IN[BLOCK],B84))</f>
        <v/>
      </c>
      <c r="I84" s="346" t="str">
        <f>IF(E84="","", sumifs(RC_IN[WT],RC_IN[BLOCK],E84))</f>
        <v/>
      </c>
      <c r="J84" s="347" t="str">
        <f>IFERROR(sumifs(RC_IN[WTD MC],RC_IN[BLOCK],B84)/H84,"")
</f>
        <v/>
      </c>
      <c r="K84" s="348" t="str">
        <f>IFERROR(sumifs(RC_IN[WTD MC],RC_IN[BLOCK],E84)/I84,"")</f>
        <v/>
      </c>
      <c r="L84" s="338">
        <f t="shared" si="3"/>
        <v>0</v>
      </c>
      <c r="M84" s="339" t="str">
        <f t="shared" si="5"/>
        <v/>
      </c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</row>
    <row r="85" ht="13.5" customHeight="1">
      <c r="A85" s="340" t="str">
        <f t="array" ref="A85">IF(E85="", "", IF(XLOOKUP(E85, 'RC IN'!$E$7:$E$1013, 'RC IN'!$A$7:$A$1013, "")="CLOSED", "SUNDRIED", "IN-PROGRESS"))</f>
        <v/>
      </c>
      <c r="B85" s="341"/>
      <c r="C85" s="329" t="str">
        <f>IFERROR(__xludf.DUMMYFUNCTION("IF(E85="""", """", IFERROR(TEXTJOIN("", "", TRUE, UNIQUE(FILTER('RC IN'!$D$10:$D$9999, 'RC IN'!$E$10:$E$9999=E85))), """"))"),"")</f>
        <v/>
      </c>
      <c r="D85" s="342" t="str">
        <f t="array" ref="D85">XLOOKUP(B85, 'RC IN'!$E$8:$E$1013, 'RC IN'!$F$8:$F$1013, "")</f>
        <v/>
      </c>
      <c r="E85" s="343" t="str">
        <f>IFERROR(__xludf.DUMMYFUNCTION("IFERROR(REGEXEXTRACT(XLOOKUP(B85, 'RC IN'!$E$8:$E$1013, 'RC IN'!$D$8:$D$1013, """"), "" - (.*)""), """")"),"")</f>
        <v/>
      </c>
      <c r="F85" s="332" t="str">
        <f t="shared" si="2"/>
        <v/>
      </c>
      <c r="G85" s="344" t="str">
        <f t="array" ref="G85">XLOOKUP(E85, RC_IN[BLOCK], RC_IN[BLOCK LOC], "")</f>
        <v/>
      </c>
      <c r="H85" s="345" t="str">
        <f>IF(B85="","", sumifs(RC_IN[WT],RC_IN[BLOCK],B85))</f>
        <v/>
      </c>
      <c r="I85" s="346" t="str">
        <f>IF(E85="","", sumifs(RC_IN[WT],RC_IN[BLOCK],E85))</f>
        <v/>
      </c>
      <c r="J85" s="347" t="str">
        <f>IFERROR(sumifs(RC_IN[WTD MC],RC_IN[BLOCK],B85)/H85,"")
</f>
        <v/>
      </c>
      <c r="K85" s="348" t="str">
        <f>IFERROR(sumifs(RC_IN[WTD MC],RC_IN[BLOCK],E85)/I85,"")</f>
        <v/>
      </c>
      <c r="L85" s="338">
        <f t="shared" si="3"/>
        <v>0</v>
      </c>
      <c r="M85" s="339" t="str">
        <f t="shared" si="5"/>
        <v/>
      </c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</row>
    <row r="86" ht="13.5" customHeight="1">
      <c r="A86" s="340" t="str">
        <f t="array" ref="A86">IF(E86="", "", IF(XLOOKUP(E86, 'RC IN'!$E$7:$E$1013, 'RC IN'!$A$7:$A$1013, "")="CLOSED", "SUNDRIED", "IN-PROGRESS"))</f>
        <v/>
      </c>
      <c r="B86" s="341"/>
      <c r="C86" s="329" t="str">
        <f>IFERROR(__xludf.DUMMYFUNCTION("IF(E86="""", """", IFERROR(TEXTJOIN("", "", TRUE, UNIQUE(FILTER('RC IN'!$D$10:$D$9999, 'RC IN'!$E$10:$E$9999=E86))), """"))"),"")</f>
        <v/>
      </c>
      <c r="D86" s="342" t="str">
        <f t="array" ref="D86">XLOOKUP(B86, 'RC IN'!$E$8:$E$1013, 'RC IN'!$F$8:$F$1013, "")</f>
        <v/>
      </c>
      <c r="E86" s="343" t="str">
        <f>IFERROR(__xludf.DUMMYFUNCTION("IFERROR(REGEXEXTRACT(XLOOKUP(B86, 'RC IN'!$E$8:$E$1013, 'RC IN'!$D$8:$D$1013, """"), "" - (.*)""), """")"),"")</f>
        <v/>
      </c>
      <c r="F86" s="332" t="str">
        <f t="shared" si="2"/>
        <v/>
      </c>
      <c r="G86" s="344" t="str">
        <f t="array" ref="G86">XLOOKUP(E86, RC_IN[BLOCK], RC_IN[BLOCK LOC], "")</f>
        <v/>
      </c>
      <c r="H86" s="345" t="str">
        <f>IF(B86="","", sumifs(RC_IN[WT],RC_IN[BLOCK],B86))</f>
        <v/>
      </c>
      <c r="I86" s="346" t="str">
        <f>IF(E86="","", sumifs(RC_IN[WT],RC_IN[BLOCK],E86))</f>
        <v/>
      </c>
      <c r="J86" s="347" t="str">
        <f>IFERROR(sumifs(RC_IN[WTD MC],RC_IN[BLOCK],B86)/H86,"")
</f>
        <v/>
      </c>
      <c r="K86" s="348" t="str">
        <f>IFERROR(sumifs(RC_IN[WTD MC],RC_IN[BLOCK],E86)/I86,"")</f>
        <v/>
      </c>
      <c r="L86" s="338">
        <f t="shared" si="3"/>
        <v>0</v>
      </c>
      <c r="M86" s="339" t="str">
        <f t="shared" si="5"/>
        <v/>
      </c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</row>
    <row r="87" ht="13.5" customHeight="1">
      <c r="A87" s="340" t="str">
        <f t="array" ref="A87">IF(E87="", "", IF(XLOOKUP(E87, 'RC IN'!$E$7:$E$1013, 'RC IN'!$A$7:$A$1013, "")="CLOSED", "SUNDRIED", "IN-PROGRESS"))</f>
        <v/>
      </c>
      <c r="B87" s="341"/>
      <c r="C87" s="329" t="str">
        <f>IFERROR(__xludf.DUMMYFUNCTION("IF(E87="""", """", IFERROR(TEXTJOIN("", "", TRUE, UNIQUE(FILTER('RC IN'!$D$10:$D$9999, 'RC IN'!$E$10:$E$9999=E87))), """"))"),"")</f>
        <v/>
      </c>
      <c r="D87" s="342" t="str">
        <f t="array" ref="D87">XLOOKUP(B87, 'RC IN'!$E$8:$E$1013, 'RC IN'!$F$8:$F$1013, "")</f>
        <v/>
      </c>
      <c r="E87" s="343" t="str">
        <f>IFERROR(__xludf.DUMMYFUNCTION("IFERROR(REGEXEXTRACT(XLOOKUP(B87, 'RC IN'!$E$8:$E$1013, 'RC IN'!$D$8:$D$1013, """"), "" - (.*)""), """")"),"")</f>
        <v/>
      </c>
      <c r="F87" s="332" t="str">
        <f t="shared" si="2"/>
        <v/>
      </c>
      <c r="G87" s="344" t="str">
        <f t="array" ref="G87">XLOOKUP(E87, RC_IN[BLOCK], RC_IN[BLOCK LOC], "")</f>
        <v/>
      </c>
      <c r="H87" s="345" t="str">
        <f>IF(B87="","", sumifs(RC_IN[WT],RC_IN[BLOCK],B87))</f>
        <v/>
      </c>
      <c r="I87" s="346" t="str">
        <f>IF(E87="","", sumifs(RC_IN[WT],RC_IN[BLOCK],E87))</f>
        <v/>
      </c>
      <c r="J87" s="347" t="str">
        <f>IFERROR(sumifs(RC_IN[WTD MC],RC_IN[BLOCK],B87)/H87,"")
</f>
        <v/>
      </c>
      <c r="K87" s="348" t="str">
        <f>IFERROR(sumifs(RC_IN[WTD MC],RC_IN[BLOCK],E87)/I87,"")</f>
        <v/>
      </c>
      <c r="L87" s="338">
        <f t="shared" si="3"/>
        <v>0</v>
      </c>
      <c r="M87" s="339" t="str">
        <f t="shared" si="5"/>
        <v/>
      </c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</row>
    <row r="88" ht="13.5" customHeight="1">
      <c r="A88" s="340" t="str">
        <f t="array" ref="A88">IF(E88="", "", IF(XLOOKUP(E88, 'RC IN'!$E$7:$E$1013, 'RC IN'!$A$7:$A$1013, "")="CLOSED", "SUNDRIED", "IN-PROGRESS"))</f>
        <v/>
      </c>
      <c r="B88" s="341"/>
      <c r="C88" s="329" t="str">
        <f>IFERROR(__xludf.DUMMYFUNCTION("IF(E88="""", """", IFERROR(TEXTJOIN("", "", TRUE, UNIQUE(FILTER('RC IN'!$D$10:$D$9999, 'RC IN'!$E$10:$E$9999=E88))), """"))"),"")</f>
        <v/>
      </c>
      <c r="D88" s="342" t="str">
        <f t="array" ref="D88">XLOOKUP(B88, 'RC IN'!$E$8:$E$1013, 'RC IN'!$F$8:$F$1013, "")</f>
        <v/>
      </c>
      <c r="E88" s="343" t="str">
        <f>IFERROR(__xludf.DUMMYFUNCTION("IFERROR(REGEXEXTRACT(XLOOKUP(B88, 'RC IN'!$E$8:$E$1013, 'RC IN'!$D$8:$D$1013, """"), "" - (.*)""), """")"),"")</f>
        <v/>
      </c>
      <c r="F88" s="332" t="str">
        <f t="shared" si="2"/>
        <v/>
      </c>
      <c r="G88" s="344" t="str">
        <f t="array" ref="G88">XLOOKUP(E88, RC_IN[BLOCK], RC_IN[BLOCK LOC], "")</f>
        <v/>
      </c>
      <c r="H88" s="345" t="str">
        <f>IF(B88="","", sumifs(RC_IN[WT],RC_IN[BLOCK],B88))</f>
        <v/>
      </c>
      <c r="I88" s="346" t="str">
        <f>IF(E88="","", sumifs(RC_IN[WT],RC_IN[BLOCK],E88))</f>
        <v/>
      </c>
      <c r="J88" s="347" t="str">
        <f>IFERROR(sumifs(RC_IN[WTD MC],RC_IN[BLOCK],B88)/H88,"")
</f>
        <v/>
      </c>
      <c r="K88" s="348" t="str">
        <f>IFERROR(sumifs(RC_IN[WTD MC],RC_IN[BLOCK],E88)/I88,"")</f>
        <v/>
      </c>
      <c r="L88" s="338">
        <f t="shared" si="3"/>
        <v>0</v>
      </c>
      <c r="M88" s="339" t="str">
        <f t="shared" si="5"/>
        <v/>
      </c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</row>
    <row r="89" ht="13.5" customHeight="1">
      <c r="A89" s="340" t="str">
        <f t="array" ref="A89">IF(E89="", "", IF(XLOOKUP(E89, 'RC IN'!$E$7:$E$1013, 'RC IN'!$A$7:$A$1013, "")="CLOSED", "SUNDRIED", "IN-PROGRESS"))</f>
        <v/>
      </c>
      <c r="B89" s="341"/>
      <c r="C89" s="329" t="str">
        <f>IFERROR(__xludf.DUMMYFUNCTION("IF(E89="""", """", IFERROR(TEXTJOIN("", "", TRUE, UNIQUE(FILTER('RC IN'!$D$10:$D$9999, 'RC IN'!$E$10:$E$9999=E89))), """"))"),"")</f>
        <v/>
      </c>
      <c r="D89" s="342" t="str">
        <f t="array" ref="D89">XLOOKUP(B89, 'RC IN'!$E$8:$E$1013, 'RC IN'!$F$8:$F$1013, "")</f>
        <v/>
      </c>
      <c r="E89" s="343" t="str">
        <f>IFERROR(__xludf.DUMMYFUNCTION("IFERROR(REGEXEXTRACT(XLOOKUP(B89, 'RC IN'!$E$8:$E$1013, 'RC IN'!$D$8:$D$1013, """"), "" - (.*)""), """")"),"")</f>
        <v/>
      </c>
      <c r="F89" s="332" t="str">
        <f t="shared" si="2"/>
        <v/>
      </c>
      <c r="G89" s="344" t="str">
        <f t="array" ref="G89">XLOOKUP(E89, RC_IN[BLOCK], RC_IN[BLOCK LOC], "")</f>
        <v/>
      </c>
      <c r="H89" s="345" t="str">
        <f>IF(B89="","", sumifs(RC_IN[WT],RC_IN[BLOCK],B89))</f>
        <v/>
      </c>
      <c r="I89" s="346" t="str">
        <f>IF(E89="","", sumifs(RC_IN[WT],RC_IN[BLOCK],E89))</f>
        <v/>
      </c>
      <c r="J89" s="347" t="str">
        <f>IFERROR(sumifs(RC_IN[WTD MC],RC_IN[BLOCK],B89)/H89,"")
</f>
        <v/>
      </c>
      <c r="K89" s="348" t="str">
        <f>IFERROR(sumifs(RC_IN[WTD MC],RC_IN[BLOCK],E89)/I89,"")</f>
        <v/>
      </c>
      <c r="L89" s="338">
        <f t="shared" si="3"/>
        <v>0</v>
      </c>
      <c r="M89" s="339" t="str">
        <f t="shared" si="5"/>
        <v/>
      </c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</row>
    <row r="90" ht="13.5" customHeight="1">
      <c r="A90" s="340" t="str">
        <f t="array" ref="A90">IF(E90="", "", IF(XLOOKUP(E90, 'RC IN'!$E$7:$E$1013, 'RC IN'!$A$7:$A$1013, "")="CLOSED", "SUNDRIED", "IN-PROGRESS"))</f>
        <v/>
      </c>
      <c r="B90" s="341"/>
      <c r="C90" s="329" t="str">
        <f>IFERROR(__xludf.DUMMYFUNCTION("IF(E90="""", """", IFERROR(TEXTJOIN("", "", TRUE, UNIQUE(FILTER('RC IN'!$D$10:$D$9999, 'RC IN'!$E$10:$E$9999=E90))), """"))"),"")</f>
        <v/>
      </c>
      <c r="D90" s="342" t="str">
        <f t="array" ref="D90">XLOOKUP(B90, 'RC IN'!$E$8:$E$1013, 'RC IN'!$F$8:$F$1013, "")</f>
        <v/>
      </c>
      <c r="E90" s="343" t="str">
        <f>IFERROR(__xludf.DUMMYFUNCTION("IFERROR(REGEXEXTRACT(XLOOKUP(B90, 'RC IN'!$E$8:$E$1013, 'RC IN'!$D$8:$D$1013, """"), "" - (.*)""), """")"),"")</f>
        <v/>
      </c>
      <c r="F90" s="332" t="str">
        <f t="shared" si="2"/>
        <v/>
      </c>
      <c r="G90" s="344" t="str">
        <f t="array" ref="G90">XLOOKUP(E90, RC_IN[BLOCK], RC_IN[BLOCK LOC], "")</f>
        <v/>
      </c>
      <c r="H90" s="345" t="str">
        <f>IF(B90="","", sumifs(RC_IN[WT],RC_IN[BLOCK],B90))</f>
        <v/>
      </c>
      <c r="I90" s="346" t="str">
        <f>IF(E90="","", sumifs(RC_IN[WT],RC_IN[BLOCK],E90))</f>
        <v/>
      </c>
      <c r="J90" s="347" t="str">
        <f>IFERROR(sumifs(RC_IN[WTD MC],RC_IN[BLOCK],B90)/H90,"")
</f>
        <v/>
      </c>
      <c r="K90" s="348" t="str">
        <f>IFERROR(sumifs(RC_IN[WTD MC],RC_IN[BLOCK],E90)/I90,"")</f>
        <v/>
      </c>
      <c r="L90" s="338">
        <f t="shared" si="3"/>
        <v>0</v>
      </c>
      <c r="M90" s="339" t="str">
        <f t="shared" si="5"/>
        <v/>
      </c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</row>
    <row r="91" ht="13.5" customHeight="1">
      <c r="A91" s="340" t="str">
        <f t="array" ref="A91">IF(E91="", "", IF(XLOOKUP(E91, 'RC IN'!$E$7:$E$1013, 'RC IN'!$A$7:$A$1013, "")="CLOSED", "SUNDRIED", "IN-PROGRESS"))</f>
        <v/>
      </c>
      <c r="B91" s="341"/>
      <c r="C91" s="329" t="str">
        <f>IFERROR(__xludf.DUMMYFUNCTION("IF(E91="""", """", IFERROR(TEXTJOIN("", "", TRUE, UNIQUE(FILTER('RC IN'!$D$10:$D$9999, 'RC IN'!$E$10:$E$9999=E91))), """"))"),"")</f>
        <v/>
      </c>
      <c r="D91" s="342" t="str">
        <f t="array" ref="D91">XLOOKUP(B91, 'RC IN'!$E$8:$E$1013, 'RC IN'!$F$8:$F$1013, "")</f>
        <v/>
      </c>
      <c r="E91" s="343" t="str">
        <f>IFERROR(__xludf.DUMMYFUNCTION("IFERROR(REGEXEXTRACT(XLOOKUP(B91, 'RC IN'!$E$8:$E$1013, 'RC IN'!$D$8:$D$1013, """"), "" - (.*)""), """")"),"")</f>
        <v/>
      </c>
      <c r="F91" s="332" t="str">
        <f t="shared" si="2"/>
        <v/>
      </c>
      <c r="G91" s="344" t="str">
        <f t="array" ref="G91">XLOOKUP(E91, RC_IN[BLOCK], RC_IN[BLOCK LOC], "")</f>
        <v/>
      </c>
      <c r="H91" s="345" t="str">
        <f>IF(B91="","", sumifs(RC_IN[WT],RC_IN[BLOCK],B91))</f>
        <v/>
      </c>
      <c r="I91" s="346" t="str">
        <f>IF(E91="","", sumifs(RC_IN[WT],RC_IN[BLOCK],E91))</f>
        <v/>
      </c>
      <c r="J91" s="347" t="str">
        <f>IFERROR(sumifs(RC_IN[WTD MC],RC_IN[BLOCK],B91)/H91,"")
</f>
        <v/>
      </c>
      <c r="K91" s="348" t="str">
        <f>IFERROR(sumifs(RC_IN[WTD MC],RC_IN[BLOCK],E91)/I91,"")</f>
        <v/>
      </c>
      <c r="L91" s="338">
        <f t="shared" si="3"/>
        <v>0</v>
      </c>
      <c r="M91" s="339" t="str">
        <f t="shared" si="5"/>
        <v/>
      </c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</row>
    <row r="92" ht="13.5" customHeight="1">
      <c r="A92" s="340" t="str">
        <f t="array" ref="A92">IF(E92="", "", IF(XLOOKUP(E92, 'RC IN'!$E$7:$E$1013, 'RC IN'!$A$7:$A$1013, "")="CLOSED", "SUNDRIED", "IN-PROGRESS"))</f>
        <v/>
      </c>
      <c r="B92" s="341"/>
      <c r="C92" s="329" t="str">
        <f>IFERROR(__xludf.DUMMYFUNCTION("IF(E92="""", """", IFERROR(TEXTJOIN("", "", TRUE, UNIQUE(FILTER('RC IN'!$D$10:$D$9999, 'RC IN'!$E$10:$E$9999=E92))), """"))"),"")</f>
        <v/>
      </c>
      <c r="D92" s="342" t="str">
        <f t="array" ref="D92">XLOOKUP(B92, 'RC IN'!$E$8:$E$1013, 'RC IN'!$F$8:$F$1013, "")</f>
        <v/>
      </c>
      <c r="E92" s="343" t="str">
        <f>IFERROR(__xludf.DUMMYFUNCTION("IFERROR(REGEXEXTRACT(XLOOKUP(B92, 'RC IN'!$E$8:$E$1013, 'RC IN'!$D$8:$D$1013, """"), "" - (.*)""), """")"),"")</f>
        <v/>
      </c>
      <c r="F92" s="332" t="str">
        <f t="shared" si="2"/>
        <v/>
      </c>
      <c r="G92" s="344" t="str">
        <f t="array" ref="G92">XLOOKUP(E92, RC_IN[BLOCK], RC_IN[BLOCK LOC], "")</f>
        <v/>
      </c>
      <c r="H92" s="345" t="str">
        <f>IF(B92="","", sumifs(RC_IN[WT],RC_IN[BLOCK],B92))</f>
        <v/>
      </c>
      <c r="I92" s="346" t="str">
        <f>IF(E92="","", sumifs(RC_IN[WT],RC_IN[BLOCK],E92))</f>
        <v/>
      </c>
      <c r="J92" s="347" t="str">
        <f>IFERROR(sumifs(RC_IN[WTD MC],RC_IN[BLOCK],B92)/H92,"")
</f>
        <v/>
      </c>
      <c r="K92" s="348" t="str">
        <f>IFERROR(sumifs(RC_IN[WTD MC],RC_IN[BLOCK],E92)/I92,"")</f>
        <v/>
      </c>
      <c r="L92" s="338">
        <f t="shared" si="3"/>
        <v>0</v>
      </c>
      <c r="M92" s="339" t="str">
        <f t="shared" si="5"/>
        <v/>
      </c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</row>
    <row r="93" ht="13.5" customHeight="1">
      <c r="A93" s="340" t="str">
        <f t="array" ref="A93">IF(E93="", "", IF(XLOOKUP(E93, 'RC IN'!$E$7:$E$1013, 'RC IN'!$A$7:$A$1013, "")="CLOSED", "SUNDRIED", "IN-PROGRESS"))</f>
        <v/>
      </c>
      <c r="B93" s="341"/>
      <c r="C93" s="329" t="str">
        <f>IFERROR(__xludf.DUMMYFUNCTION("IF(E93="""", """", IFERROR(TEXTJOIN("", "", TRUE, UNIQUE(FILTER('RC IN'!$D$10:$D$9999, 'RC IN'!$E$10:$E$9999=E93))), """"))"),"")</f>
        <v/>
      </c>
      <c r="D93" s="342" t="str">
        <f t="array" ref="D93">XLOOKUP(B93, 'RC IN'!$E$8:$E$1013, 'RC IN'!$F$8:$F$1013, "")</f>
        <v/>
      </c>
      <c r="E93" s="343" t="str">
        <f>IFERROR(__xludf.DUMMYFUNCTION("IFERROR(REGEXEXTRACT(XLOOKUP(B93, 'RC IN'!$E$8:$E$1013, 'RC IN'!$D$8:$D$1013, """"), "" - (.*)""), """")"),"")</f>
        <v/>
      </c>
      <c r="F93" s="332" t="str">
        <f t="shared" si="2"/>
        <v/>
      </c>
      <c r="G93" s="344" t="str">
        <f t="array" ref="G93">XLOOKUP(E93, RC_IN[BLOCK], RC_IN[BLOCK LOC], "")</f>
        <v/>
      </c>
      <c r="H93" s="345" t="str">
        <f>IF(B93="","", sumifs(RC_IN[WT],RC_IN[BLOCK],B93))</f>
        <v/>
      </c>
      <c r="I93" s="346" t="str">
        <f>IF(E93="","", sumifs(RC_IN[WT],RC_IN[BLOCK],E93))</f>
        <v/>
      </c>
      <c r="J93" s="347" t="str">
        <f>IFERROR(sumifs(RC_IN[WTD MC],RC_IN[BLOCK],B93)/H93,"")
</f>
        <v/>
      </c>
      <c r="K93" s="348" t="str">
        <f>IFERROR(sumifs(RC_IN[WTD MC],RC_IN[BLOCK],E93)/I93,"")</f>
        <v/>
      </c>
      <c r="L93" s="338">
        <f t="shared" si="3"/>
        <v>0</v>
      </c>
      <c r="M93" s="339" t="str">
        <f t="shared" si="5"/>
        <v/>
      </c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</row>
    <row r="94" ht="13.5" customHeight="1">
      <c r="A94" s="340" t="str">
        <f t="array" ref="A94">IF(E94="", "", IF(XLOOKUP(E94, 'RC IN'!$E$7:$E$1013, 'RC IN'!$A$7:$A$1013, "")="CLOSED", "SUNDRIED", "IN-PROGRESS"))</f>
        <v/>
      </c>
      <c r="B94" s="341"/>
      <c r="C94" s="329" t="str">
        <f>IFERROR(__xludf.DUMMYFUNCTION("IF(E94="""", """", IFERROR(TEXTJOIN("", "", TRUE, UNIQUE(FILTER('RC IN'!$D$10:$D$9999, 'RC IN'!$E$10:$E$9999=E94))), """"))"),"")</f>
        <v/>
      </c>
      <c r="D94" s="342" t="str">
        <f t="array" ref="D94">XLOOKUP(B94, 'RC IN'!$E$8:$E$1013, 'RC IN'!$F$8:$F$1013, "")</f>
        <v/>
      </c>
      <c r="E94" s="343" t="str">
        <f>IFERROR(__xludf.DUMMYFUNCTION("IFERROR(REGEXEXTRACT(XLOOKUP(B94, 'RC IN'!$E$8:$E$1013, 'RC IN'!$D$8:$D$1013, """"), "" - (.*)""), """")"),"")</f>
        <v/>
      </c>
      <c r="F94" s="332" t="str">
        <f t="shared" si="2"/>
        <v/>
      </c>
      <c r="G94" s="344" t="str">
        <f t="array" ref="G94">XLOOKUP(E94, RC_IN[BLOCK], RC_IN[BLOCK LOC], "")</f>
        <v/>
      </c>
      <c r="H94" s="345" t="str">
        <f>IF(B94="","", sumifs(RC_IN[WT],RC_IN[BLOCK],B94))</f>
        <v/>
      </c>
      <c r="I94" s="346" t="str">
        <f>IF(E94="","", sumifs(RC_IN[WT],RC_IN[BLOCK],E94))</f>
        <v/>
      </c>
      <c r="J94" s="347" t="str">
        <f>IFERROR(sumifs(RC_IN[WTD MC],RC_IN[BLOCK],B94)/H94,"")
</f>
        <v/>
      </c>
      <c r="K94" s="348" t="str">
        <f>IFERROR(sumifs(RC_IN[WTD MC],RC_IN[BLOCK],E94)/I94,"")</f>
        <v/>
      </c>
      <c r="L94" s="338">
        <f t="shared" si="3"/>
        <v>0</v>
      </c>
      <c r="M94" s="339" t="str">
        <f t="shared" si="5"/>
        <v/>
      </c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</row>
    <row r="95" ht="13.5" customHeight="1">
      <c r="A95" s="340" t="str">
        <f t="array" ref="A95">IF(E95="", "", IF(XLOOKUP(E95, 'RC IN'!$E$7:$E$1013, 'RC IN'!$A$7:$A$1013, "")="CLOSED", "SUNDRIED", "IN-PROGRESS"))</f>
        <v/>
      </c>
      <c r="B95" s="341"/>
      <c r="C95" s="329" t="str">
        <f>IFERROR(__xludf.DUMMYFUNCTION("IF(E95="""", """", IFERROR(TEXTJOIN("", "", TRUE, UNIQUE(FILTER('RC IN'!$D$10:$D$9999, 'RC IN'!$E$10:$E$9999=E95))), """"))"),"")</f>
        <v/>
      </c>
      <c r="D95" s="342" t="str">
        <f t="array" ref="D95">XLOOKUP(B95, 'RC IN'!$E$8:$E$1013, 'RC IN'!$F$8:$F$1013, "")</f>
        <v/>
      </c>
      <c r="E95" s="343" t="str">
        <f>IFERROR(__xludf.DUMMYFUNCTION("IFERROR(REGEXEXTRACT(XLOOKUP(B95, 'RC IN'!$E$8:$E$1013, 'RC IN'!$D$8:$D$1013, """"), "" - (.*)""), """")"),"")</f>
        <v/>
      </c>
      <c r="F95" s="332" t="str">
        <f t="shared" si="2"/>
        <v/>
      </c>
      <c r="G95" s="344" t="str">
        <f t="array" ref="G95">XLOOKUP(E95, RC_IN[BLOCK], RC_IN[BLOCK LOC], "")</f>
        <v/>
      </c>
      <c r="H95" s="345" t="str">
        <f>IF(B95="","", sumifs(RC_IN[WT],RC_IN[BLOCK],B95))</f>
        <v/>
      </c>
      <c r="I95" s="346" t="str">
        <f>IF(E95="","", sumifs(RC_IN[WT],RC_IN[BLOCK],E95))</f>
        <v/>
      </c>
      <c r="J95" s="347" t="str">
        <f>IFERROR(sumifs(RC_IN[WTD MC],RC_IN[BLOCK],B95)/H95,"")
</f>
        <v/>
      </c>
      <c r="K95" s="348" t="str">
        <f>IFERROR(sumifs(RC_IN[WTD MC],RC_IN[BLOCK],E95)/I95,"")</f>
        <v/>
      </c>
      <c r="L95" s="338">
        <f t="shared" si="3"/>
        <v>0</v>
      </c>
      <c r="M95" s="339" t="str">
        <f t="shared" si="5"/>
        <v/>
      </c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</row>
    <row r="96" ht="13.5" customHeight="1">
      <c r="A96" s="340" t="str">
        <f t="array" ref="A96">IF(E96="", "", IF(XLOOKUP(E96, 'RC IN'!$E$7:$E$1013, 'RC IN'!$A$7:$A$1013, "")="CLOSED", "SUNDRIED", "IN-PROGRESS"))</f>
        <v/>
      </c>
      <c r="B96" s="341"/>
      <c r="C96" s="329" t="str">
        <f>IFERROR(__xludf.DUMMYFUNCTION("IF(E96="""", """", IFERROR(TEXTJOIN("", "", TRUE, UNIQUE(FILTER('RC IN'!$D$10:$D$9999, 'RC IN'!$E$10:$E$9999=E96))), """"))"),"")</f>
        <v/>
      </c>
      <c r="D96" s="342" t="str">
        <f t="array" ref="D96">XLOOKUP(B96, 'RC IN'!$E$8:$E$1013, 'RC IN'!$F$8:$F$1013, "")</f>
        <v/>
      </c>
      <c r="E96" s="343" t="str">
        <f>IFERROR(__xludf.DUMMYFUNCTION("IFERROR(REGEXEXTRACT(XLOOKUP(B96, 'RC IN'!$E$8:$E$1013, 'RC IN'!$D$8:$D$1013, """"), "" - (.*)""), """")"),"")</f>
        <v/>
      </c>
      <c r="F96" s="332" t="str">
        <f t="shared" si="2"/>
        <v/>
      </c>
      <c r="G96" s="344" t="str">
        <f t="array" ref="G96">XLOOKUP(E96, RC_IN[BLOCK], RC_IN[BLOCK LOC], "")</f>
        <v/>
      </c>
      <c r="H96" s="345" t="str">
        <f>IF(B96="","", sumifs(RC_IN[WT],RC_IN[BLOCK],B96))</f>
        <v/>
      </c>
      <c r="I96" s="346" t="str">
        <f>IF(E96="","", sumifs(RC_IN[WT],RC_IN[BLOCK],E96))</f>
        <v/>
      </c>
      <c r="J96" s="347" t="str">
        <f>IFERROR(sumifs(RC_IN[WTD MC],RC_IN[BLOCK],B96)/H96,"")
</f>
        <v/>
      </c>
      <c r="K96" s="348" t="str">
        <f>IFERROR(sumifs(RC_IN[WTD MC],RC_IN[BLOCK],E96)/I96,"")</f>
        <v/>
      </c>
      <c r="L96" s="338">
        <f t="shared" si="3"/>
        <v>0</v>
      </c>
      <c r="M96" s="339" t="str">
        <f t="shared" si="5"/>
        <v/>
      </c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</row>
    <row r="97" ht="13.5" customHeight="1">
      <c r="A97" s="340" t="str">
        <f t="array" ref="A97">IF(E97="", "", IF(XLOOKUP(E97, 'RC IN'!$E$7:$E$1013, 'RC IN'!$A$7:$A$1013, "")="CLOSED", "SUNDRIED", "IN-PROGRESS"))</f>
        <v/>
      </c>
      <c r="B97" s="341"/>
      <c r="C97" s="329" t="str">
        <f>IFERROR(__xludf.DUMMYFUNCTION("IF(E97="""", """", IFERROR(TEXTJOIN("", "", TRUE, UNIQUE(FILTER('RC IN'!$D$10:$D$9999, 'RC IN'!$E$10:$E$9999=E97))), """"))"),"")</f>
        <v/>
      </c>
      <c r="D97" s="342" t="str">
        <f t="array" ref="D97">XLOOKUP(B97, 'RC IN'!$E$8:$E$1013, 'RC IN'!$F$8:$F$1013, "")</f>
        <v/>
      </c>
      <c r="E97" s="343" t="str">
        <f>IFERROR(__xludf.DUMMYFUNCTION("IFERROR(REGEXEXTRACT(XLOOKUP(B97, 'RC IN'!$E$8:$E$1013, 'RC IN'!$D$8:$D$1013, """"), "" - (.*)""), """")"),"")</f>
        <v/>
      </c>
      <c r="F97" s="332" t="str">
        <f t="shared" si="2"/>
        <v/>
      </c>
      <c r="G97" s="344" t="str">
        <f t="array" ref="G97">XLOOKUP(E97, RC_IN[BLOCK], RC_IN[BLOCK LOC], "")</f>
        <v/>
      </c>
      <c r="H97" s="345" t="str">
        <f>IF(B97="","", sumifs(RC_IN[WT],RC_IN[BLOCK],B97))</f>
        <v/>
      </c>
      <c r="I97" s="346" t="str">
        <f>IF(E97="","", sumifs(RC_IN[WT],RC_IN[BLOCK],E97))</f>
        <v/>
      </c>
      <c r="J97" s="347" t="str">
        <f>IFERROR(sumifs(RC_IN[WTD MC],RC_IN[BLOCK],B97)/H97,"")
</f>
        <v/>
      </c>
      <c r="K97" s="348" t="str">
        <f>IFERROR(sumifs(RC_IN[WTD MC],RC_IN[BLOCK],E97)/I97,"")</f>
        <v/>
      </c>
      <c r="L97" s="338">
        <f t="shared" si="3"/>
        <v>0</v>
      </c>
      <c r="M97" s="339" t="str">
        <f t="shared" si="5"/>
        <v/>
      </c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</row>
    <row r="98" ht="13.5" customHeight="1">
      <c r="A98" s="350" t="str">
        <f t="array" ref="A98">IF(E98="", "", IF(XLOOKUP(E98, 'RC IN'!$E$7:$E$1013, 'RC IN'!$A$7:$A$1013, "")="CLOSED", "SUNDRIED", "IN-PROGRESS"))</f>
        <v/>
      </c>
      <c r="B98" s="351"/>
      <c r="C98" s="329" t="str">
        <f>IFERROR(__xludf.DUMMYFUNCTION("IF(E98="""", """", IFERROR(TEXTJOIN("", "", TRUE, UNIQUE(FILTER('RC IN'!$D$10:$D$9999, 'RC IN'!$E$10:$E$9999=E98))), """"))"),"")</f>
        <v/>
      </c>
      <c r="D98" s="352" t="str">
        <f t="array" ref="D98">XLOOKUP(B98, 'RC IN'!$E$8:$E$1013, 'RC IN'!$F$8:$F$1013, "")</f>
        <v/>
      </c>
      <c r="E98" s="353" t="str">
        <f>IFERROR(__xludf.DUMMYFUNCTION("IFERROR(REGEXEXTRACT(XLOOKUP(B98, 'RC IN'!$E$8:$E$1013, 'RC IN'!$D$8:$D$1013, """"), "" - (.*)""), """")"),"")</f>
        <v/>
      </c>
      <c r="F98" s="332" t="str">
        <f t="shared" si="2"/>
        <v/>
      </c>
      <c r="G98" s="354" t="str">
        <f t="array" ref="G98">XLOOKUP(E98, RC_IN[BLOCK], RC_IN[BLOCK LOC], "")</f>
        <v/>
      </c>
      <c r="H98" s="355" t="str">
        <f>IF(B98="","", sumifs(RC_IN[WT],RC_IN[BLOCK],B98))</f>
        <v/>
      </c>
      <c r="I98" s="356" t="str">
        <f>IF(E98="","", sumifs(RC_IN[WT],RC_IN[BLOCK],E98))</f>
        <v/>
      </c>
      <c r="J98" s="357" t="str">
        <f>IFERROR(sumifs(RC_IN[WTD MC],RC_IN[BLOCK],B98)/H98,"")
</f>
        <v/>
      </c>
      <c r="K98" s="358" t="str">
        <f>IFERROR(sumifs(RC_IN[WTD MC],RC_IN[BLOCK],E98)/I98,"")</f>
        <v/>
      </c>
      <c r="L98" s="359">
        <f t="shared" si="3"/>
        <v>0</v>
      </c>
      <c r="M98" s="339" t="str">
        <f t="shared" si="5"/>
        <v/>
      </c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</row>
    <row r="99" ht="13.5" customHeight="1">
      <c r="A99" s="243"/>
      <c r="B99" s="65"/>
      <c r="C99" s="65"/>
      <c r="D99" s="65"/>
      <c r="E99" s="60"/>
      <c r="F99" s="60"/>
      <c r="G99" s="60"/>
      <c r="H99" s="303"/>
      <c r="I99" s="304"/>
      <c r="J99" s="305"/>
      <c r="K99" s="306"/>
      <c r="L99" s="307"/>
      <c r="M99" s="243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</row>
    <row r="100" ht="13.5" customHeight="1">
      <c r="A100" s="243"/>
      <c r="B100" s="65"/>
      <c r="C100" s="65"/>
      <c r="D100" s="65"/>
      <c r="E100" s="60"/>
      <c r="F100" s="60"/>
      <c r="G100" s="60"/>
      <c r="H100" s="303"/>
      <c r="I100" s="304"/>
      <c r="J100" s="305"/>
      <c r="K100" s="306"/>
      <c r="L100" s="307"/>
      <c r="M100" s="243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</row>
    <row r="101" ht="13.5" customHeight="1">
      <c r="A101" s="243"/>
      <c r="B101" s="65"/>
      <c r="C101" s="65"/>
      <c r="D101" s="65"/>
      <c r="E101" s="60"/>
      <c r="F101" s="60"/>
      <c r="G101" s="60"/>
      <c r="H101" s="303"/>
      <c r="I101" s="304"/>
      <c r="J101" s="305"/>
      <c r="K101" s="306"/>
      <c r="L101" s="307"/>
      <c r="M101" s="243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</row>
    <row r="102" ht="13.5" customHeight="1">
      <c r="A102" s="243"/>
      <c r="B102" s="65"/>
      <c r="C102" s="65"/>
      <c r="D102" s="65"/>
      <c r="E102" s="60"/>
      <c r="F102" s="60"/>
      <c r="G102" s="60"/>
      <c r="H102" s="303"/>
      <c r="I102" s="304"/>
      <c r="J102" s="305"/>
      <c r="K102" s="306"/>
      <c r="L102" s="307"/>
      <c r="M102" s="243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</row>
    <row r="103" ht="13.5" customHeight="1">
      <c r="A103" s="243"/>
      <c r="B103" s="65"/>
      <c r="C103" s="65"/>
      <c r="D103" s="65"/>
      <c r="E103" s="60"/>
      <c r="F103" s="60"/>
      <c r="G103" s="60"/>
      <c r="H103" s="303"/>
      <c r="I103" s="304"/>
      <c r="J103" s="305"/>
      <c r="K103" s="306"/>
      <c r="L103" s="307"/>
      <c r="M103" s="243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</row>
    <row r="104" ht="13.5" customHeight="1">
      <c r="A104" s="243"/>
      <c r="B104" s="65"/>
      <c r="C104" s="65"/>
      <c r="D104" s="65"/>
      <c r="E104" s="60"/>
      <c r="F104" s="60"/>
      <c r="G104" s="60"/>
      <c r="H104" s="303"/>
      <c r="I104" s="304"/>
      <c r="J104" s="305"/>
      <c r="K104" s="306"/>
      <c r="L104" s="307"/>
      <c r="M104" s="243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</row>
    <row r="105" ht="13.5" customHeight="1">
      <c r="A105" s="243"/>
      <c r="B105" s="65"/>
      <c r="C105" s="65"/>
      <c r="D105" s="65"/>
      <c r="E105" s="60"/>
      <c r="F105" s="60"/>
      <c r="G105" s="60"/>
      <c r="H105" s="303"/>
      <c r="I105" s="304"/>
      <c r="J105" s="305"/>
      <c r="K105" s="306"/>
      <c r="L105" s="307"/>
      <c r="M105" s="243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</row>
    <row r="106" ht="13.5" customHeight="1">
      <c r="A106" s="243"/>
      <c r="B106" s="65"/>
      <c r="C106" s="65"/>
      <c r="D106" s="65"/>
      <c r="E106" s="60"/>
      <c r="F106" s="60"/>
      <c r="G106" s="60"/>
      <c r="H106" s="303"/>
      <c r="I106" s="304"/>
      <c r="J106" s="305"/>
      <c r="K106" s="306"/>
      <c r="L106" s="307"/>
      <c r="M106" s="243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</row>
    <row r="107" ht="13.5" customHeight="1">
      <c r="A107" s="243"/>
      <c r="B107" s="65"/>
      <c r="C107" s="65"/>
      <c r="D107" s="65"/>
      <c r="E107" s="60"/>
      <c r="F107" s="60"/>
      <c r="G107" s="60"/>
      <c r="H107" s="303"/>
      <c r="I107" s="304"/>
      <c r="J107" s="305"/>
      <c r="K107" s="306"/>
      <c r="L107" s="307"/>
      <c r="M107" s="243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</row>
    <row r="108" ht="13.5" customHeight="1">
      <c r="A108" s="243"/>
      <c r="B108" s="65"/>
      <c r="C108" s="65"/>
      <c r="D108" s="65"/>
      <c r="E108" s="60"/>
      <c r="F108" s="60"/>
      <c r="G108" s="60"/>
      <c r="H108" s="303"/>
      <c r="I108" s="304"/>
      <c r="J108" s="305"/>
      <c r="K108" s="306"/>
      <c r="L108" s="307"/>
      <c r="M108" s="243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</row>
    <row r="109" ht="13.5" customHeight="1">
      <c r="A109" s="243"/>
      <c r="B109" s="65"/>
      <c r="C109" s="65"/>
      <c r="D109" s="65"/>
      <c r="E109" s="60"/>
      <c r="F109" s="60"/>
      <c r="G109" s="60"/>
      <c r="H109" s="303"/>
      <c r="I109" s="304"/>
      <c r="J109" s="305"/>
      <c r="K109" s="306"/>
      <c r="L109" s="307"/>
      <c r="M109" s="243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</row>
    <row r="110" ht="13.5" customHeight="1">
      <c r="A110" s="243"/>
      <c r="B110" s="65"/>
      <c r="C110" s="65"/>
      <c r="D110" s="65"/>
      <c r="E110" s="60"/>
      <c r="F110" s="60"/>
      <c r="G110" s="60"/>
      <c r="H110" s="303"/>
      <c r="I110" s="304"/>
      <c r="J110" s="305"/>
      <c r="K110" s="306"/>
      <c r="L110" s="307"/>
      <c r="M110" s="243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</row>
    <row r="111" ht="13.5" customHeight="1">
      <c r="A111" s="243"/>
      <c r="B111" s="65"/>
      <c r="C111" s="65"/>
      <c r="D111" s="65"/>
      <c r="E111" s="60"/>
      <c r="F111" s="60"/>
      <c r="G111" s="60"/>
      <c r="H111" s="303"/>
      <c r="I111" s="304"/>
      <c r="J111" s="305"/>
      <c r="K111" s="306"/>
      <c r="L111" s="307"/>
      <c r="M111" s="243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</row>
    <row r="112" ht="13.5" customHeight="1">
      <c r="A112" s="243"/>
      <c r="B112" s="65"/>
      <c r="C112" s="65"/>
      <c r="D112" s="65"/>
      <c r="E112" s="60"/>
      <c r="F112" s="60"/>
      <c r="G112" s="60"/>
      <c r="H112" s="303"/>
      <c r="I112" s="304"/>
      <c r="J112" s="305"/>
      <c r="K112" s="306"/>
      <c r="L112" s="307"/>
      <c r="M112" s="243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</row>
    <row r="113" ht="13.5" customHeight="1">
      <c r="A113" s="243"/>
      <c r="B113" s="65"/>
      <c r="C113" s="65"/>
      <c r="D113" s="65"/>
      <c r="E113" s="60"/>
      <c r="F113" s="60"/>
      <c r="G113" s="60"/>
      <c r="H113" s="303"/>
      <c r="I113" s="304"/>
      <c r="J113" s="305"/>
      <c r="K113" s="306"/>
      <c r="L113" s="307"/>
      <c r="M113" s="243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</row>
    <row r="114" ht="13.5" customHeight="1">
      <c r="A114" s="243"/>
      <c r="B114" s="65"/>
      <c r="C114" s="65"/>
      <c r="D114" s="65"/>
      <c r="E114" s="60"/>
      <c r="F114" s="60"/>
      <c r="G114" s="60"/>
      <c r="H114" s="303"/>
      <c r="I114" s="304"/>
      <c r="J114" s="305"/>
      <c r="K114" s="306"/>
      <c r="L114" s="307"/>
      <c r="M114" s="243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</row>
    <row r="115" ht="13.5" customHeight="1">
      <c r="A115" s="243"/>
      <c r="B115" s="65"/>
      <c r="C115" s="65"/>
      <c r="D115" s="65"/>
      <c r="E115" s="60"/>
      <c r="F115" s="60"/>
      <c r="G115" s="60"/>
      <c r="H115" s="303"/>
      <c r="I115" s="304"/>
      <c r="J115" s="305"/>
      <c r="K115" s="306"/>
      <c r="L115" s="307"/>
      <c r="M115" s="243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</row>
    <row r="116" ht="13.5" customHeight="1">
      <c r="A116" s="243"/>
      <c r="B116" s="65"/>
      <c r="C116" s="65"/>
      <c r="D116" s="65"/>
      <c r="E116" s="60"/>
      <c r="F116" s="60"/>
      <c r="G116" s="60"/>
      <c r="H116" s="303"/>
      <c r="I116" s="304"/>
      <c r="J116" s="305"/>
      <c r="K116" s="306"/>
      <c r="L116" s="307"/>
      <c r="M116" s="243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</row>
    <row r="117" ht="13.5" customHeight="1">
      <c r="A117" s="243"/>
      <c r="B117" s="65"/>
      <c r="C117" s="65"/>
      <c r="D117" s="65"/>
      <c r="E117" s="60"/>
      <c r="F117" s="60"/>
      <c r="G117" s="60"/>
      <c r="H117" s="303"/>
      <c r="I117" s="304"/>
      <c r="J117" s="305"/>
      <c r="K117" s="306"/>
      <c r="L117" s="307"/>
      <c r="M117" s="243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</row>
    <row r="118" ht="13.5" customHeight="1">
      <c r="A118" s="243"/>
      <c r="B118" s="65"/>
      <c r="C118" s="65"/>
      <c r="D118" s="65"/>
      <c r="E118" s="60"/>
      <c r="F118" s="60"/>
      <c r="G118" s="60"/>
      <c r="H118" s="303"/>
      <c r="I118" s="304"/>
      <c r="J118" s="305"/>
      <c r="K118" s="306"/>
      <c r="L118" s="307"/>
      <c r="M118" s="243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</row>
    <row r="119" ht="13.5" customHeight="1">
      <c r="A119" s="243"/>
      <c r="B119" s="65"/>
      <c r="C119" s="65"/>
      <c r="D119" s="65"/>
      <c r="E119" s="60"/>
      <c r="F119" s="60"/>
      <c r="G119" s="60"/>
      <c r="H119" s="303"/>
      <c r="I119" s="304"/>
      <c r="J119" s="305"/>
      <c r="K119" s="306"/>
      <c r="L119" s="307"/>
      <c r="M119" s="243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</row>
    <row r="120" ht="13.5" customHeight="1">
      <c r="A120" s="243"/>
      <c r="B120" s="65"/>
      <c r="C120" s="65"/>
      <c r="D120" s="65"/>
      <c r="E120" s="60"/>
      <c r="F120" s="60"/>
      <c r="G120" s="60"/>
      <c r="H120" s="303"/>
      <c r="I120" s="304"/>
      <c r="J120" s="305"/>
      <c r="K120" s="306"/>
      <c r="L120" s="307"/>
      <c r="M120" s="243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</row>
    <row r="121" ht="13.5" customHeight="1">
      <c r="A121" s="243"/>
      <c r="B121" s="65"/>
      <c r="C121" s="65"/>
      <c r="D121" s="65"/>
      <c r="E121" s="60"/>
      <c r="F121" s="60"/>
      <c r="G121" s="60"/>
      <c r="H121" s="303"/>
      <c r="I121" s="304"/>
      <c r="J121" s="305"/>
      <c r="K121" s="306"/>
      <c r="L121" s="307"/>
      <c r="M121" s="243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</row>
    <row r="122" ht="13.5" customHeight="1">
      <c r="A122" s="243"/>
      <c r="B122" s="65"/>
      <c r="C122" s="65"/>
      <c r="D122" s="65"/>
      <c r="E122" s="60"/>
      <c r="F122" s="60"/>
      <c r="G122" s="60"/>
      <c r="H122" s="303"/>
      <c r="I122" s="304"/>
      <c r="J122" s="305"/>
      <c r="K122" s="306"/>
      <c r="L122" s="307"/>
      <c r="M122" s="243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</row>
    <row r="123" ht="13.5" customHeight="1">
      <c r="A123" s="243"/>
      <c r="B123" s="65"/>
      <c r="C123" s="65"/>
      <c r="D123" s="65"/>
      <c r="E123" s="60"/>
      <c r="F123" s="60"/>
      <c r="G123" s="60"/>
      <c r="H123" s="303"/>
      <c r="I123" s="304"/>
      <c r="J123" s="305"/>
      <c r="K123" s="306"/>
      <c r="L123" s="307"/>
      <c r="M123" s="243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</row>
    <row r="124" ht="13.5" customHeight="1">
      <c r="A124" s="243"/>
      <c r="B124" s="65"/>
      <c r="C124" s="65"/>
      <c r="D124" s="65"/>
      <c r="E124" s="60"/>
      <c r="F124" s="60"/>
      <c r="G124" s="60"/>
      <c r="H124" s="303"/>
      <c r="I124" s="304"/>
      <c r="J124" s="305"/>
      <c r="K124" s="306"/>
      <c r="L124" s="307"/>
      <c r="M124" s="243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</row>
    <row r="125" ht="13.5" customHeight="1">
      <c r="A125" s="243"/>
      <c r="B125" s="65"/>
      <c r="C125" s="65"/>
      <c r="D125" s="65"/>
      <c r="E125" s="60"/>
      <c r="F125" s="60"/>
      <c r="G125" s="60"/>
      <c r="H125" s="303"/>
      <c r="I125" s="304"/>
      <c r="J125" s="305"/>
      <c r="K125" s="306"/>
      <c r="L125" s="307"/>
      <c r="M125" s="243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</row>
    <row r="126" ht="13.5" customHeight="1">
      <c r="A126" s="243"/>
      <c r="B126" s="65"/>
      <c r="C126" s="65"/>
      <c r="D126" s="65"/>
      <c r="E126" s="60"/>
      <c r="F126" s="60"/>
      <c r="G126" s="60"/>
      <c r="H126" s="303"/>
      <c r="I126" s="304"/>
      <c r="J126" s="305"/>
      <c r="K126" s="306"/>
      <c r="L126" s="307"/>
      <c r="M126" s="243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</row>
    <row r="127" ht="13.5" customHeight="1">
      <c r="A127" s="243"/>
      <c r="B127" s="65"/>
      <c r="C127" s="65"/>
      <c r="D127" s="65"/>
      <c r="E127" s="60"/>
      <c r="F127" s="60"/>
      <c r="G127" s="60"/>
      <c r="H127" s="303"/>
      <c r="I127" s="304"/>
      <c r="J127" s="305"/>
      <c r="K127" s="306"/>
      <c r="L127" s="307"/>
      <c r="M127" s="243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</row>
    <row r="128" ht="13.5" customHeight="1">
      <c r="A128" s="243"/>
      <c r="B128" s="65"/>
      <c r="C128" s="65"/>
      <c r="D128" s="65"/>
      <c r="E128" s="60"/>
      <c r="F128" s="60"/>
      <c r="G128" s="60"/>
      <c r="H128" s="303"/>
      <c r="I128" s="304"/>
      <c r="J128" s="305"/>
      <c r="K128" s="306"/>
      <c r="L128" s="307"/>
      <c r="M128" s="243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</row>
    <row r="129" ht="13.5" customHeight="1">
      <c r="A129" s="243"/>
      <c r="B129" s="65"/>
      <c r="C129" s="65"/>
      <c r="D129" s="65"/>
      <c r="E129" s="60"/>
      <c r="F129" s="60"/>
      <c r="G129" s="60"/>
      <c r="H129" s="303"/>
      <c r="I129" s="304"/>
      <c r="J129" s="305"/>
      <c r="K129" s="306"/>
      <c r="L129" s="307"/>
      <c r="M129" s="243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</row>
    <row r="130" ht="13.5" customHeight="1">
      <c r="A130" s="243"/>
      <c r="B130" s="65"/>
      <c r="C130" s="65"/>
      <c r="D130" s="65"/>
      <c r="E130" s="60"/>
      <c r="F130" s="60"/>
      <c r="G130" s="60"/>
      <c r="H130" s="303"/>
      <c r="I130" s="304"/>
      <c r="J130" s="305"/>
      <c r="K130" s="306"/>
      <c r="L130" s="307"/>
      <c r="M130" s="243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</row>
    <row r="131" ht="13.5" customHeight="1">
      <c r="A131" s="243"/>
      <c r="B131" s="65"/>
      <c r="C131" s="65"/>
      <c r="D131" s="65"/>
      <c r="E131" s="60"/>
      <c r="F131" s="60"/>
      <c r="G131" s="60"/>
      <c r="H131" s="303"/>
      <c r="I131" s="304"/>
      <c r="J131" s="305"/>
      <c r="K131" s="306"/>
      <c r="L131" s="307"/>
      <c r="M131" s="243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</row>
    <row r="132" ht="13.5" customHeight="1">
      <c r="A132" s="243"/>
      <c r="B132" s="65"/>
      <c r="C132" s="65"/>
      <c r="D132" s="65"/>
      <c r="E132" s="60"/>
      <c r="F132" s="60"/>
      <c r="G132" s="60"/>
      <c r="H132" s="303"/>
      <c r="I132" s="304"/>
      <c r="J132" s="305"/>
      <c r="K132" s="306"/>
      <c r="L132" s="307"/>
      <c r="M132" s="243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</row>
    <row r="133" ht="13.5" customHeight="1">
      <c r="A133" s="243"/>
      <c r="B133" s="65"/>
      <c r="C133" s="65"/>
      <c r="D133" s="65"/>
      <c r="E133" s="60"/>
      <c r="F133" s="60"/>
      <c r="G133" s="60"/>
      <c r="H133" s="303"/>
      <c r="I133" s="304"/>
      <c r="J133" s="305"/>
      <c r="K133" s="306"/>
      <c r="L133" s="307"/>
      <c r="M133" s="243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</row>
    <row r="134" ht="13.5" customHeight="1">
      <c r="A134" s="243"/>
      <c r="B134" s="65"/>
      <c r="C134" s="65"/>
      <c r="D134" s="65"/>
      <c r="E134" s="60"/>
      <c r="F134" s="60"/>
      <c r="G134" s="60"/>
      <c r="H134" s="303"/>
      <c r="I134" s="304"/>
      <c r="J134" s="305"/>
      <c r="K134" s="306"/>
      <c r="L134" s="307"/>
      <c r="M134" s="243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</row>
    <row r="135" ht="13.5" customHeight="1">
      <c r="A135" s="243"/>
      <c r="B135" s="65"/>
      <c r="C135" s="65"/>
      <c r="D135" s="65"/>
      <c r="E135" s="60"/>
      <c r="F135" s="60"/>
      <c r="G135" s="60"/>
      <c r="H135" s="303"/>
      <c r="I135" s="304"/>
      <c r="J135" s="305"/>
      <c r="K135" s="306"/>
      <c r="L135" s="307"/>
      <c r="M135" s="243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</row>
    <row r="136" ht="13.5" customHeight="1">
      <c r="A136" s="243"/>
      <c r="B136" s="65"/>
      <c r="C136" s="65"/>
      <c r="D136" s="65"/>
      <c r="E136" s="60"/>
      <c r="F136" s="60"/>
      <c r="G136" s="60"/>
      <c r="H136" s="303"/>
      <c r="I136" s="304"/>
      <c r="J136" s="305"/>
      <c r="K136" s="306"/>
      <c r="L136" s="307"/>
      <c r="M136" s="243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</row>
    <row r="137" ht="13.5" customHeight="1">
      <c r="A137" s="243"/>
      <c r="B137" s="65"/>
      <c r="C137" s="65"/>
      <c r="D137" s="65"/>
      <c r="E137" s="60"/>
      <c r="F137" s="60"/>
      <c r="G137" s="60"/>
      <c r="H137" s="303"/>
      <c r="I137" s="304"/>
      <c r="J137" s="305"/>
      <c r="K137" s="306"/>
      <c r="L137" s="307"/>
      <c r="M137" s="243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</row>
    <row r="138" ht="13.5" customHeight="1">
      <c r="A138" s="243"/>
      <c r="B138" s="65"/>
      <c r="C138" s="65"/>
      <c r="D138" s="65"/>
      <c r="E138" s="60"/>
      <c r="F138" s="60"/>
      <c r="G138" s="60"/>
      <c r="H138" s="303"/>
      <c r="I138" s="304"/>
      <c r="J138" s="305"/>
      <c r="K138" s="306"/>
      <c r="L138" s="307"/>
      <c r="M138" s="243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</row>
    <row r="139" ht="13.5" customHeight="1">
      <c r="A139" s="243"/>
      <c r="B139" s="65"/>
      <c r="C139" s="65"/>
      <c r="D139" s="65"/>
      <c r="E139" s="60"/>
      <c r="F139" s="60"/>
      <c r="G139" s="60"/>
      <c r="H139" s="303"/>
      <c r="I139" s="304"/>
      <c r="J139" s="305"/>
      <c r="K139" s="306"/>
      <c r="L139" s="307"/>
      <c r="M139" s="243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</row>
    <row r="140" ht="13.5" customHeight="1">
      <c r="A140" s="243"/>
      <c r="B140" s="65"/>
      <c r="C140" s="65"/>
      <c r="D140" s="65"/>
      <c r="E140" s="60"/>
      <c r="F140" s="60"/>
      <c r="G140" s="60"/>
      <c r="H140" s="303"/>
      <c r="I140" s="304"/>
      <c r="J140" s="305"/>
      <c r="K140" s="306"/>
      <c r="L140" s="307"/>
      <c r="M140" s="243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</row>
    <row r="141" ht="13.5" customHeight="1">
      <c r="A141" s="243"/>
      <c r="B141" s="65"/>
      <c r="C141" s="65"/>
      <c r="D141" s="65"/>
      <c r="E141" s="60"/>
      <c r="F141" s="60"/>
      <c r="G141" s="60"/>
      <c r="H141" s="303"/>
      <c r="I141" s="304"/>
      <c r="J141" s="305"/>
      <c r="K141" s="306"/>
      <c r="L141" s="307"/>
      <c r="M141" s="243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</row>
    <row r="142" ht="13.5" customHeight="1">
      <c r="A142" s="243"/>
      <c r="B142" s="65"/>
      <c r="C142" s="65"/>
      <c r="D142" s="65"/>
      <c r="E142" s="60"/>
      <c r="F142" s="60"/>
      <c r="G142" s="60"/>
      <c r="H142" s="303"/>
      <c r="I142" s="304"/>
      <c r="J142" s="305"/>
      <c r="K142" s="306"/>
      <c r="L142" s="307"/>
      <c r="M142" s="243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</row>
    <row r="143" ht="13.5" customHeight="1">
      <c r="A143" s="243"/>
      <c r="B143" s="65"/>
      <c r="C143" s="65"/>
      <c r="D143" s="65"/>
      <c r="E143" s="60"/>
      <c r="F143" s="60"/>
      <c r="G143" s="60"/>
      <c r="H143" s="303"/>
      <c r="I143" s="304"/>
      <c r="J143" s="305"/>
      <c r="K143" s="306"/>
      <c r="L143" s="307"/>
      <c r="M143" s="243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</row>
    <row r="144" ht="13.5" customHeight="1">
      <c r="A144" s="243"/>
      <c r="B144" s="65"/>
      <c r="C144" s="65"/>
      <c r="D144" s="65"/>
      <c r="E144" s="60"/>
      <c r="F144" s="60"/>
      <c r="G144" s="60"/>
      <c r="H144" s="303"/>
      <c r="I144" s="304"/>
      <c r="J144" s="305"/>
      <c r="K144" s="306"/>
      <c r="L144" s="307"/>
      <c r="M144" s="243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</row>
    <row r="145" ht="13.5" customHeight="1">
      <c r="A145" s="243"/>
      <c r="B145" s="65"/>
      <c r="C145" s="65"/>
      <c r="D145" s="65"/>
      <c r="E145" s="60"/>
      <c r="F145" s="60"/>
      <c r="G145" s="60"/>
      <c r="H145" s="303"/>
      <c r="I145" s="304"/>
      <c r="J145" s="305"/>
      <c r="K145" s="306"/>
      <c r="L145" s="307"/>
      <c r="M145" s="243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</row>
    <row r="146" ht="13.5" customHeight="1">
      <c r="A146" s="243"/>
      <c r="B146" s="65"/>
      <c r="C146" s="65"/>
      <c r="D146" s="65"/>
      <c r="E146" s="60"/>
      <c r="F146" s="60"/>
      <c r="G146" s="60"/>
      <c r="H146" s="303"/>
      <c r="I146" s="304"/>
      <c r="J146" s="305"/>
      <c r="K146" s="306"/>
      <c r="L146" s="307"/>
      <c r="M146" s="243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</row>
    <row r="147" ht="13.5" customHeight="1">
      <c r="A147" s="243"/>
      <c r="B147" s="65"/>
      <c r="C147" s="65"/>
      <c r="D147" s="65"/>
      <c r="E147" s="60"/>
      <c r="F147" s="60"/>
      <c r="G147" s="60"/>
      <c r="H147" s="303"/>
      <c r="I147" s="304"/>
      <c r="J147" s="305"/>
      <c r="K147" s="306"/>
      <c r="L147" s="307"/>
      <c r="M147" s="243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</row>
    <row r="148" ht="13.5" customHeight="1">
      <c r="A148" s="243"/>
      <c r="B148" s="65"/>
      <c r="C148" s="65"/>
      <c r="D148" s="65"/>
      <c r="E148" s="60"/>
      <c r="F148" s="60"/>
      <c r="G148" s="60"/>
      <c r="H148" s="303"/>
      <c r="I148" s="304"/>
      <c r="J148" s="305"/>
      <c r="K148" s="306"/>
      <c r="L148" s="307"/>
      <c r="M148" s="243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</row>
    <row r="149" ht="13.5" customHeight="1">
      <c r="A149" s="243"/>
      <c r="B149" s="65"/>
      <c r="C149" s="65"/>
      <c r="D149" s="65"/>
      <c r="E149" s="60"/>
      <c r="F149" s="60"/>
      <c r="G149" s="60"/>
      <c r="H149" s="303"/>
      <c r="I149" s="304"/>
      <c r="J149" s="305"/>
      <c r="K149" s="306"/>
      <c r="L149" s="307"/>
      <c r="M149" s="243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</row>
    <row r="150" ht="13.5" customHeight="1">
      <c r="A150" s="243"/>
      <c r="B150" s="65"/>
      <c r="C150" s="65"/>
      <c r="D150" s="65"/>
      <c r="E150" s="60"/>
      <c r="F150" s="60"/>
      <c r="G150" s="60"/>
      <c r="H150" s="303"/>
      <c r="I150" s="304"/>
      <c r="J150" s="305"/>
      <c r="K150" s="306"/>
      <c r="L150" s="307"/>
      <c r="M150" s="243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</row>
    <row r="151" ht="13.5" customHeight="1">
      <c r="A151" s="243"/>
      <c r="B151" s="65"/>
      <c r="C151" s="65"/>
      <c r="D151" s="65"/>
      <c r="E151" s="60"/>
      <c r="F151" s="60"/>
      <c r="G151" s="60"/>
      <c r="H151" s="303"/>
      <c r="I151" s="304"/>
      <c r="J151" s="305"/>
      <c r="K151" s="306"/>
      <c r="L151" s="307"/>
      <c r="M151" s="243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</row>
    <row r="152" ht="13.5" customHeight="1">
      <c r="A152" s="243"/>
      <c r="B152" s="65"/>
      <c r="C152" s="65"/>
      <c r="D152" s="65"/>
      <c r="E152" s="60"/>
      <c r="F152" s="60"/>
      <c r="G152" s="60"/>
      <c r="H152" s="303"/>
      <c r="I152" s="304"/>
      <c r="J152" s="305"/>
      <c r="K152" s="306"/>
      <c r="L152" s="307"/>
      <c r="M152" s="243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</row>
    <row r="153" ht="13.5" customHeight="1">
      <c r="A153" s="243"/>
      <c r="B153" s="65"/>
      <c r="C153" s="65"/>
      <c r="D153" s="65"/>
      <c r="E153" s="60"/>
      <c r="F153" s="60"/>
      <c r="G153" s="60"/>
      <c r="H153" s="303"/>
      <c r="I153" s="304"/>
      <c r="J153" s="305"/>
      <c r="K153" s="306"/>
      <c r="L153" s="307"/>
      <c r="M153" s="243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</row>
    <row r="154" ht="13.5" customHeight="1">
      <c r="A154" s="243"/>
      <c r="B154" s="65"/>
      <c r="C154" s="65"/>
      <c r="D154" s="65"/>
      <c r="E154" s="60"/>
      <c r="F154" s="60"/>
      <c r="G154" s="60"/>
      <c r="H154" s="303"/>
      <c r="I154" s="304"/>
      <c r="J154" s="305"/>
      <c r="K154" s="306"/>
      <c r="L154" s="307"/>
      <c r="M154" s="243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</row>
    <row r="155" ht="13.5" customHeight="1">
      <c r="A155" s="243"/>
      <c r="B155" s="65"/>
      <c r="C155" s="65"/>
      <c r="D155" s="65"/>
      <c r="E155" s="60"/>
      <c r="F155" s="60"/>
      <c r="G155" s="60"/>
      <c r="H155" s="303"/>
      <c r="I155" s="304"/>
      <c r="J155" s="305"/>
      <c r="K155" s="306"/>
      <c r="L155" s="307"/>
      <c r="M155" s="243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</row>
    <row r="156" ht="13.5" customHeight="1">
      <c r="A156" s="243"/>
      <c r="B156" s="65"/>
      <c r="C156" s="65"/>
      <c r="D156" s="65"/>
      <c r="E156" s="60"/>
      <c r="F156" s="60"/>
      <c r="G156" s="60"/>
      <c r="H156" s="303"/>
      <c r="I156" s="304"/>
      <c r="J156" s="305"/>
      <c r="K156" s="306"/>
      <c r="L156" s="307"/>
      <c r="M156" s="243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</row>
    <row r="157" ht="13.5" customHeight="1">
      <c r="A157" s="243"/>
      <c r="B157" s="65"/>
      <c r="C157" s="65"/>
      <c r="D157" s="65"/>
      <c r="E157" s="60"/>
      <c r="F157" s="60"/>
      <c r="G157" s="60"/>
      <c r="H157" s="303"/>
      <c r="I157" s="304"/>
      <c r="J157" s="305"/>
      <c r="K157" s="306"/>
      <c r="L157" s="307"/>
      <c r="M157" s="243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</row>
    <row r="158" ht="13.5" customHeight="1">
      <c r="A158" s="243"/>
      <c r="B158" s="65"/>
      <c r="C158" s="65"/>
      <c r="D158" s="65"/>
      <c r="E158" s="60"/>
      <c r="F158" s="60"/>
      <c r="G158" s="60"/>
      <c r="H158" s="303"/>
      <c r="I158" s="304"/>
      <c r="J158" s="305"/>
      <c r="K158" s="306"/>
      <c r="L158" s="307"/>
      <c r="M158" s="243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</row>
    <row r="159" ht="13.5" customHeight="1">
      <c r="A159" s="243"/>
      <c r="B159" s="65"/>
      <c r="C159" s="65"/>
      <c r="D159" s="65"/>
      <c r="E159" s="60"/>
      <c r="F159" s="60"/>
      <c r="G159" s="60"/>
      <c r="H159" s="303"/>
      <c r="I159" s="304"/>
      <c r="J159" s="305"/>
      <c r="K159" s="306"/>
      <c r="L159" s="307"/>
      <c r="M159" s="243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</row>
    <row r="160" ht="13.5" customHeight="1">
      <c r="A160" s="243"/>
      <c r="B160" s="65"/>
      <c r="C160" s="65"/>
      <c r="D160" s="65"/>
      <c r="E160" s="60"/>
      <c r="F160" s="60"/>
      <c r="G160" s="60"/>
      <c r="H160" s="303"/>
      <c r="I160" s="304"/>
      <c r="J160" s="305"/>
      <c r="K160" s="306"/>
      <c r="L160" s="307"/>
      <c r="M160" s="243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</row>
    <row r="161" ht="13.5" customHeight="1">
      <c r="A161" s="243"/>
      <c r="B161" s="65"/>
      <c r="C161" s="65"/>
      <c r="D161" s="65"/>
      <c r="E161" s="60"/>
      <c r="F161" s="60"/>
      <c r="G161" s="60"/>
      <c r="H161" s="303"/>
      <c r="I161" s="304"/>
      <c r="J161" s="305"/>
      <c r="K161" s="306"/>
      <c r="L161" s="307"/>
      <c r="M161" s="243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</row>
    <row r="162" ht="13.5" customHeight="1">
      <c r="A162" s="243"/>
      <c r="B162" s="65"/>
      <c r="C162" s="65"/>
      <c r="D162" s="65"/>
      <c r="E162" s="60"/>
      <c r="F162" s="60"/>
      <c r="G162" s="60"/>
      <c r="H162" s="303"/>
      <c r="I162" s="304"/>
      <c r="J162" s="305"/>
      <c r="K162" s="306"/>
      <c r="L162" s="307"/>
      <c r="M162" s="243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</row>
    <row r="163" ht="13.5" customHeight="1">
      <c r="A163" s="243"/>
      <c r="B163" s="65"/>
      <c r="C163" s="65"/>
      <c r="D163" s="65"/>
      <c r="E163" s="60"/>
      <c r="F163" s="60"/>
      <c r="G163" s="60"/>
      <c r="H163" s="303"/>
      <c r="I163" s="304"/>
      <c r="J163" s="305"/>
      <c r="K163" s="306"/>
      <c r="L163" s="307"/>
      <c r="M163" s="243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</row>
    <row r="164" ht="13.5" customHeight="1">
      <c r="A164" s="243"/>
      <c r="B164" s="65"/>
      <c r="C164" s="65"/>
      <c r="D164" s="65"/>
      <c r="E164" s="60"/>
      <c r="F164" s="60"/>
      <c r="G164" s="60"/>
      <c r="H164" s="303"/>
      <c r="I164" s="304"/>
      <c r="J164" s="305"/>
      <c r="K164" s="306"/>
      <c r="L164" s="307"/>
      <c r="M164" s="243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</row>
    <row r="165" ht="13.5" customHeight="1">
      <c r="A165" s="243"/>
      <c r="B165" s="65"/>
      <c r="C165" s="65"/>
      <c r="D165" s="65"/>
      <c r="E165" s="60"/>
      <c r="F165" s="60"/>
      <c r="G165" s="60"/>
      <c r="H165" s="303"/>
      <c r="I165" s="304"/>
      <c r="J165" s="305"/>
      <c r="K165" s="306"/>
      <c r="L165" s="307"/>
      <c r="M165" s="243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</row>
    <row r="166" ht="13.5" customHeight="1">
      <c r="A166" s="243"/>
      <c r="B166" s="65"/>
      <c r="C166" s="65"/>
      <c r="D166" s="65"/>
      <c r="E166" s="60"/>
      <c r="F166" s="60"/>
      <c r="G166" s="60"/>
      <c r="H166" s="303"/>
      <c r="I166" s="304"/>
      <c r="J166" s="305"/>
      <c r="K166" s="306"/>
      <c r="L166" s="307"/>
      <c r="M166" s="243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</row>
    <row r="167" ht="13.5" customHeight="1">
      <c r="A167" s="243"/>
      <c r="B167" s="65"/>
      <c r="C167" s="65"/>
      <c r="D167" s="65"/>
      <c r="E167" s="60"/>
      <c r="F167" s="60"/>
      <c r="G167" s="60"/>
      <c r="H167" s="303"/>
      <c r="I167" s="304"/>
      <c r="J167" s="305"/>
      <c r="K167" s="306"/>
      <c r="L167" s="307"/>
      <c r="M167" s="243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</row>
    <row r="168" ht="13.5" customHeight="1">
      <c r="A168" s="243"/>
      <c r="B168" s="65"/>
      <c r="C168" s="65"/>
      <c r="D168" s="65"/>
      <c r="E168" s="60"/>
      <c r="F168" s="60"/>
      <c r="G168" s="60"/>
      <c r="H168" s="303"/>
      <c r="I168" s="304"/>
      <c r="J168" s="305"/>
      <c r="K168" s="306"/>
      <c r="L168" s="307"/>
      <c r="M168" s="243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</row>
    <row r="169" ht="13.5" customHeight="1">
      <c r="A169" s="243"/>
      <c r="B169" s="65"/>
      <c r="C169" s="65"/>
      <c r="D169" s="65"/>
      <c r="E169" s="60"/>
      <c r="F169" s="60"/>
      <c r="G169" s="60"/>
      <c r="H169" s="303"/>
      <c r="I169" s="304"/>
      <c r="J169" s="305"/>
      <c r="K169" s="306"/>
      <c r="L169" s="307"/>
      <c r="M169" s="243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</row>
    <row r="170" ht="13.5" customHeight="1">
      <c r="A170" s="243"/>
      <c r="B170" s="65"/>
      <c r="C170" s="65"/>
      <c r="D170" s="65"/>
      <c r="E170" s="60"/>
      <c r="F170" s="60"/>
      <c r="G170" s="60"/>
      <c r="H170" s="303"/>
      <c r="I170" s="304"/>
      <c r="J170" s="305"/>
      <c r="K170" s="306"/>
      <c r="L170" s="307"/>
      <c r="M170" s="243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</row>
    <row r="171" ht="13.5" customHeight="1">
      <c r="A171" s="243"/>
      <c r="B171" s="65"/>
      <c r="C171" s="65"/>
      <c r="D171" s="65"/>
      <c r="E171" s="60"/>
      <c r="F171" s="60"/>
      <c r="G171" s="60"/>
      <c r="H171" s="303"/>
      <c r="I171" s="304"/>
      <c r="J171" s="305"/>
      <c r="K171" s="306"/>
      <c r="L171" s="307"/>
      <c r="M171" s="243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</row>
    <row r="172" ht="13.5" customHeight="1">
      <c r="A172" s="243"/>
      <c r="B172" s="65"/>
      <c r="C172" s="65"/>
      <c r="D172" s="65"/>
      <c r="E172" s="60"/>
      <c r="F172" s="60"/>
      <c r="G172" s="60"/>
      <c r="H172" s="303"/>
      <c r="I172" s="304"/>
      <c r="J172" s="305"/>
      <c r="K172" s="306"/>
      <c r="L172" s="307"/>
      <c r="M172" s="243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</row>
    <row r="173" ht="13.5" customHeight="1">
      <c r="A173" s="243"/>
      <c r="B173" s="65"/>
      <c r="C173" s="65"/>
      <c r="D173" s="65"/>
      <c r="E173" s="60"/>
      <c r="F173" s="60"/>
      <c r="G173" s="60"/>
      <c r="H173" s="303"/>
      <c r="I173" s="304"/>
      <c r="J173" s="305"/>
      <c r="K173" s="306"/>
      <c r="L173" s="307"/>
      <c r="M173" s="243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</row>
    <row r="174" ht="13.5" customHeight="1">
      <c r="A174" s="243"/>
      <c r="B174" s="65"/>
      <c r="C174" s="65"/>
      <c r="D174" s="65"/>
      <c r="E174" s="60"/>
      <c r="F174" s="60"/>
      <c r="G174" s="60"/>
      <c r="H174" s="303"/>
      <c r="I174" s="304"/>
      <c r="J174" s="305"/>
      <c r="K174" s="306"/>
      <c r="L174" s="307"/>
      <c r="M174" s="243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</row>
    <row r="175" ht="13.5" customHeight="1">
      <c r="A175" s="243"/>
      <c r="B175" s="65"/>
      <c r="C175" s="65"/>
      <c r="D175" s="65"/>
      <c r="E175" s="60"/>
      <c r="F175" s="60"/>
      <c r="G175" s="60"/>
      <c r="H175" s="303"/>
      <c r="I175" s="304"/>
      <c r="J175" s="305"/>
      <c r="K175" s="306"/>
      <c r="L175" s="307"/>
      <c r="M175" s="243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</row>
    <row r="176" ht="13.5" customHeight="1">
      <c r="A176" s="243"/>
      <c r="B176" s="65"/>
      <c r="C176" s="65"/>
      <c r="D176" s="65"/>
      <c r="E176" s="60"/>
      <c r="F176" s="60"/>
      <c r="G176" s="60"/>
      <c r="H176" s="303"/>
      <c r="I176" s="304"/>
      <c r="J176" s="305"/>
      <c r="K176" s="306"/>
      <c r="L176" s="307"/>
      <c r="M176" s="243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</row>
    <row r="177" ht="13.5" customHeight="1">
      <c r="A177" s="243"/>
      <c r="B177" s="65"/>
      <c r="C177" s="65"/>
      <c r="D177" s="65"/>
      <c r="E177" s="60"/>
      <c r="F177" s="60"/>
      <c r="G177" s="60"/>
      <c r="H177" s="303"/>
      <c r="I177" s="304"/>
      <c r="J177" s="305"/>
      <c r="K177" s="306"/>
      <c r="L177" s="307"/>
      <c r="M177" s="243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</row>
    <row r="178" ht="13.5" customHeight="1">
      <c r="A178" s="243"/>
      <c r="B178" s="65"/>
      <c r="C178" s="65"/>
      <c r="D178" s="65"/>
      <c r="E178" s="60"/>
      <c r="F178" s="60"/>
      <c r="G178" s="60"/>
      <c r="H178" s="303"/>
      <c r="I178" s="304"/>
      <c r="J178" s="305"/>
      <c r="K178" s="306"/>
      <c r="L178" s="307"/>
      <c r="M178" s="243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</row>
    <row r="179" ht="13.5" customHeight="1">
      <c r="A179" s="243"/>
      <c r="B179" s="65"/>
      <c r="C179" s="65"/>
      <c r="D179" s="65"/>
      <c r="E179" s="60"/>
      <c r="F179" s="60"/>
      <c r="G179" s="60"/>
      <c r="H179" s="303"/>
      <c r="I179" s="304"/>
      <c r="J179" s="305"/>
      <c r="K179" s="306"/>
      <c r="L179" s="307"/>
      <c r="M179" s="243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</row>
    <row r="180" ht="13.5" customHeight="1">
      <c r="A180" s="243"/>
      <c r="B180" s="65"/>
      <c r="C180" s="65"/>
      <c r="D180" s="65"/>
      <c r="E180" s="60"/>
      <c r="F180" s="60"/>
      <c r="G180" s="60"/>
      <c r="H180" s="303"/>
      <c r="I180" s="304"/>
      <c r="J180" s="305"/>
      <c r="K180" s="306"/>
      <c r="L180" s="307"/>
      <c r="M180" s="243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</row>
    <row r="181" ht="13.5" customHeight="1">
      <c r="A181" s="243"/>
      <c r="B181" s="65"/>
      <c r="C181" s="65"/>
      <c r="D181" s="65"/>
      <c r="E181" s="60"/>
      <c r="F181" s="60"/>
      <c r="G181" s="60"/>
      <c r="H181" s="303"/>
      <c r="I181" s="304"/>
      <c r="J181" s="305"/>
      <c r="K181" s="306"/>
      <c r="L181" s="307"/>
      <c r="M181" s="243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</row>
    <row r="182" ht="13.5" customHeight="1">
      <c r="A182" s="243"/>
      <c r="B182" s="65"/>
      <c r="C182" s="65"/>
      <c r="D182" s="65"/>
      <c r="E182" s="60"/>
      <c r="F182" s="60"/>
      <c r="G182" s="60"/>
      <c r="H182" s="303"/>
      <c r="I182" s="304"/>
      <c r="J182" s="305"/>
      <c r="K182" s="306"/>
      <c r="L182" s="307"/>
      <c r="M182" s="243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</row>
    <row r="183" ht="13.5" customHeight="1">
      <c r="A183" s="243"/>
      <c r="B183" s="65"/>
      <c r="C183" s="65"/>
      <c r="D183" s="65"/>
      <c r="E183" s="60"/>
      <c r="F183" s="60"/>
      <c r="G183" s="60"/>
      <c r="H183" s="303"/>
      <c r="I183" s="304"/>
      <c r="J183" s="305"/>
      <c r="K183" s="306"/>
      <c r="L183" s="307"/>
      <c r="M183" s="243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</row>
    <row r="184" ht="13.5" customHeight="1">
      <c r="A184" s="243"/>
      <c r="B184" s="65"/>
      <c r="C184" s="65"/>
      <c r="D184" s="65"/>
      <c r="E184" s="60"/>
      <c r="F184" s="60"/>
      <c r="G184" s="60"/>
      <c r="H184" s="303"/>
      <c r="I184" s="304"/>
      <c r="J184" s="305"/>
      <c r="K184" s="306"/>
      <c r="L184" s="307"/>
      <c r="M184" s="243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</row>
    <row r="185" ht="13.5" customHeight="1">
      <c r="A185" s="243"/>
      <c r="B185" s="65"/>
      <c r="C185" s="65"/>
      <c r="D185" s="65"/>
      <c r="E185" s="60"/>
      <c r="F185" s="60"/>
      <c r="G185" s="60"/>
      <c r="H185" s="303"/>
      <c r="I185" s="304"/>
      <c r="J185" s="305"/>
      <c r="K185" s="306"/>
      <c r="L185" s="307"/>
      <c r="M185" s="243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</row>
    <row r="186" ht="13.5" customHeight="1">
      <c r="A186" s="243"/>
      <c r="B186" s="65"/>
      <c r="C186" s="65"/>
      <c r="D186" s="65"/>
      <c r="E186" s="60"/>
      <c r="F186" s="60"/>
      <c r="G186" s="60"/>
      <c r="H186" s="303"/>
      <c r="I186" s="304"/>
      <c r="J186" s="305"/>
      <c r="K186" s="306"/>
      <c r="L186" s="307"/>
      <c r="M186" s="243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</row>
    <row r="187" ht="13.5" customHeight="1">
      <c r="A187" s="243"/>
      <c r="B187" s="65"/>
      <c r="C187" s="65"/>
      <c r="D187" s="65"/>
      <c r="E187" s="60"/>
      <c r="F187" s="60"/>
      <c r="G187" s="60"/>
      <c r="H187" s="303"/>
      <c r="I187" s="304"/>
      <c r="J187" s="305"/>
      <c r="K187" s="306"/>
      <c r="L187" s="307"/>
      <c r="M187" s="243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</row>
    <row r="188" ht="13.5" customHeight="1">
      <c r="A188" s="243"/>
      <c r="B188" s="65"/>
      <c r="C188" s="65"/>
      <c r="D188" s="65"/>
      <c r="E188" s="60"/>
      <c r="F188" s="60"/>
      <c r="G188" s="60"/>
      <c r="H188" s="303"/>
      <c r="I188" s="304"/>
      <c r="J188" s="305"/>
      <c r="K188" s="306"/>
      <c r="L188" s="307"/>
      <c r="M188" s="243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</row>
    <row r="189" ht="13.5" customHeight="1">
      <c r="A189" s="243"/>
      <c r="B189" s="65"/>
      <c r="C189" s="65"/>
      <c r="D189" s="65"/>
      <c r="E189" s="60"/>
      <c r="F189" s="60"/>
      <c r="G189" s="60"/>
      <c r="H189" s="303"/>
      <c r="I189" s="304"/>
      <c r="J189" s="305"/>
      <c r="K189" s="306"/>
      <c r="L189" s="307"/>
      <c r="M189" s="243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</row>
    <row r="190" ht="13.5" customHeight="1">
      <c r="A190" s="243"/>
      <c r="B190" s="65"/>
      <c r="C190" s="65"/>
      <c r="D190" s="65"/>
      <c r="E190" s="60"/>
      <c r="F190" s="60"/>
      <c r="G190" s="60"/>
      <c r="H190" s="303"/>
      <c r="I190" s="304"/>
      <c r="J190" s="305"/>
      <c r="K190" s="306"/>
      <c r="L190" s="307"/>
      <c r="M190" s="243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</row>
    <row r="191" ht="13.5" customHeight="1">
      <c r="A191" s="243"/>
      <c r="B191" s="65"/>
      <c r="C191" s="65"/>
      <c r="D191" s="65"/>
      <c r="E191" s="60"/>
      <c r="F191" s="60"/>
      <c r="G191" s="60"/>
      <c r="H191" s="303"/>
      <c r="I191" s="304"/>
      <c r="J191" s="305"/>
      <c r="K191" s="306"/>
      <c r="L191" s="307"/>
      <c r="M191" s="243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</row>
    <row r="192" ht="13.5" customHeight="1">
      <c r="A192" s="243"/>
      <c r="B192" s="65"/>
      <c r="C192" s="65"/>
      <c r="D192" s="65"/>
      <c r="E192" s="60"/>
      <c r="F192" s="60"/>
      <c r="G192" s="60"/>
      <c r="H192" s="303"/>
      <c r="I192" s="304"/>
      <c r="J192" s="305"/>
      <c r="K192" s="306"/>
      <c r="L192" s="307"/>
      <c r="M192" s="243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</row>
    <row r="193" ht="13.5" customHeight="1">
      <c r="A193" s="243"/>
      <c r="B193" s="65"/>
      <c r="C193" s="65"/>
      <c r="D193" s="65"/>
      <c r="E193" s="60"/>
      <c r="F193" s="60"/>
      <c r="G193" s="60"/>
      <c r="H193" s="303"/>
      <c r="I193" s="304"/>
      <c r="J193" s="305"/>
      <c r="K193" s="306"/>
      <c r="L193" s="307"/>
      <c r="M193" s="243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</row>
    <row r="194" ht="13.5" customHeight="1">
      <c r="A194" s="243"/>
      <c r="B194" s="65"/>
      <c r="C194" s="65"/>
      <c r="D194" s="65"/>
      <c r="E194" s="60"/>
      <c r="F194" s="60"/>
      <c r="G194" s="60"/>
      <c r="H194" s="303"/>
      <c r="I194" s="304"/>
      <c r="J194" s="305"/>
      <c r="K194" s="306"/>
      <c r="L194" s="307"/>
      <c r="M194" s="243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</row>
    <row r="195" ht="13.5" customHeight="1">
      <c r="A195" s="243"/>
      <c r="B195" s="65"/>
      <c r="C195" s="65"/>
      <c r="D195" s="65"/>
      <c r="E195" s="60"/>
      <c r="F195" s="60"/>
      <c r="G195" s="60"/>
      <c r="H195" s="303"/>
      <c r="I195" s="304"/>
      <c r="J195" s="305"/>
      <c r="K195" s="306"/>
      <c r="L195" s="307"/>
      <c r="M195" s="243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</row>
    <row r="196" ht="13.5" customHeight="1">
      <c r="A196" s="243"/>
      <c r="B196" s="65"/>
      <c r="C196" s="65"/>
      <c r="D196" s="65"/>
      <c r="E196" s="60"/>
      <c r="F196" s="60"/>
      <c r="G196" s="60"/>
      <c r="H196" s="303"/>
      <c r="I196" s="304"/>
      <c r="J196" s="305"/>
      <c r="K196" s="306"/>
      <c r="L196" s="307"/>
      <c r="M196" s="243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</row>
    <row r="197" ht="13.5" customHeight="1">
      <c r="A197" s="243"/>
      <c r="B197" s="65"/>
      <c r="C197" s="65"/>
      <c r="D197" s="65"/>
      <c r="E197" s="60"/>
      <c r="F197" s="60"/>
      <c r="G197" s="60"/>
      <c r="H197" s="303"/>
      <c r="I197" s="304"/>
      <c r="J197" s="305"/>
      <c r="K197" s="306"/>
      <c r="L197" s="307"/>
      <c r="M197" s="243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</row>
    <row r="198" ht="13.5" customHeight="1">
      <c r="A198" s="243"/>
      <c r="B198" s="65"/>
      <c r="C198" s="65"/>
      <c r="D198" s="65"/>
      <c r="E198" s="60"/>
      <c r="F198" s="60"/>
      <c r="G198" s="60"/>
      <c r="H198" s="303"/>
      <c r="I198" s="304"/>
      <c r="J198" s="305"/>
      <c r="K198" s="306"/>
      <c r="L198" s="307"/>
      <c r="M198" s="243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</row>
    <row r="199" ht="13.5" customHeight="1">
      <c r="A199" s="243"/>
      <c r="B199" s="65"/>
      <c r="C199" s="65"/>
      <c r="D199" s="65"/>
      <c r="E199" s="60"/>
      <c r="F199" s="60"/>
      <c r="G199" s="60"/>
      <c r="H199" s="303"/>
      <c r="I199" s="304"/>
      <c r="J199" s="305"/>
      <c r="K199" s="306"/>
      <c r="L199" s="307"/>
      <c r="M199" s="243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</row>
    <row r="200" ht="13.5" customHeight="1">
      <c r="A200" s="243"/>
      <c r="B200" s="65"/>
      <c r="C200" s="65"/>
      <c r="D200" s="65"/>
      <c r="E200" s="60"/>
      <c r="F200" s="60"/>
      <c r="G200" s="60"/>
      <c r="H200" s="303"/>
      <c r="I200" s="304"/>
      <c r="J200" s="305"/>
      <c r="K200" s="306"/>
      <c r="L200" s="307"/>
      <c r="M200" s="243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</row>
    <row r="201" ht="13.5" customHeight="1">
      <c r="A201" s="243"/>
      <c r="B201" s="65"/>
      <c r="C201" s="65"/>
      <c r="D201" s="65"/>
      <c r="E201" s="60"/>
      <c r="F201" s="60"/>
      <c r="G201" s="60"/>
      <c r="H201" s="303"/>
      <c r="I201" s="304"/>
      <c r="J201" s="305"/>
      <c r="K201" s="306"/>
      <c r="L201" s="307"/>
      <c r="M201" s="243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</row>
    <row r="202" ht="13.5" customHeight="1">
      <c r="A202" s="243"/>
      <c r="B202" s="65"/>
      <c r="C202" s="65"/>
      <c r="D202" s="65"/>
      <c r="E202" s="60"/>
      <c r="F202" s="60"/>
      <c r="G202" s="60"/>
      <c r="H202" s="303"/>
      <c r="I202" s="304"/>
      <c r="J202" s="305"/>
      <c r="K202" s="306"/>
      <c r="L202" s="307"/>
      <c r="M202" s="243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</row>
    <row r="203" ht="13.5" customHeight="1">
      <c r="A203" s="243"/>
      <c r="B203" s="65"/>
      <c r="C203" s="65"/>
      <c r="D203" s="65"/>
      <c r="E203" s="60"/>
      <c r="F203" s="60"/>
      <c r="G203" s="60"/>
      <c r="H203" s="303"/>
      <c r="I203" s="304"/>
      <c r="J203" s="305"/>
      <c r="K203" s="306"/>
      <c r="L203" s="307"/>
      <c r="M203" s="243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</row>
    <row r="204" ht="13.5" customHeight="1">
      <c r="A204" s="243"/>
      <c r="B204" s="65"/>
      <c r="C204" s="65"/>
      <c r="D204" s="65"/>
      <c r="E204" s="60"/>
      <c r="F204" s="60"/>
      <c r="G204" s="60"/>
      <c r="H204" s="303"/>
      <c r="I204" s="304"/>
      <c r="J204" s="305"/>
      <c r="K204" s="306"/>
      <c r="L204" s="307"/>
      <c r="M204" s="243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</row>
    <row r="205" ht="13.5" customHeight="1">
      <c r="A205" s="243"/>
      <c r="B205" s="65"/>
      <c r="C205" s="65"/>
      <c r="D205" s="65"/>
      <c r="E205" s="60"/>
      <c r="F205" s="60"/>
      <c r="G205" s="60"/>
      <c r="H205" s="303"/>
      <c r="I205" s="304"/>
      <c r="J205" s="305"/>
      <c r="K205" s="306"/>
      <c r="L205" s="307"/>
      <c r="M205" s="243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</row>
    <row r="206" ht="13.5" customHeight="1">
      <c r="A206" s="243"/>
      <c r="B206" s="65"/>
      <c r="C206" s="65"/>
      <c r="D206" s="65"/>
      <c r="E206" s="60"/>
      <c r="F206" s="60"/>
      <c r="G206" s="60"/>
      <c r="H206" s="303"/>
      <c r="I206" s="304"/>
      <c r="J206" s="305"/>
      <c r="K206" s="306"/>
      <c r="L206" s="307"/>
      <c r="M206" s="243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</row>
    <row r="207" ht="13.5" customHeight="1">
      <c r="A207" s="243"/>
      <c r="B207" s="65"/>
      <c r="C207" s="65"/>
      <c r="D207" s="65"/>
      <c r="E207" s="60"/>
      <c r="F207" s="60"/>
      <c r="G207" s="60"/>
      <c r="H207" s="303"/>
      <c r="I207" s="304"/>
      <c r="J207" s="305"/>
      <c r="K207" s="306"/>
      <c r="L207" s="307"/>
      <c r="M207" s="243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</row>
    <row r="208" ht="13.5" customHeight="1">
      <c r="A208" s="243"/>
      <c r="B208" s="65"/>
      <c r="C208" s="65"/>
      <c r="D208" s="65"/>
      <c r="E208" s="60"/>
      <c r="F208" s="60"/>
      <c r="G208" s="60"/>
      <c r="H208" s="303"/>
      <c r="I208" s="304"/>
      <c r="J208" s="305"/>
      <c r="K208" s="306"/>
      <c r="L208" s="307"/>
      <c r="M208" s="243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</row>
    <row r="209" ht="13.5" customHeight="1">
      <c r="A209" s="243"/>
      <c r="B209" s="65"/>
      <c r="C209" s="65"/>
      <c r="D209" s="65"/>
      <c r="E209" s="60"/>
      <c r="F209" s="60"/>
      <c r="G209" s="60"/>
      <c r="H209" s="303"/>
      <c r="I209" s="304"/>
      <c r="J209" s="305"/>
      <c r="K209" s="306"/>
      <c r="L209" s="307"/>
      <c r="M209" s="243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</row>
    <row r="210" ht="13.5" customHeight="1">
      <c r="A210" s="243"/>
      <c r="B210" s="65"/>
      <c r="C210" s="65"/>
      <c r="D210" s="65"/>
      <c r="E210" s="60"/>
      <c r="F210" s="60"/>
      <c r="G210" s="60"/>
      <c r="H210" s="303"/>
      <c r="I210" s="304"/>
      <c r="J210" s="305"/>
      <c r="K210" s="306"/>
      <c r="L210" s="307"/>
      <c r="M210" s="243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</row>
    <row r="211" ht="13.5" customHeight="1">
      <c r="A211" s="243"/>
      <c r="B211" s="65"/>
      <c r="C211" s="65"/>
      <c r="D211" s="65"/>
      <c r="E211" s="60"/>
      <c r="F211" s="60"/>
      <c r="G211" s="60"/>
      <c r="H211" s="303"/>
      <c r="I211" s="304"/>
      <c r="J211" s="305"/>
      <c r="K211" s="306"/>
      <c r="L211" s="307"/>
      <c r="M211" s="243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</row>
    <row r="212" ht="13.5" customHeight="1">
      <c r="A212" s="243"/>
      <c r="B212" s="65"/>
      <c r="C212" s="65"/>
      <c r="D212" s="65"/>
      <c r="E212" s="60"/>
      <c r="F212" s="60"/>
      <c r="G212" s="60"/>
      <c r="H212" s="303"/>
      <c r="I212" s="304"/>
      <c r="J212" s="305"/>
      <c r="K212" s="306"/>
      <c r="L212" s="307"/>
      <c r="M212" s="243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</row>
    <row r="213" ht="13.5" customHeight="1">
      <c r="A213" s="243"/>
      <c r="B213" s="65"/>
      <c r="C213" s="65"/>
      <c r="D213" s="65"/>
      <c r="E213" s="60"/>
      <c r="F213" s="60"/>
      <c r="G213" s="60"/>
      <c r="H213" s="303"/>
      <c r="I213" s="304"/>
      <c r="J213" s="305"/>
      <c r="K213" s="306"/>
      <c r="L213" s="307"/>
      <c r="M213" s="243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</row>
    <row r="214" ht="13.5" customHeight="1">
      <c r="A214" s="243"/>
      <c r="B214" s="65"/>
      <c r="C214" s="65"/>
      <c r="D214" s="65"/>
      <c r="E214" s="60"/>
      <c r="F214" s="60"/>
      <c r="G214" s="60"/>
      <c r="H214" s="303"/>
      <c r="I214" s="304"/>
      <c r="J214" s="305"/>
      <c r="K214" s="306"/>
      <c r="L214" s="307"/>
      <c r="M214" s="243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</row>
    <row r="215" ht="13.5" customHeight="1">
      <c r="A215" s="243"/>
      <c r="B215" s="65"/>
      <c r="C215" s="65"/>
      <c r="D215" s="65"/>
      <c r="E215" s="60"/>
      <c r="F215" s="60"/>
      <c r="G215" s="60"/>
      <c r="H215" s="303"/>
      <c r="I215" s="304"/>
      <c r="J215" s="305"/>
      <c r="K215" s="306"/>
      <c r="L215" s="307"/>
      <c r="M215" s="243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</row>
    <row r="216" ht="13.5" customHeight="1">
      <c r="A216" s="243"/>
      <c r="B216" s="65"/>
      <c r="C216" s="65"/>
      <c r="D216" s="65"/>
      <c r="E216" s="60"/>
      <c r="F216" s="60"/>
      <c r="G216" s="60"/>
      <c r="H216" s="303"/>
      <c r="I216" s="304"/>
      <c r="J216" s="305"/>
      <c r="K216" s="306"/>
      <c r="L216" s="307"/>
      <c r="M216" s="243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</row>
    <row r="217" ht="13.5" customHeight="1">
      <c r="A217" s="243"/>
      <c r="B217" s="65"/>
      <c r="C217" s="65"/>
      <c r="D217" s="65"/>
      <c r="E217" s="60"/>
      <c r="F217" s="60"/>
      <c r="G217" s="60"/>
      <c r="H217" s="303"/>
      <c r="I217" s="304"/>
      <c r="J217" s="305"/>
      <c r="K217" s="306"/>
      <c r="L217" s="307"/>
      <c r="M217" s="243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</row>
    <row r="218" ht="13.5" customHeight="1">
      <c r="A218" s="243"/>
      <c r="B218" s="65"/>
      <c r="C218" s="65"/>
      <c r="D218" s="65"/>
      <c r="E218" s="60"/>
      <c r="F218" s="60"/>
      <c r="G218" s="60"/>
      <c r="H218" s="303"/>
      <c r="I218" s="304"/>
      <c r="J218" s="305"/>
      <c r="K218" s="306"/>
      <c r="L218" s="307"/>
      <c r="M218" s="243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</row>
    <row r="219" ht="13.5" customHeight="1">
      <c r="A219" s="243"/>
      <c r="B219" s="65"/>
      <c r="C219" s="65"/>
      <c r="D219" s="65"/>
      <c r="E219" s="60"/>
      <c r="F219" s="60"/>
      <c r="G219" s="60"/>
      <c r="H219" s="303"/>
      <c r="I219" s="304"/>
      <c r="J219" s="305"/>
      <c r="K219" s="306"/>
      <c r="L219" s="307"/>
      <c r="M219" s="243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</row>
    <row r="220" ht="13.5" customHeight="1">
      <c r="A220" s="243"/>
      <c r="B220" s="65"/>
      <c r="C220" s="65"/>
      <c r="D220" s="65"/>
      <c r="E220" s="60"/>
      <c r="F220" s="60"/>
      <c r="G220" s="60"/>
      <c r="H220" s="303"/>
      <c r="I220" s="304"/>
      <c r="J220" s="305"/>
      <c r="K220" s="306"/>
      <c r="L220" s="307"/>
      <c r="M220" s="243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</row>
    <row r="221" ht="13.5" customHeight="1">
      <c r="A221" s="243"/>
      <c r="B221" s="65"/>
      <c r="C221" s="65"/>
      <c r="D221" s="65"/>
      <c r="E221" s="60"/>
      <c r="F221" s="60"/>
      <c r="G221" s="60"/>
      <c r="H221" s="303"/>
      <c r="I221" s="304"/>
      <c r="J221" s="305"/>
      <c r="K221" s="306"/>
      <c r="L221" s="307"/>
      <c r="M221" s="243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</row>
    <row r="222" ht="13.5" customHeight="1">
      <c r="A222" s="243"/>
      <c r="B222" s="65"/>
      <c r="C222" s="65"/>
      <c r="D222" s="65"/>
      <c r="E222" s="60"/>
      <c r="F222" s="60"/>
      <c r="G222" s="60"/>
      <c r="H222" s="303"/>
      <c r="I222" s="304"/>
      <c r="J222" s="305"/>
      <c r="K222" s="306"/>
      <c r="L222" s="307"/>
      <c r="M222" s="243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</row>
    <row r="223" ht="13.5" customHeight="1">
      <c r="A223" s="243"/>
      <c r="B223" s="65"/>
      <c r="C223" s="65"/>
      <c r="D223" s="65"/>
      <c r="E223" s="60"/>
      <c r="F223" s="60"/>
      <c r="G223" s="60"/>
      <c r="H223" s="303"/>
      <c r="I223" s="304"/>
      <c r="J223" s="305"/>
      <c r="K223" s="306"/>
      <c r="L223" s="307"/>
      <c r="M223" s="243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</row>
    <row r="224" ht="13.5" customHeight="1">
      <c r="A224" s="243"/>
      <c r="B224" s="65"/>
      <c r="C224" s="65"/>
      <c r="D224" s="65"/>
      <c r="E224" s="60"/>
      <c r="F224" s="60"/>
      <c r="G224" s="60"/>
      <c r="H224" s="303"/>
      <c r="I224" s="304"/>
      <c r="J224" s="305"/>
      <c r="K224" s="306"/>
      <c r="L224" s="307"/>
      <c r="M224" s="243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</row>
    <row r="225" ht="13.5" customHeight="1">
      <c r="A225" s="243"/>
      <c r="B225" s="65"/>
      <c r="C225" s="65"/>
      <c r="D225" s="65"/>
      <c r="E225" s="60"/>
      <c r="F225" s="60"/>
      <c r="G225" s="60"/>
      <c r="H225" s="303"/>
      <c r="I225" s="304"/>
      <c r="J225" s="305"/>
      <c r="K225" s="306"/>
      <c r="L225" s="307"/>
      <c r="M225" s="243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</row>
    <row r="226" ht="13.5" customHeight="1">
      <c r="A226" s="243"/>
      <c r="B226" s="65"/>
      <c r="C226" s="65"/>
      <c r="D226" s="65"/>
      <c r="E226" s="60"/>
      <c r="F226" s="60"/>
      <c r="G226" s="60"/>
      <c r="H226" s="303"/>
      <c r="I226" s="304"/>
      <c r="J226" s="305"/>
      <c r="K226" s="306"/>
      <c r="L226" s="307"/>
      <c r="M226" s="243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</row>
    <row r="227" ht="13.5" customHeight="1">
      <c r="A227" s="243"/>
      <c r="B227" s="65"/>
      <c r="C227" s="65"/>
      <c r="D227" s="65"/>
      <c r="E227" s="60"/>
      <c r="F227" s="60"/>
      <c r="G227" s="60"/>
      <c r="H227" s="303"/>
      <c r="I227" s="304"/>
      <c r="J227" s="305"/>
      <c r="K227" s="306"/>
      <c r="L227" s="307"/>
      <c r="M227" s="243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</row>
    <row r="228" ht="13.5" customHeight="1">
      <c r="A228" s="243"/>
      <c r="B228" s="65"/>
      <c r="C228" s="65"/>
      <c r="D228" s="65"/>
      <c r="E228" s="60"/>
      <c r="F228" s="60"/>
      <c r="G228" s="60"/>
      <c r="H228" s="303"/>
      <c r="I228" s="304"/>
      <c r="J228" s="305"/>
      <c r="K228" s="306"/>
      <c r="L228" s="307"/>
      <c r="M228" s="243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</row>
    <row r="229" ht="13.5" customHeight="1">
      <c r="A229" s="243"/>
      <c r="B229" s="65"/>
      <c r="C229" s="65"/>
      <c r="D229" s="65"/>
      <c r="E229" s="60"/>
      <c r="F229" s="60"/>
      <c r="G229" s="60"/>
      <c r="H229" s="303"/>
      <c r="I229" s="304"/>
      <c r="J229" s="305"/>
      <c r="K229" s="306"/>
      <c r="L229" s="307"/>
      <c r="M229" s="243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</row>
    <row r="230" ht="13.5" customHeight="1">
      <c r="A230" s="243"/>
      <c r="B230" s="65"/>
      <c r="C230" s="65"/>
      <c r="D230" s="65"/>
      <c r="E230" s="60"/>
      <c r="F230" s="60"/>
      <c r="G230" s="60"/>
      <c r="H230" s="303"/>
      <c r="I230" s="304"/>
      <c r="J230" s="305"/>
      <c r="K230" s="306"/>
      <c r="L230" s="307"/>
      <c r="M230" s="243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</row>
    <row r="231" ht="13.5" customHeight="1">
      <c r="A231" s="243"/>
      <c r="B231" s="65"/>
      <c r="C231" s="65"/>
      <c r="D231" s="65"/>
      <c r="E231" s="60"/>
      <c r="F231" s="60"/>
      <c r="G231" s="60"/>
      <c r="H231" s="303"/>
      <c r="I231" s="304"/>
      <c r="J231" s="305"/>
      <c r="K231" s="306"/>
      <c r="L231" s="307"/>
      <c r="M231" s="243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</row>
    <row r="232" ht="13.5" customHeight="1">
      <c r="A232" s="243"/>
      <c r="B232" s="65"/>
      <c r="C232" s="65"/>
      <c r="D232" s="65"/>
      <c r="E232" s="60"/>
      <c r="F232" s="60"/>
      <c r="G232" s="60"/>
      <c r="H232" s="303"/>
      <c r="I232" s="304"/>
      <c r="J232" s="305"/>
      <c r="K232" s="306"/>
      <c r="L232" s="307"/>
      <c r="M232" s="243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</row>
    <row r="233" ht="13.5" customHeight="1">
      <c r="A233" s="243"/>
      <c r="B233" s="65"/>
      <c r="C233" s="65"/>
      <c r="D233" s="65"/>
      <c r="E233" s="60"/>
      <c r="F233" s="60"/>
      <c r="G233" s="60"/>
      <c r="H233" s="303"/>
      <c r="I233" s="304"/>
      <c r="J233" s="305"/>
      <c r="K233" s="306"/>
      <c r="L233" s="307"/>
      <c r="M233" s="243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</row>
    <row r="234" ht="13.5" customHeight="1">
      <c r="A234" s="243"/>
      <c r="B234" s="65"/>
      <c r="C234" s="65"/>
      <c r="D234" s="65"/>
      <c r="E234" s="60"/>
      <c r="F234" s="60"/>
      <c r="G234" s="60"/>
      <c r="H234" s="303"/>
      <c r="I234" s="304"/>
      <c r="J234" s="305"/>
      <c r="K234" s="306"/>
      <c r="L234" s="307"/>
      <c r="M234" s="243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</row>
    <row r="235" ht="13.5" customHeight="1">
      <c r="A235" s="243"/>
      <c r="B235" s="65"/>
      <c r="C235" s="65"/>
      <c r="D235" s="65"/>
      <c r="E235" s="60"/>
      <c r="F235" s="60"/>
      <c r="G235" s="60"/>
      <c r="H235" s="303"/>
      <c r="I235" s="304"/>
      <c r="J235" s="305"/>
      <c r="K235" s="306"/>
      <c r="L235" s="307"/>
      <c r="M235" s="243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</row>
    <row r="236" ht="13.5" customHeight="1">
      <c r="A236" s="243"/>
      <c r="B236" s="65"/>
      <c r="C236" s="65"/>
      <c r="D236" s="65"/>
      <c r="E236" s="60"/>
      <c r="F236" s="60"/>
      <c r="G236" s="60"/>
      <c r="H236" s="303"/>
      <c r="I236" s="304"/>
      <c r="J236" s="305"/>
      <c r="K236" s="306"/>
      <c r="L236" s="307"/>
      <c r="M236" s="243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</row>
    <row r="237" ht="13.5" customHeight="1">
      <c r="A237" s="243"/>
      <c r="B237" s="65"/>
      <c r="C237" s="65"/>
      <c r="D237" s="65"/>
      <c r="E237" s="60"/>
      <c r="F237" s="60"/>
      <c r="G237" s="60"/>
      <c r="H237" s="303"/>
      <c r="I237" s="304"/>
      <c r="J237" s="305"/>
      <c r="K237" s="306"/>
      <c r="L237" s="307"/>
      <c r="M237" s="243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</row>
    <row r="238" ht="13.5" customHeight="1">
      <c r="A238" s="243"/>
      <c r="B238" s="65"/>
      <c r="C238" s="65"/>
      <c r="D238" s="65"/>
      <c r="E238" s="60"/>
      <c r="F238" s="60"/>
      <c r="G238" s="60"/>
      <c r="H238" s="303"/>
      <c r="I238" s="304"/>
      <c r="J238" s="305"/>
      <c r="K238" s="306"/>
      <c r="L238" s="307"/>
      <c r="M238" s="243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</row>
    <row r="239" ht="13.5" customHeight="1">
      <c r="A239" s="243"/>
      <c r="B239" s="65"/>
      <c r="C239" s="65"/>
      <c r="D239" s="65"/>
      <c r="E239" s="60"/>
      <c r="F239" s="60"/>
      <c r="G239" s="60"/>
      <c r="H239" s="303"/>
      <c r="I239" s="304"/>
      <c r="J239" s="305"/>
      <c r="K239" s="306"/>
      <c r="L239" s="307"/>
      <c r="M239" s="243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</row>
    <row r="240" ht="13.5" customHeight="1">
      <c r="A240" s="243"/>
      <c r="B240" s="65"/>
      <c r="C240" s="65"/>
      <c r="D240" s="65"/>
      <c r="E240" s="60"/>
      <c r="F240" s="60"/>
      <c r="G240" s="60"/>
      <c r="H240" s="303"/>
      <c r="I240" s="304"/>
      <c r="J240" s="305"/>
      <c r="K240" s="306"/>
      <c r="L240" s="307"/>
      <c r="M240" s="243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</row>
    <row r="241" ht="13.5" customHeight="1">
      <c r="A241" s="243"/>
      <c r="B241" s="65"/>
      <c r="C241" s="65"/>
      <c r="D241" s="65"/>
      <c r="E241" s="60"/>
      <c r="F241" s="60"/>
      <c r="G241" s="60"/>
      <c r="H241" s="303"/>
      <c r="I241" s="304"/>
      <c r="J241" s="305"/>
      <c r="K241" s="306"/>
      <c r="L241" s="307"/>
      <c r="M241" s="243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</row>
    <row r="242" ht="13.5" customHeight="1">
      <c r="A242" s="243"/>
      <c r="B242" s="65"/>
      <c r="C242" s="65"/>
      <c r="D242" s="65"/>
      <c r="E242" s="60"/>
      <c r="F242" s="60"/>
      <c r="G242" s="60"/>
      <c r="H242" s="303"/>
      <c r="I242" s="304"/>
      <c r="J242" s="305"/>
      <c r="K242" s="306"/>
      <c r="L242" s="307"/>
      <c r="M242" s="243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</row>
    <row r="243" ht="13.5" customHeight="1">
      <c r="A243" s="243"/>
      <c r="B243" s="65"/>
      <c r="C243" s="65"/>
      <c r="D243" s="65"/>
      <c r="E243" s="60"/>
      <c r="F243" s="60"/>
      <c r="G243" s="60"/>
      <c r="H243" s="303"/>
      <c r="I243" s="304"/>
      <c r="J243" s="305"/>
      <c r="K243" s="306"/>
      <c r="L243" s="307"/>
      <c r="M243" s="243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</row>
    <row r="244" ht="13.5" customHeight="1">
      <c r="A244" s="243"/>
      <c r="B244" s="65"/>
      <c r="C244" s="65"/>
      <c r="D244" s="65"/>
      <c r="E244" s="60"/>
      <c r="F244" s="60"/>
      <c r="G244" s="60"/>
      <c r="H244" s="303"/>
      <c r="I244" s="304"/>
      <c r="J244" s="305"/>
      <c r="K244" s="306"/>
      <c r="L244" s="307"/>
      <c r="M244" s="243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</row>
    <row r="245" ht="13.5" customHeight="1">
      <c r="A245" s="243"/>
      <c r="B245" s="65"/>
      <c r="C245" s="65"/>
      <c r="D245" s="65"/>
      <c r="E245" s="60"/>
      <c r="F245" s="60"/>
      <c r="G245" s="60"/>
      <c r="H245" s="303"/>
      <c r="I245" s="304"/>
      <c r="J245" s="305"/>
      <c r="K245" s="306"/>
      <c r="L245" s="307"/>
      <c r="M245" s="243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</row>
    <row r="246" ht="13.5" customHeight="1">
      <c r="A246" s="243"/>
      <c r="B246" s="65"/>
      <c r="C246" s="65"/>
      <c r="D246" s="65"/>
      <c r="E246" s="60"/>
      <c r="F246" s="60"/>
      <c r="G246" s="60"/>
      <c r="H246" s="303"/>
      <c r="I246" s="304"/>
      <c r="J246" s="305"/>
      <c r="K246" s="306"/>
      <c r="L246" s="307"/>
      <c r="M246" s="243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</row>
    <row r="247" ht="13.5" customHeight="1">
      <c r="A247" s="243"/>
      <c r="B247" s="65"/>
      <c r="C247" s="65"/>
      <c r="D247" s="65"/>
      <c r="E247" s="60"/>
      <c r="F247" s="60"/>
      <c r="G247" s="60"/>
      <c r="H247" s="303"/>
      <c r="I247" s="304"/>
      <c r="J247" s="305"/>
      <c r="K247" s="306"/>
      <c r="L247" s="307"/>
      <c r="M247" s="243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</row>
    <row r="248" ht="13.5" customHeight="1">
      <c r="A248" s="243"/>
      <c r="B248" s="65"/>
      <c r="C248" s="65"/>
      <c r="D248" s="65"/>
      <c r="E248" s="60"/>
      <c r="F248" s="60"/>
      <c r="G248" s="60"/>
      <c r="H248" s="303"/>
      <c r="I248" s="304"/>
      <c r="J248" s="305"/>
      <c r="K248" s="306"/>
      <c r="L248" s="307"/>
      <c r="M248" s="243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</row>
    <row r="249" ht="13.5" customHeight="1">
      <c r="A249" s="243"/>
      <c r="B249" s="65"/>
      <c r="C249" s="65"/>
      <c r="D249" s="65"/>
      <c r="E249" s="60"/>
      <c r="F249" s="60"/>
      <c r="G249" s="60"/>
      <c r="H249" s="303"/>
      <c r="I249" s="304"/>
      <c r="J249" s="305"/>
      <c r="K249" s="306"/>
      <c r="L249" s="307"/>
      <c r="M249" s="243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</row>
    <row r="250" ht="13.5" customHeight="1">
      <c r="A250" s="243"/>
      <c r="B250" s="65"/>
      <c r="C250" s="65"/>
      <c r="D250" s="65"/>
      <c r="E250" s="60"/>
      <c r="F250" s="60"/>
      <c r="G250" s="60"/>
      <c r="H250" s="303"/>
      <c r="I250" s="304"/>
      <c r="J250" s="305"/>
      <c r="K250" s="306"/>
      <c r="L250" s="307"/>
      <c r="M250" s="243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</row>
    <row r="251" ht="13.5" customHeight="1">
      <c r="A251" s="243"/>
      <c r="B251" s="65"/>
      <c r="C251" s="65"/>
      <c r="D251" s="65"/>
      <c r="E251" s="60"/>
      <c r="F251" s="60"/>
      <c r="G251" s="60"/>
      <c r="H251" s="303"/>
      <c r="I251" s="304"/>
      <c r="J251" s="305"/>
      <c r="K251" s="306"/>
      <c r="L251" s="307"/>
      <c r="M251" s="243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</row>
    <row r="252" ht="13.5" customHeight="1">
      <c r="A252" s="243"/>
      <c r="B252" s="65"/>
      <c r="C252" s="65"/>
      <c r="D252" s="65"/>
      <c r="E252" s="60"/>
      <c r="F252" s="60"/>
      <c r="G252" s="60"/>
      <c r="H252" s="303"/>
      <c r="I252" s="304"/>
      <c r="J252" s="305"/>
      <c r="K252" s="306"/>
      <c r="L252" s="307"/>
      <c r="M252" s="243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</row>
    <row r="253" ht="13.5" customHeight="1">
      <c r="A253" s="243"/>
      <c r="B253" s="65"/>
      <c r="C253" s="65"/>
      <c r="D253" s="65"/>
      <c r="E253" s="60"/>
      <c r="F253" s="60"/>
      <c r="G253" s="60"/>
      <c r="H253" s="303"/>
      <c r="I253" s="304"/>
      <c r="J253" s="305"/>
      <c r="K253" s="306"/>
      <c r="L253" s="307"/>
      <c r="M253" s="243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</row>
    <row r="254" ht="13.5" customHeight="1">
      <c r="A254" s="243"/>
      <c r="B254" s="65"/>
      <c r="C254" s="65"/>
      <c r="D254" s="65"/>
      <c r="E254" s="60"/>
      <c r="F254" s="60"/>
      <c r="G254" s="60"/>
      <c r="H254" s="303"/>
      <c r="I254" s="304"/>
      <c r="J254" s="305"/>
      <c r="K254" s="306"/>
      <c r="L254" s="307"/>
      <c r="M254" s="243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</row>
    <row r="255" ht="13.5" customHeight="1">
      <c r="A255" s="243"/>
      <c r="B255" s="65"/>
      <c r="C255" s="65"/>
      <c r="D255" s="65"/>
      <c r="E255" s="60"/>
      <c r="F255" s="60"/>
      <c r="G255" s="60"/>
      <c r="H255" s="303"/>
      <c r="I255" s="304"/>
      <c r="J255" s="305"/>
      <c r="K255" s="306"/>
      <c r="L255" s="307"/>
      <c r="M255" s="243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</row>
    <row r="256" ht="13.5" customHeight="1">
      <c r="A256" s="243"/>
      <c r="B256" s="65"/>
      <c r="C256" s="65"/>
      <c r="D256" s="65"/>
      <c r="E256" s="60"/>
      <c r="F256" s="60"/>
      <c r="G256" s="60"/>
      <c r="H256" s="303"/>
      <c r="I256" s="304"/>
      <c r="J256" s="305"/>
      <c r="K256" s="306"/>
      <c r="L256" s="307"/>
      <c r="M256" s="243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</row>
    <row r="257" ht="13.5" customHeight="1">
      <c r="A257" s="243"/>
      <c r="B257" s="65"/>
      <c r="C257" s="65"/>
      <c r="D257" s="65"/>
      <c r="E257" s="60"/>
      <c r="F257" s="60"/>
      <c r="G257" s="60"/>
      <c r="H257" s="303"/>
      <c r="I257" s="304"/>
      <c r="J257" s="305"/>
      <c r="K257" s="306"/>
      <c r="L257" s="307"/>
      <c r="M257" s="243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</row>
    <row r="258" ht="13.5" customHeight="1">
      <c r="A258" s="243"/>
      <c r="B258" s="65"/>
      <c r="C258" s="65"/>
      <c r="D258" s="65"/>
      <c r="E258" s="60"/>
      <c r="F258" s="60"/>
      <c r="G258" s="60"/>
      <c r="H258" s="303"/>
      <c r="I258" s="304"/>
      <c r="J258" s="305"/>
      <c r="K258" s="306"/>
      <c r="L258" s="307"/>
      <c r="M258" s="243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</row>
    <row r="259" ht="13.5" customHeight="1">
      <c r="A259" s="243"/>
      <c r="B259" s="65"/>
      <c r="C259" s="65"/>
      <c r="D259" s="65"/>
      <c r="E259" s="60"/>
      <c r="F259" s="60"/>
      <c r="G259" s="60"/>
      <c r="H259" s="303"/>
      <c r="I259" s="304"/>
      <c r="J259" s="305"/>
      <c r="K259" s="306"/>
      <c r="L259" s="307"/>
      <c r="M259" s="243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</row>
    <row r="260" ht="13.5" customHeight="1">
      <c r="A260" s="243"/>
      <c r="B260" s="65"/>
      <c r="C260" s="65"/>
      <c r="D260" s="65"/>
      <c r="E260" s="60"/>
      <c r="F260" s="60"/>
      <c r="G260" s="60"/>
      <c r="H260" s="303"/>
      <c r="I260" s="304"/>
      <c r="J260" s="305"/>
      <c r="K260" s="306"/>
      <c r="L260" s="307"/>
      <c r="M260" s="243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</row>
    <row r="261" ht="13.5" customHeight="1">
      <c r="A261" s="243"/>
      <c r="B261" s="65"/>
      <c r="C261" s="65"/>
      <c r="D261" s="65"/>
      <c r="E261" s="60"/>
      <c r="F261" s="60"/>
      <c r="G261" s="60"/>
      <c r="H261" s="303"/>
      <c r="I261" s="304"/>
      <c r="J261" s="305"/>
      <c r="K261" s="306"/>
      <c r="L261" s="307"/>
      <c r="M261" s="243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</row>
    <row r="262" ht="13.5" customHeight="1">
      <c r="A262" s="243"/>
      <c r="B262" s="65"/>
      <c r="C262" s="65"/>
      <c r="D262" s="65"/>
      <c r="E262" s="60"/>
      <c r="F262" s="60"/>
      <c r="G262" s="60"/>
      <c r="H262" s="303"/>
      <c r="I262" s="304"/>
      <c r="J262" s="305"/>
      <c r="K262" s="306"/>
      <c r="L262" s="307"/>
      <c r="M262" s="243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</row>
    <row r="263" ht="13.5" customHeight="1">
      <c r="A263" s="243"/>
      <c r="B263" s="65"/>
      <c r="C263" s="65"/>
      <c r="D263" s="65"/>
      <c r="E263" s="60"/>
      <c r="F263" s="60"/>
      <c r="G263" s="60"/>
      <c r="H263" s="303"/>
      <c r="I263" s="304"/>
      <c r="J263" s="305"/>
      <c r="K263" s="306"/>
      <c r="L263" s="307"/>
      <c r="M263" s="243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</row>
    <row r="264" ht="13.5" customHeight="1">
      <c r="A264" s="243"/>
      <c r="B264" s="65"/>
      <c r="C264" s="65"/>
      <c r="D264" s="65"/>
      <c r="E264" s="60"/>
      <c r="F264" s="60"/>
      <c r="G264" s="60"/>
      <c r="H264" s="303"/>
      <c r="I264" s="304"/>
      <c r="J264" s="305"/>
      <c r="K264" s="306"/>
      <c r="L264" s="307"/>
      <c r="M264" s="243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</row>
    <row r="265" ht="13.5" customHeight="1">
      <c r="A265" s="243"/>
      <c r="B265" s="65"/>
      <c r="C265" s="65"/>
      <c r="D265" s="65"/>
      <c r="E265" s="60"/>
      <c r="F265" s="60"/>
      <c r="G265" s="60"/>
      <c r="H265" s="303"/>
      <c r="I265" s="304"/>
      <c r="J265" s="305"/>
      <c r="K265" s="306"/>
      <c r="L265" s="307"/>
      <c r="M265" s="243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</row>
    <row r="266" ht="13.5" customHeight="1">
      <c r="A266" s="243"/>
      <c r="B266" s="65"/>
      <c r="C266" s="65"/>
      <c r="D266" s="65"/>
      <c r="E266" s="60"/>
      <c r="F266" s="60"/>
      <c r="G266" s="60"/>
      <c r="H266" s="303"/>
      <c r="I266" s="304"/>
      <c r="J266" s="305"/>
      <c r="K266" s="306"/>
      <c r="L266" s="307"/>
      <c r="M266" s="243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</row>
    <row r="267" ht="13.5" customHeight="1">
      <c r="A267" s="243"/>
      <c r="B267" s="65"/>
      <c r="C267" s="65"/>
      <c r="D267" s="65"/>
      <c r="E267" s="60"/>
      <c r="F267" s="60"/>
      <c r="G267" s="60"/>
      <c r="H267" s="303"/>
      <c r="I267" s="304"/>
      <c r="J267" s="305"/>
      <c r="K267" s="306"/>
      <c r="L267" s="307"/>
      <c r="M267" s="243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</row>
    <row r="268" ht="13.5" customHeight="1">
      <c r="A268" s="243"/>
      <c r="B268" s="65"/>
      <c r="C268" s="65"/>
      <c r="D268" s="65"/>
      <c r="E268" s="60"/>
      <c r="F268" s="60"/>
      <c r="G268" s="60"/>
      <c r="H268" s="303"/>
      <c r="I268" s="304"/>
      <c r="J268" s="305"/>
      <c r="K268" s="306"/>
      <c r="L268" s="307"/>
      <c r="M268" s="243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</row>
    <row r="269" ht="13.5" customHeight="1">
      <c r="A269" s="243"/>
      <c r="B269" s="65"/>
      <c r="C269" s="65"/>
      <c r="D269" s="65"/>
      <c r="E269" s="60"/>
      <c r="F269" s="60"/>
      <c r="G269" s="60"/>
      <c r="H269" s="303"/>
      <c r="I269" s="304"/>
      <c r="J269" s="305"/>
      <c r="K269" s="306"/>
      <c r="L269" s="307"/>
      <c r="M269" s="243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</row>
    <row r="270" ht="13.5" customHeight="1">
      <c r="A270" s="243"/>
      <c r="B270" s="65"/>
      <c r="C270" s="65"/>
      <c r="D270" s="65"/>
      <c r="E270" s="60"/>
      <c r="F270" s="60"/>
      <c r="G270" s="60"/>
      <c r="H270" s="303"/>
      <c r="I270" s="304"/>
      <c r="J270" s="305"/>
      <c r="K270" s="306"/>
      <c r="L270" s="307"/>
      <c r="M270" s="243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</row>
    <row r="271" ht="13.5" customHeight="1">
      <c r="A271" s="243"/>
      <c r="B271" s="65"/>
      <c r="C271" s="65"/>
      <c r="D271" s="65"/>
      <c r="E271" s="60"/>
      <c r="F271" s="60"/>
      <c r="G271" s="60"/>
      <c r="H271" s="303"/>
      <c r="I271" s="304"/>
      <c r="J271" s="305"/>
      <c r="K271" s="306"/>
      <c r="L271" s="307"/>
      <c r="M271" s="243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</row>
    <row r="272" ht="13.5" customHeight="1">
      <c r="A272" s="243"/>
      <c r="B272" s="65"/>
      <c r="C272" s="65"/>
      <c r="D272" s="65"/>
      <c r="E272" s="60"/>
      <c r="F272" s="60"/>
      <c r="G272" s="60"/>
      <c r="H272" s="303"/>
      <c r="I272" s="304"/>
      <c r="J272" s="305"/>
      <c r="K272" s="306"/>
      <c r="L272" s="307"/>
      <c r="M272" s="243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</row>
    <row r="273" ht="13.5" customHeight="1">
      <c r="A273" s="243"/>
      <c r="B273" s="65"/>
      <c r="C273" s="65"/>
      <c r="D273" s="65"/>
      <c r="E273" s="60"/>
      <c r="F273" s="60"/>
      <c r="G273" s="60"/>
      <c r="H273" s="303"/>
      <c r="I273" s="304"/>
      <c r="J273" s="305"/>
      <c r="K273" s="306"/>
      <c r="L273" s="307"/>
      <c r="M273" s="243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</row>
    <row r="274" ht="13.5" customHeight="1">
      <c r="A274" s="243"/>
      <c r="B274" s="65"/>
      <c r="C274" s="65"/>
      <c r="D274" s="65"/>
      <c r="E274" s="60"/>
      <c r="F274" s="60"/>
      <c r="G274" s="60"/>
      <c r="H274" s="303"/>
      <c r="I274" s="304"/>
      <c r="J274" s="305"/>
      <c r="K274" s="306"/>
      <c r="L274" s="307"/>
      <c r="M274" s="243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</row>
    <row r="275" ht="13.5" customHeight="1">
      <c r="A275" s="243"/>
      <c r="B275" s="65"/>
      <c r="C275" s="65"/>
      <c r="D275" s="65"/>
      <c r="E275" s="60"/>
      <c r="F275" s="60"/>
      <c r="G275" s="60"/>
      <c r="H275" s="303"/>
      <c r="I275" s="304"/>
      <c r="J275" s="305"/>
      <c r="K275" s="306"/>
      <c r="L275" s="307"/>
      <c r="M275" s="243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</row>
    <row r="276" ht="13.5" customHeight="1">
      <c r="A276" s="243"/>
      <c r="B276" s="65"/>
      <c r="C276" s="65"/>
      <c r="D276" s="65"/>
      <c r="E276" s="60"/>
      <c r="F276" s="60"/>
      <c r="G276" s="60"/>
      <c r="H276" s="303"/>
      <c r="I276" s="304"/>
      <c r="J276" s="305"/>
      <c r="K276" s="306"/>
      <c r="L276" s="307"/>
      <c r="M276" s="243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</row>
    <row r="277" ht="13.5" customHeight="1">
      <c r="A277" s="243"/>
      <c r="B277" s="65"/>
      <c r="C277" s="65"/>
      <c r="D277" s="65"/>
      <c r="E277" s="60"/>
      <c r="F277" s="60"/>
      <c r="G277" s="60"/>
      <c r="H277" s="303"/>
      <c r="I277" s="304"/>
      <c r="J277" s="305"/>
      <c r="K277" s="306"/>
      <c r="L277" s="307"/>
      <c r="M277" s="243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</row>
    <row r="278" ht="13.5" customHeight="1">
      <c r="A278" s="243"/>
      <c r="B278" s="65"/>
      <c r="C278" s="65"/>
      <c r="D278" s="65"/>
      <c r="E278" s="60"/>
      <c r="F278" s="60"/>
      <c r="G278" s="60"/>
      <c r="H278" s="303"/>
      <c r="I278" s="304"/>
      <c r="J278" s="305"/>
      <c r="K278" s="306"/>
      <c r="L278" s="307"/>
      <c r="M278" s="243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</row>
    <row r="279" ht="13.5" customHeight="1">
      <c r="A279" s="243"/>
      <c r="B279" s="65"/>
      <c r="C279" s="65"/>
      <c r="D279" s="65"/>
      <c r="E279" s="60"/>
      <c r="F279" s="60"/>
      <c r="G279" s="60"/>
      <c r="H279" s="303"/>
      <c r="I279" s="304"/>
      <c r="J279" s="305"/>
      <c r="K279" s="306"/>
      <c r="L279" s="307"/>
      <c r="M279" s="243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</row>
    <row r="280" ht="13.5" customHeight="1">
      <c r="A280" s="243"/>
      <c r="B280" s="65"/>
      <c r="C280" s="65"/>
      <c r="D280" s="65"/>
      <c r="E280" s="60"/>
      <c r="F280" s="60"/>
      <c r="G280" s="60"/>
      <c r="H280" s="303"/>
      <c r="I280" s="304"/>
      <c r="J280" s="305"/>
      <c r="K280" s="306"/>
      <c r="L280" s="307"/>
      <c r="M280" s="243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</row>
    <row r="281" ht="13.5" customHeight="1">
      <c r="A281" s="243"/>
      <c r="B281" s="65"/>
      <c r="C281" s="65"/>
      <c r="D281" s="65"/>
      <c r="E281" s="60"/>
      <c r="F281" s="60"/>
      <c r="G281" s="60"/>
      <c r="H281" s="303"/>
      <c r="I281" s="304"/>
      <c r="J281" s="305"/>
      <c r="K281" s="306"/>
      <c r="L281" s="307"/>
      <c r="M281" s="243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</row>
    <row r="282" ht="13.5" customHeight="1">
      <c r="A282" s="243"/>
      <c r="B282" s="65"/>
      <c r="C282" s="65"/>
      <c r="D282" s="65"/>
      <c r="E282" s="60"/>
      <c r="F282" s="60"/>
      <c r="G282" s="60"/>
      <c r="H282" s="303"/>
      <c r="I282" s="304"/>
      <c r="J282" s="305"/>
      <c r="K282" s="306"/>
      <c r="L282" s="307"/>
      <c r="M282" s="243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</row>
    <row r="283" ht="13.5" customHeight="1">
      <c r="A283" s="243"/>
      <c r="B283" s="65"/>
      <c r="C283" s="65"/>
      <c r="D283" s="65"/>
      <c r="E283" s="60"/>
      <c r="F283" s="60"/>
      <c r="G283" s="60"/>
      <c r="H283" s="303"/>
      <c r="I283" s="304"/>
      <c r="J283" s="305"/>
      <c r="K283" s="306"/>
      <c r="L283" s="307"/>
      <c r="M283" s="243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</row>
    <row r="284" ht="13.5" customHeight="1">
      <c r="A284" s="243"/>
      <c r="B284" s="65"/>
      <c r="C284" s="65"/>
      <c r="D284" s="65"/>
      <c r="E284" s="60"/>
      <c r="F284" s="60"/>
      <c r="G284" s="60"/>
      <c r="H284" s="303"/>
      <c r="I284" s="304"/>
      <c r="J284" s="305"/>
      <c r="K284" s="306"/>
      <c r="L284" s="307"/>
      <c r="M284" s="243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</row>
    <row r="285" ht="13.5" customHeight="1">
      <c r="A285" s="243"/>
      <c r="B285" s="65"/>
      <c r="C285" s="65"/>
      <c r="D285" s="65"/>
      <c r="E285" s="60"/>
      <c r="F285" s="60"/>
      <c r="G285" s="60"/>
      <c r="H285" s="303"/>
      <c r="I285" s="304"/>
      <c r="J285" s="305"/>
      <c r="K285" s="306"/>
      <c r="L285" s="307"/>
      <c r="M285" s="243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</row>
    <row r="286" ht="13.5" customHeight="1">
      <c r="A286" s="243"/>
      <c r="B286" s="65"/>
      <c r="C286" s="65"/>
      <c r="D286" s="65"/>
      <c r="E286" s="60"/>
      <c r="F286" s="60"/>
      <c r="G286" s="60"/>
      <c r="H286" s="303"/>
      <c r="I286" s="304"/>
      <c r="J286" s="305"/>
      <c r="K286" s="306"/>
      <c r="L286" s="307"/>
      <c r="M286" s="243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</row>
    <row r="287" ht="13.5" customHeight="1">
      <c r="A287" s="243"/>
      <c r="B287" s="65"/>
      <c r="C287" s="65"/>
      <c r="D287" s="65"/>
      <c r="E287" s="60"/>
      <c r="F287" s="60"/>
      <c r="G287" s="60"/>
      <c r="H287" s="303"/>
      <c r="I287" s="304"/>
      <c r="J287" s="305"/>
      <c r="K287" s="306"/>
      <c r="L287" s="307"/>
      <c r="M287" s="243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</row>
    <row r="288" ht="13.5" customHeight="1">
      <c r="A288" s="243"/>
      <c r="B288" s="65"/>
      <c r="C288" s="65"/>
      <c r="D288" s="65"/>
      <c r="E288" s="60"/>
      <c r="F288" s="60"/>
      <c r="G288" s="60"/>
      <c r="H288" s="303"/>
      <c r="I288" s="304"/>
      <c r="J288" s="305"/>
      <c r="K288" s="306"/>
      <c r="L288" s="307"/>
      <c r="M288" s="243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</row>
    <row r="289" ht="13.5" customHeight="1">
      <c r="A289" s="243"/>
      <c r="B289" s="65"/>
      <c r="C289" s="65"/>
      <c r="D289" s="65"/>
      <c r="E289" s="60"/>
      <c r="F289" s="60"/>
      <c r="G289" s="60"/>
      <c r="H289" s="303"/>
      <c r="I289" s="304"/>
      <c r="J289" s="305"/>
      <c r="K289" s="306"/>
      <c r="L289" s="307"/>
      <c r="M289" s="243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</row>
    <row r="290" ht="13.5" customHeight="1">
      <c r="A290" s="243"/>
      <c r="B290" s="65"/>
      <c r="C290" s="65"/>
      <c r="D290" s="65"/>
      <c r="E290" s="60"/>
      <c r="F290" s="60"/>
      <c r="G290" s="60"/>
      <c r="H290" s="303"/>
      <c r="I290" s="304"/>
      <c r="J290" s="305"/>
      <c r="K290" s="306"/>
      <c r="L290" s="307"/>
      <c r="M290" s="243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</row>
    <row r="291" ht="13.5" customHeight="1">
      <c r="A291" s="243"/>
      <c r="B291" s="65"/>
      <c r="C291" s="65"/>
      <c r="D291" s="65"/>
      <c r="E291" s="60"/>
      <c r="F291" s="60"/>
      <c r="G291" s="60"/>
      <c r="H291" s="303"/>
      <c r="I291" s="304"/>
      <c r="J291" s="305"/>
      <c r="K291" s="306"/>
      <c r="L291" s="307"/>
      <c r="M291" s="243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</row>
    <row r="292" ht="13.5" customHeight="1">
      <c r="A292" s="243"/>
      <c r="B292" s="65"/>
      <c r="C292" s="65"/>
      <c r="D292" s="65"/>
      <c r="E292" s="60"/>
      <c r="F292" s="60"/>
      <c r="G292" s="60"/>
      <c r="H292" s="303"/>
      <c r="I292" s="304"/>
      <c r="J292" s="305"/>
      <c r="K292" s="306"/>
      <c r="L292" s="307"/>
      <c r="M292" s="243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</row>
    <row r="293" ht="13.5" customHeight="1">
      <c r="A293" s="243"/>
      <c r="B293" s="65"/>
      <c r="C293" s="65"/>
      <c r="D293" s="65"/>
      <c r="E293" s="60"/>
      <c r="F293" s="60"/>
      <c r="G293" s="60"/>
      <c r="H293" s="303"/>
      <c r="I293" s="304"/>
      <c r="J293" s="305"/>
      <c r="K293" s="306"/>
      <c r="L293" s="307"/>
      <c r="M293" s="243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</row>
    <row r="294" ht="13.5" customHeight="1">
      <c r="A294" s="243"/>
      <c r="B294" s="65"/>
      <c r="C294" s="65"/>
      <c r="D294" s="65"/>
      <c r="E294" s="60"/>
      <c r="F294" s="60"/>
      <c r="G294" s="60"/>
      <c r="H294" s="303"/>
      <c r="I294" s="304"/>
      <c r="J294" s="305"/>
      <c r="K294" s="306"/>
      <c r="L294" s="307"/>
      <c r="M294" s="243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</row>
    <row r="295" ht="13.5" customHeight="1">
      <c r="A295" s="243"/>
      <c r="B295" s="65"/>
      <c r="C295" s="65"/>
      <c r="D295" s="65"/>
      <c r="E295" s="60"/>
      <c r="F295" s="60"/>
      <c r="G295" s="60"/>
      <c r="H295" s="303"/>
      <c r="I295" s="304"/>
      <c r="J295" s="305"/>
      <c r="K295" s="306"/>
      <c r="L295" s="307"/>
      <c r="M295" s="243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</row>
    <row r="296" ht="13.5" customHeight="1">
      <c r="A296" s="243"/>
      <c r="B296" s="65"/>
      <c r="C296" s="65"/>
      <c r="D296" s="65"/>
      <c r="E296" s="60"/>
      <c r="F296" s="60"/>
      <c r="G296" s="60"/>
      <c r="H296" s="303"/>
      <c r="I296" s="304"/>
      <c r="J296" s="305"/>
      <c r="K296" s="306"/>
      <c r="L296" s="307"/>
      <c r="M296" s="243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</row>
    <row r="297" ht="13.5" customHeight="1">
      <c r="A297" s="243"/>
      <c r="B297" s="65"/>
      <c r="C297" s="65"/>
      <c r="D297" s="65"/>
      <c r="E297" s="60"/>
      <c r="F297" s="60"/>
      <c r="G297" s="60"/>
      <c r="H297" s="303"/>
      <c r="I297" s="304"/>
      <c r="J297" s="305"/>
      <c r="K297" s="306"/>
      <c r="L297" s="307"/>
      <c r="M297" s="243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</row>
    <row r="298" ht="13.5" customHeight="1">
      <c r="A298" s="243"/>
      <c r="B298" s="65"/>
      <c r="C298" s="65"/>
      <c r="D298" s="65"/>
      <c r="E298" s="60"/>
      <c r="F298" s="60"/>
      <c r="G298" s="60"/>
      <c r="H298" s="303"/>
      <c r="I298" s="304"/>
      <c r="J298" s="305"/>
      <c r="K298" s="306"/>
      <c r="L298" s="307"/>
      <c r="M298" s="243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</row>
    <row r="299" ht="13.5" customHeight="1">
      <c r="A299" s="243"/>
      <c r="B299" s="65"/>
      <c r="C299" s="65"/>
      <c r="D299" s="65"/>
      <c r="E299" s="60"/>
      <c r="F299" s="60"/>
      <c r="G299" s="60"/>
      <c r="H299" s="303"/>
      <c r="I299" s="304"/>
      <c r="J299" s="305"/>
      <c r="K299" s="306"/>
      <c r="L299" s="307"/>
      <c r="M299" s="243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</row>
    <row r="300" ht="13.5" customHeight="1">
      <c r="A300" s="243"/>
      <c r="B300" s="65"/>
      <c r="C300" s="65"/>
      <c r="D300" s="65"/>
      <c r="E300" s="60"/>
      <c r="F300" s="60"/>
      <c r="G300" s="60"/>
      <c r="H300" s="303"/>
      <c r="I300" s="304"/>
      <c r="J300" s="305"/>
      <c r="K300" s="306"/>
      <c r="L300" s="307"/>
      <c r="M300" s="243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</row>
    <row r="301" ht="13.5" customHeight="1">
      <c r="A301" s="243"/>
      <c r="B301" s="65"/>
      <c r="C301" s="65"/>
      <c r="D301" s="65"/>
      <c r="E301" s="60"/>
      <c r="F301" s="60"/>
      <c r="G301" s="60"/>
      <c r="H301" s="303"/>
      <c r="I301" s="304"/>
      <c r="J301" s="305"/>
      <c r="K301" s="306"/>
      <c r="L301" s="307"/>
      <c r="M301" s="243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</row>
    <row r="302" ht="13.5" customHeight="1">
      <c r="A302" s="243"/>
      <c r="B302" s="65"/>
      <c r="C302" s="65"/>
      <c r="D302" s="65"/>
      <c r="E302" s="60"/>
      <c r="F302" s="60"/>
      <c r="G302" s="60"/>
      <c r="H302" s="303"/>
      <c r="I302" s="304"/>
      <c r="J302" s="305"/>
      <c r="K302" s="306"/>
      <c r="L302" s="307"/>
      <c r="M302" s="243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</row>
    <row r="303" ht="13.5" customHeight="1">
      <c r="A303" s="243"/>
      <c r="B303" s="65"/>
      <c r="C303" s="65"/>
      <c r="D303" s="65"/>
      <c r="E303" s="60"/>
      <c r="F303" s="60"/>
      <c r="G303" s="60"/>
      <c r="H303" s="303"/>
      <c r="I303" s="304"/>
      <c r="J303" s="305"/>
      <c r="K303" s="306"/>
      <c r="L303" s="307"/>
      <c r="M303" s="243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</row>
    <row r="304" ht="13.5" customHeight="1">
      <c r="A304" s="243"/>
      <c r="B304" s="65"/>
      <c r="C304" s="65"/>
      <c r="D304" s="65"/>
      <c r="E304" s="60"/>
      <c r="F304" s="60"/>
      <c r="G304" s="60"/>
      <c r="H304" s="303"/>
      <c r="I304" s="304"/>
      <c r="J304" s="305"/>
      <c r="K304" s="306"/>
      <c r="L304" s="307"/>
      <c r="M304" s="243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</row>
    <row r="305" ht="13.5" customHeight="1">
      <c r="A305" s="243"/>
      <c r="B305" s="65"/>
      <c r="C305" s="65"/>
      <c r="D305" s="65"/>
      <c r="E305" s="60"/>
      <c r="F305" s="60"/>
      <c r="G305" s="60"/>
      <c r="H305" s="303"/>
      <c r="I305" s="304"/>
      <c r="J305" s="305"/>
      <c r="K305" s="306"/>
      <c r="L305" s="307"/>
      <c r="M305" s="243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</row>
    <row r="306" ht="13.5" customHeight="1">
      <c r="A306" s="243"/>
      <c r="B306" s="65"/>
      <c r="C306" s="65"/>
      <c r="D306" s="65"/>
      <c r="E306" s="60"/>
      <c r="F306" s="60"/>
      <c r="G306" s="60"/>
      <c r="H306" s="303"/>
      <c r="I306" s="304"/>
      <c r="J306" s="305"/>
      <c r="K306" s="306"/>
      <c r="L306" s="307"/>
      <c r="M306" s="243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</row>
    <row r="307" ht="13.5" customHeight="1">
      <c r="A307" s="243"/>
      <c r="B307" s="65"/>
      <c r="C307" s="65"/>
      <c r="D307" s="65"/>
      <c r="E307" s="60"/>
      <c r="F307" s="60"/>
      <c r="G307" s="60"/>
      <c r="H307" s="303"/>
      <c r="I307" s="304"/>
      <c r="J307" s="305"/>
      <c r="K307" s="306"/>
      <c r="L307" s="307"/>
      <c r="M307" s="243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</row>
    <row r="308" ht="13.5" customHeight="1">
      <c r="A308" s="243"/>
      <c r="B308" s="65"/>
      <c r="C308" s="65"/>
      <c r="D308" s="65"/>
      <c r="E308" s="60"/>
      <c r="F308" s="60"/>
      <c r="G308" s="60"/>
      <c r="H308" s="303"/>
      <c r="I308" s="304"/>
      <c r="J308" s="305"/>
      <c r="K308" s="306"/>
      <c r="L308" s="307"/>
      <c r="M308" s="243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</row>
    <row r="309" ht="13.5" customHeight="1">
      <c r="A309" s="243"/>
      <c r="B309" s="65"/>
      <c r="C309" s="65"/>
      <c r="D309" s="65"/>
      <c r="E309" s="60"/>
      <c r="F309" s="60"/>
      <c r="G309" s="60"/>
      <c r="H309" s="303"/>
      <c r="I309" s="304"/>
      <c r="J309" s="305"/>
      <c r="K309" s="306"/>
      <c r="L309" s="307"/>
      <c r="M309" s="243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</row>
    <row r="310" ht="13.5" customHeight="1">
      <c r="A310" s="243"/>
      <c r="B310" s="65"/>
      <c r="C310" s="65"/>
      <c r="D310" s="65"/>
      <c r="E310" s="60"/>
      <c r="F310" s="60"/>
      <c r="G310" s="60"/>
      <c r="H310" s="303"/>
      <c r="I310" s="304"/>
      <c r="J310" s="305"/>
      <c r="K310" s="306"/>
      <c r="L310" s="307"/>
      <c r="M310" s="243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</row>
    <row r="311" ht="13.5" customHeight="1">
      <c r="A311" s="243"/>
      <c r="B311" s="65"/>
      <c r="C311" s="65"/>
      <c r="D311" s="65"/>
      <c r="E311" s="60"/>
      <c r="F311" s="60"/>
      <c r="G311" s="60"/>
      <c r="H311" s="303"/>
      <c r="I311" s="304"/>
      <c r="J311" s="305"/>
      <c r="K311" s="306"/>
      <c r="L311" s="307"/>
      <c r="M311" s="243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</row>
    <row r="312" ht="13.5" customHeight="1">
      <c r="A312" s="243"/>
      <c r="B312" s="65"/>
      <c r="C312" s="65"/>
      <c r="D312" s="65"/>
      <c r="E312" s="60"/>
      <c r="F312" s="60"/>
      <c r="G312" s="60"/>
      <c r="H312" s="303"/>
      <c r="I312" s="304"/>
      <c r="J312" s="305"/>
      <c r="K312" s="306"/>
      <c r="L312" s="307"/>
      <c r="M312" s="243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</row>
    <row r="313" ht="13.5" customHeight="1">
      <c r="A313" s="243"/>
      <c r="B313" s="65"/>
      <c r="C313" s="65"/>
      <c r="D313" s="65"/>
      <c r="E313" s="60"/>
      <c r="F313" s="60"/>
      <c r="G313" s="60"/>
      <c r="H313" s="303"/>
      <c r="I313" s="304"/>
      <c r="J313" s="305"/>
      <c r="K313" s="306"/>
      <c r="L313" s="307"/>
      <c r="M313" s="243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</row>
    <row r="314" ht="13.5" customHeight="1">
      <c r="A314" s="243"/>
      <c r="B314" s="65"/>
      <c r="C314" s="65"/>
      <c r="D314" s="65"/>
      <c r="E314" s="60"/>
      <c r="F314" s="60"/>
      <c r="G314" s="60"/>
      <c r="H314" s="303"/>
      <c r="I314" s="304"/>
      <c r="J314" s="305"/>
      <c r="K314" s="306"/>
      <c r="L314" s="307"/>
      <c r="M314" s="243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</row>
    <row r="315" ht="13.5" customHeight="1">
      <c r="A315" s="243"/>
      <c r="B315" s="65"/>
      <c r="C315" s="65"/>
      <c r="D315" s="65"/>
      <c r="E315" s="60"/>
      <c r="F315" s="60"/>
      <c r="G315" s="60"/>
      <c r="H315" s="303"/>
      <c r="I315" s="304"/>
      <c r="J315" s="305"/>
      <c r="K315" s="306"/>
      <c r="L315" s="307"/>
      <c r="M315" s="243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</row>
    <row r="316" ht="13.5" customHeight="1">
      <c r="A316" s="243"/>
      <c r="B316" s="65"/>
      <c r="C316" s="65"/>
      <c r="D316" s="65"/>
      <c r="E316" s="60"/>
      <c r="F316" s="60"/>
      <c r="G316" s="60"/>
      <c r="H316" s="303"/>
      <c r="I316" s="304"/>
      <c r="J316" s="305"/>
      <c r="K316" s="306"/>
      <c r="L316" s="307"/>
      <c r="M316" s="243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</row>
    <row r="317" ht="13.5" customHeight="1">
      <c r="A317" s="243"/>
      <c r="B317" s="65"/>
      <c r="C317" s="65"/>
      <c r="D317" s="65"/>
      <c r="E317" s="60"/>
      <c r="F317" s="60"/>
      <c r="G317" s="60"/>
      <c r="H317" s="303"/>
      <c r="I317" s="304"/>
      <c r="J317" s="305"/>
      <c r="K317" s="306"/>
      <c r="L317" s="307"/>
      <c r="M317" s="243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</row>
    <row r="318" ht="13.5" customHeight="1">
      <c r="A318" s="243"/>
      <c r="B318" s="65"/>
      <c r="C318" s="65"/>
      <c r="D318" s="65"/>
      <c r="E318" s="60"/>
      <c r="F318" s="60"/>
      <c r="G318" s="60"/>
      <c r="H318" s="303"/>
      <c r="I318" s="304"/>
      <c r="J318" s="305"/>
      <c r="K318" s="306"/>
      <c r="L318" s="307"/>
      <c r="M318" s="243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</row>
    <row r="319" ht="13.5" customHeight="1">
      <c r="A319" s="243"/>
      <c r="B319" s="65"/>
      <c r="C319" s="65"/>
      <c r="D319" s="65"/>
      <c r="E319" s="60"/>
      <c r="F319" s="60"/>
      <c r="G319" s="60"/>
      <c r="H319" s="303"/>
      <c r="I319" s="304"/>
      <c r="J319" s="305"/>
      <c r="K319" s="306"/>
      <c r="L319" s="307"/>
      <c r="M319" s="243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</row>
    <row r="320" ht="13.5" customHeight="1">
      <c r="A320" s="243"/>
      <c r="B320" s="65"/>
      <c r="C320" s="65"/>
      <c r="D320" s="65"/>
      <c r="E320" s="60"/>
      <c r="F320" s="60"/>
      <c r="G320" s="60"/>
      <c r="H320" s="303"/>
      <c r="I320" s="304"/>
      <c r="J320" s="305"/>
      <c r="K320" s="306"/>
      <c r="L320" s="307"/>
      <c r="M320" s="243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</row>
    <row r="321" ht="13.5" customHeight="1">
      <c r="A321" s="243"/>
      <c r="B321" s="65"/>
      <c r="C321" s="65"/>
      <c r="D321" s="65"/>
      <c r="E321" s="60"/>
      <c r="F321" s="60"/>
      <c r="G321" s="60"/>
      <c r="H321" s="303"/>
      <c r="I321" s="304"/>
      <c r="J321" s="305"/>
      <c r="K321" s="306"/>
      <c r="L321" s="307"/>
      <c r="M321" s="243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</row>
    <row r="322" ht="13.5" customHeight="1">
      <c r="A322" s="243"/>
      <c r="B322" s="65"/>
      <c r="C322" s="65"/>
      <c r="D322" s="65"/>
      <c r="E322" s="60"/>
      <c r="F322" s="60"/>
      <c r="G322" s="60"/>
      <c r="H322" s="303"/>
      <c r="I322" s="304"/>
      <c r="J322" s="305"/>
      <c r="K322" s="306"/>
      <c r="L322" s="307"/>
      <c r="M322" s="243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</row>
    <row r="323" ht="13.5" customHeight="1">
      <c r="A323" s="243"/>
      <c r="B323" s="65"/>
      <c r="C323" s="65"/>
      <c r="D323" s="65"/>
      <c r="E323" s="60"/>
      <c r="F323" s="60"/>
      <c r="G323" s="60"/>
      <c r="H323" s="303"/>
      <c r="I323" s="304"/>
      <c r="J323" s="305"/>
      <c r="K323" s="306"/>
      <c r="L323" s="307"/>
      <c r="M323" s="243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</row>
    <row r="324" ht="13.5" customHeight="1">
      <c r="A324" s="243"/>
      <c r="B324" s="65"/>
      <c r="C324" s="65"/>
      <c r="D324" s="65"/>
      <c r="E324" s="60"/>
      <c r="F324" s="60"/>
      <c r="G324" s="60"/>
      <c r="H324" s="303"/>
      <c r="I324" s="304"/>
      <c r="J324" s="305"/>
      <c r="K324" s="306"/>
      <c r="L324" s="307"/>
      <c r="M324" s="243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</row>
    <row r="325" ht="13.5" customHeight="1">
      <c r="A325" s="243"/>
      <c r="B325" s="65"/>
      <c r="C325" s="65"/>
      <c r="D325" s="65"/>
      <c r="E325" s="60"/>
      <c r="F325" s="60"/>
      <c r="G325" s="60"/>
      <c r="H325" s="303"/>
      <c r="I325" s="304"/>
      <c r="J325" s="305"/>
      <c r="K325" s="306"/>
      <c r="L325" s="307"/>
      <c r="M325" s="243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</row>
    <row r="326" ht="13.5" customHeight="1">
      <c r="A326" s="243"/>
      <c r="B326" s="65"/>
      <c r="C326" s="65"/>
      <c r="D326" s="65"/>
      <c r="E326" s="60"/>
      <c r="F326" s="60"/>
      <c r="G326" s="60"/>
      <c r="H326" s="303"/>
      <c r="I326" s="304"/>
      <c r="J326" s="305"/>
      <c r="K326" s="306"/>
      <c r="L326" s="307"/>
      <c r="M326" s="243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</row>
    <row r="327" ht="13.5" customHeight="1">
      <c r="A327" s="243"/>
      <c r="B327" s="65"/>
      <c r="C327" s="65"/>
      <c r="D327" s="65"/>
      <c r="E327" s="60"/>
      <c r="F327" s="60"/>
      <c r="G327" s="60"/>
      <c r="H327" s="303"/>
      <c r="I327" s="304"/>
      <c r="J327" s="305"/>
      <c r="K327" s="306"/>
      <c r="L327" s="307"/>
      <c r="M327" s="243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</row>
    <row r="328" ht="13.5" customHeight="1">
      <c r="A328" s="243"/>
      <c r="B328" s="65"/>
      <c r="C328" s="65"/>
      <c r="D328" s="65"/>
      <c r="E328" s="60"/>
      <c r="F328" s="60"/>
      <c r="G328" s="60"/>
      <c r="H328" s="303"/>
      <c r="I328" s="304"/>
      <c r="J328" s="305"/>
      <c r="K328" s="306"/>
      <c r="L328" s="307"/>
      <c r="M328" s="243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</row>
    <row r="329" ht="13.5" customHeight="1">
      <c r="A329" s="243"/>
      <c r="B329" s="65"/>
      <c r="C329" s="65"/>
      <c r="D329" s="65"/>
      <c r="E329" s="60"/>
      <c r="F329" s="60"/>
      <c r="G329" s="60"/>
      <c r="H329" s="303"/>
      <c r="I329" s="304"/>
      <c r="J329" s="305"/>
      <c r="K329" s="306"/>
      <c r="L329" s="307"/>
      <c r="M329" s="243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</row>
    <row r="330" ht="13.5" customHeight="1">
      <c r="A330" s="243"/>
      <c r="B330" s="65"/>
      <c r="C330" s="65"/>
      <c r="D330" s="65"/>
      <c r="E330" s="60"/>
      <c r="F330" s="60"/>
      <c r="G330" s="60"/>
      <c r="H330" s="303"/>
      <c r="I330" s="304"/>
      <c r="J330" s="305"/>
      <c r="K330" s="306"/>
      <c r="L330" s="307"/>
      <c r="M330" s="243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</row>
    <row r="331" ht="13.5" customHeight="1">
      <c r="A331" s="243"/>
      <c r="B331" s="65"/>
      <c r="C331" s="65"/>
      <c r="D331" s="65"/>
      <c r="E331" s="60"/>
      <c r="F331" s="60"/>
      <c r="G331" s="60"/>
      <c r="H331" s="303"/>
      <c r="I331" s="304"/>
      <c r="J331" s="305"/>
      <c r="K331" s="306"/>
      <c r="L331" s="307"/>
      <c r="M331" s="243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</row>
    <row r="332" ht="13.5" customHeight="1">
      <c r="A332" s="243"/>
      <c r="B332" s="65"/>
      <c r="C332" s="65"/>
      <c r="D332" s="65"/>
      <c r="E332" s="60"/>
      <c r="F332" s="60"/>
      <c r="G332" s="60"/>
      <c r="H332" s="303"/>
      <c r="I332" s="304"/>
      <c r="J332" s="305"/>
      <c r="K332" s="306"/>
      <c r="L332" s="307"/>
      <c r="M332" s="243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</row>
    <row r="333" ht="13.5" customHeight="1">
      <c r="A333" s="243"/>
      <c r="B333" s="65"/>
      <c r="C333" s="65"/>
      <c r="D333" s="65"/>
      <c r="E333" s="60"/>
      <c r="F333" s="60"/>
      <c r="G333" s="60"/>
      <c r="H333" s="303"/>
      <c r="I333" s="304"/>
      <c r="J333" s="305"/>
      <c r="K333" s="306"/>
      <c r="L333" s="307"/>
      <c r="M333" s="243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</row>
    <row r="334" ht="13.5" customHeight="1">
      <c r="A334" s="243"/>
      <c r="B334" s="65"/>
      <c r="C334" s="65"/>
      <c r="D334" s="65"/>
      <c r="E334" s="60"/>
      <c r="F334" s="60"/>
      <c r="G334" s="60"/>
      <c r="H334" s="303"/>
      <c r="I334" s="304"/>
      <c r="J334" s="305"/>
      <c r="K334" s="306"/>
      <c r="L334" s="307"/>
      <c r="M334" s="243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</row>
    <row r="335" ht="13.5" customHeight="1">
      <c r="A335" s="243"/>
      <c r="B335" s="65"/>
      <c r="C335" s="65"/>
      <c r="D335" s="65"/>
      <c r="E335" s="60"/>
      <c r="F335" s="60"/>
      <c r="G335" s="60"/>
      <c r="H335" s="303"/>
      <c r="I335" s="304"/>
      <c r="J335" s="305"/>
      <c r="K335" s="306"/>
      <c r="L335" s="307"/>
      <c r="M335" s="243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</row>
    <row r="336" ht="13.5" customHeight="1">
      <c r="A336" s="243"/>
      <c r="B336" s="65"/>
      <c r="C336" s="65"/>
      <c r="D336" s="65"/>
      <c r="E336" s="60"/>
      <c r="F336" s="60"/>
      <c r="G336" s="60"/>
      <c r="H336" s="303"/>
      <c r="I336" s="304"/>
      <c r="J336" s="305"/>
      <c r="K336" s="306"/>
      <c r="L336" s="307"/>
      <c r="M336" s="243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</row>
    <row r="337" ht="13.5" customHeight="1">
      <c r="A337" s="243"/>
      <c r="B337" s="65"/>
      <c r="C337" s="65"/>
      <c r="D337" s="65"/>
      <c r="E337" s="60"/>
      <c r="F337" s="60"/>
      <c r="G337" s="60"/>
      <c r="H337" s="303"/>
      <c r="I337" s="304"/>
      <c r="J337" s="305"/>
      <c r="K337" s="306"/>
      <c r="L337" s="307"/>
      <c r="M337" s="243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</row>
    <row r="338" ht="13.5" customHeight="1">
      <c r="A338" s="243"/>
      <c r="B338" s="65"/>
      <c r="C338" s="65"/>
      <c r="D338" s="65"/>
      <c r="E338" s="60"/>
      <c r="F338" s="60"/>
      <c r="G338" s="60"/>
      <c r="H338" s="303"/>
      <c r="I338" s="304"/>
      <c r="J338" s="305"/>
      <c r="K338" s="306"/>
      <c r="L338" s="307"/>
      <c r="M338" s="243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</row>
    <row r="339" ht="13.5" customHeight="1">
      <c r="A339" s="243"/>
      <c r="B339" s="65"/>
      <c r="C339" s="65"/>
      <c r="D339" s="65"/>
      <c r="E339" s="60"/>
      <c r="F339" s="60"/>
      <c r="G339" s="60"/>
      <c r="H339" s="303"/>
      <c r="I339" s="304"/>
      <c r="J339" s="305"/>
      <c r="K339" s="306"/>
      <c r="L339" s="307"/>
      <c r="M339" s="243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</row>
    <row r="340" ht="13.5" customHeight="1">
      <c r="A340" s="243"/>
      <c r="B340" s="65"/>
      <c r="C340" s="65"/>
      <c r="D340" s="65"/>
      <c r="E340" s="60"/>
      <c r="F340" s="60"/>
      <c r="G340" s="60"/>
      <c r="H340" s="303"/>
      <c r="I340" s="304"/>
      <c r="J340" s="305"/>
      <c r="K340" s="306"/>
      <c r="L340" s="307"/>
      <c r="M340" s="243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</row>
    <row r="341" ht="13.5" customHeight="1">
      <c r="A341" s="243"/>
      <c r="B341" s="65"/>
      <c r="C341" s="65"/>
      <c r="D341" s="65"/>
      <c r="E341" s="60"/>
      <c r="F341" s="60"/>
      <c r="G341" s="60"/>
      <c r="H341" s="303"/>
      <c r="I341" s="304"/>
      <c r="J341" s="305"/>
      <c r="K341" s="306"/>
      <c r="L341" s="307"/>
      <c r="M341" s="243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</row>
    <row r="342" ht="13.5" customHeight="1">
      <c r="A342" s="243"/>
      <c r="B342" s="65"/>
      <c r="C342" s="65"/>
      <c r="D342" s="65"/>
      <c r="E342" s="60"/>
      <c r="F342" s="60"/>
      <c r="G342" s="60"/>
      <c r="H342" s="303"/>
      <c r="I342" s="304"/>
      <c r="J342" s="305"/>
      <c r="K342" s="306"/>
      <c r="L342" s="307"/>
      <c r="M342" s="243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</row>
    <row r="343" ht="13.5" customHeight="1">
      <c r="A343" s="243"/>
      <c r="B343" s="65"/>
      <c r="C343" s="65"/>
      <c r="D343" s="65"/>
      <c r="E343" s="60"/>
      <c r="F343" s="60"/>
      <c r="G343" s="60"/>
      <c r="H343" s="303"/>
      <c r="I343" s="304"/>
      <c r="J343" s="305"/>
      <c r="K343" s="306"/>
      <c r="L343" s="307"/>
      <c r="M343" s="243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</row>
    <row r="344" ht="13.5" customHeight="1">
      <c r="A344" s="243"/>
      <c r="B344" s="65"/>
      <c r="C344" s="65"/>
      <c r="D344" s="65"/>
      <c r="E344" s="60"/>
      <c r="F344" s="60"/>
      <c r="G344" s="60"/>
      <c r="H344" s="303"/>
      <c r="I344" s="304"/>
      <c r="J344" s="305"/>
      <c r="K344" s="306"/>
      <c r="L344" s="307"/>
      <c r="M344" s="243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</row>
    <row r="345" ht="13.5" customHeight="1">
      <c r="A345" s="243"/>
      <c r="B345" s="65"/>
      <c r="C345" s="65"/>
      <c r="D345" s="65"/>
      <c r="E345" s="60"/>
      <c r="F345" s="60"/>
      <c r="G345" s="60"/>
      <c r="H345" s="303"/>
      <c r="I345" s="304"/>
      <c r="J345" s="305"/>
      <c r="K345" s="306"/>
      <c r="L345" s="307"/>
      <c r="M345" s="243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</row>
    <row r="346" ht="13.5" customHeight="1">
      <c r="A346" s="243"/>
      <c r="B346" s="65"/>
      <c r="C346" s="65"/>
      <c r="D346" s="65"/>
      <c r="E346" s="60"/>
      <c r="F346" s="60"/>
      <c r="G346" s="60"/>
      <c r="H346" s="303"/>
      <c r="I346" s="304"/>
      <c r="J346" s="305"/>
      <c r="K346" s="306"/>
      <c r="L346" s="307"/>
      <c r="M346" s="243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</row>
    <row r="347" ht="13.5" customHeight="1">
      <c r="A347" s="243"/>
      <c r="B347" s="65"/>
      <c r="C347" s="65"/>
      <c r="D347" s="65"/>
      <c r="E347" s="60"/>
      <c r="F347" s="60"/>
      <c r="G347" s="60"/>
      <c r="H347" s="303"/>
      <c r="I347" s="304"/>
      <c r="J347" s="305"/>
      <c r="K347" s="306"/>
      <c r="L347" s="307"/>
      <c r="M347" s="243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</row>
    <row r="348" ht="13.5" customHeight="1">
      <c r="A348" s="243"/>
      <c r="B348" s="65"/>
      <c r="C348" s="65"/>
      <c r="D348" s="65"/>
      <c r="E348" s="60"/>
      <c r="F348" s="60"/>
      <c r="G348" s="60"/>
      <c r="H348" s="303"/>
      <c r="I348" s="304"/>
      <c r="J348" s="305"/>
      <c r="K348" s="306"/>
      <c r="L348" s="307"/>
      <c r="M348" s="243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</row>
    <row r="349" ht="13.5" customHeight="1">
      <c r="A349" s="243"/>
      <c r="B349" s="65"/>
      <c r="C349" s="65"/>
      <c r="D349" s="65"/>
      <c r="E349" s="60"/>
      <c r="F349" s="60"/>
      <c r="G349" s="60"/>
      <c r="H349" s="303"/>
      <c r="I349" s="304"/>
      <c r="J349" s="305"/>
      <c r="K349" s="306"/>
      <c r="L349" s="307"/>
      <c r="M349" s="243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</row>
    <row r="350" ht="13.5" customHeight="1">
      <c r="A350" s="243"/>
      <c r="B350" s="65"/>
      <c r="C350" s="65"/>
      <c r="D350" s="65"/>
      <c r="E350" s="60"/>
      <c r="F350" s="60"/>
      <c r="G350" s="60"/>
      <c r="H350" s="303"/>
      <c r="I350" s="304"/>
      <c r="J350" s="305"/>
      <c r="K350" s="306"/>
      <c r="L350" s="307"/>
      <c r="M350" s="243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</row>
    <row r="351" ht="13.5" customHeight="1">
      <c r="A351" s="243"/>
      <c r="B351" s="65"/>
      <c r="C351" s="65"/>
      <c r="D351" s="65"/>
      <c r="E351" s="60"/>
      <c r="F351" s="60"/>
      <c r="G351" s="60"/>
      <c r="H351" s="303"/>
      <c r="I351" s="304"/>
      <c r="J351" s="305"/>
      <c r="K351" s="306"/>
      <c r="L351" s="307"/>
      <c r="M351" s="243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</row>
    <row r="352" ht="13.5" customHeight="1">
      <c r="A352" s="243"/>
      <c r="B352" s="65"/>
      <c r="C352" s="65"/>
      <c r="D352" s="65"/>
      <c r="E352" s="60"/>
      <c r="F352" s="60"/>
      <c r="G352" s="60"/>
      <c r="H352" s="303"/>
      <c r="I352" s="304"/>
      <c r="J352" s="305"/>
      <c r="K352" s="306"/>
      <c r="L352" s="307"/>
      <c r="M352" s="243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</row>
    <row r="353" ht="13.5" customHeight="1">
      <c r="A353" s="243"/>
      <c r="B353" s="65"/>
      <c r="C353" s="65"/>
      <c r="D353" s="65"/>
      <c r="E353" s="60"/>
      <c r="F353" s="60"/>
      <c r="G353" s="60"/>
      <c r="H353" s="303"/>
      <c r="I353" s="304"/>
      <c r="J353" s="305"/>
      <c r="K353" s="306"/>
      <c r="L353" s="307"/>
      <c r="M353" s="243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</row>
    <row r="354" ht="13.5" customHeight="1">
      <c r="A354" s="243"/>
      <c r="B354" s="65"/>
      <c r="C354" s="65"/>
      <c r="D354" s="65"/>
      <c r="E354" s="60"/>
      <c r="F354" s="60"/>
      <c r="G354" s="60"/>
      <c r="H354" s="303"/>
      <c r="I354" s="304"/>
      <c r="J354" s="305"/>
      <c r="K354" s="306"/>
      <c r="L354" s="307"/>
      <c r="M354" s="243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</row>
    <row r="355" ht="13.5" customHeight="1">
      <c r="A355" s="243"/>
      <c r="B355" s="65"/>
      <c r="C355" s="65"/>
      <c r="D355" s="65"/>
      <c r="E355" s="60"/>
      <c r="F355" s="60"/>
      <c r="G355" s="60"/>
      <c r="H355" s="303"/>
      <c r="I355" s="304"/>
      <c r="J355" s="305"/>
      <c r="K355" s="306"/>
      <c r="L355" s="307"/>
      <c r="M355" s="243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</row>
    <row r="356" ht="13.5" customHeight="1">
      <c r="A356" s="243"/>
      <c r="B356" s="65"/>
      <c r="C356" s="65"/>
      <c r="D356" s="65"/>
      <c r="E356" s="60"/>
      <c r="F356" s="60"/>
      <c r="G356" s="60"/>
      <c r="H356" s="303"/>
      <c r="I356" s="304"/>
      <c r="J356" s="305"/>
      <c r="K356" s="306"/>
      <c r="L356" s="307"/>
      <c r="M356" s="243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</row>
    <row r="357" ht="13.5" customHeight="1">
      <c r="A357" s="243"/>
      <c r="B357" s="65"/>
      <c r="C357" s="65"/>
      <c r="D357" s="65"/>
      <c r="E357" s="60"/>
      <c r="F357" s="60"/>
      <c r="G357" s="60"/>
      <c r="H357" s="303"/>
      <c r="I357" s="304"/>
      <c r="J357" s="305"/>
      <c r="K357" s="306"/>
      <c r="L357" s="307"/>
      <c r="M357" s="243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</row>
    <row r="358" ht="13.5" customHeight="1">
      <c r="A358" s="243"/>
      <c r="B358" s="65"/>
      <c r="C358" s="65"/>
      <c r="D358" s="65"/>
      <c r="E358" s="60"/>
      <c r="F358" s="60"/>
      <c r="G358" s="60"/>
      <c r="H358" s="303"/>
      <c r="I358" s="304"/>
      <c r="J358" s="305"/>
      <c r="K358" s="306"/>
      <c r="L358" s="307"/>
      <c r="M358" s="243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</row>
    <row r="359" ht="13.5" customHeight="1">
      <c r="A359" s="243"/>
      <c r="B359" s="65"/>
      <c r="C359" s="65"/>
      <c r="D359" s="65"/>
      <c r="E359" s="60"/>
      <c r="F359" s="60"/>
      <c r="G359" s="60"/>
      <c r="H359" s="303"/>
      <c r="I359" s="304"/>
      <c r="J359" s="305"/>
      <c r="K359" s="306"/>
      <c r="L359" s="307"/>
      <c r="M359" s="243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</row>
    <row r="360" ht="13.5" customHeight="1">
      <c r="A360" s="243"/>
      <c r="B360" s="65"/>
      <c r="C360" s="65"/>
      <c r="D360" s="65"/>
      <c r="E360" s="60"/>
      <c r="F360" s="60"/>
      <c r="G360" s="60"/>
      <c r="H360" s="303"/>
      <c r="I360" s="304"/>
      <c r="J360" s="305"/>
      <c r="K360" s="306"/>
      <c r="L360" s="307"/>
      <c r="M360" s="243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</row>
    <row r="361" ht="13.5" customHeight="1">
      <c r="A361" s="243"/>
      <c r="B361" s="65"/>
      <c r="C361" s="65"/>
      <c r="D361" s="65"/>
      <c r="E361" s="60"/>
      <c r="F361" s="60"/>
      <c r="G361" s="60"/>
      <c r="H361" s="303"/>
      <c r="I361" s="304"/>
      <c r="J361" s="305"/>
      <c r="K361" s="306"/>
      <c r="L361" s="307"/>
      <c r="M361" s="243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</row>
    <row r="362" ht="13.5" customHeight="1">
      <c r="A362" s="243"/>
      <c r="B362" s="65"/>
      <c r="C362" s="65"/>
      <c r="D362" s="65"/>
      <c r="E362" s="60"/>
      <c r="F362" s="60"/>
      <c r="G362" s="60"/>
      <c r="H362" s="303"/>
      <c r="I362" s="304"/>
      <c r="J362" s="305"/>
      <c r="K362" s="306"/>
      <c r="L362" s="307"/>
      <c r="M362" s="243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</row>
    <row r="363" ht="13.5" customHeight="1">
      <c r="A363" s="243"/>
      <c r="B363" s="65"/>
      <c r="C363" s="65"/>
      <c r="D363" s="65"/>
      <c r="E363" s="60"/>
      <c r="F363" s="60"/>
      <c r="G363" s="60"/>
      <c r="H363" s="303"/>
      <c r="I363" s="304"/>
      <c r="J363" s="305"/>
      <c r="K363" s="306"/>
      <c r="L363" s="307"/>
      <c r="M363" s="243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</row>
    <row r="364" ht="13.5" customHeight="1">
      <c r="A364" s="243"/>
      <c r="B364" s="65"/>
      <c r="C364" s="65"/>
      <c r="D364" s="65"/>
      <c r="E364" s="60"/>
      <c r="F364" s="60"/>
      <c r="G364" s="60"/>
      <c r="H364" s="303"/>
      <c r="I364" s="304"/>
      <c r="J364" s="305"/>
      <c r="K364" s="306"/>
      <c r="L364" s="307"/>
      <c r="M364" s="243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</row>
    <row r="365" ht="13.5" customHeight="1">
      <c r="A365" s="243"/>
      <c r="B365" s="65"/>
      <c r="C365" s="65"/>
      <c r="D365" s="65"/>
      <c r="E365" s="60"/>
      <c r="F365" s="60"/>
      <c r="G365" s="60"/>
      <c r="H365" s="303"/>
      <c r="I365" s="304"/>
      <c r="J365" s="305"/>
      <c r="K365" s="306"/>
      <c r="L365" s="307"/>
      <c r="M365" s="243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</row>
    <row r="366" ht="13.5" customHeight="1">
      <c r="A366" s="243"/>
      <c r="B366" s="65"/>
      <c r="C366" s="65"/>
      <c r="D366" s="65"/>
      <c r="E366" s="60"/>
      <c r="F366" s="60"/>
      <c r="G366" s="60"/>
      <c r="H366" s="303"/>
      <c r="I366" s="304"/>
      <c r="J366" s="305"/>
      <c r="K366" s="306"/>
      <c r="L366" s="307"/>
      <c r="M366" s="243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</row>
    <row r="367" ht="13.5" customHeight="1">
      <c r="A367" s="243"/>
      <c r="B367" s="65"/>
      <c r="C367" s="65"/>
      <c r="D367" s="65"/>
      <c r="E367" s="60"/>
      <c r="F367" s="60"/>
      <c r="G367" s="60"/>
      <c r="H367" s="303"/>
      <c r="I367" s="304"/>
      <c r="J367" s="305"/>
      <c r="K367" s="306"/>
      <c r="L367" s="307"/>
      <c r="M367" s="243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</row>
    <row r="368" ht="13.5" customHeight="1">
      <c r="A368" s="243"/>
      <c r="B368" s="65"/>
      <c r="C368" s="65"/>
      <c r="D368" s="65"/>
      <c r="E368" s="60"/>
      <c r="F368" s="60"/>
      <c r="G368" s="60"/>
      <c r="H368" s="303"/>
      <c r="I368" s="304"/>
      <c r="J368" s="305"/>
      <c r="K368" s="306"/>
      <c r="L368" s="307"/>
      <c r="M368" s="243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</row>
    <row r="369" ht="13.5" customHeight="1">
      <c r="A369" s="243"/>
      <c r="B369" s="65"/>
      <c r="C369" s="65"/>
      <c r="D369" s="65"/>
      <c r="E369" s="60"/>
      <c r="F369" s="60"/>
      <c r="G369" s="60"/>
      <c r="H369" s="303"/>
      <c r="I369" s="304"/>
      <c r="J369" s="305"/>
      <c r="K369" s="306"/>
      <c r="L369" s="307"/>
      <c r="M369" s="243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</row>
    <row r="370" ht="13.5" customHeight="1">
      <c r="A370" s="243"/>
      <c r="B370" s="65"/>
      <c r="C370" s="65"/>
      <c r="D370" s="65"/>
      <c r="E370" s="60"/>
      <c r="F370" s="60"/>
      <c r="G370" s="60"/>
      <c r="H370" s="303"/>
      <c r="I370" s="304"/>
      <c r="J370" s="305"/>
      <c r="K370" s="306"/>
      <c r="L370" s="307"/>
      <c r="M370" s="243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</row>
    <row r="371" ht="13.5" customHeight="1">
      <c r="A371" s="243"/>
      <c r="B371" s="65"/>
      <c r="C371" s="65"/>
      <c r="D371" s="65"/>
      <c r="E371" s="60"/>
      <c r="F371" s="60"/>
      <c r="G371" s="60"/>
      <c r="H371" s="303"/>
      <c r="I371" s="304"/>
      <c r="J371" s="305"/>
      <c r="K371" s="306"/>
      <c r="L371" s="307"/>
      <c r="M371" s="243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</row>
    <row r="372" ht="13.5" customHeight="1">
      <c r="A372" s="243"/>
      <c r="B372" s="65"/>
      <c r="C372" s="65"/>
      <c r="D372" s="65"/>
      <c r="E372" s="60"/>
      <c r="F372" s="60"/>
      <c r="G372" s="60"/>
      <c r="H372" s="303"/>
      <c r="I372" s="304"/>
      <c r="J372" s="305"/>
      <c r="K372" s="306"/>
      <c r="L372" s="307"/>
      <c r="M372" s="243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</row>
    <row r="373" ht="13.5" customHeight="1">
      <c r="A373" s="243"/>
      <c r="B373" s="65"/>
      <c r="C373" s="65"/>
      <c r="D373" s="65"/>
      <c r="E373" s="60"/>
      <c r="F373" s="60"/>
      <c r="G373" s="60"/>
      <c r="H373" s="303"/>
      <c r="I373" s="304"/>
      <c r="J373" s="305"/>
      <c r="K373" s="306"/>
      <c r="L373" s="307"/>
      <c r="M373" s="243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</row>
    <row r="374" ht="13.5" customHeight="1">
      <c r="A374" s="243"/>
      <c r="B374" s="65"/>
      <c r="C374" s="65"/>
      <c r="D374" s="65"/>
      <c r="E374" s="60"/>
      <c r="F374" s="60"/>
      <c r="G374" s="60"/>
      <c r="H374" s="303"/>
      <c r="I374" s="304"/>
      <c r="J374" s="305"/>
      <c r="K374" s="306"/>
      <c r="L374" s="307"/>
      <c r="M374" s="243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</row>
    <row r="375" ht="13.5" customHeight="1">
      <c r="A375" s="243"/>
      <c r="B375" s="65"/>
      <c r="C375" s="65"/>
      <c r="D375" s="65"/>
      <c r="E375" s="60"/>
      <c r="F375" s="60"/>
      <c r="G375" s="60"/>
      <c r="H375" s="303"/>
      <c r="I375" s="304"/>
      <c r="J375" s="305"/>
      <c r="K375" s="306"/>
      <c r="L375" s="307"/>
      <c r="M375" s="243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</row>
    <row r="376" ht="13.5" customHeight="1">
      <c r="A376" s="243"/>
      <c r="B376" s="65"/>
      <c r="C376" s="65"/>
      <c r="D376" s="65"/>
      <c r="E376" s="60"/>
      <c r="F376" s="60"/>
      <c r="G376" s="60"/>
      <c r="H376" s="303"/>
      <c r="I376" s="304"/>
      <c r="J376" s="305"/>
      <c r="K376" s="306"/>
      <c r="L376" s="307"/>
      <c r="M376" s="243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</row>
    <row r="377" ht="13.5" customHeight="1">
      <c r="A377" s="243"/>
      <c r="B377" s="65"/>
      <c r="C377" s="65"/>
      <c r="D377" s="65"/>
      <c r="E377" s="60"/>
      <c r="F377" s="60"/>
      <c r="G377" s="60"/>
      <c r="H377" s="303"/>
      <c r="I377" s="304"/>
      <c r="J377" s="305"/>
      <c r="K377" s="306"/>
      <c r="L377" s="307"/>
      <c r="M377" s="243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</row>
    <row r="378" ht="13.5" customHeight="1">
      <c r="A378" s="243"/>
      <c r="B378" s="65"/>
      <c r="C378" s="65"/>
      <c r="D378" s="65"/>
      <c r="E378" s="60"/>
      <c r="F378" s="60"/>
      <c r="G378" s="60"/>
      <c r="H378" s="303"/>
      <c r="I378" s="304"/>
      <c r="J378" s="305"/>
      <c r="K378" s="306"/>
      <c r="L378" s="307"/>
      <c r="M378" s="243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</row>
    <row r="379" ht="13.5" customHeight="1">
      <c r="A379" s="243"/>
      <c r="B379" s="65"/>
      <c r="C379" s="65"/>
      <c r="D379" s="65"/>
      <c r="E379" s="60"/>
      <c r="F379" s="60"/>
      <c r="G379" s="60"/>
      <c r="H379" s="303"/>
      <c r="I379" s="304"/>
      <c r="J379" s="305"/>
      <c r="K379" s="306"/>
      <c r="L379" s="307"/>
      <c r="M379" s="243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</row>
    <row r="380" ht="13.5" customHeight="1">
      <c r="A380" s="243"/>
      <c r="B380" s="65"/>
      <c r="C380" s="65"/>
      <c r="D380" s="65"/>
      <c r="E380" s="60"/>
      <c r="F380" s="60"/>
      <c r="G380" s="60"/>
      <c r="H380" s="303"/>
      <c r="I380" s="304"/>
      <c r="J380" s="305"/>
      <c r="K380" s="306"/>
      <c r="L380" s="307"/>
      <c r="M380" s="243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</row>
    <row r="381" ht="13.5" customHeight="1">
      <c r="A381" s="243"/>
      <c r="B381" s="65"/>
      <c r="C381" s="65"/>
      <c r="D381" s="65"/>
      <c r="E381" s="60"/>
      <c r="F381" s="60"/>
      <c r="G381" s="60"/>
      <c r="H381" s="303"/>
      <c r="I381" s="304"/>
      <c r="J381" s="305"/>
      <c r="K381" s="306"/>
      <c r="L381" s="307"/>
      <c r="M381" s="243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</row>
    <row r="382" ht="13.5" customHeight="1">
      <c r="A382" s="243"/>
      <c r="B382" s="65"/>
      <c r="C382" s="65"/>
      <c r="D382" s="65"/>
      <c r="E382" s="60"/>
      <c r="F382" s="60"/>
      <c r="G382" s="60"/>
      <c r="H382" s="303"/>
      <c r="I382" s="304"/>
      <c r="J382" s="305"/>
      <c r="K382" s="306"/>
      <c r="L382" s="307"/>
      <c r="M382" s="243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</row>
    <row r="383" ht="13.5" customHeight="1">
      <c r="A383" s="243"/>
      <c r="B383" s="65"/>
      <c r="C383" s="65"/>
      <c r="D383" s="65"/>
      <c r="E383" s="60"/>
      <c r="F383" s="60"/>
      <c r="G383" s="60"/>
      <c r="H383" s="303"/>
      <c r="I383" s="304"/>
      <c r="J383" s="305"/>
      <c r="K383" s="306"/>
      <c r="L383" s="307"/>
      <c r="M383" s="243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</row>
    <row r="384" ht="13.5" customHeight="1">
      <c r="A384" s="243"/>
      <c r="B384" s="65"/>
      <c r="C384" s="65"/>
      <c r="D384" s="65"/>
      <c r="E384" s="60"/>
      <c r="F384" s="60"/>
      <c r="G384" s="60"/>
      <c r="H384" s="303"/>
      <c r="I384" s="304"/>
      <c r="J384" s="305"/>
      <c r="K384" s="306"/>
      <c r="L384" s="307"/>
      <c r="M384" s="243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</row>
    <row r="385" ht="13.5" customHeight="1">
      <c r="A385" s="243"/>
      <c r="B385" s="65"/>
      <c r="C385" s="65"/>
      <c r="D385" s="65"/>
      <c r="E385" s="60"/>
      <c r="F385" s="60"/>
      <c r="G385" s="60"/>
      <c r="H385" s="303"/>
      <c r="I385" s="304"/>
      <c r="J385" s="305"/>
      <c r="K385" s="306"/>
      <c r="L385" s="307"/>
      <c r="M385" s="243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</row>
    <row r="386" ht="13.5" customHeight="1">
      <c r="A386" s="243"/>
      <c r="B386" s="65"/>
      <c r="C386" s="65"/>
      <c r="D386" s="65"/>
      <c r="E386" s="60"/>
      <c r="F386" s="60"/>
      <c r="G386" s="60"/>
      <c r="H386" s="303"/>
      <c r="I386" s="304"/>
      <c r="J386" s="305"/>
      <c r="K386" s="306"/>
      <c r="L386" s="307"/>
      <c r="M386" s="243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</row>
    <row r="387" ht="13.5" customHeight="1">
      <c r="A387" s="243"/>
      <c r="B387" s="65"/>
      <c r="C387" s="65"/>
      <c r="D387" s="65"/>
      <c r="E387" s="60"/>
      <c r="F387" s="60"/>
      <c r="G387" s="60"/>
      <c r="H387" s="303"/>
      <c r="I387" s="304"/>
      <c r="J387" s="305"/>
      <c r="K387" s="306"/>
      <c r="L387" s="307"/>
      <c r="M387" s="243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</row>
    <row r="388" ht="13.5" customHeight="1">
      <c r="A388" s="243"/>
      <c r="B388" s="65"/>
      <c r="C388" s="65"/>
      <c r="D388" s="65"/>
      <c r="E388" s="60"/>
      <c r="F388" s="60"/>
      <c r="G388" s="60"/>
      <c r="H388" s="303"/>
      <c r="I388" s="304"/>
      <c r="J388" s="305"/>
      <c r="K388" s="306"/>
      <c r="L388" s="307"/>
      <c r="M388" s="243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</row>
    <row r="389" ht="13.5" customHeight="1">
      <c r="A389" s="243"/>
      <c r="B389" s="65"/>
      <c r="C389" s="65"/>
      <c r="D389" s="65"/>
      <c r="E389" s="60"/>
      <c r="F389" s="60"/>
      <c r="G389" s="60"/>
      <c r="H389" s="303"/>
      <c r="I389" s="304"/>
      <c r="J389" s="305"/>
      <c r="K389" s="306"/>
      <c r="L389" s="307"/>
      <c r="M389" s="243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</row>
    <row r="390" ht="13.5" customHeight="1">
      <c r="A390" s="243"/>
      <c r="B390" s="65"/>
      <c r="C390" s="65"/>
      <c r="D390" s="65"/>
      <c r="E390" s="60"/>
      <c r="F390" s="60"/>
      <c r="G390" s="60"/>
      <c r="H390" s="303"/>
      <c r="I390" s="304"/>
      <c r="J390" s="305"/>
      <c r="K390" s="306"/>
      <c r="L390" s="307"/>
      <c r="M390" s="243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</row>
    <row r="391" ht="13.5" customHeight="1">
      <c r="A391" s="243"/>
      <c r="B391" s="65"/>
      <c r="C391" s="65"/>
      <c r="D391" s="65"/>
      <c r="E391" s="60"/>
      <c r="F391" s="60"/>
      <c r="G391" s="60"/>
      <c r="H391" s="303"/>
      <c r="I391" s="304"/>
      <c r="J391" s="305"/>
      <c r="K391" s="306"/>
      <c r="L391" s="307"/>
      <c r="M391" s="243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</row>
    <row r="392" ht="13.5" customHeight="1">
      <c r="A392" s="243"/>
      <c r="B392" s="65"/>
      <c r="C392" s="65"/>
      <c r="D392" s="65"/>
      <c r="E392" s="60"/>
      <c r="F392" s="60"/>
      <c r="G392" s="60"/>
      <c r="H392" s="303"/>
      <c r="I392" s="304"/>
      <c r="J392" s="305"/>
      <c r="K392" s="306"/>
      <c r="L392" s="307"/>
      <c r="M392" s="243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</row>
    <row r="393" ht="13.5" customHeight="1">
      <c r="A393" s="243"/>
      <c r="B393" s="65"/>
      <c r="C393" s="65"/>
      <c r="D393" s="65"/>
      <c r="E393" s="60"/>
      <c r="F393" s="60"/>
      <c r="G393" s="60"/>
      <c r="H393" s="303"/>
      <c r="I393" s="304"/>
      <c r="J393" s="305"/>
      <c r="K393" s="306"/>
      <c r="L393" s="307"/>
      <c r="M393" s="243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</row>
    <row r="394" ht="13.5" customHeight="1">
      <c r="A394" s="243"/>
      <c r="B394" s="65"/>
      <c r="C394" s="65"/>
      <c r="D394" s="65"/>
      <c r="E394" s="60"/>
      <c r="F394" s="60"/>
      <c r="G394" s="60"/>
      <c r="H394" s="303"/>
      <c r="I394" s="304"/>
      <c r="J394" s="305"/>
      <c r="K394" s="306"/>
      <c r="L394" s="307"/>
      <c r="M394" s="243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</row>
    <row r="395" ht="13.5" customHeight="1">
      <c r="A395" s="243"/>
      <c r="B395" s="65"/>
      <c r="C395" s="65"/>
      <c r="D395" s="65"/>
      <c r="E395" s="60"/>
      <c r="F395" s="60"/>
      <c r="G395" s="60"/>
      <c r="H395" s="303"/>
      <c r="I395" s="304"/>
      <c r="J395" s="305"/>
      <c r="K395" s="306"/>
      <c r="L395" s="307"/>
      <c r="M395" s="243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</row>
    <row r="396" ht="13.5" customHeight="1">
      <c r="A396" s="243"/>
      <c r="B396" s="65"/>
      <c r="C396" s="65"/>
      <c r="D396" s="65"/>
      <c r="E396" s="60"/>
      <c r="F396" s="60"/>
      <c r="G396" s="60"/>
      <c r="H396" s="303"/>
      <c r="I396" s="304"/>
      <c r="J396" s="305"/>
      <c r="K396" s="306"/>
      <c r="L396" s="307"/>
      <c r="M396" s="243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</row>
    <row r="397" ht="13.5" customHeight="1">
      <c r="A397" s="243"/>
      <c r="B397" s="65"/>
      <c r="C397" s="65"/>
      <c r="D397" s="65"/>
      <c r="E397" s="60"/>
      <c r="F397" s="60"/>
      <c r="G397" s="60"/>
      <c r="H397" s="303"/>
      <c r="I397" s="304"/>
      <c r="J397" s="305"/>
      <c r="K397" s="306"/>
      <c r="L397" s="307"/>
      <c r="M397" s="243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</row>
    <row r="398" ht="13.5" customHeight="1">
      <c r="A398" s="243"/>
      <c r="B398" s="65"/>
      <c r="C398" s="65"/>
      <c r="D398" s="65"/>
      <c r="E398" s="60"/>
      <c r="F398" s="60"/>
      <c r="G398" s="60"/>
      <c r="H398" s="303"/>
      <c r="I398" s="304"/>
      <c r="J398" s="305"/>
      <c r="K398" s="306"/>
      <c r="L398" s="307"/>
      <c r="M398" s="243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</row>
    <row r="399" ht="13.5" customHeight="1">
      <c r="A399" s="243"/>
      <c r="B399" s="65"/>
      <c r="C399" s="65"/>
      <c r="D399" s="65"/>
      <c r="E399" s="60"/>
      <c r="F399" s="60"/>
      <c r="G399" s="60"/>
      <c r="H399" s="303"/>
      <c r="I399" s="304"/>
      <c r="J399" s="305"/>
      <c r="K399" s="306"/>
      <c r="L399" s="307"/>
      <c r="M399" s="243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</row>
    <row r="400" ht="13.5" customHeight="1">
      <c r="A400" s="243"/>
      <c r="B400" s="65"/>
      <c r="C400" s="65"/>
      <c r="D400" s="65"/>
      <c r="E400" s="60"/>
      <c r="F400" s="60"/>
      <c r="G400" s="60"/>
      <c r="H400" s="303"/>
      <c r="I400" s="304"/>
      <c r="J400" s="305"/>
      <c r="K400" s="306"/>
      <c r="L400" s="307"/>
      <c r="M400" s="243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</row>
    <row r="401" ht="13.5" customHeight="1">
      <c r="A401" s="243"/>
      <c r="B401" s="65"/>
      <c r="C401" s="65"/>
      <c r="D401" s="65"/>
      <c r="E401" s="60"/>
      <c r="F401" s="60"/>
      <c r="G401" s="60"/>
      <c r="H401" s="303"/>
      <c r="I401" s="304"/>
      <c r="J401" s="305"/>
      <c r="K401" s="306"/>
      <c r="L401" s="307"/>
      <c r="M401" s="243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</row>
    <row r="402" ht="13.5" customHeight="1">
      <c r="A402" s="243"/>
      <c r="B402" s="65"/>
      <c r="C402" s="65"/>
      <c r="D402" s="65"/>
      <c r="E402" s="60"/>
      <c r="F402" s="60"/>
      <c r="G402" s="60"/>
      <c r="H402" s="303"/>
      <c r="I402" s="304"/>
      <c r="J402" s="305"/>
      <c r="K402" s="306"/>
      <c r="L402" s="307"/>
      <c r="M402" s="243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</row>
    <row r="403" ht="13.5" customHeight="1">
      <c r="A403" s="243"/>
      <c r="B403" s="65"/>
      <c r="C403" s="65"/>
      <c r="D403" s="65"/>
      <c r="E403" s="60"/>
      <c r="F403" s="60"/>
      <c r="G403" s="60"/>
      <c r="H403" s="303"/>
      <c r="I403" s="304"/>
      <c r="J403" s="305"/>
      <c r="K403" s="306"/>
      <c r="L403" s="307"/>
      <c r="M403" s="243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</row>
    <row r="404" ht="13.5" customHeight="1">
      <c r="A404" s="243"/>
      <c r="B404" s="65"/>
      <c r="C404" s="65"/>
      <c r="D404" s="65"/>
      <c r="E404" s="60"/>
      <c r="F404" s="60"/>
      <c r="G404" s="60"/>
      <c r="H404" s="303"/>
      <c r="I404" s="304"/>
      <c r="J404" s="305"/>
      <c r="K404" s="306"/>
      <c r="L404" s="307"/>
      <c r="M404" s="243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</row>
    <row r="405" ht="13.5" customHeight="1">
      <c r="A405" s="243"/>
      <c r="B405" s="65"/>
      <c r="C405" s="65"/>
      <c r="D405" s="65"/>
      <c r="E405" s="60"/>
      <c r="F405" s="60"/>
      <c r="G405" s="60"/>
      <c r="H405" s="303"/>
      <c r="I405" s="304"/>
      <c r="J405" s="305"/>
      <c r="K405" s="306"/>
      <c r="L405" s="307"/>
      <c r="M405" s="243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</row>
    <row r="406" ht="13.5" customHeight="1">
      <c r="A406" s="243"/>
      <c r="B406" s="65"/>
      <c r="C406" s="65"/>
      <c r="D406" s="65"/>
      <c r="E406" s="60"/>
      <c r="F406" s="60"/>
      <c r="G406" s="60"/>
      <c r="H406" s="303"/>
      <c r="I406" s="304"/>
      <c r="J406" s="305"/>
      <c r="K406" s="306"/>
      <c r="L406" s="307"/>
      <c r="M406" s="243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</row>
    <row r="407" ht="13.5" customHeight="1">
      <c r="A407" s="243"/>
      <c r="B407" s="65"/>
      <c r="C407" s="65"/>
      <c r="D407" s="65"/>
      <c r="E407" s="60"/>
      <c r="F407" s="60"/>
      <c r="G407" s="60"/>
      <c r="H407" s="303"/>
      <c r="I407" s="304"/>
      <c r="J407" s="305"/>
      <c r="K407" s="306"/>
      <c r="L407" s="307"/>
      <c r="M407" s="243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</row>
    <row r="408" ht="13.5" customHeight="1">
      <c r="A408" s="243"/>
      <c r="B408" s="65"/>
      <c r="C408" s="65"/>
      <c r="D408" s="65"/>
      <c r="E408" s="60"/>
      <c r="F408" s="60"/>
      <c r="G408" s="60"/>
      <c r="H408" s="303"/>
      <c r="I408" s="304"/>
      <c r="J408" s="305"/>
      <c r="K408" s="306"/>
      <c r="L408" s="307"/>
      <c r="M408" s="243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</row>
    <row r="409" ht="13.5" customHeight="1">
      <c r="A409" s="243"/>
      <c r="B409" s="65"/>
      <c r="C409" s="65"/>
      <c r="D409" s="65"/>
      <c r="E409" s="60"/>
      <c r="F409" s="60"/>
      <c r="G409" s="60"/>
      <c r="H409" s="303"/>
      <c r="I409" s="304"/>
      <c r="J409" s="305"/>
      <c r="K409" s="306"/>
      <c r="L409" s="307"/>
      <c r="M409" s="243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</row>
    <row r="410" ht="13.5" customHeight="1">
      <c r="A410" s="243"/>
      <c r="B410" s="65"/>
      <c r="C410" s="65"/>
      <c r="D410" s="65"/>
      <c r="E410" s="60"/>
      <c r="F410" s="60"/>
      <c r="G410" s="60"/>
      <c r="H410" s="303"/>
      <c r="I410" s="304"/>
      <c r="J410" s="305"/>
      <c r="K410" s="306"/>
      <c r="L410" s="307"/>
      <c r="M410" s="243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</row>
    <row r="411" ht="13.5" customHeight="1">
      <c r="A411" s="243"/>
      <c r="B411" s="65"/>
      <c r="C411" s="65"/>
      <c r="D411" s="65"/>
      <c r="E411" s="60"/>
      <c r="F411" s="60"/>
      <c r="G411" s="60"/>
      <c r="H411" s="303"/>
      <c r="I411" s="304"/>
      <c r="J411" s="305"/>
      <c r="K411" s="306"/>
      <c r="L411" s="307"/>
      <c r="M411" s="243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</row>
    <row r="412" ht="13.5" customHeight="1">
      <c r="A412" s="243"/>
      <c r="B412" s="65"/>
      <c r="C412" s="65"/>
      <c r="D412" s="65"/>
      <c r="E412" s="60"/>
      <c r="F412" s="60"/>
      <c r="G412" s="60"/>
      <c r="H412" s="303"/>
      <c r="I412" s="304"/>
      <c r="J412" s="305"/>
      <c r="K412" s="306"/>
      <c r="L412" s="307"/>
      <c r="M412" s="243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</row>
    <row r="413" ht="13.5" customHeight="1">
      <c r="A413" s="243"/>
      <c r="B413" s="65"/>
      <c r="C413" s="65"/>
      <c r="D413" s="65"/>
      <c r="E413" s="60"/>
      <c r="F413" s="60"/>
      <c r="G413" s="60"/>
      <c r="H413" s="303"/>
      <c r="I413" s="304"/>
      <c r="J413" s="305"/>
      <c r="K413" s="306"/>
      <c r="L413" s="307"/>
      <c r="M413" s="243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</row>
    <row r="414" ht="13.5" customHeight="1">
      <c r="A414" s="243"/>
      <c r="B414" s="65"/>
      <c r="C414" s="65"/>
      <c r="D414" s="65"/>
      <c r="E414" s="60"/>
      <c r="F414" s="60"/>
      <c r="G414" s="60"/>
      <c r="H414" s="303"/>
      <c r="I414" s="304"/>
      <c r="J414" s="305"/>
      <c r="K414" s="306"/>
      <c r="L414" s="307"/>
      <c r="M414" s="243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</row>
    <row r="415" ht="13.5" customHeight="1">
      <c r="A415" s="243"/>
      <c r="B415" s="65"/>
      <c r="C415" s="65"/>
      <c r="D415" s="65"/>
      <c r="E415" s="60"/>
      <c r="F415" s="60"/>
      <c r="G415" s="60"/>
      <c r="H415" s="303"/>
      <c r="I415" s="304"/>
      <c r="J415" s="305"/>
      <c r="K415" s="306"/>
      <c r="L415" s="307"/>
      <c r="M415" s="243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</row>
    <row r="416" ht="13.5" customHeight="1">
      <c r="A416" s="243"/>
      <c r="B416" s="65"/>
      <c r="C416" s="65"/>
      <c r="D416" s="65"/>
      <c r="E416" s="60"/>
      <c r="F416" s="60"/>
      <c r="G416" s="60"/>
      <c r="H416" s="303"/>
      <c r="I416" s="304"/>
      <c r="J416" s="305"/>
      <c r="K416" s="306"/>
      <c r="L416" s="307"/>
      <c r="M416" s="243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</row>
    <row r="417" ht="13.5" customHeight="1">
      <c r="A417" s="243"/>
      <c r="B417" s="65"/>
      <c r="C417" s="65"/>
      <c r="D417" s="65"/>
      <c r="E417" s="60"/>
      <c r="F417" s="60"/>
      <c r="G417" s="60"/>
      <c r="H417" s="303"/>
      <c r="I417" s="304"/>
      <c r="J417" s="305"/>
      <c r="K417" s="306"/>
      <c r="L417" s="307"/>
      <c r="M417" s="243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</row>
    <row r="418" ht="13.5" customHeight="1">
      <c r="A418" s="243"/>
      <c r="B418" s="65"/>
      <c r="C418" s="65"/>
      <c r="D418" s="65"/>
      <c r="E418" s="60"/>
      <c r="F418" s="60"/>
      <c r="G418" s="60"/>
      <c r="H418" s="303"/>
      <c r="I418" s="304"/>
      <c r="J418" s="305"/>
      <c r="K418" s="306"/>
      <c r="L418" s="307"/>
      <c r="M418" s="243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</row>
    <row r="419" ht="13.5" customHeight="1">
      <c r="A419" s="243"/>
      <c r="B419" s="65"/>
      <c r="C419" s="65"/>
      <c r="D419" s="65"/>
      <c r="E419" s="60"/>
      <c r="F419" s="60"/>
      <c r="G419" s="60"/>
      <c r="H419" s="303"/>
      <c r="I419" s="304"/>
      <c r="J419" s="305"/>
      <c r="K419" s="306"/>
      <c r="L419" s="307"/>
      <c r="M419" s="243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</row>
    <row r="420" ht="13.5" customHeight="1">
      <c r="A420" s="243"/>
      <c r="B420" s="65"/>
      <c r="C420" s="65"/>
      <c r="D420" s="65"/>
      <c r="E420" s="60"/>
      <c r="F420" s="60"/>
      <c r="G420" s="60"/>
      <c r="H420" s="303"/>
      <c r="I420" s="304"/>
      <c r="J420" s="305"/>
      <c r="K420" s="306"/>
      <c r="L420" s="307"/>
      <c r="M420" s="243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</row>
    <row r="421" ht="13.5" customHeight="1">
      <c r="A421" s="243"/>
      <c r="B421" s="65"/>
      <c r="C421" s="65"/>
      <c r="D421" s="65"/>
      <c r="E421" s="60"/>
      <c r="F421" s="60"/>
      <c r="G421" s="60"/>
      <c r="H421" s="303"/>
      <c r="I421" s="304"/>
      <c r="J421" s="305"/>
      <c r="K421" s="306"/>
      <c r="L421" s="307"/>
      <c r="M421" s="243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</row>
    <row r="422" ht="13.5" customHeight="1">
      <c r="A422" s="243"/>
      <c r="B422" s="65"/>
      <c r="C422" s="65"/>
      <c r="D422" s="65"/>
      <c r="E422" s="60"/>
      <c r="F422" s="60"/>
      <c r="G422" s="60"/>
      <c r="H422" s="303"/>
      <c r="I422" s="304"/>
      <c r="J422" s="305"/>
      <c r="K422" s="306"/>
      <c r="L422" s="307"/>
      <c r="M422" s="243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</row>
    <row r="423" ht="13.5" customHeight="1">
      <c r="A423" s="243"/>
      <c r="B423" s="65"/>
      <c r="C423" s="65"/>
      <c r="D423" s="65"/>
      <c r="E423" s="60"/>
      <c r="F423" s="60"/>
      <c r="G423" s="60"/>
      <c r="H423" s="303"/>
      <c r="I423" s="304"/>
      <c r="J423" s="305"/>
      <c r="K423" s="306"/>
      <c r="L423" s="307"/>
      <c r="M423" s="243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</row>
    <row r="424" ht="13.5" customHeight="1">
      <c r="A424" s="243"/>
      <c r="B424" s="65"/>
      <c r="C424" s="65"/>
      <c r="D424" s="65"/>
      <c r="E424" s="60"/>
      <c r="F424" s="60"/>
      <c r="G424" s="60"/>
      <c r="H424" s="303"/>
      <c r="I424" s="304"/>
      <c r="J424" s="305"/>
      <c r="K424" s="306"/>
      <c r="L424" s="307"/>
      <c r="M424" s="243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</row>
    <row r="425" ht="13.5" customHeight="1">
      <c r="A425" s="243"/>
      <c r="B425" s="65"/>
      <c r="C425" s="65"/>
      <c r="D425" s="65"/>
      <c r="E425" s="60"/>
      <c r="F425" s="60"/>
      <c r="G425" s="60"/>
      <c r="H425" s="303"/>
      <c r="I425" s="304"/>
      <c r="J425" s="305"/>
      <c r="K425" s="306"/>
      <c r="L425" s="307"/>
      <c r="M425" s="243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</row>
    <row r="426" ht="13.5" customHeight="1">
      <c r="A426" s="243"/>
      <c r="B426" s="65"/>
      <c r="C426" s="65"/>
      <c r="D426" s="65"/>
      <c r="E426" s="60"/>
      <c r="F426" s="60"/>
      <c r="G426" s="60"/>
      <c r="H426" s="303"/>
      <c r="I426" s="304"/>
      <c r="J426" s="305"/>
      <c r="K426" s="306"/>
      <c r="L426" s="307"/>
      <c r="M426" s="243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</row>
    <row r="427" ht="13.5" customHeight="1">
      <c r="A427" s="243"/>
      <c r="B427" s="65"/>
      <c r="C427" s="65"/>
      <c r="D427" s="65"/>
      <c r="E427" s="60"/>
      <c r="F427" s="60"/>
      <c r="G427" s="60"/>
      <c r="H427" s="303"/>
      <c r="I427" s="304"/>
      <c r="J427" s="305"/>
      <c r="K427" s="306"/>
      <c r="L427" s="307"/>
      <c r="M427" s="243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</row>
    <row r="428" ht="13.5" customHeight="1">
      <c r="A428" s="243"/>
      <c r="B428" s="65"/>
      <c r="C428" s="65"/>
      <c r="D428" s="65"/>
      <c r="E428" s="60"/>
      <c r="F428" s="60"/>
      <c r="G428" s="60"/>
      <c r="H428" s="303"/>
      <c r="I428" s="304"/>
      <c r="J428" s="305"/>
      <c r="K428" s="306"/>
      <c r="L428" s="307"/>
      <c r="M428" s="243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</row>
    <row r="429" ht="13.5" customHeight="1">
      <c r="A429" s="243"/>
      <c r="B429" s="65"/>
      <c r="C429" s="65"/>
      <c r="D429" s="65"/>
      <c r="E429" s="60"/>
      <c r="F429" s="60"/>
      <c r="G429" s="60"/>
      <c r="H429" s="303"/>
      <c r="I429" s="304"/>
      <c r="J429" s="305"/>
      <c r="K429" s="306"/>
      <c r="L429" s="307"/>
      <c r="M429" s="243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</row>
    <row r="430" ht="13.5" customHeight="1">
      <c r="A430" s="243"/>
      <c r="B430" s="65"/>
      <c r="C430" s="65"/>
      <c r="D430" s="65"/>
      <c r="E430" s="60"/>
      <c r="F430" s="60"/>
      <c r="G430" s="60"/>
      <c r="H430" s="303"/>
      <c r="I430" s="304"/>
      <c r="J430" s="305"/>
      <c r="K430" s="306"/>
      <c r="L430" s="307"/>
      <c r="M430" s="243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</row>
    <row r="431" ht="13.5" customHeight="1">
      <c r="A431" s="243"/>
      <c r="B431" s="65"/>
      <c r="C431" s="65"/>
      <c r="D431" s="65"/>
      <c r="E431" s="60"/>
      <c r="F431" s="60"/>
      <c r="G431" s="60"/>
      <c r="H431" s="303"/>
      <c r="I431" s="304"/>
      <c r="J431" s="305"/>
      <c r="K431" s="306"/>
      <c r="L431" s="307"/>
      <c r="M431" s="243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</row>
    <row r="432" ht="13.5" customHeight="1">
      <c r="A432" s="243"/>
      <c r="B432" s="65"/>
      <c r="C432" s="65"/>
      <c r="D432" s="65"/>
      <c r="E432" s="60"/>
      <c r="F432" s="60"/>
      <c r="G432" s="60"/>
      <c r="H432" s="303"/>
      <c r="I432" s="304"/>
      <c r="J432" s="305"/>
      <c r="K432" s="306"/>
      <c r="L432" s="307"/>
      <c r="M432" s="243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</row>
    <row r="433" ht="13.5" customHeight="1">
      <c r="A433" s="243"/>
      <c r="B433" s="65"/>
      <c r="C433" s="65"/>
      <c r="D433" s="65"/>
      <c r="E433" s="60"/>
      <c r="F433" s="60"/>
      <c r="G433" s="60"/>
      <c r="H433" s="303"/>
      <c r="I433" s="304"/>
      <c r="J433" s="305"/>
      <c r="K433" s="306"/>
      <c r="L433" s="307"/>
      <c r="M433" s="243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</row>
    <row r="434" ht="13.5" customHeight="1">
      <c r="A434" s="243"/>
      <c r="B434" s="65"/>
      <c r="C434" s="65"/>
      <c r="D434" s="65"/>
      <c r="E434" s="60"/>
      <c r="F434" s="60"/>
      <c r="G434" s="60"/>
      <c r="H434" s="303"/>
      <c r="I434" s="304"/>
      <c r="J434" s="305"/>
      <c r="K434" s="306"/>
      <c r="L434" s="307"/>
      <c r="M434" s="243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</row>
    <row r="435" ht="13.5" customHeight="1">
      <c r="A435" s="243"/>
      <c r="B435" s="65"/>
      <c r="C435" s="65"/>
      <c r="D435" s="65"/>
      <c r="E435" s="60"/>
      <c r="F435" s="60"/>
      <c r="G435" s="60"/>
      <c r="H435" s="303"/>
      <c r="I435" s="304"/>
      <c r="J435" s="305"/>
      <c r="K435" s="306"/>
      <c r="L435" s="307"/>
      <c r="M435" s="243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</row>
    <row r="436" ht="13.5" customHeight="1">
      <c r="A436" s="243"/>
      <c r="B436" s="65"/>
      <c r="C436" s="65"/>
      <c r="D436" s="65"/>
      <c r="E436" s="60"/>
      <c r="F436" s="60"/>
      <c r="G436" s="60"/>
      <c r="H436" s="303"/>
      <c r="I436" s="304"/>
      <c r="J436" s="305"/>
      <c r="K436" s="306"/>
      <c r="L436" s="307"/>
      <c r="M436" s="243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</row>
    <row r="437" ht="13.5" customHeight="1">
      <c r="A437" s="243"/>
      <c r="B437" s="65"/>
      <c r="C437" s="65"/>
      <c r="D437" s="65"/>
      <c r="E437" s="60"/>
      <c r="F437" s="60"/>
      <c r="G437" s="60"/>
      <c r="H437" s="303"/>
      <c r="I437" s="304"/>
      <c r="J437" s="305"/>
      <c r="K437" s="306"/>
      <c r="L437" s="307"/>
      <c r="M437" s="243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</row>
    <row r="438" ht="13.5" customHeight="1">
      <c r="A438" s="243"/>
      <c r="B438" s="65"/>
      <c r="C438" s="65"/>
      <c r="D438" s="65"/>
      <c r="E438" s="60"/>
      <c r="F438" s="60"/>
      <c r="G438" s="60"/>
      <c r="H438" s="303"/>
      <c r="I438" s="304"/>
      <c r="J438" s="305"/>
      <c r="K438" s="306"/>
      <c r="L438" s="307"/>
      <c r="M438" s="243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</row>
    <row r="439" ht="13.5" customHeight="1">
      <c r="A439" s="243"/>
      <c r="B439" s="65"/>
      <c r="C439" s="65"/>
      <c r="D439" s="65"/>
      <c r="E439" s="60"/>
      <c r="F439" s="60"/>
      <c r="G439" s="60"/>
      <c r="H439" s="303"/>
      <c r="I439" s="304"/>
      <c r="J439" s="305"/>
      <c r="K439" s="306"/>
      <c r="L439" s="307"/>
      <c r="M439" s="243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</row>
    <row r="440" ht="13.5" customHeight="1">
      <c r="A440" s="243"/>
      <c r="B440" s="65"/>
      <c r="C440" s="65"/>
      <c r="D440" s="65"/>
      <c r="E440" s="60"/>
      <c r="F440" s="60"/>
      <c r="G440" s="60"/>
      <c r="H440" s="303"/>
      <c r="I440" s="304"/>
      <c r="J440" s="305"/>
      <c r="K440" s="306"/>
      <c r="L440" s="307"/>
      <c r="M440" s="243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</row>
    <row r="441" ht="13.5" customHeight="1">
      <c r="A441" s="243"/>
      <c r="B441" s="65"/>
      <c r="C441" s="65"/>
      <c r="D441" s="65"/>
      <c r="E441" s="60"/>
      <c r="F441" s="60"/>
      <c r="G441" s="60"/>
      <c r="H441" s="303"/>
      <c r="I441" s="304"/>
      <c r="J441" s="305"/>
      <c r="K441" s="306"/>
      <c r="L441" s="307"/>
      <c r="M441" s="243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</row>
    <row r="442" ht="13.5" customHeight="1">
      <c r="A442" s="243"/>
      <c r="B442" s="65"/>
      <c r="C442" s="65"/>
      <c r="D442" s="65"/>
      <c r="E442" s="60"/>
      <c r="F442" s="60"/>
      <c r="G442" s="60"/>
      <c r="H442" s="303"/>
      <c r="I442" s="304"/>
      <c r="J442" s="305"/>
      <c r="K442" s="306"/>
      <c r="L442" s="307"/>
      <c r="M442" s="243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</row>
    <row r="443" ht="13.5" customHeight="1">
      <c r="A443" s="243"/>
      <c r="B443" s="65"/>
      <c r="C443" s="65"/>
      <c r="D443" s="65"/>
      <c r="E443" s="60"/>
      <c r="F443" s="60"/>
      <c r="G443" s="60"/>
      <c r="H443" s="303"/>
      <c r="I443" s="304"/>
      <c r="J443" s="305"/>
      <c r="K443" s="306"/>
      <c r="L443" s="307"/>
      <c r="M443" s="243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</row>
    <row r="444" ht="13.5" customHeight="1">
      <c r="A444" s="243"/>
      <c r="B444" s="65"/>
      <c r="C444" s="65"/>
      <c r="D444" s="65"/>
      <c r="E444" s="60"/>
      <c r="F444" s="60"/>
      <c r="G444" s="60"/>
      <c r="H444" s="303"/>
      <c r="I444" s="304"/>
      <c r="J444" s="305"/>
      <c r="K444" s="306"/>
      <c r="L444" s="307"/>
      <c r="M444" s="243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</row>
    <row r="445" ht="13.5" customHeight="1">
      <c r="A445" s="243"/>
      <c r="B445" s="65"/>
      <c r="C445" s="65"/>
      <c r="D445" s="65"/>
      <c r="E445" s="60"/>
      <c r="F445" s="60"/>
      <c r="G445" s="60"/>
      <c r="H445" s="303"/>
      <c r="I445" s="304"/>
      <c r="J445" s="305"/>
      <c r="K445" s="306"/>
      <c r="L445" s="307"/>
      <c r="M445" s="243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</row>
    <row r="446" ht="13.5" customHeight="1">
      <c r="A446" s="243"/>
      <c r="B446" s="65"/>
      <c r="C446" s="65"/>
      <c r="D446" s="65"/>
      <c r="E446" s="60"/>
      <c r="F446" s="60"/>
      <c r="G446" s="60"/>
      <c r="H446" s="303"/>
      <c r="I446" s="304"/>
      <c r="J446" s="305"/>
      <c r="K446" s="306"/>
      <c r="L446" s="307"/>
      <c r="M446" s="243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</row>
    <row r="447" ht="13.5" customHeight="1">
      <c r="A447" s="243"/>
      <c r="B447" s="65"/>
      <c r="C447" s="65"/>
      <c r="D447" s="65"/>
      <c r="E447" s="60"/>
      <c r="F447" s="60"/>
      <c r="G447" s="60"/>
      <c r="H447" s="303"/>
      <c r="I447" s="304"/>
      <c r="J447" s="305"/>
      <c r="K447" s="306"/>
      <c r="L447" s="307"/>
      <c r="M447" s="243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</row>
    <row r="448" ht="13.5" customHeight="1">
      <c r="A448" s="243"/>
      <c r="B448" s="65"/>
      <c r="C448" s="65"/>
      <c r="D448" s="65"/>
      <c r="E448" s="60"/>
      <c r="F448" s="60"/>
      <c r="G448" s="60"/>
      <c r="H448" s="303"/>
      <c r="I448" s="304"/>
      <c r="J448" s="305"/>
      <c r="K448" s="306"/>
      <c r="L448" s="307"/>
      <c r="M448" s="243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</row>
    <row r="449" ht="13.5" customHeight="1">
      <c r="A449" s="243"/>
      <c r="B449" s="65"/>
      <c r="C449" s="65"/>
      <c r="D449" s="65"/>
      <c r="E449" s="60"/>
      <c r="F449" s="60"/>
      <c r="G449" s="60"/>
      <c r="H449" s="303"/>
      <c r="I449" s="304"/>
      <c r="J449" s="305"/>
      <c r="K449" s="306"/>
      <c r="L449" s="307"/>
      <c r="M449" s="243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</row>
    <row r="450" ht="13.5" customHeight="1">
      <c r="A450" s="243"/>
      <c r="B450" s="65"/>
      <c r="C450" s="65"/>
      <c r="D450" s="65"/>
      <c r="E450" s="60"/>
      <c r="F450" s="60"/>
      <c r="G450" s="60"/>
      <c r="H450" s="303"/>
      <c r="I450" s="304"/>
      <c r="J450" s="305"/>
      <c r="K450" s="306"/>
      <c r="L450" s="307"/>
      <c r="M450" s="243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</row>
    <row r="451" ht="13.5" customHeight="1">
      <c r="A451" s="243"/>
      <c r="B451" s="65"/>
      <c r="C451" s="65"/>
      <c r="D451" s="65"/>
      <c r="E451" s="60"/>
      <c r="F451" s="60"/>
      <c r="G451" s="60"/>
      <c r="H451" s="303"/>
      <c r="I451" s="304"/>
      <c r="J451" s="305"/>
      <c r="K451" s="306"/>
      <c r="L451" s="307"/>
      <c r="M451" s="243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</row>
    <row r="452" ht="13.5" customHeight="1">
      <c r="A452" s="243"/>
      <c r="B452" s="65"/>
      <c r="C452" s="65"/>
      <c r="D452" s="65"/>
      <c r="E452" s="60"/>
      <c r="F452" s="60"/>
      <c r="G452" s="60"/>
      <c r="H452" s="303"/>
      <c r="I452" s="304"/>
      <c r="J452" s="305"/>
      <c r="K452" s="306"/>
      <c r="L452" s="307"/>
      <c r="M452" s="243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</row>
    <row r="453" ht="13.5" customHeight="1">
      <c r="A453" s="243"/>
      <c r="B453" s="65"/>
      <c r="C453" s="65"/>
      <c r="D453" s="65"/>
      <c r="E453" s="60"/>
      <c r="F453" s="60"/>
      <c r="G453" s="60"/>
      <c r="H453" s="303"/>
      <c r="I453" s="304"/>
      <c r="J453" s="305"/>
      <c r="K453" s="306"/>
      <c r="L453" s="307"/>
      <c r="M453" s="243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</row>
    <row r="454" ht="13.5" customHeight="1">
      <c r="A454" s="243"/>
      <c r="B454" s="65"/>
      <c r="C454" s="65"/>
      <c r="D454" s="65"/>
      <c r="E454" s="60"/>
      <c r="F454" s="60"/>
      <c r="G454" s="60"/>
      <c r="H454" s="303"/>
      <c r="I454" s="304"/>
      <c r="J454" s="305"/>
      <c r="K454" s="306"/>
      <c r="L454" s="307"/>
      <c r="M454" s="243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</row>
    <row r="455" ht="13.5" customHeight="1">
      <c r="A455" s="243"/>
      <c r="B455" s="65"/>
      <c r="C455" s="65"/>
      <c r="D455" s="65"/>
      <c r="E455" s="60"/>
      <c r="F455" s="60"/>
      <c r="G455" s="60"/>
      <c r="H455" s="303"/>
      <c r="I455" s="304"/>
      <c r="J455" s="305"/>
      <c r="K455" s="306"/>
      <c r="L455" s="307"/>
      <c r="M455" s="243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</row>
    <row r="456" ht="13.5" customHeight="1">
      <c r="A456" s="243"/>
      <c r="B456" s="65"/>
      <c r="C456" s="65"/>
      <c r="D456" s="65"/>
      <c r="E456" s="60"/>
      <c r="F456" s="60"/>
      <c r="G456" s="60"/>
      <c r="H456" s="303"/>
      <c r="I456" s="304"/>
      <c r="J456" s="305"/>
      <c r="K456" s="306"/>
      <c r="L456" s="307"/>
      <c r="M456" s="243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</row>
    <row r="457" ht="13.5" customHeight="1">
      <c r="A457" s="243"/>
      <c r="B457" s="65"/>
      <c r="C457" s="65"/>
      <c r="D457" s="65"/>
      <c r="E457" s="60"/>
      <c r="F457" s="60"/>
      <c r="G457" s="60"/>
      <c r="H457" s="303"/>
      <c r="I457" s="304"/>
      <c r="J457" s="305"/>
      <c r="K457" s="306"/>
      <c r="L457" s="307"/>
      <c r="M457" s="243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</row>
    <row r="458" ht="13.5" customHeight="1">
      <c r="A458" s="243"/>
      <c r="B458" s="65"/>
      <c r="C458" s="65"/>
      <c r="D458" s="65"/>
      <c r="E458" s="60"/>
      <c r="F458" s="60"/>
      <c r="G458" s="60"/>
      <c r="H458" s="303"/>
      <c r="I458" s="304"/>
      <c r="J458" s="305"/>
      <c r="K458" s="306"/>
      <c r="L458" s="307"/>
      <c r="M458" s="243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</row>
    <row r="459" ht="13.5" customHeight="1">
      <c r="A459" s="243"/>
      <c r="B459" s="65"/>
      <c r="C459" s="65"/>
      <c r="D459" s="65"/>
      <c r="E459" s="60"/>
      <c r="F459" s="60"/>
      <c r="G459" s="60"/>
      <c r="H459" s="303"/>
      <c r="I459" s="304"/>
      <c r="J459" s="305"/>
      <c r="K459" s="306"/>
      <c r="L459" s="307"/>
      <c r="M459" s="243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</row>
    <row r="460" ht="13.5" customHeight="1">
      <c r="A460" s="243"/>
      <c r="B460" s="65"/>
      <c r="C460" s="65"/>
      <c r="D460" s="65"/>
      <c r="E460" s="60"/>
      <c r="F460" s="60"/>
      <c r="G460" s="60"/>
      <c r="H460" s="303"/>
      <c r="I460" s="304"/>
      <c r="J460" s="305"/>
      <c r="K460" s="306"/>
      <c r="L460" s="307"/>
      <c r="M460" s="243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</row>
    <row r="461" ht="13.5" customHeight="1">
      <c r="A461" s="243"/>
      <c r="B461" s="65"/>
      <c r="C461" s="65"/>
      <c r="D461" s="65"/>
      <c r="E461" s="60"/>
      <c r="F461" s="60"/>
      <c r="G461" s="60"/>
      <c r="H461" s="303"/>
      <c r="I461" s="304"/>
      <c r="J461" s="305"/>
      <c r="K461" s="306"/>
      <c r="L461" s="307"/>
      <c r="M461" s="243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</row>
    <row r="462" ht="13.5" customHeight="1">
      <c r="A462" s="243"/>
      <c r="B462" s="65"/>
      <c r="C462" s="65"/>
      <c r="D462" s="65"/>
      <c r="E462" s="60"/>
      <c r="F462" s="60"/>
      <c r="G462" s="60"/>
      <c r="H462" s="303"/>
      <c r="I462" s="304"/>
      <c r="J462" s="305"/>
      <c r="K462" s="306"/>
      <c r="L462" s="307"/>
      <c r="M462" s="243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</row>
    <row r="463" ht="13.5" customHeight="1">
      <c r="A463" s="243"/>
      <c r="B463" s="65"/>
      <c r="C463" s="65"/>
      <c r="D463" s="65"/>
      <c r="E463" s="60"/>
      <c r="F463" s="60"/>
      <c r="G463" s="60"/>
      <c r="H463" s="303"/>
      <c r="I463" s="304"/>
      <c r="J463" s="305"/>
      <c r="K463" s="306"/>
      <c r="L463" s="307"/>
      <c r="M463" s="243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</row>
    <row r="464" ht="13.5" customHeight="1">
      <c r="A464" s="243"/>
      <c r="B464" s="65"/>
      <c r="C464" s="65"/>
      <c r="D464" s="65"/>
      <c r="E464" s="60"/>
      <c r="F464" s="60"/>
      <c r="G464" s="60"/>
      <c r="H464" s="303"/>
      <c r="I464" s="304"/>
      <c r="J464" s="305"/>
      <c r="K464" s="306"/>
      <c r="L464" s="307"/>
      <c r="M464" s="243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</row>
    <row r="465" ht="13.5" customHeight="1">
      <c r="A465" s="243"/>
      <c r="B465" s="65"/>
      <c r="C465" s="65"/>
      <c r="D465" s="65"/>
      <c r="E465" s="60"/>
      <c r="F465" s="60"/>
      <c r="G465" s="60"/>
      <c r="H465" s="303"/>
      <c r="I465" s="304"/>
      <c r="J465" s="305"/>
      <c r="K465" s="306"/>
      <c r="L465" s="307"/>
      <c r="M465" s="243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</row>
    <row r="466" ht="13.5" customHeight="1">
      <c r="A466" s="243"/>
      <c r="B466" s="65"/>
      <c r="C466" s="65"/>
      <c r="D466" s="65"/>
      <c r="E466" s="60"/>
      <c r="F466" s="60"/>
      <c r="G466" s="60"/>
      <c r="H466" s="303"/>
      <c r="I466" s="304"/>
      <c r="J466" s="305"/>
      <c r="K466" s="306"/>
      <c r="L466" s="307"/>
      <c r="M466" s="243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</row>
    <row r="467" ht="13.5" customHeight="1">
      <c r="A467" s="243"/>
      <c r="B467" s="65"/>
      <c r="C467" s="65"/>
      <c r="D467" s="65"/>
      <c r="E467" s="60"/>
      <c r="F467" s="60"/>
      <c r="G467" s="60"/>
      <c r="H467" s="303"/>
      <c r="I467" s="304"/>
      <c r="J467" s="305"/>
      <c r="K467" s="306"/>
      <c r="L467" s="307"/>
      <c r="M467" s="243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</row>
    <row r="468" ht="13.5" customHeight="1">
      <c r="A468" s="243"/>
      <c r="B468" s="65"/>
      <c r="C468" s="65"/>
      <c r="D468" s="65"/>
      <c r="E468" s="60"/>
      <c r="F468" s="60"/>
      <c r="G468" s="60"/>
      <c r="H468" s="303"/>
      <c r="I468" s="304"/>
      <c r="J468" s="305"/>
      <c r="K468" s="306"/>
      <c r="L468" s="307"/>
      <c r="M468" s="243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</row>
    <row r="469" ht="13.5" customHeight="1">
      <c r="A469" s="243"/>
      <c r="B469" s="65"/>
      <c r="C469" s="65"/>
      <c r="D469" s="65"/>
      <c r="E469" s="60"/>
      <c r="F469" s="60"/>
      <c r="G469" s="60"/>
      <c r="H469" s="303"/>
      <c r="I469" s="304"/>
      <c r="J469" s="305"/>
      <c r="K469" s="306"/>
      <c r="L469" s="307"/>
      <c r="M469" s="243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</row>
    <row r="470" ht="13.5" customHeight="1">
      <c r="A470" s="243"/>
      <c r="B470" s="65"/>
      <c r="C470" s="65"/>
      <c r="D470" s="65"/>
      <c r="E470" s="60"/>
      <c r="F470" s="60"/>
      <c r="G470" s="60"/>
      <c r="H470" s="303"/>
      <c r="I470" s="304"/>
      <c r="J470" s="305"/>
      <c r="K470" s="306"/>
      <c r="L470" s="307"/>
      <c r="M470" s="243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</row>
    <row r="471" ht="13.5" customHeight="1">
      <c r="A471" s="243"/>
      <c r="B471" s="65"/>
      <c r="C471" s="65"/>
      <c r="D471" s="65"/>
      <c r="E471" s="60"/>
      <c r="F471" s="60"/>
      <c r="G471" s="60"/>
      <c r="H471" s="303"/>
      <c r="I471" s="304"/>
      <c r="J471" s="305"/>
      <c r="K471" s="306"/>
      <c r="L471" s="307"/>
      <c r="M471" s="243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</row>
    <row r="472" ht="13.5" customHeight="1">
      <c r="A472" s="243"/>
      <c r="B472" s="65"/>
      <c r="C472" s="65"/>
      <c r="D472" s="65"/>
      <c r="E472" s="60"/>
      <c r="F472" s="60"/>
      <c r="G472" s="60"/>
      <c r="H472" s="303"/>
      <c r="I472" s="304"/>
      <c r="J472" s="305"/>
      <c r="K472" s="306"/>
      <c r="L472" s="307"/>
      <c r="M472" s="243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</row>
    <row r="473" ht="13.5" customHeight="1">
      <c r="A473" s="243"/>
      <c r="B473" s="65"/>
      <c r="C473" s="65"/>
      <c r="D473" s="65"/>
      <c r="E473" s="60"/>
      <c r="F473" s="60"/>
      <c r="G473" s="60"/>
      <c r="H473" s="303"/>
      <c r="I473" s="304"/>
      <c r="J473" s="305"/>
      <c r="K473" s="306"/>
      <c r="L473" s="307"/>
      <c r="M473" s="243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</row>
    <row r="474" ht="13.5" customHeight="1">
      <c r="A474" s="243"/>
      <c r="B474" s="65"/>
      <c r="C474" s="65"/>
      <c r="D474" s="65"/>
      <c r="E474" s="60"/>
      <c r="F474" s="60"/>
      <c r="G474" s="60"/>
      <c r="H474" s="303"/>
      <c r="I474" s="304"/>
      <c r="J474" s="305"/>
      <c r="K474" s="306"/>
      <c r="L474" s="307"/>
      <c r="M474" s="243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</row>
    <row r="475" ht="13.5" customHeight="1">
      <c r="A475" s="243"/>
      <c r="B475" s="65"/>
      <c r="C475" s="65"/>
      <c r="D475" s="65"/>
      <c r="E475" s="60"/>
      <c r="F475" s="60"/>
      <c r="G475" s="60"/>
      <c r="H475" s="303"/>
      <c r="I475" s="304"/>
      <c r="J475" s="305"/>
      <c r="K475" s="306"/>
      <c r="L475" s="307"/>
      <c r="M475" s="243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</row>
    <row r="476" ht="13.5" customHeight="1">
      <c r="A476" s="243"/>
      <c r="B476" s="65"/>
      <c r="C476" s="65"/>
      <c r="D476" s="65"/>
      <c r="E476" s="60"/>
      <c r="F476" s="60"/>
      <c r="G476" s="60"/>
      <c r="H476" s="303"/>
      <c r="I476" s="304"/>
      <c r="J476" s="305"/>
      <c r="K476" s="306"/>
      <c r="L476" s="307"/>
      <c r="M476" s="243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</row>
    <row r="477" ht="13.5" customHeight="1">
      <c r="A477" s="243"/>
      <c r="B477" s="65"/>
      <c r="C477" s="65"/>
      <c r="D477" s="65"/>
      <c r="E477" s="60"/>
      <c r="F477" s="60"/>
      <c r="G477" s="60"/>
      <c r="H477" s="303"/>
      <c r="I477" s="304"/>
      <c r="J477" s="305"/>
      <c r="K477" s="306"/>
      <c r="L477" s="307"/>
      <c r="M477" s="243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</row>
    <row r="478" ht="13.5" customHeight="1">
      <c r="A478" s="243"/>
      <c r="B478" s="65"/>
      <c r="C478" s="65"/>
      <c r="D478" s="65"/>
      <c r="E478" s="60"/>
      <c r="F478" s="60"/>
      <c r="G478" s="60"/>
      <c r="H478" s="303"/>
      <c r="I478" s="304"/>
      <c r="J478" s="305"/>
      <c r="K478" s="306"/>
      <c r="L478" s="307"/>
      <c r="M478" s="243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</row>
    <row r="479" ht="13.5" customHeight="1">
      <c r="A479" s="243"/>
      <c r="B479" s="65"/>
      <c r="C479" s="65"/>
      <c r="D479" s="65"/>
      <c r="E479" s="60"/>
      <c r="F479" s="60"/>
      <c r="G479" s="60"/>
      <c r="H479" s="303"/>
      <c r="I479" s="304"/>
      <c r="J479" s="305"/>
      <c r="K479" s="306"/>
      <c r="L479" s="307"/>
      <c r="M479" s="243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</row>
    <row r="480" ht="13.5" customHeight="1">
      <c r="A480" s="243"/>
      <c r="B480" s="65"/>
      <c r="C480" s="65"/>
      <c r="D480" s="65"/>
      <c r="E480" s="60"/>
      <c r="F480" s="60"/>
      <c r="G480" s="60"/>
      <c r="H480" s="303"/>
      <c r="I480" s="304"/>
      <c r="J480" s="305"/>
      <c r="K480" s="306"/>
      <c r="L480" s="307"/>
      <c r="M480" s="243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</row>
    <row r="481" ht="13.5" customHeight="1">
      <c r="A481" s="243"/>
      <c r="B481" s="65"/>
      <c r="C481" s="65"/>
      <c r="D481" s="65"/>
      <c r="E481" s="60"/>
      <c r="F481" s="60"/>
      <c r="G481" s="60"/>
      <c r="H481" s="303"/>
      <c r="I481" s="304"/>
      <c r="J481" s="305"/>
      <c r="K481" s="306"/>
      <c r="L481" s="307"/>
      <c r="M481" s="243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</row>
    <row r="482" ht="13.5" customHeight="1">
      <c r="A482" s="243"/>
      <c r="B482" s="65"/>
      <c r="C482" s="65"/>
      <c r="D482" s="65"/>
      <c r="E482" s="60"/>
      <c r="F482" s="60"/>
      <c r="G482" s="60"/>
      <c r="H482" s="303"/>
      <c r="I482" s="304"/>
      <c r="J482" s="305"/>
      <c r="K482" s="306"/>
      <c r="L482" s="307"/>
      <c r="M482" s="243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</row>
    <row r="483" ht="13.5" customHeight="1">
      <c r="A483" s="243"/>
      <c r="B483" s="65"/>
      <c r="C483" s="65"/>
      <c r="D483" s="65"/>
      <c r="E483" s="60"/>
      <c r="F483" s="60"/>
      <c r="G483" s="60"/>
      <c r="H483" s="303"/>
      <c r="I483" s="304"/>
      <c r="J483" s="305"/>
      <c r="K483" s="306"/>
      <c r="L483" s="307"/>
      <c r="M483" s="243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</row>
    <row r="484" ht="13.5" customHeight="1">
      <c r="A484" s="243"/>
      <c r="B484" s="65"/>
      <c r="C484" s="65"/>
      <c r="D484" s="65"/>
      <c r="E484" s="60"/>
      <c r="F484" s="60"/>
      <c r="G484" s="60"/>
      <c r="H484" s="303"/>
      <c r="I484" s="304"/>
      <c r="J484" s="305"/>
      <c r="K484" s="306"/>
      <c r="L484" s="307"/>
      <c r="M484" s="243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</row>
    <row r="485" ht="13.5" customHeight="1">
      <c r="A485" s="243"/>
      <c r="B485" s="65"/>
      <c r="C485" s="65"/>
      <c r="D485" s="65"/>
      <c r="E485" s="60"/>
      <c r="F485" s="60"/>
      <c r="G485" s="60"/>
      <c r="H485" s="303"/>
      <c r="I485" s="304"/>
      <c r="J485" s="305"/>
      <c r="K485" s="306"/>
      <c r="L485" s="307"/>
      <c r="M485" s="243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</row>
    <row r="486" ht="13.5" customHeight="1">
      <c r="A486" s="243"/>
      <c r="B486" s="65"/>
      <c r="C486" s="65"/>
      <c r="D486" s="65"/>
      <c r="E486" s="60"/>
      <c r="F486" s="60"/>
      <c r="G486" s="60"/>
      <c r="H486" s="303"/>
      <c r="I486" s="304"/>
      <c r="J486" s="305"/>
      <c r="K486" s="306"/>
      <c r="L486" s="307"/>
      <c r="M486" s="243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</row>
    <row r="487" ht="13.5" customHeight="1">
      <c r="A487" s="243"/>
      <c r="B487" s="65"/>
      <c r="C487" s="65"/>
      <c r="D487" s="65"/>
      <c r="E487" s="60"/>
      <c r="F487" s="60"/>
      <c r="G487" s="60"/>
      <c r="H487" s="303"/>
      <c r="I487" s="304"/>
      <c r="J487" s="305"/>
      <c r="K487" s="306"/>
      <c r="L487" s="307"/>
      <c r="M487" s="243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</row>
    <row r="488" ht="13.5" customHeight="1">
      <c r="A488" s="243"/>
      <c r="B488" s="65"/>
      <c r="C488" s="65"/>
      <c r="D488" s="65"/>
      <c r="E488" s="60"/>
      <c r="F488" s="60"/>
      <c r="G488" s="60"/>
      <c r="H488" s="303"/>
      <c r="I488" s="304"/>
      <c r="J488" s="305"/>
      <c r="K488" s="306"/>
      <c r="L488" s="307"/>
      <c r="M488" s="243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</row>
    <row r="489" ht="13.5" customHeight="1">
      <c r="A489" s="243"/>
      <c r="B489" s="65"/>
      <c r="C489" s="65"/>
      <c r="D489" s="65"/>
      <c r="E489" s="60"/>
      <c r="F489" s="60"/>
      <c r="G489" s="60"/>
      <c r="H489" s="303"/>
      <c r="I489" s="304"/>
      <c r="J489" s="305"/>
      <c r="K489" s="306"/>
      <c r="L489" s="307"/>
      <c r="M489" s="243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</row>
    <row r="490" ht="13.5" customHeight="1">
      <c r="A490" s="243"/>
      <c r="B490" s="65"/>
      <c r="C490" s="65"/>
      <c r="D490" s="65"/>
      <c r="E490" s="60"/>
      <c r="F490" s="60"/>
      <c r="G490" s="60"/>
      <c r="H490" s="303"/>
      <c r="I490" s="304"/>
      <c r="J490" s="305"/>
      <c r="K490" s="306"/>
      <c r="L490" s="307"/>
      <c r="M490" s="243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</row>
    <row r="491" ht="13.5" customHeight="1">
      <c r="A491" s="243"/>
      <c r="B491" s="65"/>
      <c r="C491" s="65"/>
      <c r="D491" s="65"/>
      <c r="E491" s="60"/>
      <c r="F491" s="60"/>
      <c r="G491" s="60"/>
      <c r="H491" s="303"/>
      <c r="I491" s="304"/>
      <c r="J491" s="305"/>
      <c r="K491" s="306"/>
      <c r="L491" s="307"/>
      <c r="M491" s="243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</row>
    <row r="492" ht="13.5" customHeight="1">
      <c r="A492" s="243"/>
      <c r="B492" s="65"/>
      <c r="C492" s="65"/>
      <c r="D492" s="65"/>
      <c r="E492" s="60"/>
      <c r="F492" s="60"/>
      <c r="G492" s="60"/>
      <c r="H492" s="303"/>
      <c r="I492" s="304"/>
      <c r="J492" s="305"/>
      <c r="K492" s="306"/>
      <c r="L492" s="307"/>
      <c r="M492" s="243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</row>
    <row r="493" ht="13.5" customHeight="1">
      <c r="A493" s="243"/>
      <c r="B493" s="65"/>
      <c r="C493" s="65"/>
      <c r="D493" s="65"/>
      <c r="E493" s="60"/>
      <c r="F493" s="60"/>
      <c r="G493" s="60"/>
      <c r="H493" s="303"/>
      <c r="I493" s="304"/>
      <c r="J493" s="305"/>
      <c r="K493" s="306"/>
      <c r="L493" s="307"/>
      <c r="M493" s="243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</row>
    <row r="494" ht="13.5" customHeight="1">
      <c r="A494" s="243"/>
      <c r="B494" s="65"/>
      <c r="C494" s="65"/>
      <c r="D494" s="65"/>
      <c r="E494" s="60"/>
      <c r="F494" s="60"/>
      <c r="G494" s="60"/>
      <c r="H494" s="303"/>
      <c r="I494" s="304"/>
      <c r="J494" s="305"/>
      <c r="K494" s="306"/>
      <c r="L494" s="307"/>
      <c r="M494" s="243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</row>
    <row r="495" ht="13.5" customHeight="1">
      <c r="A495" s="243"/>
      <c r="B495" s="65"/>
      <c r="C495" s="65"/>
      <c r="D495" s="65"/>
      <c r="E495" s="60"/>
      <c r="F495" s="60"/>
      <c r="G495" s="60"/>
      <c r="H495" s="303"/>
      <c r="I495" s="304"/>
      <c r="J495" s="305"/>
      <c r="K495" s="306"/>
      <c r="L495" s="307"/>
      <c r="M495" s="243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</row>
    <row r="496" ht="13.5" customHeight="1">
      <c r="A496" s="243"/>
      <c r="B496" s="65"/>
      <c r="C496" s="65"/>
      <c r="D496" s="65"/>
      <c r="E496" s="60"/>
      <c r="F496" s="60"/>
      <c r="G496" s="60"/>
      <c r="H496" s="303"/>
      <c r="I496" s="304"/>
      <c r="J496" s="305"/>
      <c r="K496" s="306"/>
      <c r="L496" s="307"/>
      <c r="M496" s="243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</row>
    <row r="497" ht="13.5" customHeight="1">
      <c r="A497" s="243"/>
      <c r="B497" s="65"/>
      <c r="C497" s="65"/>
      <c r="D497" s="65"/>
      <c r="E497" s="60"/>
      <c r="F497" s="60"/>
      <c r="G497" s="60"/>
      <c r="H497" s="303"/>
      <c r="I497" s="304"/>
      <c r="J497" s="305"/>
      <c r="K497" s="306"/>
      <c r="L497" s="307"/>
      <c r="M497" s="243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</row>
    <row r="498" ht="13.5" customHeight="1">
      <c r="A498" s="243"/>
      <c r="B498" s="65"/>
      <c r="C498" s="65"/>
      <c r="D498" s="65"/>
      <c r="E498" s="60"/>
      <c r="F498" s="60"/>
      <c r="G498" s="60"/>
      <c r="H498" s="303"/>
      <c r="I498" s="304"/>
      <c r="J498" s="305"/>
      <c r="K498" s="306"/>
      <c r="L498" s="307"/>
      <c r="M498" s="243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</row>
    <row r="499" ht="13.5" customHeight="1">
      <c r="A499" s="243"/>
      <c r="B499" s="65"/>
      <c r="C499" s="65"/>
      <c r="D499" s="65"/>
      <c r="E499" s="60"/>
      <c r="F499" s="60"/>
      <c r="G499" s="60"/>
      <c r="H499" s="303"/>
      <c r="I499" s="304"/>
      <c r="J499" s="305"/>
      <c r="K499" s="306"/>
      <c r="L499" s="307"/>
      <c r="M499" s="243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</row>
    <row r="500" ht="13.5" customHeight="1">
      <c r="A500" s="243"/>
      <c r="B500" s="65"/>
      <c r="C500" s="65"/>
      <c r="D500" s="65"/>
      <c r="E500" s="60"/>
      <c r="F500" s="60"/>
      <c r="G500" s="60"/>
      <c r="H500" s="303"/>
      <c r="I500" s="304"/>
      <c r="J500" s="305"/>
      <c r="K500" s="306"/>
      <c r="L500" s="307"/>
      <c r="M500" s="243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</row>
    <row r="501" ht="13.5" customHeight="1">
      <c r="A501" s="243"/>
      <c r="B501" s="65"/>
      <c r="C501" s="65"/>
      <c r="D501" s="65"/>
      <c r="E501" s="60"/>
      <c r="F501" s="60"/>
      <c r="G501" s="60"/>
      <c r="H501" s="303"/>
      <c r="I501" s="304"/>
      <c r="J501" s="305"/>
      <c r="K501" s="306"/>
      <c r="L501" s="307"/>
      <c r="M501" s="243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</row>
    <row r="502" ht="13.5" customHeight="1">
      <c r="A502" s="243"/>
      <c r="B502" s="65"/>
      <c r="C502" s="65"/>
      <c r="D502" s="65"/>
      <c r="E502" s="60"/>
      <c r="F502" s="60"/>
      <c r="G502" s="60"/>
      <c r="H502" s="303"/>
      <c r="I502" s="304"/>
      <c r="J502" s="305"/>
      <c r="K502" s="306"/>
      <c r="L502" s="307"/>
      <c r="M502" s="243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</row>
    <row r="503" ht="13.5" customHeight="1">
      <c r="A503" s="243"/>
      <c r="B503" s="65"/>
      <c r="C503" s="65"/>
      <c r="D503" s="65"/>
      <c r="E503" s="60"/>
      <c r="F503" s="60"/>
      <c r="G503" s="60"/>
      <c r="H503" s="303"/>
      <c r="I503" s="304"/>
      <c r="J503" s="305"/>
      <c r="K503" s="306"/>
      <c r="L503" s="307"/>
      <c r="M503" s="243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</row>
    <row r="504" ht="13.5" customHeight="1">
      <c r="A504" s="243"/>
      <c r="B504" s="65"/>
      <c r="C504" s="65"/>
      <c r="D504" s="65"/>
      <c r="E504" s="60"/>
      <c r="F504" s="60"/>
      <c r="G504" s="60"/>
      <c r="H504" s="303"/>
      <c r="I504" s="304"/>
      <c r="J504" s="305"/>
      <c r="K504" s="306"/>
      <c r="L504" s="307"/>
      <c r="M504" s="243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</row>
    <row r="505" ht="13.5" customHeight="1">
      <c r="A505" s="243"/>
      <c r="B505" s="65"/>
      <c r="C505" s="65"/>
      <c r="D505" s="65"/>
      <c r="E505" s="60"/>
      <c r="F505" s="60"/>
      <c r="G505" s="60"/>
      <c r="H505" s="303"/>
      <c r="I505" s="304"/>
      <c r="J505" s="305"/>
      <c r="K505" s="306"/>
      <c r="L505" s="307"/>
      <c r="M505" s="243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</row>
    <row r="506" ht="13.5" customHeight="1">
      <c r="A506" s="243"/>
      <c r="B506" s="65"/>
      <c r="C506" s="65"/>
      <c r="D506" s="65"/>
      <c r="E506" s="60"/>
      <c r="F506" s="60"/>
      <c r="G506" s="60"/>
      <c r="H506" s="303"/>
      <c r="I506" s="304"/>
      <c r="J506" s="305"/>
      <c r="K506" s="306"/>
      <c r="L506" s="307"/>
      <c r="M506" s="243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</row>
    <row r="507" ht="13.5" customHeight="1">
      <c r="A507" s="243"/>
      <c r="B507" s="65"/>
      <c r="C507" s="65"/>
      <c r="D507" s="65"/>
      <c r="E507" s="60"/>
      <c r="F507" s="60"/>
      <c r="G507" s="60"/>
      <c r="H507" s="303"/>
      <c r="I507" s="304"/>
      <c r="J507" s="305"/>
      <c r="K507" s="306"/>
      <c r="L507" s="307"/>
      <c r="M507" s="243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</row>
    <row r="508" ht="13.5" customHeight="1">
      <c r="A508" s="243"/>
      <c r="B508" s="65"/>
      <c r="C508" s="65"/>
      <c r="D508" s="65"/>
      <c r="E508" s="60"/>
      <c r="F508" s="60"/>
      <c r="G508" s="60"/>
      <c r="H508" s="303"/>
      <c r="I508" s="304"/>
      <c r="J508" s="305"/>
      <c r="K508" s="306"/>
      <c r="L508" s="307"/>
      <c r="M508" s="243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</row>
    <row r="509" ht="13.5" customHeight="1">
      <c r="A509" s="243"/>
      <c r="B509" s="65"/>
      <c r="C509" s="65"/>
      <c r="D509" s="65"/>
      <c r="E509" s="60"/>
      <c r="F509" s="60"/>
      <c r="G509" s="60"/>
      <c r="H509" s="303"/>
      <c r="I509" s="304"/>
      <c r="J509" s="305"/>
      <c r="K509" s="306"/>
      <c r="L509" s="307"/>
      <c r="M509" s="243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</row>
    <row r="510" ht="13.5" customHeight="1">
      <c r="A510" s="243"/>
      <c r="B510" s="65"/>
      <c r="C510" s="65"/>
      <c r="D510" s="65"/>
      <c r="E510" s="60"/>
      <c r="F510" s="60"/>
      <c r="G510" s="60"/>
      <c r="H510" s="303"/>
      <c r="I510" s="304"/>
      <c r="J510" s="305"/>
      <c r="K510" s="306"/>
      <c r="L510" s="307"/>
      <c r="M510" s="243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</row>
    <row r="511" ht="13.5" customHeight="1">
      <c r="A511" s="243"/>
      <c r="B511" s="65"/>
      <c r="C511" s="65"/>
      <c r="D511" s="65"/>
      <c r="E511" s="60"/>
      <c r="F511" s="60"/>
      <c r="G511" s="60"/>
      <c r="H511" s="303"/>
      <c r="I511" s="304"/>
      <c r="J511" s="305"/>
      <c r="K511" s="306"/>
      <c r="L511" s="307"/>
      <c r="M511" s="243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</row>
    <row r="512" ht="13.5" customHeight="1">
      <c r="A512" s="243"/>
      <c r="B512" s="65"/>
      <c r="C512" s="65"/>
      <c r="D512" s="65"/>
      <c r="E512" s="60"/>
      <c r="F512" s="60"/>
      <c r="G512" s="60"/>
      <c r="H512" s="303"/>
      <c r="I512" s="304"/>
      <c r="J512" s="305"/>
      <c r="K512" s="306"/>
      <c r="L512" s="307"/>
      <c r="M512" s="243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</row>
    <row r="513" ht="13.5" customHeight="1">
      <c r="A513" s="243"/>
      <c r="B513" s="65"/>
      <c r="C513" s="65"/>
      <c r="D513" s="65"/>
      <c r="E513" s="60"/>
      <c r="F513" s="60"/>
      <c r="G513" s="60"/>
      <c r="H513" s="303"/>
      <c r="I513" s="304"/>
      <c r="J513" s="305"/>
      <c r="K513" s="306"/>
      <c r="L513" s="307"/>
      <c r="M513" s="243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</row>
    <row r="514" ht="13.5" customHeight="1">
      <c r="A514" s="243"/>
      <c r="B514" s="65"/>
      <c r="C514" s="65"/>
      <c r="D514" s="65"/>
      <c r="E514" s="60"/>
      <c r="F514" s="60"/>
      <c r="G514" s="60"/>
      <c r="H514" s="303"/>
      <c r="I514" s="304"/>
      <c r="J514" s="305"/>
      <c r="K514" s="306"/>
      <c r="L514" s="307"/>
      <c r="M514" s="243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</row>
    <row r="515" ht="13.5" customHeight="1">
      <c r="A515" s="243"/>
      <c r="B515" s="65"/>
      <c r="C515" s="65"/>
      <c r="D515" s="65"/>
      <c r="E515" s="60"/>
      <c r="F515" s="60"/>
      <c r="G515" s="60"/>
      <c r="H515" s="303"/>
      <c r="I515" s="304"/>
      <c r="J515" s="305"/>
      <c r="K515" s="306"/>
      <c r="L515" s="307"/>
      <c r="M515" s="243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</row>
    <row r="516" ht="13.5" customHeight="1">
      <c r="A516" s="243"/>
      <c r="B516" s="65"/>
      <c r="C516" s="65"/>
      <c r="D516" s="65"/>
      <c r="E516" s="60"/>
      <c r="F516" s="60"/>
      <c r="G516" s="60"/>
      <c r="H516" s="303"/>
      <c r="I516" s="304"/>
      <c r="J516" s="305"/>
      <c r="K516" s="306"/>
      <c r="L516" s="307"/>
      <c r="M516" s="243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</row>
    <row r="517" ht="13.5" customHeight="1">
      <c r="A517" s="243"/>
      <c r="B517" s="65"/>
      <c r="C517" s="65"/>
      <c r="D517" s="65"/>
      <c r="E517" s="60"/>
      <c r="F517" s="60"/>
      <c r="G517" s="60"/>
      <c r="H517" s="303"/>
      <c r="I517" s="304"/>
      <c r="J517" s="305"/>
      <c r="K517" s="306"/>
      <c r="L517" s="307"/>
      <c r="M517" s="243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</row>
    <row r="518" ht="13.5" customHeight="1">
      <c r="A518" s="243"/>
      <c r="B518" s="65"/>
      <c r="C518" s="65"/>
      <c r="D518" s="65"/>
      <c r="E518" s="60"/>
      <c r="F518" s="60"/>
      <c r="G518" s="60"/>
      <c r="H518" s="303"/>
      <c r="I518" s="304"/>
      <c r="J518" s="305"/>
      <c r="K518" s="306"/>
      <c r="L518" s="307"/>
      <c r="M518" s="243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</row>
    <row r="519" ht="13.5" customHeight="1">
      <c r="A519" s="243"/>
      <c r="B519" s="65"/>
      <c r="C519" s="65"/>
      <c r="D519" s="65"/>
      <c r="E519" s="60"/>
      <c r="F519" s="60"/>
      <c r="G519" s="60"/>
      <c r="H519" s="303"/>
      <c r="I519" s="304"/>
      <c r="J519" s="305"/>
      <c r="K519" s="306"/>
      <c r="L519" s="307"/>
      <c r="M519" s="243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</row>
    <row r="520" ht="13.5" customHeight="1">
      <c r="A520" s="243"/>
      <c r="B520" s="65"/>
      <c r="C520" s="65"/>
      <c r="D520" s="65"/>
      <c r="E520" s="60"/>
      <c r="F520" s="60"/>
      <c r="G520" s="60"/>
      <c r="H520" s="303"/>
      <c r="I520" s="304"/>
      <c r="J520" s="305"/>
      <c r="K520" s="306"/>
      <c r="L520" s="307"/>
      <c r="M520" s="243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</row>
    <row r="521" ht="13.5" customHeight="1">
      <c r="A521" s="243"/>
      <c r="B521" s="65"/>
      <c r="C521" s="65"/>
      <c r="D521" s="65"/>
      <c r="E521" s="60"/>
      <c r="F521" s="60"/>
      <c r="G521" s="60"/>
      <c r="H521" s="303"/>
      <c r="I521" s="304"/>
      <c r="J521" s="305"/>
      <c r="K521" s="306"/>
      <c r="L521" s="307"/>
      <c r="M521" s="243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</row>
    <row r="522" ht="13.5" customHeight="1">
      <c r="A522" s="243"/>
      <c r="B522" s="65"/>
      <c r="C522" s="65"/>
      <c r="D522" s="65"/>
      <c r="E522" s="60"/>
      <c r="F522" s="60"/>
      <c r="G522" s="60"/>
      <c r="H522" s="303"/>
      <c r="I522" s="304"/>
      <c r="J522" s="305"/>
      <c r="K522" s="306"/>
      <c r="L522" s="307"/>
      <c r="M522" s="243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</row>
    <row r="523" ht="13.5" customHeight="1">
      <c r="A523" s="243"/>
      <c r="B523" s="65"/>
      <c r="C523" s="65"/>
      <c r="D523" s="65"/>
      <c r="E523" s="60"/>
      <c r="F523" s="60"/>
      <c r="G523" s="60"/>
      <c r="H523" s="303"/>
      <c r="I523" s="304"/>
      <c r="J523" s="305"/>
      <c r="K523" s="306"/>
      <c r="L523" s="307"/>
      <c r="M523" s="243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</row>
    <row r="524" ht="13.5" customHeight="1">
      <c r="A524" s="243"/>
      <c r="B524" s="65"/>
      <c r="C524" s="65"/>
      <c r="D524" s="65"/>
      <c r="E524" s="60"/>
      <c r="F524" s="60"/>
      <c r="G524" s="60"/>
      <c r="H524" s="303"/>
      <c r="I524" s="304"/>
      <c r="J524" s="305"/>
      <c r="K524" s="306"/>
      <c r="L524" s="307"/>
      <c r="M524" s="243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</row>
    <row r="525" ht="13.5" customHeight="1">
      <c r="A525" s="243"/>
      <c r="B525" s="65"/>
      <c r="C525" s="65"/>
      <c r="D525" s="65"/>
      <c r="E525" s="60"/>
      <c r="F525" s="60"/>
      <c r="G525" s="60"/>
      <c r="H525" s="303"/>
      <c r="I525" s="304"/>
      <c r="J525" s="305"/>
      <c r="K525" s="306"/>
      <c r="L525" s="307"/>
      <c r="M525" s="243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</row>
    <row r="526" ht="13.5" customHeight="1">
      <c r="A526" s="243"/>
      <c r="B526" s="65"/>
      <c r="C526" s="65"/>
      <c r="D526" s="65"/>
      <c r="E526" s="60"/>
      <c r="F526" s="60"/>
      <c r="G526" s="60"/>
      <c r="H526" s="303"/>
      <c r="I526" s="304"/>
      <c r="J526" s="305"/>
      <c r="K526" s="306"/>
      <c r="L526" s="307"/>
      <c r="M526" s="243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</row>
    <row r="527" ht="13.5" customHeight="1">
      <c r="A527" s="243"/>
      <c r="B527" s="65"/>
      <c r="C527" s="65"/>
      <c r="D527" s="65"/>
      <c r="E527" s="60"/>
      <c r="F527" s="60"/>
      <c r="G527" s="60"/>
      <c r="H527" s="303"/>
      <c r="I527" s="304"/>
      <c r="J527" s="305"/>
      <c r="K527" s="306"/>
      <c r="L527" s="307"/>
      <c r="M527" s="243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</row>
    <row r="528" ht="13.5" customHeight="1">
      <c r="A528" s="243"/>
      <c r="B528" s="65"/>
      <c r="C528" s="65"/>
      <c r="D528" s="65"/>
      <c r="E528" s="60"/>
      <c r="F528" s="60"/>
      <c r="G528" s="60"/>
      <c r="H528" s="303"/>
      <c r="I528" s="304"/>
      <c r="J528" s="305"/>
      <c r="K528" s="306"/>
      <c r="L528" s="307"/>
      <c r="M528" s="243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</row>
    <row r="529" ht="13.5" customHeight="1">
      <c r="A529" s="243"/>
      <c r="B529" s="65"/>
      <c r="C529" s="65"/>
      <c r="D529" s="65"/>
      <c r="E529" s="60"/>
      <c r="F529" s="60"/>
      <c r="G529" s="60"/>
      <c r="H529" s="303"/>
      <c r="I529" s="304"/>
      <c r="J529" s="305"/>
      <c r="K529" s="306"/>
      <c r="L529" s="307"/>
      <c r="M529" s="243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</row>
    <row r="530" ht="13.5" customHeight="1">
      <c r="A530" s="243"/>
      <c r="B530" s="65"/>
      <c r="C530" s="65"/>
      <c r="D530" s="65"/>
      <c r="E530" s="60"/>
      <c r="F530" s="60"/>
      <c r="G530" s="60"/>
      <c r="H530" s="303"/>
      <c r="I530" s="304"/>
      <c r="J530" s="305"/>
      <c r="K530" s="306"/>
      <c r="L530" s="307"/>
      <c r="M530" s="243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</row>
    <row r="531" ht="13.5" customHeight="1">
      <c r="A531" s="243"/>
      <c r="B531" s="65"/>
      <c r="C531" s="65"/>
      <c r="D531" s="65"/>
      <c r="E531" s="60"/>
      <c r="F531" s="60"/>
      <c r="G531" s="60"/>
      <c r="H531" s="303"/>
      <c r="I531" s="304"/>
      <c r="J531" s="305"/>
      <c r="K531" s="306"/>
      <c r="L531" s="307"/>
      <c r="M531" s="243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</row>
    <row r="532" ht="13.5" customHeight="1">
      <c r="A532" s="243"/>
      <c r="B532" s="65"/>
      <c r="C532" s="65"/>
      <c r="D532" s="65"/>
      <c r="E532" s="60"/>
      <c r="F532" s="60"/>
      <c r="G532" s="60"/>
      <c r="H532" s="303"/>
      <c r="I532" s="304"/>
      <c r="J532" s="305"/>
      <c r="K532" s="306"/>
      <c r="L532" s="307"/>
      <c r="M532" s="243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</row>
    <row r="533" ht="13.5" customHeight="1">
      <c r="A533" s="243"/>
      <c r="B533" s="65"/>
      <c r="C533" s="65"/>
      <c r="D533" s="65"/>
      <c r="E533" s="60"/>
      <c r="F533" s="60"/>
      <c r="G533" s="60"/>
      <c r="H533" s="303"/>
      <c r="I533" s="304"/>
      <c r="J533" s="305"/>
      <c r="K533" s="306"/>
      <c r="L533" s="307"/>
      <c r="M533" s="243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</row>
    <row r="534" ht="13.5" customHeight="1">
      <c r="A534" s="243"/>
      <c r="B534" s="65"/>
      <c r="C534" s="65"/>
      <c r="D534" s="65"/>
      <c r="E534" s="60"/>
      <c r="F534" s="60"/>
      <c r="G534" s="60"/>
      <c r="H534" s="303"/>
      <c r="I534" s="304"/>
      <c r="J534" s="305"/>
      <c r="K534" s="306"/>
      <c r="L534" s="307"/>
      <c r="M534" s="243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</row>
    <row r="535" ht="13.5" customHeight="1">
      <c r="A535" s="243"/>
      <c r="B535" s="65"/>
      <c r="C535" s="65"/>
      <c r="D535" s="65"/>
      <c r="E535" s="60"/>
      <c r="F535" s="60"/>
      <c r="G535" s="60"/>
      <c r="H535" s="303"/>
      <c r="I535" s="304"/>
      <c r="J535" s="305"/>
      <c r="K535" s="306"/>
      <c r="L535" s="307"/>
      <c r="M535" s="243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</row>
    <row r="536" ht="13.5" customHeight="1">
      <c r="A536" s="243"/>
      <c r="B536" s="65"/>
      <c r="C536" s="65"/>
      <c r="D536" s="65"/>
      <c r="E536" s="60"/>
      <c r="F536" s="60"/>
      <c r="G536" s="60"/>
      <c r="H536" s="303"/>
      <c r="I536" s="304"/>
      <c r="J536" s="305"/>
      <c r="K536" s="306"/>
      <c r="L536" s="307"/>
      <c r="M536" s="243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</row>
    <row r="537" ht="13.5" customHeight="1">
      <c r="A537" s="243"/>
      <c r="B537" s="65"/>
      <c r="C537" s="65"/>
      <c r="D537" s="65"/>
      <c r="E537" s="60"/>
      <c r="F537" s="60"/>
      <c r="G537" s="60"/>
      <c r="H537" s="303"/>
      <c r="I537" s="304"/>
      <c r="J537" s="305"/>
      <c r="K537" s="306"/>
      <c r="L537" s="307"/>
      <c r="M537" s="243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</row>
    <row r="538" ht="13.5" customHeight="1">
      <c r="A538" s="243"/>
      <c r="B538" s="65"/>
      <c r="C538" s="65"/>
      <c r="D538" s="65"/>
      <c r="E538" s="60"/>
      <c r="F538" s="60"/>
      <c r="G538" s="60"/>
      <c r="H538" s="303"/>
      <c r="I538" s="304"/>
      <c r="J538" s="305"/>
      <c r="K538" s="306"/>
      <c r="L538" s="307"/>
      <c r="M538" s="243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</row>
    <row r="539" ht="13.5" customHeight="1">
      <c r="A539" s="243"/>
      <c r="B539" s="65"/>
      <c r="C539" s="65"/>
      <c r="D539" s="65"/>
      <c r="E539" s="60"/>
      <c r="F539" s="60"/>
      <c r="G539" s="60"/>
      <c r="H539" s="303"/>
      <c r="I539" s="304"/>
      <c r="J539" s="305"/>
      <c r="K539" s="306"/>
      <c r="L539" s="307"/>
      <c r="M539" s="243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</row>
    <row r="540" ht="13.5" customHeight="1">
      <c r="A540" s="243"/>
      <c r="B540" s="65"/>
      <c r="C540" s="65"/>
      <c r="D540" s="65"/>
      <c r="E540" s="60"/>
      <c r="F540" s="60"/>
      <c r="G540" s="60"/>
      <c r="H540" s="303"/>
      <c r="I540" s="304"/>
      <c r="J540" s="305"/>
      <c r="K540" s="306"/>
      <c r="L540" s="307"/>
      <c r="M540" s="243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</row>
    <row r="541" ht="13.5" customHeight="1">
      <c r="A541" s="243"/>
      <c r="B541" s="65"/>
      <c r="C541" s="65"/>
      <c r="D541" s="65"/>
      <c r="E541" s="60"/>
      <c r="F541" s="60"/>
      <c r="G541" s="60"/>
      <c r="H541" s="303"/>
      <c r="I541" s="304"/>
      <c r="J541" s="305"/>
      <c r="K541" s="306"/>
      <c r="L541" s="307"/>
      <c r="M541" s="243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</row>
    <row r="542" ht="13.5" customHeight="1">
      <c r="A542" s="243"/>
      <c r="B542" s="65"/>
      <c r="C542" s="65"/>
      <c r="D542" s="65"/>
      <c r="E542" s="60"/>
      <c r="F542" s="60"/>
      <c r="G542" s="60"/>
      <c r="H542" s="303"/>
      <c r="I542" s="304"/>
      <c r="J542" s="305"/>
      <c r="K542" s="306"/>
      <c r="L542" s="307"/>
      <c r="M542" s="243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</row>
    <row r="543" ht="13.5" customHeight="1">
      <c r="A543" s="243"/>
      <c r="B543" s="65"/>
      <c r="C543" s="65"/>
      <c r="D543" s="65"/>
      <c r="E543" s="60"/>
      <c r="F543" s="60"/>
      <c r="G543" s="60"/>
      <c r="H543" s="303"/>
      <c r="I543" s="304"/>
      <c r="J543" s="305"/>
      <c r="K543" s="306"/>
      <c r="L543" s="307"/>
      <c r="M543" s="243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</row>
    <row r="544" ht="13.5" customHeight="1">
      <c r="A544" s="243"/>
      <c r="B544" s="65"/>
      <c r="C544" s="65"/>
      <c r="D544" s="65"/>
      <c r="E544" s="60"/>
      <c r="F544" s="60"/>
      <c r="G544" s="60"/>
      <c r="H544" s="303"/>
      <c r="I544" s="304"/>
      <c r="J544" s="305"/>
      <c r="K544" s="306"/>
      <c r="L544" s="307"/>
      <c r="M544" s="243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</row>
    <row r="545" ht="13.5" customHeight="1">
      <c r="A545" s="243"/>
      <c r="B545" s="65"/>
      <c r="C545" s="65"/>
      <c r="D545" s="65"/>
      <c r="E545" s="60"/>
      <c r="F545" s="60"/>
      <c r="G545" s="60"/>
      <c r="H545" s="303"/>
      <c r="I545" s="304"/>
      <c r="J545" s="305"/>
      <c r="K545" s="306"/>
      <c r="L545" s="307"/>
      <c r="M545" s="243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</row>
    <row r="546" ht="13.5" customHeight="1">
      <c r="A546" s="243"/>
      <c r="B546" s="65"/>
      <c r="C546" s="65"/>
      <c r="D546" s="65"/>
      <c r="E546" s="60"/>
      <c r="F546" s="60"/>
      <c r="G546" s="60"/>
      <c r="H546" s="303"/>
      <c r="I546" s="304"/>
      <c r="J546" s="305"/>
      <c r="K546" s="306"/>
      <c r="L546" s="307"/>
      <c r="M546" s="243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</row>
    <row r="547" ht="13.5" customHeight="1">
      <c r="A547" s="243"/>
      <c r="B547" s="65"/>
      <c r="C547" s="65"/>
      <c r="D547" s="65"/>
      <c r="E547" s="60"/>
      <c r="F547" s="60"/>
      <c r="G547" s="60"/>
      <c r="H547" s="303"/>
      <c r="I547" s="304"/>
      <c r="J547" s="305"/>
      <c r="K547" s="306"/>
      <c r="L547" s="307"/>
      <c r="M547" s="243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</row>
    <row r="548" ht="13.5" customHeight="1">
      <c r="A548" s="243"/>
      <c r="B548" s="65"/>
      <c r="C548" s="65"/>
      <c r="D548" s="65"/>
      <c r="E548" s="60"/>
      <c r="F548" s="60"/>
      <c r="G548" s="60"/>
      <c r="H548" s="303"/>
      <c r="I548" s="304"/>
      <c r="J548" s="305"/>
      <c r="K548" s="306"/>
      <c r="L548" s="307"/>
      <c r="M548" s="243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</row>
    <row r="549" ht="13.5" customHeight="1">
      <c r="A549" s="243"/>
      <c r="B549" s="65"/>
      <c r="C549" s="65"/>
      <c r="D549" s="65"/>
      <c r="E549" s="60"/>
      <c r="F549" s="60"/>
      <c r="G549" s="60"/>
      <c r="H549" s="303"/>
      <c r="I549" s="304"/>
      <c r="J549" s="305"/>
      <c r="K549" s="306"/>
      <c r="L549" s="307"/>
      <c r="M549" s="243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</row>
    <row r="550" ht="13.5" customHeight="1">
      <c r="A550" s="243"/>
      <c r="B550" s="65"/>
      <c r="C550" s="65"/>
      <c r="D550" s="65"/>
      <c r="E550" s="60"/>
      <c r="F550" s="60"/>
      <c r="G550" s="60"/>
      <c r="H550" s="303"/>
      <c r="I550" s="304"/>
      <c r="J550" s="305"/>
      <c r="K550" s="306"/>
      <c r="L550" s="307"/>
      <c r="M550" s="243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</row>
    <row r="551" ht="13.5" customHeight="1">
      <c r="A551" s="243"/>
      <c r="B551" s="65"/>
      <c r="C551" s="65"/>
      <c r="D551" s="65"/>
      <c r="E551" s="60"/>
      <c r="F551" s="60"/>
      <c r="G551" s="60"/>
      <c r="H551" s="303"/>
      <c r="I551" s="304"/>
      <c r="J551" s="305"/>
      <c r="K551" s="306"/>
      <c r="L551" s="307"/>
      <c r="M551" s="243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</row>
    <row r="552" ht="13.5" customHeight="1">
      <c r="A552" s="243"/>
      <c r="B552" s="65"/>
      <c r="C552" s="65"/>
      <c r="D552" s="65"/>
      <c r="E552" s="60"/>
      <c r="F552" s="60"/>
      <c r="G552" s="60"/>
      <c r="H552" s="303"/>
      <c r="I552" s="304"/>
      <c r="J552" s="305"/>
      <c r="K552" s="306"/>
      <c r="L552" s="307"/>
      <c r="M552" s="243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</row>
    <row r="553" ht="13.5" customHeight="1">
      <c r="A553" s="243"/>
      <c r="B553" s="65"/>
      <c r="C553" s="65"/>
      <c r="D553" s="65"/>
      <c r="E553" s="60"/>
      <c r="F553" s="60"/>
      <c r="G553" s="60"/>
      <c r="H553" s="303"/>
      <c r="I553" s="304"/>
      <c r="J553" s="305"/>
      <c r="K553" s="306"/>
      <c r="L553" s="307"/>
      <c r="M553" s="243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</row>
    <row r="554" ht="13.5" customHeight="1">
      <c r="A554" s="243"/>
      <c r="B554" s="65"/>
      <c r="C554" s="65"/>
      <c r="D554" s="65"/>
      <c r="E554" s="60"/>
      <c r="F554" s="60"/>
      <c r="G554" s="60"/>
      <c r="H554" s="303"/>
      <c r="I554" s="304"/>
      <c r="J554" s="305"/>
      <c r="K554" s="306"/>
      <c r="L554" s="307"/>
      <c r="M554" s="243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</row>
    <row r="555" ht="13.5" customHeight="1">
      <c r="A555" s="243"/>
      <c r="B555" s="65"/>
      <c r="C555" s="65"/>
      <c r="D555" s="65"/>
      <c r="E555" s="60"/>
      <c r="F555" s="60"/>
      <c r="G555" s="60"/>
      <c r="H555" s="303"/>
      <c r="I555" s="304"/>
      <c r="J555" s="305"/>
      <c r="K555" s="306"/>
      <c r="L555" s="307"/>
      <c r="M555" s="243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</row>
    <row r="556" ht="13.5" customHeight="1">
      <c r="A556" s="243"/>
      <c r="B556" s="65"/>
      <c r="C556" s="65"/>
      <c r="D556" s="65"/>
      <c r="E556" s="60"/>
      <c r="F556" s="60"/>
      <c r="G556" s="60"/>
      <c r="H556" s="303"/>
      <c r="I556" s="304"/>
      <c r="J556" s="305"/>
      <c r="K556" s="306"/>
      <c r="L556" s="307"/>
      <c r="M556" s="243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</row>
    <row r="557" ht="13.5" customHeight="1">
      <c r="A557" s="243"/>
      <c r="B557" s="65"/>
      <c r="C557" s="65"/>
      <c r="D557" s="65"/>
      <c r="E557" s="60"/>
      <c r="F557" s="60"/>
      <c r="G557" s="60"/>
      <c r="H557" s="303"/>
      <c r="I557" s="304"/>
      <c r="J557" s="305"/>
      <c r="K557" s="306"/>
      <c r="L557" s="307"/>
      <c r="M557" s="243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</row>
    <row r="558" ht="13.5" customHeight="1">
      <c r="A558" s="243"/>
      <c r="B558" s="65"/>
      <c r="C558" s="65"/>
      <c r="D558" s="65"/>
      <c r="E558" s="60"/>
      <c r="F558" s="60"/>
      <c r="G558" s="60"/>
      <c r="H558" s="303"/>
      <c r="I558" s="304"/>
      <c r="J558" s="305"/>
      <c r="K558" s="306"/>
      <c r="L558" s="307"/>
      <c r="M558" s="243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</row>
    <row r="559" ht="13.5" customHeight="1">
      <c r="A559" s="243"/>
      <c r="B559" s="65"/>
      <c r="C559" s="65"/>
      <c r="D559" s="65"/>
      <c r="E559" s="60"/>
      <c r="F559" s="60"/>
      <c r="G559" s="60"/>
      <c r="H559" s="303"/>
      <c r="I559" s="304"/>
      <c r="J559" s="305"/>
      <c r="K559" s="306"/>
      <c r="L559" s="307"/>
      <c r="M559" s="243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</row>
    <row r="560" ht="13.5" customHeight="1">
      <c r="A560" s="243"/>
      <c r="B560" s="65"/>
      <c r="C560" s="65"/>
      <c r="D560" s="65"/>
      <c r="E560" s="60"/>
      <c r="F560" s="60"/>
      <c r="G560" s="60"/>
      <c r="H560" s="303"/>
      <c r="I560" s="304"/>
      <c r="J560" s="305"/>
      <c r="K560" s="306"/>
      <c r="L560" s="307"/>
      <c r="M560" s="243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</row>
    <row r="561" ht="13.5" customHeight="1">
      <c r="A561" s="243"/>
      <c r="B561" s="65"/>
      <c r="C561" s="65"/>
      <c r="D561" s="65"/>
      <c r="E561" s="60"/>
      <c r="F561" s="60"/>
      <c r="G561" s="60"/>
      <c r="H561" s="303"/>
      <c r="I561" s="304"/>
      <c r="J561" s="305"/>
      <c r="K561" s="306"/>
      <c r="L561" s="307"/>
      <c r="M561" s="243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</row>
    <row r="562" ht="13.5" customHeight="1">
      <c r="A562" s="243"/>
      <c r="B562" s="65"/>
      <c r="C562" s="65"/>
      <c r="D562" s="65"/>
      <c r="E562" s="60"/>
      <c r="F562" s="60"/>
      <c r="G562" s="60"/>
      <c r="H562" s="303"/>
      <c r="I562" s="304"/>
      <c r="J562" s="305"/>
      <c r="K562" s="306"/>
      <c r="L562" s="307"/>
      <c r="M562" s="243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</row>
    <row r="563" ht="13.5" customHeight="1">
      <c r="A563" s="243"/>
      <c r="B563" s="65"/>
      <c r="C563" s="65"/>
      <c r="D563" s="65"/>
      <c r="E563" s="60"/>
      <c r="F563" s="60"/>
      <c r="G563" s="60"/>
      <c r="H563" s="303"/>
      <c r="I563" s="304"/>
      <c r="J563" s="305"/>
      <c r="K563" s="306"/>
      <c r="L563" s="307"/>
      <c r="M563" s="243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</row>
    <row r="564" ht="13.5" customHeight="1">
      <c r="A564" s="243"/>
      <c r="B564" s="65"/>
      <c r="C564" s="65"/>
      <c r="D564" s="65"/>
      <c r="E564" s="60"/>
      <c r="F564" s="60"/>
      <c r="G564" s="60"/>
      <c r="H564" s="303"/>
      <c r="I564" s="304"/>
      <c r="J564" s="305"/>
      <c r="K564" s="306"/>
      <c r="L564" s="307"/>
      <c r="M564" s="243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</row>
    <row r="565" ht="13.5" customHeight="1">
      <c r="A565" s="243"/>
      <c r="B565" s="65"/>
      <c r="C565" s="65"/>
      <c r="D565" s="65"/>
      <c r="E565" s="60"/>
      <c r="F565" s="60"/>
      <c r="G565" s="60"/>
      <c r="H565" s="303"/>
      <c r="I565" s="304"/>
      <c r="J565" s="305"/>
      <c r="K565" s="306"/>
      <c r="L565" s="307"/>
      <c r="M565" s="243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</row>
    <row r="566" ht="13.5" customHeight="1">
      <c r="A566" s="243"/>
      <c r="B566" s="65"/>
      <c r="C566" s="65"/>
      <c r="D566" s="65"/>
      <c r="E566" s="60"/>
      <c r="F566" s="60"/>
      <c r="G566" s="60"/>
      <c r="H566" s="303"/>
      <c r="I566" s="304"/>
      <c r="J566" s="305"/>
      <c r="K566" s="306"/>
      <c r="L566" s="307"/>
      <c r="M566" s="243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</row>
    <row r="567" ht="13.5" customHeight="1">
      <c r="A567" s="243"/>
      <c r="B567" s="65"/>
      <c r="C567" s="65"/>
      <c r="D567" s="65"/>
      <c r="E567" s="60"/>
      <c r="F567" s="60"/>
      <c r="G567" s="60"/>
      <c r="H567" s="303"/>
      <c r="I567" s="304"/>
      <c r="J567" s="305"/>
      <c r="K567" s="306"/>
      <c r="L567" s="307"/>
      <c r="M567" s="243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</row>
    <row r="568" ht="13.5" customHeight="1">
      <c r="A568" s="243"/>
      <c r="B568" s="65"/>
      <c r="C568" s="65"/>
      <c r="D568" s="65"/>
      <c r="E568" s="60"/>
      <c r="F568" s="60"/>
      <c r="G568" s="60"/>
      <c r="H568" s="303"/>
      <c r="I568" s="304"/>
      <c r="J568" s="305"/>
      <c r="K568" s="306"/>
      <c r="L568" s="307"/>
      <c r="M568" s="243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</row>
    <row r="569" ht="13.5" customHeight="1">
      <c r="A569" s="243"/>
      <c r="B569" s="65"/>
      <c r="C569" s="65"/>
      <c r="D569" s="65"/>
      <c r="E569" s="60"/>
      <c r="F569" s="60"/>
      <c r="G569" s="60"/>
      <c r="H569" s="303"/>
      <c r="I569" s="304"/>
      <c r="J569" s="305"/>
      <c r="K569" s="306"/>
      <c r="L569" s="307"/>
      <c r="M569" s="243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</row>
    <row r="570" ht="13.5" customHeight="1">
      <c r="A570" s="243"/>
      <c r="B570" s="65"/>
      <c r="C570" s="65"/>
      <c r="D570" s="65"/>
      <c r="E570" s="60"/>
      <c r="F570" s="60"/>
      <c r="G570" s="60"/>
      <c r="H570" s="303"/>
      <c r="I570" s="304"/>
      <c r="J570" s="305"/>
      <c r="K570" s="306"/>
      <c r="L570" s="307"/>
      <c r="M570" s="243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</row>
    <row r="571" ht="13.5" customHeight="1">
      <c r="A571" s="243"/>
      <c r="B571" s="65"/>
      <c r="C571" s="65"/>
      <c r="D571" s="65"/>
      <c r="E571" s="60"/>
      <c r="F571" s="60"/>
      <c r="G571" s="60"/>
      <c r="H571" s="303"/>
      <c r="I571" s="304"/>
      <c r="J571" s="305"/>
      <c r="K571" s="306"/>
      <c r="L571" s="307"/>
      <c r="M571" s="243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</row>
    <row r="572" ht="13.5" customHeight="1">
      <c r="A572" s="243"/>
      <c r="B572" s="65"/>
      <c r="C572" s="65"/>
      <c r="D572" s="65"/>
      <c r="E572" s="60"/>
      <c r="F572" s="60"/>
      <c r="G572" s="60"/>
      <c r="H572" s="303"/>
      <c r="I572" s="304"/>
      <c r="J572" s="305"/>
      <c r="K572" s="306"/>
      <c r="L572" s="307"/>
      <c r="M572" s="243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</row>
    <row r="573" ht="13.5" customHeight="1">
      <c r="A573" s="243"/>
      <c r="B573" s="65"/>
      <c r="C573" s="65"/>
      <c r="D573" s="65"/>
      <c r="E573" s="60"/>
      <c r="F573" s="60"/>
      <c r="G573" s="60"/>
      <c r="H573" s="303"/>
      <c r="I573" s="304"/>
      <c r="J573" s="305"/>
      <c r="K573" s="306"/>
      <c r="L573" s="307"/>
      <c r="M573" s="243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</row>
    <row r="574" ht="13.5" customHeight="1">
      <c r="A574" s="243"/>
      <c r="B574" s="65"/>
      <c r="C574" s="65"/>
      <c r="D574" s="65"/>
      <c r="E574" s="60"/>
      <c r="F574" s="60"/>
      <c r="G574" s="60"/>
      <c r="H574" s="303"/>
      <c r="I574" s="304"/>
      <c r="J574" s="305"/>
      <c r="K574" s="306"/>
      <c r="L574" s="307"/>
      <c r="M574" s="243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</row>
    <row r="575" ht="13.5" customHeight="1">
      <c r="A575" s="243"/>
      <c r="B575" s="65"/>
      <c r="C575" s="65"/>
      <c r="D575" s="65"/>
      <c r="E575" s="60"/>
      <c r="F575" s="60"/>
      <c r="G575" s="60"/>
      <c r="H575" s="303"/>
      <c r="I575" s="304"/>
      <c r="J575" s="305"/>
      <c r="K575" s="306"/>
      <c r="L575" s="307"/>
      <c r="M575" s="243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</row>
    <row r="576" ht="13.5" customHeight="1">
      <c r="A576" s="243"/>
      <c r="B576" s="65"/>
      <c r="C576" s="65"/>
      <c r="D576" s="65"/>
      <c r="E576" s="60"/>
      <c r="F576" s="60"/>
      <c r="G576" s="60"/>
      <c r="H576" s="303"/>
      <c r="I576" s="304"/>
      <c r="J576" s="305"/>
      <c r="K576" s="306"/>
      <c r="L576" s="307"/>
      <c r="M576" s="243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</row>
    <row r="577" ht="13.5" customHeight="1">
      <c r="A577" s="243"/>
      <c r="B577" s="65"/>
      <c r="C577" s="65"/>
      <c r="D577" s="65"/>
      <c r="E577" s="60"/>
      <c r="F577" s="60"/>
      <c r="G577" s="60"/>
      <c r="H577" s="303"/>
      <c r="I577" s="304"/>
      <c r="J577" s="305"/>
      <c r="K577" s="306"/>
      <c r="L577" s="307"/>
      <c r="M577" s="243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</row>
    <row r="578" ht="13.5" customHeight="1">
      <c r="A578" s="243"/>
      <c r="B578" s="65"/>
      <c r="C578" s="65"/>
      <c r="D578" s="65"/>
      <c r="E578" s="60"/>
      <c r="F578" s="60"/>
      <c r="G578" s="60"/>
      <c r="H578" s="303"/>
      <c r="I578" s="304"/>
      <c r="J578" s="305"/>
      <c r="K578" s="306"/>
      <c r="L578" s="307"/>
      <c r="M578" s="243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</row>
    <row r="579" ht="13.5" customHeight="1">
      <c r="A579" s="243"/>
      <c r="B579" s="65"/>
      <c r="C579" s="65"/>
      <c r="D579" s="65"/>
      <c r="E579" s="60"/>
      <c r="F579" s="60"/>
      <c r="G579" s="60"/>
      <c r="H579" s="303"/>
      <c r="I579" s="304"/>
      <c r="J579" s="305"/>
      <c r="K579" s="306"/>
      <c r="L579" s="307"/>
      <c r="M579" s="243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</row>
    <row r="580" ht="13.5" customHeight="1">
      <c r="A580" s="243"/>
      <c r="B580" s="65"/>
      <c r="C580" s="65"/>
      <c r="D580" s="65"/>
      <c r="E580" s="60"/>
      <c r="F580" s="60"/>
      <c r="G580" s="60"/>
      <c r="H580" s="303"/>
      <c r="I580" s="304"/>
      <c r="J580" s="305"/>
      <c r="K580" s="306"/>
      <c r="L580" s="307"/>
      <c r="M580" s="243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</row>
    <row r="581" ht="13.5" customHeight="1">
      <c r="A581" s="243"/>
      <c r="B581" s="65"/>
      <c r="C581" s="65"/>
      <c r="D581" s="65"/>
      <c r="E581" s="60"/>
      <c r="F581" s="60"/>
      <c r="G581" s="60"/>
      <c r="H581" s="303"/>
      <c r="I581" s="304"/>
      <c r="J581" s="305"/>
      <c r="K581" s="306"/>
      <c r="L581" s="307"/>
      <c r="M581" s="243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</row>
    <row r="582" ht="13.5" customHeight="1">
      <c r="A582" s="243"/>
      <c r="B582" s="65"/>
      <c r="C582" s="65"/>
      <c r="D582" s="65"/>
      <c r="E582" s="60"/>
      <c r="F582" s="60"/>
      <c r="G582" s="60"/>
      <c r="H582" s="303"/>
      <c r="I582" s="304"/>
      <c r="J582" s="305"/>
      <c r="K582" s="306"/>
      <c r="L582" s="307"/>
      <c r="M582" s="243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</row>
    <row r="583" ht="13.5" customHeight="1">
      <c r="A583" s="243"/>
      <c r="B583" s="65"/>
      <c r="C583" s="65"/>
      <c r="D583" s="65"/>
      <c r="E583" s="60"/>
      <c r="F583" s="60"/>
      <c r="G583" s="60"/>
      <c r="H583" s="303"/>
      <c r="I583" s="304"/>
      <c r="J583" s="305"/>
      <c r="K583" s="306"/>
      <c r="L583" s="307"/>
      <c r="M583" s="243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</row>
    <row r="584" ht="13.5" customHeight="1">
      <c r="A584" s="243"/>
      <c r="B584" s="65"/>
      <c r="C584" s="65"/>
      <c r="D584" s="65"/>
      <c r="E584" s="60"/>
      <c r="F584" s="60"/>
      <c r="G584" s="60"/>
      <c r="H584" s="303"/>
      <c r="I584" s="304"/>
      <c r="J584" s="305"/>
      <c r="K584" s="306"/>
      <c r="L584" s="307"/>
      <c r="M584" s="243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</row>
    <row r="585" ht="13.5" customHeight="1">
      <c r="A585" s="243"/>
      <c r="B585" s="65"/>
      <c r="C585" s="65"/>
      <c r="D585" s="65"/>
      <c r="E585" s="60"/>
      <c r="F585" s="60"/>
      <c r="G585" s="60"/>
      <c r="H585" s="303"/>
      <c r="I585" s="304"/>
      <c r="J585" s="305"/>
      <c r="K585" s="306"/>
      <c r="L585" s="307"/>
      <c r="M585" s="243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</row>
    <row r="586" ht="13.5" customHeight="1">
      <c r="A586" s="243"/>
      <c r="B586" s="65"/>
      <c r="C586" s="65"/>
      <c r="D586" s="65"/>
      <c r="E586" s="60"/>
      <c r="F586" s="60"/>
      <c r="G586" s="60"/>
      <c r="H586" s="303"/>
      <c r="I586" s="304"/>
      <c r="J586" s="305"/>
      <c r="K586" s="306"/>
      <c r="L586" s="307"/>
      <c r="M586" s="243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</row>
    <row r="587" ht="13.5" customHeight="1">
      <c r="A587" s="243"/>
      <c r="B587" s="65"/>
      <c r="C587" s="65"/>
      <c r="D587" s="65"/>
      <c r="E587" s="60"/>
      <c r="F587" s="60"/>
      <c r="G587" s="60"/>
      <c r="H587" s="303"/>
      <c r="I587" s="304"/>
      <c r="J587" s="305"/>
      <c r="K587" s="306"/>
      <c r="L587" s="307"/>
      <c r="M587" s="243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</row>
    <row r="588" ht="13.5" customHeight="1">
      <c r="A588" s="243"/>
      <c r="B588" s="65"/>
      <c r="C588" s="65"/>
      <c r="D588" s="65"/>
      <c r="E588" s="60"/>
      <c r="F588" s="60"/>
      <c r="G588" s="60"/>
      <c r="H588" s="303"/>
      <c r="I588" s="304"/>
      <c r="J588" s="305"/>
      <c r="K588" s="306"/>
      <c r="L588" s="307"/>
      <c r="M588" s="243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</row>
    <row r="589" ht="13.5" customHeight="1">
      <c r="A589" s="243"/>
      <c r="B589" s="65"/>
      <c r="C589" s="65"/>
      <c r="D589" s="65"/>
      <c r="E589" s="60"/>
      <c r="F589" s="60"/>
      <c r="G589" s="60"/>
      <c r="H589" s="303"/>
      <c r="I589" s="304"/>
      <c r="J589" s="305"/>
      <c r="K589" s="306"/>
      <c r="L589" s="307"/>
      <c r="M589" s="243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</row>
    <row r="590" ht="13.5" customHeight="1">
      <c r="A590" s="243"/>
      <c r="B590" s="65"/>
      <c r="C590" s="65"/>
      <c r="D590" s="65"/>
      <c r="E590" s="60"/>
      <c r="F590" s="60"/>
      <c r="G590" s="60"/>
      <c r="H590" s="303"/>
      <c r="I590" s="304"/>
      <c r="J590" s="305"/>
      <c r="K590" s="306"/>
      <c r="L590" s="307"/>
      <c r="M590" s="243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</row>
    <row r="591" ht="13.5" customHeight="1">
      <c r="A591" s="243"/>
      <c r="B591" s="65"/>
      <c r="C591" s="65"/>
      <c r="D591" s="65"/>
      <c r="E591" s="60"/>
      <c r="F591" s="60"/>
      <c r="G591" s="60"/>
      <c r="H591" s="303"/>
      <c r="I591" s="304"/>
      <c r="J591" s="305"/>
      <c r="K591" s="306"/>
      <c r="L591" s="307"/>
      <c r="M591" s="243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</row>
    <row r="592" ht="13.5" customHeight="1">
      <c r="A592" s="243"/>
      <c r="B592" s="65"/>
      <c r="C592" s="65"/>
      <c r="D592" s="65"/>
      <c r="E592" s="60"/>
      <c r="F592" s="60"/>
      <c r="G592" s="60"/>
      <c r="H592" s="303"/>
      <c r="I592" s="304"/>
      <c r="J592" s="305"/>
      <c r="K592" s="306"/>
      <c r="L592" s="307"/>
      <c r="M592" s="243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</row>
    <row r="593" ht="13.5" customHeight="1">
      <c r="A593" s="243"/>
      <c r="B593" s="65"/>
      <c r="C593" s="65"/>
      <c r="D593" s="65"/>
      <c r="E593" s="60"/>
      <c r="F593" s="60"/>
      <c r="G593" s="60"/>
      <c r="H593" s="303"/>
      <c r="I593" s="304"/>
      <c r="J593" s="305"/>
      <c r="K593" s="306"/>
      <c r="L593" s="307"/>
      <c r="M593" s="243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</row>
    <row r="594" ht="13.5" customHeight="1">
      <c r="A594" s="243"/>
      <c r="B594" s="65"/>
      <c r="C594" s="65"/>
      <c r="D594" s="65"/>
      <c r="E594" s="60"/>
      <c r="F594" s="60"/>
      <c r="G594" s="60"/>
      <c r="H594" s="303"/>
      <c r="I594" s="304"/>
      <c r="J594" s="305"/>
      <c r="K594" s="306"/>
      <c r="L594" s="307"/>
      <c r="M594" s="243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</row>
    <row r="595" ht="13.5" customHeight="1">
      <c r="A595" s="243"/>
      <c r="B595" s="65"/>
      <c r="C595" s="65"/>
      <c r="D595" s="65"/>
      <c r="E595" s="60"/>
      <c r="F595" s="60"/>
      <c r="G595" s="60"/>
      <c r="H595" s="303"/>
      <c r="I595" s="304"/>
      <c r="J595" s="305"/>
      <c r="K595" s="306"/>
      <c r="L595" s="307"/>
      <c r="M595" s="243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</row>
    <row r="596" ht="13.5" customHeight="1">
      <c r="A596" s="243"/>
      <c r="B596" s="65"/>
      <c r="C596" s="65"/>
      <c r="D596" s="65"/>
      <c r="E596" s="60"/>
      <c r="F596" s="60"/>
      <c r="G596" s="60"/>
      <c r="H596" s="303"/>
      <c r="I596" s="304"/>
      <c r="J596" s="305"/>
      <c r="K596" s="306"/>
      <c r="L596" s="307"/>
      <c r="M596" s="243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</row>
    <row r="597" ht="13.5" customHeight="1">
      <c r="A597" s="243"/>
      <c r="B597" s="65"/>
      <c r="C597" s="65"/>
      <c r="D597" s="65"/>
      <c r="E597" s="60"/>
      <c r="F597" s="60"/>
      <c r="G597" s="60"/>
      <c r="H597" s="303"/>
      <c r="I597" s="304"/>
      <c r="J597" s="305"/>
      <c r="K597" s="306"/>
      <c r="L597" s="307"/>
      <c r="M597" s="243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</row>
    <row r="598" ht="13.5" customHeight="1">
      <c r="A598" s="243"/>
      <c r="B598" s="65"/>
      <c r="C598" s="65"/>
      <c r="D598" s="65"/>
      <c r="E598" s="60"/>
      <c r="F598" s="60"/>
      <c r="G598" s="60"/>
      <c r="H598" s="303"/>
      <c r="I598" s="304"/>
      <c r="J598" s="305"/>
      <c r="K598" s="306"/>
      <c r="L598" s="307"/>
      <c r="M598" s="243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</row>
    <row r="599" ht="13.5" customHeight="1">
      <c r="A599" s="243"/>
      <c r="B599" s="65"/>
      <c r="C599" s="65"/>
      <c r="D599" s="65"/>
      <c r="E599" s="60"/>
      <c r="F599" s="60"/>
      <c r="G599" s="60"/>
      <c r="H599" s="303"/>
      <c r="I599" s="304"/>
      <c r="J599" s="305"/>
      <c r="K599" s="306"/>
      <c r="L599" s="307"/>
      <c r="M599" s="243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</row>
    <row r="600" ht="13.5" customHeight="1">
      <c r="A600" s="243"/>
      <c r="B600" s="65"/>
      <c r="C600" s="65"/>
      <c r="D600" s="65"/>
      <c r="E600" s="60"/>
      <c r="F600" s="60"/>
      <c r="G600" s="60"/>
      <c r="H600" s="303"/>
      <c r="I600" s="304"/>
      <c r="J600" s="305"/>
      <c r="K600" s="306"/>
      <c r="L600" s="307"/>
      <c r="M600" s="243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</row>
    <row r="601" ht="13.5" customHeight="1">
      <c r="A601" s="243"/>
      <c r="B601" s="65"/>
      <c r="C601" s="65"/>
      <c r="D601" s="65"/>
      <c r="E601" s="60"/>
      <c r="F601" s="60"/>
      <c r="G601" s="60"/>
      <c r="H601" s="303"/>
      <c r="I601" s="304"/>
      <c r="J601" s="305"/>
      <c r="K601" s="306"/>
      <c r="L601" s="307"/>
      <c r="M601" s="243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</row>
    <row r="602" ht="13.5" customHeight="1">
      <c r="A602" s="243"/>
      <c r="B602" s="65"/>
      <c r="C602" s="65"/>
      <c r="D602" s="65"/>
      <c r="E602" s="60"/>
      <c r="F602" s="60"/>
      <c r="G602" s="60"/>
      <c r="H602" s="303"/>
      <c r="I602" s="304"/>
      <c r="J602" s="305"/>
      <c r="K602" s="306"/>
      <c r="L602" s="307"/>
      <c r="M602" s="243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</row>
    <row r="603" ht="13.5" customHeight="1">
      <c r="A603" s="243"/>
      <c r="B603" s="65"/>
      <c r="C603" s="65"/>
      <c r="D603" s="65"/>
      <c r="E603" s="60"/>
      <c r="F603" s="60"/>
      <c r="G603" s="60"/>
      <c r="H603" s="303"/>
      <c r="I603" s="304"/>
      <c r="J603" s="305"/>
      <c r="K603" s="306"/>
      <c r="L603" s="307"/>
      <c r="M603" s="243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</row>
    <row r="604" ht="13.5" customHeight="1">
      <c r="A604" s="243"/>
      <c r="B604" s="65"/>
      <c r="C604" s="65"/>
      <c r="D604" s="65"/>
      <c r="E604" s="60"/>
      <c r="F604" s="60"/>
      <c r="G604" s="60"/>
      <c r="H604" s="303"/>
      <c r="I604" s="304"/>
      <c r="J604" s="305"/>
      <c r="K604" s="306"/>
      <c r="L604" s="307"/>
      <c r="M604" s="243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</row>
    <row r="605" ht="13.5" customHeight="1">
      <c r="A605" s="243"/>
      <c r="B605" s="65"/>
      <c r="C605" s="65"/>
      <c r="D605" s="65"/>
      <c r="E605" s="60"/>
      <c r="F605" s="60"/>
      <c r="G605" s="60"/>
      <c r="H605" s="303"/>
      <c r="I605" s="304"/>
      <c r="J605" s="305"/>
      <c r="K605" s="306"/>
      <c r="L605" s="307"/>
      <c r="M605" s="243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</row>
    <row r="606" ht="13.5" customHeight="1">
      <c r="A606" s="243"/>
      <c r="B606" s="65"/>
      <c r="C606" s="65"/>
      <c r="D606" s="65"/>
      <c r="E606" s="60"/>
      <c r="F606" s="60"/>
      <c r="G606" s="60"/>
      <c r="H606" s="303"/>
      <c r="I606" s="304"/>
      <c r="J606" s="305"/>
      <c r="K606" s="306"/>
      <c r="L606" s="307"/>
      <c r="M606" s="243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</row>
    <row r="607" ht="13.5" customHeight="1">
      <c r="A607" s="243"/>
      <c r="B607" s="65"/>
      <c r="C607" s="65"/>
      <c r="D607" s="65"/>
      <c r="E607" s="60"/>
      <c r="F607" s="60"/>
      <c r="G607" s="60"/>
      <c r="H607" s="303"/>
      <c r="I607" s="304"/>
      <c r="J607" s="305"/>
      <c r="K607" s="306"/>
      <c r="L607" s="307"/>
      <c r="M607" s="243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</row>
    <row r="608" ht="13.5" customHeight="1">
      <c r="A608" s="243"/>
      <c r="B608" s="65"/>
      <c r="C608" s="65"/>
      <c r="D608" s="65"/>
      <c r="E608" s="60"/>
      <c r="F608" s="60"/>
      <c r="G608" s="60"/>
      <c r="H608" s="303"/>
      <c r="I608" s="304"/>
      <c r="J608" s="305"/>
      <c r="K608" s="306"/>
      <c r="L608" s="307"/>
      <c r="M608" s="243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</row>
    <row r="609" ht="13.5" customHeight="1">
      <c r="A609" s="243"/>
      <c r="B609" s="65"/>
      <c r="C609" s="65"/>
      <c r="D609" s="65"/>
      <c r="E609" s="60"/>
      <c r="F609" s="60"/>
      <c r="G609" s="60"/>
      <c r="H609" s="303"/>
      <c r="I609" s="304"/>
      <c r="J609" s="305"/>
      <c r="K609" s="306"/>
      <c r="L609" s="307"/>
      <c r="M609" s="243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</row>
    <row r="610" ht="13.5" customHeight="1">
      <c r="A610" s="243"/>
      <c r="B610" s="65"/>
      <c r="C610" s="65"/>
      <c r="D610" s="65"/>
      <c r="E610" s="60"/>
      <c r="F610" s="60"/>
      <c r="G610" s="60"/>
      <c r="H610" s="303"/>
      <c r="I610" s="304"/>
      <c r="J610" s="305"/>
      <c r="K610" s="306"/>
      <c r="L610" s="307"/>
      <c r="M610" s="243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</row>
    <row r="611" ht="13.5" customHeight="1">
      <c r="A611" s="243"/>
      <c r="B611" s="65"/>
      <c r="C611" s="65"/>
      <c r="D611" s="65"/>
      <c r="E611" s="60"/>
      <c r="F611" s="60"/>
      <c r="G611" s="60"/>
      <c r="H611" s="303"/>
      <c r="I611" s="304"/>
      <c r="J611" s="305"/>
      <c r="K611" s="306"/>
      <c r="L611" s="307"/>
      <c r="M611" s="243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</row>
    <row r="612" ht="13.5" customHeight="1">
      <c r="A612" s="243"/>
      <c r="B612" s="65"/>
      <c r="C612" s="65"/>
      <c r="D612" s="65"/>
      <c r="E612" s="60"/>
      <c r="F612" s="60"/>
      <c r="G612" s="60"/>
      <c r="H612" s="303"/>
      <c r="I612" s="304"/>
      <c r="J612" s="305"/>
      <c r="K612" s="306"/>
      <c r="L612" s="307"/>
      <c r="M612" s="243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</row>
    <row r="613" ht="13.5" customHeight="1">
      <c r="A613" s="243"/>
      <c r="B613" s="65"/>
      <c r="C613" s="65"/>
      <c r="D613" s="65"/>
      <c r="E613" s="60"/>
      <c r="F613" s="60"/>
      <c r="G613" s="60"/>
      <c r="H613" s="303"/>
      <c r="I613" s="304"/>
      <c r="J613" s="305"/>
      <c r="K613" s="306"/>
      <c r="L613" s="307"/>
      <c r="M613" s="243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</row>
    <row r="614" ht="13.5" customHeight="1">
      <c r="A614" s="243"/>
      <c r="B614" s="65"/>
      <c r="C614" s="65"/>
      <c r="D614" s="65"/>
      <c r="E614" s="60"/>
      <c r="F614" s="60"/>
      <c r="G614" s="60"/>
      <c r="H614" s="303"/>
      <c r="I614" s="304"/>
      <c r="J614" s="305"/>
      <c r="K614" s="306"/>
      <c r="L614" s="307"/>
      <c r="M614" s="243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</row>
    <row r="615" ht="13.5" customHeight="1">
      <c r="A615" s="243"/>
      <c r="B615" s="65"/>
      <c r="C615" s="65"/>
      <c r="D615" s="65"/>
      <c r="E615" s="60"/>
      <c r="F615" s="60"/>
      <c r="G615" s="60"/>
      <c r="H615" s="303"/>
      <c r="I615" s="304"/>
      <c r="J615" s="305"/>
      <c r="K615" s="306"/>
      <c r="L615" s="307"/>
      <c r="M615" s="243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</row>
    <row r="616" ht="13.5" customHeight="1">
      <c r="A616" s="243"/>
      <c r="B616" s="65"/>
      <c r="C616" s="65"/>
      <c r="D616" s="65"/>
      <c r="E616" s="60"/>
      <c r="F616" s="60"/>
      <c r="G616" s="60"/>
      <c r="H616" s="303"/>
      <c r="I616" s="304"/>
      <c r="J616" s="305"/>
      <c r="K616" s="306"/>
      <c r="L616" s="307"/>
      <c r="M616" s="243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</row>
    <row r="617" ht="13.5" customHeight="1">
      <c r="A617" s="243"/>
      <c r="B617" s="65"/>
      <c r="C617" s="65"/>
      <c r="D617" s="65"/>
      <c r="E617" s="60"/>
      <c r="F617" s="60"/>
      <c r="G617" s="60"/>
      <c r="H617" s="303"/>
      <c r="I617" s="304"/>
      <c r="J617" s="305"/>
      <c r="K617" s="306"/>
      <c r="L617" s="307"/>
      <c r="M617" s="243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</row>
    <row r="618" ht="13.5" customHeight="1">
      <c r="A618" s="243"/>
      <c r="B618" s="65"/>
      <c r="C618" s="65"/>
      <c r="D618" s="65"/>
      <c r="E618" s="60"/>
      <c r="F618" s="60"/>
      <c r="G618" s="60"/>
      <c r="H618" s="303"/>
      <c r="I618" s="304"/>
      <c r="J618" s="305"/>
      <c r="K618" s="306"/>
      <c r="L618" s="307"/>
      <c r="M618" s="243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</row>
    <row r="619" ht="13.5" customHeight="1">
      <c r="A619" s="243"/>
      <c r="B619" s="65"/>
      <c r="C619" s="65"/>
      <c r="D619" s="65"/>
      <c r="E619" s="60"/>
      <c r="F619" s="60"/>
      <c r="G619" s="60"/>
      <c r="H619" s="303"/>
      <c r="I619" s="304"/>
      <c r="J619" s="305"/>
      <c r="K619" s="306"/>
      <c r="L619" s="307"/>
      <c r="M619" s="243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</row>
    <row r="620" ht="13.5" customHeight="1">
      <c r="A620" s="243"/>
      <c r="B620" s="65"/>
      <c r="C620" s="65"/>
      <c r="D620" s="65"/>
      <c r="E620" s="60"/>
      <c r="F620" s="60"/>
      <c r="G620" s="60"/>
      <c r="H620" s="303"/>
      <c r="I620" s="304"/>
      <c r="J620" s="305"/>
      <c r="K620" s="306"/>
      <c r="L620" s="307"/>
      <c r="M620" s="243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</row>
    <row r="621" ht="13.5" customHeight="1">
      <c r="A621" s="243"/>
      <c r="B621" s="65"/>
      <c r="C621" s="65"/>
      <c r="D621" s="65"/>
      <c r="E621" s="60"/>
      <c r="F621" s="60"/>
      <c r="G621" s="60"/>
      <c r="H621" s="303"/>
      <c r="I621" s="304"/>
      <c r="J621" s="305"/>
      <c r="K621" s="306"/>
      <c r="L621" s="307"/>
      <c r="M621" s="243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</row>
    <row r="622" ht="13.5" customHeight="1">
      <c r="A622" s="243"/>
      <c r="B622" s="65"/>
      <c r="C622" s="65"/>
      <c r="D622" s="65"/>
      <c r="E622" s="60"/>
      <c r="F622" s="60"/>
      <c r="G622" s="60"/>
      <c r="H622" s="303"/>
      <c r="I622" s="304"/>
      <c r="J622" s="305"/>
      <c r="K622" s="306"/>
      <c r="L622" s="307"/>
      <c r="M622" s="243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</row>
    <row r="623" ht="13.5" customHeight="1">
      <c r="A623" s="243"/>
      <c r="B623" s="65"/>
      <c r="C623" s="65"/>
      <c r="D623" s="65"/>
      <c r="E623" s="60"/>
      <c r="F623" s="60"/>
      <c r="G623" s="60"/>
      <c r="H623" s="303"/>
      <c r="I623" s="304"/>
      <c r="J623" s="305"/>
      <c r="K623" s="306"/>
      <c r="L623" s="307"/>
      <c r="M623" s="243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</row>
    <row r="624" ht="13.5" customHeight="1">
      <c r="A624" s="243"/>
      <c r="B624" s="65"/>
      <c r="C624" s="65"/>
      <c r="D624" s="65"/>
      <c r="E624" s="60"/>
      <c r="F624" s="60"/>
      <c r="G624" s="60"/>
      <c r="H624" s="303"/>
      <c r="I624" s="304"/>
      <c r="J624" s="305"/>
      <c r="K624" s="306"/>
      <c r="L624" s="307"/>
      <c r="M624" s="243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</row>
    <row r="625" ht="13.5" customHeight="1">
      <c r="A625" s="243"/>
      <c r="B625" s="65"/>
      <c r="C625" s="65"/>
      <c r="D625" s="65"/>
      <c r="E625" s="60"/>
      <c r="F625" s="60"/>
      <c r="G625" s="60"/>
      <c r="H625" s="303"/>
      <c r="I625" s="304"/>
      <c r="J625" s="305"/>
      <c r="K625" s="306"/>
      <c r="L625" s="307"/>
      <c r="M625" s="243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</row>
    <row r="626" ht="13.5" customHeight="1">
      <c r="A626" s="243"/>
      <c r="B626" s="65"/>
      <c r="C626" s="65"/>
      <c r="D626" s="65"/>
      <c r="E626" s="60"/>
      <c r="F626" s="60"/>
      <c r="G626" s="60"/>
      <c r="H626" s="303"/>
      <c r="I626" s="304"/>
      <c r="J626" s="305"/>
      <c r="K626" s="306"/>
      <c r="L626" s="307"/>
      <c r="M626" s="243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</row>
    <row r="627" ht="13.5" customHeight="1">
      <c r="A627" s="243"/>
      <c r="B627" s="65"/>
      <c r="C627" s="65"/>
      <c r="D627" s="65"/>
      <c r="E627" s="60"/>
      <c r="F627" s="60"/>
      <c r="G627" s="60"/>
      <c r="H627" s="303"/>
      <c r="I627" s="304"/>
      <c r="J627" s="305"/>
      <c r="K627" s="306"/>
      <c r="L627" s="307"/>
      <c r="M627" s="243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</row>
    <row r="628" ht="13.5" customHeight="1">
      <c r="A628" s="243"/>
      <c r="B628" s="65"/>
      <c r="C628" s="65"/>
      <c r="D628" s="65"/>
      <c r="E628" s="60"/>
      <c r="F628" s="60"/>
      <c r="G628" s="60"/>
      <c r="H628" s="303"/>
      <c r="I628" s="304"/>
      <c r="J628" s="305"/>
      <c r="K628" s="306"/>
      <c r="L628" s="307"/>
      <c r="M628" s="243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</row>
    <row r="629" ht="13.5" customHeight="1">
      <c r="A629" s="243"/>
      <c r="B629" s="65"/>
      <c r="C629" s="65"/>
      <c r="D629" s="65"/>
      <c r="E629" s="60"/>
      <c r="F629" s="60"/>
      <c r="G629" s="60"/>
      <c r="H629" s="303"/>
      <c r="I629" s="304"/>
      <c r="J629" s="305"/>
      <c r="K629" s="306"/>
      <c r="L629" s="307"/>
      <c r="M629" s="243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</row>
    <row r="630" ht="13.5" customHeight="1">
      <c r="A630" s="243"/>
      <c r="B630" s="65"/>
      <c r="C630" s="65"/>
      <c r="D630" s="65"/>
      <c r="E630" s="60"/>
      <c r="F630" s="60"/>
      <c r="G630" s="60"/>
      <c r="H630" s="303"/>
      <c r="I630" s="304"/>
      <c r="J630" s="305"/>
      <c r="K630" s="306"/>
      <c r="L630" s="307"/>
      <c r="M630" s="243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</row>
    <row r="631" ht="13.5" customHeight="1">
      <c r="A631" s="243"/>
      <c r="B631" s="65"/>
      <c r="C631" s="65"/>
      <c r="D631" s="65"/>
      <c r="E631" s="60"/>
      <c r="F631" s="60"/>
      <c r="G631" s="60"/>
      <c r="H631" s="303"/>
      <c r="I631" s="304"/>
      <c r="J631" s="305"/>
      <c r="K631" s="306"/>
      <c r="L631" s="307"/>
      <c r="M631" s="243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</row>
    <row r="632" ht="13.5" customHeight="1">
      <c r="A632" s="243"/>
      <c r="B632" s="65"/>
      <c r="C632" s="65"/>
      <c r="D632" s="65"/>
      <c r="E632" s="60"/>
      <c r="F632" s="60"/>
      <c r="G632" s="60"/>
      <c r="H632" s="303"/>
      <c r="I632" s="304"/>
      <c r="J632" s="305"/>
      <c r="K632" s="306"/>
      <c r="L632" s="307"/>
      <c r="M632" s="243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</row>
    <row r="633" ht="13.5" customHeight="1">
      <c r="A633" s="243"/>
      <c r="B633" s="65"/>
      <c r="C633" s="65"/>
      <c r="D633" s="65"/>
      <c r="E633" s="60"/>
      <c r="F633" s="60"/>
      <c r="G633" s="60"/>
      <c r="H633" s="303"/>
      <c r="I633" s="304"/>
      <c r="J633" s="305"/>
      <c r="K633" s="306"/>
      <c r="L633" s="307"/>
      <c r="M633" s="243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</row>
    <row r="634" ht="13.5" customHeight="1">
      <c r="A634" s="243"/>
      <c r="B634" s="65"/>
      <c r="C634" s="65"/>
      <c r="D634" s="65"/>
      <c r="E634" s="60"/>
      <c r="F634" s="60"/>
      <c r="G634" s="60"/>
      <c r="H634" s="303"/>
      <c r="I634" s="304"/>
      <c r="J634" s="305"/>
      <c r="K634" s="306"/>
      <c r="L634" s="307"/>
      <c r="M634" s="243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</row>
    <row r="635" ht="13.5" customHeight="1">
      <c r="A635" s="243"/>
      <c r="B635" s="65"/>
      <c r="C635" s="65"/>
      <c r="D635" s="65"/>
      <c r="E635" s="60"/>
      <c r="F635" s="60"/>
      <c r="G635" s="60"/>
      <c r="H635" s="303"/>
      <c r="I635" s="304"/>
      <c r="J635" s="305"/>
      <c r="K635" s="306"/>
      <c r="L635" s="307"/>
      <c r="M635" s="243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</row>
    <row r="636" ht="13.5" customHeight="1">
      <c r="A636" s="243"/>
      <c r="B636" s="65"/>
      <c r="C636" s="65"/>
      <c r="D636" s="65"/>
      <c r="E636" s="60"/>
      <c r="F636" s="60"/>
      <c r="G636" s="60"/>
      <c r="H636" s="303"/>
      <c r="I636" s="304"/>
      <c r="J636" s="305"/>
      <c r="K636" s="306"/>
      <c r="L636" s="307"/>
      <c r="M636" s="243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</row>
    <row r="637" ht="13.5" customHeight="1">
      <c r="A637" s="243"/>
      <c r="B637" s="65"/>
      <c r="C637" s="65"/>
      <c r="D637" s="65"/>
      <c r="E637" s="60"/>
      <c r="F637" s="60"/>
      <c r="G637" s="60"/>
      <c r="H637" s="303"/>
      <c r="I637" s="304"/>
      <c r="J637" s="305"/>
      <c r="K637" s="306"/>
      <c r="L637" s="307"/>
      <c r="M637" s="243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</row>
    <row r="638" ht="13.5" customHeight="1">
      <c r="A638" s="243"/>
      <c r="B638" s="65"/>
      <c r="C638" s="65"/>
      <c r="D638" s="65"/>
      <c r="E638" s="60"/>
      <c r="F638" s="60"/>
      <c r="G638" s="60"/>
      <c r="H638" s="303"/>
      <c r="I638" s="304"/>
      <c r="J638" s="305"/>
      <c r="K638" s="306"/>
      <c r="L638" s="307"/>
      <c r="M638" s="243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</row>
    <row r="639" ht="13.5" customHeight="1">
      <c r="A639" s="243"/>
      <c r="B639" s="65"/>
      <c r="C639" s="65"/>
      <c r="D639" s="65"/>
      <c r="E639" s="60"/>
      <c r="F639" s="60"/>
      <c r="G639" s="60"/>
      <c r="H639" s="303"/>
      <c r="I639" s="304"/>
      <c r="J639" s="305"/>
      <c r="K639" s="306"/>
      <c r="L639" s="307"/>
      <c r="M639" s="243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</row>
    <row r="640" ht="13.5" customHeight="1">
      <c r="A640" s="243"/>
      <c r="B640" s="65"/>
      <c r="C640" s="65"/>
      <c r="D640" s="65"/>
      <c r="E640" s="60"/>
      <c r="F640" s="60"/>
      <c r="G640" s="60"/>
      <c r="H640" s="303"/>
      <c r="I640" s="304"/>
      <c r="J640" s="305"/>
      <c r="K640" s="306"/>
      <c r="L640" s="307"/>
      <c r="M640" s="243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</row>
    <row r="641" ht="13.5" customHeight="1">
      <c r="A641" s="243"/>
      <c r="B641" s="65"/>
      <c r="C641" s="65"/>
      <c r="D641" s="65"/>
      <c r="E641" s="60"/>
      <c r="F641" s="60"/>
      <c r="G641" s="60"/>
      <c r="H641" s="303"/>
      <c r="I641" s="304"/>
      <c r="J641" s="305"/>
      <c r="K641" s="306"/>
      <c r="L641" s="307"/>
      <c r="M641" s="243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</row>
    <row r="642" ht="13.5" customHeight="1">
      <c r="A642" s="243"/>
      <c r="B642" s="65"/>
      <c r="C642" s="65"/>
      <c r="D642" s="65"/>
      <c r="E642" s="60"/>
      <c r="F642" s="60"/>
      <c r="G642" s="60"/>
      <c r="H642" s="303"/>
      <c r="I642" s="304"/>
      <c r="J642" s="305"/>
      <c r="K642" s="306"/>
      <c r="L642" s="307"/>
      <c r="M642" s="243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</row>
    <row r="643" ht="13.5" customHeight="1">
      <c r="A643" s="243"/>
      <c r="B643" s="65"/>
      <c r="C643" s="65"/>
      <c r="D643" s="65"/>
      <c r="E643" s="60"/>
      <c r="F643" s="60"/>
      <c r="G643" s="60"/>
      <c r="H643" s="303"/>
      <c r="I643" s="304"/>
      <c r="J643" s="305"/>
      <c r="K643" s="306"/>
      <c r="L643" s="307"/>
      <c r="M643" s="243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</row>
    <row r="644" ht="13.5" customHeight="1">
      <c r="A644" s="243"/>
      <c r="B644" s="65"/>
      <c r="C644" s="65"/>
      <c r="D644" s="65"/>
      <c r="E644" s="60"/>
      <c r="F644" s="60"/>
      <c r="G644" s="60"/>
      <c r="H644" s="303"/>
      <c r="I644" s="304"/>
      <c r="J644" s="305"/>
      <c r="K644" s="306"/>
      <c r="L644" s="307"/>
      <c r="M644" s="243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</row>
    <row r="645" ht="13.5" customHeight="1">
      <c r="A645" s="243"/>
      <c r="B645" s="65"/>
      <c r="C645" s="65"/>
      <c r="D645" s="65"/>
      <c r="E645" s="60"/>
      <c r="F645" s="60"/>
      <c r="G645" s="60"/>
      <c r="H645" s="303"/>
      <c r="I645" s="304"/>
      <c r="J645" s="305"/>
      <c r="K645" s="306"/>
      <c r="L645" s="307"/>
      <c r="M645" s="243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</row>
    <row r="646" ht="13.5" customHeight="1">
      <c r="A646" s="243"/>
      <c r="B646" s="65"/>
      <c r="C646" s="65"/>
      <c r="D646" s="65"/>
      <c r="E646" s="60"/>
      <c r="F646" s="60"/>
      <c r="G646" s="60"/>
      <c r="H646" s="303"/>
      <c r="I646" s="304"/>
      <c r="J646" s="305"/>
      <c r="K646" s="306"/>
      <c r="L646" s="307"/>
      <c r="M646" s="243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</row>
    <row r="647" ht="13.5" customHeight="1">
      <c r="A647" s="243"/>
      <c r="B647" s="65"/>
      <c r="C647" s="65"/>
      <c r="D647" s="65"/>
      <c r="E647" s="60"/>
      <c r="F647" s="60"/>
      <c r="G647" s="60"/>
      <c r="H647" s="303"/>
      <c r="I647" s="304"/>
      <c r="J647" s="305"/>
      <c r="K647" s="306"/>
      <c r="L647" s="307"/>
      <c r="M647" s="243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</row>
    <row r="648" ht="13.5" customHeight="1">
      <c r="A648" s="243"/>
      <c r="B648" s="65"/>
      <c r="C648" s="65"/>
      <c r="D648" s="65"/>
      <c r="E648" s="60"/>
      <c r="F648" s="60"/>
      <c r="G648" s="60"/>
      <c r="H648" s="303"/>
      <c r="I648" s="304"/>
      <c r="J648" s="305"/>
      <c r="K648" s="306"/>
      <c r="L648" s="307"/>
      <c r="M648" s="243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</row>
    <row r="649" ht="13.5" customHeight="1">
      <c r="A649" s="243"/>
      <c r="B649" s="65"/>
      <c r="C649" s="65"/>
      <c r="D649" s="65"/>
      <c r="E649" s="60"/>
      <c r="F649" s="60"/>
      <c r="G649" s="60"/>
      <c r="H649" s="303"/>
      <c r="I649" s="304"/>
      <c r="J649" s="305"/>
      <c r="K649" s="306"/>
      <c r="L649" s="307"/>
      <c r="M649" s="243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</row>
    <row r="650" ht="13.5" customHeight="1">
      <c r="A650" s="243"/>
      <c r="B650" s="65"/>
      <c r="C650" s="65"/>
      <c r="D650" s="65"/>
      <c r="E650" s="60"/>
      <c r="F650" s="60"/>
      <c r="G650" s="60"/>
      <c r="H650" s="303"/>
      <c r="I650" s="304"/>
      <c r="J650" s="305"/>
      <c r="K650" s="306"/>
      <c r="L650" s="307"/>
      <c r="M650" s="243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</row>
    <row r="651" ht="13.5" customHeight="1">
      <c r="A651" s="243"/>
      <c r="B651" s="65"/>
      <c r="C651" s="65"/>
      <c r="D651" s="65"/>
      <c r="E651" s="60"/>
      <c r="F651" s="60"/>
      <c r="G651" s="60"/>
      <c r="H651" s="303"/>
      <c r="I651" s="304"/>
      <c r="J651" s="305"/>
      <c r="K651" s="306"/>
      <c r="L651" s="307"/>
      <c r="M651" s="243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</row>
    <row r="652" ht="13.5" customHeight="1">
      <c r="A652" s="243"/>
      <c r="B652" s="65"/>
      <c r="C652" s="65"/>
      <c r="D652" s="65"/>
      <c r="E652" s="60"/>
      <c r="F652" s="60"/>
      <c r="G652" s="60"/>
      <c r="H652" s="303"/>
      <c r="I652" s="304"/>
      <c r="J652" s="305"/>
      <c r="K652" s="306"/>
      <c r="L652" s="307"/>
      <c r="M652" s="243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</row>
    <row r="653" ht="13.5" customHeight="1">
      <c r="A653" s="243"/>
      <c r="B653" s="65"/>
      <c r="C653" s="65"/>
      <c r="D653" s="65"/>
      <c r="E653" s="60"/>
      <c r="F653" s="60"/>
      <c r="G653" s="60"/>
      <c r="H653" s="303"/>
      <c r="I653" s="304"/>
      <c r="J653" s="305"/>
      <c r="K653" s="306"/>
      <c r="L653" s="307"/>
      <c r="M653" s="243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</row>
    <row r="654" ht="13.5" customHeight="1">
      <c r="A654" s="243"/>
      <c r="B654" s="65"/>
      <c r="C654" s="65"/>
      <c r="D654" s="65"/>
      <c r="E654" s="60"/>
      <c r="F654" s="60"/>
      <c r="G654" s="60"/>
      <c r="H654" s="303"/>
      <c r="I654" s="304"/>
      <c r="J654" s="305"/>
      <c r="K654" s="306"/>
      <c r="L654" s="307"/>
      <c r="M654" s="243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</row>
    <row r="655" ht="13.5" customHeight="1">
      <c r="A655" s="243"/>
      <c r="B655" s="65"/>
      <c r="C655" s="65"/>
      <c r="D655" s="65"/>
      <c r="E655" s="60"/>
      <c r="F655" s="60"/>
      <c r="G655" s="60"/>
      <c r="H655" s="303"/>
      <c r="I655" s="304"/>
      <c r="J655" s="305"/>
      <c r="K655" s="306"/>
      <c r="L655" s="307"/>
      <c r="M655" s="243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</row>
    <row r="656" ht="13.5" customHeight="1">
      <c r="A656" s="243"/>
      <c r="B656" s="65"/>
      <c r="C656" s="65"/>
      <c r="D656" s="65"/>
      <c r="E656" s="60"/>
      <c r="F656" s="60"/>
      <c r="G656" s="60"/>
      <c r="H656" s="303"/>
      <c r="I656" s="304"/>
      <c r="J656" s="305"/>
      <c r="K656" s="306"/>
      <c r="L656" s="307"/>
      <c r="M656" s="243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</row>
    <row r="657" ht="13.5" customHeight="1">
      <c r="A657" s="243"/>
      <c r="B657" s="65"/>
      <c r="C657" s="65"/>
      <c r="D657" s="65"/>
      <c r="E657" s="60"/>
      <c r="F657" s="60"/>
      <c r="G657" s="60"/>
      <c r="H657" s="303"/>
      <c r="I657" s="304"/>
      <c r="J657" s="305"/>
      <c r="K657" s="306"/>
      <c r="L657" s="307"/>
      <c r="M657" s="243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</row>
    <row r="658" ht="13.5" customHeight="1">
      <c r="A658" s="243"/>
      <c r="B658" s="65"/>
      <c r="C658" s="65"/>
      <c r="D658" s="65"/>
      <c r="E658" s="60"/>
      <c r="F658" s="60"/>
      <c r="G658" s="60"/>
      <c r="H658" s="303"/>
      <c r="I658" s="304"/>
      <c r="J658" s="305"/>
      <c r="K658" s="306"/>
      <c r="L658" s="307"/>
      <c r="M658" s="243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</row>
    <row r="659" ht="13.5" customHeight="1">
      <c r="A659" s="243"/>
      <c r="B659" s="65"/>
      <c r="C659" s="65"/>
      <c r="D659" s="65"/>
      <c r="E659" s="60"/>
      <c r="F659" s="60"/>
      <c r="G659" s="60"/>
      <c r="H659" s="303"/>
      <c r="I659" s="304"/>
      <c r="J659" s="305"/>
      <c r="K659" s="306"/>
      <c r="L659" s="307"/>
      <c r="M659" s="243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</row>
    <row r="660" ht="13.5" customHeight="1">
      <c r="A660" s="243"/>
      <c r="B660" s="65"/>
      <c r="C660" s="65"/>
      <c r="D660" s="65"/>
      <c r="E660" s="60"/>
      <c r="F660" s="60"/>
      <c r="G660" s="60"/>
      <c r="H660" s="303"/>
      <c r="I660" s="304"/>
      <c r="J660" s="305"/>
      <c r="K660" s="306"/>
      <c r="L660" s="307"/>
      <c r="M660" s="243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</row>
    <row r="661" ht="13.5" customHeight="1">
      <c r="A661" s="243"/>
      <c r="B661" s="65"/>
      <c r="C661" s="65"/>
      <c r="D661" s="65"/>
      <c r="E661" s="60"/>
      <c r="F661" s="60"/>
      <c r="G661" s="60"/>
      <c r="H661" s="303"/>
      <c r="I661" s="304"/>
      <c r="J661" s="305"/>
      <c r="K661" s="306"/>
      <c r="L661" s="307"/>
      <c r="M661" s="243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</row>
    <row r="662" ht="13.5" customHeight="1">
      <c r="A662" s="243"/>
      <c r="B662" s="65"/>
      <c r="C662" s="65"/>
      <c r="D662" s="65"/>
      <c r="E662" s="60"/>
      <c r="F662" s="60"/>
      <c r="G662" s="60"/>
      <c r="H662" s="303"/>
      <c r="I662" s="304"/>
      <c r="J662" s="305"/>
      <c r="K662" s="306"/>
      <c r="L662" s="307"/>
      <c r="M662" s="243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</row>
    <row r="663" ht="13.5" customHeight="1">
      <c r="A663" s="243"/>
      <c r="B663" s="65"/>
      <c r="C663" s="65"/>
      <c r="D663" s="65"/>
      <c r="E663" s="60"/>
      <c r="F663" s="60"/>
      <c r="G663" s="60"/>
      <c r="H663" s="303"/>
      <c r="I663" s="304"/>
      <c r="J663" s="305"/>
      <c r="K663" s="306"/>
      <c r="L663" s="307"/>
      <c r="M663" s="243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</row>
    <row r="664" ht="13.5" customHeight="1">
      <c r="A664" s="243"/>
      <c r="B664" s="65"/>
      <c r="C664" s="65"/>
      <c r="D664" s="65"/>
      <c r="E664" s="60"/>
      <c r="F664" s="60"/>
      <c r="G664" s="60"/>
      <c r="H664" s="303"/>
      <c r="I664" s="304"/>
      <c r="J664" s="305"/>
      <c r="K664" s="306"/>
      <c r="L664" s="307"/>
      <c r="M664" s="243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</row>
    <row r="665" ht="13.5" customHeight="1">
      <c r="A665" s="243"/>
      <c r="B665" s="65"/>
      <c r="C665" s="65"/>
      <c r="D665" s="65"/>
      <c r="E665" s="60"/>
      <c r="F665" s="60"/>
      <c r="G665" s="60"/>
      <c r="H665" s="303"/>
      <c r="I665" s="304"/>
      <c r="J665" s="305"/>
      <c r="K665" s="306"/>
      <c r="L665" s="307"/>
      <c r="M665" s="243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</row>
    <row r="666" ht="13.5" customHeight="1">
      <c r="A666" s="243"/>
      <c r="B666" s="65"/>
      <c r="C666" s="65"/>
      <c r="D666" s="65"/>
      <c r="E666" s="60"/>
      <c r="F666" s="60"/>
      <c r="G666" s="60"/>
      <c r="H666" s="303"/>
      <c r="I666" s="304"/>
      <c r="J666" s="305"/>
      <c r="K666" s="306"/>
      <c r="L666" s="307"/>
      <c r="M666" s="243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</row>
    <row r="667" ht="13.5" customHeight="1">
      <c r="A667" s="243"/>
      <c r="B667" s="65"/>
      <c r="C667" s="65"/>
      <c r="D667" s="65"/>
      <c r="E667" s="60"/>
      <c r="F667" s="60"/>
      <c r="G667" s="60"/>
      <c r="H667" s="303"/>
      <c r="I667" s="304"/>
      <c r="J667" s="305"/>
      <c r="K667" s="306"/>
      <c r="L667" s="307"/>
      <c r="M667" s="243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</row>
    <row r="668" ht="13.5" customHeight="1">
      <c r="A668" s="243"/>
      <c r="B668" s="65"/>
      <c r="C668" s="65"/>
      <c r="D668" s="65"/>
      <c r="E668" s="60"/>
      <c r="F668" s="60"/>
      <c r="G668" s="60"/>
      <c r="H668" s="303"/>
      <c r="I668" s="304"/>
      <c r="J668" s="305"/>
      <c r="K668" s="306"/>
      <c r="L668" s="307"/>
      <c r="M668" s="243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</row>
    <row r="669" ht="13.5" customHeight="1">
      <c r="A669" s="243"/>
      <c r="B669" s="65"/>
      <c r="C669" s="65"/>
      <c r="D669" s="65"/>
      <c r="E669" s="60"/>
      <c r="F669" s="60"/>
      <c r="G669" s="60"/>
      <c r="H669" s="303"/>
      <c r="I669" s="304"/>
      <c r="J669" s="305"/>
      <c r="K669" s="306"/>
      <c r="L669" s="307"/>
      <c r="M669" s="243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</row>
    <row r="670" ht="13.5" customHeight="1">
      <c r="A670" s="243"/>
      <c r="B670" s="65"/>
      <c r="C670" s="65"/>
      <c r="D670" s="65"/>
      <c r="E670" s="60"/>
      <c r="F670" s="60"/>
      <c r="G670" s="60"/>
      <c r="H670" s="303"/>
      <c r="I670" s="304"/>
      <c r="J670" s="305"/>
      <c r="K670" s="306"/>
      <c r="L670" s="307"/>
      <c r="M670" s="243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</row>
    <row r="671" ht="13.5" customHeight="1">
      <c r="A671" s="243"/>
      <c r="B671" s="65"/>
      <c r="C671" s="65"/>
      <c r="D671" s="65"/>
      <c r="E671" s="60"/>
      <c r="F671" s="60"/>
      <c r="G671" s="60"/>
      <c r="H671" s="303"/>
      <c r="I671" s="304"/>
      <c r="J671" s="305"/>
      <c r="K671" s="306"/>
      <c r="L671" s="307"/>
      <c r="M671" s="243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</row>
    <row r="672" ht="13.5" customHeight="1">
      <c r="A672" s="243"/>
      <c r="B672" s="65"/>
      <c r="C672" s="65"/>
      <c r="D672" s="65"/>
      <c r="E672" s="60"/>
      <c r="F672" s="60"/>
      <c r="G672" s="60"/>
      <c r="H672" s="303"/>
      <c r="I672" s="304"/>
      <c r="J672" s="305"/>
      <c r="K672" s="306"/>
      <c r="L672" s="307"/>
      <c r="M672" s="243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</row>
    <row r="673" ht="13.5" customHeight="1">
      <c r="A673" s="243"/>
      <c r="B673" s="65"/>
      <c r="C673" s="65"/>
      <c r="D673" s="65"/>
      <c r="E673" s="60"/>
      <c r="F673" s="60"/>
      <c r="G673" s="60"/>
      <c r="H673" s="303"/>
      <c r="I673" s="304"/>
      <c r="J673" s="305"/>
      <c r="K673" s="306"/>
      <c r="L673" s="307"/>
      <c r="M673" s="243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</row>
    <row r="674" ht="13.5" customHeight="1">
      <c r="A674" s="243"/>
      <c r="B674" s="65"/>
      <c r="C674" s="65"/>
      <c r="D674" s="65"/>
      <c r="E674" s="60"/>
      <c r="F674" s="60"/>
      <c r="G674" s="60"/>
      <c r="H674" s="303"/>
      <c r="I674" s="304"/>
      <c r="J674" s="305"/>
      <c r="K674" s="306"/>
      <c r="L674" s="307"/>
      <c r="M674" s="243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</row>
    <row r="675" ht="13.5" customHeight="1">
      <c r="A675" s="243"/>
      <c r="B675" s="65"/>
      <c r="C675" s="65"/>
      <c r="D675" s="65"/>
      <c r="E675" s="60"/>
      <c r="F675" s="60"/>
      <c r="G675" s="60"/>
      <c r="H675" s="303"/>
      <c r="I675" s="304"/>
      <c r="J675" s="305"/>
      <c r="K675" s="306"/>
      <c r="L675" s="307"/>
      <c r="M675" s="243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</row>
    <row r="676" ht="13.5" customHeight="1">
      <c r="A676" s="243"/>
      <c r="B676" s="65"/>
      <c r="C676" s="65"/>
      <c r="D676" s="65"/>
      <c r="E676" s="60"/>
      <c r="F676" s="60"/>
      <c r="G676" s="60"/>
      <c r="H676" s="303"/>
      <c r="I676" s="304"/>
      <c r="J676" s="305"/>
      <c r="K676" s="306"/>
      <c r="L676" s="307"/>
      <c r="M676" s="243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</row>
    <row r="677" ht="13.5" customHeight="1">
      <c r="A677" s="243"/>
      <c r="B677" s="65"/>
      <c r="C677" s="65"/>
      <c r="D677" s="65"/>
      <c r="E677" s="60"/>
      <c r="F677" s="60"/>
      <c r="G677" s="60"/>
      <c r="H677" s="303"/>
      <c r="I677" s="304"/>
      <c r="J677" s="305"/>
      <c r="K677" s="306"/>
      <c r="L677" s="307"/>
      <c r="M677" s="243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</row>
    <row r="678" ht="13.5" customHeight="1">
      <c r="A678" s="243"/>
      <c r="B678" s="65"/>
      <c r="C678" s="65"/>
      <c r="D678" s="65"/>
      <c r="E678" s="60"/>
      <c r="F678" s="60"/>
      <c r="G678" s="60"/>
      <c r="H678" s="303"/>
      <c r="I678" s="304"/>
      <c r="J678" s="305"/>
      <c r="K678" s="306"/>
      <c r="L678" s="307"/>
      <c r="M678" s="243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</row>
    <row r="679" ht="13.5" customHeight="1">
      <c r="A679" s="243"/>
      <c r="B679" s="65"/>
      <c r="C679" s="65"/>
      <c r="D679" s="65"/>
      <c r="E679" s="60"/>
      <c r="F679" s="60"/>
      <c r="G679" s="60"/>
      <c r="H679" s="303"/>
      <c r="I679" s="304"/>
      <c r="J679" s="305"/>
      <c r="K679" s="306"/>
      <c r="L679" s="307"/>
      <c r="M679" s="243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</row>
    <row r="680" ht="13.5" customHeight="1">
      <c r="A680" s="243"/>
      <c r="B680" s="65"/>
      <c r="C680" s="65"/>
      <c r="D680" s="65"/>
      <c r="E680" s="60"/>
      <c r="F680" s="60"/>
      <c r="G680" s="60"/>
      <c r="H680" s="303"/>
      <c r="I680" s="304"/>
      <c r="J680" s="305"/>
      <c r="K680" s="306"/>
      <c r="L680" s="307"/>
      <c r="M680" s="243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</row>
    <row r="681" ht="13.5" customHeight="1">
      <c r="A681" s="243"/>
      <c r="B681" s="65"/>
      <c r="C681" s="65"/>
      <c r="D681" s="65"/>
      <c r="E681" s="60"/>
      <c r="F681" s="60"/>
      <c r="G681" s="60"/>
      <c r="H681" s="303"/>
      <c r="I681" s="304"/>
      <c r="J681" s="305"/>
      <c r="K681" s="306"/>
      <c r="L681" s="307"/>
      <c r="M681" s="243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</row>
    <row r="682" ht="13.5" customHeight="1">
      <c r="A682" s="243"/>
      <c r="B682" s="65"/>
      <c r="C682" s="65"/>
      <c r="D682" s="65"/>
      <c r="E682" s="60"/>
      <c r="F682" s="60"/>
      <c r="G682" s="60"/>
      <c r="H682" s="303"/>
      <c r="I682" s="304"/>
      <c r="J682" s="305"/>
      <c r="K682" s="306"/>
      <c r="L682" s="307"/>
      <c r="M682" s="243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</row>
    <row r="683" ht="13.5" customHeight="1">
      <c r="A683" s="243"/>
      <c r="B683" s="65"/>
      <c r="C683" s="65"/>
      <c r="D683" s="65"/>
      <c r="E683" s="60"/>
      <c r="F683" s="60"/>
      <c r="G683" s="60"/>
      <c r="H683" s="303"/>
      <c r="I683" s="304"/>
      <c r="J683" s="305"/>
      <c r="K683" s="306"/>
      <c r="L683" s="307"/>
      <c r="M683" s="243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</row>
    <row r="684" ht="13.5" customHeight="1">
      <c r="A684" s="243"/>
      <c r="B684" s="65"/>
      <c r="C684" s="65"/>
      <c r="D684" s="65"/>
      <c r="E684" s="60"/>
      <c r="F684" s="60"/>
      <c r="G684" s="60"/>
      <c r="H684" s="303"/>
      <c r="I684" s="304"/>
      <c r="J684" s="305"/>
      <c r="K684" s="306"/>
      <c r="L684" s="307"/>
      <c r="M684" s="243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</row>
    <row r="685" ht="13.5" customHeight="1">
      <c r="A685" s="243"/>
      <c r="B685" s="65"/>
      <c r="C685" s="65"/>
      <c r="D685" s="65"/>
      <c r="E685" s="60"/>
      <c r="F685" s="60"/>
      <c r="G685" s="60"/>
      <c r="H685" s="303"/>
      <c r="I685" s="304"/>
      <c r="J685" s="305"/>
      <c r="K685" s="306"/>
      <c r="L685" s="307"/>
      <c r="M685" s="243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</row>
    <row r="686" ht="13.5" customHeight="1">
      <c r="A686" s="243"/>
      <c r="B686" s="65"/>
      <c r="C686" s="65"/>
      <c r="D686" s="65"/>
      <c r="E686" s="60"/>
      <c r="F686" s="60"/>
      <c r="G686" s="60"/>
      <c r="H686" s="303"/>
      <c r="I686" s="304"/>
      <c r="J686" s="305"/>
      <c r="K686" s="306"/>
      <c r="L686" s="307"/>
      <c r="M686" s="243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</row>
    <row r="687" ht="13.5" customHeight="1">
      <c r="A687" s="243"/>
      <c r="B687" s="65"/>
      <c r="C687" s="65"/>
      <c r="D687" s="65"/>
      <c r="E687" s="60"/>
      <c r="F687" s="60"/>
      <c r="G687" s="60"/>
      <c r="H687" s="303"/>
      <c r="I687" s="304"/>
      <c r="J687" s="305"/>
      <c r="K687" s="306"/>
      <c r="L687" s="307"/>
      <c r="M687" s="243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</row>
    <row r="688" ht="13.5" customHeight="1">
      <c r="A688" s="243"/>
      <c r="B688" s="65"/>
      <c r="C688" s="65"/>
      <c r="D688" s="65"/>
      <c r="E688" s="60"/>
      <c r="F688" s="60"/>
      <c r="G688" s="60"/>
      <c r="H688" s="303"/>
      <c r="I688" s="304"/>
      <c r="J688" s="305"/>
      <c r="K688" s="306"/>
      <c r="L688" s="307"/>
      <c r="M688" s="243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</row>
    <row r="689" ht="13.5" customHeight="1">
      <c r="A689" s="243"/>
      <c r="B689" s="65"/>
      <c r="C689" s="65"/>
      <c r="D689" s="65"/>
      <c r="E689" s="60"/>
      <c r="F689" s="60"/>
      <c r="G689" s="60"/>
      <c r="H689" s="303"/>
      <c r="I689" s="304"/>
      <c r="J689" s="305"/>
      <c r="K689" s="306"/>
      <c r="L689" s="307"/>
      <c r="M689" s="243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</row>
    <row r="690" ht="13.5" customHeight="1">
      <c r="A690" s="243"/>
      <c r="B690" s="65"/>
      <c r="C690" s="65"/>
      <c r="D690" s="65"/>
      <c r="E690" s="60"/>
      <c r="F690" s="60"/>
      <c r="G690" s="60"/>
      <c r="H690" s="303"/>
      <c r="I690" s="304"/>
      <c r="J690" s="305"/>
      <c r="K690" s="306"/>
      <c r="L690" s="307"/>
      <c r="M690" s="243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</row>
    <row r="691" ht="13.5" customHeight="1">
      <c r="A691" s="243"/>
      <c r="B691" s="65"/>
      <c r="C691" s="65"/>
      <c r="D691" s="65"/>
      <c r="E691" s="60"/>
      <c r="F691" s="60"/>
      <c r="G691" s="60"/>
      <c r="H691" s="303"/>
      <c r="I691" s="304"/>
      <c r="J691" s="305"/>
      <c r="K691" s="306"/>
      <c r="L691" s="307"/>
      <c r="M691" s="243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</row>
    <row r="692" ht="13.5" customHeight="1">
      <c r="A692" s="243"/>
      <c r="B692" s="65"/>
      <c r="C692" s="65"/>
      <c r="D692" s="65"/>
      <c r="E692" s="60"/>
      <c r="F692" s="60"/>
      <c r="G692" s="60"/>
      <c r="H692" s="303"/>
      <c r="I692" s="304"/>
      <c r="J692" s="305"/>
      <c r="K692" s="306"/>
      <c r="L692" s="307"/>
      <c r="M692" s="243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</row>
    <row r="693" ht="13.5" customHeight="1">
      <c r="A693" s="243"/>
      <c r="B693" s="65"/>
      <c r="C693" s="65"/>
      <c r="D693" s="65"/>
      <c r="E693" s="60"/>
      <c r="F693" s="60"/>
      <c r="G693" s="60"/>
      <c r="H693" s="303"/>
      <c r="I693" s="304"/>
      <c r="J693" s="305"/>
      <c r="K693" s="306"/>
      <c r="L693" s="307"/>
      <c r="M693" s="243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</row>
    <row r="694" ht="13.5" customHeight="1">
      <c r="A694" s="243"/>
      <c r="B694" s="65"/>
      <c r="C694" s="65"/>
      <c r="D694" s="65"/>
      <c r="E694" s="60"/>
      <c r="F694" s="60"/>
      <c r="G694" s="60"/>
      <c r="H694" s="303"/>
      <c r="I694" s="304"/>
      <c r="J694" s="305"/>
      <c r="K694" s="306"/>
      <c r="L694" s="307"/>
      <c r="M694" s="243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</row>
    <row r="695" ht="13.5" customHeight="1">
      <c r="A695" s="243"/>
      <c r="B695" s="65"/>
      <c r="C695" s="65"/>
      <c r="D695" s="65"/>
      <c r="E695" s="60"/>
      <c r="F695" s="60"/>
      <c r="G695" s="60"/>
      <c r="H695" s="303"/>
      <c r="I695" s="304"/>
      <c r="J695" s="305"/>
      <c r="K695" s="306"/>
      <c r="L695" s="307"/>
      <c r="M695" s="243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</row>
    <row r="696" ht="13.5" customHeight="1">
      <c r="A696" s="243"/>
      <c r="B696" s="65"/>
      <c r="C696" s="65"/>
      <c r="D696" s="65"/>
      <c r="E696" s="60"/>
      <c r="F696" s="60"/>
      <c r="G696" s="60"/>
      <c r="H696" s="303"/>
      <c r="I696" s="304"/>
      <c r="J696" s="305"/>
      <c r="K696" s="306"/>
      <c r="L696" s="307"/>
      <c r="M696" s="243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</row>
    <row r="697" ht="13.5" customHeight="1">
      <c r="A697" s="243"/>
      <c r="B697" s="65"/>
      <c r="C697" s="65"/>
      <c r="D697" s="65"/>
      <c r="E697" s="60"/>
      <c r="F697" s="60"/>
      <c r="G697" s="60"/>
      <c r="H697" s="303"/>
      <c r="I697" s="304"/>
      <c r="J697" s="305"/>
      <c r="K697" s="306"/>
      <c r="L697" s="307"/>
      <c r="M697" s="243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</row>
    <row r="698" ht="13.5" customHeight="1">
      <c r="A698" s="243"/>
      <c r="B698" s="65"/>
      <c r="C698" s="65"/>
      <c r="D698" s="65"/>
      <c r="E698" s="60"/>
      <c r="F698" s="60"/>
      <c r="G698" s="60"/>
      <c r="H698" s="303"/>
      <c r="I698" s="304"/>
      <c r="J698" s="305"/>
      <c r="K698" s="306"/>
      <c r="L698" s="307"/>
      <c r="M698" s="243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</row>
    <row r="699" ht="13.5" customHeight="1">
      <c r="A699" s="243"/>
      <c r="B699" s="65"/>
      <c r="C699" s="65"/>
      <c r="D699" s="65"/>
      <c r="E699" s="60"/>
      <c r="F699" s="60"/>
      <c r="G699" s="60"/>
      <c r="H699" s="303"/>
      <c r="I699" s="304"/>
      <c r="J699" s="305"/>
      <c r="K699" s="306"/>
      <c r="L699" s="307"/>
      <c r="M699" s="243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</row>
    <row r="700" ht="13.5" customHeight="1">
      <c r="A700" s="243"/>
      <c r="B700" s="65"/>
      <c r="C700" s="65"/>
      <c r="D700" s="65"/>
      <c r="E700" s="60"/>
      <c r="F700" s="60"/>
      <c r="G700" s="60"/>
      <c r="H700" s="303"/>
      <c r="I700" s="304"/>
      <c r="J700" s="305"/>
      <c r="K700" s="306"/>
      <c r="L700" s="307"/>
      <c r="M700" s="243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</row>
    <row r="701" ht="13.5" customHeight="1">
      <c r="A701" s="243"/>
      <c r="B701" s="65"/>
      <c r="C701" s="65"/>
      <c r="D701" s="65"/>
      <c r="E701" s="60"/>
      <c r="F701" s="60"/>
      <c r="G701" s="60"/>
      <c r="H701" s="303"/>
      <c r="I701" s="304"/>
      <c r="J701" s="305"/>
      <c r="K701" s="306"/>
      <c r="L701" s="307"/>
      <c r="M701" s="243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</row>
    <row r="702" ht="13.5" customHeight="1">
      <c r="A702" s="243"/>
      <c r="B702" s="65"/>
      <c r="C702" s="65"/>
      <c r="D702" s="65"/>
      <c r="E702" s="60"/>
      <c r="F702" s="60"/>
      <c r="G702" s="60"/>
      <c r="H702" s="303"/>
      <c r="I702" s="304"/>
      <c r="J702" s="305"/>
      <c r="K702" s="306"/>
      <c r="L702" s="307"/>
      <c r="M702" s="243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</row>
    <row r="703" ht="13.5" customHeight="1">
      <c r="A703" s="243"/>
      <c r="B703" s="65"/>
      <c r="C703" s="65"/>
      <c r="D703" s="65"/>
      <c r="E703" s="60"/>
      <c r="F703" s="60"/>
      <c r="G703" s="60"/>
      <c r="H703" s="303"/>
      <c r="I703" s="304"/>
      <c r="J703" s="305"/>
      <c r="K703" s="306"/>
      <c r="L703" s="307"/>
      <c r="M703" s="243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</row>
    <row r="704" ht="13.5" customHeight="1">
      <c r="A704" s="243"/>
      <c r="B704" s="65"/>
      <c r="C704" s="65"/>
      <c r="D704" s="65"/>
      <c r="E704" s="60"/>
      <c r="F704" s="60"/>
      <c r="G704" s="60"/>
      <c r="H704" s="303"/>
      <c r="I704" s="304"/>
      <c r="J704" s="305"/>
      <c r="K704" s="306"/>
      <c r="L704" s="307"/>
      <c r="M704" s="243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</row>
    <row r="705" ht="13.5" customHeight="1">
      <c r="A705" s="243"/>
      <c r="B705" s="65"/>
      <c r="C705" s="65"/>
      <c r="D705" s="65"/>
      <c r="E705" s="60"/>
      <c r="F705" s="60"/>
      <c r="G705" s="60"/>
      <c r="H705" s="303"/>
      <c r="I705" s="304"/>
      <c r="J705" s="305"/>
      <c r="K705" s="306"/>
      <c r="L705" s="307"/>
      <c r="M705" s="243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</row>
    <row r="706" ht="13.5" customHeight="1">
      <c r="A706" s="243"/>
      <c r="B706" s="65"/>
      <c r="C706" s="65"/>
      <c r="D706" s="65"/>
      <c r="E706" s="60"/>
      <c r="F706" s="60"/>
      <c r="G706" s="60"/>
      <c r="H706" s="303"/>
      <c r="I706" s="304"/>
      <c r="J706" s="305"/>
      <c r="K706" s="306"/>
      <c r="L706" s="307"/>
      <c r="M706" s="243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</row>
    <row r="707" ht="13.5" customHeight="1">
      <c r="A707" s="243"/>
      <c r="B707" s="65"/>
      <c r="C707" s="65"/>
      <c r="D707" s="65"/>
      <c r="E707" s="60"/>
      <c r="F707" s="60"/>
      <c r="G707" s="60"/>
      <c r="H707" s="303"/>
      <c r="I707" s="304"/>
      <c r="J707" s="305"/>
      <c r="K707" s="306"/>
      <c r="L707" s="307"/>
      <c r="M707" s="243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</row>
    <row r="708" ht="13.5" customHeight="1">
      <c r="A708" s="243"/>
      <c r="B708" s="65"/>
      <c r="C708" s="65"/>
      <c r="D708" s="65"/>
      <c r="E708" s="60"/>
      <c r="F708" s="60"/>
      <c r="G708" s="60"/>
      <c r="H708" s="303"/>
      <c r="I708" s="304"/>
      <c r="J708" s="305"/>
      <c r="K708" s="306"/>
      <c r="L708" s="307"/>
      <c r="M708" s="243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</row>
    <row r="709" ht="13.5" customHeight="1">
      <c r="A709" s="243"/>
      <c r="B709" s="65"/>
      <c r="C709" s="65"/>
      <c r="D709" s="65"/>
      <c r="E709" s="60"/>
      <c r="F709" s="60"/>
      <c r="G709" s="60"/>
      <c r="H709" s="303"/>
      <c r="I709" s="304"/>
      <c r="J709" s="305"/>
      <c r="K709" s="306"/>
      <c r="L709" s="307"/>
      <c r="M709" s="243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</row>
    <row r="710" ht="13.5" customHeight="1">
      <c r="A710" s="243"/>
      <c r="B710" s="65"/>
      <c r="C710" s="65"/>
      <c r="D710" s="65"/>
      <c r="E710" s="60"/>
      <c r="F710" s="60"/>
      <c r="G710" s="60"/>
      <c r="H710" s="303"/>
      <c r="I710" s="304"/>
      <c r="J710" s="305"/>
      <c r="K710" s="306"/>
      <c r="L710" s="307"/>
      <c r="M710" s="243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</row>
    <row r="711" ht="13.5" customHeight="1">
      <c r="A711" s="243"/>
      <c r="B711" s="65"/>
      <c r="C711" s="65"/>
      <c r="D711" s="65"/>
      <c r="E711" s="60"/>
      <c r="F711" s="60"/>
      <c r="G711" s="60"/>
      <c r="H711" s="303"/>
      <c r="I711" s="304"/>
      <c r="J711" s="305"/>
      <c r="K711" s="306"/>
      <c r="L711" s="307"/>
      <c r="M711" s="243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</row>
    <row r="712" ht="13.5" customHeight="1">
      <c r="A712" s="243"/>
      <c r="B712" s="65"/>
      <c r="C712" s="65"/>
      <c r="D712" s="65"/>
      <c r="E712" s="60"/>
      <c r="F712" s="60"/>
      <c r="G712" s="60"/>
      <c r="H712" s="303"/>
      <c r="I712" s="304"/>
      <c r="J712" s="305"/>
      <c r="K712" s="306"/>
      <c r="L712" s="307"/>
      <c r="M712" s="243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</row>
    <row r="713" ht="13.5" customHeight="1">
      <c r="A713" s="243"/>
      <c r="B713" s="65"/>
      <c r="C713" s="65"/>
      <c r="D713" s="65"/>
      <c r="E713" s="60"/>
      <c r="F713" s="60"/>
      <c r="G713" s="60"/>
      <c r="H713" s="303"/>
      <c r="I713" s="304"/>
      <c r="J713" s="305"/>
      <c r="K713" s="306"/>
      <c r="L713" s="307"/>
      <c r="M713" s="243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</row>
    <row r="714" ht="13.5" customHeight="1">
      <c r="A714" s="243"/>
      <c r="B714" s="65"/>
      <c r="C714" s="65"/>
      <c r="D714" s="65"/>
      <c r="E714" s="60"/>
      <c r="F714" s="60"/>
      <c r="G714" s="60"/>
      <c r="H714" s="303"/>
      <c r="I714" s="304"/>
      <c r="J714" s="305"/>
      <c r="K714" s="306"/>
      <c r="L714" s="307"/>
      <c r="M714" s="243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</row>
    <row r="715" ht="13.5" customHeight="1">
      <c r="A715" s="243"/>
      <c r="B715" s="65"/>
      <c r="C715" s="65"/>
      <c r="D715" s="65"/>
      <c r="E715" s="60"/>
      <c r="F715" s="60"/>
      <c r="G715" s="60"/>
      <c r="H715" s="303"/>
      <c r="I715" s="304"/>
      <c r="J715" s="305"/>
      <c r="K715" s="306"/>
      <c r="L715" s="307"/>
      <c r="M715" s="243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</row>
    <row r="716" ht="13.5" customHeight="1">
      <c r="A716" s="243"/>
      <c r="B716" s="65"/>
      <c r="C716" s="65"/>
      <c r="D716" s="65"/>
      <c r="E716" s="60"/>
      <c r="F716" s="60"/>
      <c r="G716" s="60"/>
      <c r="H716" s="303"/>
      <c r="I716" s="304"/>
      <c r="J716" s="305"/>
      <c r="K716" s="306"/>
      <c r="L716" s="307"/>
      <c r="M716" s="243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</row>
    <row r="717" ht="13.5" customHeight="1">
      <c r="A717" s="243"/>
      <c r="B717" s="65"/>
      <c r="C717" s="65"/>
      <c r="D717" s="65"/>
      <c r="E717" s="60"/>
      <c r="F717" s="60"/>
      <c r="G717" s="60"/>
      <c r="H717" s="303"/>
      <c r="I717" s="304"/>
      <c r="J717" s="305"/>
      <c r="K717" s="306"/>
      <c r="L717" s="307"/>
      <c r="M717" s="243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</row>
    <row r="718" ht="13.5" customHeight="1">
      <c r="A718" s="243"/>
      <c r="B718" s="65"/>
      <c r="C718" s="65"/>
      <c r="D718" s="65"/>
      <c r="E718" s="60"/>
      <c r="F718" s="60"/>
      <c r="G718" s="60"/>
      <c r="H718" s="303"/>
      <c r="I718" s="304"/>
      <c r="J718" s="305"/>
      <c r="K718" s="306"/>
      <c r="L718" s="307"/>
      <c r="M718" s="243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</row>
    <row r="719" ht="13.5" customHeight="1">
      <c r="A719" s="243"/>
      <c r="B719" s="65"/>
      <c r="C719" s="65"/>
      <c r="D719" s="65"/>
      <c r="E719" s="60"/>
      <c r="F719" s="60"/>
      <c r="G719" s="60"/>
      <c r="H719" s="303"/>
      <c r="I719" s="304"/>
      <c r="J719" s="305"/>
      <c r="K719" s="306"/>
      <c r="L719" s="307"/>
      <c r="M719" s="243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</row>
    <row r="720" ht="13.5" customHeight="1">
      <c r="A720" s="243"/>
      <c r="B720" s="65"/>
      <c r="C720" s="65"/>
      <c r="D720" s="65"/>
      <c r="E720" s="60"/>
      <c r="F720" s="60"/>
      <c r="G720" s="60"/>
      <c r="H720" s="303"/>
      <c r="I720" s="304"/>
      <c r="J720" s="305"/>
      <c r="K720" s="306"/>
      <c r="L720" s="307"/>
      <c r="M720" s="243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</row>
    <row r="721" ht="13.5" customHeight="1">
      <c r="A721" s="243"/>
      <c r="B721" s="65"/>
      <c r="C721" s="65"/>
      <c r="D721" s="65"/>
      <c r="E721" s="60"/>
      <c r="F721" s="60"/>
      <c r="G721" s="60"/>
      <c r="H721" s="303"/>
      <c r="I721" s="304"/>
      <c r="J721" s="305"/>
      <c r="K721" s="306"/>
      <c r="L721" s="307"/>
      <c r="M721" s="243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</row>
    <row r="722" ht="13.5" customHeight="1">
      <c r="A722" s="243"/>
      <c r="B722" s="65"/>
      <c r="C722" s="65"/>
      <c r="D722" s="65"/>
      <c r="E722" s="60"/>
      <c r="F722" s="60"/>
      <c r="G722" s="60"/>
      <c r="H722" s="303"/>
      <c r="I722" s="304"/>
      <c r="J722" s="305"/>
      <c r="K722" s="306"/>
      <c r="L722" s="307"/>
      <c r="M722" s="243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</row>
    <row r="723" ht="13.5" customHeight="1">
      <c r="A723" s="243"/>
      <c r="B723" s="65"/>
      <c r="C723" s="65"/>
      <c r="D723" s="65"/>
      <c r="E723" s="60"/>
      <c r="F723" s="60"/>
      <c r="G723" s="60"/>
      <c r="H723" s="303"/>
      <c r="I723" s="304"/>
      <c r="J723" s="305"/>
      <c r="K723" s="306"/>
      <c r="L723" s="307"/>
      <c r="M723" s="243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</row>
    <row r="724" ht="13.5" customHeight="1">
      <c r="A724" s="243"/>
      <c r="B724" s="65"/>
      <c r="C724" s="65"/>
      <c r="D724" s="65"/>
      <c r="E724" s="60"/>
      <c r="F724" s="60"/>
      <c r="G724" s="60"/>
      <c r="H724" s="303"/>
      <c r="I724" s="304"/>
      <c r="J724" s="305"/>
      <c r="K724" s="306"/>
      <c r="L724" s="307"/>
      <c r="M724" s="243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</row>
    <row r="725" ht="13.5" customHeight="1">
      <c r="A725" s="243"/>
      <c r="B725" s="65"/>
      <c r="C725" s="65"/>
      <c r="D725" s="65"/>
      <c r="E725" s="60"/>
      <c r="F725" s="60"/>
      <c r="G725" s="60"/>
      <c r="H725" s="303"/>
      <c r="I725" s="304"/>
      <c r="J725" s="305"/>
      <c r="K725" s="306"/>
      <c r="L725" s="307"/>
      <c r="M725" s="243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</row>
    <row r="726" ht="13.5" customHeight="1">
      <c r="A726" s="243"/>
      <c r="B726" s="65"/>
      <c r="C726" s="65"/>
      <c r="D726" s="65"/>
      <c r="E726" s="60"/>
      <c r="F726" s="60"/>
      <c r="G726" s="60"/>
      <c r="H726" s="303"/>
      <c r="I726" s="304"/>
      <c r="J726" s="305"/>
      <c r="K726" s="306"/>
      <c r="L726" s="307"/>
      <c r="M726" s="243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</row>
    <row r="727" ht="13.5" customHeight="1">
      <c r="A727" s="243"/>
      <c r="B727" s="65"/>
      <c r="C727" s="65"/>
      <c r="D727" s="65"/>
      <c r="E727" s="60"/>
      <c r="F727" s="60"/>
      <c r="G727" s="60"/>
      <c r="H727" s="303"/>
      <c r="I727" s="304"/>
      <c r="J727" s="305"/>
      <c r="K727" s="306"/>
      <c r="L727" s="307"/>
      <c r="M727" s="243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</row>
    <row r="728" ht="13.5" customHeight="1">
      <c r="A728" s="243"/>
      <c r="B728" s="65"/>
      <c r="C728" s="65"/>
      <c r="D728" s="65"/>
      <c r="E728" s="60"/>
      <c r="F728" s="60"/>
      <c r="G728" s="60"/>
      <c r="H728" s="303"/>
      <c r="I728" s="304"/>
      <c r="J728" s="305"/>
      <c r="K728" s="306"/>
      <c r="L728" s="307"/>
      <c r="M728" s="243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</row>
    <row r="729" ht="13.5" customHeight="1">
      <c r="A729" s="243"/>
      <c r="B729" s="65"/>
      <c r="C729" s="65"/>
      <c r="D729" s="65"/>
      <c r="E729" s="60"/>
      <c r="F729" s="60"/>
      <c r="G729" s="60"/>
      <c r="H729" s="303"/>
      <c r="I729" s="304"/>
      <c r="J729" s="305"/>
      <c r="K729" s="306"/>
      <c r="L729" s="307"/>
      <c r="M729" s="243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</row>
    <row r="730" ht="13.5" customHeight="1">
      <c r="A730" s="243"/>
      <c r="B730" s="65"/>
      <c r="C730" s="65"/>
      <c r="D730" s="65"/>
      <c r="E730" s="60"/>
      <c r="F730" s="60"/>
      <c r="G730" s="60"/>
      <c r="H730" s="303"/>
      <c r="I730" s="304"/>
      <c r="J730" s="305"/>
      <c r="K730" s="306"/>
      <c r="L730" s="307"/>
      <c r="M730" s="243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</row>
    <row r="731" ht="13.5" customHeight="1">
      <c r="A731" s="243"/>
      <c r="B731" s="65"/>
      <c r="C731" s="65"/>
      <c r="D731" s="65"/>
      <c r="E731" s="60"/>
      <c r="F731" s="60"/>
      <c r="G731" s="60"/>
      <c r="H731" s="303"/>
      <c r="I731" s="304"/>
      <c r="J731" s="305"/>
      <c r="K731" s="306"/>
      <c r="L731" s="307"/>
      <c r="M731" s="243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</row>
    <row r="732" ht="13.5" customHeight="1">
      <c r="A732" s="243"/>
      <c r="B732" s="65"/>
      <c r="C732" s="65"/>
      <c r="D732" s="65"/>
      <c r="E732" s="60"/>
      <c r="F732" s="60"/>
      <c r="G732" s="60"/>
      <c r="H732" s="303"/>
      <c r="I732" s="304"/>
      <c r="J732" s="305"/>
      <c r="K732" s="306"/>
      <c r="L732" s="307"/>
      <c r="M732" s="243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</row>
    <row r="733" ht="13.5" customHeight="1">
      <c r="A733" s="243"/>
      <c r="B733" s="65"/>
      <c r="C733" s="65"/>
      <c r="D733" s="65"/>
      <c r="E733" s="60"/>
      <c r="F733" s="60"/>
      <c r="G733" s="60"/>
      <c r="H733" s="303"/>
      <c r="I733" s="304"/>
      <c r="J733" s="305"/>
      <c r="K733" s="306"/>
      <c r="L733" s="307"/>
      <c r="M733" s="243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</row>
    <row r="734" ht="13.5" customHeight="1">
      <c r="A734" s="243"/>
      <c r="B734" s="65"/>
      <c r="C734" s="65"/>
      <c r="D734" s="65"/>
      <c r="E734" s="60"/>
      <c r="F734" s="60"/>
      <c r="G734" s="60"/>
      <c r="H734" s="303"/>
      <c r="I734" s="304"/>
      <c r="J734" s="305"/>
      <c r="K734" s="306"/>
      <c r="L734" s="307"/>
      <c r="M734" s="243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</row>
    <row r="735" ht="13.5" customHeight="1">
      <c r="A735" s="243"/>
      <c r="B735" s="65"/>
      <c r="C735" s="65"/>
      <c r="D735" s="65"/>
      <c r="E735" s="60"/>
      <c r="F735" s="60"/>
      <c r="G735" s="60"/>
      <c r="H735" s="303"/>
      <c r="I735" s="304"/>
      <c r="J735" s="305"/>
      <c r="K735" s="306"/>
      <c r="L735" s="307"/>
      <c r="M735" s="243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</row>
    <row r="736" ht="13.5" customHeight="1">
      <c r="A736" s="243"/>
      <c r="B736" s="65"/>
      <c r="C736" s="65"/>
      <c r="D736" s="65"/>
      <c r="E736" s="60"/>
      <c r="F736" s="60"/>
      <c r="G736" s="60"/>
      <c r="H736" s="303"/>
      <c r="I736" s="304"/>
      <c r="J736" s="305"/>
      <c r="K736" s="306"/>
      <c r="L736" s="307"/>
      <c r="M736" s="243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</row>
    <row r="737" ht="13.5" customHeight="1">
      <c r="A737" s="243"/>
      <c r="B737" s="65"/>
      <c r="C737" s="65"/>
      <c r="D737" s="65"/>
      <c r="E737" s="60"/>
      <c r="F737" s="60"/>
      <c r="G737" s="60"/>
      <c r="H737" s="303"/>
      <c r="I737" s="304"/>
      <c r="J737" s="305"/>
      <c r="K737" s="306"/>
      <c r="L737" s="307"/>
      <c r="M737" s="243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</row>
    <row r="738" ht="13.5" customHeight="1">
      <c r="A738" s="243"/>
      <c r="B738" s="65"/>
      <c r="C738" s="65"/>
      <c r="D738" s="65"/>
      <c r="E738" s="60"/>
      <c r="F738" s="60"/>
      <c r="G738" s="60"/>
      <c r="H738" s="303"/>
      <c r="I738" s="304"/>
      <c r="J738" s="305"/>
      <c r="K738" s="306"/>
      <c r="L738" s="307"/>
      <c r="M738" s="243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</row>
    <row r="739" ht="13.5" customHeight="1">
      <c r="A739" s="243"/>
      <c r="B739" s="65"/>
      <c r="C739" s="65"/>
      <c r="D739" s="65"/>
      <c r="E739" s="60"/>
      <c r="F739" s="60"/>
      <c r="G739" s="60"/>
      <c r="H739" s="303"/>
      <c r="I739" s="304"/>
      <c r="J739" s="305"/>
      <c r="K739" s="306"/>
      <c r="L739" s="307"/>
      <c r="M739" s="243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</row>
    <row r="740" ht="13.5" customHeight="1">
      <c r="A740" s="243"/>
      <c r="B740" s="65"/>
      <c r="C740" s="65"/>
      <c r="D740" s="65"/>
      <c r="E740" s="60"/>
      <c r="F740" s="60"/>
      <c r="G740" s="60"/>
      <c r="H740" s="303"/>
      <c r="I740" s="304"/>
      <c r="J740" s="305"/>
      <c r="K740" s="306"/>
      <c r="L740" s="307"/>
      <c r="M740" s="243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</row>
    <row r="741" ht="13.5" customHeight="1">
      <c r="A741" s="243"/>
      <c r="B741" s="65"/>
      <c r="C741" s="65"/>
      <c r="D741" s="65"/>
      <c r="E741" s="60"/>
      <c r="F741" s="60"/>
      <c r="G741" s="60"/>
      <c r="H741" s="303"/>
      <c r="I741" s="304"/>
      <c r="J741" s="305"/>
      <c r="K741" s="306"/>
      <c r="L741" s="307"/>
      <c r="M741" s="243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</row>
    <row r="742" ht="13.5" customHeight="1">
      <c r="A742" s="243"/>
      <c r="B742" s="65"/>
      <c r="C742" s="65"/>
      <c r="D742" s="65"/>
      <c r="E742" s="60"/>
      <c r="F742" s="60"/>
      <c r="G742" s="60"/>
      <c r="H742" s="303"/>
      <c r="I742" s="304"/>
      <c r="J742" s="305"/>
      <c r="K742" s="306"/>
      <c r="L742" s="307"/>
      <c r="M742" s="243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</row>
    <row r="743" ht="13.5" customHeight="1">
      <c r="A743" s="243"/>
      <c r="B743" s="65"/>
      <c r="C743" s="65"/>
      <c r="D743" s="65"/>
      <c r="E743" s="60"/>
      <c r="F743" s="60"/>
      <c r="G743" s="60"/>
      <c r="H743" s="303"/>
      <c r="I743" s="304"/>
      <c r="J743" s="305"/>
      <c r="K743" s="306"/>
      <c r="L743" s="307"/>
      <c r="M743" s="243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</row>
    <row r="744" ht="13.5" customHeight="1">
      <c r="A744" s="243"/>
      <c r="B744" s="65"/>
      <c r="C744" s="65"/>
      <c r="D744" s="65"/>
      <c r="E744" s="60"/>
      <c r="F744" s="60"/>
      <c r="G744" s="60"/>
      <c r="H744" s="303"/>
      <c r="I744" s="304"/>
      <c r="J744" s="305"/>
      <c r="K744" s="306"/>
      <c r="L744" s="307"/>
      <c r="M744" s="243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</row>
    <row r="745" ht="13.5" customHeight="1">
      <c r="A745" s="243"/>
      <c r="B745" s="65"/>
      <c r="C745" s="65"/>
      <c r="D745" s="65"/>
      <c r="E745" s="60"/>
      <c r="F745" s="60"/>
      <c r="G745" s="60"/>
      <c r="H745" s="303"/>
      <c r="I745" s="304"/>
      <c r="J745" s="305"/>
      <c r="K745" s="306"/>
      <c r="L745" s="307"/>
      <c r="M745" s="243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</row>
    <row r="746" ht="13.5" customHeight="1">
      <c r="A746" s="243"/>
      <c r="B746" s="65"/>
      <c r="C746" s="65"/>
      <c r="D746" s="65"/>
      <c r="E746" s="60"/>
      <c r="F746" s="60"/>
      <c r="G746" s="60"/>
      <c r="H746" s="303"/>
      <c r="I746" s="304"/>
      <c r="J746" s="305"/>
      <c r="K746" s="306"/>
      <c r="L746" s="307"/>
      <c r="M746" s="243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</row>
    <row r="747" ht="13.5" customHeight="1">
      <c r="A747" s="243"/>
      <c r="B747" s="65"/>
      <c r="C747" s="65"/>
      <c r="D747" s="65"/>
      <c r="E747" s="60"/>
      <c r="F747" s="60"/>
      <c r="G747" s="60"/>
      <c r="H747" s="303"/>
      <c r="I747" s="304"/>
      <c r="J747" s="305"/>
      <c r="K747" s="306"/>
      <c r="L747" s="307"/>
      <c r="M747" s="243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</row>
    <row r="748" ht="13.5" customHeight="1">
      <c r="A748" s="243"/>
      <c r="B748" s="65"/>
      <c r="C748" s="65"/>
      <c r="D748" s="65"/>
      <c r="E748" s="60"/>
      <c r="F748" s="60"/>
      <c r="G748" s="60"/>
      <c r="H748" s="303"/>
      <c r="I748" s="304"/>
      <c r="J748" s="305"/>
      <c r="K748" s="306"/>
      <c r="L748" s="307"/>
      <c r="M748" s="243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</row>
    <row r="749" ht="13.5" customHeight="1">
      <c r="A749" s="243"/>
      <c r="B749" s="65"/>
      <c r="C749" s="65"/>
      <c r="D749" s="65"/>
      <c r="E749" s="60"/>
      <c r="F749" s="60"/>
      <c r="G749" s="60"/>
      <c r="H749" s="303"/>
      <c r="I749" s="304"/>
      <c r="J749" s="305"/>
      <c r="K749" s="306"/>
      <c r="L749" s="307"/>
      <c r="M749" s="243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</row>
    <row r="750" ht="13.5" customHeight="1">
      <c r="A750" s="243"/>
      <c r="B750" s="65"/>
      <c r="C750" s="65"/>
      <c r="D750" s="65"/>
      <c r="E750" s="60"/>
      <c r="F750" s="60"/>
      <c r="G750" s="60"/>
      <c r="H750" s="303"/>
      <c r="I750" s="304"/>
      <c r="J750" s="305"/>
      <c r="K750" s="306"/>
      <c r="L750" s="307"/>
      <c r="M750" s="243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</row>
    <row r="751" ht="13.5" customHeight="1">
      <c r="A751" s="243"/>
      <c r="B751" s="65"/>
      <c r="C751" s="65"/>
      <c r="D751" s="65"/>
      <c r="E751" s="60"/>
      <c r="F751" s="60"/>
      <c r="G751" s="60"/>
      <c r="H751" s="303"/>
      <c r="I751" s="304"/>
      <c r="J751" s="305"/>
      <c r="K751" s="306"/>
      <c r="L751" s="307"/>
      <c r="M751" s="243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</row>
    <row r="752" ht="13.5" customHeight="1">
      <c r="A752" s="243"/>
      <c r="B752" s="65"/>
      <c r="C752" s="65"/>
      <c r="D752" s="65"/>
      <c r="E752" s="60"/>
      <c r="F752" s="60"/>
      <c r="G752" s="60"/>
      <c r="H752" s="303"/>
      <c r="I752" s="304"/>
      <c r="J752" s="305"/>
      <c r="K752" s="306"/>
      <c r="L752" s="307"/>
      <c r="M752" s="243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</row>
    <row r="753" ht="13.5" customHeight="1">
      <c r="A753" s="243"/>
      <c r="B753" s="65"/>
      <c r="C753" s="65"/>
      <c r="D753" s="65"/>
      <c r="E753" s="60"/>
      <c r="F753" s="60"/>
      <c r="G753" s="60"/>
      <c r="H753" s="303"/>
      <c r="I753" s="304"/>
      <c r="J753" s="305"/>
      <c r="K753" s="306"/>
      <c r="L753" s="307"/>
      <c r="M753" s="243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</row>
    <row r="754" ht="13.5" customHeight="1">
      <c r="A754" s="243"/>
      <c r="B754" s="65"/>
      <c r="C754" s="65"/>
      <c r="D754" s="65"/>
      <c r="E754" s="60"/>
      <c r="F754" s="60"/>
      <c r="G754" s="60"/>
      <c r="H754" s="303"/>
      <c r="I754" s="304"/>
      <c r="J754" s="305"/>
      <c r="K754" s="306"/>
      <c r="L754" s="307"/>
      <c r="M754" s="243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</row>
    <row r="755" ht="13.5" customHeight="1">
      <c r="A755" s="243"/>
      <c r="B755" s="65"/>
      <c r="C755" s="65"/>
      <c r="D755" s="65"/>
      <c r="E755" s="60"/>
      <c r="F755" s="60"/>
      <c r="G755" s="60"/>
      <c r="H755" s="303"/>
      <c r="I755" s="304"/>
      <c r="J755" s="305"/>
      <c r="K755" s="306"/>
      <c r="L755" s="307"/>
      <c r="M755" s="243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</row>
    <row r="756" ht="13.5" customHeight="1">
      <c r="A756" s="243"/>
      <c r="B756" s="65"/>
      <c r="C756" s="65"/>
      <c r="D756" s="65"/>
      <c r="E756" s="60"/>
      <c r="F756" s="60"/>
      <c r="G756" s="60"/>
      <c r="H756" s="303"/>
      <c r="I756" s="304"/>
      <c r="J756" s="305"/>
      <c r="K756" s="306"/>
      <c r="L756" s="307"/>
      <c r="M756" s="243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</row>
    <row r="757" ht="13.5" customHeight="1">
      <c r="A757" s="243"/>
      <c r="B757" s="65"/>
      <c r="C757" s="65"/>
      <c r="D757" s="65"/>
      <c r="E757" s="60"/>
      <c r="F757" s="60"/>
      <c r="G757" s="60"/>
      <c r="H757" s="303"/>
      <c r="I757" s="304"/>
      <c r="J757" s="305"/>
      <c r="K757" s="306"/>
      <c r="L757" s="307"/>
      <c r="M757" s="243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</row>
    <row r="758" ht="13.5" customHeight="1">
      <c r="A758" s="243"/>
      <c r="B758" s="65"/>
      <c r="C758" s="65"/>
      <c r="D758" s="65"/>
      <c r="E758" s="60"/>
      <c r="F758" s="60"/>
      <c r="G758" s="60"/>
      <c r="H758" s="303"/>
      <c r="I758" s="304"/>
      <c r="J758" s="305"/>
      <c r="K758" s="306"/>
      <c r="L758" s="307"/>
      <c r="M758" s="243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</row>
    <row r="759" ht="13.5" customHeight="1">
      <c r="A759" s="243"/>
      <c r="B759" s="65"/>
      <c r="C759" s="65"/>
      <c r="D759" s="65"/>
      <c r="E759" s="60"/>
      <c r="F759" s="60"/>
      <c r="G759" s="60"/>
      <c r="H759" s="303"/>
      <c r="I759" s="304"/>
      <c r="J759" s="305"/>
      <c r="K759" s="306"/>
      <c r="L759" s="307"/>
      <c r="M759" s="243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</row>
    <row r="760" ht="13.5" customHeight="1">
      <c r="A760" s="243"/>
      <c r="B760" s="65"/>
      <c r="C760" s="65"/>
      <c r="D760" s="65"/>
      <c r="E760" s="60"/>
      <c r="F760" s="60"/>
      <c r="G760" s="60"/>
      <c r="H760" s="303"/>
      <c r="I760" s="304"/>
      <c r="J760" s="305"/>
      <c r="K760" s="306"/>
      <c r="L760" s="307"/>
      <c r="M760" s="243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</row>
    <row r="761" ht="13.5" customHeight="1">
      <c r="A761" s="243"/>
      <c r="B761" s="65"/>
      <c r="C761" s="65"/>
      <c r="D761" s="65"/>
      <c r="E761" s="60"/>
      <c r="F761" s="60"/>
      <c r="G761" s="60"/>
      <c r="H761" s="303"/>
      <c r="I761" s="304"/>
      <c r="J761" s="305"/>
      <c r="K761" s="306"/>
      <c r="L761" s="307"/>
      <c r="M761" s="243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</row>
    <row r="762" ht="13.5" customHeight="1">
      <c r="A762" s="243"/>
      <c r="B762" s="65"/>
      <c r="C762" s="65"/>
      <c r="D762" s="65"/>
      <c r="E762" s="60"/>
      <c r="F762" s="60"/>
      <c r="G762" s="60"/>
      <c r="H762" s="303"/>
      <c r="I762" s="304"/>
      <c r="J762" s="305"/>
      <c r="K762" s="306"/>
      <c r="L762" s="307"/>
      <c r="M762" s="243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</row>
    <row r="763" ht="13.5" customHeight="1">
      <c r="A763" s="243"/>
      <c r="B763" s="65"/>
      <c r="C763" s="65"/>
      <c r="D763" s="65"/>
      <c r="E763" s="60"/>
      <c r="F763" s="60"/>
      <c r="G763" s="60"/>
      <c r="H763" s="303"/>
      <c r="I763" s="304"/>
      <c r="J763" s="305"/>
      <c r="K763" s="306"/>
      <c r="L763" s="307"/>
      <c r="M763" s="243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</row>
    <row r="764" ht="13.5" customHeight="1">
      <c r="A764" s="243"/>
      <c r="B764" s="65"/>
      <c r="C764" s="65"/>
      <c r="D764" s="65"/>
      <c r="E764" s="60"/>
      <c r="F764" s="60"/>
      <c r="G764" s="60"/>
      <c r="H764" s="303"/>
      <c r="I764" s="304"/>
      <c r="J764" s="305"/>
      <c r="K764" s="306"/>
      <c r="L764" s="307"/>
      <c r="M764" s="243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</row>
    <row r="765" ht="13.5" customHeight="1">
      <c r="A765" s="243"/>
      <c r="B765" s="65"/>
      <c r="C765" s="65"/>
      <c r="D765" s="65"/>
      <c r="E765" s="60"/>
      <c r="F765" s="60"/>
      <c r="G765" s="60"/>
      <c r="H765" s="303"/>
      <c r="I765" s="304"/>
      <c r="J765" s="305"/>
      <c r="K765" s="306"/>
      <c r="L765" s="307"/>
      <c r="M765" s="243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</row>
    <row r="766" ht="13.5" customHeight="1">
      <c r="A766" s="243"/>
      <c r="B766" s="65"/>
      <c r="C766" s="65"/>
      <c r="D766" s="65"/>
      <c r="E766" s="60"/>
      <c r="F766" s="60"/>
      <c r="G766" s="60"/>
      <c r="H766" s="303"/>
      <c r="I766" s="304"/>
      <c r="J766" s="305"/>
      <c r="K766" s="306"/>
      <c r="L766" s="307"/>
      <c r="M766" s="243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</row>
    <row r="767" ht="13.5" customHeight="1">
      <c r="A767" s="243"/>
      <c r="B767" s="65"/>
      <c r="C767" s="65"/>
      <c r="D767" s="65"/>
      <c r="E767" s="60"/>
      <c r="F767" s="60"/>
      <c r="G767" s="60"/>
      <c r="H767" s="303"/>
      <c r="I767" s="304"/>
      <c r="J767" s="305"/>
      <c r="K767" s="306"/>
      <c r="L767" s="307"/>
      <c r="M767" s="243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</row>
    <row r="768" ht="13.5" customHeight="1">
      <c r="A768" s="243"/>
      <c r="B768" s="65"/>
      <c r="C768" s="65"/>
      <c r="D768" s="65"/>
      <c r="E768" s="60"/>
      <c r="F768" s="60"/>
      <c r="G768" s="60"/>
      <c r="H768" s="303"/>
      <c r="I768" s="304"/>
      <c r="J768" s="305"/>
      <c r="K768" s="306"/>
      <c r="L768" s="307"/>
      <c r="M768" s="243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</row>
    <row r="769" ht="13.5" customHeight="1">
      <c r="A769" s="243"/>
      <c r="B769" s="65"/>
      <c r="C769" s="65"/>
      <c r="D769" s="65"/>
      <c r="E769" s="60"/>
      <c r="F769" s="60"/>
      <c r="G769" s="60"/>
      <c r="H769" s="303"/>
      <c r="I769" s="304"/>
      <c r="J769" s="305"/>
      <c r="K769" s="306"/>
      <c r="L769" s="307"/>
      <c r="M769" s="243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</row>
    <row r="770" ht="13.5" customHeight="1">
      <c r="A770" s="243"/>
      <c r="B770" s="65"/>
      <c r="C770" s="65"/>
      <c r="D770" s="65"/>
      <c r="E770" s="60"/>
      <c r="F770" s="60"/>
      <c r="G770" s="60"/>
      <c r="H770" s="303"/>
      <c r="I770" s="304"/>
      <c r="J770" s="305"/>
      <c r="K770" s="306"/>
      <c r="L770" s="307"/>
      <c r="M770" s="243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</row>
    <row r="771" ht="13.5" customHeight="1">
      <c r="A771" s="243"/>
      <c r="B771" s="65"/>
      <c r="C771" s="65"/>
      <c r="D771" s="65"/>
      <c r="E771" s="60"/>
      <c r="F771" s="60"/>
      <c r="G771" s="60"/>
      <c r="H771" s="303"/>
      <c r="I771" s="304"/>
      <c r="J771" s="305"/>
      <c r="K771" s="306"/>
      <c r="L771" s="307"/>
      <c r="M771" s="243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</row>
    <row r="772" ht="13.5" customHeight="1">
      <c r="A772" s="243"/>
      <c r="B772" s="65"/>
      <c r="C772" s="65"/>
      <c r="D772" s="65"/>
      <c r="E772" s="60"/>
      <c r="F772" s="60"/>
      <c r="G772" s="60"/>
      <c r="H772" s="303"/>
      <c r="I772" s="304"/>
      <c r="J772" s="305"/>
      <c r="K772" s="306"/>
      <c r="L772" s="307"/>
      <c r="M772" s="243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</row>
    <row r="773" ht="13.5" customHeight="1">
      <c r="A773" s="243"/>
      <c r="B773" s="65"/>
      <c r="C773" s="65"/>
      <c r="D773" s="65"/>
      <c r="E773" s="60"/>
      <c r="F773" s="60"/>
      <c r="G773" s="60"/>
      <c r="H773" s="303"/>
      <c r="I773" s="304"/>
      <c r="J773" s="305"/>
      <c r="K773" s="306"/>
      <c r="L773" s="307"/>
      <c r="M773" s="243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</row>
    <row r="774" ht="13.5" customHeight="1">
      <c r="A774" s="243"/>
      <c r="B774" s="65"/>
      <c r="C774" s="65"/>
      <c r="D774" s="65"/>
      <c r="E774" s="60"/>
      <c r="F774" s="60"/>
      <c r="G774" s="60"/>
      <c r="H774" s="303"/>
      <c r="I774" s="304"/>
      <c r="J774" s="305"/>
      <c r="K774" s="306"/>
      <c r="L774" s="307"/>
      <c r="M774" s="243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</row>
    <row r="775" ht="13.5" customHeight="1">
      <c r="A775" s="243"/>
      <c r="B775" s="65"/>
      <c r="C775" s="65"/>
      <c r="D775" s="65"/>
      <c r="E775" s="60"/>
      <c r="F775" s="60"/>
      <c r="G775" s="60"/>
      <c r="H775" s="303"/>
      <c r="I775" s="304"/>
      <c r="J775" s="305"/>
      <c r="K775" s="306"/>
      <c r="L775" s="307"/>
      <c r="M775" s="243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</row>
    <row r="776" ht="13.5" customHeight="1">
      <c r="A776" s="243"/>
      <c r="B776" s="65"/>
      <c r="C776" s="65"/>
      <c r="D776" s="65"/>
      <c r="E776" s="60"/>
      <c r="F776" s="60"/>
      <c r="G776" s="60"/>
      <c r="H776" s="303"/>
      <c r="I776" s="304"/>
      <c r="J776" s="305"/>
      <c r="K776" s="306"/>
      <c r="L776" s="307"/>
      <c r="M776" s="243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</row>
    <row r="777" ht="13.5" customHeight="1">
      <c r="A777" s="243"/>
      <c r="B777" s="65"/>
      <c r="C777" s="65"/>
      <c r="D777" s="65"/>
      <c r="E777" s="60"/>
      <c r="F777" s="60"/>
      <c r="G777" s="60"/>
      <c r="H777" s="303"/>
      <c r="I777" s="304"/>
      <c r="J777" s="305"/>
      <c r="K777" s="306"/>
      <c r="L777" s="307"/>
      <c r="M777" s="243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</row>
    <row r="778" ht="13.5" customHeight="1">
      <c r="A778" s="243"/>
      <c r="B778" s="65"/>
      <c r="C778" s="65"/>
      <c r="D778" s="65"/>
      <c r="E778" s="60"/>
      <c r="F778" s="60"/>
      <c r="G778" s="60"/>
      <c r="H778" s="303"/>
      <c r="I778" s="304"/>
      <c r="J778" s="305"/>
      <c r="K778" s="306"/>
      <c r="L778" s="307"/>
      <c r="M778" s="243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</row>
    <row r="779" ht="13.5" customHeight="1">
      <c r="A779" s="243"/>
      <c r="B779" s="65"/>
      <c r="C779" s="65"/>
      <c r="D779" s="65"/>
      <c r="E779" s="60"/>
      <c r="F779" s="60"/>
      <c r="G779" s="60"/>
      <c r="H779" s="303"/>
      <c r="I779" s="304"/>
      <c r="J779" s="305"/>
      <c r="K779" s="306"/>
      <c r="L779" s="307"/>
      <c r="M779" s="243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</row>
    <row r="780" ht="13.5" customHeight="1">
      <c r="A780" s="243"/>
      <c r="B780" s="65"/>
      <c r="C780" s="65"/>
      <c r="D780" s="65"/>
      <c r="E780" s="60"/>
      <c r="F780" s="60"/>
      <c r="G780" s="60"/>
      <c r="H780" s="303"/>
      <c r="I780" s="304"/>
      <c r="J780" s="305"/>
      <c r="K780" s="306"/>
      <c r="L780" s="307"/>
      <c r="M780" s="243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</row>
    <row r="781" ht="13.5" customHeight="1">
      <c r="A781" s="243"/>
      <c r="B781" s="65"/>
      <c r="C781" s="65"/>
      <c r="D781" s="65"/>
      <c r="E781" s="60"/>
      <c r="F781" s="60"/>
      <c r="G781" s="60"/>
      <c r="H781" s="303"/>
      <c r="I781" s="304"/>
      <c r="J781" s="305"/>
      <c r="K781" s="306"/>
      <c r="L781" s="307"/>
      <c r="M781" s="243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</row>
    <row r="782" ht="13.5" customHeight="1">
      <c r="A782" s="243"/>
      <c r="B782" s="65"/>
      <c r="C782" s="65"/>
      <c r="D782" s="65"/>
      <c r="E782" s="60"/>
      <c r="F782" s="60"/>
      <c r="G782" s="60"/>
      <c r="H782" s="303"/>
      <c r="I782" s="304"/>
      <c r="J782" s="305"/>
      <c r="K782" s="306"/>
      <c r="L782" s="307"/>
      <c r="M782" s="243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</row>
    <row r="783" ht="13.5" customHeight="1">
      <c r="A783" s="243"/>
      <c r="B783" s="65"/>
      <c r="C783" s="65"/>
      <c r="D783" s="65"/>
      <c r="E783" s="60"/>
      <c r="F783" s="60"/>
      <c r="G783" s="60"/>
      <c r="H783" s="303"/>
      <c r="I783" s="304"/>
      <c r="J783" s="305"/>
      <c r="K783" s="306"/>
      <c r="L783" s="307"/>
      <c r="M783" s="243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</row>
    <row r="784" ht="13.5" customHeight="1">
      <c r="A784" s="243"/>
      <c r="B784" s="65"/>
      <c r="C784" s="65"/>
      <c r="D784" s="65"/>
      <c r="E784" s="60"/>
      <c r="F784" s="60"/>
      <c r="G784" s="60"/>
      <c r="H784" s="303"/>
      <c r="I784" s="304"/>
      <c r="J784" s="305"/>
      <c r="K784" s="306"/>
      <c r="L784" s="307"/>
      <c r="M784" s="243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</row>
    <row r="785" ht="13.5" customHeight="1">
      <c r="A785" s="243"/>
      <c r="B785" s="65"/>
      <c r="C785" s="65"/>
      <c r="D785" s="65"/>
      <c r="E785" s="60"/>
      <c r="F785" s="60"/>
      <c r="G785" s="60"/>
      <c r="H785" s="303"/>
      <c r="I785" s="304"/>
      <c r="J785" s="305"/>
      <c r="K785" s="306"/>
      <c r="L785" s="307"/>
      <c r="M785" s="243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</row>
    <row r="786" ht="13.5" customHeight="1">
      <c r="A786" s="243"/>
      <c r="B786" s="65"/>
      <c r="C786" s="65"/>
      <c r="D786" s="65"/>
      <c r="E786" s="60"/>
      <c r="F786" s="60"/>
      <c r="G786" s="60"/>
      <c r="H786" s="303"/>
      <c r="I786" s="304"/>
      <c r="J786" s="305"/>
      <c r="K786" s="306"/>
      <c r="L786" s="307"/>
      <c r="M786" s="243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</row>
    <row r="787" ht="13.5" customHeight="1">
      <c r="A787" s="243"/>
      <c r="B787" s="65"/>
      <c r="C787" s="65"/>
      <c r="D787" s="65"/>
      <c r="E787" s="60"/>
      <c r="F787" s="60"/>
      <c r="G787" s="60"/>
      <c r="H787" s="303"/>
      <c r="I787" s="304"/>
      <c r="J787" s="305"/>
      <c r="K787" s="306"/>
      <c r="L787" s="307"/>
      <c r="M787" s="243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</row>
    <row r="788" ht="13.5" customHeight="1">
      <c r="A788" s="243"/>
      <c r="B788" s="65"/>
      <c r="C788" s="65"/>
      <c r="D788" s="65"/>
      <c r="E788" s="60"/>
      <c r="F788" s="60"/>
      <c r="G788" s="60"/>
      <c r="H788" s="303"/>
      <c r="I788" s="304"/>
      <c r="J788" s="305"/>
      <c r="K788" s="306"/>
      <c r="L788" s="307"/>
      <c r="M788" s="243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</row>
    <row r="789" ht="13.5" customHeight="1">
      <c r="A789" s="243"/>
      <c r="B789" s="65"/>
      <c r="C789" s="65"/>
      <c r="D789" s="65"/>
      <c r="E789" s="60"/>
      <c r="F789" s="60"/>
      <c r="G789" s="60"/>
      <c r="H789" s="303"/>
      <c r="I789" s="304"/>
      <c r="J789" s="305"/>
      <c r="K789" s="306"/>
      <c r="L789" s="307"/>
      <c r="M789" s="243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</row>
    <row r="790" ht="13.5" customHeight="1">
      <c r="A790" s="243"/>
      <c r="B790" s="65"/>
      <c r="C790" s="65"/>
      <c r="D790" s="65"/>
      <c r="E790" s="60"/>
      <c r="F790" s="60"/>
      <c r="G790" s="60"/>
      <c r="H790" s="303"/>
      <c r="I790" s="304"/>
      <c r="J790" s="305"/>
      <c r="K790" s="306"/>
      <c r="L790" s="307"/>
      <c r="M790" s="243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</row>
    <row r="791" ht="13.5" customHeight="1">
      <c r="A791" s="243"/>
      <c r="B791" s="65"/>
      <c r="C791" s="65"/>
      <c r="D791" s="65"/>
      <c r="E791" s="60"/>
      <c r="F791" s="60"/>
      <c r="G791" s="60"/>
      <c r="H791" s="303"/>
      <c r="I791" s="304"/>
      <c r="J791" s="305"/>
      <c r="K791" s="306"/>
      <c r="L791" s="307"/>
      <c r="M791" s="243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</row>
    <row r="792" ht="13.5" customHeight="1">
      <c r="A792" s="243"/>
      <c r="B792" s="65"/>
      <c r="C792" s="65"/>
      <c r="D792" s="65"/>
      <c r="E792" s="60"/>
      <c r="F792" s="60"/>
      <c r="G792" s="60"/>
      <c r="H792" s="303"/>
      <c r="I792" s="304"/>
      <c r="J792" s="305"/>
      <c r="K792" s="306"/>
      <c r="L792" s="307"/>
      <c r="M792" s="243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</row>
    <row r="793" ht="13.5" customHeight="1">
      <c r="A793" s="243"/>
      <c r="B793" s="65"/>
      <c r="C793" s="65"/>
      <c r="D793" s="65"/>
      <c r="E793" s="60"/>
      <c r="F793" s="60"/>
      <c r="G793" s="60"/>
      <c r="H793" s="303"/>
      <c r="I793" s="304"/>
      <c r="J793" s="305"/>
      <c r="K793" s="306"/>
      <c r="L793" s="307"/>
      <c r="M793" s="243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</row>
    <row r="794" ht="13.5" customHeight="1">
      <c r="A794" s="243"/>
      <c r="B794" s="65"/>
      <c r="C794" s="65"/>
      <c r="D794" s="65"/>
      <c r="E794" s="60"/>
      <c r="F794" s="60"/>
      <c r="G794" s="60"/>
      <c r="H794" s="303"/>
      <c r="I794" s="304"/>
      <c r="J794" s="305"/>
      <c r="K794" s="306"/>
      <c r="L794" s="307"/>
      <c r="M794" s="243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</row>
    <row r="795" ht="13.5" customHeight="1">
      <c r="A795" s="243"/>
      <c r="B795" s="65"/>
      <c r="C795" s="65"/>
      <c r="D795" s="65"/>
      <c r="E795" s="60"/>
      <c r="F795" s="60"/>
      <c r="G795" s="60"/>
      <c r="H795" s="303"/>
      <c r="I795" s="304"/>
      <c r="J795" s="305"/>
      <c r="K795" s="306"/>
      <c r="L795" s="307"/>
      <c r="M795" s="243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</row>
    <row r="796" ht="13.5" customHeight="1">
      <c r="A796" s="243"/>
      <c r="B796" s="65"/>
      <c r="C796" s="65"/>
      <c r="D796" s="65"/>
      <c r="E796" s="60"/>
      <c r="F796" s="60"/>
      <c r="G796" s="60"/>
      <c r="H796" s="303"/>
      <c r="I796" s="304"/>
      <c r="J796" s="305"/>
      <c r="K796" s="306"/>
      <c r="L796" s="307"/>
      <c r="M796" s="243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</row>
    <row r="797" ht="13.5" customHeight="1">
      <c r="A797" s="243"/>
      <c r="B797" s="65"/>
      <c r="C797" s="65"/>
      <c r="D797" s="65"/>
      <c r="E797" s="60"/>
      <c r="F797" s="60"/>
      <c r="G797" s="60"/>
      <c r="H797" s="303"/>
      <c r="I797" s="304"/>
      <c r="J797" s="305"/>
      <c r="K797" s="306"/>
      <c r="L797" s="307"/>
      <c r="M797" s="243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</row>
    <row r="798" ht="13.5" customHeight="1">
      <c r="A798" s="243"/>
      <c r="B798" s="65"/>
      <c r="C798" s="65"/>
      <c r="D798" s="65"/>
      <c r="E798" s="60"/>
      <c r="F798" s="60"/>
      <c r="G798" s="60"/>
      <c r="H798" s="303"/>
      <c r="I798" s="304"/>
      <c r="J798" s="305"/>
      <c r="K798" s="306"/>
      <c r="L798" s="307"/>
      <c r="M798" s="243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</row>
    <row r="799" ht="13.5" customHeight="1">
      <c r="A799" s="243"/>
      <c r="B799" s="65"/>
      <c r="C799" s="65"/>
      <c r="D799" s="65"/>
      <c r="E799" s="60"/>
      <c r="F799" s="60"/>
      <c r="G799" s="60"/>
      <c r="H799" s="303"/>
      <c r="I799" s="304"/>
      <c r="J799" s="305"/>
      <c r="K799" s="306"/>
      <c r="L799" s="307"/>
      <c r="M799" s="243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</row>
    <row r="800" ht="13.5" customHeight="1">
      <c r="A800" s="243"/>
      <c r="B800" s="65"/>
      <c r="C800" s="65"/>
      <c r="D800" s="65"/>
      <c r="E800" s="60"/>
      <c r="F800" s="60"/>
      <c r="G800" s="60"/>
      <c r="H800" s="303"/>
      <c r="I800" s="304"/>
      <c r="J800" s="305"/>
      <c r="K800" s="306"/>
      <c r="L800" s="307"/>
      <c r="M800" s="243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</row>
    <row r="801" ht="13.5" customHeight="1">
      <c r="A801" s="243"/>
      <c r="B801" s="65"/>
      <c r="C801" s="65"/>
      <c r="D801" s="65"/>
      <c r="E801" s="60"/>
      <c r="F801" s="60"/>
      <c r="G801" s="60"/>
      <c r="H801" s="303"/>
      <c r="I801" s="304"/>
      <c r="J801" s="305"/>
      <c r="K801" s="306"/>
      <c r="L801" s="307"/>
      <c r="M801" s="243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</row>
    <row r="802" ht="13.5" customHeight="1">
      <c r="A802" s="243"/>
      <c r="B802" s="65"/>
      <c r="C802" s="65"/>
      <c r="D802" s="65"/>
      <c r="E802" s="60"/>
      <c r="F802" s="60"/>
      <c r="G802" s="60"/>
      <c r="H802" s="303"/>
      <c r="I802" s="304"/>
      <c r="J802" s="305"/>
      <c r="K802" s="306"/>
      <c r="L802" s="307"/>
      <c r="M802" s="243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</row>
    <row r="803" ht="13.5" customHeight="1">
      <c r="A803" s="243"/>
      <c r="B803" s="65"/>
      <c r="C803" s="65"/>
      <c r="D803" s="65"/>
      <c r="E803" s="60"/>
      <c r="F803" s="60"/>
      <c r="G803" s="60"/>
      <c r="H803" s="303"/>
      <c r="I803" s="304"/>
      <c r="J803" s="305"/>
      <c r="K803" s="306"/>
      <c r="L803" s="307"/>
      <c r="M803" s="243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</row>
    <row r="804" ht="13.5" customHeight="1">
      <c r="A804" s="243"/>
      <c r="B804" s="65"/>
      <c r="C804" s="65"/>
      <c r="D804" s="65"/>
      <c r="E804" s="60"/>
      <c r="F804" s="60"/>
      <c r="G804" s="60"/>
      <c r="H804" s="303"/>
      <c r="I804" s="304"/>
      <c r="J804" s="305"/>
      <c r="K804" s="306"/>
      <c r="L804" s="307"/>
      <c r="M804" s="243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</row>
    <row r="805" ht="13.5" customHeight="1">
      <c r="A805" s="243"/>
      <c r="B805" s="65"/>
      <c r="C805" s="65"/>
      <c r="D805" s="65"/>
      <c r="E805" s="60"/>
      <c r="F805" s="60"/>
      <c r="G805" s="60"/>
      <c r="H805" s="303"/>
      <c r="I805" s="304"/>
      <c r="J805" s="305"/>
      <c r="K805" s="306"/>
      <c r="L805" s="307"/>
      <c r="M805" s="243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</row>
    <row r="806" ht="13.5" customHeight="1">
      <c r="A806" s="243"/>
      <c r="B806" s="65"/>
      <c r="C806" s="65"/>
      <c r="D806" s="65"/>
      <c r="E806" s="60"/>
      <c r="F806" s="60"/>
      <c r="G806" s="60"/>
      <c r="H806" s="303"/>
      <c r="I806" s="304"/>
      <c r="J806" s="305"/>
      <c r="K806" s="306"/>
      <c r="L806" s="307"/>
      <c r="M806" s="243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</row>
    <row r="807" ht="13.5" customHeight="1">
      <c r="A807" s="243"/>
      <c r="B807" s="65"/>
      <c r="C807" s="65"/>
      <c r="D807" s="65"/>
      <c r="E807" s="60"/>
      <c r="F807" s="60"/>
      <c r="G807" s="60"/>
      <c r="H807" s="303"/>
      <c r="I807" s="304"/>
      <c r="J807" s="305"/>
      <c r="K807" s="306"/>
      <c r="L807" s="307"/>
      <c r="M807" s="243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</row>
    <row r="808" ht="13.5" customHeight="1">
      <c r="A808" s="243"/>
      <c r="B808" s="65"/>
      <c r="C808" s="65"/>
      <c r="D808" s="65"/>
      <c r="E808" s="60"/>
      <c r="F808" s="60"/>
      <c r="G808" s="60"/>
      <c r="H808" s="303"/>
      <c r="I808" s="304"/>
      <c r="J808" s="305"/>
      <c r="K808" s="306"/>
      <c r="L808" s="307"/>
      <c r="M808" s="243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</row>
    <row r="809" ht="13.5" customHeight="1">
      <c r="A809" s="243"/>
      <c r="B809" s="65"/>
      <c r="C809" s="65"/>
      <c r="D809" s="65"/>
      <c r="E809" s="60"/>
      <c r="F809" s="60"/>
      <c r="G809" s="60"/>
      <c r="H809" s="303"/>
      <c r="I809" s="304"/>
      <c r="J809" s="305"/>
      <c r="K809" s="306"/>
      <c r="L809" s="307"/>
      <c r="M809" s="243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</row>
    <row r="810" ht="13.5" customHeight="1">
      <c r="A810" s="243"/>
      <c r="B810" s="65"/>
      <c r="C810" s="65"/>
      <c r="D810" s="65"/>
      <c r="E810" s="60"/>
      <c r="F810" s="60"/>
      <c r="G810" s="60"/>
      <c r="H810" s="303"/>
      <c r="I810" s="304"/>
      <c r="J810" s="305"/>
      <c r="K810" s="306"/>
      <c r="L810" s="307"/>
      <c r="M810" s="243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</row>
    <row r="811" ht="13.5" customHeight="1">
      <c r="A811" s="243"/>
      <c r="B811" s="65"/>
      <c r="C811" s="65"/>
      <c r="D811" s="65"/>
      <c r="E811" s="60"/>
      <c r="F811" s="60"/>
      <c r="G811" s="60"/>
      <c r="H811" s="303"/>
      <c r="I811" s="304"/>
      <c r="J811" s="305"/>
      <c r="K811" s="306"/>
      <c r="L811" s="307"/>
      <c r="M811" s="243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</row>
    <row r="812" ht="13.5" customHeight="1">
      <c r="A812" s="243"/>
      <c r="B812" s="65"/>
      <c r="C812" s="65"/>
      <c r="D812" s="65"/>
      <c r="E812" s="60"/>
      <c r="F812" s="60"/>
      <c r="G812" s="60"/>
      <c r="H812" s="303"/>
      <c r="I812" s="304"/>
      <c r="J812" s="305"/>
      <c r="K812" s="306"/>
      <c r="L812" s="307"/>
      <c r="M812" s="243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</row>
    <row r="813" ht="13.5" customHeight="1">
      <c r="A813" s="243"/>
      <c r="B813" s="65"/>
      <c r="C813" s="65"/>
      <c r="D813" s="65"/>
      <c r="E813" s="60"/>
      <c r="F813" s="60"/>
      <c r="G813" s="60"/>
      <c r="H813" s="303"/>
      <c r="I813" s="304"/>
      <c r="J813" s="305"/>
      <c r="K813" s="306"/>
      <c r="L813" s="307"/>
      <c r="M813" s="243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</row>
    <row r="814" ht="13.5" customHeight="1">
      <c r="A814" s="243"/>
      <c r="B814" s="65"/>
      <c r="C814" s="65"/>
      <c r="D814" s="65"/>
      <c r="E814" s="60"/>
      <c r="F814" s="60"/>
      <c r="G814" s="60"/>
      <c r="H814" s="303"/>
      <c r="I814" s="304"/>
      <c r="J814" s="305"/>
      <c r="K814" s="306"/>
      <c r="L814" s="307"/>
      <c r="M814" s="243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</row>
    <row r="815" ht="13.5" customHeight="1">
      <c r="A815" s="243"/>
      <c r="B815" s="65"/>
      <c r="C815" s="65"/>
      <c r="D815" s="65"/>
      <c r="E815" s="60"/>
      <c r="F815" s="60"/>
      <c r="G815" s="60"/>
      <c r="H815" s="303"/>
      <c r="I815" s="304"/>
      <c r="J815" s="305"/>
      <c r="K815" s="306"/>
      <c r="L815" s="307"/>
      <c r="M815" s="243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</row>
    <row r="816" ht="13.5" customHeight="1">
      <c r="A816" s="243"/>
      <c r="B816" s="65"/>
      <c r="C816" s="65"/>
      <c r="D816" s="65"/>
      <c r="E816" s="60"/>
      <c r="F816" s="60"/>
      <c r="G816" s="60"/>
      <c r="H816" s="303"/>
      <c r="I816" s="304"/>
      <c r="J816" s="305"/>
      <c r="K816" s="306"/>
      <c r="L816" s="307"/>
      <c r="M816" s="243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</row>
    <row r="817" ht="13.5" customHeight="1">
      <c r="A817" s="243"/>
      <c r="B817" s="65"/>
      <c r="C817" s="65"/>
      <c r="D817" s="65"/>
      <c r="E817" s="60"/>
      <c r="F817" s="60"/>
      <c r="G817" s="60"/>
      <c r="H817" s="303"/>
      <c r="I817" s="304"/>
      <c r="J817" s="305"/>
      <c r="K817" s="306"/>
      <c r="L817" s="307"/>
      <c r="M817" s="243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</row>
    <row r="818" ht="13.5" customHeight="1">
      <c r="A818" s="243"/>
      <c r="B818" s="65"/>
      <c r="C818" s="65"/>
      <c r="D818" s="65"/>
      <c r="E818" s="60"/>
      <c r="F818" s="60"/>
      <c r="G818" s="60"/>
      <c r="H818" s="303"/>
      <c r="I818" s="304"/>
      <c r="J818" s="305"/>
      <c r="K818" s="306"/>
      <c r="L818" s="307"/>
      <c r="M818" s="243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</row>
    <row r="819" ht="13.5" customHeight="1">
      <c r="A819" s="243"/>
      <c r="B819" s="65"/>
      <c r="C819" s="65"/>
      <c r="D819" s="65"/>
      <c r="E819" s="60"/>
      <c r="F819" s="60"/>
      <c r="G819" s="60"/>
      <c r="H819" s="303"/>
      <c r="I819" s="304"/>
      <c r="J819" s="305"/>
      <c r="K819" s="306"/>
      <c r="L819" s="307"/>
      <c r="M819" s="243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</row>
    <row r="820" ht="13.5" customHeight="1">
      <c r="A820" s="243"/>
      <c r="B820" s="65"/>
      <c r="C820" s="65"/>
      <c r="D820" s="65"/>
      <c r="E820" s="60"/>
      <c r="F820" s="60"/>
      <c r="G820" s="60"/>
      <c r="H820" s="303"/>
      <c r="I820" s="304"/>
      <c r="J820" s="305"/>
      <c r="K820" s="306"/>
      <c r="L820" s="307"/>
      <c r="M820" s="243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</row>
    <row r="821" ht="13.5" customHeight="1">
      <c r="A821" s="243"/>
      <c r="B821" s="65"/>
      <c r="C821" s="65"/>
      <c r="D821" s="65"/>
      <c r="E821" s="60"/>
      <c r="F821" s="60"/>
      <c r="G821" s="60"/>
      <c r="H821" s="303"/>
      <c r="I821" s="304"/>
      <c r="J821" s="305"/>
      <c r="K821" s="306"/>
      <c r="L821" s="307"/>
      <c r="M821" s="243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</row>
    <row r="822" ht="13.5" customHeight="1">
      <c r="A822" s="243"/>
      <c r="B822" s="65"/>
      <c r="C822" s="65"/>
      <c r="D822" s="65"/>
      <c r="E822" s="60"/>
      <c r="F822" s="60"/>
      <c r="G822" s="60"/>
      <c r="H822" s="303"/>
      <c r="I822" s="304"/>
      <c r="J822" s="305"/>
      <c r="K822" s="306"/>
      <c r="L822" s="307"/>
      <c r="M822" s="243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</row>
    <row r="823" ht="13.5" customHeight="1">
      <c r="A823" s="243"/>
      <c r="B823" s="65"/>
      <c r="C823" s="65"/>
      <c r="D823" s="65"/>
      <c r="E823" s="60"/>
      <c r="F823" s="60"/>
      <c r="G823" s="60"/>
      <c r="H823" s="303"/>
      <c r="I823" s="304"/>
      <c r="J823" s="305"/>
      <c r="K823" s="306"/>
      <c r="L823" s="307"/>
      <c r="M823" s="243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</row>
    <row r="824" ht="13.5" customHeight="1">
      <c r="A824" s="243"/>
      <c r="B824" s="65"/>
      <c r="C824" s="65"/>
      <c r="D824" s="65"/>
      <c r="E824" s="60"/>
      <c r="F824" s="60"/>
      <c r="G824" s="60"/>
      <c r="H824" s="303"/>
      <c r="I824" s="304"/>
      <c r="J824" s="305"/>
      <c r="K824" s="306"/>
      <c r="L824" s="307"/>
      <c r="M824" s="243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</row>
    <row r="825" ht="13.5" customHeight="1">
      <c r="A825" s="243"/>
      <c r="B825" s="65"/>
      <c r="C825" s="65"/>
      <c r="D825" s="65"/>
      <c r="E825" s="60"/>
      <c r="F825" s="60"/>
      <c r="G825" s="60"/>
      <c r="H825" s="303"/>
      <c r="I825" s="304"/>
      <c r="J825" s="305"/>
      <c r="K825" s="306"/>
      <c r="L825" s="307"/>
      <c r="M825" s="243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</row>
    <row r="826" ht="13.5" customHeight="1">
      <c r="A826" s="243"/>
      <c r="B826" s="65"/>
      <c r="C826" s="65"/>
      <c r="D826" s="65"/>
      <c r="E826" s="60"/>
      <c r="F826" s="60"/>
      <c r="G826" s="60"/>
      <c r="H826" s="303"/>
      <c r="I826" s="304"/>
      <c r="J826" s="305"/>
      <c r="K826" s="306"/>
      <c r="L826" s="307"/>
      <c r="M826" s="243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</row>
    <row r="827" ht="13.5" customHeight="1">
      <c r="A827" s="243"/>
      <c r="B827" s="65"/>
      <c r="C827" s="65"/>
      <c r="D827" s="65"/>
      <c r="E827" s="60"/>
      <c r="F827" s="60"/>
      <c r="G827" s="60"/>
      <c r="H827" s="303"/>
      <c r="I827" s="304"/>
      <c r="J827" s="305"/>
      <c r="K827" s="306"/>
      <c r="L827" s="307"/>
      <c r="M827" s="243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</row>
    <row r="828" ht="13.5" customHeight="1">
      <c r="A828" s="243"/>
      <c r="B828" s="65"/>
      <c r="C828" s="65"/>
      <c r="D828" s="65"/>
      <c r="E828" s="60"/>
      <c r="F828" s="60"/>
      <c r="G828" s="60"/>
      <c r="H828" s="303"/>
      <c r="I828" s="304"/>
      <c r="J828" s="305"/>
      <c r="K828" s="306"/>
      <c r="L828" s="307"/>
      <c r="M828" s="243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</row>
    <row r="829" ht="13.5" customHeight="1">
      <c r="A829" s="243"/>
      <c r="B829" s="65"/>
      <c r="C829" s="65"/>
      <c r="D829" s="65"/>
      <c r="E829" s="60"/>
      <c r="F829" s="60"/>
      <c r="G829" s="60"/>
      <c r="H829" s="303"/>
      <c r="I829" s="304"/>
      <c r="J829" s="305"/>
      <c r="K829" s="306"/>
      <c r="L829" s="307"/>
      <c r="M829" s="243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</row>
    <row r="830" ht="13.5" customHeight="1">
      <c r="A830" s="243"/>
      <c r="B830" s="65"/>
      <c r="C830" s="65"/>
      <c r="D830" s="65"/>
      <c r="E830" s="60"/>
      <c r="F830" s="60"/>
      <c r="G830" s="60"/>
      <c r="H830" s="303"/>
      <c r="I830" s="304"/>
      <c r="J830" s="305"/>
      <c r="K830" s="306"/>
      <c r="L830" s="307"/>
      <c r="M830" s="243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</row>
    <row r="831" ht="13.5" customHeight="1">
      <c r="A831" s="243"/>
      <c r="B831" s="65"/>
      <c r="C831" s="65"/>
      <c r="D831" s="65"/>
      <c r="E831" s="60"/>
      <c r="F831" s="60"/>
      <c r="G831" s="60"/>
      <c r="H831" s="303"/>
      <c r="I831" s="304"/>
      <c r="J831" s="305"/>
      <c r="K831" s="306"/>
      <c r="L831" s="307"/>
      <c r="M831" s="243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</row>
    <row r="832" ht="13.5" customHeight="1">
      <c r="A832" s="243"/>
      <c r="B832" s="65"/>
      <c r="C832" s="65"/>
      <c r="D832" s="65"/>
      <c r="E832" s="60"/>
      <c r="F832" s="60"/>
      <c r="G832" s="60"/>
      <c r="H832" s="303"/>
      <c r="I832" s="304"/>
      <c r="J832" s="305"/>
      <c r="K832" s="306"/>
      <c r="L832" s="307"/>
      <c r="M832" s="243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</row>
    <row r="833" ht="13.5" customHeight="1">
      <c r="A833" s="243"/>
      <c r="B833" s="65"/>
      <c r="C833" s="65"/>
      <c r="D833" s="65"/>
      <c r="E833" s="60"/>
      <c r="F833" s="60"/>
      <c r="G833" s="60"/>
      <c r="H833" s="303"/>
      <c r="I833" s="304"/>
      <c r="J833" s="305"/>
      <c r="K833" s="306"/>
      <c r="L833" s="307"/>
      <c r="M833" s="243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</row>
    <row r="834" ht="13.5" customHeight="1">
      <c r="A834" s="243"/>
      <c r="B834" s="65"/>
      <c r="C834" s="65"/>
      <c r="D834" s="65"/>
      <c r="E834" s="60"/>
      <c r="F834" s="60"/>
      <c r="G834" s="60"/>
      <c r="H834" s="303"/>
      <c r="I834" s="304"/>
      <c r="J834" s="305"/>
      <c r="K834" s="306"/>
      <c r="L834" s="307"/>
      <c r="M834" s="243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</row>
    <row r="835" ht="13.5" customHeight="1">
      <c r="A835" s="243"/>
      <c r="B835" s="65"/>
      <c r="C835" s="65"/>
      <c r="D835" s="65"/>
      <c r="E835" s="60"/>
      <c r="F835" s="60"/>
      <c r="G835" s="60"/>
      <c r="H835" s="303"/>
      <c r="I835" s="304"/>
      <c r="J835" s="305"/>
      <c r="K835" s="306"/>
      <c r="L835" s="307"/>
      <c r="M835" s="243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</row>
    <row r="836" ht="13.5" customHeight="1">
      <c r="A836" s="243"/>
      <c r="B836" s="65"/>
      <c r="C836" s="65"/>
      <c r="D836" s="65"/>
      <c r="E836" s="60"/>
      <c r="F836" s="60"/>
      <c r="G836" s="60"/>
      <c r="H836" s="303"/>
      <c r="I836" s="304"/>
      <c r="J836" s="305"/>
      <c r="K836" s="306"/>
      <c r="L836" s="307"/>
      <c r="M836" s="243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</row>
    <row r="837" ht="13.5" customHeight="1">
      <c r="A837" s="243"/>
      <c r="B837" s="65"/>
      <c r="C837" s="65"/>
      <c r="D837" s="65"/>
      <c r="E837" s="60"/>
      <c r="F837" s="60"/>
      <c r="G837" s="60"/>
      <c r="H837" s="303"/>
      <c r="I837" s="304"/>
      <c r="J837" s="305"/>
      <c r="K837" s="306"/>
      <c r="L837" s="307"/>
      <c r="M837" s="243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</row>
    <row r="838" ht="13.5" customHeight="1">
      <c r="A838" s="243"/>
      <c r="B838" s="65"/>
      <c r="C838" s="65"/>
      <c r="D838" s="65"/>
      <c r="E838" s="60"/>
      <c r="F838" s="60"/>
      <c r="G838" s="60"/>
      <c r="H838" s="303"/>
      <c r="I838" s="304"/>
      <c r="J838" s="305"/>
      <c r="K838" s="306"/>
      <c r="L838" s="307"/>
      <c r="M838" s="243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</row>
    <row r="839" ht="13.5" customHeight="1">
      <c r="A839" s="243"/>
      <c r="B839" s="65"/>
      <c r="C839" s="65"/>
      <c r="D839" s="65"/>
      <c r="E839" s="60"/>
      <c r="F839" s="60"/>
      <c r="G839" s="60"/>
      <c r="H839" s="303"/>
      <c r="I839" s="304"/>
      <c r="J839" s="305"/>
      <c r="K839" s="306"/>
      <c r="L839" s="307"/>
      <c r="M839" s="243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</row>
    <row r="840" ht="13.5" customHeight="1">
      <c r="A840" s="243"/>
      <c r="B840" s="65"/>
      <c r="C840" s="65"/>
      <c r="D840" s="65"/>
      <c r="E840" s="60"/>
      <c r="F840" s="60"/>
      <c r="G840" s="60"/>
      <c r="H840" s="303"/>
      <c r="I840" s="304"/>
      <c r="J840" s="305"/>
      <c r="K840" s="306"/>
      <c r="L840" s="307"/>
      <c r="M840" s="243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</row>
    <row r="841" ht="13.5" customHeight="1">
      <c r="A841" s="243"/>
      <c r="B841" s="65"/>
      <c r="C841" s="65"/>
      <c r="D841" s="65"/>
      <c r="E841" s="60"/>
      <c r="F841" s="60"/>
      <c r="G841" s="60"/>
      <c r="H841" s="303"/>
      <c r="I841" s="304"/>
      <c r="J841" s="305"/>
      <c r="K841" s="306"/>
      <c r="L841" s="307"/>
      <c r="M841" s="243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</row>
    <row r="842" ht="13.5" customHeight="1">
      <c r="A842" s="243"/>
      <c r="B842" s="65"/>
      <c r="C842" s="65"/>
      <c r="D842" s="65"/>
      <c r="E842" s="60"/>
      <c r="F842" s="60"/>
      <c r="G842" s="60"/>
      <c r="H842" s="303"/>
      <c r="I842" s="304"/>
      <c r="J842" s="305"/>
      <c r="K842" s="306"/>
      <c r="L842" s="307"/>
      <c r="M842" s="243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</row>
    <row r="843" ht="13.5" customHeight="1">
      <c r="A843" s="243"/>
      <c r="B843" s="65"/>
      <c r="C843" s="65"/>
      <c r="D843" s="65"/>
      <c r="E843" s="60"/>
      <c r="F843" s="60"/>
      <c r="G843" s="60"/>
      <c r="H843" s="303"/>
      <c r="I843" s="304"/>
      <c r="J843" s="305"/>
      <c r="K843" s="306"/>
      <c r="L843" s="307"/>
      <c r="M843" s="243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</row>
    <row r="844" ht="13.5" customHeight="1">
      <c r="A844" s="243"/>
      <c r="B844" s="65"/>
      <c r="C844" s="65"/>
      <c r="D844" s="65"/>
      <c r="E844" s="60"/>
      <c r="F844" s="60"/>
      <c r="G844" s="60"/>
      <c r="H844" s="303"/>
      <c r="I844" s="304"/>
      <c r="J844" s="305"/>
      <c r="K844" s="306"/>
      <c r="L844" s="307"/>
      <c r="M844" s="243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</row>
    <row r="845" ht="13.5" customHeight="1">
      <c r="A845" s="243"/>
      <c r="B845" s="65"/>
      <c r="C845" s="65"/>
      <c r="D845" s="65"/>
      <c r="E845" s="60"/>
      <c r="F845" s="60"/>
      <c r="G845" s="60"/>
      <c r="H845" s="303"/>
      <c r="I845" s="304"/>
      <c r="J845" s="305"/>
      <c r="K845" s="306"/>
      <c r="L845" s="307"/>
      <c r="M845" s="243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</row>
    <row r="846" ht="13.5" customHeight="1">
      <c r="A846" s="243"/>
      <c r="B846" s="65"/>
      <c r="C846" s="65"/>
      <c r="D846" s="65"/>
      <c r="E846" s="60"/>
      <c r="F846" s="60"/>
      <c r="G846" s="60"/>
      <c r="H846" s="303"/>
      <c r="I846" s="304"/>
      <c r="J846" s="305"/>
      <c r="K846" s="306"/>
      <c r="L846" s="307"/>
      <c r="M846" s="243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</row>
    <row r="847" ht="13.5" customHeight="1">
      <c r="A847" s="243"/>
      <c r="B847" s="65"/>
      <c r="C847" s="65"/>
      <c r="D847" s="65"/>
      <c r="E847" s="60"/>
      <c r="F847" s="60"/>
      <c r="G847" s="60"/>
      <c r="H847" s="303"/>
      <c r="I847" s="304"/>
      <c r="J847" s="305"/>
      <c r="K847" s="306"/>
      <c r="L847" s="307"/>
      <c r="M847" s="243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</row>
    <row r="848" ht="13.5" customHeight="1">
      <c r="A848" s="243"/>
      <c r="B848" s="65"/>
      <c r="C848" s="65"/>
      <c r="D848" s="65"/>
      <c r="E848" s="60"/>
      <c r="F848" s="60"/>
      <c r="G848" s="60"/>
      <c r="H848" s="303"/>
      <c r="I848" s="304"/>
      <c r="J848" s="305"/>
      <c r="K848" s="306"/>
      <c r="L848" s="307"/>
      <c r="M848" s="243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</row>
    <row r="849" ht="13.5" customHeight="1">
      <c r="A849" s="243"/>
      <c r="B849" s="65"/>
      <c r="C849" s="65"/>
      <c r="D849" s="65"/>
      <c r="E849" s="60"/>
      <c r="F849" s="60"/>
      <c r="G849" s="60"/>
      <c r="H849" s="303"/>
      <c r="I849" s="304"/>
      <c r="J849" s="305"/>
      <c r="K849" s="306"/>
      <c r="L849" s="307"/>
      <c r="M849" s="243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</row>
    <row r="850" ht="13.5" customHeight="1">
      <c r="A850" s="243"/>
      <c r="B850" s="65"/>
      <c r="C850" s="65"/>
      <c r="D850" s="65"/>
      <c r="E850" s="60"/>
      <c r="F850" s="60"/>
      <c r="G850" s="60"/>
      <c r="H850" s="303"/>
      <c r="I850" s="304"/>
      <c r="J850" s="305"/>
      <c r="K850" s="306"/>
      <c r="L850" s="307"/>
      <c r="M850" s="243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</row>
    <row r="851" ht="13.5" customHeight="1">
      <c r="A851" s="243"/>
      <c r="B851" s="65"/>
      <c r="C851" s="65"/>
      <c r="D851" s="65"/>
      <c r="E851" s="60"/>
      <c r="F851" s="60"/>
      <c r="G851" s="60"/>
      <c r="H851" s="303"/>
      <c r="I851" s="304"/>
      <c r="J851" s="305"/>
      <c r="K851" s="306"/>
      <c r="L851" s="307"/>
      <c r="M851" s="243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</row>
    <row r="852" ht="13.5" customHeight="1">
      <c r="A852" s="243"/>
      <c r="B852" s="65"/>
      <c r="C852" s="65"/>
      <c r="D852" s="65"/>
      <c r="E852" s="60"/>
      <c r="F852" s="60"/>
      <c r="G852" s="60"/>
      <c r="H852" s="303"/>
      <c r="I852" s="304"/>
      <c r="J852" s="305"/>
      <c r="K852" s="306"/>
      <c r="L852" s="307"/>
      <c r="M852" s="243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</row>
    <row r="853" ht="13.5" customHeight="1">
      <c r="A853" s="243"/>
      <c r="B853" s="65"/>
      <c r="C853" s="65"/>
      <c r="D853" s="65"/>
      <c r="E853" s="60"/>
      <c r="F853" s="60"/>
      <c r="G853" s="60"/>
      <c r="H853" s="303"/>
      <c r="I853" s="304"/>
      <c r="J853" s="305"/>
      <c r="K853" s="306"/>
      <c r="L853" s="307"/>
      <c r="M853" s="243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</row>
    <row r="854" ht="13.5" customHeight="1">
      <c r="A854" s="243"/>
      <c r="B854" s="65"/>
      <c r="C854" s="65"/>
      <c r="D854" s="65"/>
      <c r="E854" s="60"/>
      <c r="F854" s="60"/>
      <c r="G854" s="60"/>
      <c r="H854" s="303"/>
      <c r="I854" s="304"/>
      <c r="J854" s="305"/>
      <c r="K854" s="306"/>
      <c r="L854" s="307"/>
      <c r="M854" s="243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</row>
    <row r="855" ht="13.5" customHeight="1">
      <c r="A855" s="243"/>
      <c r="B855" s="65"/>
      <c r="C855" s="65"/>
      <c r="D855" s="65"/>
      <c r="E855" s="60"/>
      <c r="F855" s="60"/>
      <c r="G855" s="60"/>
      <c r="H855" s="303"/>
      <c r="I855" s="304"/>
      <c r="J855" s="305"/>
      <c r="K855" s="306"/>
      <c r="L855" s="307"/>
      <c r="M855" s="243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</row>
    <row r="856" ht="13.5" customHeight="1">
      <c r="A856" s="243"/>
      <c r="B856" s="65"/>
      <c r="C856" s="65"/>
      <c r="D856" s="65"/>
      <c r="E856" s="60"/>
      <c r="F856" s="60"/>
      <c r="G856" s="60"/>
      <c r="H856" s="303"/>
      <c r="I856" s="304"/>
      <c r="J856" s="305"/>
      <c r="K856" s="306"/>
      <c r="L856" s="307"/>
      <c r="M856" s="243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</row>
    <row r="857" ht="13.5" customHeight="1">
      <c r="A857" s="243"/>
      <c r="B857" s="65"/>
      <c r="C857" s="65"/>
      <c r="D857" s="65"/>
      <c r="E857" s="60"/>
      <c r="F857" s="60"/>
      <c r="G857" s="60"/>
      <c r="H857" s="303"/>
      <c r="I857" s="304"/>
      <c r="J857" s="305"/>
      <c r="K857" s="306"/>
      <c r="L857" s="307"/>
      <c r="M857" s="243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</row>
    <row r="858" ht="13.5" customHeight="1">
      <c r="A858" s="243"/>
      <c r="B858" s="65"/>
      <c r="C858" s="65"/>
      <c r="D858" s="65"/>
      <c r="E858" s="60"/>
      <c r="F858" s="60"/>
      <c r="G858" s="60"/>
      <c r="H858" s="303"/>
      <c r="I858" s="304"/>
      <c r="J858" s="305"/>
      <c r="K858" s="306"/>
      <c r="L858" s="307"/>
      <c r="M858" s="243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</row>
    <row r="859" ht="13.5" customHeight="1">
      <c r="A859" s="243"/>
      <c r="B859" s="65"/>
      <c r="C859" s="65"/>
      <c r="D859" s="65"/>
      <c r="E859" s="60"/>
      <c r="F859" s="60"/>
      <c r="G859" s="60"/>
      <c r="H859" s="303"/>
      <c r="I859" s="304"/>
      <c r="J859" s="305"/>
      <c r="K859" s="306"/>
      <c r="L859" s="307"/>
      <c r="M859" s="243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</row>
    <row r="860" ht="13.5" customHeight="1">
      <c r="A860" s="243"/>
      <c r="B860" s="65"/>
      <c r="C860" s="65"/>
      <c r="D860" s="65"/>
      <c r="E860" s="60"/>
      <c r="F860" s="60"/>
      <c r="G860" s="60"/>
      <c r="H860" s="303"/>
      <c r="I860" s="304"/>
      <c r="J860" s="305"/>
      <c r="K860" s="306"/>
      <c r="L860" s="307"/>
      <c r="M860" s="243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</row>
    <row r="861" ht="13.5" customHeight="1">
      <c r="A861" s="243"/>
      <c r="B861" s="65"/>
      <c r="C861" s="65"/>
      <c r="D861" s="65"/>
      <c r="E861" s="60"/>
      <c r="F861" s="60"/>
      <c r="G861" s="60"/>
      <c r="H861" s="303"/>
      <c r="I861" s="304"/>
      <c r="J861" s="305"/>
      <c r="K861" s="306"/>
      <c r="L861" s="307"/>
      <c r="M861" s="243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</row>
    <row r="862" ht="13.5" customHeight="1">
      <c r="A862" s="243"/>
      <c r="B862" s="65"/>
      <c r="C862" s="65"/>
      <c r="D862" s="65"/>
      <c r="E862" s="60"/>
      <c r="F862" s="60"/>
      <c r="G862" s="60"/>
      <c r="H862" s="303"/>
      <c r="I862" s="304"/>
      <c r="J862" s="305"/>
      <c r="K862" s="306"/>
      <c r="L862" s="307"/>
      <c r="M862" s="243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</row>
    <row r="863" ht="13.5" customHeight="1">
      <c r="A863" s="243"/>
      <c r="B863" s="65"/>
      <c r="C863" s="65"/>
      <c r="D863" s="65"/>
      <c r="E863" s="60"/>
      <c r="F863" s="60"/>
      <c r="G863" s="60"/>
      <c r="H863" s="303"/>
      <c r="I863" s="304"/>
      <c r="J863" s="305"/>
      <c r="K863" s="306"/>
      <c r="L863" s="307"/>
      <c r="M863" s="243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</row>
    <row r="864" ht="13.5" customHeight="1">
      <c r="A864" s="243"/>
      <c r="B864" s="65"/>
      <c r="C864" s="65"/>
      <c r="D864" s="65"/>
      <c r="E864" s="60"/>
      <c r="F864" s="60"/>
      <c r="G864" s="60"/>
      <c r="H864" s="303"/>
      <c r="I864" s="304"/>
      <c r="J864" s="305"/>
      <c r="K864" s="306"/>
      <c r="L864" s="307"/>
      <c r="M864" s="243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</row>
    <row r="865" ht="13.5" customHeight="1">
      <c r="A865" s="243"/>
      <c r="B865" s="65"/>
      <c r="C865" s="65"/>
      <c r="D865" s="65"/>
      <c r="E865" s="60"/>
      <c r="F865" s="60"/>
      <c r="G865" s="60"/>
      <c r="H865" s="303"/>
      <c r="I865" s="304"/>
      <c r="J865" s="305"/>
      <c r="K865" s="306"/>
      <c r="L865" s="307"/>
      <c r="M865" s="243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</row>
    <row r="866" ht="13.5" customHeight="1">
      <c r="A866" s="243"/>
      <c r="B866" s="65"/>
      <c r="C866" s="65"/>
      <c r="D866" s="65"/>
      <c r="E866" s="60"/>
      <c r="F866" s="60"/>
      <c r="G866" s="60"/>
      <c r="H866" s="303"/>
      <c r="I866" s="304"/>
      <c r="J866" s="305"/>
      <c r="K866" s="306"/>
      <c r="L866" s="307"/>
      <c r="M866" s="243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</row>
    <row r="867" ht="13.5" customHeight="1">
      <c r="A867" s="243"/>
      <c r="B867" s="65"/>
      <c r="C867" s="65"/>
      <c r="D867" s="65"/>
      <c r="E867" s="60"/>
      <c r="F867" s="60"/>
      <c r="G867" s="60"/>
      <c r="H867" s="303"/>
      <c r="I867" s="304"/>
      <c r="J867" s="305"/>
      <c r="K867" s="306"/>
      <c r="L867" s="307"/>
      <c r="M867" s="243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</row>
    <row r="868" ht="13.5" customHeight="1">
      <c r="A868" s="243"/>
      <c r="B868" s="65"/>
      <c r="C868" s="65"/>
      <c r="D868" s="65"/>
      <c r="E868" s="60"/>
      <c r="F868" s="60"/>
      <c r="G868" s="60"/>
      <c r="H868" s="303"/>
      <c r="I868" s="304"/>
      <c r="J868" s="305"/>
      <c r="K868" s="306"/>
      <c r="L868" s="307"/>
      <c r="M868" s="243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</row>
    <row r="869" ht="13.5" customHeight="1">
      <c r="A869" s="243"/>
      <c r="B869" s="65"/>
      <c r="C869" s="65"/>
      <c r="D869" s="65"/>
      <c r="E869" s="60"/>
      <c r="F869" s="60"/>
      <c r="G869" s="60"/>
      <c r="H869" s="303"/>
      <c r="I869" s="304"/>
      <c r="J869" s="305"/>
      <c r="K869" s="306"/>
      <c r="L869" s="307"/>
      <c r="M869" s="243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</row>
    <row r="870" ht="13.5" customHeight="1">
      <c r="A870" s="243"/>
      <c r="B870" s="65"/>
      <c r="C870" s="65"/>
      <c r="D870" s="65"/>
      <c r="E870" s="60"/>
      <c r="F870" s="60"/>
      <c r="G870" s="60"/>
      <c r="H870" s="303"/>
      <c r="I870" s="304"/>
      <c r="J870" s="305"/>
      <c r="K870" s="306"/>
      <c r="L870" s="307"/>
      <c r="M870" s="243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</row>
    <row r="871" ht="13.5" customHeight="1">
      <c r="A871" s="243"/>
      <c r="B871" s="65"/>
      <c r="C871" s="65"/>
      <c r="D871" s="65"/>
      <c r="E871" s="60"/>
      <c r="F871" s="60"/>
      <c r="G871" s="60"/>
      <c r="H871" s="303"/>
      <c r="I871" s="304"/>
      <c r="J871" s="305"/>
      <c r="K871" s="306"/>
      <c r="L871" s="307"/>
      <c r="M871" s="243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</row>
    <row r="872" ht="13.5" customHeight="1">
      <c r="A872" s="243"/>
      <c r="B872" s="65"/>
      <c r="C872" s="65"/>
      <c r="D872" s="65"/>
      <c r="E872" s="60"/>
      <c r="F872" s="60"/>
      <c r="G872" s="60"/>
      <c r="H872" s="303"/>
      <c r="I872" s="304"/>
      <c r="J872" s="305"/>
      <c r="K872" s="306"/>
      <c r="L872" s="307"/>
      <c r="M872" s="243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</row>
    <row r="873" ht="13.5" customHeight="1">
      <c r="A873" s="243"/>
      <c r="B873" s="65"/>
      <c r="C873" s="65"/>
      <c r="D873" s="65"/>
      <c r="E873" s="60"/>
      <c r="F873" s="60"/>
      <c r="G873" s="60"/>
      <c r="H873" s="303"/>
      <c r="I873" s="304"/>
      <c r="J873" s="305"/>
      <c r="K873" s="306"/>
      <c r="L873" s="307"/>
      <c r="M873" s="243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</row>
    <row r="874" ht="13.5" customHeight="1">
      <c r="A874" s="243"/>
      <c r="B874" s="65"/>
      <c r="C874" s="65"/>
      <c r="D874" s="65"/>
      <c r="E874" s="60"/>
      <c r="F874" s="60"/>
      <c r="G874" s="60"/>
      <c r="H874" s="303"/>
      <c r="I874" s="304"/>
      <c r="J874" s="305"/>
      <c r="K874" s="306"/>
      <c r="L874" s="307"/>
      <c r="M874" s="243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</row>
    <row r="875" ht="13.5" customHeight="1">
      <c r="A875" s="243"/>
      <c r="B875" s="65"/>
      <c r="C875" s="65"/>
      <c r="D875" s="65"/>
      <c r="E875" s="60"/>
      <c r="F875" s="60"/>
      <c r="G875" s="60"/>
      <c r="H875" s="303"/>
      <c r="I875" s="304"/>
      <c r="J875" s="305"/>
      <c r="K875" s="306"/>
      <c r="L875" s="307"/>
      <c r="M875" s="243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</row>
    <row r="876" ht="13.5" customHeight="1">
      <c r="A876" s="243"/>
      <c r="B876" s="65"/>
      <c r="C876" s="65"/>
      <c r="D876" s="65"/>
      <c r="E876" s="60"/>
      <c r="F876" s="60"/>
      <c r="G876" s="60"/>
      <c r="H876" s="303"/>
      <c r="I876" s="304"/>
      <c r="J876" s="305"/>
      <c r="K876" s="306"/>
      <c r="L876" s="307"/>
      <c r="M876" s="243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</row>
    <row r="877" ht="13.5" customHeight="1">
      <c r="A877" s="243"/>
      <c r="B877" s="65"/>
      <c r="C877" s="65"/>
      <c r="D877" s="65"/>
      <c r="E877" s="60"/>
      <c r="F877" s="60"/>
      <c r="G877" s="60"/>
      <c r="H877" s="303"/>
      <c r="I877" s="304"/>
      <c r="J877" s="305"/>
      <c r="K877" s="306"/>
      <c r="L877" s="307"/>
      <c r="M877" s="243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</row>
    <row r="878" ht="13.5" customHeight="1">
      <c r="A878" s="243"/>
      <c r="B878" s="65"/>
      <c r="C878" s="65"/>
      <c r="D878" s="65"/>
      <c r="E878" s="60"/>
      <c r="F878" s="60"/>
      <c r="G878" s="60"/>
      <c r="H878" s="303"/>
      <c r="I878" s="304"/>
      <c r="J878" s="305"/>
      <c r="K878" s="306"/>
      <c r="L878" s="307"/>
      <c r="M878" s="243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</row>
    <row r="879" ht="13.5" customHeight="1">
      <c r="A879" s="243"/>
      <c r="B879" s="65"/>
      <c r="C879" s="65"/>
      <c r="D879" s="65"/>
      <c r="E879" s="60"/>
      <c r="F879" s="60"/>
      <c r="G879" s="60"/>
      <c r="H879" s="303"/>
      <c r="I879" s="304"/>
      <c r="J879" s="305"/>
      <c r="K879" s="306"/>
      <c r="L879" s="307"/>
      <c r="M879" s="243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</row>
    <row r="880" ht="13.5" customHeight="1">
      <c r="A880" s="243"/>
      <c r="B880" s="65"/>
      <c r="C880" s="65"/>
      <c r="D880" s="65"/>
      <c r="E880" s="60"/>
      <c r="F880" s="60"/>
      <c r="G880" s="60"/>
      <c r="H880" s="303"/>
      <c r="I880" s="304"/>
      <c r="J880" s="305"/>
      <c r="K880" s="306"/>
      <c r="L880" s="307"/>
      <c r="M880" s="243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</row>
    <row r="881" ht="13.5" customHeight="1">
      <c r="A881" s="243"/>
      <c r="B881" s="65"/>
      <c r="C881" s="65"/>
      <c r="D881" s="65"/>
      <c r="E881" s="60"/>
      <c r="F881" s="60"/>
      <c r="G881" s="60"/>
      <c r="H881" s="303"/>
      <c r="I881" s="304"/>
      <c r="J881" s="305"/>
      <c r="K881" s="306"/>
      <c r="L881" s="307"/>
      <c r="M881" s="243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</row>
    <row r="882" ht="13.5" customHeight="1">
      <c r="A882" s="243"/>
      <c r="B882" s="65"/>
      <c r="C882" s="65"/>
      <c r="D882" s="65"/>
      <c r="E882" s="60"/>
      <c r="F882" s="60"/>
      <c r="G882" s="60"/>
      <c r="H882" s="303"/>
      <c r="I882" s="304"/>
      <c r="J882" s="305"/>
      <c r="K882" s="306"/>
      <c r="L882" s="307"/>
      <c r="M882" s="243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</row>
    <row r="883" ht="13.5" customHeight="1">
      <c r="A883" s="243"/>
      <c r="B883" s="65"/>
      <c r="C883" s="65"/>
      <c r="D883" s="65"/>
      <c r="E883" s="60"/>
      <c r="F883" s="60"/>
      <c r="G883" s="60"/>
      <c r="H883" s="303"/>
      <c r="I883" s="304"/>
      <c r="J883" s="305"/>
      <c r="K883" s="306"/>
      <c r="L883" s="307"/>
      <c r="M883" s="243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</row>
    <row r="884" ht="13.5" customHeight="1">
      <c r="A884" s="243"/>
      <c r="B884" s="65"/>
      <c r="C884" s="65"/>
      <c r="D884" s="65"/>
      <c r="E884" s="60"/>
      <c r="F884" s="60"/>
      <c r="G884" s="60"/>
      <c r="H884" s="303"/>
      <c r="I884" s="304"/>
      <c r="J884" s="305"/>
      <c r="K884" s="306"/>
      <c r="L884" s="307"/>
      <c r="M884" s="243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</row>
    <row r="885" ht="13.5" customHeight="1">
      <c r="A885" s="243"/>
      <c r="B885" s="65"/>
      <c r="C885" s="65"/>
      <c r="D885" s="65"/>
      <c r="E885" s="60"/>
      <c r="F885" s="60"/>
      <c r="G885" s="60"/>
      <c r="H885" s="303"/>
      <c r="I885" s="304"/>
      <c r="J885" s="305"/>
      <c r="K885" s="306"/>
      <c r="L885" s="307"/>
      <c r="M885" s="243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</row>
    <row r="886" ht="13.5" customHeight="1">
      <c r="A886" s="243"/>
      <c r="B886" s="65"/>
      <c r="C886" s="65"/>
      <c r="D886" s="65"/>
      <c r="E886" s="60"/>
      <c r="F886" s="60"/>
      <c r="G886" s="60"/>
      <c r="H886" s="303"/>
      <c r="I886" s="304"/>
      <c r="J886" s="305"/>
      <c r="K886" s="306"/>
      <c r="L886" s="307"/>
      <c r="M886" s="243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</row>
    <row r="887" ht="13.5" customHeight="1">
      <c r="A887" s="243"/>
      <c r="B887" s="65"/>
      <c r="C887" s="65"/>
      <c r="D887" s="65"/>
      <c r="E887" s="60"/>
      <c r="F887" s="60"/>
      <c r="G887" s="60"/>
      <c r="H887" s="303"/>
      <c r="I887" s="304"/>
      <c r="J887" s="305"/>
      <c r="K887" s="306"/>
      <c r="L887" s="307"/>
      <c r="M887" s="243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</row>
    <row r="888" ht="13.5" customHeight="1">
      <c r="A888" s="243"/>
      <c r="B888" s="65"/>
      <c r="C888" s="65"/>
      <c r="D888" s="65"/>
      <c r="E888" s="60"/>
      <c r="F888" s="60"/>
      <c r="G888" s="60"/>
      <c r="H888" s="303"/>
      <c r="I888" s="304"/>
      <c r="J888" s="305"/>
      <c r="K888" s="306"/>
      <c r="L888" s="307"/>
      <c r="M888" s="243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</row>
    <row r="889" ht="13.5" customHeight="1">
      <c r="A889" s="243"/>
      <c r="B889" s="65"/>
      <c r="C889" s="65"/>
      <c r="D889" s="65"/>
      <c r="E889" s="60"/>
      <c r="F889" s="60"/>
      <c r="G889" s="60"/>
      <c r="H889" s="303"/>
      <c r="I889" s="304"/>
      <c r="J889" s="305"/>
      <c r="K889" s="306"/>
      <c r="L889" s="307"/>
      <c r="M889" s="243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</row>
    <row r="890" ht="13.5" customHeight="1">
      <c r="A890" s="243"/>
      <c r="B890" s="65"/>
      <c r="C890" s="65"/>
      <c r="D890" s="65"/>
      <c r="E890" s="60"/>
      <c r="F890" s="60"/>
      <c r="G890" s="60"/>
      <c r="H890" s="303"/>
      <c r="I890" s="304"/>
      <c r="J890" s="305"/>
      <c r="K890" s="306"/>
      <c r="L890" s="307"/>
      <c r="M890" s="243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</row>
    <row r="891" ht="13.5" customHeight="1">
      <c r="A891" s="243"/>
      <c r="B891" s="65"/>
      <c r="C891" s="65"/>
      <c r="D891" s="65"/>
      <c r="E891" s="60"/>
      <c r="F891" s="60"/>
      <c r="G891" s="60"/>
      <c r="H891" s="303"/>
      <c r="I891" s="304"/>
      <c r="J891" s="305"/>
      <c r="K891" s="306"/>
      <c r="L891" s="307"/>
      <c r="M891" s="243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</row>
    <row r="892" ht="13.5" customHeight="1">
      <c r="A892" s="243"/>
      <c r="B892" s="65"/>
      <c r="C892" s="65"/>
      <c r="D892" s="65"/>
      <c r="E892" s="60"/>
      <c r="F892" s="60"/>
      <c r="G892" s="60"/>
      <c r="H892" s="303"/>
      <c r="I892" s="304"/>
      <c r="J892" s="305"/>
      <c r="K892" s="306"/>
      <c r="L892" s="307"/>
      <c r="M892" s="243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</row>
    <row r="893" ht="13.5" customHeight="1">
      <c r="A893" s="243"/>
      <c r="B893" s="65"/>
      <c r="C893" s="65"/>
      <c r="D893" s="65"/>
      <c r="E893" s="60"/>
      <c r="F893" s="60"/>
      <c r="G893" s="60"/>
      <c r="H893" s="303"/>
      <c r="I893" s="304"/>
      <c r="J893" s="305"/>
      <c r="K893" s="306"/>
      <c r="L893" s="307"/>
      <c r="M893" s="243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</row>
    <row r="894" ht="13.5" customHeight="1">
      <c r="A894" s="243"/>
      <c r="B894" s="65"/>
      <c r="C894" s="65"/>
      <c r="D894" s="65"/>
      <c r="E894" s="60"/>
      <c r="F894" s="60"/>
      <c r="G894" s="60"/>
      <c r="H894" s="303"/>
      <c r="I894" s="304"/>
      <c r="J894" s="305"/>
      <c r="K894" s="306"/>
      <c r="L894" s="307"/>
      <c r="M894" s="243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</row>
    <row r="895" ht="13.5" customHeight="1">
      <c r="A895" s="243"/>
      <c r="B895" s="65"/>
      <c r="C895" s="65"/>
      <c r="D895" s="65"/>
      <c r="E895" s="60"/>
      <c r="F895" s="60"/>
      <c r="G895" s="60"/>
      <c r="H895" s="303"/>
      <c r="I895" s="304"/>
      <c r="J895" s="305"/>
      <c r="K895" s="306"/>
      <c r="L895" s="307"/>
      <c r="M895" s="243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</row>
    <row r="896" ht="13.5" customHeight="1">
      <c r="A896" s="243"/>
      <c r="B896" s="65"/>
      <c r="C896" s="65"/>
      <c r="D896" s="65"/>
      <c r="E896" s="60"/>
      <c r="F896" s="60"/>
      <c r="G896" s="60"/>
      <c r="H896" s="303"/>
      <c r="I896" s="304"/>
      <c r="J896" s="305"/>
      <c r="K896" s="306"/>
      <c r="L896" s="307"/>
      <c r="M896" s="243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</row>
    <row r="897" ht="13.5" customHeight="1">
      <c r="A897" s="243"/>
      <c r="B897" s="65"/>
      <c r="C897" s="65"/>
      <c r="D897" s="65"/>
      <c r="E897" s="60"/>
      <c r="F897" s="60"/>
      <c r="G897" s="60"/>
      <c r="H897" s="303"/>
      <c r="I897" s="304"/>
      <c r="J897" s="305"/>
      <c r="K897" s="306"/>
      <c r="L897" s="307"/>
      <c r="M897" s="243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</row>
    <row r="898" ht="13.5" customHeight="1">
      <c r="A898" s="243"/>
      <c r="B898" s="65"/>
      <c r="C898" s="65"/>
      <c r="D898" s="65"/>
      <c r="E898" s="60"/>
      <c r="F898" s="60"/>
      <c r="G898" s="60"/>
      <c r="H898" s="303"/>
      <c r="I898" s="304"/>
      <c r="J898" s="305"/>
      <c r="K898" s="306"/>
      <c r="L898" s="307"/>
      <c r="M898" s="243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</row>
    <row r="899" ht="13.5" customHeight="1">
      <c r="A899" s="243"/>
      <c r="B899" s="65"/>
      <c r="C899" s="65"/>
      <c r="D899" s="65"/>
      <c r="E899" s="60"/>
      <c r="F899" s="60"/>
      <c r="G899" s="60"/>
      <c r="H899" s="303"/>
      <c r="I899" s="304"/>
      <c r="J899" s="305"/>
      <c r="K899" s="306"/>
      <c r="L899" s="307"/>
      <c r="M899" s="243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</row>
    <row r="900" ht="13.5" customHeight="1">
      <c r="A900" s="243"/>
      <c r="B900" s="65"/>
      <c r="C900" s="65"/>
      <c r="D900" s="65"/>
      <c r="E900" s="60"/>
      <c r="F900" s="60"/>
      <c r="G900" s="60"/>
      <c r="H900" s="303"/>
      <c r="I900" s="304"/>
      <c r="J900" s="305"/>
      <c r="K900" s="306"/>
      <c r="L900" s="307"/>
      <c r="M900" s="243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</row>
    <row r="901" ht="13.5" customHeight="1">
      <c r="A901" s="243"/>
      <c r="B901" s="65"/>
      <c r="C901" s="65"/>
      <c r="D901" s="65"/>
      <c r="E901" s="60"/>
      <c r="F901" s="60"/>
      <c r="G901" s="60"/>
      <c r="H901" s="303"/>
      <c r="I901" s="304"/>
      <c r="J901" s="305"/>
      <c r="K901" s="306"/>
      <c r="L901" s="307"/>
      <c r="M901" s="243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</row>
    <row r="902" ht="13.5" customHeight="1">
      <c r="A902" s="243"/>
      <c r="B902" s="65"/>
      <c r="C902" s="65"/>
      <c r="D902" s="65"/>
      <c r="E902" s="60"/>
      <c r="F902" s="60"/>
      <c r="G902" s="60"/>
      <c r="H902" s="303"/>
      <c r="I902" s="304"/>
      <c r="J902" s="305"/>
      <c r="K902" s="306"/>
      <c r="L902" s="307"/>
      <c r="M902" s="243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</row>
    <row r="903" ht="13.5" customHeight="1">
      <c r="A903" s="243"/>
      <c r="B903" s="65"/>
      <c r="C903" s="65"/>
      <c r="D903" s="65"/>
      <c r="E903" s="60"/>
      <c r="F903" s="60"/>
      <c r="G903" s="60"/>
      <c r="H903" s="303"/>
      <c r="I903" s="304"/>
      <c r="J903" s="305"/>
      <c r="K903" s="306"/>
      <c r="L903" s="307"/>
      <c r="M903" s="243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</row>
    <row r="904" ht="13.5" customHeight="1">
      <c r="A904" s="243"/>
      <c r="B904" s="65"/>
      <c r="C904" s="65"/>
      <c r="D904" s="65"/>
      <c r="E904" s="60"/>
      <c r="F904" s="60"/>
      <c r="G904" s="60"/>
      <c r="H904" s="303"/>
      <c r="I904" s="304"/>
      <c r="J904" s="305"/>
      <c r="K904" s="306"/>
      <c r="L904" s="307"/>
      <c r="M904" s="243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</row>
    <row r="905" ht="13.5" customHeight="1">
      <c r="A905" s="243"/>
      <c r="B905" s="65"/>
      <c r="C905" s="65"/>
      <c r="D905" s="65"/>
      <c r="E905" s="60"/>
      <c r="F905" s="60"/>
      <c r="G905" s="60"/>
      <c r="H905" s="303"/>
      <c r="I905" s="304"/>
      <c r="J905" s="305"/>
      <c r="K905" s="306"/>
      <c r="L905" s="307"/>
      <c r="M905" s="243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</row>
    <row r="906" ht="13.5" customHeight="1">
      <c r="A906" s="243"/>
      <c r="B906" s="65"/>
      <c r="C906" s="65"/>
      <c r="D906" s="65"/>
      <c r="E906" s="60"/>
      <c r="F906" s="60"/>
      <c r="G906" s="60"/>
      <c r="H906" s="303"/>
      <c r="I906" s="304"/>
      <c r="J906" s="305"/>
      <c r="K906" s="306"/>
      <c r="L906" s="307"/>
      <c r="M906" s="243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</row>
    <row r="907" ht="13.5" customHeight="1">
      <c r="A907" s="243"/>
      <c r="B907" s="65"/>
      <c r="C907" s="65"/>
      <c r="D907" s="65"/>
      <c r="E907" s="60"/>
      <c r="F907" s="60"/>
      <c r="G907" s="60"/>
      <c r="H907" s="303"/>
      <c r="I907" s="304"/>
      <c r="J907" s="305"/>
      <c r="K907" s="306"/>
      <c r="L907" s="307"/>
      <c r="M907" s="243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</row>
    <row r="908" ht="13.5" customHeight="1">
      <c r="A908" s="243"/>
      <c r="B908" s="65"/>
      <c r="C908" s="65"/>
      <c r="D908" s="65"/>
      <c r="E908" s="60"/>
      <c r="F908" s="60"/>
      <c r="G908" s="60"/>
      <c r="H908" s="303"/>
      <c r="I908" s="304"/>
      <c r="J908" s="305"/>
      <c r="K908" s="306"/>
      <c r="L908" s="307"/>
      <c r="M908" s="243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</row>
    <row r="909" ht="13.5" customHeight="1">
      <c r="A909" s="243"/>
      <c r="B909" s="65"/>
      <c r="C909" s="65"/>
      <c r="D909" s="65"/>
      <c r="E909" s="60"/>
      <c r="F909" s="60"/>
      <c r="G909" s="60"/>
      <c r="H909" s="303"/>
      <c r="I909" s="304"/>
      <c r="J909" s="305"/>
      <c r="K909" s="306"/>
      <c r="L909" s="307"/>
      <c r="M909" s="243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</row>
    <row r="910" ht="13.5" customHeight="1">
      <c r="A910" s="243"/>
      <c r="B910" s="65"/>
      <c r="C910" s="65"/>
      <c r="D910" s="65"/>
      <c r="E910" s="60"/>
      <c r="F910" s="60"/>
      <c r="G910" s="60"/>
      <c r="H910" s="303"/>
      <c r="I910" s="304"/>
      <c r="J910" s="305"/>
      <c r="K910" s="306"/>
      <c r="L910" s="307"/>
      <c r="M910" s="243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</row>
    <row r="911" ht="13.5" customHeight="1">
      <c r="A911" s="243"/>
      <c r="B911" s="65"/>
      <c r="C911" s="65"/>
      <c r="D911" s="65"/>
      <c r="E911" s="60"/>
      <c r="F911" s="60"/>
      <c r="G911" s="60"/>
      <c r="H911" s="303"/>
      <c r="I911" s="304"/>
      <c r="J911" s="305"/>
      <c r="K911" s="306"/>
      <c r="L911" s="307"/>
      <c r="M911" s="243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</row>
    <row r="912" ht="13.5" customHeight="1">
      <c r="A912" s="243"/>
      <c r="B912" s="65"/>
      <c r="C912" s="65"/>
      <c r="D912" s="65"/>
      <c r="E912" s="60"/>
      <c r="F912" s="60"/>
      <c r="G912" s="60"/>
      <c r="H912" s="303"/>
      <c r="I912" s="304"/>
      <c r="J912" s="305"/>
      <c r="K912" s="306"/>
      <c r="L912" s="307"/>
      <c r="M912" s="243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</row>
    <row r="913" ht="13.5" customHeight="1">
      <c r="A913" s="243"/>
      <c r="B913" s="65"/>
      <c r="C913" s="65"/>
      <c r="D913" s="65"/>
      <c r="E913" s="60"/>
      <c r="F913" s="60"/>
      <c r="G913" s="60"/>
      <c r="H913" s="303"/>
      <c r="I913" s="304"/>
      <c r="J913" s="305"/>
      <c r="K913" s="306"/>
      <c r="L913" s="307"/>
      <c r="M913" s="243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</row>
    <row r="914" ht="13.5" customHeight="1">
      <c r="A914" s="243"/>
      <c r="B914" s="65"/>
      <c r="C914" s="65"/>
      <c r="D914" s="65"/>
      <c r="E914" s="60"/>
      <c r="F914" s="60"/>
      <c r="G914" s="60"/>
      <c r="H914" s="303"/>
      <c r="I914" s="304"/>
      <c r="J914" s="305"/>
      <c r="K914" s="306"/>
      <c r="L914" s="307"/>
      <c r="M914" s="243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</row>
    <row r="915" ht="13.5" customHeight="1">
      <c r="A915" s="243"/>
      <c r="B915" s="65"/>
      <c r="C915" s="65"/>
      <c r="D915" s="65"/>
      <c r="E915" s="60"/>
      <c r="F915" s="60"/>
      <c r="G915" s="60"/>
      <c r="H915" s="303"/>
      <c r="I915" s="304"/>
      <c r="J915" s="305"/>
      <c r="K915" s="306"/>
      <c r="L915" s="307"/>
      <c r="M915" s="243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</row>
    <row r="916" ht="13.5" customHeight="1">
      <c r="A916" s="243"/>
      <c r="B916" s="65"/>
      <c r="C916" s="65"/>
      <c r="D916" s="65"/>
      <c r="E916" s="60"/>
      <c r="F916" s="60"/>
      <c r="G916" s="60"/>
      <c r="H916" s="303"/>
      <c r="I916" s="304"/>
      <c r="J916" s="305"/>
      <c r="K916" s="306"/>
      <c r="L916" s="307"/>
      <c r="M916" s="243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</row>
    <row r="917" ht="13.5" customHeight="1">
      <c r="A917" s="243"/>
      <c r="B917" s="65"/>
      <c r="C917" s="65"/>
      <c r="D917" s="65"/>
      <c r="E917" s="60"/>
      <c r="F917" s="60"/>
      <c r="G917" s="60"/>
      <c r="H917" s="303"/>
      <c r="I917" s="304"/>
      <c r="J917" s="305"/>
      <c r="K917" s="306"/>
      <c r="L917" s="307"/>
      <c r="M917" s="243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</row>
    <row r="918" ht="13.5" customHeight="1">
      <c r="A918" s="243"/>
      <c r="B918" s="65"/>
      <c r="C918" s="65"/>
      <c r="D918" s="65"/>
      <c r="E918" s="60"/>
      <c r="F918" s="60"/>
      <c r="G918" s="60"/>
      <c r="H918" s="303"/>
      <c r="I918" s="304"/>
      <c r="J918" s="305"/>
      <c r="K918" s="306"/>
      <c r="L918" s="307"/>
      <c r="M918" s="243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</row>
    <row r="919" ht="13.5" customHeight="1">
      <c r="A919" s="243"/>
      <c r="B919" s="65"/>
      <c r="C919" s="65"/>
      <c r="D919" s="65"/>
      <c r="E919" s="60"/>
      <c r="F919" s="60"/>
      <c r="G919" s="60"/>
      <c r="H919" s="303"/>
      <c r="I919" s="304"/>
      <c r="J919" s="305"/>
      <c r="K919" s="306"/>
      <c r="L919" s="307"/>
      <c r="M919" s="243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</row>
    <row r="920" ht="13.5" customHeight="1">
      <c r="A920" s="243"/>
      <c r="B920" s="65"/>
      <c r="C920" s="65"/>
      <c r="D920" s="65"/>
      <c r="E920" s="60"/>
      <c r="F920" s="60"/>
      <c r="G920" s="60"/>
      <c r="H920" s="303"/>
      <c r="I920" s="304"/>
      <c r="J920" s="305"/>
      <c r="K920" s="306"/>
      <c r="L920" s="307"/>
      <c r="M920" s="243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</row>
    <row r="921" ht="13.5" customHeight="1">
      <c r="A921" s="243"/>
      <c r="B921" s="65"/>
      <c r="C921" s="65"/>
      <c r="D921" s="65"/>
      <c r="E921" s="60"/>
      <c r="F921" s="60"/>
      <c r="G921" s="60"/>
      <c r="H921" s="303"/>
      <c r="I921" s="304"/>
      <c r="J921" s="305"/>
      <c r="K921" s="306"/>
      <c r="L921" s="307"/>
      <c r="M921" s="243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</row>
    <row r="922" ht="13.5" customHeight="1">
      <c r="A922" s="243"/>
      <c r="B922" s="65"/>
      <c r="C922" s="65"/>
      <c r="D922" s="65"/>
      <c r="E922" s="60"/>
      <c r="F922" s="60"/>
      <c r="G922" s="60"/>
      <c r="H922" s="303"/>
      <c r="I922" s="304"/>
      <c r="J922" s="305"/>
      <c r="K922" s="306"/>
      <c r="L922" s="307"/>
      <c r="M922" s="243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</row>
    <row r="923" ht="13.5" customHeight="1">
      <c r="A923" s="243"/>
      <c r="B923" s="65"/>
      <c r="C923" s="65"/>
      <c r="D923" s="65"/>
      <c r="E923" s="60"/>
      <c r="F923" s="60"/>
      <c r="G923" s="60"/>
      <c r="H923" s="303"/>
      <c r="I923" s="304"/>
      <c r="J923" s="305"/>
      <c r="K923" s="306"/>
      <c r="L923" s="307"/>
      <c r="M923" s="243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</row>
    <row r="924" ht="13.5" customHeight="1">
      <c r="A924" s="243"/>
      <c r="B924" s="65"/>
      <c r="C924" s="65"/>
      <c r="D924" s="65"/>
      <c r="E924" s="60"/>
      <c r="F924" s="60"/>
      <c r="G924" s="60"/>
      <c r="H924" s="303"/>
      <c r="I924" s="304"/>
      <c r="J924" s="305"/>
      <c r="K924" s="306"/>
      <c r="L924" s="307"/>
      <c r="M924" s="243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</row>
    <row r="925" ht="13.5" customHeight="1">
      <c r="A925" s="243"/>
      <c r="B925" s="65"/>
      <c r="C925" s="65"/>
      <c r="D925" s="65"/>
      <c r="E925" s="60"/>
      <c r="F925" s="60"/>
      <c r="G925" s="60"/>
      <c r="H925" s="303"/>
      <c r="I925" s="304"/>
      <c r="J925" s="305"/>
      <c r="K925" s="306"/>
      <c r="L925" s="307"/>
      <c r="M925" s="243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</row>
    <row r="926" ht="13.5" customHeight="1">
      <c r="A926" s="243"/>
      <c r="B926" s="65"/>
      <c r="C926" s="65"/>
      <c r="D926" s="65"/>
      <c r="E926" s="60"/>
      <c r="F926" s="60"/>
      <c r="G926" s="60"/>
      <c r="H926" s="303"/>
      <c r="I926" s="304"/>
      <c r="J926" s="305"/>
      <c r="K926" s="306"/>
      <c r="L926" s="307"/>
      <c r="M926" s="243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</row>
    <row r="927" ht="13.5" customHeight="1">
      <c r="A927" s="243"/>
      <c r="B927" s="65"/>
      <c r="C927" s="65"/>
      <c r="D927" s="65"/>
      <c r="E927" s="60"/>
      <c r="F927" s="60"/>
      <c r="G927" s="60"/>
      <c r="H927" s="303"/>
      <c r="I927" s="304"/>
      <c r="J927" s="305"/>
      <c r="K927" s="306"/>
      <c r="L927" s="307"/>
      <c r="M927" s="243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</row>
    <row r="928" ht="13.5" customHeight="1">
      <c r="A928" s="243"/>
      <c r="B928" s="65"/>
      <c r="C928" s="65"/>
      <c r="D928" s="65"/>
      <c r="E928" s="60"/>
      <c r="F928" s="60"/>
      <c r="G928" s="60"/>
      <c r="H928" s="303"/>
      <c r="I928" s="304"/>
      <c r="J928" s="305"/>
      <c r="K928" s="306"/>
      <c r="L928" s="307"/>
      <c r="M928" s="243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</row>
    <row r="929" ht="13.5" customHeight="1">
      <c r="A929" s="243"/>
      <c r="B929" s="65"/>
      <c r="C929" s="65"/>
      <c r="D929" s="65"/>
      <c r="E929" s="60"/>
      <c r="F929" s="60"/>
      <c r="G929" s="60"/>
      <c r="H929" s="303"/>
      <c r="I929" s="304"/>
      <c r="J929" s="305"/>
      <c r="K929" s="306"/>
      <c r="L929" s="307"/>
      <c r="M929" s="243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</row>
    <row r="930" ht="13.5" customHeight="1">
      <c r="A930" s="243"/>
      <c r="B930" s="65"/>
      <c r="C930" s="65"/>
      <c r="D930" s="65"/>
      <c r="E930" s="60"/>
      <c r="F930" s="60"/>
      <c r="G930" s="60"/>
      <c r="H930" s="303"/>
      <c r="I930" s="304"/>
      <c r="J930" s="305"/>
      <c r="K930" s="306"/>
      <c r="L930" s="307"/>
      <c r="M930" s="243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</row>
    <row r="931" ht="13.5" customHeight="1">
      <c r="A931" s="243"/>
      <c r="B931" s="65"/>
      <c r="C931" s="65"/>
      <c r="D931" s="65"/>
      <c r="E931" s="60"/>
      <c r="F931" s="60"/>
      <c r="G931" s="60"/>
      <c r="H931" s="303"/>
      <c r="I931" s="304"/>
      <c r="J931" s="305"/>
      <c r="K931" s="306"/>
      <c r="L931" s="307"/>
      <c r="M931" s="243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</row>
    <row r="932" ht="13.5" customHeight="1">
      <c r="A932" s="243"/>
      <c r="B932" s="65"/>
      <c r="C932" s="65"/>
      <c r="D932" s="65"/>
      <c r="E932" s="60"/>
      <c r="F932" s="60"/>
      <c r="G932" s="60"/>
      <c r="H932" s="303"/>
      <c r="I932" s="304"/>
      <c r="J932" s="305"/>
      <c r="K932" s="306"/>
      <c r="L932" s="307"/>
      <c r="M932" s="243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</row>
    <row r="933" ht="13.5" customHeight="1">
      <c r="A933" s="243"/>
      <c r="B933" s="65"/>
      <c r="C933" s="65"/>
      <c r="D933" s="65"/>
      <c r="E933" s="60"/>
      <c r="F933" s="60"/>
      <c r="G933" s="60"/>
      <c r="H933" s="303"/>
      <c r="I933" s="304"/>
      <c r="J933" s="305"/>
      <c r="K933" s="306"/>
      <c r="L933" s="307"/>
      <c r="M933" s="243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</row>
    <row r="934" ht="13.5" customHeight="1">
      <c r="A934" s="243"/>
      <c r="B934" s="65"/>
      <c r="C934" s="65"/>
      <c r="D934" s="65"/>
      <c r="E934" s="60"/>
      <c r="F934" s="60"/>
      <c r="G934" s="60"/>
      <c r="H934" s="303"/>
      <c r="I934" s="304"/>
      <c r="J934" s="305"/>
      <c r="K934" s="306"/>
      <c r="L934" s="307"/>
      <c r="M934" s="243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</row>
    <row r="935" ht="13.5" customHeight="1">
      <c r="A935" s="243"/>
      <c r="B935" s="65"/>
      <c r="C935" s="65"/>
      <c r="D935" s="65"/>
      <c r="E935" s="60"/>
      <c r="F935" s="60"/>
      <c r="G935" s="60"/>
      <c r="H935" s="303"/>
      <c r="I935" s="304"/>
      <c r="J935" s="305"/>
      <c r="K935" s="306"/>
      <c r="L935" s="307"/>
      <c r="M935" s="243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</row>
    <row r="936" ht="13.5" customHeight="1">
      <c r="A936" s="243"/>
      <c r="B936" s="65"/>
      <c r="C936" s="65"/>
      <c r="D936" s="65"/>
      <c r="E936" s="60"/>
      <c r="F936" s="60"/>
      <c r="G936" s="60"/>
      <c r="H936" s="303"/>
      <c r="I936" s="304"/>
      <c r="J936" s="305"/>
      <c r="K936" s="306"/>
      <c r="L936" s="307"/>
      <c r="M936" s="243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</row>
    <row r="937" ht="13.5" customHeight="1">
      <c r="A937" s="243"/>
      <c r="B937" s="65"/>
      <c r="C937" s="65"/>
      <c r="D937" s="65"/>
      <c r="E937" s="60"/>
      <c r="F937" s="60"/>
      <c r="G937" s="60"/>
      <c r="H937" s="303"/>
      <c r="I937" s="304"/>
      <c r="J937" s="305"/>
      <c r="K937" s="306"/>
      <c r="L937" s="307"/>
      <c r="M937" s="243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</row>
    <row r="938" ht="13.5" customHeight="1">
      <c r="A938" s="243"/>
      <c r="B938" s="65"/>
      <c r="C938" s="65"/>
      <c r="D938" s="65"/>
      <c r="E938" s="60"/>
      <c r="F938" s="60"/>
      <c r="G938" s="60"/>
      <c r="H938" s="303"/>
      <c r="I938" s="304"/>
      <c r="J938" s="305"/>
      <c r="K938" s="306"/>
      <c r="L938" s="307"/>
      <c r="M938" s="243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</row>
    <row r="939" ht="13.5" customHeight="1">
      <c r="A939" s="243"/>
      <c r="B939" s="65"/>
      <c r="C939" s="65"/>
      <c r="D939" s="65"/>
      <c r="E939" s="60"/>
      <c r="F939" s="60"/>
      <c r="G939" s="60"/>
      <c r="H939" s="303"/>
      <c r="I939" s="304"/>
      <c r="J939" s="305"/>
      <c r="K939" s="306"/>
      <c r="L939" s="307"/>
      <c r="M939" s="243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</row>
    <row r="940" ht="13.5" customHeight="1">
      <c r="A940" s="243"/>
      <c r="B940" s="65"/>
      <c r="C940" s="65"/>
      <c r="D940" s="65"/>
      <c r="E940" s="60"/>
      <c r="F940" s="60"/>
      <c r="G940" s="60"/>
      <c r="H940" s="303"/>
      <c r="I940" s="304"/>
      <c r="J940" s="305"/>
      <c r="K940" s="306"/>
      <c r="L940" s="307"/>
      <c r="M940" s="243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</row>
    <row r="941" ht="13.5" customHeight="1">
      <c r="A941" s="243"/>
      <c r="B941" s="65"/>
      <c r="C941" s="65"/>
      <c r="D941" s="65"/>
      <c r="E941" s="60"/>
      <c r="F941" s="60"/>
      <c r="G941" s="60"/>
      <c r="H941" s="303"/>
      <c r="I941" s="304"/>
      <c r="J941" s="305"/>
      <c r="K941" s="306"/>
      <c r="L941" s="307"/>
      <c r="M941" s="243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</row>
    <row r="942" ht="13.5" customHeight="1">
      <c r="A942" s="243"/>
      <c r="B942" s="65"/>
      <c r="C942" s="65"/>
      <c r="D942" s="65"/>
      <c r="E942" s="60"/>
      <c r="F942" s="60"/>
      <c r="G942" s="60"/>
      <c r="H942" s="303"/>
      <c r="I942" s="304"/>
      <c r="J942" s="305"/>
      <c r="K942" s="306"/>
      <c r="L942" s="307"/>
      <c r="M942" s="243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</row>
    <row r="943" ht="13.5" customHeight="1">
      <c r="A943" s="243"/>
      <c r="B943" s="65"/>
      <c r="C943" s="65"/>
      <c r="D943" s="65"/>
      <c r="E943" s="60"/>
      <c r="F943" s="60"/>
      <c r="G943" s="60"/>
      <c r="H943" s="303"/>
      <c r="I943" s="304"/>
      <c r="J943" s="305"/>
      <c r="K943" s="306"/>
      <c r="L943" s="307"/>
      <c r="M943" s="243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</row>
    <row r="944" ht="13.5" customHeight="1">
      <c r="A944" s="243"/>
      <c r="B944" s="65"/>
      <c r="C944" s="65"/>
      <c r="D944" s="65"/>
      <c r="E944" s="60"/>
      <c r="F944" s="60"/>
      <c r="G944" s="60"/>
      <c r="H944" s="303"/>
      <c r="I944" s="304"/>
      <c r="J944" s="305"/>
      <c r="K944" s="306"/>
      <c r="L944" s="307"/>
      <c r="M944" s="243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</row>
    <row r="945" ht="13.5" customHeight="1">
      <c r="A945" s="243"/>
      <c r="B945" s="65"/>
      <c r="C945" s="65"/>
      <c r="D945" s="65"/>
      <c r="E945" s="60"/>
      <c r="F945" s="60"/>
      <c r="G945" s="60"/>
      <c r="H945" s="303"/>
      <c r="I945" s="304"/>
      <c r="J945" s="305"/>
      <c r="K945" s="306"/>
      <c r="L945" s="307"/>
      <c r="M945" s="243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</row>
    <row r="946" ht="13.5" customHeight="1">
      <c r="A946" s="243"/>
      <c r="B946" s="65"/>
      <c r="C946" s="65"/>
      <c r="D946" s="65"/>
      <c r="E946" s="60"/>
      <c r="F946" s="60"/>
      <c r="G946" s="60"/>
      <c r="H946" s="303"/>
      <c r="I946" s="304"/>
      <c r="J946" s="305"/>
      <c r="K946" s="306"/>
      <c r="L946" s="307"/>
      <c r="M946" s="243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</row>
    <row r="947" ht="13.5" customHeight="1">
      <c r="A947" s="243"/>
      <c r="B947" s="65"/>
      <c r="C947" s="65"/>
      <c r="D947" s="65"/>
      <c r="E947" s="60"/>
      <c r="F947" s="60"/>
      <c r="G947" s="60"/>
      <c r="H947" s="303"/>
      <c r="I947" s="304"/>
      <c r="J947" s="305"/>
      <c r="K947" s="306"/>
      <c r="L947" s="307"/>
      <c r="M947" s="243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</row>
    <row r="948" ht="13.5" customHeight="1">
      <c r="A948" s="243"/>
      <c r="B948" s="65"/>
      <c r="C948" s="65"/>
      <c r="D948" s="65"/>
      <c r="E948" s="60"/>
      <c r="F948" s="60"/>
      <c r="G948" s="60"/>
      <c r="H948" s="303"/>
      <c r="I948" s="304"/>
      <c r="J948" s="305"/>
      <c r="K948" s="306"/>
      <c r="L948" s="307"/>
      <c r="M948" s="243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</row>
    <row r="949" ht="13.5" customHeight="1">
      <c r="A949" s="243"/>
      <c r="B949" s="65"/>
      <c r="C949" s="65"/>
      <c r="D949" s="65"/>
      <c r="E949" s="60"/>
      <c r="F949" s="60"/>
      <c r="G949" s="60"/>
      <c r="H949" s="303"/>
      <c r="I949" s="304"/>
      <c r="J949" s="305"/>
      <c r="K949" s="306"/>
      <c r="L949" s="307"/>
      <c r="M949" s="243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</row>
    <row r="950" ht="13.5" customHeight="1">
      <c r="A950" s="243"/>
      <c r="B950" s="65"/>
      <c r="C950" s="65"/>
      <c r="D950" s="65"/>
      <c r="E950" s="60"/>
      <c r="F950" s="60"/>
      <c r="G950" s="60"/>
      <c r="H950" s="303"/>
      <c r="I950" s="304"/>
      <c r="J950" s="305"/>
      <c r="K950" s="306"/>
      <c r="L950" s="307"/>
      <c r="M950" s="243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</row>
    <row r="951" ht="13.5" customHeight="1">
      <c r="A951" s="243"/>
      <c r="B951" s="65"/>
      <c r="C951" s="65"/>
      <c r="D951" s="65"/>
      <c r="E951" s="60"/>
      <c r="F951" s="60"/>
      <c r="G951" s="60"/>
      <c r="H951" s="303"/>
      <c r="I951" s="304"/>
      <c r="J951" s="305"/>
      <c r="K951" s="306"/>
      <c r="L951" s="307"/>
      <c r="M951" s="243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</row>
    <row r="952" ht="13.5" customHeight="1">
      <c r="A952" s="243"/>
      <c r="B952" s="65"/>
      <c r="C952" s="65"/>
      <c r="D952" s="65"/>
      <c r="E952" s="60"/>
      <c r="F952" s="60"/>
      <c r="G952" s="60"/>
      <c r="H952" s="303"/>
      <c r="I952" s="304"/>
      <c r="J952" s="305"/>
      <c r="K952" s="306"/>
      <c r="L952" s="307"/>
      <c r="M952" s="243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</row>
    <row r="953" ht="13.5" customHeight="1">
      <c r="A953" s="243"/>
      <c r="B953" s="65"/>
      <c r="C953" s="65"/>
      <c r="D953" s="65"/>
      <c r="E953" s="60"/>
      <c r="F953" s="60"/>
      <c r="G953" s="60"/>
      <c r="H953" s="303"/>
      <c r="I953" s="304"/>
      <c r="J953" s="305"/>
      <c r="K953" s="306"/>
      <c r="L953" s="307"/>
      <c r="M953" s="243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</row>
    <row r="954" ht="13.5" customHeight="1">
      <c r="A954" s="243"/>
      <c r="B954" s="65"/>
      <c r="C954" s="65"/>
      <c r="D954" s="65"/>
      <c r="E954" s="60"/>
      <c r="F954" s="60"/>
      <c r="G954" s="60"/>
      <c r="H954" s="303"/>
      <c r="I954" s="304"/>
      <c r="J954" s="305"/>
      <c r="K954" s="306"/>
      <c r="L954" s="307"/>
      <c r="M954" s="243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</row>
    <row r="955" ht="13.5" customHeight="1">
      <c r="A955" s="243"/>
      <c r="B955" s="65"/>
      <c r="C955" s="65"/>
      <c r="D955" s="65"/>
      <c r="E955" s="60"/>
      <c r="F955" s="60"/>
      <c r="G955" s="60"/>
      <c r="H955" s="303"/>
      <c r="I955" s="304"/>
      <c r="J955" s="305"/>
      <c r="K955" s="306"/>
      <c r="L955" s="307"/>
      <c r="M955" s="243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</row>
    <row r="956" ht="13.5" customHeight="1">
      <c r="A956" s="243"/>
      <c r="B956" s="65"/>
      <c r="C956" s="65"/>
      <c r="D956" s="65"/>
      <c r="E956" s="60"/>
      <c r="F956" s="60"/>
      <c r="G956" s="60"/>
      <c r="H956" s="303"/>
      <c r="I956" s="304"/>
      <c r="J956" s="305"/>
      <c r="K956" s="306"/>
      <c r="L956" s="307"/>
      <c r="M956" s="243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</row>
    <row r="957" ht="13.5" customHeight="1">
      <c r="A957" s="243"/>
      <c r="B957" s="65"/>
      <c r="C957" s="65"/>
      <c r="D957" s="65"/>
      <c r="E957" s="60"/>
      <c r="F957" s="60"/>
      <c r="G957" s="60"/>
      <c r="H957" s="303"/>
      <c r="I957" s="304"/>
      <c r="J957" s="305"/>
      <c r="K957" s="306"/>
      <c r="L957" s="307"/>
      <c r="M957" s="243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</row>
    <row r="958" ht="13.5" customHeight="1">
      <c r="A958" s="243"/>
      <c r="B958" s="65"/>
      <c r="C958" s="65"/>
      <c r="D958" s="65"/>
      <c r="E958" s="60"/>
      <c r="F958" s="60"/>
      <c r="G958" s="60"/>
      <c r="H958" s="303"/>
      <c r="I958" s="304"/>
      <c r="J958" s="305"/>
      <c r="K958" s="306"/>
      <c r="L958" s="307"/>
      <c r="M958" s="243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</row>
    <row r="959" ht="13.5" customHeight="1">
      <c r="A959" s="243"/>
      <c r="B959" s="65"/>
      <c r="C959" s="65"/>
      <c r="D959" s="65"/>
      <c r="E959" s="60"/>
      <c r="F959" s="60"/>
      <c r="G959" s="60"/>
      <c r="H959" s="303"/>
      <c r="I959" s="304"/>
      <c r="J959" s="305"/>
      <c r="K959" s="306"/>
      <c r="L959" s="307"/>
      <c r="M959" s="243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</row>
    <row r="960" ht="13.5" customHeight="1">
      <c r="A960" s="243"/>
      <c r="B960" s="65"/>
      <c r="C960" s="65"/>
      <c r="D960" s="65"/>
      <c r="E960" s="60"/>
      <c r="F960" s="60"/>
      <c r="G960" s="60"/>
      <c r="H960" s="303"/>
      <c r="I960" s="304"/>
      <c r="J960" s="305"/>
      <c r="K960" s="306"/>
      <c r="L960" s="307"/>
      <c r="M960" s="243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</row>
    <row r="961" ht="13.5" customHeight="1">
      <c r="A961" s="243"/>
      <c r="B961" s="65"/>
      <c r="C961" s="65"/>
      <c r="D961" s="65"/>
      <c r="E961" s="60"/>
      <c r="F961" s="60"/>
      <c r="G961" s="60"/>
      <c r="H961" s="303"/>
      <c r="I961" s="304"/>
      <c r="J961" s="305"/>
      <c r="K961" s="306"/>
      <c r="L961" s="307"/>
      <c r="M961" s="243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</row>
    <row r="962" ht="13.5" customHeight="1">
      <c r="A962" s="243"/>
      <c r="B962" s="65"/>
      <c r="C962" s="65"/>
      <c r="D962" s="65"/>
      <c r="E962" s="60"/>
      <c r="F962" s="60"/>
      <c r="G962" s="60"/>
      <c r="H962" s="303"/>
      <c r="I962" s="304"/>
      <c r="J962" s="305"/>
      <c r="K962" s="306"/>
      <c r="L962" s="307"/>
      <c r="M962" s="243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</row>
    <row r="963" ht="13.5" customHeight="1">
      <c r="A963" s="243"/>
      <c r="B963" s="65"/>
      <c r="C963" s="65"/>
      <c r="D963" s="65"/>
      <c r="E963" s="60"/>
      <c r="F963" s="60"/>
      <c r="G963" s="60"/>
      <c r="H963" s="303"/>
      <c r="I963" s="304"/>
      <c r="J963" s="305"/>
      <c r="K963" s="306"/>
      <c r="L963" s="307"/>
      <c r="M963" s="243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</row>
    <row r="964" ht="13.5" customHeight="1">
      <c r="A964" s="243"/>
      <c r="B964" s="65"/>
      <c r="C964" s="65"/>
      <c r="D964" s="65"/>
      <c r="E964" s="60"/>
      <c r="F964" s="60"/>
      <c r="G964" s="60"/>
      <c r="H964" s="303"/>
      <c r="I964" s="304"/>
      <c r="J964" s="305"/>
      <c r="K964" s="306"/>
      <c r="L964" s="307"/>
      <c r="M964" s="243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</row>
    <row r="965" ht="13.5" customHeight="1">
      <c r="A965" s="243"/>
      <c r="B965" s="65"/>
      <c r="C965" s="65"/>
      <c r="D965" s="65"/>
      <c r="E965" s="60"/>
      <c r="F965" s="60"/>
      <c r="G965" s="60"/>
      <c r="H965" s="303"/>
      <c r="I965" s="304"/>
      <c r="J965" s="305"/>
      <c r="K965" s="306"/>
      <c r="L965" s="307"/>
      <c r="M965" s="243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</row>
    <row r="966" ht="13.5" customHeight="1">
      <c r="A966" s="243"/>
      <c r="B966" s="65"/>
      <c r="C966" s="65"/>
      <c r="D966" s="65"/>
      <c r="E966" s="60"/>
      <c r="F966" s="60"/>
      <c r="G966" s="60"/>
      <c r="H966" s="303"/>
      <c r="I966" s="304"/>
      <c r="J966" s="305"/>
      <c r="K966" s="306"/>
      <c r="L966" s="307"/>
      <c r="M966" s="243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</row>
    <row r="967" ht="13.5" customHeight="1">
      <c r="A967" s="243"/>
      <c r="B967" s="65"/>
      <c r="C967" s="65"/>
      <c r="D967" s="65"/>
      <c r="E967" s="60"/>
      <c r="F967" s="60"/>
      <c r="G967" s="60"/>
      <c r="H967" s="303"/>
      <c r="I967" s="304"/>
      <c r="J967" s="305"/>
      <c r="K967" s="306"/>
      <c r="L967" s="307"/>
      <c r="M967" s="243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</row>
    <row r="968" ht="13.5" customHeight="1">
      <c r="A968" s="243"/>
      <c r="B968" s="65"/>
      <c r="C968" s="65"/>
      <c r="D968" s="65"/>
      <c r="E968" s="60"/>
      <c r="F968" s="60"/>
      <c r="G968" s="60"/>
      <c r="H968" s="303"/>
      <c r="I968" s="304"/>
      <c r="J968" s="305"/>
      <c r="K968" s="306"/>
      <c r="L968" s="307"/>
      <c r="M968" s="243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</row>
    <row r="969" ht="13.5" customHeight="1">
      <c r="A969" s="243"/>
      <c r="B969" s="65"/>
      <c r="C969" s="65"/>
      <c r="D969" s="65"/>
      <c r="E969" s="60"/>
      <c r="F969" s="60"/>
      <c r="G969" s="60"/>
      <c r="H969" s="303"/>
      <c r="I969" s="304"/>
      <c r="J969" s="305"/>
      <c r="K969" s="306"/>
      <c r="L969" s="307"/>
      <c r="M969" s="243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</row>
    <row r="970" ht="13.5" customHeight="1">
      <c r="A970" s="243"/>
      <c r="B970" s="65"/>
      <c r="C970" s="65"/>
      <c r="D970" s="65"/>
      <c r="E970" s="60"/>
      <c r="F970" s="60"/>
      <c r="G970" s="60"/>
      <c r="H970" s="303"/>
      <c r="I970" s="304"/>
      <c r="J970" s="305"/>
      <c r="K970" s="306"/>
      <c r="L970" s="307"/>
      <c r="M970" s="243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</row>
    <row r="971" ht="13.5" customHeight="1">
      <c r="A971" s="243"/>
      <c r="B971" s="65"/>
      <c r="C971" s="65"/>
      <c r="D971" s="65"/>
      <c r="E971" s="60"/>
      <c r="F971" s="60"/>
      <c r="G971" s="60"/>
      <c r="H971" s="303"/>
      <c r="I971" s="304"/>
      <c r="J971" s="305"/>
      <c r="K971" s="306"/>
      <c r="L971" s="307"/>
      <c r="M971" s="243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</row>
    <row r="972" ht="13.5" customHeight="1">
      <c r="A972" s="243"/>
      <c r="B972" s="65"/>
      <c r="C972" s="65"/>
      <c r="D972" s="65"/>
      <c r="E972" s="60"/>
      <c r="F972" s="60"/>
      <c r="G972" s="60"/>
      <c r="H972" s="303"/>
      <c r="I972" s="304"/>
      <c r="J972" s="305"/>
      <c r="K972" s="306"/>
      <c r="L972" s="307"/>
      <c r="M972" s="243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</row>
    <row r="973" ht="13.5" customHeight="1">
      <c r="A973" s="243"/>
      <c r="B973" s="65"/>
      <c r="C973" s="65"/>
      <c r="D973" s="65"/>
      <c r="E973" s="60"/>
      <c r="F973" s="60"/>
      <c r="G973" s="60"/>
      <c r="H973" s="303"/>
      <c r="I973" s="304"/>
      <c r="J973" s="305"/>
      <c r="K973" s="306"/>
      <c r="L973" s="307"/>
      <c r="M973" s="243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</row>
    <row r="974" ht="13.5" customHeight="1">
      <c r="A974" s="243"/>
      <c r="B974" s="65"/>
      <c r="C974" s="65"/>
      <c r="D974" s="65"/>
      <c r="E974" s="60"/>
      <c r="F974" s="60"/>
      <c r="G974" s="60"/>
      <c r="H974" s="303"/>
      <c r="I974" s="304"/>
      <c r="J974" s="305"/>
      <c r="K974" s="306"/>
      <c r="L974" s="307"/>
      <c r="M974" s="243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</row>
    <row r="975" ht="13.5" customHeight="1">
      <c r="A975" s="243"/>
      <c r="B975" s="65"/>
      <c r="C975" s="65"/>
      <c r="D975" s="65"/>
      <c r="E975" s="60"/>
      <c r="F975" s="60"/>
      <c r="G975" s="60"/>
      <c r="H975" s="303"/>
      <c r="I975" s="304"/>
      <c r="J975" s="305"/>
      <c r="K975" s="306"/>
      <c r="L975" s="307"/>
      <c r="M975" s="243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</row>
    <row r="976" ht="13.5" customHeight="1">
      <c r="A976" s="243"/>
      <c r="B976" s="65"/>
      <c r="C976" s="65"/>
      <c r="D976" s="65"/>
      <c r="E976" s="60"/>
      <c r="F976" s="60"/>
      <c r="G976" s="60"/>
      <c r="H976" s="303"/>
      <c r="I976" s="304"/>
      <c r="J976" s="305"/>
      <c r="K976" s="306"/>
      <c r="L976" s="307"/>
      <c r="M976" s="243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</row>
    <row r="977" ht="13.5" customHeight="1">
      <c r="A977" s="243"/>
      <c r="B977" s="65"/>
      <c r="C977" s="65"/>
      <c r="D977" s="65"/>
      <c r="E977" s="60"/>
      <c r="F977" s="60"/>
      <c r="G977" s="60"/>
      <c r="H977" s="303"/>
      <c r="I977" s="304"/>
      <c r="J977" s="305"/>
      <c r="K977" s="306"/>
      <c r="L977" s="307"/>
      <c r="M977" s="243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</row>
    <row r="978" ht="13.5" customHeight="1">
      <c r="A978" s="243"/>
      <c r="B978" s="65"/>
      <c r="C978" s="65"/>
      <c r="D978" s="65"/>
      <c r="E978" s="60"/>
      <c r="F978" s="60"/>
      <c r="G978" s="60"/>
      <c r="H978" s="303"/>
      <c r="I978" s="304"/>
      <c r="J978" s="305"/>
      <c r="K978" s="306"/>
      <c r="L978" s="307"/>
      <c r="M978" s="243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</row>
    <row r="979" ht="13.5" customHeight="1">
      <c r="A979" s="243"/>
      <c r="B979" s="65"/>
      <c r="C979" s="65"/>
      <c r="D979" s="65"/>
      <c r="E979" s="60"/>
      <c r="F979" s="60"/>
      <c r="G979" s="60"/>
      <c r="H979" s="303"/>
      <c r="I979" s="304"/>
      <c r="J979" s="305"/>
      <c r="K979" s="306"/>
      <c r="L979" s="307"/>
      <c r="M979" s="243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</row>
    <row r="980" ht="13.5" customHeight="1">
      <c r="A980" s="243"/>
      <c r="B980" s="65"/>
      <c r="C980" s="65"/>
      <c r="D980" s="65"/>
      <c r="E980" s="60"/>
      <c r="F980" s="60"/>
      <c r="G980" s="60"/>
      <c r="H980" s="303"/>
      <c r="I980" s="304"/>
      <c r="J980" s="305"/>
      <c r="K980" s="306"/>
      <c r="L980" s="307"/>
      <c r="M980" s="243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</row>
    <row r="981" ht="13.5" customHeight="1">
      <c r="A981" s="243"/>
      <c r="B981" s="65"/>
      <c r="C981" s="65"/>
      <c r="D981" s="65"/>
      <c r="E981" s="60"/>
      <c r="F981" s="60"/>
      <c r="G981" s="60"/>
      <c r="H981" s="303"/>
      <c r="I981" s="304"/>
      <c r="J981" s="305"/>
      <c r="K981" s="306"/>
      <c r="L981" s="307"/>
      <c r="M981" s="243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</row>
    <row r="982" ht="13.5" customHeight="1">
      <c r="A982" s="243"/>
      <c r="B982" s="65"/>
      <c r="C982" s="65"/>
      <c r="D982" s="65"/>
      <c r="E982" s="60"/>
      <c r="F982" s="60"/>
      <c r="G982" s="60"/>
      <c r="H982" s="303"/>
      <c r="I982" s="304"/>
      <c r="J982" s="305"/>
      <c r="K982" s="306"/>
      <c r="L982" s="307"/>
      <c r="M982" s="243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</row>
    <row r="983" ht="13.5" customHeight="1">
      <c r="A983" s="243"/>
      <c r="B983" s="65"/>
      <c r="C983" s="65"/>
      <c r="D983" s="65"/>
      <c r="E983" s="60"/>
      <c r="F983" s="60"/>
      <c r="G983" s="60"/>
      <c r="H983" s="303"/>
      <c r="I983" s="304"/>
      <c r="J983" s="305"/>
      <c r="K983" s="306"/>
      <c r="L983" s="307"/>
      <c r="M983" s="243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</row>
    <row r="984" ht="13.5" customHeight="1">
      <c r="A984" s="243"/>
      <c r="B984" s="65"/>
      <c r="C984" s="65"/>
      <c r="D984" s="65"/>
      <c r="E984" s="60"/>
      <c r="F984" s="60"/>
      <c r="G984" s="60"/>
      <c r="H984" s="303"/>
      <c r="I984" s="304"/>
      <c r="J984" s="305"/>
      <c r="K984" s="306"/>
      <c r="L984" s="307"/>
      <c r="M984" s="243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</row>
    <row r="985" ht="13.5" customHeight="1">
      <c r="A985" s="243"/>
      <c r="B985" s="65"/>
      <c r="C985" s="65"/>
      <c r="D985" s="65"/>
      <c r="E985" s="60"/>
      <c r="F985" s="60"/>
      <c r="G985" s="60"/>
      <c r="H985" s="303"/>
      <c r="I985" s="304"/>
      <c r="J985" s="305"/>
      <c r="K985" s="306"/>
      <c r="L985" s="307"/>
      <c r="M985" s="243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</row>
    <row r="986" ht="13.5" customHeight="1">
      <c r="A986" s="243"/>
      <c r="B986" s="65"/>
      <c r="C986" s="65"/>
      <c r="D986" s="65"/>
      <c r="E986" s="60"/>
      <c r="F986" s="60"/>
      <c r="G986" s="60"/>
      <c r="H986" s="303"/>
      <c r="I986" s="304"/>
      <c r="J986" s="305"/>
      <c r="K986" s="306"/>
      <c r="L986" s="307"/>
      <c r="M986" s="243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</row>
    <row r="987" ht="13.5" customHeight="1">
      <c r="A987" s="243"/>
      <c r="B987" s="65"/>
      <c r="C987" s="65"/>
      <c r="D987" s="65"/>
      <c r="E987" s="60"/>
      <c r="F987" s="60"/>
      <c r="G987" s="60"/>
      <c r="H987" s="303"/>
      <c r="I987" s="304"/>
      <c r="J987" s="305"/>
      <c r="K987" s="306"/>
      <c r="L987" s="307"/>
      <c r="M987" s="243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</row>
    <row r="988" ht="13.5" customHeight="1">
      <c r="A988" s="243"/>
      <c r="B988" s="65"/>
      <c r="C988" s="65"/>
      <c r="D988" s="65"/>
      <c r="E988" s="60"/>
      <c r="F988" s="60"/>
      <c r="G988" s="60"/>
      <c r="H988" s="303"/>
      <c r="I988" s="304"/>
      <c r="J988" s="305"/>
      <c r="K988" s="306"/>
      <c r="L988" s="307"/>
      <c r="M988" s="243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</row>
    <row r="989" ht="13.5" customHeight="1">
      <c r="A989" s="243"/>
      <c r="B989" s="65"/>
      <c r="C989" s="65"/>
      <c r="D989" s="65"/>
      <c r="E989" s="60"/>
      <c r="F989" s="60"/>
      <c r="G989" s="60"/>
      <c r="H989" s="303"/>
      <c r="I989" s="304"/>
      <c r="J989" s="305"/>
      <c r="K989" s="306"/>
      <c r="L989" s="307"/>
      <c r="M989" s="243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</row>
    <row r="990" ht="13.5" customHeight="1">
      <c r="A990" s="243"/>
      <c r="B990" s="65"/>
      <c r="C990" s="65"/>
      <c r="D990" s="65"/>
      <c r="E990" s="60"/>
      <c r="F990" s="60"/>
      <c r="G990" s="60"/>
      <c r="H990" s="303"/>
      <c r="I990" s="304"/>
      <c r="J990" s="305"/>
      <c r="K990" s="306"/>
      <c r="L990" s="307"/>
      <c r="M990" s="243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</row>
    <row r="991" ht="13.5" customHeight="1">
      <c r="A991" s="243"/>
      <c r="B991" s="65"/>
      <c r="C991" s="65"/>
      <c r="D991" s="65"/>
      <c r="E991" s="60"/>
      <c r="F991" s="60"/>
      <c r="G991" s="60"/>
      <c r="H991" s="303"/>
      <c r="I991" s="304"/>
      <c r="J991" s="305"/>
      <c r="K991" s="306"/>
      <c r="L991" s="307"/>
      <c r="M991" s="243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</row>
    <row r="992" ht="13.5" customHeight="1">
      <c r="A992" s="243"/>
      <c r="B992" s="65"/>
      <c r="C992" s="65"/>
      <c r="D992" s="65"/>
      <c r="E992" s="60"/>
      <c r="F992" s="60"/>
      <c r="G992" s="60"/>
      <c r="H992" s="303"/>
      <c r="I992" s="304"/>
      <c r="J992" s="305"/>
      <c r="K992" s="306"/>
      <c r="L992" s="307"/>
      <c r="M992" s="243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</row>
    <row r="993" ht="13.5" customHeight="1">
      <c r="A993" s="243"/>
      <c r="B993" s="65"/>
      <c r="C993" s="65"/>
      <c r="D993" s="65"/>
      <c r="E993" s="60"/>
      <c r="F993" s="60"/>
      <c r="G993" s="60"/>
      <c r="H993" s="303"/>
      <c r="I993" s="304"/>
      <c r="J993" s="305"/>
      <c r="K993" s="306"/>
      <c r="L993" s="307"/>
      <c r="M993" s="243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</row>
    <row r="994" ht="13.5" customHeight="1">
      <c r="A994" s="243"/>
      <c r="B994" s="65"/>
      <c r="C994" s="65"/>
      <c r="D994" s="65"/>
      <c r="E994" s="60"/>
      <c r="F994" s="60"/>
      <c r="G994" s="60"/>
      <c r="H994" s="303"/>
      <c r="I994" s="304"/>
      <c r="J994" s="305"/>
      <c r="K994" s="306"/>
      <c r="L994" s="307"/>
      <c r="M994" s="243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</row>
    <row r="995" ht="13.5" customHeight="1">
      <c r="A995" s="243"/>
      <c r="B995" s="65"/>
      <c r="C995" s="65"/>
      <c r="D995" s="65"/>
      <c r="E995" s="60"/>
      <c r="F995" s="60"/>
      <c r="G995" s="60"/>
      <c r="H995" s="303"/>
      <c r="I995" s="304"/>
      <c r="J995" s="305"/>
      <c r="K995" s="306"/>
      <c r="L995" s="307"/>
      <c r="M995" s="243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</row>
    <row r="996" ht="13.5" customHeight="1">
      <c r="A996" s="243"/>
      <c r="B996" s="65"/>
      <c r="C996" s="65"/>
      <c r="D996" s="65"/>
      <c r="E996" s="60"/>
      <c r="F996" s="60"/>
      <c r="G996" s="60"/>
      <c r="H996" s="303"/>
      <c r="I996" s="304"/>
      <c r="J996" s="305"/>
      <c r="K996" s="306"/>
      <c r="L996" s="307"/>
      <c r="M996" s="243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</row>
    <row r="997" ht="13.5" customHeight="1">
      <c r="A997" s="243"/>
      <c r="B997" s="65"/>
      <c r="C997" s="65"/>
      <c r="D997" s="65"/>
      <c r="E997" s="60"/>
      <c r="F997" s="60"/>
      <c r="G997" s="60"/>
      <c r="H997" s="303"/>
      <c r="I997" s="304"/>
      <c r="J997" s="305"/>
      <c r="K997" s="306"/>
      <c r="L997" s="307"/>
      <c r="M997" s="243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</row>
    <row r="998" ht="13.5" customHeight="1">
      <c r="A998" s="243"/>
      <c r="B998" s="65"/>
      <c r="C998" s="65"/>
      <c r="D998" s="65"/>
      <c r="E998" s="60"/>
      <c r="F998" s="60"/>
      <c r="G998" s="60"/>
      <c r="H998" s="303"/>
      <c r="I998" s="304"/>
      <c r="J998" s="305"/>
      <c r="K998" s="306"/>
      <c r="L998" s="307"/>
      <c r="M998" s="243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</row>
    <row r="999" ht="13.5" customHeight="1">
      <c r="A999" s="243"/>
      <c r="B999" s="65"/>
      <c r="C999" s="65"/>
      <c r="D999" s="65"/>
      <c r="E999" s="60"/>
      <c r="F999" s="60"/>
      <c r="G999" s="60"/>
      <c r="H999" s="303"/>
      <c r="I999" s="304"/>
      <c r="J999" s="305"/>
      <c r="K999" s="306"/>
      <c r="L999" s="307"/>
      <c r="M999" s="243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7.0" topLeftCell="K18" activePane="bottomRight" state="frozen"/>
      <selection activeCell="K1" sqref="K1" pane="topRight"/>
      <selection activeCell="A18" sqref="A18" pane="bottomLeft"/>
      <selection activeCell="K18" sqref="K18" pane="bottomRight"/>
    </sheetView>
  </sheetViews>
  <sheetFormatPr customHeight="1" defaultColWidth="12.63" defaultRowHeight="15.75"/>
  <cols>
    <col customWidth="1" min="1" max="4" width="10.25"/>
    <col customWidth="1" min="5" max="9" width="5.5"/>
    <col customWidth="1" min="10" max="16" width="8.0"/>
    <col customWidth="1" min="17" max="25" width="5.25"/>
    <col customWidth="1" min="26" max="26" width="1.63"/>
    <col customWidth="1" min="27" max="31" width="6.88"/>
  </cols>
  <sheetData>
    <row r="1" ht="10.5" customHeight="1">
      <c r="A1" s="360"/>
      <c r="B1" s="360"/>
      <c r="C1" s="361" t="s">
        <v>1390</v>
      </c>
      <c r="D1" s="362" t="s">
        <v>1391</v>
      </c>
      <c r="E1" s="362" t="s">
        <v>10</v>
      </c>
      <c r="F1" s="363" t="s">
        <v>23</v>
      </c>
      <c r="G1" s="364" t="s">
        <v>8</v>
      </c>
      <c r="H1" s="365"/>
      <c r="I1" s="366" t="s">
        <v>9</v>
      </c>
      <c r="J1" s="367" t="s">
        <v>1392</v>
      </c>
      <c r="K1" s="368"/>
      <c r="L1" s="368"/>
      <c r="M1" s="368"/>
      <c r="N1" s="368"/>
      <c r="O1" s="368"/>
      <c r="P1" s="369"/>
      <c r="Q1" s="360"/>
      <c r="R1" s="360"/>
      <c r="S1" s="370"/>
      <c r="T1" s="370"/>
      <c r="U1" s="370"/>
      <c r="V1" s="370"/>
      <c r="W1" s="370"/>
      <c r="X1" s="370"/>
      <c r="Y1" s="360"/>
      <c r="Z1" s="371"/>
      <c r="AA1" s="372"/>
      <c r="AB1" s="372"/>
      <c r="AC1" s="372"/>
      <c r="AD1" s="372"/>
      <c r="AE1" s="372"/>
      <c r="AF1" s="373"/>
      <c r="AG1" s="373"/>
      <c r="AH1" s="373"/>
    </row>
    <row r="2" ht="10.5" customHeight="1">
      <c r="C2" s="374"/>
      <c r="D2" s="375"/>
      <c r="E2" s="375"/>
      <c r="F2" s="375"/>
      <c r="G2" s="376" t="s">
        <v>24</v>
      </c>
      <c r="H2" s="376" t="s">
        <v>25</v>
      </c>
      <c r="I2" s="377"/>
      <c r="J2" s="378" t="s">
        <v>1393</v>
      </c>
      <c r="K2" s="379" t="s">
        <v>1394</v>
      </c>
      <c r="L2" s="380" t="s">
        <v>1395</v>
      </c>
      <c r="M2" s="380" t="s">
        <v>1396</v>
      </c>
      <c r="N2" s="381"/>
      <c r="O2" s="381"/>
      <c r="P2" s="382" t="s">
        <v>1397</v>
      </c>
      <c r="Q2" s="370"/>
      <c r="R2" s="370"/>
      <c r="S2" s="370"/>
      <c r="T2" s="370"/>
      <c r="U2" s="370"/>
      <c r="V2" s="370"/>
      <c r="W2" s="370"/>
      <c r="X2" s="370"/>
      <c r="Y2" s="360"/>
      <c r="Z2" s="371"/>
      <c r="AA2" s="372"/>
      <c r="AB2" s="372"/>
      <c r="AC2" s="372"/>
      <c r="AD2" s="372"/>
      <c r="AE2" s="372"/>
      <c r="AF2" s="373"/>
      <c r="AG2" s="373"/>
      <c r="AH2" s="373"/>
    </row>
    <row r="3" ht="10.5" customHeight="1">
      <c r="A3" s="383"/>
      <c r="B3" s="383"/>
      <c r="C3" s="384">
        <v>2026.0</v>
      </c>
      <c r="D3" s="385" t="s">
        <v>1147</v>
      </c>
      <c r="E3" s="386">
        <f t="shared" ref="E3:I3" si="1">iferror(SUMIFS(AA:AA,$C:$C,$D3)/SUMIFS($J:$J,$C:$C,$D3),"")</f>
        <v>11.32338336</v>
      </c>
      <c r="F3" s="386">
        <f t="shared" si="1"/>
        <v>0.2679288693</v>
      </c>
      <c r="G3" s="387">
        <f t="shared" si="1"/>
        <v>0.5767175167</v>
      </c>
      <c r="H3" s="387">
        <f t="shared" si="1"/>
        <v>0.5972187324</v>
      </c>
      <c r="I3" s="388">
        <f t="shared" si="1"/>
        <v>1.896097962</v>
      </c>
      <c r="J3" s="389"/>
      <c r="K3" s="385"/>
      <c r="L3" s="386"/>
      <c r="M3" s="386"/>
      <c r="N3" s="390"/>
      <c r="O3" s="390"/>
      <c r="P3" s="388">
        <f t="shared" ref="P3:P14" si="3">SUM(J3:O3)</f>
        <v>0</v>
      </c>
      <c r="Q3" s="370"/>
      <c r="R3" s="370"/>
      <c r="S3" s="370"/>
      <c r="T3" s="370"/>
      <c r="U3" s="370"/>
      <c r="V3" s="370"/>
      <c r="W3" s="370"/>
      <c r="X3" s="370"/>
      <c r="Y3" s="360"/>
      <c r="Z3" s="371"/>
      <c r="AA3" s="372"/>
      <c r="AB3" s="372"/>
      <c r="AC3" s="372"/>
      <c r="AD3" s="372"/>
      <c r="AE3" s="372"/>
      <c r="AF3" s="373"/>
      <c r="AG3" s="373"/>
      <c r="AH3" s="373"/>
    </row>
    <row r="4" ht="10.5" customHeight="1">
      <c r="A4" s="383"/>
      <c r="B4" s="383"/>
      <c r="C4" s="391">
        <f t="shared" ref="C4:C14" si="4">IF(D4="","",C3)</f>
        <v>2026</v>
      </c>
      <c r="D4" s="392" t="s">
        <v>1162</v>
      </c>
      <c r="E4" s="393">
        <f t="shared" ref="E4:I4" si="2">iferror(SUMIFS(AA:AA,$C:$C,$D4)/SUMIFS($J:$J,$C:$C,$D4),"")</f>
        <v>10.0926693</v>
      </c>
      <c r="F4" s="393">
        <f t="shared" si="2"/>
        <v>0.2631562252</v>
      </c>
      <c r="G4" s="394">
        <f t="shared" si="2"/>
        <v>0.5765364429</v>
      </c>
      <c r="H4" s="394">
        <f t="shared" si="2"/>
        <v>0.5964830942</v>
      </c>
      <c r="I4" s="395">
        <f t="shared" si="2"/>
        <v>1.91735996</v>
      </c>
      <c r="J4" s="391"/>
      <c r="K4" s="392"/>
      <c r="L4" s="393"/>
      <c r="M4" s="393"/>
      <c r="N4" s="396"/>
      <c r="O4" s="396"/>
      <c r="P4" s="395">
        <f t="shared" si="3"/>
        <v>0</v>
      </c>
      <c r="Q4" s="370"/>
      <c r="R4" s="370"/>
      <c r="S4" s="370"/>
      <c r="T4" s="370"/>
      <c r="U4" s="370"/>
      <c r="V4" s="370"/>
      <c r="W4" s="370"/>
      <c r="X4" s="370"/>
      <c r="Y4" s="360"/>
      <c r="Z4" s="371"/>
      <c r="AA4" s="372"/>
      <c r="AB4" s="372"/>
      <c r="AC4" s="372"/>
      <c r="AD4" s="372"/>
      <c r="AE4" s="372"/>
      <c r="AF4" s="373"/>
      <c r="AG4" s="373"/>
      <c r="AH4" s="373"/>
    </row>
    <row r="5" ht="10.5" customHeight="1">
      <c r="A5" s="383"/>
      <c r="B5" s="383"/>
      <c r="C5" s="391">
        <f t="shared" si="4"/>
        <v>2026</v>
      </c>
      <c r="D5" s="392" t="s">
        <v>1178</v>
      </c>
      <c r="E5" s="393">
        <f t="shared" ref="E5:I5" si="5">iferror(SUMIFS(AA:AA,$C:$C,$D5)/SUMIFS($J:$J,$C:$C,$D5),"")</f>
        <v>11.81293145</v>
      </c>
      <c r="F5" s="393">
        <f t="shared" si="5"/>
        <v>0.2592839929</v>
      </c>
      <c r="G5" s="394">
        <f t="shared" si="5"/>
        <v>0.573614465</v>
      </c>
      <c r="H5" s="394">
        <f t="shared" si="5"/>
        <v>0.5934414759</v>
      </c>
      <c r="I5" s="395">
        <f t="shared" si="5"/>
        <v>2.539045023</v>
      </c>
      <c r="J5" s="391"/>
      <c r="K5" s="392"/>
      <c r="L5" s="393"/>
      <c r="M5" s="393"/>
      <c r="N5" s="396"/>
      <c r="O5" s="396"/>
      <c r="P5" s="395">
        <f t="shared" si="3"/>
        <v>0</v>
      </c>
      <c r="Q5" s="370"/>
      <c r="R5" s="370"/>
      <c r="S5" s="370"/>
      <c r="T5" s="370"/>
      <c r="U5" s="370"/>
      <c r="V5" s="370"/>
      <c r="W5" s="370"/>
      <c r="X5" s="370"/>
      <c r="Y5" s="360"/>
      <c r="Z5" s="371"/>
      <c r="AA5" s="372"/>
      <c r="AB5" s="372"/>
      <c r="AC5" s="372"/>
      <c r="AD5" s="372"/>
      <c r="AE5" s="372"/>
      <c r="AF5" s="373"/>
      <c r="AG5" s="373"/>
      <c r="AH5" s="373"/>
    </row>
    <row r="6" ht="10.5" customHeight="1">
      <c r="A6" s="383"/>
      <c r="B6" s="383"/>
      <c r="C6" s="391">
        <f t="shared" si="4"/>
        <v>2026</v>
      </c>
      <c r="D6" s="392" t="s">
        <v>1198</v>
      </c>
      <c r="E6" s="393">
        <f t="shared" ref="E6:I6" si="6">iferror(SUMIFS(AA:AA,$C:$C,$D6)/SUMIFS($J:$J,$C:$C,$D6),"")</f>
        <v>0</v>
      </c>
      <c r="F6" s="393">
        <f t="shared" si="6"/>
        <v>0</v>
      </c>
      <c r="G6" s="394">
        <f t="shared" si="6"/>
        <v>0</v>
      </c>
      <c r="H6" s="394">
        <f t="shared" si="6"/>
        <v>0</v>
      </c>
      <c r="I6" s="395">
        <f t="shared" si="6"/>
        <v>0</v>
      </c>
      <c r="J6" s="391"/>
      <c r="K6" s="392"/>
      <c r="L6" s="393"/>
      <c r="M6" s="393"/>
      <c r="N6" s="396"/>
      <c r="O6" s="396"/>
      <c r="P6" s="395">
        <f t="shared" si="3"/>
        <v>0</v>
      </c>
      <c r="Q6" s="370"/>
      <c r="R6" s="370"/>
      <c r="S6" s="370"/>
      <c r="T6" s="370"/>
      <c r="U6" s="370"/>
      <c r="V6" s="370"/>
      <c r="W6" s="370"/>
      <c r="X6" s="370"/>
      <c r="Y6" s="360"/>
      <c r="Z6" s="371"/>
      <c r="AA6" s="372"/>
      <c r="AB6" s="372"/>
      <c r="AC6" s="372"/>
      <c r="AD6" s="372"/>
      <c r="AE6" s="372"/>
      <c r="AF6" s="373"/>
      <c r="AG6" s="373"/>
      <c r="AH6" s="373"/>
    </row>
    <row r="7" ht="10.5" customHeight="1">
      <c r="A7" s="383"/>
      <c r="B7" s="383"/>
      <c r="C7" s="391">
        <f t="shared" si="4"/>
        <v>2026</v>
      </c>
      <c r="D7" s="392" t="s">
        <v>1215</v>
      </c>
      <c r="E7" s="393" t="str">
        <f t="shared" ref="E7:I7" si="7">iferror(SUMIFS(AA:AA,$C:$C,$D7)/SUMIFS($J:$J,$C:$C,$D7),"")</f>
        <v/>
      </c>
      <c r="F7" s="393" t="str">
        <f t="shared" si="7"/>
        <v/>
      </c>
      <c r="G7" s="394" t="str">
        <f t="shared" si="7"/>
        <v/>
      </c>
      <c r="H7" s="394" t="str">
        <f t="shared" si="7"/>
        <v/>
      </c>
      <c r="I7" s="395" t="str">
        <f t="shared" si="7"/>
        <v/>
      </c>
      <c r="J7" s="391"/>
      <c r="K7" s="392"/>
      <c r="L7" s="393"/>
      <c r="M7" s="393"/>
      <c r="N7" s="396"/>
      <c r="O7" s="396"/>
      <c r="P7" s="395">
        <f t="shared" si="3"/>
        <v>0</v>
      </c>
      <c r="Q7" s="370"/>
      <c r="R7" s="370"/>
      <c r="S7" s="370"/>
      <c r="T7" s="370"/>
      <c r="U7" s="370"/>
      <c r="V7" s="370"/>
      <c r="W7" s="370"/>
      <c r="X7" s="370"/>
      <c r="Y7" s="360"/>
      <c r="Z7" s="371"/>
      <c r="AA7" s="372"/>
      <c r="AB7" s="372"/>
      <c r="AC7" s="372"/>
      <c r="AD7" s="372"/>
      <c r="AE7" s="372"/>
      <c r="AF7" s="373"/>
      <c r="AG7" s="373"/>
      <c r="AH7" s="373"/>
    </row>
    <row r="8" ht="10.5" customHeight="1">
      <c r="A8" s="383"/>
      <c r="B8" s="383"/>
      <c r="C8" s="391">
        <f t="shared" si="4"/>
        <v>2026</v>
      </c>
      <c r="D8" s="392" t="s">
        <v>1238</v>
      </c>
      <c r="E8" s="393" t="str">
        <f t="shared" ref="E8:I8" si="8">iferror(SUMIFS(AA:AA,$C:$C,$D8)/SUMIFS($J:$J,$C:$C,$D8),"")</f>
        <v/>
      </c>
      <c r="F8" s="393" t="str">
        <f t="shared" si="8"/>
        <v/>
      </c>
      <c r="G8" s="394" t="str">
        <f t="shared" si="8"/>
        <v/>
      </c>
      <c r="H8" s="394" t="str">
        <f t="shared" si="8"/>
        <v/>
      </c>
      <c r="I8" s="395" t="str">
        <f t="shared" si="8"/>
        <v/>
      </c>
      <c r="J8" s="391"/>
      <c r="K8" s="392"/>
      <c r="L8" s="393"/>
      <c r="M8" s="393"/>
      <c r="N8" s="396"/>
      <c r="O8" s="396"/>
      <c r="P8" s="395">
        <f t="shared" si="3"/>
        <v>0</v>
      </c>
      <c r="Q8" s="370"/>
      <c r="R8" s="370"/>
      <c r="S8" s="370"/>
      <c r="T8" s="370"/>
      <c r="U8" s="370"/>
      <c r="V8" s="370"/>
      <c r="W8" s="370"/>
      <c r="X8" s="370"/>
      <c r="Y8" s="360"/>
      <c r="Z8" s="371"/>
      <c r="AA8" s="372"/>
      <c r="AB8" s="372"/>
      <c r="AC8" s="372"/>
      <c r="AD8" s="372"/>
      <c r="AE8" s="372"/>
      <c r="AF8" s="373"/>
      <c r="AG8" s="373"/>
      <c r="AH8" s="373"/>
    </row>
    <row r="9" ht="10.5" customHeight="1">
      <c r="A9" s="383"/>
      <c r="B9" s="383"/>
      <c r="C9" s="391">
        <f t="shared" si="4"/>
        <v>2026</v>
      </c>
      <c r="D9" s="392" t="s">
        <v>1257</v>
      </c>
      <c r="E9" s="393" t="str">
        <f t="shared" ref="E9:I9" si="9">iferror(SUMIFS(AA:AA,$C:$C,$D9)/SUMIFS($J:$J,$C:$C,$D9),"")</f>
        <v/>
      </c>
      <c r="F9" s="393" t="str">
        <f t="shared" si="9"/>
        <v/>
      </c>
      <c r="G9" s="394" t="str">
        <f t="shared" si="9"/>
        <v/>
      </c>
      <c r="H9" s="394" t="str">
        <f t="shared" si="9"/>
        <v/>
      </c>
      <c r="I9" s="395" t="str">
        <f t="shared" si="9"/>
        <v/>
      </c>
      <c r="J9" s="391"/>
      <c r="K9" s="392"/>
      <c r="L9" s="393"/>
      <c r="M9" s="393"/>
      <c r="N9" s="396"/>
      <c r="O9" s="396"/>
      <c r="P9" s="395">
        <f t="shared" si="3"/>
        <v>0</v>
      </c>
      <c r="Q9" s="370"/>
      <c r="R9" s="370"/>
      <c r="S9" s="370"/>
      <c r="T9" s="370"/>
      <c r="U9" s="370"/>
      <c r="V9" s="370"/>
      <c r="W9" s="370"/>
      <c r="X9" s="370"/>
      <c r="Y9" s="360"/>
      <c r="Z9" s="371"/>
      <c r="AA9" s="372"/>
      <c r="AB9" s="372"/>
      <c r="AC9" s="372"/>
      <c r="AD9" s="372"/>
      <c r="AE9" s="372"/>
      <c r="AF9" s="373"/>
      <c r="AG9" s="373"/>
      <c r="AH9" s="373"/>
    </row>
    <row r="10" ht="10.5" customHeight="1">
      <c r="A10" s="383"/>
      <c r="B10" s="383"/>
      <c r="C10" s="391">
        <f t="shared" si="4"/>
        <v>2026</v>
      </c>
      <c r="D10" s="392" t="s">
        <v>1281</v>
      </c>
      <c r="E10" s="393" t="str">
        <f t="shared" ref="E10:I10" si="10">iferror(SUMIFS(AA:AA,$C:$C,$D10)/SUMIFS($J:$J,$C:$C,$D10),"")</f>
        <v/>
      </c>
      <c r="F10" s="393" t="str">
        <f t="shared" si="10"/>
        <v/>
      </c>
      <c r="G10" s="394" t="str">
        <f t="shared" si="10"/>
        <v/>
      </c>
      <c r="H10" s="394" t="str">
        <f t="shared" si="10"/>
        <v/>
      </c>
      <c r="I10" s="395" t="str">
        <f t="shared" si="10"/>
        <v/>
      </c>
      <c r="J10" s="391"/>
      <c r="K10" s="392"/>
      <c r="L10" s="393"/>
      <c r="M10" s="393"/>
      <c r="N10" s="396"/>
      <c r="O10" s="396"/>
      <c r="P10" s="395">
        <f t="shared" si="3"/>
        <v>0</v>
      </c>
      <c r="Q10" s="370"/>
      <c r="R10" s="370"/>
      <c r="S10" s="370"/>
      <c r="T10" s="370"/>
      <c r="U10" s="370"/>
      <c r="V10" s="370"/>
      <c r="W10" s="370"/>
      <c r="X10" s="370"/>
      <c r="Y10" s="360"/>
      <c r="Z10" s="371"/>
      <c r="AA10" s="372"/>
      <c r="AB10" s="372"/>
      <c r="AC10" s="372"/>
      <c r="AD10" s="372"/>
      <c r="AE10" s="372"/>
      <c r="AF10" s="373"/>
      <c r="AG10" s="373"/>
      <c r="AH10" s="373"/>
    </row>
    <row r="11" ht="10.5" customHeight="1">
      <c r="A11" s="383"/>
      <c r="B11" s="383"/>
      <c r="C11" s="391">
        <f t="shared" si="4"/>
        <v>2026</v>
      </c>
      <c r="D11" s="392" t="s">
        <v>1302</v>
      </c>
      <c r="E11" s="393" t="str">
        <f t="shared" ref="E11:I11" si="11">iferror(SUMIFS(AA:AA,$C:$C,$D11)/SUMIFS($J:$J,$C:$C,$D11),"")</f>
        <v/>
      </c>
      <c r="F11" s="393" t="str">
        <f t="shared" si="11"/>
        <v/>
      </c>
      <c r="G11" s="394" t="str">
        <f t="shared" si="11"/>
        <v/>
      </c>
      <c r="H11" s="394" t="str">
        <f t="shared" si="11"/>
        <v/>
      </c>
      <c r="I11" s="395" t="str">
        <f t="shared" si="11"/>
        <v/>
      </c>
      <c r="J11" s="391"/>
      <c r="K11" s="392"/>
      <c r="L11" s="393"/>
      <c r="M11" s="393"/>
      <c r="N11" s="396"/>
      <c r="O11" s="396"/>
      <c r="P11" s="395">
        <f t="shared" si="3"/>
        <v>0</v>
      </c>
      <c r="Q11" s="370"/>
      <c r="R11" s="370"/>
      <c r="S11" s="370"/>
      <c r="T11" s="370"/>
      <c r="U11" s="370"/>
      <c r="V11" s="370"/>
      <c r="W11" s="370"/>
      <c r="X11" s="370"/>
      <c r="Y11" s="360"/>
      <c r="Z11" s="371"/>
      <c r="AA11" s="372"/>
      <c r="AB11" s="372"/>
      <c r="AC11" s="372"/>
      <c r="AD11" s="372"/>
      <c r="AE11" s="372"/>
      <c r="AF11" s="373"/>
      <c r="AG11" s="373"/>
      <c r="AH11" s="373"/>
    </row>
    <row r="12" ht="10.5" customHeight="1">
      <c r="A12" s="383"/>
      <c r="B12" s="383"/>
      <c r="C12" s="391">
        <f t="shared" si="4"/>
        <v>2026</v>
      </c>
      <c r="D12" s="392" t="s">
        <v>1125</v>
      </c>
      <c r="E12" s="393" t="str">
        <f t="shared" ref="E12:I12" si="12">iferror(SUMIFS(AA:AA,$C:$C,$D12)/SUMIFS($J:$J,$C:$C,$D12),"")</f>
        <v/>
      </c>
      <c r="F12" s="393" t="str">
        <f t="shared" si="12"/>
        <v/>
      </c>
      <c r="G12" s="394" t="str">
        <f t="shared" si="12"/>
        <v/>
      </c>
      <c r="H12" s="394" t="str">
        <f t="shared" si="12"/>
        <v/>
      </c>
      <c r="I12" s="395" t="str">
        <f t="shared" si="12"/>
        <v/>
      </c>
      <c r="J12" s="391"/>
      <c r="K12" s="392"/>
      <c r="L12" s="393"/>
      <c r="M12" s="393"/>
      <c r="N12" s="396"/>
      <c r="O12" s="396"/>
      <c r="P12" s="395">
        <f t="shared" si="3"/>
        <v>0</v>
      </c>
      <c r="Q12" s="370"/>
      <c r="R12" s="370"/>
      <c r="S12" s="370"/>
      <c r="T12" s="370"/>
      <c r="U12" s="370"/>
      <c r="V12" s="370"/>
      <c r="W12" s="370"/>
      <c r="X12" s="370"/>
      <c r="Y12" s="360"/>
      <c r="Z12" s="371"/>
      <c r="AA12" s="372"/>
      <c r="AB12" s="372"/>
      <c r="AC12" s="372"/>
      <c r="AD12" s="372"/>
      <c r="AE12" s="372"/>
      <c r="AF12" s="373"/>
      <c r="AG12" s="373"/>
      <c r="AH12" s="373"/>
    </row>
    <row r="13" ht="10.5" customHeight="1">
      <c r="A13" s="383"/>
      <c r="B13" s="383"/>
      <c r="C13" s="391">
        <f t="shared" si="4"/>
        <v>2026</v>
      </c>
      <c r="D13" s="392" t="s">
        <v>1142</v>
      </c>
      <c r="E13" s="393" t="str">
        <f t="shared" ref="E13:I13" si="13">iferror(SUMIFS(AA:AA,$C:$C,$D13)/SUMIFS($J:$J,$C:$C,$D13),"")</f>
        <v/>
      </c>
      <c r="F13" s="393" t="str">
        <f t="shared" si="13"/>
        <v/>
      </c>
      <c r="G13" s="394" t="str">
        <f t="shared" si="13"/>
        <v/>
      </c>
      <c r="H13" s="394" t="str">
        <f t="shared" si="13"/>
        <v/>
      </c>
      <c r="I13" s="395" t="str">
        <f t="shared" si="13"/>
        <v/>
      </c>
      <c r="J13" s="391"/>
      <c r="K13" s="392"/>
      <c r="L13" s="393"/>
      <c r="M13" s="393"/>
      <c r="N13" s="396"/>
      <c r="O13" s="396"/>
      <c r="P13" s="395">
        <f t="shared" si="3"/>
        <v>0</v>
      </c>
      <c r="Q13" s="370"/>
      <c r="R13" s="370"/>
      <c r="S13" s="370"/>
      <c r="T13" s="370"/>
      <c r="U13" s="370"/>
      <c r="V13" s="370"/>
      <c r="W13" s="370"/>
      <c r="X13" s="370"/>
      <c r="Y13" s="360"/>
      <c r="Z13" s="371"/>
      <c r="AA13" s="372"/>
      <c r="AB13" s="372"/>
      <c r="AC13" s="372"/>
      <c r="AD13" s="372"/>
      <c r="AE13" s="372"/>
      <c r="AF13" s="373"/>
      <c r="AG13" s="373"/>
      <c r="AH13" s="373"/>
    </row>
    <row r="14" ht="10.5" customHeight="1">
      <c r="A14" s="383"/>
      <c r="B14" s="383"/>
      <c r="C14" s="397">
        <f t="shared" si="4"/>
        <v>2026</v>
      </c>
      <c r="D14" s="398" t="s">
        <v>1352</v>
      </c>
      <c r="E14" s="399" t="str">
        <f t="shared" ref="E14:I14" si="14">iferror(SUMIFS(AA:AA,$C:$C,$D14)/SUMIFS($J:$J,$C:$C,$D14),"")</f>
        <v/>
      </c>
      <c r="F14" s="399" t="str">
        <f t="shared" si="14"/>
        <v/>
      </c>
      <c r="G14" s="400" t="str">
        <f t="shared" si="14"/>
        <v/>
      </c>
      <c r="H14" s="400" t="str">
        <f t="shared" si="14"/>
        <v/>
      </c>
      <c r="I14" s="401" t="str">
        <f t="shared" si="14"/>
        <v/>
      </c>
      <c r="J14" s="397"/>
      <c r="K14" s="398"/>
      <c r="L14" s="399"/>
      <c r="M14" s="399"/>
      <c r="N14" s="402"/>
      <c r="O14" s="402"/>
      <c r="P14" s="401">
        <f t="shared" si="3"/>
        <v>0</v>
      </c>
      <c r="Q14" s="370"/>
      <c r="R14" s="370"/>
      <c r="S14" s="370"/>
      <c r="T14" s="370"/>
      <c r="U14" s="370"/>
      <c r="V14" s="370"/>
      <c r="W14" s="370"/>
      <c r="X14" s="370"/>
      <c r="Y14" s="360"/>
      <c r="Z14" s="371"/>
      <c r="AA14" s="372"/>
      <c r="AB14" s="372"/>
      <c r="AC14" s="372"/>
      <c r="AD14" s="372"/>
      <c r="AE14" s="372"/>
      <c r="AF14" s="373"/>
      <c r="AG14" s="373"/>
      <c r="AH14" s="373"/>
    </row>
    <row r="15" ht="11.25" customHeight="1">
      <c r="A15" s="383"/>
      <c r="B15" s="383"/>
      <c r="C15" s="360"/>
      <c r="D15" s="360"/>
      <c r="E15" s="370"/>
      <c r="F15" s="370"/>
      <c r="G15" s="403"/>
      <c r="H15" s="403"/>
      <c r="I15" s="370"/>
      <c r="J15" s="360"/>
      <c r="K15" s="360"/>
      <c r="L15" s="370"/>
      <c r="M15" s="370"/>
      <c r="N15" s="404"/>
      <c r="O15" s="404"/>
      <c r="P15" s="370"/>
      <c r="Q15" s="370"/>
      <c r="R15" s="370"/>
      <c r="S15" s="370"/>
      <c r="T15" s="370"/>
      <c r="U15" s="370"/>
      <c r="V15" s="370"/>
      <c r="W15" s="370"/>
      <c r="X15" s="370"/>
      <c r="Y15" s="360"/>
      <c r="Z15" s="371"/>
      <c r="AA15" s="372"/>
      <c r="AB15" s="372"/>
      <c r="AC15" s="372"/>
      <c r="AD15" s="372"/>
      <c r="AE15" s="372"/>
      <c r="AF15" s="373"/>
      <c r="AG15" s="373"/>
      <c r="AH15" s="373"/>
    </row>
    <row r="16" ht="11.25" customHeight="1">
      <c r="A16" s="360" t="s">
        <v>1390</v>
      </c>
      <c r="B16" s="405" t="s">
        <v>17</v>
      </c>
      <c r="C16" s="406" t="s">
        <v>1391</v>
      </c>
      <c r="D16" s="407" t="s">
        <v>1398</v>
      </c>
      <c r="E16" s="408" t="s">
        <v>10</v>
      </c>
      <c r="F16" s="409" t="s">
        <v>23</v>
      </c>
      <c r="G16" s="410" t="s">
        <v>8</v>
      </c>
      <c r="H16" s="411"/>
      <c r="I16" s="409" t="s">
        <v>9</v>
      </c>
      <c r="J16" s="412" t="s">
        <v>1397</v>
      </c>
      <c r="K16" s="413" t="s">
        <v>1399</v>
      </c>
      <c r="L16" s="408" t="s">
        <v>10</v>
      </c>
      <c r="M16" s="409" t="s">
        <v>23</v>
      </c>
      <c r="N16" s="410" t="s">
        <v>8</v>
      </c>
      <c r="O16" s="411"/>
      <c r="P16" s="409" t="s">
        <v>9</v>
      </c>
      <c r="Q16" s="414" t="s">
        <v>1400</v>
      </c>
      <c r="R16" s="415"/>
      <c r="S16" s="415"/>
      <c r="T16" s="415"/>
      <c r="U16" s="415"/>
      <c r="V16" s="415"/>
      <c r="W16" s="415"/>
      <c r="X16" s="411"/>
      <c r="Y16" s="416" t="s">
        <v>1401</v>
      </c>
      <c r="Z16" s="371"/>
      <c r="AA16" s="417" t="s">
        <v>1402</v>
      </c>
      <c r="AB16" s="415"/>
      <c r="AC16" s="415"/>
      <c r="AD16" s="415"/>
      <c r="AE16" s="418"/>
      <c r="AF16" s="373"/>
      <c r="AG16" s="373"/>
      <c r="AH16" s="373"/>
    </row>
    <row r="17" ht="11.25" customHeight="1">
      <c r="B17" s="419"/>
      <c r="C17" s="420"/>
      <c r="D17" s="421"/>
      <c r="E17" s="419"/>
      <c r="F17" s="420"/>
      <c r="G17" s="422" t="s">
        <v>24</v>
      </c>
      <c r="H17" s="422" t="s">
        <v>25</v>
      </c>
      <c r="I17" s="420"/>
      <c r="J17" s="423"/>
      <c r="K17" s="424"/>
      <c r="L17" s="419"/>
      <c r="M17" s="420"/>
      <c r="N17" s="422" t="s">
        <v>24</v>
      </c>
      <c r="O17" s="422" t="s">
        <v>25</v>
      </c>
      <c r="P17" s="420"/>
      <c r="Q17" s="425" t="s">
        <v>1403</v>
      </c>
      <c r="R17" s="426" t="s">
        <v>1404</v>
      </c>
      <c r="S17" s="426" t="s">
        <v>1405</v>
      </c>
      <c r="T17" s="426" t="s">
        <v>1406</v>
      </c>
      <c r="U17" s="426" t="s">
        <v>1407</v>
      </c>
      <c r="V17" s="426" t="s">
        <v>1408</v>
      </c>
      <c r="W17" s="426" t="s">
        <v>1409</v>
      </c>
      <c r="X17" s="426" t="s">
        <v>1410</v>
      </c>
      <c r="Y17" s="427" t="s">
        <v>1393</v>
      </c>
      <c r="Z17" s="371"/>
      <c r="AA17" s="428" t="s">
        <v>10</v>
      </c>
      <c r="AB17" s="429" t="s">
        <v>23</v>
      </c>
      <c r="AC17" s="429" t="s">
        <v>1411</v>
      </c>
      <c r="AD17" s="429" t="s">
        <v>1412</v>
      </c>
      <c r="AE17" s="430" t="s">
        <v>9</v>
      </c>
      <c r="AF17" s="373"/>
      <c r="AG17" s="373"/>
      <c r="AH17" s="373"/>
    </row>
    <row r="18" ht="11.25" customHeight="1">
      <c r="A18" s="431">
        <f>YEAR(B18)</f>
        <v>2026</v>
      </c>
      <c r="B18" s="432">
        <v>46024.0</v>
      </c>
      <c r="C18" s="433" t="s">
        <v>1147</v>
      </c>
      <c r="D18" s="433" t="s">
        <v>1413</v>
      </c>
      <c r="E18" s="434">
        <f t="shared" ref="E18:I18" si="15">IFERROR(AVERAGE(L18:L21),"")</f>
        <v>11.21666667</v>
      </c>
      <c r="F18" s="434">
        <f t="shared" si="15"/>
        <v>0.26</v>
      </c>
      <c r="G18" s="435">
        <f t="shared" si="15"/>
        <v>0.576</v>
      </c>
      <c r="H18" s="435">
        <f t="shared" si="15"/>
        <v>0.596</v>
      </c>
      <c r="I18" s="436">
        <f t="shared" si="15"/>
        <v>1.74</v>
      </c>
      <c r="J18" s="437">
        <f>SUMIFS(PRODUCTION[KG],PRODUCTION[GRADE],"3X50",PRODUCTION[DATE],B18,PRODUCTION[BATCH],C18,PRODUCTION[SHIFT],D18)</f>
        <v>18460</v>
      </c>
      <c r="K18" s="438" t="s">
        <v>1414</v>
      </c>
      <c r="L18" s="439" t="s">
        <v>1415</v>
      </c>
      <c r="M18" s="440"/>
      <c r="N18" s="441"/>
      <c r="O18" s="441"/>
      <c r="P18" s="442"/>
      <c r="Q18" s="443"/>
      <c r="R18" s="440"/>
      <c r="S18" s="440"/>
      <c r="T18" s="440"/>
      <c r="U18" s="440"/>
      <c r="V18" s="440"/>
      <c r="W18" s="440"/>
      <c r="X18" s="440"/>
      <c r="Y18" s="444">
        <f t="shared" ref="Y18:Y2933" si="17">SUM(R18:X18)</f>
        <v>0</v>
      </c>
      <c r="Z18" s="445"/>
      <c r="AA18" s="446">
        <f t="shared" ref="AA18:AE18" si="16">$J18*E18</f>
        <v>207059.6667</v>
      </c>
      <c r="AB18" s="447">
        <f t="shared" si="16"/>
        <v>4799.6</v>
      </c>
      <c r="AC18" s="447">
        <f t="shared" si="16"/>
        <v>10632.96</v>
      </c>
      <c r="AD18" s="447">
        <f t="shared" si="16"/>
        <v>11002.16</v>
      </c>
      <c r="AE18" s="448">
        <f t="shared" si="16"/>
        <v>32120.4</v>
      </c>
      <c r="AF18" s="449"/>
      <c r="AG18" s="449"/>
      <c r="AH18" s="449"/>
    </row>
    <row r="19" ht="11.25" customHeight="1">
      <c r="A19" s="450"/>
      <c r="B19" s="451"/>
      <c r="C19" s="452"/>
      <c r="D19" s="452"/>
      <c r="E19" s="453"/>
      <c r="F19" s="453"/>
      <c r="G19" s="454"/>
      <c r="H19" s="454"/>
      <c r="I19" s="455"/>
      <c r="J19" s="456"/>
      <c r="K19" s="457" t="s">
        <v>1416</v>
      </c>
      <c r="L19" s="458">
        <v>10.94</v>
      </c>
      <c r="M19" s="459">
        <v>0.23</v>
      </c>
      <c r="N19" s="460">
        <v>0.576</v>
      </c>
      <c r="O19" s="460">
        <v>0.596</v>
      </c>
      <c r="P19" s="461">
        <v>1.68</v>
      </c>
      <c r="Q19" s="458">
        <v>0.5</v>
      </c>
      <c r="R19" s="459">
        <v>29.1</v>
      </c>
      <c r="S19" s="459">
        <v>35.6</v>
      </c>
      <c r="T19" s="459">
        <v>15.2</v>
      </c>
      <c r="U19" s="459">
        <v>8.6</v>
      </c>
      <c r="V19" s="459">
        <v>7.1</v>
      </c>
      <c r="W19" s="459">
        <v>1.1</v>
      </c>
      <c r="X19" s="459">
        <v>2.8</v>
      </c>
      <c r="Y19" s="462">
        <f t="shared" si="17"/>
        <v>99.5</v>
      </c>
      <c r="Z19" s="463"/>
      <c r="AA19" s="464"/>
      <c r="AB19" s="465"/>
      <c r="AC19" s="465"/>
      <c r="AD19" s="465"/>
      <c r="AE19" s="466"/>
      <c r="AF19" s="449"/>
      <c r="AG19" s="449"/>
      <c r="AH19" s="449"/>
    </row>
    <row r="20" ht="11.25" customHeight="1">
      <c r="A20" s="450"/>
      <c r="B20" s="451"/>
      <c r="C20" s="452"/>
      <c r="D20" s="452"/>
      <c r="E20" s="453"/>
      <c r="F20" s="453"/>
      <c r="G20" s="454"/>
      <c r="H20" s="454"/>
      <c r="I20" s="455"/>
      <c r="J20" s="456"/>
      <c r="K20" s="467" t="s">
        <v>1417</v>
      </c>
      <c r="L20" s="468">
        <v>11.6</v>
      </c>
      <c r="M20" s="469">
        <v>0.25</v>
      </c>
      <c r="N20" s="470">
        <v>0.573</v>
      </c>
      <c r="O20" s="470">
        <v>0.593</v>
      </c>
      <c r="P20" s="471">
        <v>1.9</v>
      </c>
      <c r="Q20" s="468">
        <v>0.8</v>
      </c>
      <c r="R20" s="469">
        <v>39.3</v>
      </c>
      <c r="S20" s="469">
        <v>28.2</v>
      </c>
      <c r="T20" s="469">
        <v>15.1</v>
      </c>
      <c r="U20" s="469">
        <v>8.8</v>
      </c>
      <c r="V20" s="469">
        <v>5.9</v>
      </c>
      <c r="W20" s="469">
        <v>0.4</v>
      </c>
      <c r="X20" s="469">
        <v>1.5</v>
      </c>
      <c r="Y20" s="462">
        <f t="shared" si="17"/>
        <v>99.2</v>
      </c>
      <c r="Z20" s="463"/>
      <c r="AA20" s="464"/>
      <c r="AB20" s="465"/>
      <c r="AC20" s="465"/>
      <c r="AD20" s="465"/>
      <c r="AE20" s="466"/>
      <c r="AF20" s="449"/>
      <c r="AG20" s="449"/>
      <c r="AH20" s="449"/>
    </row>
    <row r="21" ht="11.25" customHeight="1">
      <c r="A21" s="450"/>
      <c r="B21" s="472"/>
      <c r="C21" s="473"/>
      <c r="D21" s="473"/>
      <c r="E21" s="474"/>
      <c r="F21" s="474"/>
      <c r="G21" s="475"/>
      <c r="H21" s="475"/>
      <c r="I21" s="476"/>
      <c r="J21" s="477"/>
      <c r="K21" s="478" t="s">
        <v>1418</v>
      </c>
      <c r="L21" s="479">
        <v>11.11</v>
      </c>
      <c r="M21" s="480">
        <v>0.3</v>
      </c>
      <c r="N21" s="481">
        <v>0.579</v>
      </c>
      <c r="O21" s="481">
        <v>0.599</v>
      </c>
      <c r="P21" s="482">
        <v>1.64</v>
      </c>
      <c r="Q21" s="479">
        <v>0.8</v>
      </c>
      <c r="R21" s="480">
        <v>45.3</v>
      </c>
      <c r="S21" s="480">
        <v>29.9</v>
      </c>
      <c r="T21" s="480">
        <v>13.8</v>
      </c>
      <c r="U21" s="480">
        <v>6.0</v>
      </c>
      <c r="V21" s="480">
        <v>3.4</v>
      </c>
      <c r="W21" s="480">
        <v>0.1</v>
      </c>
      <c r="X21" s="480">
        <v>0.7</v>
      </c>
      <c r="Y21" s="483">
        <f t="shared" si="17"/>
        <v>99.2</v>
      </c>
      <c r="Z21" s="484"/>
      <c r="AA21" s="485"/>
      <c r="AB21" s="486"/>
      <c r="AC21" s="486"/>
      <c r="AD21" s="486"/>
      <c r="AE21" s="487"/>
      <c r="AF21" s="449"/>
      <c r="AG21" s="449"/>
      <c r="AH21" s="449"/>
    </row>
    <row r="22" ht="11.25" customHeight="1">
      <c r="A22" s="431">
        <f>IF(B22="","", YEAR(B22))</f>
        <v>2026</v>
      </c>
      <c r="B22" s="432">
        <v>46025.0</v>
      </c>
      <c r="C22" s="433" t="s">
        <v>1147</v>
      </c>
      <c r="D22" s="433" t="s">
        <v>1413</v>
      </c>
      <c r="E22" s="434">
        <f t="shared" ref="E22:I22" si="18">IFERROR(AVERAGE(L22:L25),"")</f>
        <v>11.5675</v>
      </c>
      <c r="F22" s="434">
        <f t="shared" si="18"/>
        <v>0.25</v>
      </c>
      <c r="G22" s="435">
        <f t="shared" si="18"/>
        <v>0.575</v>
      </c>
      <c r="H22" s="435">
        <f t="shared" si="18"/>
        <v>0.595</v>
      </c>
      <c r="I22" s="436">
        <f t="shared" si="18"/>
        <v>2.2</v>
      </c>
      <c r="J22" s="437">
        <f>SUMIFS(PRODUCTION[KG],PRODUCTION[GRADE],"3X50",PRODUCTION[DATE],B22,PRODUCTION[BATCH],C22,PRODUCTION[SHIFT],D22)</f>
        <v>28210</v>
      </c>
      <c r="K22" s="438" t="s">
        <v>1414</v>
      </c>
      <c r="L22" s="439">
        <v>11.4</v>
      </c>
      <c r="M22" s="488">
        <v>0.28</v>
      </c>
      <c r="N22" s="489">
        <v>0.577</v>
      </c>
      <c r="O22" s="489">
        <v>0.597</v>
      </c>
      <c r="P22" s="490">
        <v>2.08</v>
      </c>
      <c r="Q22" s="439">
        <v>2.0</v>
      </c>
      <c r="R22" s="488">
        <v>42.9</v>
      </c>
      <c r="S22" s="488">
        <v>26.2</v>
      </c>
      <c r="T22" s="488">
        <v>14.7</v>
      </c>
      <c r="U22" s="488">
        <v>8.6</v>
      </c>
      <c r="V22" s="488">
        <v>4.5</v>
      </c>
      <c r="W22" s="488">
        <v>0.1</v>
      </c>
      <c r="X22" s="488">
        <v>1.0</v>
      </c>
      <c r="Y22" s="444">
        <f t="shared" si="17"/>
        <v>98</v>
      </c>
      <c r="Z22" s="445"/>
      <c r="AA22" s="446">
        <f t="shared" ref="AA22:AE22" si="19">$J22*E22</f>
        <v>326319.175</v>
      </c>
      <c r="AB22" s="447">
        <f t="shared" si="19"/>
        <v>7052.5</v>
      </c>
      <c r="AC22" s="447">
        <f t="shared" si="19"/>
        <v>16220.75</v>
      </c>
      <c r="AD22" s="447">
        <f t="shared" si="19"/>
        <v>16784.95</v>
      </c>
      <c r="AE22" s="448">
        <f t="shared" si="19"/>
        <v>62062</v>
      </c>
      <c r="AF22" s="449"/>
      <c r="AG22" s="449"/>
      <c r="AH22" s="449"/>
    </row>
    <row r="23" ht="11.25" customHeight="1">
      <c r="A23" s="450"/>
      <c r="B23" s="451"/>
      <c r="C23" s="452"/>
      <c r="D23" s="452"/>
      <c r="E23" s="453"/>
      <c r="F23" s="453"/>
      <c r="G23" s="454"/>
      <c r="H23" s="454"/>
      <c r="I23" s="455"/>
      <c r="J23" s="456"/>
      <c r="K23" s="457" t="s">
        <v>1416</v>
      </c>
      <c r="L23" s="458">
        <v>11.8</v>
      </c>
      <c r="M23" s="459">
        <v>0.23</v>
      </c>
      <c r="N23" s="460">
        <v>0.572</v>
      </c>
      <c r="O23" s="460">
        <v>0.592</v>
      </c>
      <c r="P23" s="461">
        <v>2.49</v>
      </c>
      <c r="Q23" s="458">
        <v>1.5</v>
      </c>
      <c r="R23" s="459">
        <v>40.4</v>
      </c>
      <c r="S23" s="459">
        <v>26.9</v>
      </c>
      <c r="T23" s="459">
        <v>15.3</v>
      </c>
      <c r="U23" s="459">
        <v>9.3</v>
      </c>
      <c r="V23" s="459">
        <v>5.1</v>
      </c>
      <c r="W23" s="459">
        <v>0.4</v>
      </c>
      <c r="X23" s="459">
        <v>1.1</v>
      </c>
      <c r="Y23" s="462">
        <f t="shared" si="17"/>
        <v>98.5</v>
      </c>
      <c r="Z23" s="463"/>
      <c r="AA23" s="464"/>
      <c r="AB23" s="465"/>
      <c r="AC23" s="465"/>
      <c r="AD23" s="465"/>
      <c r="AE23" s="466"/>
      <c r="AF23" s="449"/>
      <c r="AG23" s="449"/>
      <c r="AH23" s="449"/>
    </row>
    <row r="24" ht="11.25" customHeight="1">
      <c r="A24" s="450"/>
      <c r="B24" s="451"/>
      <c r="C24" s="452"/>
      <c r="D24" s="452"/>
      <c r="E24" s="453"/>
      <c r="F24" s="453"/>
      <c r="G24" s="454"/>
      <c r="H24" s="454"/>
      <c r="I24" s="455"/>
      <c r="J24" s="456"/>
      <c r="K24" s="467" t="s">
        <v>1417</v>
      </c>
      <c r="L24" s="468">
        <v>11.87</v>
      </c>
      <c r="M24" s="469">
        <v>0.22</v>
      </c>
      <c r="N24" s="470">
        <v>0.574</v>
      </c>
      <c r="O24" s="470">
        <v>0.594</v>
      </c>
      <c r="P24" s="471">
        <v>2.58</v>
      </c>
      <c r="Q24" s="468">
        <v>1.3</v>
      </c>
      <c r="R24" s="469">
        <v>41.6</v>
      </c>
      <c r="S24" s="469">
        <v>27.4</v>
      </c>
      <c r="T24" s="469">
        <v>15.2</v>
      </c>
      <c r="U24" s="469">
        <v>8.9</v>
      </c>
      <c r="V24" s="469">
        <v>4.5</v>
      </c>
      <c r="W24" s="469">
        <v>0.1</v>
      </c>
      <c r="X24" s="469">
        <v>1.0</v>
      </c>
      <c r="Y24" s="462">
        <f t="shared" si="17"/>
        <v>98.7</v>
      </c>
      <c r="Z24" s="463"/>
      <c r="AA24" s="464"/>
      <c r="AB24" s="465"/>
      <c r="AC24" s="465"/>
      <c r="AD24" s="465"/>
      <c r="AE24" s="466"/>
      <c r="AF24" s="449"/>
      <c r="AG24" s="449"/>
      <c r="AH24" s="449"/>
    </row>
    <row r="25" ht="11.25" customHeight="1">
      <c r="A25" s="450"/>
      <c r="B25" s="472"/>
      <c r="C25" s="473"/>
      <c r="D25" s="473"/>
      <c r="E25" s="474"/>
      <c r="F25" s="474"/>
      <c r="G25" s="475"/>
      <c r="H25" s="475"/>
      <c r="I25" s="476"/>
      <c r="J25" s="477"/>
      <c r="K25" s="478" t="s">
        <v>1418</v>
      </c>
      <c r="L25" s="479">
        <v>11.2</v>
      </c>
      <c r="M25" s="480">
        <v>0.27</v>
      </c>
      <c r="N25" s="481">
        <v>0.577</v>
      </c>
      <c r="O25" s="481">
        <v>0.597</v>
      </c>
      <c r="P25" s="482">
        <v>1.65</v>
      </c>
      <c r="Q25" s="479">
        <v>1.3</v>
      </c>
      <c r="R25" s="480">
        <v>36.9</v>
      </c>
      <c r="S25" s="480">
        <v>29.6</v>
      </c>
      <c r="T25" s="480">
        <v>15.2</v>
      </c>
      <c r="U25" s="480">
        <v>9.5</v>
      </c>
      <c r="V25" s="480">
        <v>5.8</v>
      </c>
      <c r="W25" s="480">
        <v>0.5</v>
      </c>
      <c r="X25" s="480">
        <v>1.2</v>
      </c>
      <c r="Y25" s="483">
        <f t="shared" si="17"/>
        <v>98.7</v>
      </c>
      <c r="Z25" s="484"/>
      <c r="AA25" s="485"/>
      <c r="AB25" s="486"/>
      <c r="AC25" s="486"/>
      <c r="AD25" s="486"/>
      <c r="AE25" s="487"/>
      <c r="AF25" s="449"/>
      <c r="AG25" s="449"/>
      <c r="AH25" s="449"/>
    </row>
    <row r="26" ht="11.25" customHeight="1">
      <c r="A26" s="431">
        <f>IF(B26="","", YEAR(B26))</f>
        <v>2026</v>
      </c>
      <c r="B26" s="432">
        <v>46027.0</v>
      </c>
      <c r="C26" s="433" t="s">
        <v>1147</v>
      </c>
      <c r="D26" s="433" t="s">
        <v>1413</v>
      </c>
      <c r="E26" s="434">
        <f t="shared" ref="E26:I26" si="20">IFERROR(AVERAGE(L26:L29),"")</f>
        <v>10.9525</v>
      </c>
      <c r="F26" s="434">
        <f t="shared" si="20"/>
        <v>0.265</v>
      </c>
      <c r="G26" s="435">
        <f t="shared" si="20"/>
        <v>0.57775</v>
      </c>
      <c r="H26" s="435">
        <f t="shared" si="20"/>
        <v>0.610025</v>
      </c>
      <c r="I26" s="436">
        <f t="shared" si="20"/>
        <v>1.9225</v>
      </c>
      <c r="J26" s="437">
        <f>SUMIFS(PRODUCTION[KG],PRODUCTION[GRADE],"3X50",PRODUCTION[DATE],B26,PRODUCTION[BATCH],C26,PRODUCTION[SHIFT],D26)</f>
        <v>28080</v>
      </c>
      <c r="K26" s="438" t="s">
        <v>1414</v>
      </c>
      <c r="L26" s="439">
        <v>11.67</v>
      </c>
      <c r="M26" s="488">
        <v>0.31</v>
      </c>
      <c r="N26" s="489">
        <v>0.575</v>
      </c>
      <c r="O26" s="489">
        <v>0.595</v>
      </c>
      <c r="P26" s="490">
        <v>1.9</v>
      </c>
      <c r="Q26" s="439">
        <v>2.2</v>
      </c>
      <c r="R26" s="488">
        <v>42.2</v>
      </c>
      <c r="S26" s="488">
        <v>28.4</v>
      </c>
      <c r="T26" s="488">
        <v>13.8</v>
      </c>
      <c r="U26" s="488">
        <v>8.1</v>
      </c>
      <c r="V26" s="488">
        <v>4.1</v>
      </c>
      <c r="W26" s="488">
        <v>0.1</v>
      </c>
      <c r="X26" s="488">
        <v>1.1</v>
      </c>
      <c r="Y26" s="444">
        <f t="shared" si="17"/>
        <v>97.8</v>
      </c>
      <c r="Z26" s="445"/>
      <c r="AA26" s="446">
        <f t="shared" ref="AA26:AE26" si="21">$J26*E26</f>
        <v>307546.2</v>
      </c>
      <c r="AB26" s="447">
        <f t="shared" si="21"/>
        <v>7441.2</v>
      </c>
      <c r="AC26" s="447">
        <f t="shared" si="21"/>
        <v>16223.22</v>
      </c>
      <c r="AD26" s="447">
        <f t="shared" si="21"/>
        <v>17129.502</v>
      </c>
      <c r="AE26" s="448">
        <f t="shared" si="21"/>
        <v>53983.8</v>
      </c>
      <c r="AF26" s="449"/>
      <c r="AG26" s="449"/>
      <c r="AH26" s="449"/>
    </row>
    <row r="27" ht="11.25" customHeight="1">
      <c r="A27" s="450"/>
      <c r="B27" s="451"/>
      <c r="C27" s="452"/>
      <c r="D27" s="452"/>
      <c r="E27" s="453"/>
      <c r="F27" s="453"/>
      <c r="G27" s="454"/>
      <c r="H27" s="454"/>
      <c r="I27" s="455"/>
      <c r="J27" s="456"/>
      <c r="K27" s="457" t="s">
        <v>1416</v>
      </c>
      <c r="L27" s="458">
        <v>11.4</v>
      </c>
      <c r="M27" s="459">
        <v>0.24</v>
      </c>
      <c r="N27" s="460">
        <v>0.576</v>
      </c>
      <c r="O27" s="460">
        <v>0.596</v>
      </c>
      <c r="P27" s="461">
        <v>1.98</v>
      </c>
      <c r="Q27" s="458">
        <v>0.8</v>
      </c>
      <c r="R27" s="459">
        <v>42.2</v>
      </c>
      <c r="S27" s="459">
        <v>28.5</v>
      </c>
      <c r="T27" s="459">
        <v>15.4</v>
      </c>
      <c r="U27" s="459">
        <v>8.3</v>
      </c>
      <c r="V27" s="459">
        <v>3.8</v>
      </c>
      <c r="W27" s="459">
        <v>0.1</v>
      </c>
      <c r="X27" s="459">
        <v>0.9</v>
      </c>
      <c r="Y27" s="462">
        <f t="shared" si="17"/>
        <v>99.2</v>
      </c>
      <c r="Z27" s="463"/>
      <c r="AA27" s="464"/>
      <c r="AB27" s="465"/>
      <c r="AC27" s="465"/>
      <c r="AD27" s="465"/>
      <c r="AE27" s="466"/>
      <c r="AF27" s="449"/>
      <c r="AG27" s="449"/>
      <c r="AH27" s="449"/>
    </row>
    <row r="28" ht="11.25" customHeight="1">
      <c r="A28" s="450"/>
      <c r="B28" s="451"/>
      <c r="C28" s="452"/>
      <c r="D28" s="452"/>
      <c r="E28" s="453"/>
      <c r="F28" s="453"/>
      <c r="G28" s="454"/>
      <c r="H28" s="454"/>
      <c r="I28" s="455"/>
      <c r="J28" s="456"/>
      <c r="K28" s="467" t="s">
        <v>1417</v>
      </c>
      <c r="L28" s="468">
        <v>10.54</v>
      </c>
      <c r="M28" s="469">
        <v>0.22</v>
      </c>
      <c r="N28" s="470">
        <v>0.581</v>
      </c>
      <c r="O28" s="470">
        <v>0.6501</v>
      </c>
      <c r="P28" s="471">
        <v>1.94</v>
      </c>
      <c r="Q28" s="468">
        <v>1.2</v>
      </c>
      <c r="R28" s="469">
        <v>36.0</v>
      </c>
      <c r="S28" s="469">
        <v>27.7</v>
      </c>
      <c r="T28" s="469">
        <v>16.2</v>
      </c>
      <c r="U28" s="469">
        <v>10.3</v>
      </c>
      <c r="V28" s="469">
        <v>6.6</v>
      </c>
      <c r="W28" s="469">
        <v>0.5</v>
      </c>
      <c r="X28" s="469">
        <v>1.5</v>
      </c>
      <c r="Y28" s="462">
        <f t="shared" si="17"/>
        <v>98.8</v>
      </c>
      <c r="Z28" s="463"/>
      <c r="AA28" s="464"/>
      <c r="AB28" s="465"/>
      <c r="AC28" s="465"/>
      <c r="AD28" s="465"/>
      <c r="AE28" s="466"/>
      <c r="AF28" s="449"/>
      <c r="AG28" s="449"/>
      <c r="AH28" s="449"/>
    </row>
    <row r="29" ht="11.25" customHeight="1">
      <c r="A29" s="450"/>
      <c r="B29" s="472"/>
      <c r="C29" s="473"/>
      <c r="D29" s="473"/>
      <c r="E29" s="474"/>
      <c r="F29" s="474"/>
      <c r="G29" s="475"/>
      <c r="H29" s="475"/>
      <c r="I29" s="476"/>
      <c r="J29" s="477"/>
      <c r="K29" s="478" t="s">
        <v>1418</v>
      </c>
      <c r="L29" s="479">
        <v>10.2</v>
      </c>
      <c r="M29" s="480">
        <v>0.29</v>
      </c>
      <c r="N29" s="481">
        <v>0.579</v>
      </c>
      <c r="O29" s="481">
        <v>0.599</v>
      </c>
      <c r="P29" s="482">
        <v>1.87</v>
      </c>
      <c r="Q29" s="479">
        <v>0.6</v>
      </c>
      <c r="R29" s="480">
        <v>43.1</v>
      </c>
      <c r="S29" s="480">
        <v>28.6</v>
      </c>
      <c r="T29" s="480">
        <v>15.5</v>
      </c>
      <c r="U29" s="480">
        <v>7.8</v>
      </c>
      <c r="V29" s="480">
        <v>3.7</v>
      </c>
      <c r="W29" s="480">
        <v>0.1</v>
      </c>
      <c r="X29" s="480">
        <v>0.6</v>
      </c>
      <c r="Y29" s="483">
        <f t="shared" si="17"/>
        <v>99.4</v>
      </c>
      <c r="Z29" s="484"/>
      <c r="AA29" s="485"/>
      <c r="AB29" s="486"/>
      <c r="AC29" s="486"/>
      <c r="AD29" s="486"/>
      <c r="AE29" s="487"/>
      <c r="AF29" s="449"/>
      <c r="AG29" s="449"/>
      <c r="AH29" s="449"/>
    </row>
    <row r="30" ht="11.25" customHeight="1">
      <c r="A30" s="431">
        <f>IF(B30="","", YEAR(B30))</f>
        <v>2026</v>
      </c>
      <c r="B30" s="432">
        <v>46028.0</v>
      </c>
      <c r="C30" s="433" t="s">
        <v>1147</v>
      </c>
      <c r="D30" s="433" t="s">
        <v>1413</v>
      </c>
      <c r="E30" s="434">
        <f t="shared" ref="E30:I30" si="22">IFERROR(AVERAGE(L30:L33),"")</f>
        <v>10.47</v>
      </c>
      <c r="F30" s="434">
        <f t="shared" si="22"/>
        <v>0.28</v>
      </c>
      <c r="G30" s="435">
        <f t="shared" si="22"/>
        <v>0.57575</v>
      </c>
      <c r="H30" s="435">
        <f t="shared" si="22"/>
        <v>0.59575</v>
      </c>
      <c r="I30" s="436">
        <f t="shared" si="22"/>
        <v>1.845</v>
      </c>
      <c r="J30" s="437">
        <f>SUMIFS(PRODUCTION[KG],PRODUCTION[GRADE],"3X50",PRODUCTION[DATE],B30,PRODUCTION[BATCH],C30,PRODUCTION[SHIFT],D30)</f>
        <v>28080</v>
      </c>
      <c r="K30" s="438" t="s">
        <v>1414</v>
      </c>
      <c r="L30" s="439">
        <v>9.74</v>
      </c>
      <c r="M30" s="488">
        <v>0.31</v>
      </c>
      <c r="N30" s="489">
        <v>0.574</v>
      </c>
      <c r="O30" s="489">
        <v>0.594</v>
      </c>
      <c r="P30" s="490">
        <v>1.92</v>
      </c>
      <c r="Q30" s="439">
        <v>1.3</v>
      </c>
      <c r="R30" s="488">
        <v>36.0</v>
      </c>
      <c r="S30" s="488">
        <v>26.2</v>
      </c>
      <c r="T30" s="488">
        <v>16.2</v>
      </c>
      <c r="U30" s="488">
        <v>11.3</v>
      </c>
      <c r="V30" s="488">
        <v>7.2</v>
      </c>
      <c r="W30" s="488">
        <v>0.6</v>
      </c>
      <c r="X30" s="488">
        <v>1.2</v>
      </c>
      <c r="Y30" s="444">
        <f t="shared" si="17"/>
        <v>98.7</v>
      </c>
      <c r="Z30" s="445"/>
      <c r="AA30" s="446">
        <f t="shared" ref="AA30:AE30" si="23">$J30*E30</f>
        <v>293997.6</v>
      </c>
      <c r="AB30" s="447">
        <f t="shared" si="23"/>
        <v>7862.4</v>
      </c>
      <c r="AC30" s="447">
        <f t="shared" si="23"/>
        <v>16167.06</v>
      </c>
      <c r="AD30" s="447">
        <f t="shared" si="23"/>
        <v>16728.66</v>
      </c>
      <c r="AE30" s="448">
        <f t="shared" si="23"/>
        <v>51807.6</v>
      </c>
      <c r="AF30" s="449"/>
      <c r="AG30" s="449"/>
      <c r="AH30" s="449"/>
    </row>
    <row r="31" ht="11.25" customHeight="1">
      <c r="A31" s="450"/>
      <c r="B31" s="451"/>
      <c r="C31" s="452"/>
      <c r="D31" s="452"/>
      <c r="E31" s="453"/>
      <c r="F31" s="453"/>
      <c r="G31" s="454"/>
      <c r="H31" s="454"/>
      <c r="I31" s="455"/>
      <c r="J31" s="456"/>
      <c r="K31" s="457" t="s">
        <v>1416</v>
      </c>
      <c r="L31" s="458">
        <v>10.8</v>
      </c>
      <c r="M31" s="459">
        <v>0.27</v>
      </c>
      <c r="N31" s="460">
        <v>0.573</v>
      </c>
      <c r="O31" s="460">
        <v>0.593</v>
      </c>
      <c r="P31" s="461">
        <v>1.82</v>
      </c>
      <c r="Q31" s="458">
        <v>1.6</v>
      </c>
      <c r="R31" s="459">
        <v>41.3</v>
      </c>
      <c r="S31" s="459">
        <v>28.1</v>
      </c>
      <c r="T31" s="459">
        <v>13.7</v>
      </c>
      <c r="U31" s="459">
        <v>8.1</v>
      </c>
      <c r="V31" s="459">
        <v>5.8</v>
      </c>
      <c r="W31" s="459">
        <v>0.1</v>
      </c>
      <c r="X31" s="459">
        <v>1.3</v>
      </c>
      <c r="Y31" s="462">
        <f t="shared" si="17"/>
        <v>98.4</v>
      </c>
      <c r="Z31" s="463"/>
      <c r="AA31" s="464"/>
      <c r="AB31" s="465"/>
      <c r="AC31" s="465"/>
      <c r="AD31" s="465"/>
      <c r="AE31" s="466"/>
      <c r="AF31" s="449"/>
      <c r="AG31" s="449"/>
      <c r="AH31" s="449"/>
    </row>
    <row r="32" ht="11.25" customHeight="1">
      <c r="A32" s="450"/>
      <c r="B32" s="451"/>
      <c r="C32" s="452"/>
      <c r="D32" s="452"/>
      <c r="E32" s="453"/>
      <c r="F32" s="453"/>
      <c r="G32" s="454"/>
      <c r="H32" s="454"/>
      <c r="I32" s="455"/>
      <c r="J32" s="456"/>
      <c r="K32" s="467" t="s">
        <v>1417</v>
      </c>
      <c r="L32" s="468">
        <v>10.6</v>
      </c>
      <c r="M32" s="469">
        <v>0.24</v>
      </c>
      <c r="N32" s="470">
        <v>0.581</v>
      </c>
      <c r="O32" s="470">
        <v>0.601</v>
      </c>
      <c r="P32" s="471">
        <v>1.78</v>
      </c>
      <c r="Q32" s="468">
        <v>1.5</v>
      </c>
      <c r="R32" s="469">
        <v>34.9</v>
      </c>
      <c r="S32" s="469">
        <v>29.2</v>
      </c>
      <c r="T32" s="469">
        <v>17.3</v>
      </c>
      <c r="U32" s="469">
        <v>9.6</v>
      </c>
      <c r="V32" s="469">
        <v>5.8</v>
      </c>
      <c r="W32" s="469">
        <v>0.4</v>
      </c>
      <c r="X32" s="469">
        <v>1.3</v>
      </c>
      <c r="Y32" s="462">
        <f t="shared" si="17"/>
        <v>98.5</v>
      </c>
      <c r="Z32" s="463"/>
      <c r="AA32" s="464"/>
      <c r="AB32" s="465"/>
      <c r="AC32" s="465"/>
      <c r="AD32" s="465"/>
      <c r="AE32" s="466"/>
      <c r="AF32" s="449"/>
      <c r="AG32" s="449"/>
      <c r="AH32" s="449"/>
    </row>
    <row r="33" ht="11.25" customHeight="1">
      <c r="A33" s="450"/>
      <c r="B33" s="472"/>
      <c r="C33" s="473"/>
      <c r="D33" s="473"/>
      <c r="E33" s="474"/>
      <c r="F33" s="474"/>
      <c r="G33" s="475"/>
      <c r="H33" s="475"/>
      <c r="I33" s="476"/>
      <c r="J33" s="477"/>
      <c r="K33" s="478" t="s">
        <v>1418</v>
      </c>
      <c r="L33" s="479">
        <v>10.74</v>
      </c>
      <c r="M33" s="480">
        <v>0.3</v>
      </c>
      <c r="N33" s="481">
        <v>0.575</v>
      </c>
      <c r="O33" s="481">
        <v>0.595</v>
      </c>
      <c r="P33" s="482">
        <v>1.86</v>
      </c>
      <c r="Q33" s="479">
        <v>1.3</v>
      </c>
      <c r="R33" s="480">
        <v>34.8</v>
      </c>
      <c r="S33" s="480">
        <v>28.3</v>
      </c>
      <c r="T33" s="480">
        <v>17.4</v>
      </c>
      <c r="U33" s="480">
        <v>10.8</v>
      </c>
      <c r="V33" s="480">
        <v>6.1</v>
      </c>
      <c r="W33" s="480">
        <v>0.3</v>
      </c>
      <c r="X33" s="480">
        <v>1.0</v>
      </c>
      <c r="Y33" s="483">
        <f t="shared" si="17"/>
        <v>98.7</v>
      </c>
      <c r="Z33" s="484"/>
      <c r="AA33" s="485"/>
      <c r="AB33" s="486"/>
      <c r="AC33" s="486"/>
      <c r="AD33" s="486"/>
      <c r="AE33" s="487"/>
      <c r="AF33" s="449"/>
      <c r="AG33" s="449"/>
      <c r="AH33" s="449"/>
    </row>
    <row r="34" ht="11.25" customHeight="1">
      <c r="A34" s="431">
        <f>IF(B34="","", YEAR(B34))</f>
        <v>2026</v>
      </c>
      <c r="B34" s="432">
        <v>46029.0</v>
      </c>
      <c r="C34" s="433" t="s">
        <v>1147</v>
      </c>
      <c r="D34" s="433" t="s">
        <v>1413</v>
      </c>
      <c r="E34" s="434">
        <f t="shared" ref="E34:I34" si="24">IFERROR(AVERAGE(L34:L37),"")</f>
        <v>11.0875</v>
      </c>
      <c r="F34" s="434">
        <f t="shared" si="24"/>
        <v>0.2525</v>
      </c>
      <c r="G34" s="435">
        <f t="shared" si="24"/>
        <v>0.57675</v>
      </c>
      <c r="H34" s="435">
        <f t="shared" si="24"/>
        <v>0.59675</v>
      </c>
      <c r="I34" s="436">
        <f t="shared" si="24"/>
        <v>1.8575</v>
      </c>
      <c r="J34" s="437">
        <f>SUMIFS(PRODUCTION[KG],PRODUCTION[GRADE],"3X50",PRODUCTION[DATE],B34,PRODUCTION[BATCH],C34,PRODUCTION[SHIFT],D34)</f>
        <v>25350</v>
      </c>
      <c r="K34" s="438" t="s">
        <v>1414</v>
      </c>
      <c r="L34" s="439">
        <v>10.8</v>
      </c>
      <c r="M34" s="488">
        <v>0.28</v>
      </c>
      <c r="N34" s="489">
        <v>0.576</v>
      </c>
      <c r="O34" s="489">
        <v>0.596</v>
      </c>
      <c r="P34" s="490">
        <v>2.02</v>
      </c>
      <c r="Q34" s="439">
        <v>1.4</v>
      </c>
      <c r="R34" s="488">
        <v>34.7</v>
      </c>
      <c r="S34" s="488">
        <v>28.3</v>
      </c>
      <c r="T34" s="488">
        <v>17.4</v>
      </c>
      <c r="U34" s="488">
        <v>10.8</v>
      </c>
      <c r="V34" s="488">
        <v>6.1</v>
      </c>
      <c r="W34" s="488">
        <v>0.3</v>
      </c>
      <c r="X34" s="488">
        <v>1.0</v>
      </c>
      <c r="Y34" s="444">
        <f t="shared" si="17"/>
        <v>98.6</v>
      </c>
      <c r="Z34" s="445"/>
      <c r="AA34" s="446">
        <f t="shared" ref="AA34:AE34" si="25">$J34*E34</f>
        <v>281068.125</v>
      </c>
      <c r="AB34" s="447">
        <f t="shared" si="25"/>
        <v>6400.875</v>
      </c>
      <c r="AC34" s="447">
        <f t="shared" si="25"/>
        <v>14620.6125</v>
      </c>
      <c r="AD34" s="447">
        <f t="shared" si="25"/>
        <v>15127.6125</v>
      </c>
      <c r="AE34" s="448">
        <f t="shared" si="25"/>
        <v>47087.625</v>
      </c>
      <c r="AF34" s="449"/>
      <c r="AG34" s="449"/>
      <c r="AH34" s="449"/>
    </row>
    <row r="35" ht="11.25" customHeight="1">
      <c r="A35" s="450"/>
      <c r="B35" s="451"/>
      <c r="C35" s="452"/>
      <c r="D35" s="452"/>
      <c r="E35" s="453"/>
      <c r="F35" s="453"/>
      <c r="G35" s="454"/>
      <c r="H35" s="454"/>
      <c r="I35" s="455"/>
      <c r="J35" s="456"/>
      <c r="K35" s="457" t="s">
        <v>1416</v>
      </c>
      <c r="L35" s="458">
        <v>11.94</v>
      </c>
      <c r="M35" s="459">
        <v>0.24</v>
      </c>
      <c r="N35" s="460">
        <v>0.58</v>
      </c>
      <c r="O35" s="460">
        <v>0.6</v>
      </c>
      <c r="P35" s="461">
        <v>2.08</v>
      </c>
      <c r="Q35" s="458">
        <v>1.1</v>
      </c>
      <c r="R35" s="459">
        <v>31.2</v>
      </c>
      <c r="S35" s="459">
        <v>28.9</v>
      </c>
      <c r="T35" s="459">
        <v>17.8</v>
      </c>
      <c r="U35" s="459">
        <v>11.6</v>
      </c>
      <c r="V35" s="459">
        <v>7.6</v>
      </c>
      <c r="W35" s="459">
        <v>0.5</v>
      </c>
      <c r="X35" s="459">
        <v>1.3</v>
      </c>
      <c r="Y35" s="462">
        <f t="shared" si="17"/>
        <v>98.9</v>
      </c>
      <c r="Z35" s="463"/>
      <c r="AA35" s="464"/>
      <c r="AB35" s="465"/>
      <c r="AC35" s="465"/>
      <c r="AD35" s="465"/>
      <c r="AE35" s="466"/>
      <c r="AF35" s="449"/>
      <c r="AG35" s="449"/>
      <c r="AH35" s="449"/>
    </row>
    <row r="36" ht="11.25" customHeight="1">
      <c r="A36" s="450"/>
      <c r="B36" s="451"/>
      <c r="C36" s="452"/>
      <c r="D36" s="452"/>
      <c r="E36" s="453"/>
      <c r="F36" s="453"/>
      <c r="G36" s="454"/>
      <c r="H36" s="454"/>
      <c r="I36" s="455"/>
      <c r="J36" s="456"/>
      <c r="K36" s="467" t="s">
        <v>1417</v>
      </c>
      <c r="L36" s="468">
        <v>10.94</v>
      </c>
      <c r="M36" s="469">
        <v>0.26</v>
      </c>
      <c r="N36" s="470">
        <v>0.572</v>
      </c>
      <c r="O36" s="470">
        <v>0.592</v>
      </c>
      <c r="P36" s="471">
        <v>1.8</v>
      </c>
      <c r="Q36" s="468">
        <v>0.4</v>
      </c>
      <c r="R36" s="469">
        <v>32.7</v>
      </c>
      <c r="S36" s="469">
        <v>29.6</v>
      </c>
      <c r="T36" s="469">
        <v>16.4</v>
      </c>
      <c r="U36" s="469">
        <v>11.0</v>
      </c>
      <c r="V36" s="469">
        <v>7.8</v>
      </c>
      <c r="W36" s="469">
        <v>0.6</v>
      </c>
      <c r="X36" s="469">
        <v>1.5</v>
      </c>
      <c r="Y36" s="462">
        <f t="shared" si="17"/>
        <v>99.6</v>
      </c>
      <c r="Z36" s="463"/>
      <c r="AA36" s="464"/>
      <c r="AB36" s="465"/>
      <c r="AC36" s="465"/>
      <c r="AD36" s="465"/>
      <c r="AE36" s="466"/>
      <c r="AF36" s="449"/>
      <c r="AG36" s="449"/>
      <c r="AH36" s="449"/>
    </row>
    <row r="37" ht="11.25" customHeight="1">
      <c r="A37" s="450"/>
      <c r="B37" s="472"/>
      <c r="C37" s="473"/>
      <c r="D37" s="473"/>
      <c r="E37" s="474"/>
      <c r="F37" s="474"/>
      <c r="G37" s="475"/>
      <c r="H37" s="475"/>
      <c r="I37" s="476"/>
      <c r="J37" s="477"/>
      <c r="K37" s="478" t="s">
        <v>1418</v>
      </c>
      <c r="L37" s="479">
        <v>10.67</v>
      </c>
      <c r="M37" s="480">
        <v>0.23</v>
      </c>
      <c r="N37" s="481">
        <v>0.579</v>
      </c>
      <c r="O37" s="481">
        <v>0.599</v>
      </c>
      <c r="P37" s="482">
        <v>1.53</v>
      </c>
      <c r="Q37" s="479">
        <v>1.3</v>
      </c>
      <c r="R37" s="480">
        <v>37.6</v>
      </c>
      <c r="S37" s="480">
        <v>28.7</v>
      </c>
      <c r="T37" s="480">
        <v>16.7</v>
      </c>
      <c r="U37" s="480">
        <v>9.6</v>
      </c>
      <c r="V37" s="480">
        <v>5.2</v>
      </c>
      <c r="W37" s="480">
        <v>0.3</v>
      </c>
      <c r="X37" s="480">
        <v>0.6</v>
      </c>
      <c r="Y37" s="483">
        <f t="shared" si="17"/>
        <v>98.7</v>
      </c>
      <c r="Z37" s="484"/>
      <c r="AA37" s="485"/>
      <c r="AB37" s="486"/>
      <c r="AC37" s="486"/>
      <c r="AD37" s="486"/>
      <c r="AE37" s="487"/>
      <c r="AF37" s="449"/>
      <c r="AG37" s="449"/>
      <c r="AH37" s="449"/>
    </row>
    <row r="38" ht="11.25" customHeight="1">
      <c r="A38" s="431">
        <f>IF(B38="","", YEAR(B38))</f>
        <v>2026</v>
      </c>
      <c r="B38" s="432">
        <v>46030.0</v>
      </c>
      <c r="C38" s="433" t="s">
        <v>1147</v>
      </c>
      <c r="D38" s="433" t="s">
        <v>1413</v>
      </c>
      <c r="E38" s="434">
        <f t="shared" ref="E38:I38" si="26">IFERROR(AVERAGE(L38:L41),"")</f>
        <v>10.4525</v>
      </c>
      <c r="F38" s="434">
        <f t="shared" si="26"/>
        <v>0.275</v>
      </c>
      <c r="G38" s="435">
        <f t="shared" si="26"/>
        <v>0.57775</v>
      </c>
      <c r="H38" s="435">
        <f t="shared" si="26"/>
        <v>0.59775</v>
      </c>
      <c r="I38" s="436">
        <f t="shared" si="26"/>
        <v>1.9525</v>
      </c>
      <c r="J38" s="437">
        <f>SUMIFS(PRODUCTION[KG],PRODUCTION[GRADE],"3X50",PRODUCTION[DATE],B38,PRODUCTION[BATCH],C38,PRODUCTION[SHIFT],D38)</f>
        <v>28080</v>
      </c>
      <c r="K38" s="438" t="s">
        <v>1414</v>
      </c>
      <c r="L38" s="439">
        <v>10.54</v>
      </c>
      <c r="M38" s="488">
        <v>0.3</v>
      </c>
      <c r="N38" s="489">
        <v>0.578</v>
      </c>
      <c r="O38" s="489">
        <v>0.598</v>
      </c>
      <c r="P38" s="490">
        <v>1.74</v>
      </c>
      <c r="Q38" s="439">
        <v>1.4</v>
      </c>
      <c r="R38" s="488">
        <v>32.3</v>
      </c>
      <c r="S38" s="488">
        <v>28.6</v>
      </c>
      <c r="T38" s="488">
        <v>17.1</v>
      </c>
      <c r="U38" s="488">
        <v>11.7</v>
      </c>
      <c r="V38" s="488">
        <v>7.4</v>
      </c>
      <c r="W38" s="488">
        <v>0.5</v>
      </c>
      <c r="X38" s="488">
        <v>1.0</v>
      </c>
      <c r="Y38" s="444">
        <f t="shared" si="17"/>
        <v>98.6</v>
      </c>
      <c r="Z38" s="445"/>
      <c r="AA38" s="446">
        <f t="shared" ref="AA38:AE38" si="27">$J38*E38</f>
        <v>293506.2</v>
      </c>
      <c r="AB38" s="447">
        <f t="shared" si="27"/>
        <v>7722</v>
      </c>
      <c r="AC38" s="447">
        <f t="shared" si="27"/>
        <v>16223.22</v>
      </c>
      <c r="AD38" s="447">
        <f t="shared" si="27"/>
        <v>16784.82</v>
      </c>
      <c r="AE38" s="448">
        <f t="shared" si="27"/>
        <v>54826.2</v>
      </c>
      <c r="AF38" s="449"/>
      <c r="AG38" s="449"/>
      <c r="AH38" s="449"/>
    </row>
    <row r="39" ht="11.25" customHeight="1">
      <c r="A39" s="450"/>
      <c r="B39" s="451"/>
      <c r="C39" s="452"/>
      <c r="D39" s="452"/>
      <c r="E39" s="453"/>
      <c r="F39" s="453"/>
      <c r="G39" s="454"/>
      <c r="H39" s="454"/>
      <c r="I39" s="455"/>
      <c r="J39" s="456"/>
      <c r="K39" s="457" t="s">
        <v>1416</v>
      </c>
      <c r="L39" s="458">
        <v>10.4</v>
      </c>
      <c r="M39" s="459">
        <v>0.28</v>
      </c>
      <c r="N39" s="460">
        <v>0.577</v>
      </c>
      <c r="O39" s="460">
        <v>0.597</v>
      </c>
      <c r="P39" s="461">
        <v>1.98</v>
      </c>
      <c r="Q39" s="458">
        <v>0.6</v>
      </c>
      <c r="R39" s="459">
        <v>37.0</v>
      </c>
      <c r="S39" s="459">
        <v>28.9</v>
      </c>
      <c r="T39" s="459">
        <v>16.2</v>
      </c>
      <c r="U39" s="459">
        <v>10.2</v>
      </c>
      <c r="V39" s="459">
        <v>5.8</v>
      </c>
      <c r="W39" s="459">
        <v>0.3</v>
      </c>
      <c r="X39" s="459">
        <v>1.0</v>
      </c>
      <c r="Y39" s="462">
        <f t="shared" si="17"/>
        <v>99.4</v>
      </c>
      <c r="Z39" s="463"/>
      <c r="AA39" s="464"/>
      <c r="AB39" s="465"/>
      <c r="AC39" s="465"/>
      <c r="AD39" s="465"/>
      <c r="AE39" s="466"/>
      <c r="AF39" s="449"/>
      <c r="AG39" s="449"/>
      <c r="AH39" s="449"/>
    </row>
    <row r="40" ht="11.25" customHeight="1">
      <c r="A40" s="450"/>
      <c r="B40" s="451"/>
      <c r="C40" s="452"/>
      <c r="D40" s="452"/>
      <c r="E40" s="453"/>
      <c r="F40" s="453"/>
      <c r="G40" s="454"/>
      <c r="H40" s="454"/>
      <c r="I40" s="455"/>
      <c r="J40" s="456"/>
      <c r="K40" s="467" t="s">
        <v>1417</v>
      </c>
      <c r="L40" s="468">
        <v>10.6</v>
      </c>
      <c r="M40" s="469">
        <v>0.23</v>
      </c>
      <c r="N40" s="470">
        <v>0.579</v>
      </c>
      <c r="O40" s="470">
        <v>0.599</v>
      </c>
      <c r="P40" s="471">
        <v>2.36</v>
      </c>
      <c r="Q40" s="468">
        <v>0.8</v>
      </c>
      <c r="R40" s="469">
        <v>38.1</v>
      </c>
      <c r="S40" s="469">
        <v>27.1</v>
      </c>
      <c r="T40" s="469">
        <v>15.5</v>
      </c>
      <c r="U40" s="469">
        <v>11.0</v>
      </c>
      <c r="V40" s="469">
        <v>6.1</v>
      </c>
      <c r="W40" s="469">
        <v>0.4</v>
      </c>
      <c r="X40" s="469">
        <v>1.0</v>
      </c>
      <c r="Y40" s="462">
        <f t="shared" si="17"/>
        <v>99.2</v>
      </c>
      <c r="Z40" s="463"/>
      <c r="AA40" s="464"/>
      <c r="AB40" s="465"/>
      <c r="AC40" s="465"/>
      <c r="AD40" s="465"/>
      <c r="AE40" s="466"/>
      <c r="AF40" s="449"/>
      <c r="AG40" s="449"/>
      <c r="AH40" s="449"/>
    </row>
    <row r="41" ht="11.25" customHeight="1">
      <c r="A41" s="450"/>
      <c r="B41" s="472"/>
      <c r="C41" s="473"/>
      <c r="D41" s="473"/>
      <c r="E41" s="474"/>
      <c r="F41" s="474"/>
      <c r="G41" s="475"/>
      <c r="H41" s="475"/>
      <c r="I41" s="476"/>
      <c r="J41" s="477"/>
      <c r="K41" s="478" t="s">
        <v>1418</v>
      </c>
      <c r="L41" s="479">
        <v>10.27</v>
      </c>
      <c r="M41" s="480">
        <v>0.29</v>
      </c>
      <c r="N41" s="481">
        <v>0.577</v>
      </c>
      <c r="O41" s="481">
        <v>0.597</v>
      </c>
      <c r="P41" s="482">
        <v>1.73</v>
      </c>
      <c r="Q41" s="479">
        <v>0.4</v>
      </c>
      <c r="R41" s="480">
        <v>36.9</v>
      </c>
      <c r="S41" s="480">
        <v>27.8</v>
      </c>
      <c r="T41" s="480">
        <v>16.6</v>
      </c>
      <c r="U41" s="480">
        <v>10.9</v>
      </c>
      <c r="V41" s="480">
        <v>6.1</v>
      </c>
      <c r="W41" s="480">
        <v>0.3</v>
      </c>
      <c r="X41" s="480">
        <v>1.0</v>
      </c>
      <c r="Y41" s="483">
        <f t="shared" si="17"/>
        <v>99.6</v>
      </c>
      <c r="Z41" s="484"/>
      <c r="AA41" s="485"/>
      <c r="AB41" s="486"/>
      <c r="AC41" s="486"/>
      <c r="AD41" s="486"/>
      <c r="AE41" s="487"/>
      <c r="AF41" s="449"/>
      <c r="AG41" s="449"/>
      <c r="AH41" s="449"/>
    </row>
    <row r="42" ht="11.25" customHeight="1">
      <c r="A42" s="431">
        <f>IF(B42="","", YEAR(B42))</f>
        <v>2026</v>
      </c>
      <c r="B42" s="432">
        <v>46031.0</v>
      </c>
      <c r="C42" s="433" t="s">
        <v>1147</v>
      </c>
      <c r="D42" s="433" t="s">
        <v>1413</v>
      </c>
      <c r="E42" s="434">
        <f t="shared" ref="E42:I42" si="28">IFERROR(AVERAGE(L42:L45),"")</f>
        <v>10.5875</v>
      </c>
      <c r="F42" s="434">
        <f t="shared" si="28"/>
        <v>0.26</v>
      </c>
      <c r="G42" s="435">
        <f t="shared" si="28"/>
        <v>0.57675</v>
      </c>
      <c r="H42" s="435">
        <f t="shared" si="28"/>
        <v>0.59675</v>
      </c>
      <c r="I42" s="436">
        <f t="shared" si="28"/>
        <v>1.89</v>
      </c>
      <c r="J42" s="437">
        <f>SUMIFS(PRODUCTION[KG],PRODUCTION[GRADE],"3X50",PRODUCTION[DATE],B42,PRODUCTION[BATCH],C42,PRODUCTION[SHIFT],D42)</f>
        <v>28210</v>
      </c>
      <c r="K42" s="438" t="s">
        <v>1414</v>
      </c>
      <c r="L42" s="439">
        <v>10.67</v>
      </c>
      <c r="M42" s="488">
        <v>0.25</v>
      </c>
      <c r="N42" s="489">
        <v>0.576</v>
      </c>
      <c r="O42" s="489">
        <v>0.596</v>
      </c>
      <c r="P42" s="490">
        <v>1.92</v>
      </c>
      <c r="Q42" s="439">
        <v>1.1</v>
      </c>
      <c r="R42" s="488">
        <v>36.5</v>
      </c>
      <c r="S42" s="488">
        <v>27.2</v>
      </c>
      <c r="T42" s="488">
        <v>16.4</v>
      </c>
      <c r="U42" s="488">
        <v>10.8</v>
      </c>
      <c r="V42" s="488">
        <v>6.6</v>
      </c>
      <c r="W42" s="488">
        <v>0.4</v>
      </c>
      <c r="X42" s="488">
        <v>1.0</v>
      </c>
      <c r="Y42" s="444">
        <f t="shared" si="17"/>
        <v>98.9</v>
      </c>
      <c r="Z42" s="445"/>
      <c r="AA42" s="446">
        <f t="shared" ref="AA42:AE42" si="29">$J42*E42</f>
        <v>298673.375</v>
      </c>
      <c r="AB42" s="447">
        <f t="shared" si="29"/>
        <v>7334.6</v>
      </c>
      <c r="AC42" s="447">
        <f t="shared" si="29"/>
        <v>16270.1175</v>
      </c>
      <c r="AD42" s="447">
        <f t="shared" si="29"/>
        <v>16834.3175</v>
      </c>
      <c r="AE42" s="448">
        <f t="shared" si="29"/>
        <v>53316.9</v>
      </c>
      <c r="AF42" s="449"/>
      <c r="AG42" s="449"/>
      <c r="AH42" s="449"/>
    </row>
    <row r="43" ht="11.25" customHeight="1">
      <c r="A43" s="450"/>
      <c r="B43" s="451"/>
      <c r="C43" s="452"/>
      <c r="D43" s="452"/>
      <c r="E43" s="453"/>
      <c r="F43" s="453"/>
      <c r="G43" s="454"/>
      <c r="H43" s="454"/>
      <c r="I43" s="455"/>
      <c r="J43" s="456"/>
      <c r="K43" s="457" t="s">
        <v>1416</v>
      </c>
      <c r="L43" s="458">
        <v>10.14</v>
      </c>
      <c r="M43" s="459">
        <v>0.27</v>
      </c>
      <c r="N43" s="460">
        <v>0.576</v>
      </c>
      <c r="O43" s="460">
        <v>0.596</v>
      </c>
      <c r="P43" s="461">
        <v>1.59</v>
      </c>
      <c r="Q43" s="458">
        <v>0.6</v>
      </c>
      <c r="R43" s="459">
        <v>34.8</v>
      </c>
      <c r="S43" s="459">
        <v>29.0</v>
      </c>
      <c r="T43" s="459">
        <v>16.6</v>
      </c>
      <c r="U43" s="459">
        <v>10.6</v>
      </c>
      <c r="V43" s="459">
        <v>6.8</v>
      </c>
      <c r="W43" s="459">
        <v>0.5</v>
      </c>
      <c r="X43" s="459">
        <v>1.1</v>
      </c>
      <c r="Y43" s="462">
        <f t="shared" si="17"/>
        <v>99.4</v>
      </c>
      <c r="Z43" s="463"/>
      <c r="AA43" s="464"/>
      <c r="AB43" s="465"/>
      <c r="AC43" s="465"/>
      <c r="AD43" s="465"/>
      <c r="AE43" s="466"/>
      <c r="AF43" s="449"/>
      <c r="AG43" s="449"/>
      <c r="AH43" s="449"/>
    </row>
    <row r="44" ht="11.25" customHeight="1">
      <c r="A44" s="450"/>
      <c r="B44" s="451"/>
      <c r="C44" s="452"/>
      <c r="D44" s="452"/>
      <c r="E44" s="453"/>
      <c r="F44" s="453"/>
      <c r="G44" s="454"/>
      <c r="H44" s="454"/>
      <c r="I44" s="455"/>
      <c r="J44" s="456"/>
      <c r="K44" s="467" t="s">
        <v>1417</v>
      </c>
      <c r="L44" s="468">
        <v>10.8</v>
      </c>
      <c r="M44" s="469">
        <v>0.21</v>
      </c>
      <c r="N44" s="470">
        <v>0.574</v>
      </c>
      <c r="O44" s="470">
        <v>0.594</v>
      </c>
      <c r="P44" s="471">
        <v>1.96</v>
      </c>
      <c r="Q44" s="468">
        <v>0.9</v>
      </c>
      <c r="R44" s="469">
        <v>44.6</v>
      </c>
      <c r="S44" s="469">
        <v>28.7</v>
      </c>
      <c r="T44" s="469">
        <v>13.8</v>
      </c>
      <c r="U44" s="469">
        <v>6.9</v>
      </c>
      <c r="V44" s="469">
        <v>4.2</v>
      </c>
      <c r="W44" s="469">
        <v>0.1</v>
      </c>
      <c r="X44" s="469">
        <v>0.8</v>
      </c>
      <c r="Y44" s="462">
        <f t="shared" si="17"/>
        <v>99.1</v>
      </c>
      <c r="Z44" s="463"/>
      <c r="AA44" s="464"/>
      <c r="AB44" s="465"/>
      <c r="AC44" s="465"/>
      <c r="AD44" s="465"/>
      <c r="AE44" s="466"/>
      <c r="AF44" s="449"/>
      <c r="AG44" s="449"/>
      <c r="AH44" s="449"/>
    </row>
    <row r="45" ht="11.25" customHeight="1">
      <c r="A45" s="450"/>
      <c r="B45" s="472"/>
      <c r="C45" s="473"/>
      <c r="D45" s="473"/>
      <c r="E45" s="474"/>
      <c r="F45" s="474"/>
      <c r="G45" s="475"/>
      <c r="H45" s="475"/>
      <c r="I45" s="476"/>
      <c r="J45" s="477"/>
      <c r="K45" s="478" t="s">
        <v>1418</v>
      </c>
      <c r="L45" s="479">
        <v>10.74</v>
      </c>
      <c r="M45" s="480">
        <v>0.31</v>
      </c>
      <c r="N45" s="481">
        <v>0.581</v>
      </c>
      <c r="O45" s="481">
        <v>0.601</v>
      </c>
      <c r="P45" s="482">
        <v>2.09</v>
      </c>
      <c r="Q45" s="479">
        <v>2.4</v>
      </c>
      <c r="R45" s="480">
        <v>48.7</v>
      </c>
      <c r="S45" s="480">
        <v>28.5</v>
      </c>
      <c r="T45" s="480">
        <v>13.3</v>
      </c>
      <c r="U45" s="480">
        <v>6.3</v>
      </c>
      <c r="V45" s="480">
        <v>0.1</v>
      </c>
      <c r="W45" s="480">
        <v>0.1</v>
      </c>
      <c r="X45" s="480">
        <v>0.6</v>
      </c>
      <c r="Y45" s="483">
        <f t="shared" si="17"/>
        <v>97.6</v>
      </c>
      <c r="Z45" s="484"/>
      <c r="AA45" s="485"/>
      <c r="AB45" s="486"/>
      <c r="AC45" s="486"/>
      <c r="AD45" s="486"/>
      <c r="AE45" s="487"/>
      <c r="AF45" s="449"/>
      <c r="AG45" s="449"/>
      <c r="AH45" s="449"/>
    </row>
    <row r="46" ht="11.25" customHeight="1">
      <c r="A46" s="431">
        <f>IF(B46="","", YEAR(B46))</f>
        <v>2026</v>
      </c>
      <c r="B46" s="432">
        <v>46032.0</v>
      </c>
      <c r="C46" s="433" t="s">
        <v>1147</v>
      </c>
      <c r="D46" s="433" t="s">
        <v>1413</v>
      </c>
      <c r="E46" s="434">
        <f t="shared" ref="E46:I46" si="30">IFERROR(AVERAGE(L46:L49),"")</f>
        <v>11.47</v>
      </c>
      <c r="F46" s="434">
        <f t="shared" si="30"/>
        <v>0.2875</v>
      </c>
      <c r="G46" s="435">
        <f t="shared" si="30"/>
        <v>0.57725</v>
      </c>
      <c r="H46" s="435">
        <f t="shared" si="30"/>
        <v>0.59725</v>
      </c>
      <c r="I46" s="436">
        <f t="shared" si="30"/>
        <v>1.9825</v>
      </c>
      <c r="J46" s="437">
        <f>SUMIFS(PRODUCTION[KG],PRODUCTION[GRADE],"3X50",PRODUCTION[DATE],B46,PRODUCTION[BATCH],C46,PRODUCTION[SHIFT],D46)</f>
        <v>29120</v>
      </c>
      <c r="K46" s="438" t="s">
        <v>1414</v>
      </c>
      <c r="L46" s="439">
        <v>11.4</v>
      </c>
      <c r="M46" s="488">
        <v>0.29</v>
      </c>
      <c r="N46" s="489">
        <v>0.579</v>
      </c>
      <c r="O46" s="489">
        <v>0.599</v>
      </c>
      <c r="P46" s="490">
        <v>2.18</v>
      </c>
      <c r="Q46" s="439">
        <v>1.1</v>
      </c>
      <c r="R46" s="488">
        <v>35.1</v>
      </c>
      <c r="S46" s="488">
        <v>30.7</v>
      </c>
      <c r="T46" s="488">
        <v>16.3</v>
      </c>
      <c r="U46" s="488">
        <v>9.4</v>
      </c>
      <c r="V46" s="488">
        <v>5.8</v>
      </c>
      <c r="W46" s="488">
        <v>0.4</v>
      </c>
      <c r="X46" s="488">
        <v>1.2</v>
      </c>
      <c r="Y46" s="444">
        <f t="shared" si="17"/>
        <v>98.9</v>
      </c>
      <c r="Z46" s="445"/>
      <c r="AA46" s="446">
        <f t="shared" ref="AA46:AE46" si="31">$J46*E46</f>
        <v>334006.4</v>
      </c>
      <c r="AB46" s="447">
        <f t="shared" si="31"/>
        <v>8372</v>
      </c>
      <c r="AC46" s="447">
        <f t="shared" si="31"/>
        <v>16809.52</v>
      </c>
      <c r="AD46" s="447">
        <f t="shared" si="31"/>
        <v>17391.92</v>
      </c>
      <c r="AE46" s="448">
        <f t="shared" si="31"/>
        <v>57730.4</v>
      </c>
      <c r="AF46" s="449"/>
      <c r="AG46" s="449"/>
      <c r="AH46" s="449"/>
    </row>
    <row r="47" ht="11.25" customHeight="1">
      <c r="A47" s="450"/>
      <c r="B47" s="451"/>
      <c r="C47" s="452"/>
      <c r="D47" s="452"/>
      <c r="E47" s="453"/>
      <c r="F47" s="453"/>
      <c r="G47" s="454"/>
      <c r="H47" s="454"/>
      <c r="I47" s="455"/>
      <c r="J47" s="456"/>
      <c r="K47" s="457" t="s">
        <v>1416</v>
      </c>
      <c r="L47" s="458">
        <v>11.54</v>
      </c>
      <c r="M47" s="459">
        <v>0.27</v>
      </c>
      <c r="N47" s="460">
        <v>0.574</v>
      </c>
      <c r="O47" s="460">
        <v>0.594</v>
      </c>
      <c r="P47" s="461">
        <v>1.66</v>
      </c>
      <c r="Q47" s="458">
        <v>1.2</v>
      </c>
      <c r="R47" s="459">
        <v>37.3</v>
      </c>
      <c r="S47" s="459">
        <v>31.0</v>
      </c>
      <c r="T47" s="459">
        <v>15.9</v>
      </c>
      <c r="U47" s="459">
        <v>8.7</v>
      </c>
      <c r="V47" s="459">
        <v>4.8</v>
      </c>
      <c r="W47" s="459">
        <v>0.1</v>
      </c>
      <c r="X47" s="459">
        <v>1.0</v>
      </c>
      <c r="Y47" s="462">
        <f t="shared" si="17"/>
        <v>98.8</v>
      </c>
      <c r="Z47" s="463"/>
      <c r="AA47" s="464"/>
      <c r="AB47" s="465"/>
      <c r="AC47" s="465"/>
      <c r="AD47" s="465"/>
      <c r="AE47" s="466"/>
      <c r="AF47" s="449"/>
      <c r="AG47" s="449"/>
      <c r="AH47" s="449"/>
    </row>
    <row r="48" ht="11.25" customHeight="1">
      <c r="A48" s="450"/>
      <c r="B48" s="451"/>
      <c r="C48" s="452"/>
      <c r="D48" s="452"/>
      <c r="E48" s="453"/>
      <c r="F48" s="453"/>
      <c r="G48" s="454"/>
      <c r="H48" s="454"/>
      <c r="I48" s="455"/>
      <c r="J48" s="456"/>
      <c r="K48" s="467" t="s">
        <v>1417</v>
      </c>
      <c r="L48" s="468">
        <v>11.6</v>
      </c>
      <c r="M48" s="469">
        <v>0.31</v>
      </c>
      <c r="N48" s="470">
        <v>0.581</v>
      </c>
      <c r="O48" s="470">
        <v>0.601</v>
      </c>
      <c r="P48" s="471">
        <v>1.84</v>
      </c>
      <c r="Q48" s="468">
        <v>0.9</v>
      </c>
      <c r="R48" s="469">
        <v>36.0</v>
      </c>
      <c r="S48" s="469">
        <v>28.8</v>
      </c>
      <c r="T48" s="469">
        <v>16.6</v>
      </c>
      <c r="U48" s="469">
        <v>10.4</v>
      </c>
      <c r="V48" s="469">
        <v>6.0</v>
      </c>
      <c r="W48" s="469">
        <v>0.3</v>
      </c>
      <c r="X48" s="469">
        <v>1.0</v>
      </c>
      <c r="Y48" s="462">
        <f t="shared" si="17"/>
        <v>99.1</v>
      </c>
      <c r="Z48" s="463"/>
      <c r="AA48" s="464"/>
      <c r="AB48" s="465"/>
      <c r="AC48" s="465"/>
      <c r="AD48" s="465"/>
      <c r="AE48" s="466"/>
      <c r="AF48" s="449"/>
      <c r="AG48" s="449"/>
      <c r="AH48" s="449"/>
    </row>
    <row r="49" ht="11.25" customHeight="1">
      <c r="A49" s="450"/>
      <c r="B49" s="472"/>
      <c r="C49" s="473"/>
      <c r="D49" s="473"/>
      <c r="E49" s="474"/>
      <c r="F49" s="474"/>
      <c r="G49" s="475"/>
      <c r="H49" s="475"/>
      <c r="I49" s="476"/>
      <c r="J49" s="477"/>
      <c r="K49" s="478" t="s">
        <v>1418</v>
      </c>
      <c r="L49" s="479">
        <v>11.34</v>
      </c>
      <c r="M49" s="480">
        <v>0.28</v>
      </c>
      <c r="N49" s="481">
        <v>0.575</v>
      </c>
      <c r="O49" s="481">
        <v>0.595</v>
      </c>
      <c r="P49" s="482">
        <v>2.25</v>
      </c>
      <c r="Q49" s="479">
        <v>0.8</v>
      </c>
      <c r="R49" s="480">
        <v>42.5</v>
      </c>
      <c r="S49" s="480">
        <v>30.9</v>
      </c>
      <c r="T49" s="480">
        <v>14.0</v>
      </c>
      <c r="U49" s="480">
        <v>7.0</v>
      </c>
      <c r="V49" s="480">
        <v>3.7</v>
      </c>
      <c r="W49" s="480">
        <v>0.1</v>
      </c>
      <c r="X49" s="480">
        <v>1.0</v>
      </c>
      <c r="Y49" s="483">
        <f t="shared" si="17"/>
        <v>99.2</v>
      </c>
      <c r="Z49" s="484"/>
      <c r="AA49" s="485"/>
      <c r="AB49" s="486"/>
      <c r="AC49" s="486"/>
      <c r="AD49" s="486"/>
      <c r="AE49" s="487"/>
      <c r="AF49" s="449"/>
      <c r="AG49" s="449"/>
      <c r="AH49" s="449"/>
    </row>
    <row r="50" ht="11.25" customHeight="1">
      <c r="A50" s="431">
        <f>IF(B50="","", YEAR(B50))</f>
        <v>2026</v>
      </c>
      <c r="B50" s="432">
        <v>46034.0</v>
      </c>
      <c r="C50" s="433" t="s">
        <v>1147</v>
      </c>
      <c r="D50" s="433" t="s">
        <v>1413</v>
      </c>
      <c r="E50" s="434">
        <f t="shared" ref="E50:I50" si="32">IFERROR(AVERAGE(L50:L53),"")</f>
        <v>11.4775</v>
      </c>
      <c r="F50" s="434">
        <f t="shared" si="32"/>
        <v>0.25</v>
      </c>
      <c r="G50" s="435">
        <f t="shared" si="32"/>
        <v>0.57875</v>
      </c>
      <c r="H50" s="435">
        <f t="shared" si="32"/>
        <v>0.59875</v>
      </c>
      <c r="I50" s="436">
        <f t="shared" si="32"/>
        <v>1.7025</v>
      </c>
      <c r="J50" s="437">
        <f>SUMIFS(PRODUCTION[KG],PRODUCTION[GRADE],"3X50",PRODUCTION[DATE],B50,PRODUCTION[BATCH],C50,PRODUCTION[SHIFT],D50)</f>
        <v>28548</v>
      </c>
      <c r="K50" s="438" t="s">
        <v>1414</v>
      </c>
      <c r="L50" s="439">
        <v>10.96</v>
      </c>
      <c r="M50" s="488">
        <v>0.25</v>
      </c>
      <c r="N50" s="489">
        <v>0.578</v>
      </c>
      <c r="O50" s="489">
        <v>0.598</v>
      </c>
      <c r="P50" s="490">
        <v>1.97</v>
      </c>
      <c r="Q50" s="439">
        <v>1.3</v>
      </c>
      <c r="R50" s="488">
        <v>37.6</v>
      </c>
      <c r="S50" s="488">
        <v>28.2</v>
      </c>
      <c r="T50" s="488">
        <v>15.6</v>
      </c>
      <c r="U50" s="488">
        <v>9.7</v>
      </c>
      <c r="V50" s="488">
        <v>6.0</v>
      </c>
      <c r="W50" s="488">
        <v>0.6</v>
      </c>
      <c r="X50" s="488">
        <v>1.0</v>
      </c>
      <c r="Y50" s="444">
        <f t="shared" si="17"/>
        <v>98.7</v>
      </c>
      <c r="Z50" s="445"/>
      <c r="AA50" s="446">
        <f t="shared" ref="AA50:AE50" si="33">$J50*E50</f>
        <v>327659.67</v>
      </c>
      <c r="AB50" s="447">
        <f t="shared" si="33"/>
        <v>7137</v>
      </c>
      <c r="AC50" s="447">
        <f t="shared" si="33"/>
        <v>16522.155</v>
      </c>
      <c r="AD50" s="447">
        <f t="shared" si="33"/>
        <v>17093.115</v>
      </c>
      <c r="AE50" s="448">
        <f t="shared" si="33"/>
        <v>48602.97</v>
      </c>
      <c r="AF50" s="449"/>
      <c r="AG50" s="449"/>
      <c r="AH50" s="449"/>
    </row>
    <row r="51" ht="11.25" customHeight="1">
      <c r="A51" s="450"/>
      <c r="B51" s="451"/>
      <c r="C51" s="452"/>
      <c r="D51" s="452"/>
      <c r="E51" s="453"/>
      <c r="F51" s="453"/>
      <c r="G51" s="454"/>
      <c r="H51" s="454"/>
      <c r="I51" s="455"/>
      <c r="J51" s="456"/>
      <c r="K51" s="457" t="s">
        <v>1416</v>
      </c>
      <c r="L51" s="458">
        <v>11.47</v>
      </c>
      <c r="M51" s="459">
        <v>0.28</v>
      </c>
      <c r="N51" s="460">
        <v>0.581</v>
      </c>
      <c r="O51" s="460">
        <v>0.601</v>
      </c>
      <c r="P51" s="461">
        <v>1.56</v>
      </c>
      <c r="Q51" s="458">
        <v>1.1</v>
      </c>
      <c r="R51" s="459">
        <v>36.7</v>
      </c>
      <c r="S51" s="459">
        <v>31.1</v>
      </c>
      <c r="T51" s="459">
        <v>16.2</v>
      </c>
      <c r="U51" s="459">
        <v>8.4</v>
      </c>
      <c r="V51" s="459">
        <v>5.1</v>
      </c>
      <c r="W51" s="459">
        <v>0.4</v>
      </c>
      <c r="X51" s="459">
        <v>1.0</v>
      </c>
      <c r="Y51" s="462">
        <f t="shared" si="17"/>
        <v>98.9</v>
      </c>
      <c r="Z51" s="463"/>
      <c r="AA51" s="464"/>
      <c r="AB51" s="465"/>
      <c r="AC51" s="465"/>
      <c r="AD51" s="465"/>
      <c r="AE51" s="466"/>
      <c r="AF51" s="449"/>
      <c r="AG51" s="449"/>
      <c r="AH51" s="449"/>
    </row>
    <row r="52" ht="11.25" customHeight="1">
      <c r="A52" s="450"/>
      <c r="B52" s="451"/>
      <c r="C52" s="452"/>
      <c r="D52" s="452"/>
      <c r="E52" s="453"/>
      <c r="F52" s="453"/>
      <c r="G52" s="454"/>
      <c r="H52" s="454"/>
      <c r="I52" s="455"/>
      <c r="J52" s="456"/>
      <c r="K52" s="467" t="s">
        <v>1417</v>
      </c>
      <c r="L52" s="468">
        <v>11.54</v>
      </c>
      <c r="M52" s="469">
        <v>0.22</v>
      </c>
      <c r="N52" s="470">
        <v>0.579</v>
      </c>
      <c r="O52" s="470">
        <v>0.599</v>
      </c>
      <c r="P52" s="471">
        <v>1.81</v>
      </c>
      <c r="Q52" s="468">
        <v>0.7</v>
      </c>
      <c r="R52" s="469">
        <v>30.4</v>
      </c>
      <c r="S52" s="469">
        <v>29.8</v>
      </c>
      <c r="T52" s="469">
        <v>17.7</v>
      </c>
      <c r="U52" s="469">
        <v>11.2</v>
      </c>
      <c r="V52" s="469">
        <v>8.0</v>
      </c>
      <c r="W52" s="469">
        <v>0.6</v>
      </c>
      <c r="X52" s="469">
        <v>1.6</v>
      </c>
      <c r="Y52" s="462">
        <f t="shared" si="17"/>
        <v>99.3</v>
      </c>
      <c r="Z52" s="463"/>
      <c r="AA52" s="464"/>
      <c r="AB52" s="465"/>
      <c r="AC52" s="465"/>
      <c r="AD52" s="465"/>
      <c r="AE52" s="466"/>
      <c r="AF52" s="449"/>
      <c r="AG52" s="449"/>
      <c r="AH52" s="449"/>
    </row>
    <row r="53" ht="11.25" customHeight="1">
      <c r="A53" s="450"/>
      <c r="B53" s="472"/>
      <c r="C53" s="473"/>
      <c r="D53" s="473"/>
      <c r="E53" s="474"/>
      <c r="F53" s="474"/>
      <c r="G53" s="475"/>
      <c r="H53" s="475"/>
      <c r="I53" s="476"/>
      <c r="J53" s="477"/>
      <c r="K53" s="478" t="s">
        <v>1418</v>
      </c>
      <c r="L53" s="479">
        <v>11.94</v>
      </c>
      <c r="M53" s="480">
        <v>0.25</v>
      </c>
      <c r="N53" s="481">
        <v>0.577</v>
      </c>
      <c r="O53" s="481">
        <v>0.597</v>
      </c>
      <c r="P53" s="482">
        <v>1.47</v>
      </c>
      <c r="Q53" s="479">
        <v>1.7</v>
      </c>
      <c r="R53" s="480">
        <v>40.2</v>
      </c>
      <c r="S53" s="480">
        <v>26.9</v>
      </c>
      <c r="T53" s="480">
        <v>15.9</v>
      </c>
      <c r="U53" s="480">
        <v>9.6</v>
      </c>
      <c r="V53" s="480">
        <v>5.0</v>
      </c>
      <c r="W53" s="480">
        <v>0.1</v>
      </c>
      <c r="X53" s="480">
        <v>0.6</v>
      </c>
      <c r="Y53" s="483">
        <f t="shared" si="17"/>
        <v>98.3</v>
      </c>
      <c r="Z53" s="484"/>
      <c r="AA53" s="485"/>
      <c r="AB53" s="486"/>
      <c r="AC53" s="486"/>
      <c r="AD53" s="486"/>
      <c r="AE53" s="487"/>
      <c r="AF53" s="449"/>
      <c r="AG53" s="449"/>
      <c r="AH53" s="449"/>
    </row>
    <row r="54" ht="11.25" customHeight="1">
      <c r="A54" s="431">
        <f>IF(B54="","", YEAR(B54))</f>
        <v>2026</v>
      </c>
      <c r="B54" s="432">
        <v>46035.0</v>
      </c>
      <c r="C54" s="433" t="s">
        <v>1147</v>
      </c>
      <c r="D54" s="433" t="s">
        <v>1413</v>
      </c>
      <c r="E54" s="434">
        <f t="shared" ref="E54:I54" si="34">IFERROR(AVERAGE(L54:L57),"")</f>
        <v>11.3025</v>
      </c>
      <c r="F54" s="434">
        <f t="shared" si="34"/>
        <v>0.27</v>
      </c>
      <c r="G54" s="435">
        <f t="shared" si="34"/>
        <v>0.57825</v>
      </c>
      <c r="H54" s="435">
        <f t="shared" si="34"/>
        <v>0.59825</v>
      </c>
      <c r="I54" s="436">
        <f t="shared" si="34"/>
        <v>1.8925</v>
      </c>
      <c r="J54" s="437">
        <f>SUMIFS(PRODUCTION[KG],PRODUCTION[GRADE],"3X50",PRODUCTION[DATE],B54,PRODUCTION[BATCH],C54,PRODUCTION[SHIFT],D54)</f>
        <v>27300</v>
      </c>
      <c r="K54" s="438" t="s">
        <v>1414</v>
      </c>
      <c r="L54" s="439">
        <v>11.87</v>
      </c>
      <c r="M54" s="488">
        <v>0.28</v>
      </c>
      <c r="N54" s="489">
        <v>0.58</v>
      </c>
      <c r="O54" s="489">
        <v>0.6</v>
      </c>
      <c r="P54" s="490">
        <v>1.76</v>
      </c>
      <c r="Q54" s="439">
        <v>0.9</v>
      </c>
      <c r="R54" s="488">
        <v>33.3</v>
      </c>
      <c r="S54" s="488">
        <v>29.8</v>
      </c>
      <c r="T54" s="488">
        <v>17.9</v>
      </c>
      <c r="U54" s="488">
        <v>10.6</v>
      </c>
      <c r="V54" s="488">
        <v>6.4</v>
      </c>
      <c r="W54" s="488">
        <v>0.1</v>
      </c>
      <c r="X54" s="488">
        <v>1.0</v>
      </c>
      <c r="Y54" s="444">
        <f t="shared" si="17"/>
        <v>99.1</v>
      </c>
      <c r="Z54" s="445"/>
      <c r="AA54" s="446">
        <f t="shared" ref="AA54:AE54" si="35">$J54*E54</f>
        <v>308558.25</v>
      </c>
      <c r="AB54" s="447">
        <f t="shared" si="35"/>
        <v>7371</v>
      </c>
      <c r="AC54" s="447">
        <f t="shared" si="35"/>
        <v>15786.225</v>
      </c>
      <c r="AD54" s="447">
        <f t="shared" si="35"/>
        <v>16332.225</v>
      </c>
      <c r="AE54" s="448">
        <f t="shared" si="35"/>
        <v>51665.25</v>
      </c>
      <c r="AF54" s="449"/>
      <c r="AG54" s="449"/>
      <c r="AH54" s="449"/>
    </row>
    <row r="55" ht="11.25" customHeight="1">
      <c r="A55" s="450"/>
      <c r="B55" s="451"/>
      <c r="C55" s="452"/>
      <c r="D55" s="452"/>
      <c r="E55" s="453"/>
      <c r="F55" s="453"/>
      <c r="G55" s="454"/>
      <c r="H55" s="454"/>
      <c r="I55" s="455"/>
      <c r="J55" s="456"/>
      <c r="K55" s="457" t="s">
        <v>1416</v>
      </c>
      <c r="L55" s="458">
        <v>11.74</v>
      </c>
      <c r="M55" s="459">
        <v>0.23</v>
      </c>
      <c r="N55" s="460">
        <v>0.576</v>
      </c>
      <c r="O55" s="460">
        <v>0.596</v>
      </c>
      <c r="P55" s="461">
        <v>1.78</v>
      </c>
      <c r="Q55" s="458">
        <v>1.4</v>
      </c>
      <c r="R55" s="459">
        <v>36.8</v>
      </c>
      <c r="S55" s="459">
        <v>29.3</v>
      </c>
      <c r="T55" s="459">
        <v>16.8</v>
      </c>
      <c r="U55" s="459">
        <v>9.9</v>
      </c>
      <c r="V55" s="459">
        <v>4.9</v>
      </c>
      <c r="W55" s="459">
        <v>0.1</v>
      </c>
      <c r="X55" s="459">
        <v>0.8</v>
      </c>
      <c r="Y55" s="462">
        <f t="shared" si="17"/>
        <v>98.6</v>
      </c>
      <c r="Z55" s="463"/>
      <c r="AA55" s="464"/>
      <c r="AB55" s="465"/>
      <c r="AC55" s="465"/>
      <c r="AD55" s="465"/>
      <c r="AE55" s="466"/>
      <c r="AF55" s="449"/>
      <c r="AG55" s="449"/>
      <c r="AH55" s="449"/>
    </row>
    <row r="56" ht="11.25" customHeight="1">
      <c r="A56" s="450"/>
      <c r="B56" s="451"/>
      <c r="C56" s="452"/>
      <c r="D56" s="452"/>
      <c r="E56" s="453"/>
      <c r="F56" s="453"/>
      <c r="G56" s="454"/>
      <c r="H56" s="454"/>
      <c r="I56" s="455"/>
      <c r="J56" s="456"/>
      <c r="K56" s="467" t="s">
        <v>1417</v>
      </c>
      <c r="L56" s="468">
        <v>11.2</v>
      </c>
      <c r="M56" s="469">
        <v>0.27</v>
      </c>
      <c r="N56" s="470">
        <v>0.58</v>
      </c>
      <c r="O56" s="470">
        <v>0.6</v>
      </c>
      <c r="P56" s="471">
        <v>1.99</v>
      </c>
      <c r="Q56" s="468">
        <v>0.6</v>
      </c>
      <c r="R56" s="469">
        <v>29.5</v>
      </c>
      <c r="S56" s="469">
        <v>29.2</v>
      </c>
      <c r="T56" s="469">
        <v>19.3</v>
      </c>
      <c r="U56" s="469">
        <v>12.5</v>
      </c>
      <c r="V56" s="469">
        <v>7.3</v>
      </c>
      <c r="W56" s="469">
        <v>0.4</v>
      </c>
      <c r="X56" s="469">
        <v>1.2</v>
      </c>
      <c r="Y56" s="462">
        <f t="shared" si="17"/>
        <v>99.4</v>
      </c>
      <c r="Z56" s="463"/>
      <c r="AA56" s="464"/>
      <c r="AB56" s="465"/>
      <c r="AC56" s="465"/>
      <c r="AD56" s="465"/>
      <c r="AE56" s="466"/>
      <c r="AF56" s="449"/>
      <c r="AG56" s="449"/>
      <c r="AH56" s="449"/>
    </row>
    <row r="57" ht="11.25" customHeight="1">
      <c r="A57" s="450"/>
      <c r="B57" s="472"/>
      <c r="C57" s="473"/>
      <c r="D57" s="473"/>
      <c r="E57" s="474"/>
      <c r="F57" s="474"/>
      <c r="G57" s="475"/>
      <c r="H57" s="475"/>
      <c r="I57" s="476"/>
      <c r="J57" s="477"/>
      <c r="K57" s="478" t="s">
        <v>1418</v>
      </c>
      <c r="L57" s="479">
        <v>10.4</v>
      </c>
      <c r="M57" s="480">
        <v>0.3</v>
      </c>
      <c r="N57" s="481">
        <v>0.577</v>
      </c>
      <c r="O57" s="481">
        <v>0.597</v>
      </c>
      <c r="P57" s="482">
        <v>2.04</v>
      </c>
      <c r="Q57" s="479">
        <v>0.3</v>
      </c>
      <c r="R57" s="480">
        <v>33.4</v>
      </c>
      <c r="S57" s="480">
        <v>30.3</v>
      </c>
      <c r="T57" s="480">
        <v>18.5</v>
      </c>
      <c r="U57" s="480">
        <v>11.1</v>
      </c>
      <c r="V57" s="480">
        <v>5.6</v>
      </c>
      <c r="W57" s="480">
        <v>0.1</v>
      </c>
      <c r="X57" s="480">
        <v>0.7</v>
      </c>
      <c r="Y57" s="483">
        <f t="shared" si="17"/>
        <v>99.7</v>
      </c>
      <c r="Z57" s="484"/>
      <c r="AA57" s="485"/>
      <c r="AB57" s="486"/>
      <c r="AC57" s="486"/>
      <c r="AD57" s="486"/>
      <c r="AE57" s="487"/>
      <c r="AF57" s="449"/>
      <c r="AG57" s="449"/>
      <c r="AH57" s="449"/>
    </row>
    <row r="58" ht="11.25" customHeight="1">
      <c r="A58" s="431">
        <f>IF(B58="","", YEAR(B58))</f>
        <v>2026</v>
      </c>
      <c r="B58" s="432">
        <v>46036.0</v>
      </c>
      <c r="C58" s="433" t="s">
        <v>1147</v>
      </c>
      <c r="D58" s="433" t="s">
        <v>1413</v>
      </c>
      <c r="E58" s="434">
        <f t="shared" ref="E58:I58" si="36">IFERROR(AVERAGE(L58:L61),"")</f>
        <v>10.27</v>
      </c>
      <c r="F58" s="434">
        <f t="shared" si="36"/>
        <v>0.2225</v>
      </c>
      <c r="G58" s="435">
        <f t="shared" si="36"/>
        <v>0.57725</v>
      </c>
      <c r="H58" s="435">
        <f t="shared" si="36"/>
        <v>0.59725</v>
      </c>
      <c r="I58" s="436">
        <f t="shared" si="36"/>
        <v>1.735</v>
      </c>
      <c r="J58" s="437">
        <f>SUMIFS(PRODUCTION[KG],PRODUCTION[GRADE],"3X50",PRODUCTION[DATE],B58,PRODUCTION[BATCH],C58,PRODUCTION[SHIFT],D58)</f>
        <v>24440</v>
      </c>
      <c r="K58" s="438" t="s">
        <v>1414</v>
      </c>
      <c r="L58" s="439">
        <v>10.47</v>
      </c>
      <c r="M58" s="488">
        <v>0.26</v>
      </c>
      <c r="N58" s="489">
        <v>0.579</v>
      </c>
      <c r="O58" s="489">
        <v>0.599</v>
      </c>
      <c r="P58" s="490">
        <v>1.86</v>
      </c>
      <c r="Q58" s="439">
        <v>0.5</v>
      </c>
      <c r="R58" s="488">
        <v>32.2</v>
      </c>
      <c r="S58" s="488">
        <v>28.1</v>
      </c>
      <c r="T58" s="488">
        <v>18.0</v>
      </c>
      <c r="U58" s="488">
        <v>12.0</v>
      </c>
      <c r="V58" s="488">
        <v>7.6</v>
      </c>
      <c r="W58" s="488">
        <v>0.6</v>
      </c>
      <c r="X58" s="488">
        <v>1.0</v>
      </c>
      <c r="Y58" s="444">
        <f t="shared" si="17"/>
        <v>99.5</v>
      </c>
      <c r="Z58" s="445"/>
      <c r="AA58" s="446">
        <f t="shared" ref="AA58:AE58" si="37">$J58*E58</f>
        <v>250998.8</v>
      </c>
      <c r="AB58" s="447">
        <f t="shared" si="37"/>
        <v>5437.9</v>
      </c>
      <c r="AC58" s="447">
        <f t="shared" si="37"/>
        <v>14107.99</v>
      </c>
      <c r="AD58" s="447">
        <f t="shared" si="37"/>
        <v>14596.79</v>
      </c>
      <c r="AE58" s="448">
        <f t="shared" si="37"/>
        <v>42403.4</v>
      </c>
      <c r="AF58" s="449"/>
      <c r="AG58" s="449"/>
      <c r="AH58" s="449"/>
    </row>
    <row r="59" ht="11.25" customHeight="1">
      <c r="A59" s="450"/>
      <c r="B59" s="451"/>
      <c r="C59" s="452"/>
      <c r="D59" s="452"/>
      <c r="E59" s="453"/>
      <c r="F59" s="453"/>
      <c r="G59" s="454"/>
      <c r="H59" s="454"/>
      <c r="I59" s="455"/>
      <c r="J59" s="456"/>
      <c r="K59" s="457" t="s">
        <v>1416</v>
      </c>
      <c r="L59" s="458">
        <v>10.27</v>
      </c>
      <c r="M59" s="459">
        <v>0.2</v>
      </c>
      <c r="N59" s="460">
        <v>0.579</v>
      </c>
      <c r="O59" s="460">
        <v>0.599</v>
      </c>
      <c r="P59" s="461">
        <v>1.73</v>
      </c>
      <c r="Q59" s="458">
        <v>1.5</v>
      </c>
      <c r="R59" s="459">
        <v>38.5</v>
      </c>
      <c r="S59" s="459">
        <v>28.3</v>
      </c>
      <c r="T59" s="459">
        <v>15.8</v>
      </c>
      <c r="U59" s="459">
        <v>9.2</v>
      </c>
      <c r="V59" s="459">
        <v>5.4</v>
      </c>
      <c r="W59" s="459">
        <v>0.3</v>
      </c>
      <c r="X59" s="459">
        <v>1.0</v>
      </c>
      <c r="Y59" s="462">
        <f t="shared" si="17"/>
        <v>98.5</v>
      </c>
      <c r="Z59" s="463"/>
      <c r="AA59" s="464"/>
      <c r="AB59" s="465"/>
      <c r="AC59" s="465"/>
      <c r="AD59" s="465"/>
      <c r="AE59" s="466"/>
      <c r="AF59" s="449"/>
      <c r="AG59" s="449"/>
      <c r="AH59" s="449"/>
    </row>
    <row r="60" ht="11.25" customHeight="1">
      <c r="A60" s="450"/>
      <c r="B60" s="451"/>
      <c r="C60" s="452"/>
      <c r="D60" s="452"/>
      <c r="E60" s="453"/>
      <c r="F60" s="453"/>
      <c r="G60" s="454"/>
      <c r="H60" s="454"/>
      <c r="I60" s="455"/>
      <c r="J60" s="456"/>
      <c r="K60" s="467" t="s">
        <v>1417</v>
      </c>
      <c r="L60" s="468">
        <v>10.14</v>
      </c>
      <c r="M60" s="469">
        <v>0.25</v>
      </c>
      <c r="N60" s="470">
        <v>0.577</v>
      </c>
      <c r="O60" s="470">
        <v>0.597</v>
      </c>
      <c r="P60" s="471">
        <v>1.72</v>
      </c>
      <c r="Q60" s="468">
        <v>0.8</v>
      </c>
      <c r="R60" s="469">
        <v>44.7</v>
      </c>
      <c r="S60" s="469">
        <v>29.9</v>
      </c>
      <c r="T60" s="469">
        <v>14.6</v>
      </c>
      <c r="U60" s="469">
        <v>6.4</v>
      </c>
      <c r="V60" s="469">
        <v>3.0</v>
      </c>
      <c r="W60" s="469">
        <v>0.1</v>
      </c>
      <c r="X60" s="469">
        <v>0.5</v>
      </c>
      <c r="Y60" s="462">
        <f t="shared" si="17"/>
        <v>99.2</v>
      </c>
      <c r="Z60" s="463"/>
      <c r="AA60" s="464"/>
      <c r="AB60" s="465"/>
      <c r="AC60" s="465"/>
      <c r="AD60" s="465"/>
      <c r="AE60" s="466"/>
      <c r="AF60" s="449"/>
      <c r="AG60" s="449"/>
      <c r="AH60" s="449"/>
    </row>
    <row r="61" ht="11.25" customHeight="1">
      <c r="A61" s="450"/>
      <c r="B61" s="472"/>
      <c r="C61" s="473"/>
      <c r="D61" s="473"/>
      <c r="E61" s="474"/>
      <c r="F61" s="474"/>
      <c r="G61" s="475"/>
      <c r="H61" s="475"/>
      <c r="I61" s="476"/>
      <c r="J61" s="477"/>
      <c r="K61" s="478" t="s">
        <v>1418</v>
      </c>
      <c r="L61" s="479">
        <v>10.2</v>
      </c>
      <c r="M61" s="480">
        <v>0.18</v>
      </c>
      <c r="N61" s="481">
        <v>0.574</v>
      </c>
      <c r="O61" s="481">
        <v>0.594</v>
      </c>
      <c r="P61" s="482">
        <v>1.63</v>
      </c>
      <c r="Q61" s="479">
        <v>1.0</v>
      </c>
      <c r="R61" s="480">
        <v>40.8</v>
      </c>
      <c r="S61" s="480">
        <v>29.6</v>
      </c>
      <c r="T61" s="480">
        <v>15.6</v>
      </c>
      <c r="U61" s="480">
        <v>7.8</v>
      </c>
      <c r="V61" s="480">
        <v>4.3</v>
      </c>
      <c r="W61" s="480">
        <v>0.1</v>
      </c>
      <c r="X61" s="480">
        <v>0.8</v>
      </c>
      <c r="Y61" s="483">
        <f t="shared" si="17"/>
        <v>99</v>
      </c>
      <c r="Z61" s="484"/>
      <c r="AA61" s="485"/>
      <c r="AB61" s="486"/>
      <c r="AC61" s="486"/>
      <c r="AD61" s="486"/>
      <c r="AE61" s="487"/>
      <c r="AF61" s="449"/>
      <c r="AG61" s="449"/>
      <c r="AH61" s="449"/>
    </row>
    <row r="62" ht="11.25" customHeight="1">
      <c r="A62" s="431">
        <f>IF(B62="","", YEAR(B62))</f>
        <v>2026</v>
      </c>
      <c r="B62" s="432">
        <v>46037.0</v>
      </c>
      <c r="C62" s="433" t="s">
        <v>1147</v>
      </c>
      <c r="D62" s="433" t="s">
        <v>1413</v>
      </c>
      <c r="E62" s="434">
        <f t="shared" ref="E62:I62" si="38">IFERROR(AVERAGE(L62:L65),"")</f>
        <v>10.9375</v>
      </c>
      <c r="F62" s="434">
        <f t="shared" si="38"/>
        <v>0.2775</v>
      </c>
      <c r="G62" s="435">
        <f t="shared" si="38"/>
        <v>0.5775</v>
      </c>
      <c r="H62" s="435">
        <f t="shared" si="38"/>
        <v>0.5975</v>
      </c>
      <c r="I62" s="436">
        <f t="shared" si="38"/>
        <v>1.7175</v>
      </c>
      <c r="J62" s="437">
        <f>SUMIFS(PRODUCTION[KG],PRODUCTION[GRADE],"3X50",PRODUCTION[DATE],B62,PRODUCTION[BATCH],C62,PRODUCTION[SHIFT],D62)</f>
        <v>25610</v>
      </c>
      <c r="K62" s="438" t="s">
        <v>1414</v>
      </c>
      <c r="L62" s="439">
        <v>10.8</v>
      </c>
      <c r="M62" s="488">
        <v>0.21</v>
      </c>
      <c r="N62" s="489">
        <v>0.576</v>
      </c>
      <c r="O62" s="489">
        <v>0.596</v>
      </c>
      <c r="P62" s="490">
        <v>1.54</v>
      </c>
      <c r="Q62" s="439">
        <v>0.4</v>
      </c>
      <c r="R62" s="488">
        <v>35.8</v>
      </c>
      <c r="S62" s="488">
        <v>28.8</v>
      </c>
      <c r="T62" s="488">
        <v>17.5</v>
      </c>
      <c r="U62" s="488">
        <v>10.2</v>
      </c>
      <c r="V62" s="488">
        <v>5.9</v>
      </c>
      <c r="W62" s="488">
        <v>0.5</v>
      </c>
      <c r="X62" s="488">
        <v>0.9</v>
      </c>
      <c r="Y62" s="444">
        <f t="shared" si="17"/>
        <v>99.6</v>
      </c>
      <c r="Z62" s="445"/>
      <c r="AA62" s="446">
        <f t="shared" ref="AA62:AE62" si="39">$J62*E62</f>
        <v>280109.375</v>
      </c>
      <c r="AB62" s="447">
        <f t="shared" si="39"/>
        <v>7106.775</v>
      </c>
      <c r="AC62" s="447">
        <f t="shared" si="39"/>
        <v>14789.775</v>
      </c>
      <c r="AD62" s="447">
        <f t="shared" si="39"/>
        <v>15301.975</v>
      </c>
      <c r="AE62" s="448">
        <f t="shared" si="39"/>
        <v>43985.175</v>
      </c>
      <c r="AF62" s="449"/>
      <c r="AG62" s="449"/>
      <c r="AH62" s="449"/>
    </row>
    <row r="63" ht="11.25" customHeight="1">
      <c r="A63" s="450"/>
      <c r="B63" s="451"/>
      <c r="C63" s="452"/>
      <c r="D63" s="452"/>
      <c r="E63" s="453"/>
      <c r="F63" s="453"/>
      <c r="G63" s="454"/>
      <c r="H63" s="454"/>
      <c r="I63" s="455"/>
      <c r="J63" s="456"/>
      <c r="K63" s="457" t="s">
        <v>1416</v>
      </c>
      <c r="L63" s="458">
        <v>10.47</v>
      </c>
      <c r="M63" s="459">
        <v>0.28</v>
      </c>
      <c r="N63" s="460">
        <v>0.577</v>
      </c>
      <c r="O63" s="460">
        <v>0.597</v>
      </c>
      <c r="P63" s="461">
        <v>1.78</v>
      </c>
      <c r="Q63" s="458">
        <v>0.1</v>
      </c>
      <c r="R63" s="459">
        <v>34.4</v>
      </c>
      <c r="S63" s="459">
        <v>31.7</v>
      </c>
      <c r="T63" s="459">
        <v>17.0</v>
      </c>
      <c r="U63" s="459">
        <v>9.5</v>
      </c>
      <c r="V63" s="459">
        <v>5.8</v>
      </c>
      <c r="W63" s="459">
        <v>0.5</v>
      </c>
      <c r="X63" s="459">
        <v>1.0</v>
      </c>
      <c r="Y63" s="462">
        <f t="shared" si="17"/>
        <v>99.9</v>
      </c>
      <c r="Z63" s="463"/>
      <c r="AA63" s="464"/>
      <c r="AB63" s="465"/>
      <c r="AC63" s="465"/>
      <c r="AD63" s="465"/>
      <c r="AE63" s="466"/>
      <c r="AF63" s="449"/>
      <c r="AG63" s="449"/>
      <c r="AH63" s="449"/>
    </row>
    <row r="64" ht="11.25" customHeight="1">
      <c r="A64" s="450"/>
      <c r="B64" s="451"/>
      <c r="C64" s="452"/>
      <c r="D64" s="452"/>
      <c r="E64" s="453"/>
      <c r="F64" s="453"/>
      <c r="G64" s="454"/>
      <c r="H64" s="454"/>
      <c r="I64" s="455"/>
      <c r="J64" s="456"/>
      <c r="K64" s="467" t="s">
        <v>1417</v>
      </c>
      <c r="L64" s="468">
        <v>10.74</v>
      </c>
      <c r="M64" s="469">
        <v>0.32</v>
      </c>
      <c r="N64" s="470">
        <v>0.576</v>
      </c>
      <c r="O64" s="470">
        <v>0.596</v>
      </c>
      <c r="P64" s="471">
        <v>1.53</v>
      </c>
      <c r="Q64" s="468">
        <v>1.0</v>
      </c>
      <c r="R64" s="469">
        <v>30.9</v>
      </c>
      <c r="S64" s="469">
        <v>28.6</v>
      </c>
      <c r="T64" s="469">
        <v>18.6</v>
      </c>
      <c r="U64" s="469">
        <v>11.6</v>
      </c>
      <c r="V64" s="469">
        <v>7.8</v>
      </c>
      <c r="W64" s="469">
        <v>0.5</v>
      </c>
      <c r="X64" s="469">
        <v>1.0</v>
      </c>
      <c r="Y64" s="462">
        <f t="shared" si="17"/>
        <v>99</v>
      </c>
      <c r="Z64" s="463"/>
      <c r="AA64" s="464"/>
      <c r="AB64" s="465"/>
      <c r="AC64" s="465"/>
      <c r="AD64" s="465"/>
      <c r="AE64" s="466"/>
      <c r="AF64" s="449"/>
      <c r="AG64" s="449"/>
      <c r="AH64" s="449"/>
    </row>
    <row r="65" ht="11.25" customHeight="1">
      <c r="A65" s="450"/>
      <c r="B65" s="472"/>
      <c r="C65" s="473"/>
      <c r="D65" s="473"/>
      <c r="E65" s="474"/>
      <c r="F65" s="474"/>
      <c r="G65" s="475"/>
      <c r="H65" s="475"/>
      <c r="I65" s="476"/>
      <c r="J65" s="477"/>
      <c r="K65" s="478" t="s">
        <v>1418</v>
      </c>
      <c r="L65" s="479">
        <v>11.74</v>
      </c>
      <c r="M65" s="480">
        <v>0.3</v>
      </c>
      <c r="N65" s="481">
        <v>0.581</v>
      </c>
      <c r="O65" s="481">
        <v>0.601</v>
      </c>
      <c r="P65" s="482">
        <v>2.02</v>
      </c>
      <c r="Q65" s="479">
        <v>1.5</v>
      </c>
      <c r="R65" s="480">
        <v>41.4</v>
      </c>
      <c r="S65" s="480">
        <v>28.7</v>
      </c>
      <c r="T65" s="480">
        <v>14.9</v>
      </c>
      <c r="U65" s="480">
        <v>8.1</v>
      </c>
      <c r="V65" s="480">
        <v>4.5</v>
      </c>
      <c r="W65" s="480">
        <v>0.3</v>
      </c>
      <c r="X65" s="480">
        <v>0.6</v>
      </c>
      <c r="Y65" s="483">
        <f t="shared" si="17"/>
        <v>98.5</v>
      </c>
      <c r="Z65" s="484"/>
      <c r="AA65" s="485"/>
      <c r="AB65" s="486"/>
      <c r="AC65" s="486"/>
      <c r="AD65" s="486"/>
      <c r="AE65" s="487"/>
      <c r="AF65" s="449"/>
      <c r="AG65" s="449"/>
      <c r="AH65" s="449"/>
    </row>
    <row r="66" ht="11.25" customHeight="1">
      <c r="A66" s="431">
        <f>IF(B66="","", YEAR(B66))</f>
        <v>2026</v>
      </c>
      <c r="B66" s="432">
        <v>46038.0</v>
      </c>
      <c r="C66" s="433" t="s">
        <v>1147</v>
      </c>
      <c r="D66" s="433" t="s">
        <v>1413</v>
      </c>
      <c r="E66" s="434">
        <f t="shared" ref="E66:I66" si="40">IFERROR(AVERAGE(L66:L69),"")</f>
        <v>11.6025</v>
      </c>
      <c r="F66" s="434">
        <f t="shared" si="40"/>
        <v>0.24</v>
      </c>
      <c r="G66" s="435">
        <f t="shared" si="40"/>
        <v>0.5765</v>
      </c>
      <c r="H66" s="435">
        <f t="shared" si="40"/>
        <v>0.5965</v>
      </c>
      <c r="I66" s="436">
        <f t="shared" si="40"/>
        <v>2.0875</v>
      </c>
      <c r="J66" s="437">
        <f>SUMIFS(PRODUCTION[KG],PRODUCTION[GRADE],"3X50",PRODUCTION[DATE],B66,PRODUCTION[BATCH],C66,PRODUCTION[SHIFT],D66)</f>
        <v>29970</v>
      </c>
      <c r="K66" s="438" t="s">
        <v>1414</v>
      </c>
      <c r="L66" s="439">
        <v>11.6</v>
      </c>
      <c r="M66" s="488">
        <v>0.27</v>
      </c>
      <c r="N66" s="489">
        <v>0.575</v>
      </c>
      <c r="O66" s="489">
        <v>0.595</v>
      </c>
      <c r="P66" s="490">
        <v>1.95</v>
      </c>
      <c r="Q66" s="439">
        <v>0.8</v>
      </c>
      <c r="R66" s="488">
        <v>37.6</v>
      </c>
      <c r="S66" s="488">
        <v>31.1</v>
      </c>
      <c r="T66" s="488">
        <v>16.9</v>
      </c>
      <c r="U66" s="488">
        <v>8.1</v>
      </c>
      <c r="V66" s="488">
        <v>4.3</v>
      </c>
      <c r="W66" s="488">
        <v>0.3</v>
      </c>
      <c r="X66" s="488">
        <v>0.9</v>
      </c>
      <c r="Y66" s="444">
        <f t="shared" si="17"/>
        <v>99.2</v>
      </c>
      <c r="Z66" s="445"/>
      <c r="AA66" s="446">
        <f t="shared" ref="AA66:AE66" si="41">$J66*E66</f>
        <v>347726.925</v>
      </c>
      <c r="AB66" s="447">
        <f t="shared" si="41"/>
        <v>7192.8</v>
      </c>
      <c r="AC66" s="447">
        <f t="shared" si="41"/>
        <v>17277.705</v>
      </c>
      <c r="AD66" s="447">
        <f t="shared" si="41"/>
        <v>17877.105</v>
      </c>
      <c r="AE66" s="448">
        <f t="shared" si="41"/>
        <v>62562.375</v>
      </c>
      <c r="AF66" s="449"/>
      <c r="AG66" s="449"/>
      <c r="AH66" s="449"/>
    </row>
    <row r="67" ht="11.25" customHeight="1">
      <c r="A67" s="450"/>
      <c r="B67" s="451"/>
      <c r="C67" s="452"/>
      <c r="D67" s="452"/>
      <c r="E67" s="453"/>
      <c r="F67" s="453"/>
      <c r="G67" s="454"/>
      <c r="H67" s="454"/>
      <c r="I67" s="455"/>
      <c r="J67" s="456"/>
      <c r="K67" s="457" t="s">
        <v>1416</v>
      </c>
      <c r="L67" s="458">
        <v>11.8</v>
      </c>
      <c r="M67" s="459">
        <v>0.23</v>
      </c>
      <c r="N67" s="460">
        <v>0.577</v>
      </c>
      <c r="O67" s="460">
        <v>0.597</v>
      </c>
      <c r="P67" s="461">
        <v>2.08</v>
      </c>
      <c r="Q67" s="458">
        <v>0.9</v>
      </c>
      <c r="R67" s="459">
        <v>32.1</v>
      </c>
      <c r="S67" s="459">
        <v>33.3</v>
      </c>
      <c r="T67" s="459">
        <v>17.5</v>
      </c>
      <c r="U67" s="459">
        <v>8.9</v>
      </c>
      <c r="V67" s="459">
        <v>5.6</v>
      </c>
      <c r="W67" s="459">
        <v>0.4</v>
      </c>
      <c r="X67" s="459">
        <v>1.3</v>
      </c>
      <c r="Y67" s="462">
        <f t="shared" si="17"/>
        <v>99.1</v>
      </c>
      <c r="Z67" s="463"/>
      <c r="AA67" s="464"/>
      <c r="AB67" s="465"/>
      <c r="AC67" s="465"/>
      <c r="AD67" s="465"/>
      <c r="AE67" s="466"/>
      <c r="AF67" s="449"/>
      <c r="AG67" s="449"/>
      <c r="AH67" s="449"/>
    </row>
    <row r="68" ht="11.25" customHeight="1">
      <c r="A68" s="450"/>
      <c r="B68" s="451"/>
      <c r="C68" s="452"/>
      <c r="D68" s="452"/>
      <c r="E68" s="453"/>
      <c r="F68" s="453"/>
      <c r="G68" s="454"/>
      <c r="H68" s="454"/>
      <c r="I68" s="455"/>
      <c r="J68" s="456"/>
      <c r="K68" s="467" t="s">
        <v>1417</v>
      </c>
      <c r="L68" s="468">
        <v>11.94</v>
      </c>
      <c r="M68" s="469">
        <v>0.18</v>
      </c>
      <c r="N68" s="470">
        <v>0.58</v>
      </c>
      <c r="O68" s="470">
        <v>0.6</v>
      </c>
      <c r="P68" s="471">
        <v>1.85</v>
      </c>
      <c r="Q68" s="468">
        <v>0.8</v>
      </c>
      <c r="R68" s="469">
        <v>34.1</v>
      </c>
      <c r="S68" s="469">
        <v>30.1</v>
      </c>
      <c r="T68" s="469">
        <v>17.8</v>
      </c>
      <c r="U68" s="469">
        <v>9.7</v>
      </c>
      <c r="V68" s="469">
        <v>5.9</v>
      </c>
      <c r="W68" s="469">
        <v>0.4</v>
      </c>
      <c r="X68" s="469">
        <v>1.2</v>
      </c>
      <c r="Y68" s="462">
        <f t="shared" si="17"/>
        <v>99.2</v>
      </c>
      <c r="Z68" s="463"/>
      <c r="AA68" s="464"/>
      <c r="AB68" s="465"/>
      <c r="AC68" s="465"/>
      <c r="AD68" s="465"/>
      <c r="AE68" s="466"/>
      <c r="AF68" s="449"/>
      <c r="AG68" s="449"/>
      <c r="AH68" s="449"/>
    </row>
    <row r="69" ht="11.25" customHeight="1">
      <c r="A69" s="450"/>
      <c r="B69" s="472"/>
      <c r="C69" s="473"/>
      <c r="D69" s="473"/>
      <c r="E69" s="474"/>
      <c r="F69" s="474"/>
      <c r="G69" s="475"/>
      <c r="H69" s="475"/>
      <c r="I69" s="476"/>
      <c r="J69" s="477"/>
      <c r="K69" s="478" t="s">
        <v>1418</v>
      </c>
      <c r="L69" s="479">
        <v>11.07</v>
      </c>
      <c r="M69" s="480">
        <v>0.28</v>
      </c>
      <c r="N69" s="481">
        <v>0.574</v>
      </c>
      <c r="O69" s="481">
        <v>0.594</v>
      </c>
      <c r="P69" s="482">
        <v>2.47</v>
      </c>
      <c r="Q69" s="479">
        <v>2.1</v>
      </c>
      <c r="R69" s="480">
        <v>52.1</v>
      </c>
      <c r="S69" s="480">
        <v>23.4</v>
      </c>
      <c r="T69" s="480">
        <v>13.7</v>
      </c>
      <c r="U69" s="480">
        <v>5.2</v>
      </c>
      <c r="V69" s="480">
        <v>2.6</v>
      </c>
      <c r="W69" s="480">
        <v>0.1</v>
      </c>
      <c r="X69" s="480">
        <v>0.8</v>
      </c>
      <c r="Y69" s="483">
        <f t="shared" si="17"/>
        <v>97.9</v>
      </c>
      <c r="Z69" s="484"/>
      <c r="AA69" s="485"/>
      <c r="AB69" s="486"/>
      <c r="AC69" s="486"/>
      <c r="AD69" s="486"/>
      <c r="AE69" s="487"/>
      <c r="AF69" s="449"/>
      <c r="AG69" s="449"/>
      <c r="AH69" s="449"/>
    </row>
    <row r="70" ht="11.25" customHeight="1">
      <c r="A70" s="431">
        <f>IF(B70="","", YEAR(B70))</f>
        <v>2026</v>
      </c>
      <c r="B70" s="432">
        <v>46039.0</v>
      </c>
      <c r="C70" s="433" t="s">
        <v>1147</v>
      </c>
      <c r="D70" s="433" t="s">
        <v>1413</v>
      </c>
      <c r="E70" s="434">
        <f t="shared" ref="E70:I70" si="42">IFERROR(AVERAGE(L70:L73),"")</f>
        <v>11.385</v>
      </c>
      <c r="F70" s="434">
        <f t="shared" si="42"/>
        <v>0.3025</v>
      </c>
      <c r="G70" s="435">
        <f t="shared" si="42"/>
        <v>0.57525</v>
      </c>
      <c r="H70" s="435">
        <f t="shared" si="42"/>
        <v>0.59525</v>
      </c>
      <c r="I70" s="436">
        <f t="shared" si="42"/>
        <v>1.7375</v>
      </c>
      <c r="J70" s="437">
        <f>SUMIFS(PRODUCTION[KG],PRODUCTION[GRADE],"3X50",PRODUCTION[DATE],B70,PRODUCTION[BATCH],C70,PRODUCTION[SHIFT],D70)</f>
        <v>27950</v>
      </c>
      <c r="K70" s="438" t="s">
        <v>1414</v>
      </c>
      <c r="L70" s="439">
        <v>11.67</v>
      </c>
      <c r="M70" s="488">
        <v>0.31</v>
      </c>
      <c r="N70" s="489">
        <v>0.571</v>
      </c>
      <c r="O70" s="489">
        <v>0.591</v>
      </c>
      <c r="P70" s="490">
        <v>1.36</v>
      </c>
      <c r="Q70" s="439">
        <v>1.7</v>
      </c>
      <c r="R70" s="488">
        <v>39.4</v>
      </c>
      <c r="S70" s="488">
        <v>28.7</v>
      </c>
      <c r="T70" s="488">
        <v>15.7</v>
      </c>
      <c r="U70" s="488">
        <v>8.6</v>
      </c>
      <c r="V70" s="488">
        <v>5.2</v>
      </c>
      <c r="W70" s="488">
        <v>0.1</v>
      </c>
      <c r="X70" s="488">
        <v>0.6</v>
      </c>
      <c r="Y70" s="444">
        <f t="shared" si="17"/>
        <v>98.3</v>
      </c>
      <c r="Z70" s="445"/>
      <c r="AA70" s="446">
        <f t="shared" ref="AA70:AE70" si="43">$J70*E70</f>
        <v>318210.75</v>
      </c>
      <c r="AB70" s="447">
        <f t="shared" si="43"/>
        <v>8454.875</v>
      </c>
      <c r="AC70" s="447">
        <f t="shared" si="43"/>
        <v>16078.2375</v>
      </c>
      <c r="AD70" s="447">
        <f t="shared" si="43"/>
        <v>16637.2375</v>
      </c>
      <c r="AE70" s="448">
        <f t="shared" si="43"/>
        <v>48563.125</v>
      </c>
      <c r="AF70" s="449"/>
      <c r="AG70" s="449"/>
      <c r="AH70" s="449"/>
    </row>
    <row r="71" ht="11.25" customHeight="1">
      <c r="A71" s="450"/>
      <c r="B71" s="451"/>
      <c r="C71" s="452"/>
      <c r="D71" s="452"/>
      <c r="E71" s="453"/>
      <c r="F71" s="453"/>
      <c r="G71" s="454"/>
      <c r="H71" s="454"/>
      <c r="I71" s="455"/>
      <c r="J71" s="456"/>
      <c r="K71" s="457" t="s">
        <v>1416</v>
      </c>
      <c r="L71" s="458">
        <v>11.2</v>
      </c>
      <c r="M71" s="459">
        <v>0.29</v>
      </c>
      <c r="N71" s="460">
        <v>0.572</v>
      </c>
      <c r="O71" s="460">
        <v>0.592</v>
      </c>
      <c r="P71" s="461">
        <v>1.88</v>
      </c>
      <c r="Q71" s="458">
        <v>0.9</v>
      </c>
      <c r="R71" s="459">
        <v>38.5</v>
      </c>
      <c r="S71" s="459">
        <v>28.9</v>
      </c>
      <c r="T71" s="459">
        <v>16.4</v>
      </c>
      <c r="U71" s="459">
        <v>9.2</v>
      </c>
      <c r="V71" s="459">
        <v>5.0</v>
      </c>
      <c r="W71" s="459">
        <v>0.3</v>
      </c>
      <c r="X71" s="459">
        <v>0.8</v>
      </c>
      <c r="Y71" s="462">
        <f t="shared" si="17"/>
        <v>99.1</v>
      </c>
      <c r="Z71" s="463"/>
      <c r="AA71" s="464"/>
      <c r="AB71" s="465"/>
      <c r="AC71" s="465"/>
      <c r="AD71" s="465"/>
      <c r="AE71" s="466"/>
      <c r="AF71" s="449"/>
      <c r="AG71" s="449"/>
      <c r="AH71" s="449"/>
    </row>
    <row r="72" ht="11.25" customHeight="1">
      <c r="A72" s="450"/>
      <c r="B72" s="451"/>
      <c r="C72" s="452"/>
      <c r="D72" s="452"/>
      <c r="E72" s="453"/>
      <c r="F72" s="453"/>
      <c r="G72" s="454"/>
      <c r="H72" s="454"/>
      <c r="I72" s="455"/>
      <c r="J72" s="456"/>
      <c r="K72" s="467" t="s">
        <v>1417</v>
      </c>
      <c r="L72" s="468">
        <v>11.87</v>
      </c>
      <c r="M72" s="469">
        <v>0.33</v>
      </c>
      <c r="N72" s="470">
        <v>0.581</v>
      </c>
      <c r="O72" s="470">
        <v>0.601</v>
      </c>
      <c r="P72" s="471">
        <v>1.96</v>
      </c>
      <c r="Q72" s="468">
        <v>1.4</v>
      </c>
      <c r="R72" s="469">
        <v>39.5</v>
      </c>
      <c r="S72" s="469">
        <v>30.6</v>
      </c>
      <c r="T72" s="469">
        <v>15.1</v>
      </c>
      <c r="U72" s="469">
        <v>7.2</v>
      </c>
      <c r="V72" s="469">
        <v>4.2</v>
      </c>
      <c r="W72" s="469">
        <v>0.4</v>
      </c>
      <c r="X72" s="469">
        <v>1.6</v>
      </c>
      <c r="Y72" s="462">
        <f t="shared" si="17"/>
        <v>98.6</v>
      </c>
      <c r="Z72" s="463"/>
      <c r="AA72" s="464"/>
      <c r="AB72" s="465"/>
      <c r="AC72" s="465"/>
      <c r="AD72" s="465"/>
      <c r="AE72" s="466"/>
      <c r="AF72" s="449"/>
      <c r="AG72" s="449"/>
      <c r="AH72" s="449"/>
    </row>
    <row r="73" ht="11.25" customHeight="1">
      <c r="A73" s="450"/>
      <c r="B73" s="472"/>
      <c r="C73" s="473"/>
      <c r="D73" s="473"/>
      <c r="E73" s="474"/>
      <c r="F73" s="474"/>
      <c r="G73" s="475"/>
      <c r="H73" s="475"/>
      <c r="I73" s="476"/>
      <c r="J73" s="477"/>
      <c r="K73" s="478" t="s">
        <v>1418</v>
      </c>
      <c r="L73" s="479">
        <v>10.8</v>
      </c>
      <c r="M73" s="480">
        <v>0.28</v>
      </c>
      <c r="N73" s="481">
        <v>0.577</v>
      </c>
      <c r="O73" s="481">
        <v>0.597</v>
      </c>
      <c r="P73" s="482">
        <v>1.75</v>
      </c>
      <c r="Q73" s="479">
        <v>0.5</v>
      </c>
      <c r="R73" s="480">
        <v>35.0</v>
      </c>
      <c r="S73" s="480">
        <v>32.5</v>
      </c>
      <c r="T73" s="480">
        <v>16.8</v>
      </c>
      <c r="U73" s="480">
        <v>9.0</v>
      </c>
      <c r="V73" s="480">
        <v>4.6</v>
      </c>
      <c r="W73" s="480">
        <v>0.4</v>
      </c>
      <c r="X73" s="480">
        <v>1.2</v>
      </c>
      <c r="Y73" s="483">
        <f t="shared" si="17"/>
        <v>99.5</v>
      </c>
      <c r="Z73" s="484"/>
      <c r="AA73" s="485"/>
      <c r="AB73" s="486"/>
      <c r="AC73" s="486"/>
      <c r="AD73" s="486"/>
      <c r="AE73" s="487"/>
      <c r="AF73" s="449"/>
      <c r="AG73" s="449"/>
      <c r="AH73" s="449"/>
    </row>
    <row r="74" ht="11.25" customHeight="1">
      <c r="A74" s="431">
        <f>IF(B74="","", YEAR(B74))</f>
        <v>2026</v>
      </c>
      <c r="B74" s="432">
        <v>46041.0</v>
      </c>
      <c r="C74" s="433" t="s">
        <v>1147</v>
      </c>
      <c r="D74" s="433" t="s">
        <v>1413</v>
      </c>
      <c r="E74" s="434">
        <f t="shared" ref="E74:I74" si="44">IFERROR(AVERAGE(L74:L77),"")</f>
        <v>11.705</v>
      </c>
      <c r="F74" s="434">
        <f t="shared" si="44"/>
        <v>0.295</v>
      </c>
      <c r="G74" s="435">
        <f t="shared" si="44"/>
        <v>0.578</v>
      </c>
      <c r="H74" s="435">
        <f t="shared" si="44"/>
        <v>0.598</v>
      </c>
      <c r="I74" s="436">
        <f t="shared" si="44"/>
        <v>1.9625</v>
      </c>
      <c r="J74" s="437">
        <f>SUMIFS(PRODUCTION[KG],PRODUCTION[GRADE],"3X50",PRODUCTION[DATE],B74,PRODUCTION[BATCH],C74,PRODUCTION[SHIFT],D74)</f>
        <v>25220</v>
      </c>
      <c r="K74" s="438" t="s">
        <v>1414</v>
      </c>
      <c r="L74" s="439">
        <v>12.14</v>
      </c>
      <c r="M74" s="488">
        <v>0.3</v>
      </c>
      <c r="N74" s="489">
        <v>0.579</v>
      </c>
      <c r="O74" s="489">
        <v>0.599</v>
      </c>
      <c r="P74" s="490">
        <v>2.19</v>
      </c>
      <c r="Q74" s="439">
        <v>0.8</v>
      </c>
      <c r="R74" s="488">
        <v>37.7</v>
      </c>
      <c r="S74" s="488">
        <v>29.1</v>
      </c>
      <c r="T74" s="488">
        <v>16.2</v>
      </c>
      <c r="U74" s="488">
        <v>8.9</v>
      </c>
      <c r="V74" s="488">
        <v>5.2</v>
      </c>
      <c r="W74" s="488">
        <v>0.5</v>
      </c>
      <c r="X74" s="488">
        <v>1.6</v>
      </c>
      <c r="Y74" s="444">
        <f t="shared" si="17"/>
        <v>99.2</v>
      </c>
      <c r="Z74" s="445"/>
      <c r="AA74" s="446">
        <f t="shared" ref="AA74:AE74" si="45">$J74*E74</f>
        <v>295200.1</v>
      </c>
      <c r="AB74" s="447">
        <f t="shared" si="45"/>
        <v>7439.9</v>
      </c>
      <c r="AC74" s="447">
        <f t="shared" si="45"/>
        <v>14577.16</v>
      </c>
      <c r="AD74" s="447">
        <f t="shared" si="45"/>
        <v>15081.56</v>
      </c>
      <c r="AE74" s="448">
        <f t="shared" si="45"/>
        <v>49494.25</v>
      </c>
      <c r="AF74" s="449"/>
      <c r="AG74" s="449"/>
      <c r="AH74" s="449"/>
    </row>
    <row r="75" ht="11.25" customHeight="1">
      <c r="A75" s="450"/>
      <c r="B75" s="451"/>
      <c r="C75" s="452"/>
      <c r="D75" s="452"/>
      <c r="E75" s="453"/>
      <c r="F75" s="453"/>
      <c r="G75" s="454"/>
      <c r="H75" s="454"/>
      <c r="I75" s="455"/>
      <c r="J75" s="456"/>
      <c r="K75" s="457" t="s">
        <v>1416</v>
      </c>
      <c r="L75" s="458">
        <v>11.74</v>
      </c>
      <c r="M75" s="459">
        <v>0.28</v>
      </c>
      <c r="N75" s="460">
        <v>0.574</v>
      </c>
      <c r="O75" s="460">
        <v>0.594</v>
      </c>
      <c r="P75" s="461">
        <v>2.24</v>
      </c>
      <c r="Q75" s="458">
        <v>1.6</v>
      </c>
      <c r="R75" s="459">
        <v>41.3</v>
      </c>
      <c r="S75" s="459">
        <v>27.7</v>
      </c>
      <c r="T75" s="459">
        <v>14.5</v>
      </c>
      <c r="U75" s="459">
        <v>8.0</v>
      </c>
      <c r="V75" s="459">
        <v>5.0</v>
      </c>
      <c r="W75" s="459">
        <v>0.4</v>
      </c>
      <c r="X75" s="459">
        <v>1.5</v>
      </c>
      <c r="Y75" s="462">
        <f t="shared" si="17"/>
        <v>98.4</v>
      </c>
      <c r="Z75" s="463"/>
      <c r="AA75" s="464"/>
      <c r="AB75" s="465"/>
      <c r="AC75" s="465"/>
      <c r="AD75" s="465"/>
      <c r="AE75" s="466"/>
      <c r="AF75" s="449"/>
      <c r="AG75" s="449"/>
      <c r="AH75" s="449"/>
    </row>
    <row r="76" ht="11.25" customHeight="1">
      <c r="A76" s="450"/>
      <c r="B76" s="451"/>
      <c r="C76" s="452"/>
      <c r="D76" s="452"/>
      <c r="E76" s="453"/>
      <c r="F76" s="453"/>
      <c r="G76" s="454"/>
      <c r="H76" s="454"/>
      <c r="I76" s="455"/>
      <c r="J76" s="456"/>
      <c r="K76" s="467" t="s">
        <v>1417</v>
      </c>
      <c r="L76" s="468">
        <v>12.0</v>
      </c>
      <c r="M76" s="469">
        <v>0.29</v>
      </c>
      <c r="N76" s="470">
        <v>0.581</v>
      </c>
      <c r="O76" s="470">
        <v>0.601</v>
      </c>
      <c r="P76" s="471">
        <v>1.68</v>
      </c>
      <c r="Q76" s="468">
        <v>1.4</v>
      </c>
      <c r="R76" s="469">
        <v>37.8</v>
      </c>
      <c r="S76" s="469">
        <v>28.1</v>
      </c>
      <c r="T76" s="469">
        <v>16.4</v>
      </c>
      <c r="U76" s="469">
        <v>9.4</v>
      </c>
      <c r="V76" s="469">
        <v>5.2</v>
      </c>
      <c r="W76" s="469">
        <v>0.4</v>
      </c>
      <c r="X76" s="469">
        <v>1.3</v>
      </c>
      <c r="Y76" s="462">
        <f t="shared" si="17"/>
        <v>98.6</v>
      </c>
      <c r="Z76" s="463"/>
      <c r="AA76" s="464"/>
      <c r="AB76" s="465"/>
      <c r="AC76" s="465"/>
      <c r="AD76" s="465"/>
      <c r="AE76" s="466"/>
      <c r="AF76" s="449"/>
      <c r="AG76" s="449"/>
      <c r="AH76" s="449"/>
    </row>
    <row r="77" ht="11.25" customHeight="1">
      <c r="A77" s="450"/>
      <c r="B77" s="472"/>
      <c r="C77" s="473"/>
      <c r="D77" s="473"/>
      <c r="E77" s="474"/>
      <c r="F77" s="474"/>
      <c r="G77" s="475"/>
      <c r="H77" s="475"/>
      <c r="I77" s="476"/>
      <c r="J77" s="477"/>
      <c r="K77" s="478" t="s">
        <v>1418</v>
      </c>
      <c r="L77" s="479">
        <v>10.94</v>
      </c>
      <c r="M77" s="480">
        <v>0.31</v>
      </c>
      <c r="N77" s="481">
        <v>0.578</v>
      </c>
      <c r="O77" s="481">
        <v>0.598</v>
      </c>
      <c r="P77" s="482">
        <v>1.74</v>
      </c>
      <c r="Q77" s="479">
        <v>0.8</v>
      </c>
      <c r="R77" s="480">
        <v>39.9</v>
      </c>
      <c r="S77" s="480">
        <v>29.6</v>
      </c>
      <c r="T77" s="480">
        <v>15.6</v>
      </c>
      <c r="U77" s="480">
        <v>8.6</v>
      </c>
      <c r="V77" s="480">
        <v>4.4</v>
      </c>
      <c r="W77" s="480">
        <v>0.3</v>
      </c>
      <c r="X77" s="480">
        <v>0.8</v>
      </c>
      <c r="Y77" s="483">
        <f t="shared" si="17"/>
        <v>99.2</v>
      </c>
      <c r="Z77" s="484"/>
      <c r="AA77" s="485"/>
      <c r="AB77" s="486"/>
      <c r="AC77" s="486"/>
      <c r="AD77" s="486"/>
      <c r="AE77" s="487"/>
      <c r="AF77" s="449"/>
      <c r="AG77" s="449"/>
      <c r="AH77" s="449"/>
    </row>
    <row r="78" ht="11.25" customHeight="1">
      <c r="A78" s="431">
        <f>IF(B78="","", YEAR(B78))</f>
        <v>2026</v>
      </c>
      <c r="B78" s="432">
        <v>46042.0</v>
      </c>
      <c r="C78" s="433" t="s">
        <v>1147</v>
      </c>
      <c r="D78" s="433" t="s">
        <v>1413</v>
      </c>
      <c r="E78" s="434">
        <f t="shared" ref="E78:I78" si="46">IFERROR(AVERAGE(L78:L81),"")</f>
        <v>11.07</v>
      </c>
      <c r="F78" s="434">
        <f t="shared" si="46"/>
        <v>0.2475</v>
      </c>
      <c r="G78" s="435">
        <f t="shared" si="46"/>
        <v>0.57625</v>
      </c>
      <c r="H78" s="435">
        <f t="shared" si="46"/>
        <v>0.59625</v>
      </c>
      <c r="I78" s="436">
        <f t="shared" si="46"/>
        <v>1.9125</v>
      </c>
      <c r="J78" s="437">
        <f>SUMIFS(PRODUCTION[KG],PRODUCTION[GRADE],"3X50",PRODUCTION[DATE],B78,PRODUCTION[BATCH],C78,PRODUCTION[SHIFT],D78)</f>
        <v>27300</v>
      </c>
      <c r="K78" s="438" t="s">
        <v>1414</v>
      </c>
      <c r="L78" s="439">
        <v>10.87</v>
      </c>
      <c r="M78" s="488">
        <v>0.27</v>
      </c>
      <c r="N78" s="489">
        <v>0.576</v>
      </c>
      <c r="O78" s="489">
        <v>0.596</v>
      </c>
      <c r="P78" s="490">
        <v>2.09</v>
      </c>
      <c r="Q78" s="439">
        <v>1.2</v>
      </c>
      <c r="R78" s="488">
        <v>41.2</v>
      </c>
      <c r="S78" s="488">
        <v>28.5</v>
      </c>
      <c r="T78" s="488">
        <v>15.1</v>
      </c>
      <c r="U78" s="488">
        <v>8.7</v>
      </c>
      <c r="V78" s="488">
        <v>4.4</v>
      </c>
      <c r="W78" s="488">
        <v>0.1</v>
      </c>
      <c r="X78" s="488">
        <v>0.8</v>
      </c>
      <c r="Y78" s="444">
        <f t="shared" si="17"/>
        <v>98.8</v>
      </c>
      <c r="Z78" s="445"/>
      <c r="AA78" s="446">
        <f t="shared" ref="AA78:AE78" si="47">$J78*E78</f>
        <v>302211</v>
      </c>
      <c r="AB78" s="447">
        <f t="shared" si="47"/>
        <v>6756.75</v>
      </c>
      <c r="AC78" s="447">
        <f t="shared" si="47"/>
        <v>15731.625</v>
      </c>
      <c r="AD78" s="447">
        <f t="shared" si="47"/>
        <v>16277.625</v>
      </c>
      <c r="AE78" s="448">
        <f t="shared" si="47"/>
        <v>52211.25</v>
      </c>
      <c r="AF78" s="449"/>
      <c r="AG78" s="449"/>
      <c r="AH78" s="449"/>
    </row>
    <row r="79" ht="11.25" customHeight="1">
      <c r="A79" s="450"/>
      <c r="B79" s="451"/>
      <c r="C79" s="452"/>
      <c r="D79" s="452"/>
      <c r="E79" s="453"/>
      <c r="F79" s="453"/>
      <c r="G79" s="454"/>
      <c r="H79" s="454"/>
      <c r="I79" s="455"/>
      <c r="J79" s="456"/>
      <c r="K79" s="457" t="s">
        <v>1416</v>
      </c>
      <c r="L79" s="458">
        <v>11.07</v>
      </c>
      <c r="M79" s="459">
        <v>0.24</v>
      </c>
      <c r="N79" s="460">
        <v>0.577</v>
      </c>
      <c r="O79" s="460">
        <v>0.597</v>
      </c>
      <c r="P79" s="461">
        <v>2.01</v>
      </c>
      <c r="Q79" s="458">
        <v>1.4</v>
      </c>
      <c r="R79" s="459">
        <v>39.5</v>
      </c>
      <c r="S79" s="459">
        <v>28.9</v>
      </c>
      <c r="T79" s="459">
        <v>16.2</v>
      </c>
      <c r="U79" s="459">
        <v>9.2</v>
      </c>
      <c r="V79" s="459">
        <v>4.0</v>
      </c>
      <c r="W79" s="459">
        <v>0.1</v>
      </c>
      <c r="X79" s="459">
        <v>0.7</v>
      </c>
      <c r="Y79" s="462">
        <f t="shared" si="17"/>
        <v>98.6</v>
      </c>
      <c r="Z79" s="463"/>
      <c r="AA79" s="464"/>
      <c r="AB79" s="465"/>
      <c r="AC79" s="465"/>
      <c r="AD79" s="465"/>
      <c r="AE79" s="466"/>
      <c r="AF79" s="449"/>
      <c r="AG79" s="449"/>
      <c r="AH79" s="449"/>
    </row>
    <row r="80" ht="11.25" customHeight="1">
      <c r="A80" s="450"/>
      <c r="B80" s="451"/>
      <c r="C80" s="452"/>
      <c r="D80" s="452"/>
      <c r="E80" s="453"/>
      <c r="F80" s="453"/>
      <c r="G80" s="454"/>
      <c r="H80" s="454"/>
      <c r="I80" s="455"/>
      <c r="J80" s="456"/>
      <c r="K80" s="467" t="s">
        <v>1417</v>
      </c>
      <c r="L80" s="468">
        <v>10.94</v>
      </c>
      <c r="M80" s="469">
        <v>0.23</v>
      </c>
      <c r="N80" s="470">
        <v>0.575</v>
      </c>
      <c r="O80" s="470">
        <v>0.595</v>
      </c>
      <c r="P80" s="471">
        <v>2.19</v>
      </c>
      <c r="Q80" s="468">
        <v>1.3</v>
      </c>
      <c r="R80" s="469">
        <v>40.4</v>
      </c>
      <c r="S80" s="469">
        <v>27.2</v>
      </c>
      <c r="T80" s="469">
        <v>15.9</v>
      </c>
      <c r="U80" s="469">
        <v>9.0</v>
      </c>
      <c r="V80" s="469">
        <v>5.0</v>
      </c>
      <c r="W80" s="469">
        <v>0.3</v>
      </c>
      <c r="X80" s="469">
        <v>0.9</v>
      </c>
      <c r="Y80" s="462">
        <f t="shared" si="17"/>
        <v>98.7</v>
      </c>
      <c r="Z80" s="463"/>
      <c r="AA80" s="464"/>
      <c r="AB80" s="465"/>
      <c r="AC80" s="465"/>
      <c r="AD80" s="465"/>
      <c r="AE80" s="466"/>
      <c r="AF80" s="449"/>
      <c r="AG80" s="449"/>
      <c r="AH80" s="449"/>
    </row>
    <row r="81" ht="11.25" customHeight="1">
      <c r="A81" s="450"/>
      <c r="B81" s="472"/>
      <c r="C81" s="473"/>
      <c r="D81" s="473"/>
      <c r="E81" s="474"/>
      <c r="F81" s="474"/>
      <c r="G81" s="475"/>
      <c r="H81" s="475"/>
      <c r="I81" s="476"/>
      <c r="J81" s="477"/>
      <c r="K81" s="478" t="s">
        <v>1418</v>
      </c>
      <c r="L81" s="479">
        <v>11.4</v>
      </c>
      <c r="M81" s="480">
        <v>0.25</v>
      </c>
      <c r="N81" s="481">
        <v>0.577</v>
      </c>
      <c r="O81" s="481">
        <v>0.597</v>
      </c>
      <c r="P81" s="482">
        <v>1.36</v>
      </c>
      <c r="Q81" s="479">
        <v>1.4</v>
      </c>
      <c r="R81" s="480">
        <v>39.1</v>
      </c>
      <c r="S81" s="480">
        <v>25.7</v>
      </c>
      <c r="T81" s="480">
        <v>18.0</v>
      </c>
      <c r="U81" s="480">
        <v>10.7</v>
      </c>
      <c r="V81" s="480">
        <v>4.3</v>
      </c>
      <c r="W81" s="480">
        <v>0.1</v>
      </c>
      <c r="X81" s="480">
        <v>0.7</v>
      </c>
      <c r="Y81" s="483">
        <f t="shared" si="17"/>
        <v>98.6</v>
      </c>
      <c r="Z81" s="484"/>
      <c r="AA81" s="485"/>
      <c r="AB81" s="486"/>
      <c r="AC81" s="486"/>
      <c r="AD81" s="486"/>
      <c r="AE81" s="487"/>
      <c r="AF81" s="449"/>
      <c r="AG81" s="449"/>
      <c r="AH81" s="449"/>
    </row>
    <row r="82" ht="11.25" customHeight="1">
      <c r="A82" s="431">
        <f>IF(B82="","", YEAR(B82))</f>
        <v>2026</v>
      </c>
      <c r="B82" s="432">
        <v>46043.0</v>
      </c>
      <c r="C82" s="433" t="s">
        <v>1147</v>
      </c>
      <c r="D82" s="433" t="s">
        <v>1413</v>
      </c>
      <c r="E82" s="434">
        <f t="shared" ref="E82:I82" si="48">IFERROR(AVERAGE(L82:L85),"")</f>
        <v>11.1375</v>
      </c>
      <c r="F82" s="434">
        <f t="shared" si="48"/>
        <v>0.2775</v>
      </c>
      <c r="G82" s="435">
        <f t="shared" si="48"/>
        <v>0.577</v>
      </c>
      <c r="H82" s="435">
        <f t="shared" si="48"/>
        <v>0.597</v>
      </c>
      <c r="I82" s="436">
        <f t="shared" si="48"/>
        <v>2.105</v>
      </c>
      <c r="J82" s="437">
        <f>SUMIFS(PRODUCTION[KG],PRODUCTION[GRADE],"3X50",PRODUCTION[DATE],B82,PRODUCTION[BATCH],C82,PRODUCTION[SHIFT],D82)</f>
        <v>23010</v>
      </c>
      <c r="K82" s="438" t="s">
        <v>1414</v>
      </c>
      <c r="L82" s="439">
        <v>10.6</v>
      </c>
      <c r="M82" s="488">
        <v>0.29</v>
      </c>
      <c r="N82" s="489">
        <v>0.581</v>
      </c>
      <c r="O82" s="489">
        <v>0.601</v>
      </c>
      <c r="P82" s="490">
        <v>1.67</v>
      </c>
      <c r="Q82" s="439">
        <v>1.4</v>
      </c>
      <c r="R82" s="488">
        <v>30.4</v>
      </c>
      <c r="S82" s="488">
        <v>27.7</v>
      </c>
      <c r="T82" s="488">
        <v>18.3</v>
      </c>
      <c r="U82" s="488">
        <v>11.9</v>
      </c>
      <c r="V82" s="488">
        <v>8.0</v>
      </c>
      <c r="W82" s="488">
        <v>0.7</v>
      </c>
      <c r="X82" s="488">
        <v>1.6</v>
      </c>
      <c r="Y82" s="444">
        <f t="shared" si="17"/>
        <v>98.6</v>
      </c>
      <c r="Z82" s="445"/>
      <c r="AA82" s="446">
        <f t="shared" ref="AA82:AE82" si="49">$J82*E82</f>
        <v>256273.875</v>
      </c>
      <c r="AB82" s="447">
        <f t="shared" si="49"/>
        <v>6385.275</v>
      </c>
      <c r="AC82" s="447">
        <f t="shared" si="49"/>
        <v>13276.77</v>
      </c>
      <c r="AD82" s="447">
        <f t="shared" si="49"/>
        <v>13736.97</v>
      </c>
      <c r="AE82" s="448">
        <f t="shared" si="49"/>
        <v>48436.05</v>
      </c>
      <c r="AF82" s="449"/>
      <c r="AG82" s="449"/>
      <c r="AH82" s="449"/>
    </row>
    <row r="83" ht="11.25" customHeight="1">
      <c r="A83" s="450"/>
      <c r="B83" s="451"/>
      <c r="C83" s="452"/>
      <c r="D83" s="452"/>
      <c r="E83" s="453"/>
      <c r="F83" s="453"/>
      <c r="G83" s="454"/>
      <c r="H83" s="454"/>
      <c r="I83" s="455"/>
      <c r="J83" s="456"/>
      <c r="K83" s="457" t="s">
        <v>1416</v>
      </c>
      <c r="L83" s="458">
        <v>10.87</v>
      </c>
      <c r="M83" s="459">
        <v>0.21</v>
      </c>
      <c r="N83" s="460">
        <v>0.576</v>
      </c>
      <c r="O83" s="460">
        <v>0.596</v>
      </c>
      <c r="P83" s="461">
        <v>2.49</v>
      </c>
      <c r="Q83" s="458">
        <v>1.8</v>
      </c>
      <c r="R83" s="459">
        <v>32.6</v>
      </c>
      <c r="S83" s="459">
        <v>24.5</v>
      </c>
      <c r="T83" s="459">
        <v>17.4</v>
      </c>
      <c r="U83" s="459">
        <v>12.7</v>
      </c>
      <c r="V83" s="459">
        <v>8.8</v>
      </c>
      <c r="W83" s="459">
        <v>0.8</v>
      </c>
      <c r="X83" s="459">
        <v>1.4</v>
      </c>
      <c r="Y83" s="462">
        <f t="shared" si="17"/>
        <v>98.2</v>
      </c>
      <c r="Z83" s="463"/>
      <c r="AA83" s="464"/>
      <c r="AB83" s="465"/>
      <c r="AC83" s="465"/>
      <c r="AD83" s="465"/>
      <c r="AE83" s="466"/>
      <c r="AF83" s="449"/>
      <c r="AG83" s="449"/>
      <c r="AH83" s="449"/>
    </row>
    <row r="84" ht="11.25" customHeight="1">
      <c r="A84" s="450"/>
      <c r="B84" s="451"/>
      <c r="C84" s="452"/>
      <c r="D84" s="452"/>
      <c r="E84" s="453"/>
      <c r="F84" s="453"/>
      <c r="G84" s="454"/>
      <c r="H84" s="454"/>
      <c r="I84" s="455"/>
      <c r="J84" s="456"/>
      <c r="K84" s="467" t="s">
        <v>1417</v>
      </c>
      <c r="L84" s="468">
        <v>12.14</v>
      </c>
      <c r="M84" s="469">
        <v>0.31</v>
      </c>
      <c r="N84" s="470">
        <v>0.577</v>
      </c>
      <c r="O84" s="470">
        <v>0.597</v>
      </c>
      <c r="P84" s="471">
        <v>2.52</v>
      </c>
      <c r="Q84" s="468">
        <v>1.7</v>
      </c>
      <c r="R84" s="469">
        <v>34.4</v>
      </c>
      <c r="S84" s="469">
        <v>26.9</v>
      </c>
      <c r="T84" s="469">
        <v>16.5</v>
      </c>
      <c r="U84" s="469">
        <v>11.3</v>
      </c>
      <c r="V84" s="469">
        <v>7.3</v>
      </c>
      <c r="W84" s="469">
        <v>0.6</v>
      </c>
      <c r="X84" s="469">
        <v>1.3</v>
      </c>
      <c r="Y84" s="462">
        <f t="shared" si="17"/>
        <v>98.3</v>
      </c>
      <c r="Z84" s="463"/>
      <c r="AA84" s="464"/>
      <c r="AB84" s="465"/>
      <c r="AC84" s="465"/>
      <c r="AD84" s="465"/>
      <c r="AE84" s="466"/>
      <c r="AF84" s="449"/>
      <c r="AG84" s="449"/>
      <c r="AH84" s="449"/>
    </row>
    <row r="85" ht="11.25" customHeight="1">
      <c r="A85" s="450"/>
      <c r="B85" s="472"/>
      <c r="C85" s="473"/>
      <c r="D85" s="473"/>
      <c r="E85" s="474"/>
      <c r="F85" s="474"/>
      <c r="G85" s="475"/>
      <c r="H85" s="475"/>
      <c r="I85" s="476"/>
      <c r="J85" s="477"/>
      <c r="K85" s="478" t="s">
        <v>1418</v>
      </c>
      <c r="L85" s="479">
        <v>10.94</v>
      </c>
      <c r="M85" s="480">
        <v>0.3</v>
      </c>
      <c r="N85" s="481">
        <v>0.574</v>
      </c>
      <c r="O85" s="481">
        <v>0.594</v>
      </c>
      <c r="P85" s="482">
        <v>1.74</v>
      </c>
      <c r="Q85" s="479">
        <v>2.0</v>
      </c>
      <c r="R85" s="480">
        <v>43.1</v>
      </c>
      <c r="S85" s="480">
        <v>27.5</v>
      </c>
      <c r="T85" s="480">
        <v>14.7</v>
      </c>
      <c r="U85" s="480">
        <v>7.6</v>
      </c>
      <c r="V85" s="480">
        <v>4.0</v>
      </c>
      <c r="W85" s="480">
        <v>0.1</v>
      </c>
      <c r="X85" s="480">
        <v>1.0</v>
      </c>
      <c r="Y85" s="483">
        <f t="shared" si="17"/>
        <v>98</v>
      </c>
      <c r="Z85" s="484"/>
      <c r="AA85" s="485"/>
      <c r="AB85" s="486"/>
      <c r="AC85" s="486"/>
      <c r="AD85" s="486"/>
      <c r="AE85" s="487"/>
      <c r="AF85" s="449"/>
      <c r="AG85" s="449"/>
      <c r="AH85" s="449"/>
    </row>
    <row r="86" ht="11.25" customHeight="1">
      <c r="A86" s="431">
        <f>IF(B86="","", YEAR(B86))</f>
        <v>2026</v>
      </c>
      <c r="B86" s="432">
        <v>46044.0</v>
      </c>
      <c r="C86" s="433" t="s">
        <v>1147</v>
      </c>
      <c r="D86" s="433" t="s">
        <v>1413</v>
      </c>
      <c r="E86" s="434">
        <f t="shared" ref="E86:I86" si="50">IFERROR(AVERAGE(L86:L89),"")</f>
        <v>10.805</v>
      </c>
      <c r="F86" s="434">
        <f t="shared" si="50"/>
        <v>0.2675</v>
      </c>
      <c r="G86" s="435">
        <f t="shared" si="50"/>
        <v>0.57775</v>
      </c>
      <c r="H86" s="435">
        <f t="shared" si="50"/>
        <v>0.59775</v>
      </c>
      <c r="I86" s="436">
        <f t="shared" si="50"/>
        <v>1.7025</v>
      </c>
      <c r="J86" s="437">
        <f>SUMIFS(PRODUCTION[KG],PRODUCTION[GRADE],"3X50",PRODUCTION[DATE],B86,PRODUCTION[BATCH],C86,PRODUCTION[SHIFT],D86)</f>
        <v>27040</v>
      </c>
      <c r="K86" s="438" t="s">
        <v>1414</v>
      </c>
      <c r="L86" s="439">
        <v>11.34</v>
      </c>
      <c r="M86" s="488">
        <v>0.28</v>
      </c>
      <c r="N86" s="489">
        <v>0.581</v>
      </c>
      <c r="O86" s="489">
        <v>0.601</v>
      </c>
      <c r="P86" s="490">
        <v>1.37</v>
      </c>
      <c r="Q86" s="439">
        <v>0.9</v>
      </c>
      <c r="R86" s="488">
        <v>35.0</v>
      </c>
      <c r="S86" s="488">
        <v>27.3</v>
      </c>
      <c r="T86" s="488">
        <v>17.6</v>
      </c>
      <c r="U86" s="488">
        <v>10.8</v>
      </c>
      <c r="V86" s="488">
        <v>6.5</v>
      </c>
      <c r="W86" s="488">
        <v>0.6</v>
      </c>
      <c r="X86" s="488">
        <v>1.3</v>
      </c>
      <c r="Y86" s="444">
        <f t="shared" si="17"/>
        <v>99.1</v>
      </c>
      <c r="Z86" s="445"/>
      <c r="AA86" s="446">
        <f t="shared" ref="AA86:AE86" si="51">$J86*E86</f>
        <v>292167.2</v>
      </c>
      <c r="AB86" s="447">
        <f t="shared" si="51"/>
        <v>7233.2</v>
      </c>
      <c r="AC86" s="447">
        <f t="shared" si="51"/>
        <v>15622.36</v>
      </c>
      <c r="AD86" s="447">
        <f t="shared" si="51"/>
        <v>16163.16</v>
      </c>
      <c r="AE86" s="448">
        <f t="shared" si="51"/>
        <v>46035.6</v>
      </c>
      <c r="AF86" s="449"/>
      <c r="AG86" s="449"/>
      <c r="AH86" s="449"/>
    </row>
    <row r="87" ht="11.25" customHeight="1">
      <c r="A87" s="450"/>
      <c r="B87" s="451"/>
      <c r="C87" s="452"/>
      <c r="D87" s="452"/>
      <c r="E87" s="453"/>
      <c r="F87" s="453"/>
      <c r="G87" s="454"/>
      <c r="H87" s="454"/>
      <c r="I87" s="455"/>
      <c r="J87" s="456"/>
      <c r="K87" s="457" t="s">
        <v>1416</v>
      </c>
      <c r="L87" s="458">
        <v>10.54</v>
      </c>
      <c r="M87" s="459">
        <v>0.23</v>
      </c>
      <c r="N87" s="460">
        <v>0.578</v>
      </c>
      <c r="O87" s="460">
        <v>0.598</v>
      </c>
      <c r="P87" s="461">
        <v>1.46</v>
      </c>
      <c r="Q87" s="458">
        <v>2.0</v>
      </c>
      <c r="R87" s="459">
        <v>37.8</v>
      </c>
      <c r="S87" s="459">
        <v>27.5</v>
      </c>
      <c r="T87" s="459">
        <v>15.3</v>
      </c>
      <c r="U87" s="459">
        <v>9.6</v>
      </c>
      <c r="V87" s="459">
        <v>6.1</v>
      </c>
      <c r="W87" s="459">
        <v>0.6</v>
      </c>
      <c r="X87" s="459">
        <v>1.1</v>
      </c>
      <c r="Y87" s="462">
        <f t="shared" si="17"/>
        <v>98</v>
      </c>
      <c r="Z87" s="463"/>
      <c r="AA87" s="464"/>
      <c r="AB87" s="465"/>
      <c r="AC87" s="465"/>
      <c r="AD87" s="465"/>
      <c r="AE87" s="466"/>
      <c r="AF87" s="449"/>
      <c r="AG87" s="449"/>
      <c r="AH87" s="449"/>
    </row>
    <row r="88" ht="11.25" customHeight="1">
      <c r="A88" s="450"/>
      <c r="B88" s="451"/>
      <c r="C88" s="452"/>
      <c r="D88" s="452"/>
      <c r="E88" s="453"/>
      <c r="F88" s="453"/>
      <c r="G88" s="454"/>
      <c r="H88" s="454"/>
      <c r="I88" s="455"/>
      <c r="J88" s="456"/>
      <c r="K88" s="467" t="s">
        <v>1417</v>
      </c>
      <c r="L88" s="468">
        <v>10.74</v>
      </c>
      <c r="M88" s="469">
        <v>0.29</v>
      </c>
      <c r="N88" s="470">
        <v>0.576</v>
      </c>
      <c r="O88" s="470">
        <v>0.596</v>
      </c>
      <c r="P88" s="471">
        <v>1.88</v>
      </c>
      <c r="Q88" s="468">
        <v>2.1</v>
      </c>
      <c r="R88" s="469">
        <v>33.8</v>
      </c>
      <c r="S88" s="469">
        <v>27.6</v>
      </c>
      <c r="T88" s="469">
        <v>16.3</v>
      </c>
      <c r="U88" s="469">
        <v>10.6</v>
      </c>
      <c r="V88" s="469">
        <v>7.5</v>
      </c>
      <c r="W88" s="469">
        <v>0.7</v>
      </c>
      <c r="X88" s="469">
        <v>1.4</v>
      </c>
      <c r="Y88" s="462">
        <f t="shared" si="17"/>
        <v>97.9</v>
      </c>
      <c r="Z88" s="463"/>
      <c r="AA88" s="464"/>
      <c r="AB88" s="465"/>
      <c r="AC88" s="465"/>
      <c r="AD88" s="465"/>
      <c r="AE88" s="466"/>
      <c r="AF88" s="449"/>
      <c r="AG88" s="449"/>
      <c r="AH88" s="449"/>
    </row>
    <row r="89" ht="11.25" customHeight="1">
      <c r="A89" s="450"/>
      <c r="B89" s="472"/>
      <c r="C89" s="473"/>
      <c r="D89" s="473"/>
      <c r="E89" s="474"/>
      <c r="F89" s="474"/>
      <c r="G89" s="475"/>
      <c r="H89" s="475"/>
      <c r="I89" s="476"/>
      <c r="J89" s="477"/>
      <c r="K89" s="478" t="s">
        <v>1418</v>
      </c>
      <c r="L89" s="479">
        <v>10.6</v>
      </c>
      <c r="M89" s="480">
        <v>0.27</v>
      </c>
      <c r="N89" s="481">
        <v>0.576</v>
      </c>
      <c r="O89" s="481">
        <v>0.596</v>
      </c>
      <c r="P89" s="482">
        <v>2.1</v>
      </c>
      <c r="Q89" s="479">
        <v>1.7</v>
      </c>
      <c r="R89" s="480">
        <v>46.0</v>
      </c>
      <c r="S89" s="480">
        <v>24.7</v>
      </c>
      <c r="T89" s="480">
        <v>13.7</v>
      </c>
      <c r="U89" s="480">
        <v>7.7</v>
      </c>
      <c r="V89" s="480">
        <v>5.3</v>
      </c>
      <c r="W89" s="480">
        <v>0.1</v>
      </c>
      <c r="X89" s="480">
        <v>0.8</v>
      </c>
      <c r="Y89" s="483">
        <f t="shared" si="17"/>
        <v>98.3</v>
      </c>
      <c r="Z89" s="484"/>
      <c r="AA89" s="485"/>
      <c r="AB89" s="486"/>
      <c r="AC89" s="486"/>
      <c r="AD89" s="486"/>
      <c r="AE89" s="487"/>
      <c r="AF89" s="449"/>
      <c r="AG89" s="449"/>
      <c r="AH89" s="449"/>
    </row>
    <row r="90" ht="11.25" customHeight="1">
      <c r="A90" s="431">
        <f>IF(B90="","", YEAR(B90))</f>
        <v>2026</v>
      </c>
      <c r="B90" s="432">
        <v>46045.0</v>
      </c>
      <c r="C90" s="433" t="s">
        <v>1147</v>
      </c>
      <c r="D90" s="433" t="s">
        <v>1413</v>
      </c>
      <c r="E90" s="434">
        <f t="shared" ref="E90:I90" si="52">IFERROR(AVERAGE(L90:L93),"")</f>
        <v>11.355</v>
      </c>
      <c r="F90" s="434">
        <f t="shared" si="52"/>
        <v>0.2925</v>
      </c>
      <c r="G90" s="435">
        <f t="shared" si="52"/>
        <v>0.578</v>
      </c>
      <c r="H90" s="435">
        <f t="shared" si="52"/>
        <v>0.598</v>
      </c>
      <c r="I90" s="436">
        <f t="shared" si="52"/>
        <v>2.095</v>
      </c>
      <c r="J90" s="437">
        <f>SUMIFS(PRODUCTION[KG],PRODUCTION[GRADE],"3X50",PRODUCTION[DATE],B90,PRODUCTION[BATCH],C90,PRODUCTION[SHIFT],D90)</f>
        <v>29172</v>
      </c>
      <c r="K90" s="438" t="s">
        <v>1414</v>
      </c>
      <c r="L90" s="439">
        <v>10.34</v>
      </c>
      <c r="M90" s="488">
        <v>0.31</v>
      </c>
      <c r="N90" s="489">
        <v>0.581</v>
      </c>
      <c r="O90" s="489">
        <v>0.601</v>
      </c>
      <c r="P90" s="490">
        <v>1.95</v>
      </c>
      <c r="Q90" s="439">
        <v>2.1</v>
      </c>
      <c r="R90" s="488">
        <v>41.6</v>
      </c>
      <c r="S90" s="488">
        <v>28.1</v>
      </c>
      <c r="T90" s="488">
        <v>14.7</v>
      </c>
      <c r="U90" s="488">
        <v>8.1</v>
      </c>
      <c r="V90" s="488">
        <v>4.7</v>
      </c>
      <c r="W90" s="488">
        <v>0.1</v>
      </c>
      <c r="X90" s="488">
        <v>0.6</v>
      </c>
      <c r="Y90" s="444">
        <f t="shared" si="17"/>
        <v>97.9</v>
      </c>
      <c r="Z90" s="445"/>
      <c r="AA90" s="446">
        <f t="shared" ref="AA90:AE90" si="53">$J90*E90</f>
        <v>331248.06</v>
      </c>
      <c r="AB90" s="447">
        <f t="shared" si="53"/>
        <v>8532.81</v>
      </c>
      <c r="AC90" s="447">
        <f t="shared" si="53"/>
        <v>16861.416</v>
      </c>
      <c r="AD90" s="447">
        <f t="shared" si="53"/>
        <v>17444.856</v>
      </c>
      <c r="AE90" s="448">
        <f t="shared" si="53"/>
        <v>61115.34</v>
      </c>
      <c r="AF90" s="449"/>
      <c r="AG90" s="449"/>
      <c r="AH90" s="449"/>
    </row>
    <row r="91" ht="11.25" customHeight="1">
      <c r="A91" s="450"/>
      <c r="B91" s="451"/>
      <c r="C91" s="452"/>
      <c r="D91" s="452"/>
      <c r="E91" s="453"/>
      <c r="F91" s="453"/>
      <c r="G91" s="454"/>
      <c r="H91" s="454"/>
      <c r="I91" s="455"/>
      <c r="J91" s="456"/>
      <c r="K91" s="457" t="s">
        <v>1416</v>
      </c>
      <c r="L91" s="458">
        <v>11.47</v>
      </c>
      <c r="M91" s="459">
        <v>0.28</v>
      </c>
      <c r="N91" s="460">
        <v>0.576</v>
      </c>
      <c r="O91" s="460">
        <v>0.596</v>
      </c>
      <c r="P91" s="461">
        <v>2.57</v>
      </c>
      <c r="Q91" s="458">
        <v>1.3</v>
      </c>
      <c r="R91" s="459">
        <v>55.3</v>
      </c>
      <c r="S91" s="459">
        <v>22.1</v>
      </c>
      <c r="T91" s="459">
        <v>12.7</v>
      </c>
      <c r="U91" s="459">
        <v>5.9</v>
      </c>
      <c r="V91" s="459">
        <v>2.1</v>
      </c>
      <c r="W91" s="459">
        <v>0.1</v>
      </c>
      <c r="X91" s="459">
        <v>0.5</v>
      </c>
      <c r="Y91" s="462">
        <f t="shared" si="17"/>
        <v>98.7</v>
      </c>
      <c r="Z91" s="463"/>
      <c r="AA91" s="464"/>
      <c r="AB91" s="465"/>
      <c r="AC91" s="465"/>
      <c r="AD91" s="465"/>
      <c r="AE91" s="466"/>
      <c r="AF91" s="449"/>
      <c r="AG91" s="449"/>
      <c r="AH91" s="449"/>
    </row>
    <row r="92" ht="11.25" customHeight="1">
      <c r="A92" s="450"/>
      <c r="B92" s="451"/>
      <c r="C92" s="452"/>
      <c r="D92" s="452"/>
      <c r="E92" s="453"/>
      <c r="F92" s="453"/>
      <c r="G92" s="454"/>
      <c r="H92" s="454"/>
      <c r="I92" s="455"/>
      <c r="J92" s="456"/>
      <c r="K92" s="467" t="s">
        <v>1417</v>
      </c>
      <c r="L92" s="468">
        <v>11.87</v>
      </c>
      <c r="M92" s="469">
        <v>0.31</v>
      </c>
      <c r="N92" s="470">
        <v>0.581</v>
      </c>
      <c r="O92" s="470">
        <v>0.601</v>
      </c>
      <c r="P92" s="471">
        <v>1.89</v>
      </c>
      <c r="Q92" s="468">
        <v>1.9</v>
      </c>
      <c r="R92" s="469">
        <v>45.0</v>
      </c>
      <c r="S92" s="469">
        <v>25.8</v>
      </c>
      <c r="T92" s="469">
        <v>15.7</v>
      </c>
      <c r="U92" s="469">
        <v>6.6</v>
      </c>
      <c r="V92" s="469">
        <v>3.9</v>
      </c>
      <c r="W92" s="469">
        <v>0.1</v>
      </c>
      <c r="X92" s="469">
        <v>1.0</v>
      </c>
      <c r="Y92" s="462">
        <f t="shared" si="17"/>
        <v>98.1</v>
      </c>
      <c r="Z92" s="463"/>
      <c r="AA92" s="464"/>
      <c r="AB92" s="465"/>
      <c r="AC92" s="465"/>
      <c r="AD92" s="465"/>
      <c r="AE92" s="466"/>
      <c r="AF92" s="449"/>
      <c r="AG92" s="449"/>
      <c r="AH92" s="449"/>
    </row>
    <row r="93" ht="11.25" customHeight="1">
      <c r="A93" s="450"/>
      <c r="B93" s="472"/>
      <c r="C93" s="473"/>
      <c r="D93" s="473"/>
      <c r="E93" s="474"/>
      <c r="F93" s="474"/>
      <c r="G93" s="475"/>
      <c r="H93" s="475"/>
      <c r="I93" s="476"/>
      <c r="J93" s="477"/>
      <c r="K93" s="478" t="s">
        <v>1418</v>
      </c>
      <c r="L93" s="479">
        <v>11.74</v>
      </c>
      <c r="M93" s="480">
        <v>0.27</v>
      </c>
      <c r="N93" s="481">
        <v>0.574</v>
      </c>
      <c r="O93" s="481">
        <v>0.594</v>
      </c>
      <c r="P93" s="482">
        <v>1.97</v>
      </c>
      <c r="Q93" s="479">
        <v>1.9</v>
      </c>
      <c r="R93" s="480">
        <v>34.8</v>
      </c>
      <c r="S93" s="480">
        <v>29.0</v>
      </c>
      <c r="T93" s="480">
        <v>17.1</v>
      </c>
      <c r="U93" s="480">
        <v>9.6</v>
      </c>
      <c r="V93" s="480">
        <v>5.8</v>
      </c>
      <c r="W93" s="480">
        <v>0.5</v>
      </c>
      <c r="X93" s="480">
        <v>1.3</v>
      </c>
      <c r="Y93" s="483">
        <f t="shared" si="17"/>
        <v>98.1</v>
      </c>
      <c r="Z93" s="484"/>
      <c r="AA93" s="485"/>
      <c r="AB93" s="486"/>
      <c r="AC93" s="486"/>
      <c r="AD93" s="486"/>
      <c r="AE93" s="487"/>
      <c r="AF93" s="449"/>
      <c r="AG93" s="449"/>
      <c r="AH93" s="449"/>
    </row>
    <row r="94" ht="11.25" customHeight="1">
      <c r="A94" s="431">
        <f>IF(B94="","", YEAR(B94))</f>
        <v>2026</v>
      </c>
      <c r="B94" s="432">
        <v>46046.0</v>
      </c>
      <c r="C94" s="433" t="s">
        <v>1147</v>
      </c>
      <c r="D94" s="433" t="s">
        <v>1413</v>
      </c>
      <c r="E94" s="434">
        <f t="shared" ref="E94:I94" si="54">IFERROR(AVERAGE(L94:L97),"")</f>
        <v>11.7875</v>
      </c>
      <c r="F94" s="434">
        <f t="shared" si="54"/>
        <v>0.2875</v>
      </c>
      <c r="G94" s="435">
        <f t="shared" si="54"/>
        <v>0.57625</v>
      </c>
      <c r="H94" s="435">
        <f t="shared" si="54"/>
        <v>0.59625</v>
      </c>
      <c r="I94" s="436">
        <f t="shared" si="54"/>
        <v>1.785</v>
      </c>
      <c r="J94" s="437">
        <f>SUMIFS(PRODUCTION[KG],PRODUCTION[GRADE],"3X50",PRODUCTION[DATE],B94,PRODUCTION[BATCH],C94,PRODUCTION[SHIFT],D94)</f>
        <v>28080</v>
      </c>
      <c r="K94" s="438" t="s">
        <v>1414</v>
      </c>
      <c r="L94" s="439">
        <v>12.07</v>
      </c>
      <c r="M94" s="488">
        <v>0.24</v>
      </c>
      <c r="N94" s="489">
        <v>0.578</v>
      </c>
      <c r="O94" s="489">
        <v>0.598</v>
      </c>
      <c r="P94" s="490">
        <v>1.7</v>
      </c>
      <c r="Q94" s="439">
        <v>1.0</v>
      </c>
      <c r="R94" s="488">
        <v>38.4</v>
      </c>
      <c r="S94" s="488">
        <v>26.5</v>
      </c>
      <c r="T94" s="488">
        <v>15.0</v>
      </c>
      <c r="U94" s="488">
        <v>10.1</v>
      </c>
      <c r="V94" s="488">
        <v>7.0</v>
      </c>
      <c r="W94" s="488">
        <v>0.6</v>
      </c>
      <c r="X94" s="488">
        <v>1.4</v>
      </c>
      <c r="Y94" s="444">
        <f t="shared" si="17"/>
        <v>99</v>
      </c>
      <c r="Z94" s="445"/>
      <c r="AA94" s="446">
        <f t="shared" ref="AA94:AE94" si="55">$J94*E94</f>
        <v>330993</v>
      </c>
      <c r="AB94" s="447">
        <f t="shared" si="55"/>
        <v>8073</v>
      </c>
      <c r="AC94" s="447">
        <f t="shared" si="55"/>
        <v>16181.1</v>
      </c>
      <c r="AD94" s="447">
        <f t="shared" si="55"/>
        <v>16742.7</v>
      </c>
      <c r="AE94" s="448">
        <f t="shared" si="55"/>
        <v>50122.8</v>
      </c>
      <c r="AF94" s="449"/>
      <c r="AG94" s="449"/>
      <c r="AH94" s="449"/>
    </row>
    <row r="95" ht="11.25" customHeight="1">
      <c r="A95" s="450"/>
      <c r="B95" s="451"/>
      <c r="C95" s="452"/>
      <c r="D95" s="452"/>
      <c r="E95" s="453"/>
      <c r="F95" s="453"/>
      <c r="G95" s="454"/>
      <c r="H95" s="454"/>
      <c r="I95" s="455"/>
      <c r="J95" s="456"/>
      <c r="K95" s="457" t="s">
        <v>1416</v>
      </c>
      <c r="L95" s="458">
        <v>11.47</v>
      </c>
      <c r="M95" s="459">
        <v>0.28</v>
      </c>
      <c r="N95" s="460">
        <v>0.575</v>
      </c>
      <c r="O95" s="460">
        <v>0.595</v>
      </c>
      <c r="P95" s="461">
        <v>1.39</v>
      </c>
      <c r="Q95" s="458">
        <v>1.5</v>
      </c>
      <c r="R95" s="459">
        <v>38.1</v>
      </c>
      <c r="S95" s="459">
        <v>28.0</v>
      </c>
      <c r="T95" s="459">
        <v>16.5</v>
      </c>
      <c r="U95" s="459">
        <v>9.4</v>
      </c>
      <c r="V95" s="459">
        <v>5.0</v>
      </c>
      <c r="W95" s="459">
        <v>0.3</v>
      </c>
      <c r="X95" s="459">
        <v>1.2</v>
      </c>
      <c r="Y95" s="462">
        <f t="shared" si="17"/>
        <v>98.5</v>
      </c>
      <c r="Z95" s="463"/>
      <c r="AA95" s="464"/>
      <c r="AB95" s="465"/>
      <c r="AC95" s="465"/>
      <c r="AD95" s="465"/>
      <c r="AE95" s="466"/>
      <c r="AF95" s="449"/>
      <c r="AG95" s="449"/>
      <c r="AH95" s="449"/>
    </row>
    <row r="96" ht="11.25" customHeight="1">
      <c r="A96" s="450"/>
      <c r="B96" s="451"/>
      <c r="C96" s="452"/>
      <c r="D96" s="452"/>
      <c r="E96" s="453"/>
      <c r="F96" s="453"/>
      <c r="G96" s="454"/>
      <c r="H96" s="454"/>
      <c r="I96" s="455"/>
      <c r="J96" s="456"/>
      <c r="K96" s="467" t="s">
        <v>1417</v>
      </c>
      <c r="L96" s="468">
        <v>11.67</v>
      </c>
      <c r="M96" s="469">
        <v>0.32</v>
      </c>
      <c r="N96" s="470">
        <v>0.579</v>
      </c>
      <c r="O96" s="470">
        <v>0.599</v>
      </c>
      <c r="P96" s="471">
        <v>1.76</v>
      </c>
      <c r="Q96" s="468">
        <v>0.4</v>
      </c>
      <c r="R96" s="469">
        <v>34.7</v>
      </c>
      <c r="S96" s="469">
        <v>26.6</v>
      </c>
      <c r="T96" s="469">
        <v>16.3</v>
      </c>
      <c r="U96" s="469">
        <v>11.3</v>
      </c>
      <c r="V96" s="469">
        <v>7.9</v>
      </c>
      <c r="W96" s="469">
        <v>0.9</v>
      </c>
      <c r="X96" s="469">
        <v>1.9</v>
      </c>
      <c r="Y96" s="462">
        <f t="shared" si="17"/>
        <v>99.6</v>
      </c>
      <c r="Z96" s="463"/>
      <c r="AA96" s="464"/>
      <c r="AB96" s="465"/>
      <c r="AC96" s="465"/>
      <c r="AD96" s="465"/>
      <c r="AE96" s="466"/>
      <c r="AF96" s="449"/>
      <c r="AG96" s="449"/>
      <c r="AH96" s="449"/>
    </row>
    <row r="97" ht="11.25" customHeight="1">
      <c r="A97" s="450"/>
      <c r="B97" s="472"/>
      <c r="C97" s="473"/>
      <c r="D97" s="473"/>
      <c r="E97" s="474"/>
      <c r="F97" s="474"/>
      <c r="G97" s="475"/>
      <c r="H97" s="475"/>
      <c r="I97" s="476"/>
      <c r="J97" s="477"/>
      <c r="K97" s="478" t="s">
        <v>1418</v>
      </c>
      <c r="L97" s="479">
        <v>11.94</v>
      </c>
      <c r="M97" s="480">
        <v>0.31</v>
      </c>
      <c r="N97" s="481">
        <v>0.573</v>
      </c>
      <c r="O97" s="481">
        <v>0.593</v>
      </c>
      <c r="P97" s="482">
        <v>2.29</v>
      </c>
      <c r="Q97" s="479">
        <v>2.4</v>
      </c>
      <c r="R97" s="480">
        <v>44.5</v>
      </c>
      <c r="S97" s="480">
        <v>26.4</v>
      </c>
      <c r="T97" s="480">
        <v>13.7</v>
      </c>
      <c r="U97" s="480">
        <v>7.6</v>
      </c>
      <c r="V97" s="480">
        <v>4.1</v>
      </c>
      <c r="W97" s="480">
        <v>0.3</v>
      </c>
      <c r="X97" s="480">
        <v>1.0</v>
      </c>
      <c r="Y97" s="483">
        <f t="shared" si="17"/>
        <v>97.6</v>
      </c>
      <c r="Z97" s="484"/>
      <c r="AA97" s="485"/>
      <c r="AB97" s="486"/>
      <c r="AC97" s="486"/>
      <c r="AD97" s="486"/>
      <c r="AE97" s="487"/>
      <c r="AF97" s="449"/>
      <c r="AG97" s="449"/>
      <c r="AH97" s="449"/>
    </row>
    <row r="98" ht="11.25" customHeight="1">
      <c r="A98" s="431">
        <f>IF(B98="","", YEAR(B98))</f>
        <v>2026</v>
      </c>
      <c r="B98" s="432">
        <v>46048.0</v>
      </c>
      <c r="C98" s="433" t="s">
        <v>1147</v>
      </c>
      <c r="D98" s="433" t="s">
        <v>1413</v>
      </c>
      <c r="E98" s="434">
        <f t="shared" ref="E98:I98" si="56">IFERROR(AVERAGE(L98:L101),"")</f>
        <v>11.87</v>
      </c>
      <c r="F98" s="434">
        <f t="shared" si="56"/>
        <v>0.27</v>
      </c>
      <c r="G98" s="435">
        <f t="shared" si="56"/>
        <v>0.575</v>
      </c>
      <c r="H98" s="435">
        <f t="shared" si="56"/>
        <v>0.595</v>
      </c>
      <c r="I98" s="436">
        <f t="shared" si="56"/>
        <v>2.0575</v>
      </c>
      <c r="J98" s="437">
        <f>SUMIFS(PRODUCTION[KG],PRODUCTION[GRADE],"3X50",PRODUCTION[DATE],B98,PRODUCTION[BATCH],C98,PRODUCTION[SHIFT],D98)</f>
        <v>28470</v>
      </c>
      <c r="K98" s="438" t="s">
        <v>1414</v>
      </c>
      <c r="L98" s="439">
        <v>12.14</v>
      </c>
      <c r="M98" s="488">
        <v>0.34</v>
      </c>
      <c r="N98" s="489">
        <v>0.578</v>
      </c>
      <c r="O98" s="489">
        <v>0.598</v>
      </c>
      <c r="P98" s="490">
        <v>1.98</v>
      </c>
      <c r="Q98" s="439">
        <v>0.9</v>
      </c>
      <c r="R98" s="488">
        <v>39.8</v>
      </c>
      <c r="S98" s="488">
        <v>27.5</v>
      </c>
      <c r="T98" s="488">
        <v>14.8</v>
      </c>
      <c r="U98" s="488">
        <v>8.9</v>
      </c>
      <c r="V98" s="488">
        <v>6.0</v>
      </c>
      <c r="W98" s="488">
        <v>0.5</v>
      </c>
      <c r="X98" s="488">
        <v>1.6</v>
      </c>
      <c r="Y98" s="444">
        <f t="shared" si="17"/>
        <v>99.1</v>
      </c>
      <c r="Z98" s="445"/>
      <c r="AA98" s="446">
        <f t="shared" ref="AA98:AE98" si="57">$J98*E98</f>
        <v>337938.9</v>
      </c>
      <c r="AB98" s="447">
        <f t="shared" si="57"/>
        <v>7686.9</v>
      </c>
      <c r="AC98" s="447">
        <f t="shared" si="57"/>
        <v>16370.25</v>
      </c>
      <c r="AD98" s="447">
        <f t="shared" si="57"/>
        <v>16939.65</v>
      </c>
      <c r="AE98" s="448">
        <f t="shared" si="57"/>
        <v>58577.025</v>
      </c>
      <c r="AF98" s="449"/>
      <c r="AG98" s="449"/>
      <c r="AH98" s="449"/>
    </row>
    <row r="99" ht="11.25" customHeight="1">
      <c r="A99" s="450"/>
      <c r="B99" s="451"/>
      <c r="C99" s="452"/>
      <c r="D99" s="452"/>
      <c r="E99" s="453"/>
      <c r="F99" s="453"/>
      <c r="G99" s="454"/>
      <c r="H99" s="454"/>
      <c r="I99" s="455"/>
      <c r="J99" s="456"/>
      <c r="K99" s="457" t="s">
        <v>1416</v>
      </c>
      <c r="L99" s="458">
        <v>11.4</v>
      </c>
      <c r="M99" s="459">
        <v>0.27</v>
      </c>
      <c r="N99" s="460">
        <v>0.575</v>
      </c>
      <c r="O99" s="460">
        <v>0.595</v>
      </c>
      <c r="P99" s="461">
        <v>2.37</v>
      </c>
      <c r="Q99" s="458">
        <v>1.0</v>
      </c>
      <c r="R99" s="459">
        <v>40.5</v>
      </c>
      <c r="S99" s="459">
        <v>26.7</v>
      </c>
      <c r="T99" s="459">
        <v>14.7</v>
      </c>
      <c r="U99" s="459">
        <v>9.1</v>
      </c>
      <c r="V99" s="459">
        <v>5.8</v>
      </c>
      <c r="W99" s="459">
        <v>0.5</v>
      </c>
      <c r="X99" s="459">
        <v>1.7</v>
      </c>
      <c r="Y99" s="462">
        <f t="shared" si="17"/>
        <v>99</v>
      </c>
      <c r="Z99" s="463"/>
      <c r="AA99" s="464"/>
      <c r="AB99" s="465"/>
      <c r="AC99" s="465"/>
      <c r="AD99" s="465"/>
      <c r="AE99" s="466"/>
      <c r="AF99" s="449"/>
      <c r="AG99" s="449"/>
      <c r="AH99" s="449"/>
    </row>
    <row r="100" ht="11.25" customHeight="1">
      <c r="A100" s="450"/>
      <c r="B100" s="451"/>
      <c r="C100" s="452"/>
      <c r="D100" s="452"/>
      <c r="E100" s="453"/>
      <c r="F100" s="453"/>
      <c r="G100" s="454"/>
      <c r="H100" s="454"/>
      <c r="I100" s="455"/>
      <c r="J100" s="456"/>
      <c r="K100" s="467" t="s">
        <v>1417</v>
      </c>
      <c r="L100" s="468">
        <v>11.74</v>
      </c>
      <c r="M100" s="469">
        <v>0.25</v>
      </c>
      <c r="N100" s="470">
        <v>0.576</v>
      </c>
      <c r="O100" s="470">
        <v>0.596</v>
      </c>
      <c r="P100" s="471">
        <v>1.86</v>
      </c>
      <c r="Q100" s="468">
        <v>2.5</v>
      </c>
      <c r="R100" s="469">
        <v>35.8</v>
      </c>
      <c r="S100" s="469">
        <v>25.3</v>
      </c>
      <c r="T100" s="469">
        <v>15.4</v>
      </c>
      <c r="U100" s="469">
        <v>10.4</v>
      </c>
      <c r="V100" s="469">
        <v>7.5</v>
      </c>
      <c r="W100" s="469">
        <v>0.9</v>
      </c>
      <c r="X100" s="469">
        <v>2.2</v>
      </c>
      <c r="Y100" s="462">
        <f t="shared" si="17"/>
        <v>97.5</v>
      </c>
      <c r="Z100" s="463"/>
      <c r="AA100" s="464"/>
      <c r="AB100" s="465"/>
      <c r="AC100" s="465"/>
      <c r="AD100" s="465"/>
      <c r="AE100" s="466"/>
      <c r="AF100" s="449"/>
      <c r="AG100" s="449"/>
      <c r="AH100" s="449"/>
    </row>
    <row r="101" ht="11.25" customHeight="1">
      <c r="A101" s="450"/>
      <c r="B101" s="472"/>
      <c r="C101" s="473"/>
      <c r="D101" s="473"/>
      <c r="E101" s="474"/>
      <c r="F101" s="474"/>
      <c r="G101" s="475"/>
      <c r="H101" s="475"/>
      <c r="I101" s="476"/>
      <c r="J101" s="477"/>
      <c r="K101" s="478" t="s">
        <v>1418</v>
      </c>
      <c r="L101" s="479">
        <v>12.2</v>
      </c>
      <c r="M101" s="480">
        <v>0.22</v>
      </c>
      <c r="N101" s="481">
        <v>0.571</v>
      </c>
      <c r="O101" s="481">
        <v>0.591</v>
      </c>
      <c r="P101" s="482">
        <v>2.02</v>
      </c>
      <c r="Q101" s="479">
        <v>4.8</v>
      </c>
      <c r="R101" s="480">
        <v>50.6</v>
      </c>
      <c r="S101" s="480">
        <v>24.2</v>
      </c>
      <c r="T101" s="480">
        <v>10.2</v>
      </c>
      <c r="U101" s="480">
        <v>5.8</v>
      </c>
      <c r="V101" s="480">
        <v>3.0</v>
      </c>
      <c r="W101" s="480">
        <v>0.1</v>
      </c>
      <c r="X101" s="480">
        <v>1.3</v>
      </c>
      <c r="Y101" s="483">
        <f t="shared" si="17"/>
        <v>95.2</v>
      </c>
      <c r="Z101" s="484"/>
      <c r="AA101" s="485"/>
      <c r="AB101" s="486"/>
      <c r="AC101" s="486"/>
      <c r="AD101" s="486"/>
      <c r="AE101" s="487"/>
      <c r="AF101" s="449"/>
      <c r="AG101" s="449"/>
      <c r="AH101" s="449"/>
    </row>
    <row r="102" ht="11.25" customHeight="1">
      <c r="A102" s="431">
        <f>IF(B102="","", YEAR(B102))</f>
        <v>2026</v>
      </c>
      <c r="B102" s="432">
        <v>46049.0</v>
      </c>
      <c r="C102" s="433" t="s">
        <v>1147</v>
      </c>
      <c r="D102" s="433" t="s">
        <v>1413</v>
      </c>
      <c r="E102" s="434">
        <f t="shared" ref="E102:I102" si="58">IFERROR(AVERAGE(L102:L105),"")</f>
        <v>12.4375</v>
      </c>
      <c r="F102" s="434">
        <f t="shared" si="58"/>
        <v>0.2925</v>
      </c>
      <c r="G102" s="435">
        <f t="shared" si="58"/>
        <v>0.575</v>
      </c>
      <c r="H102" s="435">
        <f t="shared" si="58"/>
        <v>0.595</v>
      </c>
      <c r="I102" s="436">
        <f t="shared" si="58"/>
        <v>1.7275</v>
      </c>
      <c r="J102" s="437">
        <f>SUMIFS(PRODUCTION[KG],PRODUCTION[GRADE],"3X50",PRODUCTION[DATE],B102,PRODUCTION[BATCH],C102,PRODUCTION[SHIFT],D102)</f>
        <v>25350</v>
      </c>
      <c r="K102" s="438" t="s">
        <v>1414</v>
      </c>
      <c r="L102" s="439">
        <v>12.54</v>
      </c>
      <c r="M102" s="488">
        <v>0.29</v>
      </c>
      <c r="N102" s="489">
        <v>0.578</v>
      </c>
      <c r="O102" s="489">
        <v>0.598</v>
      </c>
      <c r="P102" s="490">
        <v>1.49</v>
      </c>
      <c r="Q102" s="439">
        <v>3.7</v>
      </c>
      <c r="R102" s="488">
        <v>39.8</v>
      </c>
      <c r="S102" s="488">
        <v>23.7</v>
      </c>
      <c r="T102" s="488">
        <v>14.4</v>
      </c>
      <c r="U102" s="488">
        <v>10.1</v>
      </c>
      <c r="V102" s="488">
        <v>6.0</v>
      </c>
      <c r="W102" s="488">
        <v>0.7</v>
      </c>
      <c r="X102" s="488">
        <v>1.6</v>
      </c>
      <c r="Y102" s="444">
        <f t="shared" si="17"/>
        <v>96.3</v>
      </c>
      <c r="Z102" s="445"/>
      <c r="AA102" s="446">
        <f t="shared" ref="AA102:AE102" si="59">$J102*E102</f>
        <v>315290.625</v>
      </c>
      <c r="AB102" s="447">
        <f t="shared" si="59"/>
        <v>7414.875</v>
      </c>
      <c r="AC102" s="447">
        <f t="shared" si="59"/>
        <v>14576.25</v>
      </c>
      <c r="AD102" s="447">
        <f t="shared" si="59"/>
        <v>15083.25</v>
      </c>
      <c r="AE102" s="448">
        <f t="shared" si="59"/>
        <v>43792.125</v>
      </c>
      <c r="AF102" s="449"/>
      <c r="AG102" s="449"/>
      <c r="AH102" s="449"/>
    </row>
    <row r="103" ht="11.25" customHeight="1">
      <c r="A103" s="450"/>
      <c r="B103" s="451"/>
      <c r="C103" s="452"/>
      <c r="D103" s="452"/>
      <c r="E103" s="453"/>
      <c r="F103" s="453"/>
      <c r="G103" s="454"/>
      <c r="H103" s="454"/>
      <c r="I103" s="455"/>
      <c r="J103" s="456"/>
      <c r="K103" s="457" t="s">
        <v>1416</v>
      </c>
      <c r="L103" s="458">
        <v>12.34</v>
      </c>
      <c r="M103" s="459">
        <v>0.26</v>
      </c>
      <c r="N103" s="460">
        <v>0.572</v>
      </c>
      <c r="O103" s="460">
        <v>0.592</v>
      </c>
      <c r="P103" s="461">
        <v>1.58</v>
      </c>
      <c r="Q103" s="458">
        <v>2.7</v>
      </c>
      <c r="R103" s="459">
        <v>43.8</v>
      </c>
      <c r="S103" s="459">
        <v>24.9</v>
      </c>
      <c r="T103" s="459">
        <v>13.8</v>
      </c>
      <c r="U103" s="459">
        <v>8.0</v>
      </c>
      <c r="V103" s="459">
        <v>4.8</v>
      </c>
      <c r="W103" s="459">
        <v>0.4</v>
      </c>
      <c r="X103" s="459">
        <v>1.6</v>
      </c>
      <c r="Y103" s="462">
        <f t="shared" si="17"/>
        <v>97.3</v>
      </c>
      <c r="Z103" s="463"/>
      <c r="AA103" s="464"/>
      <c r="AB103" s="465"/>
      <c r="AC103" s="465"/>
      <c r="AD103" s="465"/>
      <c r="AE103" s="466"/>
      <c r="AF103" s="449"/>
      <c r="AG103" s="449"/>
      <c r="AH103" s="449"/>
    </row>
    <row r="104" ht="11.25" customHeight="1">
      <c r="A104" s="450"/>
      <c r="B104" s="451"/>
      <c r="C104" s="452"/>
      <c r="D104" s="452"/>
      <c r="E104" s="453"/>
      <c r="F104" s="453"/>
      <c r="G104" s="454"/>
      <c r="H104" s="454"/>
      <c r="I104" s="455"/>
      <c r="J104" s="456"/>
      <c r="K104" s="467" t="s">
        <v>1417</v>
      </c>
      <c r="L104" s="468">
        <v>12.4</v>
      </c>
      <c r="M104" s="469">
        <v>0.32</v>
      </c>
      <c r="N104" s="470">
        <v>0.574</v>
      </c>
      <c r="O104" s="470">
        <v>0.594</v>
      </c>
      <c r="P104" s="471">
        <v>1.65</v>
      </c>
      <c r="Q104" s="468">
        <v>0.8</v>
      </c>
      <c r="R104" s="469">
        <v>37.2</v>
      </c>
      <c r="S104" s="469">
        <v>26.4</v>
      </c>
      <c r="T104" s="469">
        <v>15.2</v>
      </c>
      <c r="U104" s="469">
        <v>10.2</v>
      </c>
      <c r="V104" s="469">
        <v>7.1</v>
      </c>
      <c r="W104" s="469">
        <v>0.8</v>
      </c>
      <c r="X104" s="469">
        <v>2.3</v>
      </c>
      <c r="Y104" s="462">
        <f t="shared" si="17"/>
        <v>99.2</v>
      </c>
      <c r="Z104" s="463"/>
      <c r="AA104" s="464"/>
      <c r="AB104" s="465"/>
      <c r="AC104" s="465"/>
      <c r="AD104" s="465"/>
      <c r="AE104" s="466"/>
      <c r="AF104" s="449"/>
      <c r="AG104" s="449"/>
      <c r="AH104" s="449"/>
    </row>
    <row r="105" ht="11.25" customHeight="1">
      <c r="A105" s="450"/>
      <c r="B105" s="472"/>
      <c r="C105" s="473"/>
      <c r="D105" s="473"/>
      <c r="E105" s="474"/>
      <c r="F105" s="474"/>
      <c r="G105" s="475"/>
      <c r="H105" s="475"/>
      <c r="I105" s="476"/>
      <c r="J105" s="477"/>
      <c r="K105" s="478" t="s">
        <v>1418</v>
      </c>
      <c r="L105" s="479">
        <v>12.47</v>
      </c>
      <c r="M105" s="480">
        <v>0.3</v>
      </c>
      <c r="N105" s="481">
        <v>0.576</v>
      </c>
      <c r="O105" s="481">
        <v>0.596</v>
      </c>
      <c r="P105" s="482">
        <v>2.19</v>
      </c>
      <c r="Q105" s="479">
        <v>1.8</v>
      </c>
      <c r="R105" s="480">
        <v>41.4</v>
      </c>
      <c r="S105" s="480">
        <v>26.1</v>
      </c>
      <c r="T105" s="480">
        <v>14.9</v>
      </c>
      <c r="U105" s="480">
        <v>8.5</v>
      </c>
      <c r="V105" s="480">
        <v>5.3</v>
      </c>
      <c r="W105" s="480">
        <v>0.4</v>
      </c>
      <c r="X105" s="480">
        <v>1.6</v>
      </c>
      <c r="Y105" s="483">
        <f t="shared" si="17"/>
        <v>98.2</v>
      </c>
      <c r="Z105" s="484"/>
      <c r="AA105" s="485"/>
      <c r="AB105" s="486"/>
      <c r="AC105" s="486"/>
      <c r="AD105" s="486"/>
      <c r="AE105" s="487"/>
      <c r="AF105" s="449"/>
      <c r="AG105" s="449"/>
      <c r="AH105" s="449"/>
    </row>
    <row r="106" ht="11.25" customHeight="1">
      <c r="A106" s="431">
        <f>IF(B106="","", YEAR(B106))</f>
        <v>2026</v>
      </c>
      <c r="B106" s="432">
        <v>46050.0</v>
      </c>
      <c r="C106" s="433" t="s">
        <v>1147</v>
      </c>
      <c r="D106" s="433" t="s">
        <v>1413</v>
      </c>
      <c r="E106" s="434">
        <f t="shared" ref="E106:I106" si="60">IFERROR(AVERAGE(L106:L109),"")</f>
        <v>12.72</v>
      </c>
      <c r="F106" s="434">
        <f t="shared" si="60"/>
        <v>0.2775</v>
      </c>
      <c r="G106" s="435">
        <f t="shared" si="60"/>
        <v>0.576</v>
      </c>
      <c r="H106" s="435">
        <f t="shared" si="60"/>
        <v>0.596</v>
      </c>
      <c r="I106" s="436">
        <f t="shared" si="60"/>
        <v>1.97</v>
      </c>
      <c r="J106" s="437">
        <f>SUMIFS(PRODUCTION[KG],PRODUCTION[GRADE],"3X50",PRODUCTION[DATE],B106,PRODUCTION[BATCH],C106,PRODUCTION[SHIFT],D106)</f>
        <v>27690</v>
      </c>
      <c r="K106" s="438" t="s">
        <v>1414</v>
      </c>
      <c r="L106" s="439">
        <v>12.34</v>
      </c>
      <c r="M106" s="488">
        <v>0.27</v>
      </c>
      <c r="N106" s="489">
        <v>0.571</v>
      </c>
      <c r="O106" s="489">
        <v>0.591</v>
      </c>
      <c r="P106" s="490">
        <v>1.78</v>
      </c>
      <c r="Q106" s="439">
        <v>1.5</v>
      </c>
      <c r="R106" s="488">
        <v>41.7</v>
      </c>
      <c r="S106" s="488">
        <v>24.4</v>
      </c>
      <c r="T106" s="488">
        <v>14.0</v>
      </c>
      <c r="U106" s="488">
        <v>9.0</v>
      </c>
      <c r="V106" s="488">
        <v>6.6</v>
      </c>
      <c r="W106" s="488">
        <v>0.8</v>
      </c>
      <c r="X106" s="488">
        <v>2.0</v>
      </c>
      <c r="Y106" s="444">
        <f t="shared" si="17"/>
        <v>98.5</v>
      </c>
      <c r="Z106" s="445"/>
      <c r="AA106" s="446">
        <f t="shared" ref="AA106:AE106" si="61">$J106*E106</f>
        <v>352216.8</v>
      </c>
      <c r="AB106" s="447">
        <f t="shared" si="61"/>
        <v>7683.975</v>
      </c>
      <c r="AC106" s="447">
        <f t="shared" si="61"/>
        <v>15949.44</v>
      </c>
      <c r="AD106" s="447">
        <f t="shared" si="61"/>
        <v>16503.24</v>
      </c>
      <c r="AE106" s="448">
        <f t="shared" si="61"/>
        <v>54549.3</v>
      </c>
      <c r="AF106" s="449"/>
      <c r="AG106" s="449"/>
      <c r="AH106" s="449"/>
    </row>
    <row r="107" ht="11.25" customHeight="1">
      <c r="A107" s="450"/>
      <c r="B107" s="451"/>
      <c r="C107" s="452"/>
      <c r="D107" s="452"/>
      <c r="E107" s="453"/>
      <c r="F107" s="453"/>
      <c r="G107" s="454"/>
      <c r="H107" s="454"/>
      <c r="I107" s="455"/>
      <c r="J107" s="456"/>
      <c r="K107" s="457" t="s">
        <v>1416</v>
      </c>
      <c r="L107" s="458">
        <v>12.87</v>
      </c>
      <c r="M107" s="459">
        <v>0.22</v>
      </c>
      <c r="N107" s="460">
        <v>0.581</v>
      </c>
      <c r="O107" s="460">
        <v>0.601</v>
      </c>
      <c r="P107" s="461">
        <v>1.48</v>
      </c>
      <c r="Q107" s="458">
        <v>0.9</v>
      </c>
      <c r="R107" s="459">
        <v>45.1</v>
      </c>
      <c r="S107" s="459">
        <v>27.1</v>
      </c>
      <c r="T107" s="459">
        <v>12.9</v>
      </c>
      <c r="U107" s="459">
        <v>7.6</v>
      </c>
      <c r="V107" s="459">
        <v>4.3</v>
      </c>
      <c r="W107" s="459">
        <v>0.4</v>
      </c>
      <c r="X107" s="459">
        <v>1.7</v>
      </c>
      <c r="Y107" s="462">
        <f t="shared" si="17"/>
        <v>99.1</v>
      </c>
      <c r="Z107" s="463"/>
      <c r="AA107" s="464"/>
      <c r="AB107" s="465"/>
      <c r="AC107" s="465"/>
      <c r="AD107" s="465"/>
      <c r="AE107" s="466"/>
      <c r="AF107" s="449"/>
      <c r="AG107" s="449"/>
      <c r="AH107" s="449"/>
    </row>
    <row r="108" ht="11.25" customHeight="1">
      <c r="A108" s="450"/>
      <c r="B108" s="451"/>
      <c r="C108" s="452"/>
      <c r="D108" s="452"/>
      <c r="E108" s="453"/>
      <c r="F108" s="453"/>
      <c r="G108" s="454"/>
      <c r="H108" s="454"/>
      <c r="I108" s="455"/>
      <c r="J108" s="456"/>
      <c r="K108" s="467" t="s">
        <v>1417</v>
      </c>
      <c r="L108" s="468">
        <v>12.8</v>
      </c>
      <c r="M108" s="469">
        <v>0.33</v>
      </c>
      <c r="N108" s="470">
        <v>0.575</v>
      </c>
      <c r="O108" s="470">
        <v>0.595</v>
      </c>
      <c r="P108" s="471">
        <v>2.24</v>
      </c>
      <c r="Q108" s="468">
        <v>1.8</v>
      </c>
      <c r="R108" s="469">
        <v>46.0</v>
      </c>
      <c r="S108" s="469">
        <v>24.6</v>
      </c>
      <c r="T108" s="469">
        <v>12.8</v>
      </c>
      <c r="U108" s="469">
        <v>7.8</v>
      </c>
      <c r="V108" s="469">
        <v>4.7</v>
      </c>
      <c r="W108" s="469">
        <v>0.4</v>
      </c>
      <c r="X108" s="469">
        <v>1.9</v>
      </c>
      <c r="Y108" s="462">
        <f t="shared" si="17"/>
        <v>98.2</v>
      </c>
      <c r="Z108" s="463"/>
      <c r="AA108" s="464"/>
      <c r="AB108" s="465"/>
      <c r="AC108" s="465"/>
      <c r="AD108" s="465"/>
      <c r="AE108" s="466"/>
      <c r="AF108" s="449"/>
      <c r="AG108" s="449"/>
      <c r="AH108" s="449"/>
    </row>
    <row r="109" ht="11.25" customHeight="1">
      <c r="A109" s="450"/>
      <c r="B109" s="472"/>
      <c r="C109" s="473"/>
      <c r="D109" s="473"/>
      <c r="E109" s="474"/>
      <c r="F109" s="474"/>
      <c r="G109" s="475"/>
      <c r="H109" s="475"/>
      <c r="I109" s="476"/>
      <c r="J109" s="477"/>
      <c r="K109" s="478" t="s">
        <v>1418</v>
      </c>
      <c r="L109" s="479">
        <v>12.87</v>
      </c>
      <c r="M109" s="480">
        <v>0.29</v>
      </c>
      <c r="N109" s="481">
        <v>0.577</v>
      </c>
      <c r="O109" s="481">
        <v>0.597</v>
      </c>
      <c r="P109" s="482">
        <v>2.38</v>
      </c>
      <c r="Q109" s="479">
        <v>1.3</v>
      </c>
      <c r="R109" s="480">
        <v>40.3</v>
      </c>
      <c r="S109" s="480">
        <v>27.6</v>
      </c>
      <c r="T109" s="480">
        <v>15.2</v>
      </c>
      <c r="U109" s="480">
        <v>9.0</v>
      </c>
      <c r="V109" s="480">
        <v>4.7</v>
      </c>
      <c r="W109" s="480">
        <v>0.4</v>
      </c>
      <c r="X109" s="480">
        <v>1.5</v>
      </c>
      <c r="Y109" s="483">
        <f t="shared" si="17"/>
        <v>98.7</v>
      </c>
      <c r="Z109" s="484"/>
      <c r="AA109" s="485"/>
      <c r="AB109" s="486"/>
      <c r="AC109" s="486"/>
      <c r="AD109" s="486"/>
      <c r="AE109" s="487"/>
      <c r="AF109" s="449"/>
      <c r="AG109" s="449"/>
      <c r="AH109" s="449"/>
    </row>
    <row r="110" ht="11.25" customHeight="1">
      <c r="A110" s="431">
        <f>IF(B110="","", YEAR(B110))</f>
        <v>2026</v>
      </c>
      <c r="B110" s="432">
        <v>46051.0</v>
      </c>
      <c r="C110" s="433" t="s">
        <v>1147</v>
      </c>
      <c r="D110" s="433" t="s">
        <v>1413</v>
      </c>
      <c r="E110" s="434">
        <f t="shared" ref="E110:I110" si="62">IFERROR(AVERAGE(L110:L113),"")</f>
        <v>12.0875</v>
      </c>
      <c r="F110" s="434">
        <f t="shared" si="62"/>
        <v>0.2875</v>
      </c>
      <c r="G110" s="435">
        <f t="shared" si="62"/>
        <v>0.577</v>
      </c>
      <c r="H110" s="435">
        <f t="shared" si="62"/>
        <v>0.597</v>
      </c>
      <c r="I110" s="436">
        <f t="shared" si="62"/>
        <v>1.815</v>
      </c>
      <c r="J110" s="437">
        <f>SUMIFS(PRODUCTION[KG],PRODUCTION[GRADE],"3X50",PRODUCTION[DATE],B110,PRODUCTION[BATCH],C110,PRODUCTION[SHIFT],D110)</f>
        <v>27560</v>
      </c>
      <c r="K110" s="438" t="s">
        <v>1414</v>
      </c>
      <c r="L110" s="439">
        <v>12.67</v>
      </c>
      <c r="M110" s="488">
        <v>0.31</v>
      </c>
      <c r="N110" s="489">
        <v>0.579</v>
      </c>
      <c r="O110" s="489">
        <v>0.599</v>
      </c>
      <c r="P110" s="490">
        <v>1.76</v>
      </c>
      <c r="Q110" s="439">
        <v>1.1</v>
      </c>
      <c r="R110" s="488">
        <v>40.0</v>
      </c>
      <c r="S110" s="488">
        <v>25.3</v>
      </c>
      <c r="T110" s="488">
        <v>15.2</v>
      </c>
      <c r="U110" s="488">
        <v>9.0</v>
      </c>
      <c r="V110" s="488">
        <v>6.3</v>
      </c>
      <c r="W110" s="488">
        <v>0.8</v>
      </c>
      <c r="X110" s="488">
        <v>2.3</v>
      </c>
      <c r="Y110" s="444">
        <f t="shared" si="17"/>
        <v>98.9</v>
      </c>
      <c r="Z110" s="445"/>
      <c r="AA110" s="446">
        <f t="shared" ref="AA110:AE110" si="63">$J110*E110</f>
        <v>333131.5</v>
      </c>
      <c r="AB110" s="447">
        <f t="shared" si="63"/>
        <v>7923.5</v>
      </c>
      <c r="AC110" s="447">
        <f t="shared" si="63"/>
        <v>15902.12</v>
      </c>
      <c r="AD110" s="447">
        <f t="shared" si="63"/>
        <v>16453.32</v>
      </c>
      <c r="AE110" s="448">
        <f t="shared" si="63"/>
        <v>50021.4</v>
      </c>
      <c r="AF110" s="449"/>
      <c r="AG110" s="449"/>
      <c r="AH110" s="449"/>
    </row>
    <row r="111" ht="11.25" customHeight="1">
      <c r="A111" s="450"/>
      <c r="B111" s="451"/>
      <c r="C111" s="452"/>
      <c r="D111" s="452"/>
      <c r="E111" s="453"/>
      <c r="F111" s="453"/>
      <c r="G111" s="454"/>
      <c r="H111" s="454"/>
      <c r="I111" s="455"/>
      <c r="J111" s="456"/>
      <c r="K111" s="457" t="s">
        <v>1416</v>
      </c>
      <c r="L111" s="458">
        <v>11.94</v>
      </c>
      <c r="M111" s="459">
        <v>0.28</v>
      </c>
      <c r="N111" s="460">
        <v>0.576</v>
      </c>
      <c r="O111" s="460">
        <v>0.596</v>
      </c>
      <c r="P111" s="461">
        <v>1.84</v>
      </c>
      <c r="Q111" s="458">
        <v>2.0</v>
      </c>
      <c r="R111" s="459">
        <v>40.7</v>
      </c>
      <c r="S111" s="459">
        <v>22.9</v>
      </c>
      <c r="T111" s="459">
        <v>13.7</v>
      </c>
      <c r="U111" s="459">
        <v>10.2</v>
      </c>
      <c r="V111" s="459">
        <v>7.6</v>
      </c>
      <c r="W111" s="459">
        <v>0.7</v>
      </c>
      <c r="X111" s="459">
        <v>2.2</v>
      </c>
      <c r="Y111" s="462">
        <f t="shared" si="17"/>
        <v>98</v>
      </c>
      <c r="Z111" s="463"/>
      <c r="AA111" s="464"/>
      <c r="AB111" s="465"/>
      <c r="AC111" s="465"/>
      <c r="AD111" s="465"/>
      <c r="AE111" s="466"/>
      <c r="AF111" s="449"/>
      <c r="AG111" s="449"/>
      <c r="AH111" s="449"/>
    </row>
    <row r="112" ht="11.25" customHeight="1">
      <c r="A112" s="450"/>
      <c r="B112" s="451"/>
      <c r="C112" s="452"/>
      <c r="D112" s="452"/>
      <c r="E112" s="453"/>
      <c r="F112" s="453"/>
      <c r="G112" s="454"/>
      <c r="H112" s="454"/>
      <c r="I112" s="455"/>
      <c r="J112" s="456"/>
      <c r="K112" s="467" t="s">
        <v>1417</v>
      </c>
      <c r="L112" s="468">
        <v>11.67</v>
      </c>
      <c r="M112" s="469">
        <v>0.31</v>
      </c>
      <c r="N112" s="470">
        <v>0.578</v>
      </c>
      <c r="O112" s="470">
        <v>0.598</v>
      </c>
      <c r="P112" s="471">
        <v>2.1</v>
      </c>
      <c r="Q112" s="468">
        <v>0.7</v>
      </c>
      <c r="R112" s="469">
        <v>41.1</v>
      </c>
      <c r="S112" s="469">
        <v>26.9</v>
      </c>
      <c r="T112" s="469">
        <v>14.5</v>
      </c>
      <c r="U112" s="469">
        <v>8.6</v>
      </c>
      <c r="V112" s="469">
        <v>5.4</v>
      </c>
      <c r="W112" s="469">
        <v>0.7</v>
      </c>
      <c r="X112" s="469">
        <v>2.1</v>
      </c>
      <c r="Y112" s="462">
        <f t="shared" si="17"/>
        <v>99.3</v>
      </c>
      <c r="Z112" s="463"/>
      <c r="AA112" s="464"/>
      <c r="AB112" s="465"/>
      <c r="AC112" s="465"/>
      <c r="AD112" s="465"/>
      <c r="AE112" s="466"/>
      <c r="AF112" s="449"/>
      <c r="AG112" s="449"/>
      <c r="AH112" s="449"/>
    </row>
    <row r="113" ht="11.25" customHeight="1">
      <c r="A113" s="450"/>
      <c r="B113" s="472"/>
      <c r="C113" s="473"/>
      <c r="D113" s="473"/>
      <c r="E113" s="474"/>
      <c r="F113" s="474"/>
      <c r="G113" s="475"/>
      <c r="H113" s="475"/>
      <c r="I113" s="476"/>
      <c r="J113" s="477"/>
      <c r="K113" s="478" t="s">
        <v>1418</v>
      </c>
      <c r="L113" s="479">
        <v>12.07</v>
      </c>
      <c r="M113" s="480">
        <v>0.25</v>
      </c>
      <c r="N113" s="481">
        <v>0.575</v>
      </c>
      <c r="O113" s="481">
        <v>0.595</v>
      </c>
      <c r="P113" s="482">
        <v>1.56</v>
      </c>
      <c r="Q113" s="479">
        <v>2.1</v>
      </c>
      <c r="R113" s="480">
        <v>41.0</v>
      </c>
      <c r="S113" s="480">
        <v>25.9</v>
      </c>
      <c r="T113" s="480">
        <v>14.7</v>
      </c>
      <c r="U113" s="480">
        <v>9.0</v>
      </c>
      <c r="V113" s="480">
        <v>5.1</v>
      </c>
      <c r="W113" s="480">
        <v>0.5</v>
      </c>
      <c r="X113" s="480">
        <v>1.7</v>
      </c>
      <c r="Y113" s="483">
        <f t="shared" si="17"/>
        <v>97.9</v>
      </c>
      <c r="Z113" s="484"/>
      <c r="AA113" s="485"/>
      <c r="AB113" s="486"/>
      <c r="AC113" s="486"/>
      <c r="AD113" s="486"/>
      <c r="AE113" s="487"/>
      <c r="AF113" s="449"/>
      <c r="AG113" s="449"/>
      <c r="AH113" s="449"/>
    </row>
    <row r="114" ht="11.25" customHeight="1">
      <c r="A114" s="431">
        <f>IF(B114="","", YEAR(B114))</f>
        <v>2026</v>
      </c>
      <c r="B114" s="432">
        <v>46052.0</v>
      </c>
      <c r="C114" s="433" t="s">
        <v>1147</v>
      </c>
      <c r="D114" s="433" t="s">
        <v>1413</v>
      </c>
      <c r="E114" s="434">
        <f t="shared" ref="E114:I114" si="64">IFERROR(AVERAGE(L114:L117),"")</f>
        <v>11.935</v>
      </c>
      <c r="F114" s="434">
        <f t="shared" si="64"/>
        <v>0.2425</v>
      </c>
      <c r="G114" s="435">
        <f t="shared" si="64"/>
        <v>0.575</v>
      </c>
      <c r="H114" s="435">
        <f t="shared" si="64"/>
        <v>0.595</v>
      </c>
      <c r="I114" s="436">
        <f t="shared" si="64"/>
        <v>1.66</v>
      </c>
      <c r="J114" s="437">
        <f>SUMIFS(PRODUCTION[KG],PRODUCTION[GRADE],"3X50",PRODUCTION[DATE],B114,PRODUCTION[BATCH],C114,PRODUCTION[SHIFT],D114)</f>
        <v>25532</v>
      </c>
      <c r="K114" s="438" t="s">
        <v>1414</v>
      </c>
      <c r="L114" s="439">
        <v>12.54</v>
      </c>
      <c r="M114" s="488">
        <v>0.26</v>
      </c>
      <c r="N114" s="489">
        <v>0.573</v>
      </c>
      <c r="O114" s="489">
        <v>0.593</v>
      </c>
      <c r="P114" s="490">
        <v>1.79</v>
      </c>
      <c r="Q114" s="439">
        <v>1.3</v>
      </c>
      <c r="R114" s="488">
        <v>40.1</v>
      </c>
      <c r="S114" s="488">
        <v>25.5</v>
      </c>
      <c r="T114" s="488">
        <v>15.6</v>
      </c>
      <c r="U114" s="488">
        <v>9.5</v>
      </c>
      <c r="V114" s="488">
        <v>5.7</v>
      </c>
      <c r="W114" s="488">
        <v>0.4</v>
      </c>
      <c r="X114" s="488">
        <v>1.9</v>
      </c>
      <c r="Y114" s="444">
        <f t="shared" si="17"/>
        <v>98.7</v>
      </c>
      <c r="Z114" s="445"/>
      <c r="AA114" s="446">
        <f t="shared" ref="AA114:AE114" si="65">$J114*E114</f>
        <v>304724.42</v>
      </c>
      <c r="AB114" s="447">
        <f t="shared" si="65"/>
        <v>6191.51</v>
      </c>
      <c r="AC114" s="447">
        <f t="shared" si="65"/>
        <v>14680.9</v>
      </c>
      <c r="AD114" s="447">
        <f t="shared" si="65"/>
        <v>15191.54</v>
      </c>
      <c r="AE114" s="448">
        <f t="shared" si="65"/>
        <v>42383.12</v>
      </c>
      <c r="AF114" s="449"/>
      <c r="AG114" s="449"/>
      <c r="AH114" s="449"/>
    </row>
    <row r="115" ht="11.25" customHeight="1">
      <c r="A115" s="450"/>
      <c r="B115" s="451"/>
      <c r="C115" s="452"/>
      <c r="D115" s="452"/>
      <c r="E115" s="453"/>
      <c r="F115" s="453"/>
      <c r="G115" s="454"/>
      <c r="H115" s="454"/>
      <c r="I115" s="455"/>
      <c r="J115" s="456"/>
      <c r="K115" s="457" t="s">
        <v>1416</v>
      </c>
      <c r="L115" s="458">
        <v>11.2</v>
      </c>
      <c r="M115" s="459">
        <v>0.19</v>
      </c>
      <c r="N115" s="460">
        <v>0.575</v>
      </c>
      <c r="O115" s="460">
        <v>0.595</v>
      </c>
      <c r="P115" s="461">
        <v>1.87</v>
      </c>
      <c r="Q115" s="458">
        <v>0.7</v>
      </c>
      <c r="R115" s="459">
        <v>32.5</v>
      </c>
      <c r="S115" s="459">
        <v>25.4</v>
      </c>
      <c r="T115" s="459">
        <v>17.0</v>
      </c>
      <c r="U115" s="459">
        <v>11.7</v>
      </c>
      <c r="V115" s="459">
        <v>8.8</v>
      </c>
      <c r="W115" s="459">
        <v>1.1</v>
      </c>
      <c r="X115" s="459">
        <v>2.8</v>
      </c>
      <c r="Y115" s="462">
        <f t="shared" si="17"/>
        <v>99.3</v>
      </c>
      <c r="Z115" s="463"/>
      <c r="AA115" s="464"/>
      <c r="AB115" s="465"/>
      <c r="AC115" s="465"/>
      <c r="AD115" s="465"/>
      <c r="AE115" s="466"/>
      <c r="AF115" s="449"/>
      <c r="AG115" s="449"/>
      <c r="AH115" s="449"/>
    </row>
    <row r="116" ht="11.25" customHeight="1">
      <c r="A116" s="450"/>
      <c r="B116" s="451"/>
      <c r="C116" s="452"/>
      <c r="D116" s="452"/>
      <c r="E116" s="453"/>
      <c r="F116" s="453"/>
      <c r="G116" s="454"/>
      <c r="H116" s="454"/>
      <c r="I116" s="455"/>
      <c r="J116" s="456"/>
      <c r="K116" s="467" t="s">
        <v>1417</v>
      </c>
      <c r="L116" s="468">
        <v>12.2</v>
      </c>
      <c r="M116" s="469">
        <v>0.29</v>
      </c>
      <c r="N116" s="470">
        <v>0.578</v>
      </c>
      <c r="O116" s="470">
        <v>0.598</v>
      </c>
      <c r="P116" s="471">
        <v>1.91</v>
      </c>
      <c r="Q116" s="468">
        <v>0.9</v>
      </c>
      <c r="R116" s="469">
        <v>37.2</v>
      </c>
      <c r="S116" s="469">
        <v>26.7</v>
      </c>
      <c r="T116" s="469">
        <v>16.8</v>
      </c>
      <c r="U116" s="469">
        <v>10.1</v>
      </c>
      <c r="V116" s="469">
        <v>6.0</v>
      </c>
      <c r="W116" s="469">
        <v>0.7</v>
      </c>
      <c r="X116" s="469">
        <v>1.6</v>
      </c>
      <c r="Y116" s="462">
        <f t="shared" si="17"/>
        <v>99.1</v>
      </c>
      <c r="Z116" s="463"/>
      <c r="AA116" s="464"/>
      <c r="AB116" s="465"/>
      <c r="AC116" s="465"/>
      <c r="AD116" s="465"/>
      <c r="AE116" s="466"/>
      <c r="AF116" s="449"/>
      <c r="AG116" s="449"/>
      <c r="AH116" s="449"/>
    </row>
    <row r="117" ht="11.25" customHeight="1">
      <c r="A117" s="450"/>
      <c r="B117" s="472"/>
      <c r="C117" s="473"/>
      <c r="D117" s="473"/>
      <c r="E117" s="474"/>
      <c r="F117" s="474"/>
      <c r="G117" s="475"/>
      <c r="H117" s="475"/>
      <c r="I117" s="476"/>
      <c r="J117" s="477"/>
      <c r="K117" s="478" t="s">
        <v>1418</v>
      </c>
      <c r="L117" s="479">
        <v>11.8</v>
      </c>
      <c r="M117" s="480">
        <v>0.23</v>
      </c>
      <c r="N117" s="481">
        <v>0.574</v>
      </c>
      <c r="O117" s="481">
        <v>0.594</v>
      </c>
      <c r="P117" s="482">
        <v>1.07</v>
      </c>
      <c r="Q117" s="479">
        <v>1.2</v>
      </c>
      <c r="R117" s="480">
        <v>47.1</v>
      </c>
      <c r="S117" s="480">
        <v>26.3</v>
      </c>
      <c r="T117" s="480">
        <v>12.5</v>
      </c>
      <c r="U117" s="480">
        <v>6.8</v>
      </c>
      <c r="V117" s="480">
        <v>4.2</v>
      </c>
      <c r="W117" s="480">
        <v>0.1</v>
      </c>
      <c r="X117" s="480">
        <v>1.8</v>
      </c>
      <c r="Y117" s="483">
        <f t="shared" si="17"/>
        <v>98.8</v>
      </c>
      <c r="Z117" s="484"/>
      <c r="AA117" s="485"/>
      <c r="AB117" s="486"/>
      <c r="AC117" s="486"/>
      <c r="AD117" s="486"/>
      <c r="AE117" s="487"/>
      <c r="AF117" s="449"/>
      <c r="AG117" s="449"/>
      <c r="AH117" s="449"/>
    </row>
    <row r="118" ht="11.25" customHeight="1">
      <c r="A118" s="431">
        <f>IF(B118="","", YEAR(B118))</f>
        <v>2026</v>
      </c>
      <c r="B118" s="432">
        <v>46053.0</v>
      </c>
      <c r="C118" s="433" t="s">
        <v>1147</v>
      </c>
      <c r="D118" s="433" t="s">
        <v>1413</v>
      </c>
      <c r="E118" s="434">
        <f t="shared" ref="E118:I118" si="66">IFERROR(AVERAGE(L118:L121),"")</f>
        <v>9.94</v>
      </c>
      <c r="F118" s="434">
        <f t="shared" si="66"/>
        <v>0.21</v>
      </c>
      <c r="G118" s="435">
        <f t="shared" si="66"/>
        <v>0.575</v>
      </c>
      <c r="H118" s="435">
        <f t="shared" si="66"/>
        <v>0.595</v>
      </c>
      <c r="I118" s="436">
        <f t="shared" si="66"/>
        <v>2.48</v>
      </c>
      <c r="J118" s="437">
        <f>SUMIFS(PRODUCTION[KG],PRODUCTION[GRADE],"3X50",PRODUCTION[DATE],B118,PRODUCTION[BATCH],C118,PRODUCTION[SHIFT],D118)</f>
        <v>3068</v>
      </c>
      <c r="K118" s="438" t="s">
        <v>1414</v>
      </c>
      <c r="L118" s="439">
        <v>9.94</v>
      </c>
      <c r="M118" s="488">
        <v>0.21</v>
      </c>
      <c r="N118" s="489">
        <v>0.575</v>
      </c>
      <c r="O118" s="489">
        <v>0.595</v>
      </c>
      <c r="P118" s="490">
        <v>2.48</v>
      </c>
      <c r="Q118" s="439">
        <v>0.9</v>
      </c>
      <c r="R118" s="488">
        <v>32.8</v>
      </c>
      <c r="S118" s="488">
        <v>27.1</v>
      </c>
      <c r="T118" s="488">
        <v>19.1</v>
      </c>
      <c r="U118" s="488">
        <v>11.7</v>
      </c>
      <c r="V118" s="488">
        <v>5.6</v>
      </c>
      <c r="W118" s="488">
        <v>0.5</v>
      </c>
      <c r="X118" s="488">
        <v>2.3</v>
      </c>
      <c r="Y118" s="444">
        <f t="shared" si="17"/>
        <v>99.1</v>
      </c>
      <c r="Z118" s="445"/>
      <c r="AA118" s="446">
        <f t="shared" ref="AA118:AE118" si="67">$J118*E118</f>
        <v>30495.92</v>
      </c>
      <c r="AB118" s="447">
        <f t="shared" si="67"/>
        <v>644.28</v>
      </c>
      <c r="AC118" s="447">
        <f t="shared" si="67"/>
        <v>1764.1</v>
      </c>
      <c r="AD118" s="447">
        <f t="shared" si="67"/>
        <v>1825.46</v>
      </c>
      <c r="AE118" s="448">
        <f t="shared" si="67"/>
        <v>7608.64</v>
      </c>
      <c r="AF118" s="449"/>
      <c r="AG118" s="449"/>
      <c r="AH118" s="449"/>
    </row>
    <row r="119" ht="11.25" customHeight="1">
      <c r="A119" s="450"/>
      <c r="B119" s="451"/>
      <c r="C119" s="452"/>
      <c r="D119" s="452"/>
      <c r="E119" s="453"/>
      <c r="F119" s="453"/>
      <c r="G119" s="454"/>
      <c r="H119" s="454"/>
      <c r="I119" s="455"/>
      <c r="J119" s="456"/>
      <c r="K119" s="457" t="s">
        <v>1416</v>
      </c>
      <c r="L119" s="458"/>
      <c r="M119" s="459"/>
      <c r="N119" s="460"/>
      <c r="O119" s="460"/>
      <c r="P119" s="461"/>
      <c r="Q119" s="458"/>
      <c r="R119" s="459"/>
      <c r="S119" s="459"/>
      <c r="T119" s="459"/>
      <c r="U119" s="459"/>
      <c r="V119" s="459"/>
      <c r="W119" s="459"/>
      <c r="X119" s="459"/>
      <c r="Y119" s="462">
        <f t="shared" si="17"/>
        <v>0</v>
      </c>
      <c r="Z119" s="463"/>
      <c r="AA119" s="464"/>
      <c r="AB119" s="465"/>
      <c r="AC119" s="465"/>
      <c r="AD119" s="465"/>
      <c r="AE119" s="466"/>
      <c r="AF119" s="449"/>
      <c r="AG119" s="449"/>
      <c r="AH119" s="449"/>
    </row>
    <row r="120" ht="11.25" customHeight="1">
      <c r="A120" s="450"/>
      <c r="B120" s="451"/>
      <c r="C120" s="452"/>
      <c r="D120" s="452"/>
      <c r="E120" s="453"/>
      <c r="F120" s="453"/>
      <c r="G120" s="454"/>
      <c r="H120" s="454"/>
      <c r="I120" s="455"/>
      <c r="J120" s="456"/>
      <c r="K120" s="467" t="s">
        <v>1417</v>
      </c>
      <c r="L120" s="468"/>
      <c r="M120" s="469"/>
      <c r="N120" s="470"/>
      <c r="O120" s="470"/>
      <c r="P120" s="471"/>
      <c r="Q120" s="468"/>
      <c r="R120" s="469"/>
      <c r="S120" s="469"/>
      <c r="T120" s="469"/>
      <c r="U120" s="469"/>
      <c r="V120" s="469"/>
      <c r="W120" s="469"/>
      <c r="X120" s="469"/>
      <c r="Y120" s="462">
        <f t="shared" si="17"/>
        <v>0</v>
      </c>
      <c r="Z120" s="463"/>
      <c r="AA120" s="464"/>
      <c r="AB120" s="465"/>
      <c r="AC120" s="465"/>
      <c r="AD120" s="465"/>
      <c r="AE120" s="466"/>
      <c r="AF120" s="449"/>
      <c r="AG120" s="449"/>
      <c r="AH120" s="449"/>
    </row>
    <row r="121" ht="11.25" customHeight="1">
      <c r="A121" s="450"/>
      <c r="B121" s="472"/>
      <c r="C121" s="473"/>
      <c r="D121" s="473"/>
      <c r="E121" s="474"/>
      <c r="F121" s="474"/>
      <c r="G121" s="475"/>
      <c r="H121" s="475"/>
      <c r="I121" s="476"/>
      <c r="J121" s="477"/>
      <c r="K121" s="478" t="s">
        <v>1418</v>
      </c>
      <c r="L121" s="479"/>
      <c r="M121" s="480"/>
      <c r="N121" s="481"/>
      <c r="O121" s="481"/>
      <c r="P121" s="482"/>
      <c r="Q121" s="479"/>
      <c r="R121" s="480"/>
      <c r="S121" s="480"/>
      <c r="T121" s="480"/>
      <c r="U121" s="480"/>
      <c r="V121" s="480"/>
      <c r="W121" s="480"/>
      <c r="X121" s="480"/>
      <c r="Y121" s="483">
        <f t="shared" si="17"/>
        <v>0</v>
      </c>
      <c r="Z121" s="484"/>
      <c r="AA121" s="485"/>
      <c r="AB121" s="486"/>
      <c r="AC121" s="486"/>
      <c r="AD121" s="486"/>
      <c r="AE121" s="487"/>
      <c r="AF121" s="449"/>
      <c r="AG121" s="449"/>
      <c r="AH121" s="449"/>
    </row>
    <row r="122" ht="11.25" customHeight="1">
      <c r="A122" s="431">
        <f>IF(B122="","", YEAR(B122))</f>
        <v>2026</v>
      </c>
      <c r="B122" s="432">
        <v>46055.0</v>
      </c>
      <c r="C122" s="433" t="s">
        <v>1147</v>
      </c>
      <c r="D122" s="433" t="s">
        <v>1413</v>
      </c>
      <c r="E122" s="434">
        <f t="shared" ref="E122:I122" si="68">IFERROR(AVERAGE(L122:L125),"")</f>
        <v>10.13666667</v>
      </c>
      <c r="F122" s="434">
        <f t="shared" si="68"/>
        <v>0.2033333333</v>
      </c>
      <c r="G122" s="435">
        <f t="shared" si="68"/>
        <v>0.577</v>
      </c>
      <c r="H122" s="435">
        <f t="shared" si="68"/>
        <v>0.597</v>
      </c>
      <c r="I122" s="436">
        <f t="shared" si="68"/>
        <v>2.256666667</v>
      </c>
      <c r="J122" s="437">
        <f>SUMIFS(PRODUCTION[KG],PRODUCTION[GRADE],"3X50",PRODUCTION[DATE],B122,PRODUCTION[BATCH],C122,PRODUCTION[SHIFT],D122)</f>
        <v>12792</v>
      </c>
      <c r="K122" s="438" t="s">
        <v>1414</v>
      </c>
      <c r="L122" s="439">
        <v>9.94</v>
      </c>
      <c r="M122" s="488">
        <v>0.21</v>
      </c>
      <c r="N122" s="489">
        <v>0.575</v>
      </c>
      <c r="O122" s="489">
        <v>0.595</v>
      </c>
      <c r="P122" s="490">
        <v>2.48</v>
      </c>
      <c r="Q122" s="439">
        <v>0.9</v>
      </c>
      <c r="R122" s="488">
        <v>32.8</v>
      </c>
      <c r="S122" s="488">
        <v>27.1</v>
      </c>
      <c r="T122" s="488">
        <v>19.1</v>
      </c>
      <c r="U122" s="488">
        <v>11.7</v>
      </c>
      <c r="V122" s="488">
        <v>5.6</v>
      </c>
      <c r="W122" s="488">
        <v>0.5</v>
      </c>
      <c r="X122" s="488">
        <v>2.3</v>
      </c>
      <c r="Y122" s="444">
        <f t="shared" si="17"/>
        <v>99.1</v>
      </c>
      <c r="Z122" s="445"/>
      <c r="AA122" s="446">
        <f t="shared" ref="AA122:AE122" si="69">$J122*E122</f>
        <v>129668.24</v>
      </c>
      <c r="AB122" s="447">
        <f t="shared" si="69"/>
        <v>2601.04</v>
      </c>
      <c r="AC122" s="447">
        <f t="shared" si="69"/>
        <v>7380.984</v>
      </c>
      <c r="AD122" s="447">
        <f t="shared" si="69"/>
        <v>7636.824</v>
      </c>
      <c r="AE122" s="448">
        <f t="shared" si="69"/>
        <v>28867.28</v>
      </c>
      <c r="AF122" s="449"/>
      <c r="AG122" s="449"/>
      <c r="AH122" s="449"/>
    </row>
    <row r="123" ht="11.25" customHeight="1">
      <c r="A123" s="450"/>
      <c r="B123" s="451"/>
      <c r="C123" s="452"/>
      <c r="D123" s="452"/>
      <c r="E123" s="453"/>
      <c r="F123" s="453"/>
      <c r="G123" s="454"/>
      <c r="H123" s="454"/>
      <c r="I123" s="455"/>
      <c r="J123" s="456"/>
      <c r="K123" s="457" t="s">
        <v>1416</v>
      </c>
      <c r="L123" s="458">
        <v>10.8</v>
      </c>
      <c r="M123" s="459">
        <v>0.18</v>
      </c>
      <c r="N123" s="460">
        <v>0.579</v>
      </c>
      <c r="O123" s="460">
        <v>0.599</v>
      </c>
      <c r="P123" s="461">
        <v>2.12</v>
      </c>
      <c r="Q123" s="458">
        <v>1.1</v>
      </c>
      <c r="R123" s="459">
        <v>40.1</v>
      </c>
      <c r="S123" s="459">
        <v>28.3</v>
      </c>
      <c r="T123" s="459">
        <v>15.1</v>
      </c>
      <c r="U123" s="459">
        <v>8.3</v>
      </c>
      <c r="V123" s="459">
        <v>4.9</v>
      </c>
      <c r="W123" s="459">
        <v>0.4</v>
      </c>
      <c r="X123" s="459">
        <v>1.8</v>
      </c>
      <c r="Y123" s="462">
        <f t="shared" si="17"/>
        <v>98.9</v>
      </c>
      <c r="Z123" s="463"/>
      <c r="AA123" s="464"/>
      <c r="AB123" s="465"/>
      <c r="AC123" s="465"/>
      <c r="AD123" s="465"/>
      <c r="AE123" s="466"/>
      <c r="AF123" s="449"/>
      <c r="AG123" s="449"/>
      <c r="AH123" s="449"/>
    </row>
    <row r="124" ht="11.25" customHeight="1">
      <c r="A124" s="450"/>
      <c r="B124" s="451"/>
      <c r="C124" s="452"/>
      <c r="D124" s="452"/>
      <c r="E124" s="453"/>
      <c r="F124" s="453"/>
      <c r="G124" s="454"/>
      <c r="H124" s="454"/>
      <c r="I124" s="455"/>
      <c r="J124" s="456"/>
      <c r="K124" s="467" t="s">
        <v>1417</v>
      </c>
      <c r="L124" s="468" t="s">
        <v>1419</v>
      </c>
      <c r="M124" s="469"/>
      <c r="N124" s="470"/>
      <c r="O124" s="470"/>
      <c r="P124" s="471"/>
      <c r="Q124" s="468"/>
      <c r="R124" s="469"/>
      <c r="S124" s="469"/>
      <c r="T124" s="469"/>
      <c r="U124" s="469"/>
      <c r="V124" s="469"/>
      <c r="W124" s="469"/>
      <c r="X124" s="469"/>
      <c r="Y124" s="462">
        <f t="shared" si="17"/>
        <v>0</v>
      </c>
      <c r="Z124" s="463"/>
      <c r="AA124" s="464"/>
      <c r="AB124" s="465"/>
      <c r="AC124" s="465"/>
      <c r="AD124" s="465"/>
      <c r="AE124" s="466"/>
      <c r="AF124" s="449"/>
      <c r="AG124" s="449"/>
      <c r="AH124" s="449"/>
    </row>
    <row r="125" ht="11.25" customHeight="1">
      <c r="A125" s="450"/>
      <c r="B125" s="472"/>
      <c r="C125" s="473"/>
      <c r="D125" s="473"/>
      <c r="E125" s="474"/>
      <c r="F125" s="474"/>
      <c r="G125" s="475"/>
      <c r="H125" s="475"/>
      <c r="I125" s="476"/>
      <c r="J125" s="477"/>
      <c r="K125" s="478" t="s">
        <v>1418</v>
      </c>
      <c r="L125" s="479">
        <v>9.67</v>
      </c>
      <c r="M125" s="480">
        <v>0.22</v>
      </c>
      <c r="N125" s="481">
        <v>0.577</v>
      </c>
      <c r="O125" s="481">
        <v>0.597</v>
      </c>
      <c r="P125" s="482">
        <v>2.17</v>
      </c>
      <c r="Q125" s="479">
        <v>0.9</v>
      </c>
      <c r="R125" s="480">
        <v>20.8</v>
      </c>
      <c r="S125" s="480">
        <v>23.4</v>
      </c>
      <c r="T125" s="480">
        <v>24.9</v>
      </c>
      <c r="U125" s="480">
        <v>15.4</v>
      </c>
      <c r="V125" s="480">
        <v>10.1</v>
      </c>
      <c r="W125" s="480">
        <v>1.4</v>
      </c>
      <c r="X125" s="480">
        <v>3.1</v>
      </c>
      <c r="Y125" s="483">
        <f t="shared" si="17"/>
        <v>99.1</v>
      </c>
      <c r="Z125" s="484"/>
      <c r="AA125" s="485"/>
      <c r="AB125" s="486"/>
      <c r="AC125" s="486"/>
      <c r="AD125" s="486"/>
      <c r="AE125" s="487"/>
      <c r="AF125" s="449"/>
      <c r="AG125" s="449"/>
      <c r="AH125" s="449"/>
    </row>
    <row r="126" ht="11.25" customHeight="1">
      <c r="A126" s="431">
        <f>IF(B126="","", YEAR(B126))</f>
        <v>2026</v>
      </c>
      <c r="B126" s="432">
        <v>46056.0</v>
      </c>
      <c r="C126" s="433" t="s">
        <v>1162</v>
      </c>
      <c r="D126" s="433" t="s">
        <v>1413</v>
      </c>
      <c r="E126" s="434">
        <f t="shared" ref="E126:I126" si="70">IFERROR(AVERAGE(L126:L129),"")</f>
        <v>9.62</v>
      </c>
      <c r="F126" s="434">
        <f t="shared" si="70"/>
        <v>0.27</v>
      </c>
      <c r="G126" s="435">
        <f t="shared" si="70"/>
        <v>0.573</v>
      </c>
      <c r="H126" s="435">
        <f t="shared" si="70"/>
        <v>0.593</v>
      </c>
      <c r="I126" s="436">
        <f t="shared" si="70"/>
        <v>1.91</v>
      </c>
      <c r="J126" s="437">
        <f>SUMIFS(PRODUCTION[KG],PRODUCTION[GRADE],"3X50",PRODUCTION[DATE],B126,PRODUCTION[BATCH],C126,PRODUCTION[SHIFT],D126)</f>
        <v>9360</v>
      </c>
      <c r="K126" s="438" t="s">
        <v>1414</v>
      </c>
      <c r="L126" s="439">
        <v>9.47</v>
      </c>
      <c r="M126" s="488">
        <v>0.28</v>
      </c>
      <c r="N126" s="489">
        <v>0.575</v>
      </c>
      <c r="O126" s="489">
        <v>0.595</v>
      </c>
      <c r="P126" s="490">
        <v>1.94</v>
      </c>
      <c r="Q126" s="439">
        <v>0.6</v>
      </c>
      <c r="R126" s="488">
        <v>24.8</v>
      </c>
      <c r="S126" s="488">
        <v>26.0</v>
      </c>
      <c r="T126" s="488">
        <v>21.8</v>
      </c>
      <c r="U126" s="488">
        <v>13.2</v>
      </c>
      <c r="V126" s="488">
        <v>9.0</v>
      </c>
      <c r="W126" s="488">
        <v>1.3</v>
      </c>
      <c r="X126" s="488">
        <v>3.3</v>
      </c>
      <c r="Y126" s="444">
        <f t="shared" si="17"/>
        <v>99.4</v>
      </c>
      <c r="Z126" s="445"/>
      <c r="AA126" s="446">
        <f t="shared" ref="AA126:AE126" si="71">$J126*E126</f>
        <v>90043.2</v>
      </c>
      <c r="AB126" s="447">
        <f t="shared" si="71"/>
        <v>2527.2</v>
      </c>
      <c r="AC126" s="447">
        <f t="shared" si="71"/>
        <v>5363.28</v>
      </c>
      <c r="AD126" s="447">
        <f t="shared" si="71"/>
        <v>5550.48</v>
      </c>
      <c r="AE126" s="448">
        <f t="shared" si="71"/>
        <v>17877.6</v>
      </c>
      <c r="AF126" s="449"/>
      <c r="AG126" s="449"/>
      <c r="AH126" s="449"/>
    </row>
    <row r="127" ht="11.25" customHeight="1">
      <c r="A127" s="450"/>
      <c r="B127" s="451"/>
      <c r="C127" s="452"/>
      <c r="D127" s="452"/>
      <c r="E127" s="453"/>
      <c r="F127" s="453"/>
      <c r="G127" s="454"/>
      <c r="H127" s="454"/>
      <c r="I127" s="455"/>
      <c r="J127" s="456"/>
      <c r="K127" s="457" t="s">
        <v>1416</v>
      </c>
      <c r="L127" s="458">
        <v>10.4</v>
      </c>
      <c r="M127" s="459"/>
      <c r="N127" s="460"/>
      <c r="O127" s="460"/>
      <c r="P127" s="461"/>
      <c r="Q127" s="458">
        <v>1.1</v>
      </c>
      <c r="R127" s="459">
        <v>26.3</v>
      </c>
      <c r="S127" s="459">
        <v>27.0</v>
      </c>
      <c r="T127" s="459">
        <v>20.2</v>
      </c>
      <c r="U127" s="459">
        <v>11.4</v>
      </c>
      <c r="V127" s="459">
        <v>9.2</v>
      </c>
      <c r="W127" s="459">
        <v>1.4</v>
      </c>
      <c r="X127" s="459">
        <v>3.4</v>
      </c>
      <c r="Y127" s="462">
        <f t="shared" si="17"/>
        <v>98.9</v>
      </c>
      <c r="Z127" s="463"/>
      <c r="AA127" s="464"/>
      <c r="AB127" s="465"/>
      <c r="AC127" s="465"/>
      <c r="AD127" s="465"/>
      <c r="AE127" s="466"/>
      <c r="AF127" s="449"/>
      <c r="AG127" s="449"/>
      <c r="AH127" s="449"/>
    </row>
    <row r="128" ht="11.25" customHeight="1">
      <c r="A128" s="450"/>
      <c r="B128" s="451"/>
      <c r="C128" s="452"/>
      <c r="D128" s="452"/>
      <c r="E128" s="453"/>
      <c r="F128" s="453"/>
      <c r="G128" s="454"/>
      <c r="H128" s="454"/>
      <c r="I128" s="455"/>
      <c r="J128" s="456"/>
      <c r="K128" s="467" t="s">
        <v>1417</v>
      </c>
      <c r="L128" s="468">
        <v>9.34</v>
      </c>
      <c r="M128" s="469">
        <v>0.26</v>
      </c>
      <c r="N128" s="470">
        <v>0.571</v>
      </c>
      <c r="O128" s="470">
        <v>0.591</v>
      </c>
      <c r="P128" s="471">
        <v>1.88</v>
      </c>
      <c r="Q128" s="468">
        <v>0.6</v>
      </c>
      <c r="R128" s="469">
        <v>17.9</v>
      </c>
      <c r="S128" s="469">
        <v>20.5</v>
      </c>
      <c r="T128" s="469">
        <v>23.2</v>
      </c>
      <c r="U128" s="469">
        <v>18.8</v>
      </c>
      <c r="V128" s="469">
        <v>13.5</v>
      </c>
      <c r="W128" s="469">
        <v>1.9</v>
      </c>
      <c r="X128" s="469">
        <v>3.6</v>
      </c>
      <c r="Y128" s="462">
        <f t="shared" si="17"/>
        <v>99.4</v>
      </c>
      <c r="Z128" s="463"/>
      <c r="AA128" s="464"/>
      <c r="AB128" s="465"/>
      <c r="AC128" s="465"/>
      <c r="AD128" s="465"/>
      <c r="AE128" s="466"/>
      <c r="AF128" s="449"/>
      <c r="AG128" s="449"/>
      <c r="AH128" s="449"/>
    </row>
    <row r="129" ht="11.25" customHeight="1">
      <c r="A129" s="450"/>
      <c r="B129" s="472"/>
      <c r="C129" s="473"/>
      <c r="D129" s="473"/>
      <c r="E129" s="474"/>
      <c r="F129" s="474"/>
      <c r="G129" s="475"/>
      <c r="H129" s="475"/>
      <c r="I129" s="476"/>
      <c r="J129" s="477"/>
      <c r="K129" s="478" t="s">
        <v>1418</v>
      </c>
      <c r="L129" s="479">
        <v>9.27</v>
      </c>
      <c r="M129" s="480"/>
      <c r="N129" s="481"/>
      <c r="O129" s="481"/>
      <c r="P129" s="482"/>
      <c r="Q129" s="479">
        <v>2.9</v>
      </c>
      <c r="R129" s="480">
        <v>47.4</v>
      </c>
      <c r="S129" s="480">
        <v>28.2</v>
      </c>
      <c r="T129" s="480">
        <v>12.7</v>
      </c>
      <c r="U129" s="480">
        <v>4.8</v>
      </c>
      <c r="V129" s="480">
        <v>2.6</v>
      </c>
      <c r="W129" s="480">
        <v>0.3</v>
      </c>
      <c r="X129" s="480">
        <v>1.1</v>
      </c>
      <c r="Y129" s="483">
        <f t="shared" si="17"/>
        <v>97.1</v>
      </c>
      <c r="Z129" s="484"/>
      <c r="AA129" s="485"/>
      <c r="AB129" s="486"/>
      <c r="AC129" s="486"/>
      <c r="AD129" s="486"/>
      <c r="AE129" s="487"/>
      <c r="AF129" s="449"/>
      <c r="AG129" s="449"/>
      <c r="AH129" s="449"/>
    </row>
    <row r="130" ht="11.25" customHeight="1">
      <c r="A130" s="431">
        <f>IF(B130="","", YEAR(B130))</f>
        <v>2026</v>
      </c>
      <c r="B130" s="432">
        <v>46057.0</v>
      </c>
      <c r="C130" s="433" t="s">
        <v>1162</v>
      </c>
      <c r="D130" s="433" t="s">
        <v>1413</v>
      </c>
      <c r="E130" s="434">
        <f t="shared" ref="E130:I130" si="72">IFERROR(AVERAGE(L130:L133),"")</f>
        <v>9.113333333</v>
      </c>
      <c r="F130" s="434">
        <f t="shared" si="72"/>
        <v>0.24</v>
      </c>
      <c r="G130" s="435">
        <f t="shared" si="72"/>
        <v>0.5745</v>
      </c>
      <c r="H130" s="435">
        <f t="shared" si="72"/>
        <v>0.5945</v>
      </c>
      <c r="I130" s="436">
        <f t="shared" si="72"/>
        <v>2.085</v>
      </c>
      <c r="J130" s="437">
        <f>SUMIFS(PRODUCTION[KG],PRODUCTION[GRADE],"3X50",PRODUCTION[DATE],B130,PRODUCTION[BATCH],C130,PRODUCTION[SHIFT],D130)</f>
        <v>7904</v>
      </c>
      <c r="K130" s="438" t="s">
        <v>1414</v>
      </c>
      <c r="L130" s="439">
        <v>10.2</v>
      </c>
      <c r="M130" s="488">
        <v>0.24</v>
      </c>
      <c r="N130" s="489">
        <v>0.573</v>
      </c>
      <c r="O130" s="489">
        <v>0.593</v>
      </c>
      <c r="P130" s="490">
        <v>1.56</v>
      </c>
      <c r="Q130" s="439">
        <v>1.5</v>
      </c>
      <c r="R130" s="488">
        <v>23.1</v>
      </c>
      <c r="S130" s="488">
        <v>27.7</v>
      </c>
      <c r="T130" s="488">
        <v>22.2</v>
      </c>
      <c r="U130" s="488">
        <v>12.3</v>
      </c>
      <c r="V130" s="488">
        <v>9.0</v>
      </c>
      <c r="W130" s="488">
        <v>1.4</v>
      </c>
      <c r="X130" s="488">
        <v>2.8</v>
      </c>
      <c r="Y130" s="444">
        <f t="shared" si="17"/>
        <v>98.5</v>
      </c>
      <c r="Z130" s="445"/>
      <c r="AA130" s="446">
        <f t="shared" ref="AA130:AE130" si="73">$J130*E130</f>
        <v>72031.78667</v>
      </c>
      <c r="AB130" s="447">
        <f t="shared" si="73"/>
        <v>1896.96</v>
      </c>
      <c r="AC130" s="447">
        <f t="shared" si="73"/>
        <v>4540.848</v>
      </c>
      <c r="AD130" s="447">
        <f t="shared" si="73"/>
        <v>4698.928</v>
      </c>
      <c r="AE130" s="448">
        <f t="shared" si="73"/>
        <v>16479.84</v>
      </c>
      <c r="AF130" s="449"/>
      <c r="AG130" s="449"/>
      <c r="AH130" s="449"/>
    </row>
    <row r="131" ht="11.25" customHeight="1">
      <c r="A131" s="450"/>
      <c r="B131" s="451"/>
      <c r="C131" s="452"/>
      <c r="D131" s="452"/>
      <c r="E131" s="453"/>
      <c r="F131" s="453"/>
      <c r="G131" s="454"/>
      <c r="H131" s="454"/>
      <c r="I131" s="455"/>
      <c r="J131" s="456"/>
      <c r="K131" s="457" t="s">
        <v>1416</v>
      </c>
      <c r="L131" s="458" t="s">
        <v>1420</v>
      </c>
      <c r="M131" s="459"/>
      <c r="N131" s="460"/>
      <c r="O131" s="460"/>
      <c r="P131" s="461"/>
      <c r="Q131" s="458"/>
      <c r="R131" s="459"/>
      <c r="S131" s="459"/>
      <c r="T131" s="459"/>
      <c r="U131" s="459"/>
      <c r="V131" s="459"/>
      <c r="W131" s="459"/>
      <c r="X131" s="459"/>
      <c r="Y131" s="462">
        <f t="shared" si="17"/>
        <v>0</v>
      </c>
      <c r="Z131" s="463"/>
      <c r="AA131" s="464"/>
      <c r="AB131" s="465"/>
      <c r="AC131" s="465"/>
      <c r="AD131" s="465"/>
      <c r="AE131" s="466"/>
      <c r="AF131" s="449"/>
      <c r="AG131" s="449"/>
      <c r="AH131" s="449"/>
    </row>
    <row r="132" ht="11.25" customHeight="1">
      <c r="A132" s="450"/>
      <c r="B132" s="451"/>
      <c r="C132" s="452"/>
      <c r="D132" s="452"/>
      <c r="E132" s="453"/>
      <c r="F132" s="453"/>
      <c r="G132" s="454"/>
      <c r="H132" s="454"/>
      <c r="I132" s="455"/>
      <c r="J132" s="456"/>
      <c r="K132" s="467" t="s">
        <v>1417</v>
      </c>
      <c r="L132" s="468">
        <v>8.8</v>
      </c>
      <c r="M132" s="469">
        <v>0.24</v>
      </c>
      <c r="N132" s="470">
        <v>0.576</v>
      </c>
      <c r="O132" s="470">
        <v>0.596</v>
      </c>
      <c r="P132" s="471">
        <v>2.61</v>
      </c>
      <c r="Q132" s="468">
        <v>0.1</v>
      </c>
      <c r="R132" s="469">
        <v>9.7</v>
      </c>
      <c r="S132" s="469">
        <v>21.5</v>
      </c>
      <c r="T132" s="469">
        <v>26.7</v>
      </c>
      <c r="U132" s="469">
        <v>21.7</v>
      </c>
      <c r="V132" s="469">
        <v>15.5</v>
      </c>
      <c r="W132" s="469">
        <v>1.8</v>
      </c>
      <c r="X132" s="469">
        <v>3.0</v>
      </c>
      <c r="Y132" s="462">
        <f t="shared" si="17"/>
        <v>99.9</v>
      </c>
      <c r="Z132" s="463"/>
      <c r="AA132" s="464"/>
      <c r="AB132" s="465"/>
      <c r="AC132" s="465"/>
      <c r="AD132" s="465"/>
      <c r="AE132" s="466"/>
      <c r="AF132" s="449"/>
      <c r="AG132" s="449"/>
      <c r="AH132" s="449"/>
    </row>
    <row r="133" ht="11.25" customHeight="1">
      <c r="A133" s="450"/>
      <c r="B133" s="472"/>
      <c r="C133" s="473"/>
      <c r="D133" s="473"/>
      <c r="E133" s="474"/>
      <c r="F133" s="474"/>
      <c r="G133" s="475"/>
      <c r="H133" s="475"/>
      <c r="I133" s="476"/>
      <c r="J133" s="477"/>
      <c r="K133" s="478" t="s">
        <v>1418</v>
      </c>
      <c r="L133" s="479">
        <v>8.34</v>
      </c>
      <c r="M133" s="480"/>
      <c r="N133" s="481"/>
      <c r="O133" s="481"/>
      <c r="P133" s="482"/>
      <c r="Q133" s="479">
        <v>0.8</v>
      </c>
      <c r="R133" s="480">
        <v>25.4</v>
      </c>
      <c r="S133" s="480">
        <v>33.7</v>
      </c>
      <c r="T133" s="480">
        <v>23.7</v>
      </c>
      <c r="U133" s="480">
        <v>9.8</v>
      </c>
      <c r="V133" s="480">
        <v>4.7</v>
      </c>
      <c r="W133" s="480">
        <v>0.6</v>
      </c>
      <c r="X133" s="480">
        <v>1.3</v>
      </c>
      <c r="Y133" s="483">
        <f t="shared" si="17"/>
        <v>99.2</v>
      </c>
      <c r="Z133" s="484"/>
      <c r="AA133" s="485"/>
      <c r="AB133" s="486"/>
      <c r="AC133" s="486"/>
      <c r="AD133" s="486"/>
      <c r="AE133" s="487"/>
      <c r="AF133" s="449"/>
      <c r="AG133" s="449"/>
      <c r="AH133" s="449"/>
    </row>
    <row r="134" ht="11.25" customHeight="1">
      <c r="A134" s="431">
        <f>IF(B134="","", YEAR(B134))</f>
        <v>2026</v>
      </c>
      <c r="B134" s="432">
        <v>46058.0</v>
      </c>
      <c r="C134" s="433" t="s">
        <v>1162</v>
      </c>
      <c r="D134" s="433" t="s">
        <v>1413</v>
      </c>
      <c r="E134" s="434">
        <f t="shared" ref="E134:I134" si="74">IFERROR(AVERAGE(L134:L137),"")</f>
        <v>9.1875</v>
      </c>
      <c r="F134" s="434">
        <f t="shared" si="74"/>
        <v>0.315</v>
      </c>
      <c r="G134" s="435">
        <f t="shared" si="74"/>
        <v>0.575</v>
      </c>
      <c r="H134" s="435">
        <f t="shared" si="74"/>
        <v>0.595</v>
      </c>
      <c r="I134" s="436">
        <f t="shared" si="74"/>
        <v>1.855</v>
      </c>
      <c r="J134" s="437">
        <f>SUMIFS(PRODUCTION[KG],PRODUCTION[GRADE],"3X50",PRODUCTION[DATE],B134,PRODUCTION[BATCH],C134,PRODUCTION[SHIFT],D134)</f>
        <v>7540</v>
      </c>
      <c r="K134" s="438" t="s">
        <v>1414</v>
      </c>
      <c r="L134" s="439">
        <v>9.27</v>
      </c>
      <c r="M134" s="488">
        <v>0.3</v>
      </c>
      <c r="N134" s="489">
        <v>0.579</v>
      </c>
      <c r="O134" s="489">
        <v>0.599</v>
      </c>
      <c r="P134" s="490">
        <v>2.19</v>
      </c>
      <c r="Q134" s="439">
        <v>1.3</v>
      </c>
      <c r="R134" s="488">
        <v>16.8</v>
      </c>
      <c r="S134" s="488">
        <v>28.0</v>
      </c>
      <c r="T134" s="488">
        <v>26.0</v>
      </c>
      <c r="U134" s="488">
        <v>15.2</v>
      </c>
      <c r="V134" s="488">
        <v>9.6</v>
      </c>
      <c r="W134" s="488">
        <v>1.2</v>
      </c>
      <c r="X134" s="488">
        <v>1.9</v>
      </c>
      <c r="Y134" s="444">
        <f t="shared" si="17"/>
        <v>98.7</v>
      </c>
      <c r="Z134" s="445"/>
      <c r="AA134" s="446">
        <f t="shared" ref="AA134:AE134" si="75">$J134*E134</f>
        <v>69273.75</v>
      </c>
      <c r="AB134" s="447">
        <f t="shared" si="75"/>
        <v>2375.1</v>
      </c>
      <c r="AC134" s="447">
        <f t="shared" si="75"/>
        <v>4335.5</v>
      </c>
      <c r="AD134" s="447">
        <f t="shared" si="75"/>
        <v>4486.3</v>
      </c>
      <c r="AE134" s="448">
        <f t="shared" si="75"/>
        <v>13986.7</v>
      </c>
      <c r="AF134" s="449"/>
      <c r="AG134" s="449"/>
      <c r="AH134" s="449"/>
    </row>
    <row r="135" ht="11.25" customHeight="1">
      <c r="A135" s="450"/>
      <c r="B135" s="451"/>
      <c r="C135" s="452"/>
      <c r="D135" s="452"/>
      <c r="E135" s="453"/>
      <c r="F135" s="453"/>
      <c r="G135" s="454"/>
      <c r="H135" s="454"/>
      <c r="I135" s="455"/>
      <c r="J135" s="456"/>
      <c r="K135" s="457" t="s">
        <v>1416</v>
      </c>
      <c r="L135" s="458">
        <v>9.4</v>
      </c>
      <c r="M135" s="459"/>
      <c r="N135" s="460"/>
      <c r="O135" s="460"/>
      <c r="P135" s="461"/>
      <c r="Q135" s="458">
        <v>1.9</v>
      </c>
      <c r="R135" s="459">
        <v>15.0</v>
      </c>
      <c r="S135" s="459">
        <v>26.0</v>
      </c>
      <c r="T135" s="459">
        <v>24.7</v>
      </c>
      <c r="U135" s="459">
        <v>16.8</v>
      </c>
      <c r="V135" s="459">
        <v>11.7</v>
      </c>
      <c r="W135" s="459">
        <v>1.8</v>
      </c>
      <c r="X135" s="459">
        <v>2.1</v>
      </c>
      <c r="Y135" s="462">
        <f t="shared" si="17"/>
        <v>98.1</v>
      </c>
      <c r="Z135" s="463"/>
      <c r="AA135" s="464"/>
      <c r="AB135" s="465"/>
      <c r="AC135" s="465"/>
      <c r="AD135" s="465"/>
      <c r="AE135" s="466"/>
      <c r="AF135" s="449"/>
      <c r="AG135" s="449"/>
      <c r="AH135" s="449"/>
    </row>
    <row r="136" ht="11.25" customHeight="1">
      <c r="A136" s="450"/>
      <c r="B136" s="451"/>
      <c r="C136" s="452"/>
      <c r="D136" s="452"/>
      <c r="E136" s="453"/>
      <c r="F136" s="453"/>
      <c r="G136" s="454"/>
      <c r="H136" s="454"/>
      <c r="I136" s="455"/>
      <c r="J136" s="456"/>
      <c r="K136" s="467" t="s">
        <v>1417</v>
      </c>
      <c r="L136" s="468">
        <v>9.34</v>
      </c>
      <c r="M136" s="469">
        <v>0.33</v>
      </c>
      <c r="N136" s="470">
        <v>0.571</v>
      </c>
      <c r="O136" s="470">
        <v>0.591</v>
      </c>
      <c r="P136" s="471">
        <v>1.52</v>
      </c>
      <c r="Q136" s="468">
        <v>0.6</v>
      </c>
      <c r="R136" s="469">
        <v>21.8</v>
      </c>
      <c r="S136" s="469">
        <v>27.8</v>
      </c>
      <c r="T136" s="469">
        <v>23.0</v>
      </c>
      <c r="U136" s="469">
        <v>15.2</v>
      </c>
      <c r="V136" s="469">
        <v>8.8</v>
      </c>
      <c r="W136" s="469">
        <v>1.0</v>
      </c>
      <c r="X136" s="469">
        <v>1.8</v>
      </c>
      <c r="Y136" s="462">
        <f t="shared" si="17"/>
        <v>99.4</v>
      </c>
      <c r="Z136" s="463"/>
      <c r="AA136" s="464"/>
      <c r="AB136" s="465"/>
      <c r="AC136" s="465"/>
      <c r="AD136" s="465"/>
      <c r="AE136" s="466"/>
      <c r="AF136" s="449"/>
      <c r="AG136" s="449"/>
      <c r="AH136" s="449"/>
    </row>
    <row r="137" ht="11.25" customHeight="1">
      <c r="A137" s="450"/>
      <c r="B137" s="472"/>
      <c r="C137" s="473"/>
      <c r="D137" s="473"/>
      <c r="E137" s="474"/>
      <c r="F137" s="474"/>
      <c r="G137" s="475"/>
      <c r="H137" s="475"/>
      <c r="I137" s="476"/>
      <c r="J137" s="477"/>
      <c r="K137" s="478" t="s">
        <v>1418</v>
      </c>
      <c r="L137" s="479">
        <v>8.74</v>
      </c>
      <c r="M137" s="480"/>
      <c r="N137" s="481"/>
      <c r="O137" s="481"/>
      <c r="P137" s="482"/>
      <c r="Q137" s="479">
        <v>0.8</v>
      </c>
      <c r="R137" s="480">
        <v>18.4</v>
      </c>
      <c r="S137" s="480">
        <v>30.3</v>
      </c>
      <c r="T137" s="480">
        <v>26.1</v>
      </c>
      <c r="U137" s="480">
        <v>15.0</v>
      </c>
      <c r="V137" s="480">
        <v>6.6</v>
      </c>
      <c r="W137" s="480">
        <v>0.8</v>
      </c>
      <c r="X137" s="480">
        <v>2.0</v>
      </c>
      <c r="Y137" s="483">
        <f t="shared" si="17"/>
        <v>99.2</v>
      </c>
      <c r="Z137" s="484"/>
      <c r="AA137" s="485"/>
      <c r="AB137" s="486"/>
      <c r="AC137" s="486"/>
      <c r="AD137" s="486"/>
      <c r="AE137" s="487"/>
      <c r="AF137" s="449"/>
      <c r="AG137" s="449"/>
      <c r="AH137" s="449"/>
    </row>
    <row r="138" ht="11.25" customHeight="1">
      <c r="A138" s="431">
        <f>IF(B138="","", YEAR(B138))</f>
        <v>2026</v>
      </c>
      <c r="B138" s="432">
        <v>46059.0</v>
      </c>
      <c r="C138" s="433" t="s">
        <v>1162</v>
      </c>
      <c r="D138" s="433" t="s">
        <v>1413</v>
      </c>
      <c r="E138" s="434">
        <f t="shared" ref="E138:I138" si="76">IFERROR(AVERAGE(L138:L141),"")</f>
        <v>9.4225</v>
      </c>
      <c r="F138" s="434">
        <f t="shared" si="76"/>
        <v>0.255</v>
      </c>
      <c r="G138" s="435">
        <f t="shared" si="76"/>
        <v>0.575</v>
      </c>
      <c r="H138" s="435">
        <f t="shared" si="76"/>
        <v>0.595</v>
      </c>
      <c r="I138" s="436">
        <f t="shared" si="76"/>
        <v>2.18</v>
      </c>
      <c r="J138" s="437">
        <f>SUMIFS(PRODUCTION[KG],PRODUCTION[GRADE],"3X50",PRODUCTION[DATE],B138,PRODUCTION[BATCH],C138,PRODUCTION[SHIFT],D138)</f>
        <v>8580</v>
      </c>
      <c r="K138" s="438" t="s">
        <v>1414</v>
      </c>
      <c r="L138" s="439">
        <v>9.14</v>
      </c>
      <c r="M138" s="488">
        <v>0.28</v>
      </c>
      <c r="N138" s="489">
        <v>0.57</v>
      </c>
      <c r="O138" s="489">
        <v>0.59</v>
      </c>
      <c r="P138" s="490">
        <v>2.14</v>
      </c>
      <c r="Q138" s="439">
        <v>0.8</v>
      </c>
      <c r="R138" s="488">
        <v>18.6</v>
      </c>
      <c r="S138" s="488">
        <v>27.0</v>
      </c>
      <c r="T138" s="488">
        <v>23.7</v>
      </c>
      <c r="U138" s="488">
        <v>16.5</v>
      </c>
      <c r="V138" s="488">
        <v>9.8</v>
      </c>
      <c r="W138" s="488">
        <v>1.3</v>
      </c>
      <c r="X138" s="488">
        <v>2.3</v>
      </c>
      <c r="Y138" s="444">
        <f t="shared" si="17"/>
        <v>99.2</v>
      </c>
      <c r="Z138" s="445"/>
      <c r="AA138" s="446">
        <f t="shared" ref="AA138:AE138" si="77">$J138*E138</f>
        <v>80845.05</v>
      </c>
      <c r="AB138" s="447">
        <f t="shared" si="77"/>
        <v>2187.9</v>
      </c>
      <c r="AC138" s="447">
        <f t="shared" si="77"/>
        <v>4933.5</v>
      </c>
      <c r="AD138" s="447">
        <f t="shared" si="77"/>
        <v>5105.1</v>
      </c>
      <c r="AE138" s="448">
        <f t="shared" si="77"/>
        <v>18704.4</v>
      </c>
      <c r="AF138" s="449"/>
      <c r="AG138" s="449"/>
      <c r="AH138" s="449"/>
    </row>
    <row r="139" ht="11.25" customHeight="1">
      <c r="A139" s="450"/>
      <c r="B139" s="451"/>
      <c r="C139" s="452"/>
      <c r="D139" s="452"/>
      <c r="E139" s="453"/>
      <c r="F139" s="453"/>
      <c r="G139" s="454"/>
      <c r="H139" s="454"/>
      <c r="I139" s="455"/>
      <c r="J139" s="456"/>
      <c r="K139" s="457" t="s">
        <v>1416</v>
      </c>
      <c r="L139" s="458">
        <v>9.54</v>
      </c>
      <c r="M139" s="459"/>
      <c r="N139" s="460"/>
      <c r="O139" s="460"/>
      <c r="P139" s="461"/>
      <c r="Q139" s="458">
        <v>1.3</v>
      </c>
      <c r="R139" s="459">
        <v>23.1</v>
      </c>
      <c r="S139" s="459">
        <v>29.5</v>
      </c>
      <c r="T139" s="459">
        <v>22.6</v>
      </c>
      <c r="U139" s="459">
        <v>12.4</v>
      </c>
      <c r="V139" s="459">
        <v>7.2</v>
      </c>
      <c r="W139" s="459">
        <v>1.1</v>
      </c>
      <c r="X139" s="459">
        <v>2.8</v>
      </c>
      <c r="Y139" s="462">
        <f t="shared" si="17"/>
        <v>98.7</v>
      </c>
      <c r="Z139" s="463"/>
      <c r="AA139" s="464"/>
      <c r="AB139" s="465"/>
      <c r="AC139" s="465"/>
      <c r="AD139" s="465"/>
      <c r="AE139" s="466"/>
      <c r="AF139" s="449"/>
      <c r="AG139" s="449"/>
      <c r="AH139" s="449"/>
    </row>
    <row r="140" ht="11.25" customHeight="1">
      <c r="A140" s="450"/>
      <c r="B140" s="451"/>
      <c r="C140" s="452"/>
      <c r="D140" s="452"/>
      <c r="E140" s="453"/>
      <c r="F140" s="453"/>
      <c r="G140" s="454"/>
      <c r="H140" s="454"/>
      <c r="I140" s="455"/>
      <c r="J140" s="456"/>
      <c r="K140" s="467" t="s">
        <v>1417</v>
      </c>
      <c r="L140" s="468">
        <v>9.67</v>
      </c>
      <c r="M140" s="469">
        <v>0.23</v>
      </c>
      <c r="N140" s="470">
        <v>0.58</v>
      </c>
      <c r="O140" s="470">
        <v>0.6</v>
      </c>
      <c r="P140" s="471">
        <v>2.22</v>
      </c>
      <c r="Q140" s="468">
        <v>0.8</v>
      </c>
      <c r="R140" s="469">
        <v>27.5</v>
      </c>
      <c r="S140" s="469">
        <v>31.2</v>
      </c>
      <c r="T140" s="469">
        <v>20.8</v>
      </c>
      <c r="U140" s="469">
        <v>11.0</v>
      </c>
      <c r="V140" s="469">
        <v>6.3</v>
      </c>
      <c r="W140" s="469">
        <v>0.7</v>
      </c>
      <c r="X140" s="469">
        <v>1.7</v>
      </c>
      <c r="Y140" s="462">
        <f t="shared" si="17"/>
        <v>99.2</v>
      </c>
      <c r="Z140" s="463"/>
      <c r="AA140" s="464"/>
      <c r="AB140" s="465"/>
      <c r="AC140" s="465"/>
      <c r="AD140" s="465"/>
      <c r="AE140" s="466"/>
      <c r="AF140" s="449"/>
      <c r="AG140" s="449"/>
      <c r="AH140" s="449"/>
    </row>
    <row r="141" ht="11.25" customHeight="1">
      <c r="A141" s="450"/>
      <c r="B141" s="472"/>
      <c r="C141" s="473"/>
      <c r="D141" s="473"/>
      <c r="E141" s="474"/>
      <c r="F141" s="474"/>
      <c r="G141" s="475"/>
      <c r="H141" s="475"/>
      <c r="I141" s="476"/>
      <c r="J141" s="477"/>
      <c r="K141" s="478" t="s">
        <v>1418</v>
      </c>
      <c r="L141" s="479">
        <v>9.34</v>
      </c>
      <c r="M141" s="480"/>
      <c r="N141" s="481"/>
      <c r="O141" s="481"/>
      <c r="P141" s="482"/>
      <c r="Q141" s="479">
        <v>1.9</v>
      </c>
      <c r="R141" s="480">
        <v>33.4</v>
      </c>
      <c r="S141" s="480">
        <v>27.9</v>
      </c>
      <c r="T141" s="480">
        <v>16.6</v>
      </c>
      <c r="U141" s="480">
        <v>10.2</v>
      </c>
      <c r="V141" s="480">
        <v>7.0</v>
      </c>
      <c r="W141" s="480">
        <v>0.9</v>
      </c>
      <c r="X141" s="480">
        <v>2.1</v>
      </c>
      <c r="Y141" s="483">
        <f t="shared" si="17"/>
        <v>98.1</v>
      </c>
      <c r="Z141" s="484"/>
      <c r="AA141" s="485"/>
      <c r="AB141" s="486"/>
      <c r="AC141" s="486"/>
      <c r="AD141" s="486"/>
      <c r="AE141" s="487"/>
      <c r="AF141" s="449"/>
      <c r="AG141" s="449"/>
      <c r="AH141" s="449"/>
    </row>
    <row r="142" ht="11.25" customHeight="1">
      <c r="A142" s="431">
        <f>IF(B142="","", YEAR(B142))</f>
        <v>2026</v>
      </c>
      <c r="B142" s="432">
        <v>46060.0</v>
      </c>
      <c r="C142" s="433" t="s">
        <v>1162</v>
      </c>
      <c r="D142" s="433" t="s">
        <v>1413</v>
      </c>
      <c r="E142" s="434">
        <f t="shared" ref="E142:I142" si="78">IFERROR(AVERAGE(L142:L145),"")</f>
        <v>9.8225</v>
      </c>
      <c r="F142" s="434">
        <f t="shared" si="78"/>
        <v>0.27</v>
      </c>
      <c r="G142" s="435">
        <f t="shared" si="78"/>
        <v>0.579</v>
      </c>
      <c r="H142" s="435">
        <f t="shared" si="78"/>
        <v>0.599</v>
      </c>
      <c r="I142" s="436">
        <f t="shared" si="78"/>
        <v>1.465</v>
      </c>
      <c r="J142" s="437">
        <f>SUMIFS(PRODUCTION[KG],PRODUCTION[GRADE],"3X50",PRODUCTION[DATE],B142,PRODUCTION[BATCH],C142,PRODUCTION[SHIFT],D142)</f>
        <v>18798</v>
      </c>
      <c r="K142" s="438" t="s">
        <v>1414</v>
      </c>
      <c r="L142" s="439">
        <v>10.07</v>
      </c>
      <c r="M142" s="488">
        <v>0.28</v>
      </c>
      <c r="N142" s="489">
        <v>0.577</v>
      </c>
      <c r="O142" s="489">
        <v>0.597</v>
      </c>
      <c r="P142" s="490">
        <v>1.53</v>
      </c>
      <c r="Q142" s="439">
        <v>1.6</v>
      </c>
      <c r="R142" s="488">
        <v>30.5</v>
      </c>
      <c r="S142" s="488">
        <v>26.7</v>
      </c>
      <c r="T142" s="488">
        <v>17.4</v>
      </c>
      <c r="U142" s="488">
        <v>12.0</v>
      </c>
      <c r="V142" s="488">
        <v>8.6</v>
      </c>
      <c r="W142" s="488">
        <v>1.1</v>
      </c>
      <c r="X142" s="488">
        <v>2.1</v>
      </c>
      <c r="Y142" s="444">
        <f t="shared" si="17"/>
        <v>98.4</v>
      </c>
      <c r="Z142" s="445"/>
      <c r="AA142" s="446">
        <f t="shared" ref="AA142:AE142" si="79">$J142*E142</f>
        <v>184643.355</v>
      </c>
      <c r="AB142" s="447">
        <f t="shared" si="79"/>
        <v>5075.46</v>
      </c>
      <c r="AC142" s="447">
        <f t="shared" si="79"/>
        <v>10884.042</v>
      </c>
      <c r="AD142" s="447">
        <f t="shared" si="79"/>
        <v>11260.002</v>
      </c>
      <c r="AE142" s="448">
        <f t="shared" si="79"/>
        <v>27539.07</v>
      </c>
      <c r="AF142" s="449"/>
      <c r="AG142" s="449"/>
      <c r="AH142" s="449"/>
    </row>
    <row r="143" ht="11.25" customHeight="1">
      <c r="A143" s="450"/>
      <c r="B143" s="451"/>
      <c r="C143" s="452"/>
      <c r="D143" s="452"/>
      <c r="E143" s="453"/>
      <c r="F143" s="453"/>
      <c r="G143" s="454"/>
      <c r="H143" s="454"/>
      <c r="I143" s="455"/>
      <c r="J143" s="456"/>
      <c r="K143" s="457" t="s">
        <v>1416</v>
      </c>
      <c r="L143" s="458">
        <v>9.94</v>
      </c>
      <c r="M143" s="459"/>
      <c r="N143" s="460"/>
      <c r="O143" s="460"/>
      <c r="P143" s="461"/>
      <c r="Q143" s="458">
        <v>2.7</v>
      </c>
      <c r="R143" s="459">
        <v>50.9</v>
      </c>
      <c r="S143" s="459">
        <v>25.7</v>
      </c>
      <c r="T143" s="459">
        <v>10.8</v>
      </c>
      <c r="U143" s="459">
        <v>5.2</v>
      </c>
      <c r="V143" s="459">
        <v>3.4</v>
      </c>
      <c r="W143" s="459">
        <v>0.1</v>
      </c>
      <c r="X143" s="459">
        <v>1.2</v>
      </c>
      <c r="Y143" s="462">
        <f t="shared" si="17"/>
        <v>97.3</v>
      </c>
      <c r="Z143" s="463"/>
      <c r="AA143" s="464"/>
      <c r="AB143" s="465"/>
      <c r="AC143" s="465"/>
      <c r="AD143" s="465"/>
      <c r="AE143" s="466"/>
      <c r="AF143" s="449"/>
      <c r="AG143" s="449"/>
      <c r="AH143" s="449"/>
    </row>
    <row r="144" ht="11.25" customHeight="1">
      <c r="A144" s="450"/>
      <c r="B144" s="451"/>
      <c r="C144" s="452"/>
      <c r="D144" s="452"/>
      <c r="E144" s="453"/>
      <c r="F144" s="453"/>
      <c r="G144" s="454"/>
      <c r="H144" s="454"/>
      <c r="I144" s="455"/>
      <c r="J144" s="456"/>
      <c r="K144" s="467" t="s">
        <v>1417</v>
      </c>
      <c r="L144" s="468">
        <v>9.54</v>
      </c>
      <c r="M144" s="469">
        <v>0.26</v>
      </c>
      <c r="N144" s="470">
        <v>0.581</v>
      </c>
      <c r="O144" s="470">
        <v>0.601</v>
      </c>
      <c r="P144" s="471">
        <v>1.4</v>
      </c>
      <c r="Q144" s="468">
        <v>1.6</v>
      </c>
      <c r="R144" s="469">
        <v>35.8</v>
      </c>
      <c r="S144" s="469">
        <v>26.0</v>
      </c>
      <c r="T144" s="469">
        <v>16.3</v>
      </c>
      <c r="U144" s="469">
        <v>10.8</v>
      </c>
      <c r="V144" s="469">
        <v>7.3</v>
      </c>
      <c r="W144" s="469">
        <v>0.7</v>
      </c>
      <c r="X144" s="469">
        <v>1.5</v>
      </c>
      <c r="Y144" s="462">
        <f t="shared" si="17"/>
        <v>98.4</v>
      </c>
      <c r="Z144" s="463"/>
      <c r="AA144" s="464"/>
      <c r="AB144" s="465"/>
      <c r="AC144" s="465"/>
      <c r="AD144" s="465"/>
      <c r="AE144" s="466"/>
      <c r="AF144" s="449"/>
      <c r="AG144" s="449"/>
      <c r="AH144" s="449"/>
    </row>
    <row r="145" ht="11.25" customHeight="1">
      <c r="A145" s="450"/>
      <c r="B145" s="472"/>
      <c r="C145" s="473"/>
      <c r="D145" s="473"/>
      <c r="E145" s="474"/>
      <c r="F145" s="474"/>
      <c r="G145" s="475"/>
      <c r="H145" s="475"/>
      <c r="I145" s="476"/>
      <c r="J145" s="477"/>
      <c r="K145" s="478" t="s">
        <v>1418</v>
      </c>
      <c r="L145" s="479">
        <v>9.74</v>
      </c>
      <c r="M145" s="480"/>
      <c r="N145" s="481"/>
      <c r="O145" s="481"/>
      <c r="P145" s="482"/>
      <c r="Q145" s="479">
        <v>2.1</v>
      </c>
      <c r="R145" s="480">
        <v>37.1</v>
      </c>
      <c r="S145" s="480">
        <v>25.4</v>
      </c>
      <c r="T145" s="480">
        <v>16.8</v>
      </c>
      <c r="U145" s="480">
        <v>10.4</v>
      </c>
      <c r="V145" s="480">
        <v>6.4</v>
      </c>
      <c r="W145" s="480">
        <v>0.7</v>
      </c>
      <c r="X145" s="480">
        <v>1.1</v>
      </c>
      <c r="Y145" s="483">
        <f t="shared" si="17"/>
        <v>97.9</v>
      </c>
      <c r="Z145" s="484"/>
      <c r="AA145" s="485"/>
      <c r="AB145" s="486"/>
      <c r="AC145" s="486"/>
      <c r="AD145" s="486"/>
      <c r="AE145" s="487"/>
      <c r="AF145" s="449"/>
      <c r="AG145" s="449"/>
      <c r="AH145" s="449"/>
    </row>
    <row r="146" ht="11.25" customHeight="1">
      <c r="A146" s="431">
        <f>IF(B146="","", YEAR(B146))</f>
        <v>2026</v>
      </c>
      <c r="B146" s="432">
        <v>46062.0</v>
      </c>
      <c r="C146" s="433" t="s">
        <v>1162</v>
      </c>
      <c r="D146" s="433" t="s">
        <v>1413</v>
      </c>
      <c r="E146" s="434">
        <f t="shared" ref="E146:I146" si="80">IFERROR(AVERAGE(L146:L149),"")</f>
        <v>10.12</v>
      </c>
      <c r="F146" s="434">
        <f t="shared" si="80"/>
        <v>0.27</v>
      </c>
      <c r="G146" s="435">
        <f t="shared" si="80"/>
        <v>0.5775</v>
      </c>
      <c r="H146" s="435">
        <f t="shared" si="80"/>
        <v>0.5975</v>
      </c>
      <c r="I146" s="436">
        <f t="shared" si="80"/>
        <v>1.43</v>
      </c>
      <c r="J146" s="437">
        <f>SUMIFS(PRODUCTION[KG],PRODUCTION[GRADE],"3X50",PRODUCTION[DATE],B146,PRODUCTION[BATCH],C146,PRODUCTION[SHIFT],D146)</f>
        <v>18122</v>
      </c>
      <c r="K146" s="438" t="s">
        <v>1414</v>
      </c>
      <c r="L146" s="439">
        <v>9.87</v>
      </c>
      <c r="M146" s="488">
        <v>0.29</v>
      </c>
      <c r="N146" s="489">
        <v>0.577</v>
      </c>
      <c r="O146" s="489">
        <v>0.597</v>
      </c>
      <c r="P146" s="490">
        <v>1.58</v>
      </c>
      <c r="Q146" s="439">
        <v>2.8</v>
      </c>
      <c r="R146" s="488">
        <v>37.6</v>
      </c>
      <c r="S146" s="488">
        <v>28.8</v>
      </c>
      <c r="T146" s="488">
        <v>14.9</v>
      </c>
      <c r="U146" s="488">
        <v>8.5</v>
      </c>
      <c r="V146" s="488">
        <v>5.5</v>
      </c>
      <c r="W146" s="488">
        <v>0.6</v>
      </c>
      <c r="X146" s="488">
        <v>1.3</v>
      </c>
      <c r="Y146" s="444">
        <f t="shared" si="17"/>
        <v>97.2</v>
      </c>
      <c r="Z146" s="445"/>
      <c r="AA146" s="446">
        <f t="shared" ref="AA146:AE146" si="81">$J146*E146</f>
        <v>183394.64</v>
      </c>
      <c r="AB146" s="447">
        <f t="shared" si="81"/>
        <v>4892.94</v>
      </c>
      <c r="AC146" s="447">
        <f t="shared" si="81"/>
        <v>10465.455</v>
      </c>
      <c r="AD146" s="447">
        <f t="shared" si="81"/>
        <v>10827.895</v>
      </c>
      <c r="AE146" s="448">
        <f t="shared" si="81"/>
        <v>25914.46</v>
      </c>
      <c r="AF146" s="449"/>
      <c r="AG146" s="449"/>
      <c r="AH146" s="449"/>
    </row>
    <row r="147" ht="11.25" customHeight="1">
      <c r="A147" s="450"/>
      <c r="B147" s="451"/>
      <c r="C147" s="452"/>
      <c r="D147" s="452"/>
      <c r="E147" s="453"/>
      <c r="F147" s="453"/>
      <c r="G147" s="454"/>
      <c r="H147" s="454"/>
      <c r="I147" s="455"/>
      <c r="J147" s="456"/>
      <c r="K147" s="457" t="s">
        <v>1416</v>
      </c>
      <c r="L147" s="458">
        <v>9.67</v>
      </c>
      <c r="M147" s="459"/>
      <c r="N147" s="460"/>
      <c r="O147" s="460"/>
      <c r="P147" s="461"/>
      <c r="Q147" s="458">
        <v>4.4</v>
      </c>
      <c r="R147" s="459">
        <v>45.7</v>
      </c>
      <c r="S147" s="459">
        <v>23.0</v>
      </c>
      <c r="T147" s="459">
        <v>12.5</v>
      </c>
      <c r="U147" s="459">
        <v>7.5</v>
      </c>
      <c r="V147" s="459">
        <v>5.0</v>
      </c>
      <c r="W147" s="459">
        <v>0.5</v>
      </c>
      <c r="X147" s="459">
        <v>1.4</v>
      </c>
      <c r="Y147" s="462">
        <f t="shared" si="17"/>
        <v>95.6</v>
      </c>
      <c r="Z147" s="463"/>
      <c r="AA147" s="464"/>
      <c r="AB147" s="465"/>
      <c r="AC147" s="465"/>
      <c r="AD147" s="465"/>
      <c r="AE147" s="466"/>
      <c r="AF147" s="449"/>
      <c r="AG147" s="449"/>
      <c r="AH147" s="449"/>
    </row>
    <row r="148" ht="11.25" customHeight="1">
      <c r="A148" s="450"/>
      <c r="B148" s="451"/>
      <c r="C148" s="452"/>
      <c r="D148" s="452"/>
      <c r="E148" s="453"/>
      <c r="F148" s="453"/>
      <c r="G148" s="454"/>
      <c r="H148" s="454"/>
      <c r="I148" s="455"/>
      <c r="J148" s="456"/>
      <c r="K148" s="467" t="s">
        <v>1417</v>
      </c>
      <c r="L148" s="468">
        <v>10.87</v>
      </c>
      <c r="M148" s="469">
        <v>0.25</v>
      </c>
      <c r="N148" s="470">
        <v>0.578</v>
      </c>
      <c r="O148" s="470">
        <v>0.598</v>
      </c>
      <c r="P148" s="471">
        <v>1.28</v>
      </c>
      <c r="Q148" s="468">
        <v>2.9</v>
      </c>
      <c r="R148" s="469">
        <v>29.1</v>
      </c>
      <c r="S148" s="469">
        <v>25.8</v>
      </c>
      <c r="T148" s="469">
        <v>17.7</v>
      </c>
      <c r="U148" s="469">
        <v>12.4</v>
      </c>
      <c r="V148" s="469">
        <v>9.2</v>
      </c>
      <c r="W148" s="469">
        <v>1.0</v>
      </c>
      <c r="X148" s="469">
        <v>1.9</v>
      </c>
      <c r="Y148" s="462">
        <f t="shared" si="17"/>
        <v>97.1</v>
      </c>
      <c r="Z148" s="463"/>
      <c r="AA148" s="464"/>
      <c r="AB148" s="465"/>
      <c r="AC148" s="465"/>
      <c r="AD148" s="465"/>
      <c r="AE148" s="466"/>
      <c r="AF148" s="449"/>
      <c r="AG148" s="449"/>
      <c r="AH148" s="449"/>
    </row>
    <row r="149" ht="11.25" customHeight="1">
      <c r="A149" s="450"/>
      <c r="B149" s="472"/>
      <c r="C149" s="473"/>
      <c r="D149" s="473"/>
      <c r="E149" s="474"/>
      <c r="F149" s="474"/>
      <c r="G149" s="475"/>
      <c r="H149" s="475"/>
      <c r="I149" s="476"/>
      <c r="J149" s="477"/>
      <c r="K149" s="478" t="s">
        <v>1418</v>
      </c>
      <c r="L149" s="479">
        <v>10.07</v>
      </c>
      <c r="M149" s="480"/>
      <c r="N149" s="481"/>
      <c r="O149" s="481"/>
      <c r="P149" s="482"/>
      <c r="Q149" s="479">
        <v>3.3</v>
      </c>
      <c r="R149" s="480">
        <v>35.3</v>
      </c>
      <c r="S149" s="480">
        <v>25.9</v>
      </c>
      <c r="T149" s="480">
        <v>17.2</v>
      </c>
      <c r="U149" s="480">
        <v>10.5</v>
      </c>
      <c r="V149" s="480">
        <v>6.1</v>
      </c>
      <c r="W149" s="480">
        <v>0.7</v>
      </c>
      <c r="X149" s="480">
        <v>1.0</v>
      </c>
      <c r="Y149" s="483">
        <f t="shared" si="17"/>
        <v>96.7</v>
      </c>
      <c r="Z149" s="484"/>
      <c r="AA149" s="485"/>
      <c r="AB149" s="486"/>
      <c r="AC149" s="486"/>
      <c r="AD149" s="486"/>
      <c r="AE149" s="487"/>
      <c r="AF149" s="449"/>
      <c r="AG149" s="449"/>
      <c r="AH149" s="449"/>
    </row>
    <row r="150" ht="11.25" customHeight="1">
      <c r="A150" s="431">
        <f>IF(B150="","", YEAR(B150))</f>
        <v>2026</v>
      </c>
      <c r="B150" s="432">
        <v>46063.0</v>
      </c>
      <c r="C150" s="433" t="s">
        <v>1162</v>
      </c>
      <c r="D150" s="433" t="s">
        <v>1413</v>
      </c>
      <c r="E150" s="434">
        <f t="shared" ref="E150:I150" si="82">IFERROR(AVERAGE(L150:L153),"")</f>
        <v>9.6875</v>
      </c>
      <c r="F150" s="434">
        <f t="shared" si="82"/>
        <v>0.305</v>
      </c>
      <c r="G150" s="435">
        <f t="shared" si="82"/>
        <v>0.5775</v>
      </c>
      <c r="H150" s="435">
        <f t="shared" si="82"/>
        <v>0.5975</v>
      </c>
      <c r="I150" s="436">
        <f t="shared" si="82"/>
        <v>1.95</v>
      </c>
      <c r="J150" s="437">
        <f>SUMIFS(PRODUCTION[KG],PRODUCTION[GRADE],"3X50",PRODUCTION[DATE],B150,PRODUCTION[BATCH],C150,PRODUCTION[SHIFT],D150)</f>
        <v>17550</v>
      </c>
      <c r="K150" s="438" t="s">
        <v>1414</v>
      </c>
      <c r="L150" s="439">
        <v>9.87</v>
      </c>
      <c r="M150" s="488">
        <v>0.32</v>
      </c>
      <c r="N150" s="489">
        <v>0.574</v>
      </c>
      <c r="O150" s="489">
        <v>0.594</v>
      </c>
      <c r="P150" s="490">
        <v>1.44</v>
      </c>
      <c r="Q150" s="439">
        <v>1.8</v>
      </c>
      <c r="R150" s="488">
        <v>34.1</v>
      </c>
      <c r="S150" s="488">
        <v>26.3</v>
      </c>
      <c r="T150" s="488">
        <v>18.4</v>
      </c>
      <c r="U150" s="488">
        <v>11.3</v>
      </c>
      <c r="V150" s="488">
        <v>6.2</v>
      </c>
      <c r="W150" s="488">
        <v>0.7</v>
      </c>
      <c r="X150" s="488">
        <v>1.2</v>
      </c>
      <c r="Y150" s="444">
        <f t="shared" si="17"/>
        <v>98.2</v>
      </c>
      <c r="Z150" s="445"/>
      <c r="AA150" s="446">
        <f t="shared" ref="AA150:AE150" si="83">$J150*E150</f>
        <v>170015.625</v>
      </c>
      <c r="AB150" s="447">
        <f t="shared" si="83"/>
        <v>5352.75</v>
      </c>
      <c r="AC150" s="447">
        <f t="shared" si="83"/>
        <v>10135.125</v>
      </c>
      <c r="AD150" s="447">
        <f t="shared" si="83"/>
        <v>10486.125</v>
      </c>
      <c r="AE150" s="448">
        <f t="shared" si="83"/>
        <v>34222.5</v>
      </c>
      <c r="AF150" s="449"/>
      <c r="AG150" s="449"/>
      <c r="AH150" s="449"/>
    </row>
    <row r="151" ht="11.25" customHeight="1">
      <c r="A151" s="450"/>
      <c r="B151" s="451"/>
      <c r="C151" s="452"/>
      <c r="D151" s="452"/>
      <c r="E151" s="453"/>
      <c r="F151" s="453"/>
      <c r="G151" s="454"/>
      <c r="H151" s="454"/>
      <c r="I151" s="455"/>
      <c r="J151" s="456"/>
      <c r="K151" s="457" t="s">
        <v>1416</v>
      </c>
      <c r="L151" s="458">
        <v>9.67</v>
      </c>
      <c r="M151" s="459"/>
      <c r="N151" s="460"/>
      <c r="O151" s="460"/>
      <c r="P151" s="461"/>
      <c r="Q151" s="458">
        <v>2.4</v>
      </c>
      <c r="R151" s="459">
        <v>42.0</v>
      </c>
      <c r="S151" s="459">
        <v>26.5</v>
      </c>
      <c r="T151" s="459">
        <v>14.2</v>
      </c>
      <c r="U151" s="459">
        <v>8.3</v>
      </c>
      <c r="V151" s="459">
        <v>5.8</v>
      </c>
      <c r="W151" s="459">
        <v>0.7</v>
      </c>
      <c r="X151" s="459">
        <v>0.1</v>
      </c>
      <c r="Y151" s="462">
        <f t="shared" si="17"/>
        <v>97.6</v>
      </c>
      <c r="Z151" s="463"/>
      <c r="AA151" s="464"/>
      <c r="AB151" s="465"/>
      <c r="AC151" s="465"/>
      <c r="AD151" s="465"/>
      <c r="AE151" s="466"/>
      <c r="AF151" s="449"/>
      <c r="AG151" s="449"/>
      <c r="AH151" s="449"/>
    </row>
    <row r="152" ht="11.25" customHeight="1">
      <c r="A152" s="450"/>
      <c r="B152" s="451"/>
      <c r="C152" s="452"/>
      <c r="D152" s="452"/>
      <c r="E152" s="453"/>
      <c r="F152" s="453"/>
      <c r="G152" s="454"/>
      <c r="H152" s="454"/>
      <c r="I152" s="455"/>
      <c r="J152" s="456"/>
      <c r="K152" s="467" t="s">
        <v>1417</v>
      </c>
      <c r="L152" s="468">
        <v>9.94</v>
      </c>
      <c r="M152" s="469">
        <v>0.29</v>
      </c>
      <c r="N152" s="470">
        <v>0.581</v>
      </c>
      <c r="O152" s="470">
        <v>0.601</v>
      </c>
      <c r="P152" s="471">
        <v>2.46</v>
      </c>
      <c r="Q152" s="468">
        <v>1.9</v>
      </c>
      <c r="R152" s="469">
        <v>29.7</v>
      </c>
      <c r="S152" s="469">
        <v>26.0</v>
      </c>
      <c r="T152" s="469">
        <v>18.2</v>
      </c>
      <c r="U152" s="469">
        <v>12.1</v>
      </c>
      <c r="V152" s="469">
        <v>8.5</v>
      </c>
      <c r="W152" s="469">
        <v>1.0</v>
      </c>
      <c r="X152" s="469">
        <v>2.6</v>
      </c>
      <c r="Y152" s="462">
        <f t="shared" si="17"/>
        <v>98.1</v>
      </c>
      <c r="Z152" s="463"/>
      <c r="AA152" s="464"/>
      <c r="AB152" s="465"/>
      <c r="AC152" s="465"/>
      <c r="AD152" s="465"/>
      <c r="AE152" s="466"/>
      <c r="AF152" s="449"/>
      <c r="AG152" s="449"/>
      <c r="AH152" s="449"/>
    </row>
    <row r="153" ht="11.25" customHeight="1">
      <c r="A153" s="450"/>
      <c r="B153" s="472"/>
      <c r="C153" s="473"/>
      <c r="D153" s="473"/>
      <c r="E153" s="474"/>
      <c r="F153" s="474"/>
      <c r="G153" s="475"/>
      <c r="H153" s="475"/>
      <c r="I153" s="476"/>
      <c r="J153" s="477"/>
      <c r="K153" s="478" t="s">
        <v>1418</v>
      </c>
      <c r="L153" s="479">
        <v>9.27</v>
      </c>
      <c r="M153" s="480"/>
      <c r="N153" s="481"/>
      <c r="O153" s="481"/>
      <c r="P153" s="482"/>
      <c r="Q153" s="479">
        <v>2.1</v>
      </c>
      <c r="R153" s="480">
        <v>35.7</v>
      </c>
      <c r="S153" s="480">
        <v>28.9</v>
      </c>
      <c r="T153" s="480">
        <v>16.7</v>
      </c>
      <c r="U153" s="480">
        <v>9.2</v>
      </c>
      <c r="V153" s="480">
        <v>5.4</v>
      </c>
      <c r="W153" s="480">
        <v>0.6</v>
      </c>
      <c r="X153" s="480">
        <v>1.4</v>
      </c>
      <c r="Y153" s="483">
        <f t="shared" si="17"/>
        <v>97.9</v>
      </c>
      <c r="Z153" s="484"/>
      <c r="AA153" s="485"/>
      <c r="AB153" s="486"/>
      <c r="AC153" s="486"/>
      <c r="AD153" s="486"/>
      <c r="AE153" s="487"/>
      <c r="AF153" s="449"/>
      <c r="AG153" s="449"/>
      <c r="AH153" s="449"/>
    </row>
    <row r="154" ht="11.25" customHeight="1">
      <c r="A154" s="431">
        <f>IF(B154="","", YEAR(B154))</f>
        <v>2026</v>
      </c>
      <c r="B154" s="432">
        <v>46064.0</v>
      </c>
      <c r="C154" s="433" t="s">
        <v>1162</v>
      </c>
      <c r="D154" s="433" t="s">
        <v>1413</v>
      </c>
      <c r="E154" s="434">
        <f t="shared" ref="E154:I154" si="84">IFERROR(AVERAGE(L154:L157),"")</f>
        <v>10.3725</v>
      </c>
      <c r="F154" s="434">
        <f t="shared" si="84"/>
        <v>0.295</v>
      </c>
      <c r="G154" s="435">
        <f t="shared" si="84"/>
        <v>0.5785</v>
      </c>
      <c r="H154" s="435">
        <f t="shared" si="84"/>
        <v>0.5985</v>
      </c>
      <c r="I154" s="436">
        <f t="shared" si="84"/>
        <v>2.09</v>
      </c>
      <c r="J154" s="437">
        <f>SUMIFS(PRODUCTION[KG],PRODUCTION[GRADE],"3X50",PRODUCTION[DATE],B154,PRODUCTION[BATCH],C154,PRODUCTION[SHIFT],D154)</f>
        <v>19318</v>
      </c>
      <c r="K154" s="438" t="s">
        <v>1414</v>
      </c>
      <c r="L154" s="439">
        <v>10.34</v>
      </c>
      <c r="M154" s="488">
        <v>0.32</v>
      </c>
      <c r="N154" s="489">
        <v>0.58</v>
      </c>
      <c r="O154" s="489">
        <v>0.6</v>
      </c>
      <c r="P154" s="490">
        <v>1.94</v>
      </c>
      <c r="Q154" s="439">
        <v>1.5</v>
      </c>
      <c r="R154" s="488">
        <v>35.8</v>
      </c>
      <c r="S154" s="488">
        <v>25.5</v>
      </c>
      <c r="T154" s="488">
        <v>16.4</v>
      </c>
      <c r="U154" s="488">
        <v>10.5</v>
      </c>
      <c r="V154" s="488">
        <v>7.3</v>
      </c>
      <c r="W154" s="488">
        <v>0.9</v>
      </c>
      <c r="X154" s="488">
        <v>2.1</v>
      </c>
      <c r="Y154" s="444">
        <f t="shared" si="17"/>
        <v>98.5</v>
      </c>
      <c r="Z154" s="445"/>
      <c r="AA154" s="446">
        <f t="shared" ref="AA154:AE154" si="85">$J154*E154</f>
        <v>200375.955</v>
      </c>
      <c r="AB154" s="447">
        <f t="shared" si="85"/>
        <v>5698.81</v>
      </c>
      <c r="AC154" s="447">
        <f t="shared" si="85"/>
        <v>11175.463</v>
      </c>
      <c r="AD154" s="447">
        <f t="shared" si="85"/>
        <v>11561.823</v>
      </c>
      <c r="AE154" s="448">
        <f t="shared" si="85"/>
        <v>40374.62</v>
      </c>
      <c r="AF154" s="449"/>
      <c r="AG154" s="449"/>
      <c r="AH154" s="449"/>
    </row>
    <row r="155" ht="11.25" customHeight="1">
      <c r="A155" s="450"/>
      <c r="B155" s="451"/>
      <c r="C155" s="452"/>
      <c r="D155" s="452"/>
      <c r="E155" s="453"/>
      <c r="F155" s="453"/>
      <c r="G155" s="454"/>
      <c r="H155" s="454"/>
      <c r="I155" s="455"/>
      <c r="J155" s="456"/>
      <c r="K155" s="457" t="s">
        <v>1416</v>
      </c>
      <c r="L155" s="458">
        <v>10.14</v>
      </c>
      <c r="M155" s="459"/>
      <c r="N155" s="460"/>
      <c r="O155" s="460"/>
      <c r="P155" s="461"/>
      <c r="Q155" s="458">
        <v>3.2</v>
      </c>
      <c r="R155" s="459">
        <v>39.4</v>
      </c>
      <c r="S155" s="459">
        <v>23.5</v>
      </c>
      <c r="T155" s="459">
        <v>13.5</v>
      </c>
      <c r="U155" s="459">
        <v>8.4</v>
      </c>
      <c r="V155" s="459">
        <v>7.6</v>
      </c>
      <c r="W155" s="459">
        <v>1.2</v>
      </c>
      <c r="X155" s="459">
        <v>3.2</v>
      </c>
      <c r="Y155" s="462">
        <f t="shared" si="17"/>
        <v>96.8</v>
      </c>
      <c r="Z155" s="463"/>
      <c r="AA155" s="464"/>
      <c r="AB155" s="465"/>
      <c r="AC155" s="465"/>
      <c r="AD155" s="465"/>
      <c r="AE155" s="466"/>
      <c r="AF155" s="449"/>
      <c r="AG155" s="449"/>
      <c r="AH155" s="449"/>
    </row>
    <row r="156" ht="11.25" customHeight="1">
      <c r="A156" s="450"/>
      <c r="B156" s="451"/>
      <c r="C156" s="452"/>
      <c r="D156" s="452"/>
      <c r="E156" s="453"/>
      <c r="F156" s="453"/>
      <c r="G156" s="454"/>
      <c r="H156" s="454"/>
      <c r="I156" s="455"/>
      <c r="J156" s="456"/>
      <c r="K156" s="467" t="s">
        <v>1417</v>
      </c>
      <c r="L156" s="468">
        <v>10.94</v>
      </c>
      <c r="M156" s="469">
        <v>0.27</v>
      </c>
      <c r="N156" s="470">
        <v>0.577</v>
      </c>
      <c r="O156" s="470">
        <v>0.597</v>
      </c>
      <c r="P156" s="471">
        <v>2.24</v>
      </c>
      <c r="Q156" s="468">
        <v>1.7</v>
      </c>
      <c r="R156" s="469">
        <v>24.2</v>
      </c>
      <c r="S156" s="469">
        <v>23.8</v>
      </c>
      <c r="T156" s="469">
        <v>23.9</v>
      </c>
      <c r="U156" s="469">
        <v>12.0</v>
      </c>
      <c r="V156" s="469">
        <v>9.1</v>
      </c>
      <c r="W156" s="469">
        <v>1.1</v>
      </c>
      <c r="X156" s="469">
        <v>4.2</v>
      </c>
      <c r="Y156" s="462">
        <f t="shared" si="17"/>
        <v>98.3</v>
      </c>
      <c r="Z156" s="463"/>
      <c r="AA156" s="464"/>
      <c r="AB156" s="465"/>
      <c r="AC156" s="465"/>
      <c r="AD156" s="465"/>
      <c r="AE156" s="466"/>
      <c r="AF156" s="449"/>
      <c r="AG156" s="449"/>
      <c r="AH156" s="449"/>
    </row>
    <row r="157" ht="11.25" customHeight="1">
      <c r="A157" s="450"/>
      <c r="B157" s="472"/>
      <c r="C157" s="473"/>
      <c r="D157" s="473"/>
      <c r="E157" s="474"/>
      <c r="F157" s="474"/>
      <c r="G157" s="475"/>
      <c r="H157" s="475"/>
      <c r="I157" s="476"/>
      <c r="J157" s="477"/>
      <c r="K157" s="478" t="s">
        <v>1418</v>
      </c>
      <c r="L157" s="479">
        <v>10.07</v>
      </c>
      <c r="M157" s="480"/>
      <c r="N157" s="481"/>
      <c r="O157" s="481"/>
      <c r="P157" s="482"/>
      <c r="Q157" s="479">
        <v>1.2</v>
      </c>
      <c r="R157" s="480">
        <v>34.7</v>
      </c>
      <c r="S157" s="480">
        <v>22.2</v>
      </c>
      <c r="T157" s="480">
        <v>17.1</v>
      </c>
      <c r="U157" s="480">
        <v>13.1</v>
      </c>
      <c r="V157" s="480">
        <v>9.1</v>
      </c>
      <c r="W157" s="480">
        <v>1.0</v>
      </c>
      <c r="X157" s="480">
        <v>1.6</v>
      </c>
      <c r="Y157" s="483">
        <f t="shared" si="17"/>
        <v>98.8</v>
      </c>
      <c r="Z157" s="484"/>
      <c r="AA157" s="485"/>
      <c r="AB157" s="486"/>
      <c r="AC157" s="486"/>
      <c r="AD157" s="486"/>
      <c r="AE157" s="487"/>
      <c r="AF157" s="449"/>
      <c r="AG157" s="449"/>
      <c r="AH157" s="449"/>
    </row>
    <row r="158" ht="11.25" customHeight="1">
      <c r="A158" s="431">
        <f>IF(B158="","", YEAR(B158))</f>
        <v>2026</v>
      </c>
      <c r="B158" s="432">
        <v>46065.0</v>
      </c>
      <c r="C158" s="433" t="s">
        <v>1162</v>
      </c>
      <c r="D158" s="433" t="s">
        <v>1413</v>
      </c>
      <c r="E158" s="434">
        <f t="shared" ref="E158:I158" si="86">IFERROR(AVERAGE(L158:L161),"")</f>
        <v>10.505</v>
      </c>
      <c r="F158" s="434">
        <f t="shared" si="86"/>
        <v>0.235</v>
      </c>
      <c r="G158" s="435">
        <f t="shared" si="86"/>
        <v>0.581</v>
      </c>
      <c r="H158" s="435">
        <f t="shared" si="86"/>
        <v>0.601</v>
      </c>
      <c r="I158" s="436">
        <f t="shared" si="86"/>
        <v>1.485</v>
      </c>
      <c r="J158" s="437">
        <f>SUMIFS(PRODUCTION[KG],PRODUCTION[GRADE],"3X50",PRODUCTION[DATE],B158,PRODUCTION[BATCH],C158,PRODUCTION[SHIFT],D158)</f>
        <v>18148</v>
      </c>
      <c r="K158" s="438" t="s">
        <v>1414</v>
      </c>
      <c r="L158" s="439">
        <v>9.74</v>
      </c>
      <c r="M158" s="488">
        <v>0.24</v>
      </c>
      <c r="N158" s="489">
        <v>0.581</v>
      </c>
      <c r="O158" s="489">
        <v>0.601</v>
      </c>
      <c r="P158" s="490">
        <v>1.4</v>
      </c>
      <c r="Q158" s="439">
        <v>1.4</v>
      </c>
      <c r="R158" s="488">
        <v>29.6</v>
      </c>
      <c r="S158" s="488">
        <v>25.9</v>
      </c>
      <c r="T158" s="488">
        <v>19.1</v>
      </c>
      <c r="U158" s="488">
        <v>12.5</v>
      </c>
      <c r="V158" s="488">
        <v>8.0</v>
      </c>
      <c r="W158" s="488">
        <v>1.1</v>
      </c>
      <c r="X158" s="488">
        <v>2.4</v>
      </c>
      <c r="Y158" s="444">
        <f t="shared" si="17"/>
        <v>98.6</v>
      </c>
      <c r="Z158" s="445"/>
      <c r="AA158" s="446">
        <f t="shared" ref="AA158:AE158" si="87">$J158*E158</f>
        <v>190644.74</v>
      </c>
      <c r="AB158" s="447">
        <f t="shared" si="87"/>
        <v>4264.78</v>
      </c>
      <c r="AC158" s="447">
        <f t="shared" si="87"/>
        <v>10543.988</v>
      </c>
      <c r="AD158" s="447">
        <f t="shared" si="87"/>
        <v>10906.948</v>
      </c>
      <c r="AE158" s="448">
        <f t="shared" si="87"/>
        <v>26949.78</v>
      </c>
      <c r="AF158" s="449"/>
      <c r="AG158" s="449"/>
      <c r="AH158" s="449"/>
    </row>
    <row r="159" ht="11.25" customHeight="1">
      <c r="A159" s="450"/>
      <c r="B159" s="451"/>
      <c r="C159" s="452"/>
      <c r="D159" s="452"/>
      <c r="E159" s="453"/>
      <c r="F159" s="453"/>
      <c r="G159" s="454"/>
      <c r="H159" s="454"/>
      <c r="I159" s="455"/>
      <c r="J159" s="456"/>
      <c r="K159" s="457" t="s">
        <v>1416</v>
      </c>
      <c r="L159" s="458">
        <v>9.87</v>
      </c>
      <c r="M159" s="459"/>
      <c r="N159" s="460"/>
      <c r="O159" s="460"/>
      <c r="P159" s="461"/>
      <c r="Q159" s="458">
        <v>2.3</v>
      </c>
      <c r="R159" s="459">
        <v>41.7</v>
      </c>
      <c r="S159" s="459">
        <v>25.2</v>
      </c>
      <c r="T159" s="459">
        <v>13.7</v>
      </c>
      <c r="U159" s="459">
        <v>8.2</v>
      </c>
      <c r="V159" s="459">
        <v>6.2</v>
      </c>
      <c r="W159" s="459">
        <v>0.8</v>
      </c>
      <c r="X159" s="459">
        <v>1.9</v>
      </c>
      <c r="Y159" s="462">
        <f t="shared" si="17"/>
        <v>97.7</v>
      </c>
      <c r="Z159" s="463"/>
      <c r="AA159" s="464"/>
      <c r="AB159" s="465"/>
      <c r="AC159" s="465"/>
      <c r="AD159" s="465"/>
      <c r="AE159" s="466"/>
      <c r="AF159" s="449"/>
      <c r="AG159" s="449"/>
      <c r="AH159" s="449"/>
    </row>
    <row r="160" ht="11.25" customHeight="1">
      <c r="A160" s="450"/>
      <c r="B160" s="451"/>
      <c r="C160" s="452"/>
      <c r="D160" s="452"/>
      <c r="E160" s="453"/>
      <c r="F160" s="453"/>
      <c r="G160" s="454"/>
      <c r="H160" s="454"/>
      <c r="I160" s="455"/>
      <c r="J160" s="456"/>
      <c r="K160" s="467" t="s">
        <v>1417</v>
      </c>
      <c r="L160" s="468">
        <v>11.14</v>
      </c>
      <c r="M160" s="469">
        <v>0.23</v>
      </c>
      <c r="N160" s="470">
        <v>0.581</v>
      </c>
      <c r="O160" s="470">
        <v>0.601</v>
      </c>
      <c r="P160" s="471">
        <v>1.57</v>
      </c>
      <c r="Q160" s="468">
        <v>3.1</v>
      </c>
      <c r="R160" s="469">
        <v>38.5</v>
      </c>
      <c r="S160" s="469">
        <v>27.6</v>
      </c>
      <c r="T160" s="469">
        <v>15.5</v>
      </c>
      <c r="U160" s="469">
        <v>8.4</v>
      </c>
      <c r="V160" s="469">
        <v>4.9</v>
      </c>
      <c r="W160" s="469">
        <v>0.5</v>
      </c>
      <c r="X160" s="469">
        <v>1.5</v>
      </c>
      <c r="Y160" s="462">
        <f t="shared" si="17"/>
        <v>96.9</v>
      </c>
      <c r="Z160" s="463"/>
      <c r="AA160" s="464"/>
      <c r="AB160" s="465"/>
      <c r="AC160" s="465"/>
      <c r="AD160" s="465"/>
      <c r="AE160" s="466"/>
      <c r="AF160" s="449"/>
      <c r="AG160" s="449"/>
      <c r="AH160" s="449"/>
    </row>
    <row r="161" ht="11.25" customHeight="1">
      <c r="A161" s="450"/>
      <c r="B161" s="472"/>
      <c r="C161" s="473"/>
      <c r="D161" s="473"/>
      <c r="E161" s="474"/>
      <c r="F161" s="474"/>
      <c r="G161" s="475"/>
      <c r="H161" s="475"/>
      <c r="I161" s="476"/>
      <c r="J161" s="477"/>
      <c r="K161" s="478" t="s">
        <v>1418</v>
      </c>
      <c r="L161" s="479">
        <v>11.27</v>
      </c>
      <c r="M161" s="480"/>
      <c r="N161" s="481"/>
      <c r="O161" s="481"/>
      <c r="P161" s="482"/>
      <c r="Q161" s="479">
        <v>3.1</v>
      </c>
      <c r="R161" s="480">
        <v>35.8</v>
      </c>
      <c r="S161" s="480">
        <v>26.7</v>
      </c>
      <c r="T161" s="480">
        <v>16.7</v>
      </c>
      <c r="U161" s="480">
        <v>11.0</v>
      </c>
      <c r="V161" s="480">
        <v>5.4</v>
      </c>
      <c r="W161" s="480">
        <v>0.6</v>
      </c>
      <c r="X161" s="480">
        <v>1.4</v>
      </c>
      <c r="Y161" s="483">
        <f t="shared" si="17"/>
        <v>97.6</v>
      </c>
      <c r="Z161" s="484"/>
      <c r="AA161" s="485"/>
      <c r="AB161" s="486"/>
      <c r="AC161" s="486"/>
      <c r="AD161" s="486"/>
      <c r="AE161" s="487"/>
      <c r="AF161" s="449"/>
      <c r="AG161" s="449"/>
      <c r="AH161" s="449"/>
    </row>
    <row r="162" ht="11.25" customHeight="1">
      <c r="A162" s="431">
        <f>IF(B162="","", YEAR(B162))</f>
        <v>2026</v>
      </c>
      <c r="B162" s="432">
        <v>46066.0</v>
      </c>
      <c r="C162" s="433" t="s">
        <v>1162</v>
      </c>
      <c r="D162" s="433" t="s">
        <v>1413</v>
      </c>
      <c r="E162" s="434">
        <f t="shared" ref="E162:I162" si="88">IFERROR(AVERAGE(L162:L165),"")</f>
        <v>10.335</v>
      </c>
      <c r="F162" s="434">
        <f t="shared" si="88"/>
        <v>0.27</v>
      </c>
      <c r="G162" s="435">
        <f t="shared" si="88"/>
        <v>0.581</v>
      </c>
      <c r="H162" s="435">
        <f t="shared" si="88"/>
        <v>0.601</v>
      </c>
      <c r="I162" s="436">
        <f t="shared" si="88"/>
        <v>1.9</v>
      </c>
      <c r="J162" s="437">
        <f>SUMIFS(PRODUCTION[KG],PRODUCTION[GRADE],"3X50",PRODUCTION[DATE],B162,PRODUCTION[BATCH],C162,PRODUCTION[SHIFT],D162)</f>
        <v>17628</v>
      </c>
      <c r="K162" s="438" t="s">
        <v>1414</v>
      </c>
      <c r="L162" s="439">
        <v>10.4</v>
      </c>
      <c r="M162" s="488">
        <v>0.31</v>
      </c>
      <c r="N162" s="489">
        <v>0.583</v>
      </c>
      <c r="O162" s="489">
        <v>0.603</v>
      </c>
      <c r="P162" s="490">
        <v>1.97</v>
      </c>
      <c r="Q162" s="439">
        <v>2.2</v>
      </c>
      <c r="R162" s="488">
        <v>41.1</v>
      </c>
      <c r="S162" s="488">
        <v>24.1</v>
      </c>
      <c r="T162" s="488">
        <v>13.7</v>
      </c>
      <c r="U162" s="488">
        <v>12.1</v>
      </c>
      <c r="V162" s="488">
        <v>4.7</v>
      </c>
      <c r="W162" s="488">
        <v>0.6</v>
      </c>
      <c r="X162" s="488">
        <v>1.5</v>
      </c>
      <c r="Y162" s="444">
        <f t="shared" si="17"/>
        <v>97.8</v>
      </c>
      <c r="Z162" s="445"/>
      <c r="AA162" s="446">
        <f t="shared" ref="AA162:AE162" si="89">$J162*E162</f>
        <v>182185.38</v>
      </c>
      <c r="AB162" s="447">
        <f t="shared" si="89"/>
        <v>4759.56</v>
      </c>
      <c r="AC162" s="447">
        <f t="shared" si="89"/>
        <v>10241.868</v>
      </c>
      <c r="AD162" s="447">
        <f t="shared" si="89"/>
        <v>10594.428</v>
      </c>
      <c r="AE162" s="448">
        <f t="shared" si="89"/>
        <v>33493.2</v>
      </c>
      <c r="AF162" s="449"/>
      <c r="AG162" s="449"/>
      <c r="AH162" s="449"/>
    </row>
    <row r="163" ht="11.25" customHeight="1">
      <c r="A163" s="450"/>
      <c r="B163" s="451"/>
      <c r="C163" s="452"/>
      <c r="D163" s="452"/>
      <c r="E163" s="453"/>
      <c r="F163" s="453"/>
      <c r="G163" s="454"/>
      <c r="H163" s="454"/>
      <c r="I163" s="455"/>
      <c r="J163" s="456"/>
      <c r="K163" s="457" t="s">
        <v>1416</v>
      </c>
      <c r="L163" s="458">
        <v>10.47</v>
      </c>
      <c r="M163" s="459"/>
      <c r="N163" s="460"/>
      <c r="O163" s="460"/>
      <c r="P163" s="461"/>
      <c r="Q163" s="458">
        <v>1.9</v>
      </c>
      <c r="R163" s="459">
        <v>35.0</v>
      </c>
      <c r="S163" s="459">
        <v>26.3</v>
      </c>
      <c r="T163" s="459">
        <v>16.2</v>
      </c>
      <c r="U163" s="459">
        <v>9.9</v>
      </c>
      <c r="V163" s="459">
        <v>7.2</v>
      </c>
      <c r="W163" s="459">
        <v>1.0</v>
      </c>
      <c r="X163" s="459">
        <v>2.5</v>
      </c>
      <c r="Y163" s="462">
        <f t="shared" si="17"/>
        <v>98.1</v>
      </c>
      <c r="Z163" s="463"/>
      <c r="AA163" s="464"/>
      <c r="AB163" s="465"/>
      <c r="AC163" s="465"/>
      <c r="AD163" s="465"/>
      <c r="AE163" s="466"/>
      <c r="AF163" s="449"/>
      <c r="AG163" s="449"/>
      <c r="AH163" s="449"/>
    </row>
    <row r="164" ht="11.25" customHeight="1">
      <c r="A164" s="450"/>
      <c r="B164" s="451"/>
      <c r="C164" s="452"/>
      <c r="D164" s="452"/>
      <c r="E164" s="453"/>
      <c r="F164" s="453"/>
      <c r="G164" s="454"/>
      <c r="H164" s="454"/>
      <c r="I164" s="455"/>
      <c r="J164" s="456"/>
      <c r="K164" s="467" t="s">
        <v>1417</v>
      </c>
      <c r="L164" s="468">
        <v>10.4</v>
      </c>
      <c r="M164" s="469">
        <v>0.23</v>
      </c>
      <c r="N164" s="470">
        <v>0.579</v>
      </c>
      <c r="O164" s="470">
        <v>0.599</v>
      </c>
      <c r="P164" s="471">
        <v>1.83</v>
      </c>
      <c r="Q164" s="468">
        <v>1.6</v>
      </c>
      <c r="R164" s="469">
        <v>37.0</v>
      </c>
      <c r="S164" s="469">
        <v>25.5</v>
      </c>
      <c r="T164" s="469">
        <v>16.0</v>
      </c>
      <c r="U164" s="469">
        <v>8.9</v>
      </c>
      <c r="V164" s="469">
        <v>8.1</v>
      </c>
      <c r="W164" s="469">
        <v>1.2</v>
      </c>
      <c r="X164" s="469">
        <v>1.7</v>
      </c>
      <c r="Y164" s="462">
        <f t="shared" si="17"/>
        <v>98.4</v>
      </c>
      <c r="Z164" s="463"/>
      <c r="AA164" s="464"/>
      <c r="AB164" s="465"/>
      <c r="AC164" s="465"/>
      <c r="AD164" s="465"/>
      <c r="AE164" s="466"/>
      <c r="AF164" s="449"/>
      <c r="AG164" s="449"/>
      <c r="AH164" s="449"/>
    </row>
    <row r="165" ht="11.25" customHeight="1">
      <c r="A165" s="450"/>
      <c r="B165" s="472"/>
      <c r="C165" s="473"/>
      <c r="D165" s="473"/>
      <c r="E165" s="474"/>
      <c r="F165" s="474"/>
      <c r="G165" s="475"/>
      <c r="H165" s="475"/>
      <c r="I165" s="476"/>
      <c r="J165" s="477"/>
      <c r="K165" s="478" t="s">
        <v>1418</v>
      </c>
      <c r="L165" s="479">
        <v>10.07</v>
      </c>
      <c r="M165" s="480"/>
      <c r="N165" s="481"/>
      <c r="O165" s="481"/>
      <c r="P165" s="482"/>
      <c r="Q165" s="479">
        <v>1.6</v>
      </c>
      <c r="R165" s="480">
        <v>33.4</v>
      </c>
      <c r="S165" s="480">
        <v>27.7</v>
      </c>
      <c r="T165" s="480">
        <v>16.4</v>
      </c>
      <c r="U165" s="480">
        <v>10.6</v>
      </c>
      <c r="V165" s="480">
        <v>7.2</v>
      </c>
      <c r="W165" s="480">
        <v>0.9</v>
      </c>
      <c r="X165" s="480">
        <v>2.2</v>
      </c>
      <c r="Y165" s="483">
        <f t="shared" si="17"/>
        <v>98.4</v>
      </c>
      <c r="Z165" s="484"/>
      <c r="AA165" s="485"/>
      <c r="AB165" s="486"/>
      <c r="AC165" s="486"/>
      <c r="AD165" s="486"/>
      <c r="AE165" s="487"/>
      <c r="AF165" s="449"/>
      <c r="AG165" s="449"/>
      <c r="AH165" s="449"/>
    </row>
    <row r="166" ht="11.25" customHeight="1">
      <c r="A166" s="431">
        <f>IF(B166="","", YEAR(B166))</f>
        <v>2026</v>
      </c>
      <c r="B166" s="432">
        <v>46067.0</v>
      </c>
      <c r="C166" s="433" t="s">
        <v>1162</v>
      </c>
      <c r="D166" s="433" t="s">
        <v>1413</v>
      </c>
      <c r="E166" s="434">
        <f t="shared" ref="E166:I166" si="90">IFERROR(AVERAGE(L166:L169),"")</f>
        <v>9.92</v>
      </c>
      <c r="F166" s="434">
        <f t="shared" si="90"/>
        <v>0.31</v>
      </c>
      <c r="G166" s="435">
        <f t="shared" si="90"/>
        <v>0.5775</v>
      </c>
      <c r="H166" s="435">
        <f t="shared" si="90"/>
        <v>0.5975</v>
      </c>
      <c r="I166" s="436">
        <f t="shared" si="90"/>
        <v>1.49</v>
      </c>
      <c r="J166" s="437">
        <f>SUMIFS(PRODUCTION[KG],PRODUCTION[GRADE],"3X50",PRODUCTION[DATE],B166,PRODUCTION[BATCH],C166,PRODUCTION[SHIFT],D166)</f>
        <v>17940</v>
      </c>
      <c r="K166" s="438" t="s">
        <v>1414</v>
      </c>
      <c r="L166" s="439">
        <v>10.0</v>
      </c>
      <c r="M166" s="488">
        <v>0.31</v>
      </c>
      <c r="N166" s="489">
        <v>0.574</v>
      </c>
      <c r="O166" s="489">
        <v>0.594</v>
      </c>
      <c r="P166" s="490">
        <v>1.94</v>
      </c>
      <c r="Q166" s="439">
        <v>0.5</v>
      </c>
      <c r="R166" s="488">
        <v>37.1</v>
      </c>
      <c r="S166" s="488">
        <v>26.8</v>
      </c>
      <c r="T166" s="488">
        <v>16.6</v>
      </c>
      <c r="U166" s="488">
        <v>10.4</v>
      </c>
      <c r="V166" s="488">
        <v>6.2</v>
      </c>
      <c r="W166" s="488">
        <v>0.7</v>
      </c>
      <c r="X166" s="488">
        <v>1.7</v>
      </c>
      <c r="Y166" s="444">
        <f t="shared" si="17"/>
        <v>99.5</v>
      </c>
      <c r="Z166" s="445"/>
      <c r="AA166" s="446">
        <f t="shared" ref="AA166:AE166" si="91">$J166*E166</f>
        <v>177964.8</v>
      </c>
      <c r="AB166" s="447">
        <f t="shared" si="91"/>
        <v>5561.4</v>
      </c>
      <c r="AC166" s="447">
        <f t="shared" si="91"/>
        <v>10360.35</v>
      </c>
      <c r="AD166" s="447">
        <f t="shared" si="91"/>
        <v>10719.15</v>
      </c>
      <c r="AE166" s="448">
        <f t="shared" si="91"/>
        <v>26730.6</v>
      </c>
      <c r="AF166" s="449"/>
      <c r="AG166" s="449"/>
      <c r="AH166" s="449"/>
    </row>
    <row r="167" ht="11.25" customHeight="1">
      <c r="A167" s="450"/>
      <c r="B167" s="451"/>
      <c r="C167" s="452"/>
      <c r="D167" s="452"/>
      <c r="E167" s="453"/>
      <c r="F167" s="453"/>
      <c r="G167" s="454"/>
      <c r="H167" s="454"/>
      <c r="I167" s="455"/>
      <c r="J167" s="456"/>
      <c r="K167" s="457" t="s">
        <v>1416</v>
      </c>
      <c r="L167" s="458">
        <v>10.2</v>
      </c>
      <c r="M167" s="459"/>
      <c r="N167" s="460"/>
      <c r="O167" s="460"/>
      <c r="P167" s="461"/>
      <c r="Q167" s="458">
        <v>0.8</v>
      </c>
      <c r="R167" s="459">
        <v>42.0</v>
      </c>
      <c r="S167" s="459">
        <v>23.1</v>
      </c>
      <c r="T167" s="459">
        <v>14.7</v>
      </c>
      <c r="U167" s="459">
        <v>9.9</v>
      </c>
      <c r="V167" s="459">
        <v>7.1</v>
      </c>
      <c r="W167" s="459">
        <v>0.8</v>
      </c>
      <c r="X167" s="459">
        <v>1.6</v>
      </c>
      <c r="Y167" s="462">
        <f t="shared" si="17"/>
        <v>99.2</v>
      </c>
      <c r="Z167" s="463"/>
      <c r="AA167" s="464"/>
      <c r="AB167" s="465"/>
      <c r="AC167" s="465"/>
      <c r="AD167" s="465"/>
      <c r="AE167" s="466"/>
      <c r="AF167" s="449"/>
      <c r="AG167" s="449"/>
      <c r="AH167" s="449"/>
    </row>
    <row r="168" ht="11.25" customHeight="1">
      <c r="A168" s="450"/>
      <c r="B168" s="451"/>
      <c r="C168" s="452"/>
      <c r="D168" s="452"/>
      <c r="E168" s="453"/>
      <c r="F168" s="453"/>
      <c r="G168" s="454"/>
      <c r="H168" s="454"/>
      <c r="I168" s="455"/>
      <c r="J168" s="456"/>
      <c r="K168" s="467" t="s">
        <v>1417</v>
      </c>
      <c r="L168" s="468">
        <v>9.94</v>
      </c>
      <c r="M168" s="469">
        <v>0.31</v>
      </c>
      <c r="N168" s="470">
        <v>0.581</v>
      </c>
      <c r="O168" s="470">
        <v>0.601</v>
      </c>
      <c r="P168" s="471">
        <v>1.04</v>
      </c>
      <c r="Q168" s="468">
        <v>1.3</v>
      </c>
      <c r="R168" s="469">
        <v>35.7</v>
      </c>
      <c r="S168" s="469">
        <v>28.1</v>
      </c>
      <c r="T168" s="469">
        <v>15.5</v>
      </c>
      <c r="U168" s="469">
        <v>10.1</v>
      </c>
      <c r="V168" s="469">
        <v>6.9</v>
      </c>
      <c r="W168" s="469">
        <v>1.0</v>
      </c>
      <c r="X168" s="469">
        <v>1.4</v>
      </c>
      <c r="Y168" s="462">
        <f t="shared" si="17"/>
        <v>98.7</v>
      </c>
      <c r="Z168" s="463"/>
      <c r="AA168" s="464"/>
      <c r="AB168" s="465"/>
      <c r="AC168" s="465"/>
      <c r="AD168" s="465"/>
      <c r="AE168" s="466"/>
      <c r="AF168" s="449"/>
      <c r="AG168" s="449"/>
      <c r="AH168" s="449"/>
    </row>
    <row r="169" ht="11.25" customHeight="1">
      <c r="A169" s="450"/>
      <c r="B169" s="472"/>
      <c r="C169" s="473"/>
      <c r="D169" s="473"/>
      <c r="E169" s="474"/>
      <c r="F169" s="474"/>
      <c r="G169" s="475"/>
      <c r="H169" s="475"/>
      <c r="I169" s="476"/>
      <c r="J169" s="477"/>
      <c r="K169" s="478" t="s">
        <v>1418</v>
      </c>
      <c r="L169" s="479">
        <v>9.54</v>
      </c>
      <c r="M169" s="480"/>
      <c r="N169" s="481"/>
      <c r="O169" s="481"/>
      <c r="P169" s="482"/>
      <c r="Q169" s="479">
        <v>1.6</v>
      </c>
      <c r="R169" s="480">
        <v>38.7</v>
      </c>
      <c r="S169" s="480">
        <v>27.2</v>
      </c>
      <c r="T169" s="480">
        <v>15.7</v>
      </c>
      <c r="U169" s="480">
        <v>8.6</v>
      </c>
      <c r="V169" s="480">
        <v>5.8</v>
      </c>
      <c r="W169" s="480">
        <v>0.5</v>
      </c>
      <c r="X169" s="480">
        <v>1.9</v>
      </c>
      <c r="Y169" s="483">
        <f t="shared" si="17"/>
        <v>98.4</v>
      </c>
      <c r="Z169" s="484"/>
      <c r="AA169" s="485"/>
      <c r="AB169" s="486"/>
      <c r="AC169" s="486"/>
      <c r="AD169" s="486"/>
      <c r="AE169" s="487"/>
      <c r="AF169" s="449"/>
      <c r="AG169" s="449"/>
      <c r="AH169" s="449"/>
    </row>
    <row r="170" ht="11.25" customHeight="1">
      <c r="A170" s="431">
        <f>IF(B170="","", YEAR(B170))</f>
        <v>2026</v>
      </c>
      <c r="B170" s="432">
        <v>46070.0</v>
      </c>
      <c r="C170" s="433" t="s">
        <v>1162</v>
      </c>
      <c r="D170" s="433" t="s">
        <v>1413</v>
      </c>
      <c r="E170" s="434">
        <f t="shared" ref="E170:I170" si="92">IFERROR(AVERAGE(L170:L173),"")</f>
        <v>10.1025</v>
      </c>
      <c r="F170" s="434">
        <f t="shared" si="92"/>
        <v>0.235</v>
      </c>
      <c r="G170" s="435">
        <f t="shared" si="92"/>
        <v>0.5785</v>
      </c>
      <c r="H170" s="435">
        <f t="shared" si="92"/>
        <v>0.5985</v>
      </c>
      <c r="I170" s="436">
        <f t="shared" si="92"/>
        <v>2.785</v>
      </c>
      <c r="J170" s="437">
        <f>SUMIFS(PRODUCTION[KG],PRODUCTION[GRADE],"3X50",PRODUCTION[DATE],B170,PRODUCTION[BATCH],C170,PRODUCTION[SHIFT],D170)</f>
        <v>18876</v>
      </c>
      <c r="K170" s="438" t="s">
        <v>1414</v>
      </c>
      <c r="L170" s="439">
        <v>10.2</v>
      </c>
      <c r="M170" s="488">
        <v>0.27</v>
      </c>
      <c r="N170" s="489">
        <v>0.579</v>
      </c>
      <c r="O170" s="489">
        <v>0.599</v>
      </c>
      <c r="P170" s="490">
        <v>2.7</v>
      </c>
      <c r="Q170" s="439">
        <v>1.5</v>
      </c>
      <c r="R170" s="488">
        <v>31.3</v>
      </c>
      <c r="S170" s="488">
        <v>27.4</v>
      </c>
      <c r="T170" s="488">
        <v>17.6</v>
      </c>
      <c r="U170" s="488">
        <v>11.5</v>
      </c>
      <c r="V170" s="488">
        <v>7.6</v>
      </c>
      <c r="W170" s="488">
        <v>1.1</v>
      </c>
      <c r="X170" s="488">
        <v>2.0</v>
      </c>
      <c r="Y170" s="444">
        <f t="shared" si="17"/>
        <v>98.5</v>
      </c>
      <c r="Z170" s="445"/>
      <c r="AA170" s="446">
        <f t="shared" ref="AA170:AE170" si="93">$J170*E170</f>
        <v>190694.79</v>
      </c>
      <c r="AB170" s="447">
        <f t="shared" si="93"/>
        <v>4435.86</v>
      </c>
      <c r="AC170" s="447">
        <f t="shared" si="93"/>
        <v>10919.766</v>
      </c>
      <c r="AD170" s="447">
        <f t="shared" si="93"/>
        <v>11297.286</v>
      </c>
      <c r="AE170" s="448">
        <f t="shared" si="93"/>
        <v>52569.66</v>
      </c>
      <c r="AF170" s="449"/>
      <c r="AG170" s="449"/>
      <c r="AH170" s="449"/>
    </row>
    <row r="171" ht="11.25" customHeight="1">
      <c r="A171" s="450"/>
      <c r="B171" s="451"/>
      <c r="C171" s="452"/>
      <c r="D171" s="452"/>
      <c r="E171" s="453"/>
      <c r="F171" s="453"/>
      <c r="G171" s="454"/>
      <c r="H171" s="454"/>
      <c r="I171" s="455"/>
      <c r="J171" s="456"/>
      <c r="K171" s="457" t="s">
        <v>1416</v>
      </c>
      <c r="L171" s="458">
        <v>10.14</v>
      </c>
      <c r="M171" s="459"/>
      <c r="N171" s="460"/>
      <c r="O171" s="460"/>
      <c r="P171" s="461"/>
      <c r="Q171" s="458">
        <v>3.1</v>
      </c>
      <c r="R171" s="459">
        <v>36.4</v>
      </c>
      <c r="S171" s="459">
        <v>24.0</v>
      </c>
      <c r="T171" s="459">
        <v>15.3</v>
      </c>
      <c r="U171" s="459">
        <v>9.8</v>
      </c>
      <c r="V171" s="459">
        <v>8.0</v>
      </c>
      <c r="W171" s="459">
        <v>1.0</v>
      </c>
      <c r="X171" s="459">
        <v>2.4</v>
      </c>
      <c r="Y171" s="462">
        <f t="shared" si="17"/>
        <v>96.9</v>
      </c>
      <c r="Z171" s="463"/>
      <c r="AA171" s="464"/>
      <c r="AB171" s="465"/>
      <c r="AC171" s="465"/>
      <c r="AD171" s="465"/>
      <c r="AE171" s="466"/>
      <c r="AF171" s="449"/>
      <c r="AG171" s="449"/>
      <c r="AH171" s="449"/>
    </row>
    <row r="172" ht="11.25" customHeight="1">
      <c r="A172" s="450"/>
      <c r="B172" s="451"/>
      <c r="C172" s="452"/>
      <c r="D172" s="452"/>
      <c r="E172" s="453"/>
      <c r="F172" s="453"/>
      <c r="G172" s="454"/>
      <c r="H172" s="454"/>
      <c r="I172" s="455"/>
      <c r="J172" s="456"/>
      <c r="K172" s="467" t="s">
        <v>1417</v>
      </c>
      <c r="L172" s="468">
        <v>10.27</v>
      </c>
      <c r="M172" s="469">
        <v>0.2</v>
      </c>
      <c r="N172" s="470">
        <v>0.578</v>
      </c>
      <c r="O172" s="470">
        <v>0.598</v>
      </c>
      <c r="P172" s="471">
        <v>2.87</v>
      </c>
      <c r="Q172" s="468">
        <v>1.3</v>
      </c>
      <c r="R172" s="469">
        <v>32.3</v>
      </c>
      <c r="S172" s="469">
        <v>27.1</v>
      </c>
      <c r="T172" s="469">
        <v>16.0</v>
      </c>
      <c r="U172" s="469">
        <v>10.8</v>
      </c>
      <c r="V172" s="469">
        <v>8.0</v>
      </c>
      <c r="W172" s="469">
        <v>1.1</v>
      </c>
      <c r="X172" s="469">
        <v>3.4</v>
      </c>
      <c r="Y172" s="462">
        <f t="shared" si="17"/>
        <v>98.7</v>
      </c>
      <c r="Z172" s="463"/>
      <c r="AA172" s="464"/>
      <c r="AB172" s="465"/>
      <c r="AC172" s="465"/>
      <c r="AD172" s="465"/>
      <c r="AE172" s="466"/>
      <c r="AF172" s="449"/>
      <c r="AG172" s="449"/>
      <c r="AH172" s="449"/>
    </row>
    <row r="173" ht="11.25" customHeight="1">
      <c r="A173" s="450"/>
      <c r="B173" s="472"/>
      <c r="C173" s="473"/>
      <c r="D173" s="473"/>
      <c r="E173" s="474"/>
      <c r="F173" s="474"/>
      <c r="G173" s="475"/>
      <c r="H173" s="475"/>
      <c r="I173" s="476"/>
      <c r="J173" s="477"/>
      <c r="K173" s="478" t="s">
        <v>1418</v>
      </c>
      <c r="L173" s="479">
        <v>9.8</v>
      </c>
      <c r="M173" s="480"/>
      <c r="N173" s="481"/>
      <c r="O173" s="481"/>
      <c r="P173" s="482"/>
      <c r="Q173" s="479">
        <v>1.8</v>
      </c>
      <c r="R173" s="480">
        <v>37.7</v>
      </c>
      <c r="S173" s="480">
        <v>28.5</v>
      </c>
      <c r="T173" s="480">
        <v>16.8</v>
      </c>
      <c r="U173" s="480">
        <v>8.3</v>
      </c>
      <c r="V173" s="480">
        <v>4.8</v>
      </c>
      <c r="W173" s="480">
        <v>0.6</v>
      </c>
      <c r="X173" s="480">
        <v>1.5</v>
      </c>
      <c r="Y173" s="483">
        <f t="shared" si="17"/>
        <v>98.2</v>
      </c>
      <c r="Z173" s="484"/>
      <c r="AA173" s="485"/>
      <c r="AB173" s="486"/>
      <c r="AC173" s="486"/>
      <c r="AD173" s="486"/>
      <c r="AE173" s="487"/>
      <c r="AF173" s="449"/>
      <c r="AG173" s="449"/>
      <c r="AH173" s="449"/>
    </row>
    <row r="174" ht="11.25" customHeight="1">
      <c r="A174" s="431">
        <f>IF(B174="","", YEAR(B174))</f>
        <v>2026</v>
      </c>
      <c r="B174" s="432">
        <v>46071.0</v>
      </c>
      <c r="C174" s="433" t="s">
        <v>1162</v>
      </c>
      <c r="D174" s="433" t="s">
        <v>1413</v>
      </c>
      <c r="E174" s="434">
        <f t="shared" ref="E174:I174" si="94">IFERROR(AVERAGE(L174:L177),"")</f>
        <v>9.9875</v>
      </c>
      <c r="F174" s="434">
        <f t="shared" si="94"/>
        <v>0.3</v>
      </c>
      <c r="G174" s="435">
        <f t="shared" si="94"/>
        <v>0.5785</v>
      </c>
      <c r="H174" s="435">
        <f t="shared" si="94"/>
        <v>0.5985</v>
      </c>
      <c r="I174" s="436">
        <f t="shared" si="94"/>
        <v>2.71</v>
      </c>
      <c r="J174" s="437">
        <f>SUMIFS(PRODUCTION[KG],PRODUCTION[GRADE],"3X50",PRODUCTION[DATE],B174,PRODUCTION[BATCH],C174,PRODUCTION[SHIFT],D174)</f>
        <v>18226</v>
      </c>
      <c r="K174" s="438" t="s">
        <v>1414</v>
      </c>
      <c r="L174" s="439">
        <v>9.67</v>
      </c>
      <c r="M174" s="488">
        <v>0.28</v>
      </c>
      <c r="N174" s="489">
        <v>0.576</v>
      </c>
      <c r="O174" s="489">
        <v>0.596</v>
      </c>
      <c r="P174" s="490">
        <v>2.72</v>
      </c>
      <c r="Q174" s="439">
        <v>1.6</v>
      </c>
      <c r="R174" s="488">
        <v>37.5</v>
      </c>
      <c r="S174" s="488">
        <v>27.7</v>
      </c>
      <c r="T174" s="488">
        <v>16.1</v>
      </c>
      <c r="U174" s="488">
        <v>9.7</v>
      </c>
      <c r="V174" s="488">
        <v>4.9</v>
      </c>
      <c r="W174" s="488">
        <v>0.6</v>
      </c>
      <c r="X174" s="488">
        <v>1.9</v>
      </c>
      <c r="Y174" s="444">
        <f t="shared" si="17"/>
        <v>98.4</v>
      </c>
      <c r="Z174" s="445"/>
      <c r="AA174" s="446">
        <f t="shared" ref="AA174:AE174" si="95">$J174*E174</f>
        <v>182032.175</v>
      </c>
      <c r="AB174" s="447">
        <f t="shared" si="95"/>
        <v>5467.8</v>
      </c>
      <c r="AC174" s="447">
        <f t="shared" si="95"/>
        <v>10543.741</v>
      </c>
      <c r="AD174" s="447">
        <f t="shared" si="95"/>
        <v>10908.261</v>
      </c>
      <c r="AE174" s="448">
        <f t="shared" si="95"/>
        <v>49392.46</v>
      </c>
      <c r="AF174" s="449"/>
      <c r="AG174" s="449"/>
      <c r="AH174" s="449"/>
    </row>
    <row r="175" ht="11.25" customHeight="1">
      <c r="A175" s="450"/>
      <c r="B175" s="451"/>
      <c r="C175" s="452"/>
      <c r="D175" s="452"/>
      <c r="E175" s="453"/>
      <c r="F175" s="453"/>
      <c r="G175" s="454"/>
      <c r="H175" s="454"/>
      <c r="I175" s="455"/>
      <c r="J175" s="456"/>
      <c r="K175" s="457" t="s">
        <v>1416</v>
      </c>
      <c r="L175" s="458">
        <v>10.34</v>
      </c>
      <c r="M175" s="459"/>
      <c r="N175" s="460"/>
      <c r="O175" s="460"/>
      <c r="P175" s="461"/>
      <c r="Q175" s="458">
        <v>0.7</v>
      </c>
      <c r="R175" s="459">
        <v>31.4</v>
      </c>
      <c r="S175" s="459">
        <v>27.2</v>
      </c>
      <c r="T175" s="459">
        <v>17.7</v>
      </c>
      <c r="U175" s="459">
        <v>11.4</v>
      </c>
      <c r="V175" s="459">
        <v>8.5</v>
      </c>
      <c r="W175" s="459">
        <v>1.0</v>
      </c>
      <c r="X175" s="459">
        <v>2.1</v>
      </c>
      <c r="Y175" s="462">
        <f t="shared" si="17"/>
        <v>99.3</v>
      </c>
      <c r="Z175" s="463"/>
      <c r="AA175" s="464"/>
      <c r="AB175" s="465"/>
      <c r="AC175" s="465"/>
      <c r="AD175" s="465"/>
      <c r="AE175" s="466"/>
      <c r="AF175" s="449"/>
      <c r="AG175" s="449"/>
      <c r="AH175" s="449"/>
    </row>
    <row r="176" ht="11.25" customHeight="1">
      <c r="A176" s="450"/>
      <c r="B176" s="451"/>
      <c r="C176" s="452"/>
      <c r="D176" s="452"/>
      <c r="E176" s="453"/>
      <c r="F176" s="453"/>
      <c r="G176" s="454"/>
      <c r="H176" s="454"/>
      <c r="I176" s="455"/>
      <c r="J176" s="456"/>
      <c r="K176" s="467" t="s">
        <v>1417</v>
      </c>
      <c r="L176" s="468">
        <v>9.6</v>
      </c>
      <c r="M176" s="469">
        <v>0.32</v>
      </c>
      <c r="N176" s="470">
        <v>0.581</v>
      </c>
      <c r="O176" s="470">
        <v>0.601</v>
      </c>
      <c r="P176" s="471">
        <v>2.7</v>
      </c>
      <c r="Q176" s="468">
        <v>2.5</v>
      </c>
      <c r="R176" s="469">
        <v>33.1</v>
      </c>
      <c r="S176" s="469">
        <v>23.3</v>
      </c>
      <c r="T176" s="469">
        <v>15.6</v>
      </c>
      <c r="U176" s="469">
        <v>10.9</v>
      </c>
      <c r="V176" s="469">
        <v>9.2</v>
      </c>
      <c r="W176" s="469">
        <v>1.7</v>
      </c>
      <c r="X176" s="469">
        <v>3.7</v>
      </c>
      <c r="Y176" s="462">
        <f t="shared" si="17"/>
        <v>97.5</v>
      </c>
      <c r="Z176" s="463"/>
      <c r="AA176" s="464"/>
      <c r="AB176" s="465"/>
      <c r="AC176" s="465"/>
      <c r="AD176" s="465"/>
      <c r="AE176" s="466"/>
      <c r="AF176" s="449"/>
      <c r="AG176" s="449"/>
      <c r="AH176" s="449"/>
    </row>
    <row r="177" ht="11.25" customHeight="1">
      <c r="A177" s="450"/>
      <c r="B177" s="472"/>
      <c r="C177" s="473"/>
      <c r="D177" s="473"/>
      <c r="E177" s="474"/>
      <c r="F177" s="474"/>
      <c r="G177" s="475"/>
      <c r="H177" s="475"/>
      <c r="I177" s="476"/>
      <c r="J177" s="477"/>
      <c r="K177" s="478" t="s">
        <v>1418</v>
      </c>
      <c r="L177" s="479">
        <v>10.34</v>
      </c>
      <c r="M177" s="480"/>
      <c r="N177" s="481"/>
      <c r="O177" s="481"/>
      <c r="P177" s="482"/>
      <c r="Q177" s="479">
        <v>1.3</v>
      </c>
      <c r="R177" s="480">
        <v>38.4</v>
      </c>
      <c r="S177" s="480">
        <v>28.3</v>
      </c>
      <c r="T177" s="480">
        <v>16.7</v>
      </c>
      <c r="U177" s="480">
        <v>8.7</v>
      </c>
      <c r="V177" s="480">
        <v>5.0</v>
      </c>
      <c r="W177" s="480">
        <v>0.1</v>
      </c>
      <c r="X177" s="480">
        <v>1.5</v>
      </c>
      <c r="Y177" s="483">
        <f t="shared" si="17"/>
        <v>98.7</v>
      </c>
      <c r="Z177" s="484"/>
      <c r="AA177" s="485"/>
      <c r="AB177" s="486"/>
      <c r="AC177" s="486"/>
      <c r="AD177" s="486"/>
      <c r="AE177" s="487"/>
      <c r="AF177" s="449"/>
      <c r="AG177" s="449"/>
      <c r="AH177" s="449"/>
    </row>
    <row r="178" ht="11.25" customHeight="1">
      <c r="A178" s="431">
        <f>IF(B178="","", YEAR(B178))</f>
        <v>2026</v>
      </c>
      <c r="B178" s="432">
        <v>46072.0</v>
      </c>
      <c r="C178" s="433" t="s">
        <v>1162</v>
      </c>
      <c r="D178" s="433" t="s">
        <v>1413</v>
      </c>
      <c r="E178" s="434">
        <f t="shared" ref="E178:I178" si="96">IFERROR(AVERAGE(L178:L181),"")</f>
        <v>10.035</v>
      </c>
      <c r="F178" s="434">
        <f t="shared" si="96"/>
        <v>0.26</v>
      </c>
      <c r="G178" s="435">
        <f t="shared" si="96"/>
        <v>0.5795</v>
      </c>
      <c r="H178" s="435">
        <f t="shared" si="96"/>
        <v>0.5995</v>
      </c>
      <c r="I178" s="436">
        <f t="shared" si="96"/>
        <v>1.86</v>
      </c>
      <c r="J178" s="437">
        <f>SUMIFS(PRODUCTION[KG],PRODUCTION[GRADE],"3X50",PRODUCTION[DATE],B178,PRODUCTION[BATCH],C178,PRODUCTION[SHIFT],D178)</f>
        <v>18200</v>
      </c>
      <c r="K178" s="438" t="s">
        <v>1414</v>
      </c>
      <c r="L178" s="439">
        <v>10.4</v>
      </c>
      <c r="M178" s="488">
        <v>0.27</v>
      </c>
      <c r="N178" s="489">
        <v>0.578</v>
      </c>
      <c r="O178" s="489">
        <v>0.598</v>
      </c>
      <c r="P178" s="490">
        <v>1.64</v>
      </c>
      <c r="Q178" s="439">
        <v>1.1</v>
      </c>
      <c r="R178" s="488">
        <v>33.4</v>
      </c>
      <c r="S178" s="488">
        <v>27.1</v>
      </c>
      <c r="T178" s="488">
        <v>16.6</v>
      </c>
      <c r="U178" s="488">
        <v>10.8</v>
      </c>
      <c r="V178" s="488">
        <v>8.0</v>
      </c>
      <c r="W178" s="488">
        <v>0.7</v>
      </c>
      <c r="X178" s="488">
        <v>2.3</v>
      </c>
      <c r="Y178" s="444">
        <f t="shared" si="17"/>
        <v>98.9</v>
      </c>
      <c r="Z178" s="445"/>
      <c r="AA178" s="446">
        <f t="shared" ref="AA178:AE178" si="97">$J178*E178</f>
        <v>182637</v>
      </c>
      <c r="AB178" s="447">
        <f t="shared" si="97"/>
        <v>4732</v>
      </c>
      <c r="AC178" s="447">
        <f t="shared" si="97"/>
        <v>10546.9</v>
      </c>
      <c r="AD178" s="447">
        <f t="shared" si="97"/>
        <v>10910.9</v>
      </c>
      <c r="AE178" s="448">
        <f t="shared" si="97"/>
        <v>33852</v>
      </c>
      <c r="AF178" s="449"/>
      <c r="AG178" s="449"/>
      <c r="AH178" s="449"/>
    </row>
    <row r="179" ht="11.25" customHeight="1">
      <c r="A179" s="450"/>
      <c r="B179" s="451"/>
      <c r="C179" s="452"/>
      <c r="D179" s="452"/>
      <c r="E179" s="453"/>
      <c r="F179" s="453"/>
      <c r="G179" s="454"/>
      <c r="H179" s="454"/>
      <c r="I179" s="455"/>
      <c r="J179" s="456"/>
      <c r="K179" s="457" t="s">
        <v>1416</v>
      </c>
      <c r="L179" s="458">
        <v>9.8</v>
      </c>
      <c r="M179" s="459"/>
      <c r="N179" s="460"/>
      <c r="O179" s="460"/>
      <c r="P179" s="461"/>
      <c r="Q179" s="458">
        <v>2.9</v>
      </c>
      <c r="R179" s="459">
        <v>42.2</v>
      </c>
      <c r="S179" s="459">
        <v>26.9</v>
      </c>
      <c r="T179" s="459">
        <v>14.0</v>
      </c>
      <c r="U179" s="459">
        <v>7.4</v>
      </c>
      <c r="V179" s="459">
        <v>4.3</v>
      </c>
      <c r="W179" s="459">
        <v>0.5</v>
      </c>
      <c r="X179" s="459">
        <v>1.8</v>
      </c>
      <c r="Y179" s="462">
        <f t="shared" si="17"/>
        <v>97.1</v>
      </c>
      <c r="Z179" s="463"/>
      <c r="AA179" s="464"/>
      <c r="AB179" s="465"/>
      <c r="AC179" s="465"/>
      <c r="AD179" s="465"/>
      <c r="AE179" s="466"/>
      <c r="AF179" s="449"/>
      <c r="AG179" s="449"/>
      <c r="AH179" s="449"/>
    </row>
    <row r="180" ht="11.25" customHeight="1">
      <c r="A180" s="450"/>
      <c r="B180" s="451"/>
      <c r="C180" s="452"/>
      <c r="D180" s="452"/>
      <c r="E180" s="453"/>
      <c r="F180" s="453"/>
      <c r="G180" s="454"/>
      <c r="H180" s="454"/>
      <c r="I180" s="455"/>
      <c r="J180" s="456"/>
      <c r="K180" s="467" t="s">
        <v>1417</v>
      </c>
      <c r="L180" s="468">
        <v>10.0</v>
      </c>
      <c r="M180" s="469">
        <v>0.25</v>
      </c>
      <c r="N180" s="470">
        <v>0.581</v>
      </c>
      <c r="O180" s="470">
        <v>0.601</v>
      </c>
      <c r="P180" s="471">
        <v>2.08</v>
      </c>
      <c r="Q180" s="468">
        <v>1.8</v>
      </c>
      <c r="R180" s="469">
        <v>39.6</v>
      </c>
      <c r="S180" s="469">
        <v>28.7</v>
      </c>
      <c r="T180" s="469">
        <v>15.9</v>
      </c>
      <c r="U180" s="469">
        <v>8.1</v>
      </c>
      <c r="V180" s="469">
        <v>4.5</v>
      </c>
      <c r="W180" s="469">
        <v>0.1</v>
      </c>
      <c r="X180" s="469">
        <v>1.3</v>
      </c>
      <c r="Y180" s="462">
        <f t="shared" si="17"/>
        <v>98.2</v>
      </c>
      <c r="Z180" s="463"/>
      <c r="AA180" s="464"/>
      <c r="AB180" s="465"/>
      <c r="AC180" s="465"/>
      <c r="AD180" s="465"/>
      <c r="AE180" s="466"/>
      <c r="AF180" s="449"/>
      <c r="AG180" s="449"/>
      <c r="AH180" s="449"/>
    </row>
    <row r="181" ht="11.25" customHeight="1">
      <c r="A181" s="450"/>
      <c r="B181" s="472"/>
      <c r="C181" s="473"/>
      <c r="D181" s="473"/>
      <c r="E181" s="474"/>
      <c r="F181" s="474"/>
      <c r="G181" s="475"/>
      <c r="H181" s="475"/>
      <c r="I181" s="476"/>
      <c r="J181" s="477"/>
      <c r="K181" s="478" t="s">
        <v>1418</v>
      </c>
      <c r="L181" s="479">
        <v>9.94</v>
      </c>
      <c r="M181" s="480"/>
      <c r="N181" s="481"/>
      <c r="O181" s="481"/>
      <c r="P181" s="482"/>
      <c r="Q181" s="479">
        <v>1.4</v>
      </c>
      <c r="R181" s="480">
        <v>35.4</v>
      </c>
      <c r="S181" s="480">
        <v>30.2</v>
      </c>
      <c r="T181" s="480">
        <v>18.3</v>
      </c>
      <c r="U181" s="480">
        <v>9.2</v>
      </c>
      <c r="V181" s="480">
        <v>4.3</v>
      </c>
      <c r="W181" s="480">
        <v>0.3</v>
      </c>
      <c r="X181" s="480">
        <v>0.9</v>
      </c>
      <c r="Y181" s="483">
        <f t="shared" si="17"/>
        <v>98.6</v>
      </c>
      <c r="Z181" s="484"/>
      <c r="AA181" s="485"/>
      <c r="AB181" s="486"/>
      <c r="AC181" s="486"/>
      <c r="AD181" s="486"/>
      <c r="AE181" s="487"/>
      <c r="AF181" s="449"/>
      <c r="AG181" s="449"/>
      <c r="AH181" s="449"/>
    </row>
    <row r="182" ht="11.25" customHeight="1">
      <c r="A182" s="431">
        <f>IF(B182="","", YEAR(B182))</f>
        <v>2026</v>
      </c>
      <c r="B182" s="432">
        <v>46073.0</v>
      </c>
      <c r="C182" s="433" t="s">
        <v>1162</v>
      </c>
      <c r="D182" s="433" t="s">
        <v>1413</v>
      </c>
      <c r="E182" s="434">
        <f t="shared" ref="E182:I182" si="98">IFERROR(AVERAGE(L182:L185),"")</f>
        <v>9.87</v>
      </c>
      <c r="F182" s="434">
        <f t="shared" si="98"/>
        <v>0.3</v>
      </c>
      <c r="G182" s="435">
        <f t="shared" si="98"/>
        <v>0.5775</v>
      </c>
      <c r="H182" s="435">
        <f t="shared" si="98"/>
        <v>0.5975</v>
      </c>
      <c r="I182" s="436">
        <f t="shared" si="98"/>
        <v>1.725</v>
      </c>
      <c r="J182" s="437">
        <f>SUMIFS(PRODUCTION[KG],PRODUCTION[GRADE],"3X50",PRODUCTION[DATE],B182,PRODUCTION[BATCH],C182,PRODUCTION[SHIFT],D182)</f>
        <v>17602</v>
      </c>
      <c r="K182" s="438" t="s">
        <v>1414</v>
      </c>
      <c r="L182" s="439">
        <v>10.47</v>
      </c>
      <c r="M182" s="488">
        <v>0.27</v>
      </c>
      <c r="N182" s="489">
        <v>0.576</v>
      </c>
      <c r="O182" s="489">
        <v>0.596</v>
      </c>
      <c r="P182" s="490">
        <v>2.19</v>
      </c>
      <c r="Q182" s="439">
        <v>1.3</v>
      </c>
      <c r="R182" s="488">
        <v>32.0</v>
      </c>
      <c r="S182" s="488">
        <v>26.6</v>
      </c>
      <c r="T182" s="488">
        <v>19.2</v>
      </c>
      <c r="U182" s="488">
        <v>12.5</v>
      </c>
      <c r="V182" s="488">
        <v>7.0</v>
      </c>
      <c r="W182" s="488">
        <v>0.4</v>
      </c>
      <c r="X182" s="488">
        <v>1.0</v>
      </c>
      <c r="Y182" s="444">
        <f t="shared" si="17"/>
        <v>98.7</v>
      </c>
      <c r="Z182" s="445"/>
      <c r="AA182" s="446">
        <f t="shared" ref="AA182:AE182" si="99">$J182*E182</f>
        <v>173731.74</v>
      </c>
      <c r="AB182" s="447">
        <f t="shared" si="99"/>
        <v>5280.6</v>
      </c>
      <c r="AC182" s="447">
        <f t="shared" si="99"/>
        <v>10165.155</v>
      </c>
      <c r="AD182" s="447">
        <f t="shared" si="99"/>
        <v>10517.195</v>
      </c>
      <c r="AE182" s="448">
        <f t="shared" si="99"/>
        <v>30363.45</v>
      </c>
      <c r="AF182" s="449"/>
      <c r="AG182" s="449"/>
      <c r="AH182" s="449"/>
    </row>
    <row r="183" ht="11.25" customHeight="1">
      <c r="A183" s="450"/>
      <c r="B183" s="451"/>
      <c r="C183" s="452"/>
      <c r="D183" s="452"/>
      <c r="E183" s="453"/>
      <c r="F183" s="453"/>
      <c r="G183" s="454"/>
      <c r="H183" s="454"/>
      <c r="I183" s="455"/>
      <c r="J183" s="456"/>
      <c r="K183" s="457" t="s">
        <v>1416</v>
      </c>
      <c r="L183" s="458">
        <v>9.27</v>
      </c>
      <c r="M183" s="459"/>
      <c r="N183" s="460"/>
      <c r="O183" s="460"/>
      <c r="P183" s="461"/>
      <c r="Q183" s="458">
        <v>1.6</v>
      </c>
      <c r="R183" s="459">
        <v>39.2</v>
      </c>
      <c r="S183" s="459">
        <v>29.0</v>
      </c>
      <c r="T183" s="459">
        <v>14.7</v>
      </c>
      <c r="U183" s="459">
        <v>8.5</v>
      </c>
      <c r="V183" s="459">
        <v>5.0</v>
      </c>
      <c r="W183" s="459">
        <v>0.5</v>
      </c>
      <c r="X183" s="459">
        <v>1.5</v>
      </c>
      <c r="Y183" s="462">
        <f t="shared" si="17"/>
        <v>98.4</v>
      </c>
      <c r="Z183" s="463"/>
      <c r="AA183" s="464"/>
      <c r="AB183" s="465"/>
      <c r="AC183" s="465"/>
      <c r="AD183" s="465"/>
      <c r="AE183" s="466"/>
      <c r="AF183" s="449"/>
      <c r="AG183" s="449"/>
      <c r="AH183" s="449"/>
    </row>
    <row r="184" ht="11.25" customHeight="1">
      <c r="A184" s="450"/>
      <c r="B184" s="451"/>
      <c r="C184" s="452"/>
      <c r="D184" s="452"/>
      <c r="E184" s="453"/>
      <c r="F184" s="453"/>
      <c r="G184" s="454"/>
      <c r="H184" s="454"/>
      <c r="I184" s="455"/>
      <c r="J184" s="456"/>
      <c r="K184" s="467" t="s">
        <v>1417</v>
      </c>
      <c r="L184" s="468">
        <v>9.54</v>
      </c>
      <c r="M184" s="469">
        <v>0.33</v>
      </c>
      <c r="N184" s="470">
        <v>0.579</v>
      </c>
      <c r="O184" s="470">
        <v>0.599</v>
      </c>
      <c r="P184" s="471">
        <v>1.26</v>
      </c>
      <c r="Q184" s="468">
        <v>0.1</v>
      </c>
      <c r="R184" s="469">
        <v>22.6</v>
      </c>
      <c r="S184" s="469">
        <v>26.4</v>
      </c>
      <c r="T184" s="469">
        <v>22.4</v>
      </c>
      <c r="U184" s="469">
        <v>15.8</v>
      </c>
      <c r="V184" s="469">
        <v>8.8</v>
      </c>
      <c r="W184" s="469">
        <v>1.2</v>
      </c>
      <c r="X184" s="469">
        <v>2.7</v>
      </c>
      <c r="Y184" s="462">
        <f t="shared" si="17"/>
        <v>99.9</v>
      </c>
      <c r="Z184" s="463"/>
      <c r="AA184" s="464"/>
      <c r="AB184" s="465"/>
      <c r="AC184" s="465"/>
      <c r="AD184" s="465"/>
      <c r="AE184" s="466"/>
      <c r="AF184" s="449"/>
      <c r="AG184" s="449"/>
      <c r="AH184" s="449"/>
    </row>
    <row r="185" ht="11.25" customHeight="1">
      <c r="A185" s="450"/>
      <c r="B185" s="472"/>
      <c r="C185" s="473"/>
      <c r="D185" s="473"/>
      <c r="E185" s="474"/>
      <c r="F185" s="474"/>
      <c r="G185" s="475"/>
      <c r="H185" s="475"/>
      <c r="I185" s="476"/>
      <c r="J185" s="477"/>
      <c r="K185" s="478" t="s">
        <v>1418</v>
      </c>
      <c r="L185" s="479">
        <v>10.2</v>
      </c>
      <c r="M185" s="480"/>
      <c r="N185" s="481"/>
      <c r="O185" s="481"/>
      <c r="P185" s="482"/>
      <c r="Q185" s="479">
        <v>3.0</v>
      </c>
      <c r="R185" s="480">
        <v>41.3</v>
      </c>
      <c r="S185" s="480">
        <v>28.8</v>
      </c>
      <c r="T185" s="480">
        <v>14.8</v>
      </c>
      <c r="U185" s="480">
        <v>7.7</v>
      </c>
      <c r="V185" s="480">
        <v>3.3</v>
      </c>
      <c r="W185" s="480">
        <v>0.1</v>
      </c>
      <c r="X185" s="480">
        <v>1.0</v>
      </c>
      <c r="Y185" s="483">
        <f t="shared" si="17"/>
        <v>97</v>
      </c>
      <c r="Z185" s="484"/>
      <c r="AA185" s="485"/>
      <c r="AB185" s="486"/>
      <c r="AC185" s="486"/>
      <c r="AD185" s="486"/>
      <c r="AE185" s="487"/>
      <c r="AF185" s="449"/>
      <c r="AG185" s="449"/>
      <c r="AH185" s="449"/>
    </row>
    <row r="186" ht="11.25" customHeight="1">
      <c r="A186" s="431">
        <f>IF(B186="","", YEAR(B186))</f>
        <v>2026</v>
      </c>
      <c r="B186" s="432">
        <v>46074.0</v>
      </c>
      <c r="C186" s="433" t="s">
        <v>1162</v>
      </c>
      <c r="D186" s="433" t="s">
        <v>1413</v>
      </c>
      <c r="E186" s="434">
        <f t="shared" ref="E186:I186" si="100">IFERROR(AVERAGE(L186:L189),"")</f>
        <v>10.7875</v>
      </c>
      <c r="F186" s="434">
        <f t="shared" si="100"/>
        <v>0.165</v>
      </c>
      <c r="G186" s="435">
        <f t="shared" si="100"/>
        <v>0.5785</v>
      </c>
      <c r="H186" s="435">
        <f t="shared" si="100"/>
        <v>0.5985</v>
      </c>
      <c r="I186" s="436">
        <f t="shared" si="100"/>
        <v>1.915</v>
      </c>
      <c r="J186" s="437">
        <f>SUMIFS(PRODUCTION[KG],PRODUCTION[GRADE],"3X50",PRODUCTION[DATE],B186,PRODUCTION[BATCH],C186,PRODUCTION[SHIFT],D186)</f>
        <v>15860</v>
      </c>
      <c r="K186" s="438" t="s">
        <v>1414</v>
      </c>
      <c r="L186" s="439">
        <v>9.87</v>
      </c>
      <c r="M186" s="488">
        <v>0.18</v>
      </c>
      <c r="N186" s="489">
        <v>0.575</v>
      </c>
      <c r="O186" s="489">
        <v>0.595</v>
      </c>
      <c r="P186" s="490">
        <v>1.99</v>
      </c>
      <c r="Q186" s="439">
        <v>1.9</v>
      </c>
      <c r="R186" s="488">
        <v>38.5</v>
      </c>
      <c r="S186" s="488">
        <v>28.3</v>
      </c>
      <c r="T186" s="488">
        <v>16.2</v>
      </c>
      <c r="U186" s="488">
        <v>9.4</v>
      </c>
      <c r="V186" s="488">
        <v>4.0</v>
      </c>
      <c r="W186" s="488">
        <v>0.5</v>
      </c>
      <c r="X186" s="488">
        <v>1.2</v>
      </c>
      <c r="Y186" s="444">
        <f t="shared" si="17"/>
        <v>98.1</v>
      </c>
      <c r="Z186" s="445"/>
      <c r="AA186" s="446">
        <f t="shared" ref="AA186:AE186" si="101">$J186*E186</f>
        <v>171089.75</v>
      </c>
      <c r="AB186" s="447">
        <f t="shared" si="101"/>
        <v>2616.9</v>
      </c>
      <c r="AC186" s="447">
        <f t="shared" si="101"/>
        <v>9175.01</v>
      </c>
      <c r="AD186" s="447">
        <f t="shared" si="101"/>
        <v>9492.21</v>
      </c>
      <c r="AE186" s="448">
        <f t="shared" si="101"/>
        <v>30371.9</v>
      </c>
      <c r="AF186" s="449"/>
      <c r="AG186" s="449"/>
      <c r="AH186" s="449"/>
    </row>
    <row r="187" ht="11.25" customHeight="1">
      <c r="A187" s="450"/>
      <c r="B187" s="451"/>
      <c r="C187" s="452"/>
      <c r="D187" s="452"/>
      <c r="E187" s="453"/>
      <c r="F187" s="453"/>
      <c r="G187" s="454"/>
      <c r="H187" s="454"/>
      <c r="I187" s="455"/>
      <c r="J187" s="456"/>
      <c r="K187" s="457" t="s">
        <v>1416</v>
      </c>
      <c r="L187" s="458">
        <v>10.0</v>
      </c>
      <c r="M187" s="459"/>
      <c r="N187" s="460"/>
      <c r="O187" s="460"/>
      <c r="P187" s="461"/>
      <c r="Q187" s="458">
        <v>2.9</v>
      </c>
      <c r="R187" s="459">
        <v>38.7</v>
      </c>
      <c r="S187" s="459">
        <v>28.7</v>
      </c>
      <c r="T187" s="459">
        <v>15.2</v>
      </c>
      <c r="U187" s="459">
        <v>8.1</v>
      </c>
      <c r="V187" s="459">
        <v>4.5</v>
      </c>
      <c r="W187" s="459">
        <v>0.5</v>
      </c>
      <c r="X187" s="459">
        <v>1.4</v>
      </c>
      <c r="Y187" s="462">
        <f t="shared" si="17"/>
        <v>97.1</v>
      </c>
      <c r="Z187" s="463"/>
      <c r="AA187" s="464"/>
      <c r="AB187" s="465"/>
      <c r="AC187" s="465"/>
      <c r="AD187" s="465"/>
      <c r="AE187" s="466"/>
      <c r="AF187" s="449"/>
      <c r="AG187" s="449"/>
      <c r="AH187" s="449"/>
    </row>
    <row r="188" ht="11.25" customHeight="1">
      <c r="A188" s="450"/>
      <c r="B188" s="451"/>
      <c r="C188" s="452"/>
      <c r="D188" s="452"/>
      <c r="E188" s="453"/>
      <c r="F188" s="453"/>
      <c r="G188" s="454"/>
      <c r="H188" s="454"/>
      <c r="I188" s="455"/>
      <c r="J188" s="456"/>
      <c r="K188" s="467" t="s">
        <v>1417</v>
      </c>
      <c r="L188" s="468">
        <v>11.74</v>
      </c>
      <c r="M188" s="469">
        <v>0.15</v>
      </c>
      <c r="N188" s="470">
        <v>0.582</v>
      </c>
      <c r="O188" s="470">
        <v>0.602</v>
      </c>
      <c r="P188" s="471">
        <v>1.84</v>
      </c>
      <c r="Q188" s="468">
        <v>0.5</v>
      </c>
      <c r="R188" s="469">
        <v>21.7</v>
      </c>
      <c r="S188" s="469">
        <v>26.2</v>
      </c>
      <c r="T188" s="469">
        <v>22.6</v>
      </c>
      <c r="U188" s="469">
        <v>16.2</v>
      </c>
      <c r="V188" s="469">
        <v>9.0</v>
      </c>
      <c r="W188" s="469">
        <v>1.0</v>
      </c>
      <c r="X188" s="469">
        <v>2.8</v>
      </c>
      <c r="Y188" s="462">
        <f t="shared" si="17"/>
        <v>99.5</v>
      </c>
      <c r="Z188" s="463"/>
      <c r="AA188" s="464"/>
      <c r="AB188" s="465"/>
      <c r="AC188" s="465"/>
      <c r="AD188" s="465"/>
      <c r="AE188" s="466"/>
      <c r="AF188" s="449"/>
      <c r="AG188" s="449"/>
      <c r="AH188" s="449"/>
    </row>
    <row r="189" ht="11.25" customHeight="1">
      <c r="A189" s="450"/>
      <c r="B189" s="472"/>
      <c r="C189" s="473"/>
      <c r="D189" s="473"/>
      <c r="E189" s="474"/>
      <c r="F189" s="474"/>
      <c r="G189" s="475"/>
      <c r="H189" s="475"/>
      <c r="I189" s="476"/>
      <c r="J189" s="477"/>
      <c r="K189" s="478" t="s">
        <v>1418</v>
      </c>
      <c r="L189" s="479">
        <v>11.54</v>
      </c>
      <c r="M189" s="480"/>
      <c r="N189" s="481"/>
      <c r="O189" s="481"/>
      <c r="P189" s="482"/>
      <c r="Q189" s="479">
        <v>0.6</v>
      </c>
      <c r="R189" s="480">
        <v>33.1</v>
      </c>
      <c r="S189" s="480">
        <v>29.0</v>
      </c>
      <c r="T189" s="480">
        <v>18.5</v>
      </c>
      <c r="U189" s="480">
        <v>11.0</v>
      </c>
      <c r="V189" s="480">
        <v>6.5</v>
      </c>
      <c r="W189" s="480">
        <v>0.4</v>
      </c>
      <c r="X189" s="480">
        <v>0.9</v>
      </c>
      <c r="Y189" s="483">
        <f t="shared" si="17"/>
        <v>99.4</v>
      </c>
      <c r="Z189" s="484"/>
      <c r="AA189" s="485"/>
      <c r="AB189" s="486"/>
      <c r="AC189" s="486"/>
      <c r="AD189" s="486"/>
      <c r="AE189" s="487"/>
      <c r="AF189" s="449"/>
      <c r="AG189" s="449"/>
      <c r="AH189" s="449"/>
    </row>
    <row r="190" ht="11.25" customHeight="1">
      <c r="A190" s="431">
        <f>IF(B190="","", YEAR(B190))</f>
        <v>2026</v>
      </c>
      <c r="B190" s="432">
        <v>46076.0</v>
      </c>
      <c r="C190" s="433" t="s">
        <v>1162</v>
      </c>
      <c r="D190" s="433" t="s">
        <v>1413</v>
      </c>
      <c r="E190" s="434">
        <f t="shared" ref="E190:I190" si="102">IFERROR(AVERAGE(L190:L193),"")</f>
        <v>10.8875</v>
      </c>
      <c r="F190" s="434">
        <f t="shared" si="102"/>
        <v>0.16</v>
      </c>
      <c r="G190" s="435">
        <f t="shared" si="102"/>
        <v>0.578</v>
      </c>
      <c r="H190" s="435">
        <f t="shared" si="102"/>
        <v>0.598</v>
      </c>
      <c r="I190" s="436">
        <f t="shared" si="102"/>
        <v>2.155</v>
      </c>
      <c r="J190" s="437">
        <f>SUMIFS(PRODUCTION[KG],PRODUCTION[GRADE],"3X50",PRODUCTION[DATE],B190,PRODUCTION[BATCH],C190,PRODUCTION[SHIFT],D190)</f>
        <v>26962</v>
      </c>
      <c r="K190" s="438" t="s">
        <v>1414</v>
      </c>
      <c r="L190" s="439">
        <v>11.6</v>
      </c>
      <c r="M190" s="488">
        <v>0.13</v>
      </c>
      <c r="N190" s="489">
        <v>0.579</v>
      </c>
      <c r="O190" s="489">
        <v>0.599</v>
      </c>
      <c r="P190" s="490">
        <v>2.16</v>
      </c>
      <c r="Q190" s="439">
        <v>0.4</v>
      </c>
      <c r="R190" s="488">
        <v>35.5</v>
      </c>
      <c r="S190" s="488">
        <v>28.7</v>
      </c>
      <c r="T190" s="488">
        <v>18.2</v>
      </c>
      <c r="U190" s="488">
        <v>10.3</v>
      </c>
      <c r="V190" s="488">
        <v>5.7</v>
      </c>
      <c r="W190" s="488">
        <v>0.3</v>
      </c>
      <c r="X190" s="488">
        <v>0.9</v>
      </c>
      <c r="Y190" s="444">
        <f t="shared" si="17"/>
        <v>99.6</v>
      </c>
      <c r="Z190" s="445"/>
      <c r="AA190" s="446">
        <f t="shared" ref="AA190:AE190" si="103">$J190*E190</f>
        <v>293548.775</v>
      </c>
      <c r="AB190" s="447">
        <f t="shared" si="103"/>
        <v>4313.92</v>
      </c>
      <c r="AC190" s="447">
        <f t="shared" si="103"/>
        <v>15584.036</v>
      </c>
      <c r="AD190" s="447">
        <f t="shared" si="103"/>
        <v>16123.276</v>
      </c>
      <c r="AE190" s="448">
        <f t="shared" si="103"/>
        <v>58103.11</v>
      </c>
      <c r="AF190" s="449"/>
      <c r="AG190" s="449"/>
      <c r="AH190" s="449"/>
    </row>
    <row r="191" ht="11.25" customHeight="1">
      <c r="A191" s="450"/>
      <c r="B191" s="451"/>
      <c r="C191" s="452"/>
      <c r="D191" s="452"/>
      <c r="E191" s="453"/>
      <c r="F191" s="453"/>
      <c r="G191" s="454"/>
      <c r="H191" s="454"/>
      <c r="I191" s="455"/>
      <c r="J191" s="456"/>
      <c r="K191" s="457" t="s">
        <v>1416</v>
      </c>
      <c r="L191" s="458">
        <v>11.14</v>
      </c>
      <c r="M191" s="459"/>
      <c r="N191" s="460"/>
      <c r="O191" s="460"/>
      <c r="P191" s="461"/>
      <c r="Q191" s="458">
        <v>2.0</v>
      </c>
      <c r="R191" s="459">
        <v>40.9</v>
      </c>
      <c r="S191" s="459">
        <v>24.9</v>
      </c>
      <c r="T191" s="459">
        <v>14.8</v>
      </c>
      <c r="U191" s="459">
        <v>10.3</v>
      </c>
      <c r="V191" s="459">
        <v>6.2</v>
      </c>
      <c r="W191" s="459">
        <v>0.1</v>
      </c>
      <c r="X191" s="459">
        <v>0.8</v>
      </c>
      <c r="Y191" s="462">
        <f t="shared" si="17"/>
        <v>98</v>
      </c>
      <c r="Z191" s="463"/>
      <c r="AA191" s="464"/>
      <c r="AB191" s="465"/>
      <c r="AC191" s="465"/>
      <c r="AD191" s="465"/>
      <c r="AE191" s="466"/>
      <c r="AF191" s="449"/>
      <c r="AG191" s="449"/>
      <c r="AH191" s="449"/>
    </row>
    <row r="192" ht="11.25" customHeight="1">
      <c r="A192" s="450"/>
      <c r="B192" s="451"/>
      <c r="C192" s="452"/>
      <c r="D192" s="452"/>
      <c r="E192" s="453"/>
      <c r="F192" s="453"/>
      <c r="G192" s="454"/>
      <c r="H192" s="454"/>
      <c r="I192" s="455"/>
      <c r="J192" s="456"/>
      <c r="K192" s="467" t="s">
        <v>1417</v>
      </c>
      <c r="L192" s="468">
        <v>10.94</v>
      </c>
      <c r="M192" s="469">
        <v>0.19</v>
      </c>
      <c r="N192" s="470">
        <v>0.577</v>
      </c>
      <c r="O192" s="470">
        <v>0.597</v>
      </c>
      <c r="P192" s="471">
        <v>2.15</v>
      </c>
      <c r="Q192" s="468">
        <v>1.7</v>
      </c>
      <c r="R192" s="469">
        <v>38.4</v>
      </c>
      <c r="S192" s="469">
        <v>26.6</v>
      </c>
      <c r="T192" s="469">
        <v>15.7</v>
      </c>
      <c r="U192" s="469">
        <v>9.8</v>
      </c>
      <c r="V192" s="469">
        <v>7.1</v>
      </c>
      <c r="W192" s="469">
        <v>0.1</v>
      </c>
      <c r="X192" s="469">
        <v>0.6</v>
      </c>
      <c r="Y192" s="462">
        <f t="shared" si="17"/>
        <v>98.3</v>
      </c>
      <c r="Z192" s="463"/>
      <c r="AA192" s="464"/>
      <c r="AB192" s="465"/>
      <c r="AC192" s="465"/>
      <c r="AD192" s="465"/>
      <c r="AE192" s="466"/>
      <c r="AF192" s="449"/>
      <c r="AG192" s="449"/>
      <c r="AH192" s="449"/>
    </row>
    <row r="193" ht="11.25" customHeight="1">
      <c r="A193" s="450"/>
      <c r="B193" s="472"/>
      <c r="C193" s="473"/>
      <c r="D193" s="473"/>
      <c r="E193" s="474"/>
      <c r="F193" s="474"/>
      <c r="G193" s="475"/>
      <c r="H193" s="475"/>
      <c r="I193" s="476"/>
      <c r="J193" s="477"/>
      <c r="K193" s="478" t="s">
        <v>1418</v>
      </c>
      <c r="L193" s="479">
        <v>9.87</v>
      </c>
      <c r="M193" s="480"/>
      <c r="N193" s="481"/>
      <c r="O193" s="481"/>
      <c r="P193" s="482"/>
      <c r="Q193" s="479">
        <v>2.6</v>
      </c>
      <c r="R193" s="480">
        <v>36.1</v>
      </c>
      <c r="S193" s="480">
        <v>25.9</v>
      </c>
      <c r="T193" s="480">
        <v>16.8</v>
      </c>
      <c r="U193" s="480">
        <v>11.4</v>
      </c>
      <c r="V193" s="480">
        <v>6.2</v>
      </c>
      <c r="W193" s="480">
        <v>0.3</v>
      </c>
      <c r="X193" s="480">
        <v>0.7</v>
      </c>
      <c r="Y193" s="483">
        <f t="shared" si="17"/>
        <v>97.4</v>
      </c>
      <c r="Z193" s="484"/>
      <c r="AA193" s="485"/>
      <c r="AB193" s="486"/>
      <c r="AC193" s="486"/>
      <c r="AD193" s="486"/>
      <c r="AE193" s="487"/>
      <c r="AF193" s="449"/>
      <c r="AG193" s="449"/>
      <c r="AH193" s="449"/>
    </row>
    <row r="194" ht="11.25" customHeight="1">
      <c r="A194" s="431">
        <f>IF(B194="","", YEAR(B194))</f>
        <v>2026</v>
      </c>
      <c r="B194" s="432">
        <v>46077.0</v>
      </c>
      <c r="C194" s="433" t="s">
        <v>1162</v>
      </c>
      <c r="D194" s="433" t="s">
        <v>1413</v>
      </c>
      <c r="E194" s="434">
        <f t="shared" ref="E194:I194" si="104">IFERROR(AVERAGE(L194:L197),"")</f>
        <v>9.82</v>
      </c>
      <c r="F194" s="434">
        <f t="shared" si="104"/>
        <v>0.27</v>
      </c>
      <c r="G194" s="435">
        <f t="shared" si="104"/>
        <v>0.5785</v>
      </c>
      <c r="H194" s="435">
        <f t="shared" si="104"/>
        <v>0.5985</v>
      </c>
      <c r="I194" s="436">
        <f t="shared" si="104"/>
        <v>1.795</v>
      </c>
      <c r="J194" s="437">
        <f>SUMIFS(PRODUCTION[KG],PRODUCTION[GRADE],"3X50",PRODUCTION[DATE],B194,PRODUCTION[BATCH],C194,PRODUCTION[SHIFT],D194)</f>
        <v>28470</v>
      </c>
      <c r="K194" s="438" t="s">
        <v>1414</v>
      </c>
      <c r="L194" s="439">
        <v>9.6</v>
      </c>
      <c r="M194" s="488">
        <v>0.25</v>
      </c>
      <c r="N194" s="489">
        <v>0.575</v>
      </c>
      <c r="O194" s="489">
        <v>0.595</v>
      </c>
      <c r="P194" s="490">
        <v>1.83</v>
      </c>
      <c r="Q194" s="439">
        <v>1.2</v>
      </c>
      <c r="R194" s="488">
        <v>36.2</v>
      </c>
      <c r="S194" s="488">
        <v>25.0</v>
      </c>
      <c r="T194" s="488">
        <v>16.3</v>
      </c>
      <c r="U194" s="488">
        <v>12.0</v>
      </c>
      <c r="V194" s="488">
        <v>7.5</v>
      </c>
      <c r="W194" s="488">
        <v>0.6</v>
      </c>
      <c r="X194" s="488">
        <v>1.2</v>
      </c>
      <c r="Y194" s="444">
        <f t="shared" si="17"/>
        <v>98.8</v>
      </c>
      <c r="Z194" s="445"/>
      <c r="AA194" s="446">
        <f t="shared" ref="AA194:AE194" si="105">$J194*E194</f>
        <v>279575.4</v>
      </c>
      <c r="AB194" s="447">
        <f t="shared" si="105"/>
        <v>7686.9</v>
      </c>
      <c r="AC194" s="447">
        <f t="shared" si="105"/>
        <v>16469.895</v>
      </c>
      <c r="AD194" s="447">
        <f t="shared" si="105"/>
        <v>17039.295</v>
      </c>
      <c r="AE194" s="448">
        <f t="shared" si="105"/>
        <v>51103.65</v>
      </c>
      <c r="AF194" s="449"/>
      <c r="AG194" s="449"/>
      <c r="AH194" s="449"/>
    </row>
    <row r="195" ht="11.25" customHeight="1">
      <c r="A195" s="450"/>
      <c r="B195" s="451"/>
      <c r="C195" s="452"/>
      <c r="D195" s="452"/>
      <c r="E195" s="453"/>
      <c r="F195" s="453"/>
      <c r="G195" s="454"/>
      <c r="H195" s="454"/>
      <c r="I195" s="455"/>
      <c r="J195" s="456"/>
      <c r="K195" s="457" t="s">
        <v>1416</v>
      </c>
      <c r="L195" s="458">
        <v>9.94</v>
      </c>
      <c r="M195" s="459"/>
      <c r="N195" s="460"/>
      <c r="O195" s="460"/>
      <c r="P195" s="461"/>
      <c r="Q195" s="458">
        <v>1.1</v>
      </c>
      <c r="R195" s="459">
        <v>34.9</v>
      </c>
      <c r="S195" s="459">
        <v>26.2</v>
      </c>
      <c r="T195" s="459">
        <v>16.9</v>
      </c>
      <c r="U195" s="459">
        <v>11.2</v>
      </c>
      <c r="V195" s="459">
        <v>7.7</v>
      </c>
      <c r="W195" s="459">
        <v>0.4</v>
      </c>
      <c r="X195" s="459">
        <v>1.6</v>
      </c>
      <c r="Y195" s="462">
        <f t="shared" si="17"/>
        <v>98.9</v>
      </c>
      <c r="Z195" s="463"/>
      <c r="AA195" s="464"/>
      <c r="AB195" s="465"/>
      <c r="AC195" s="465"/>
      <c r="AD195" s="465"/>
      <c r="AE195" s="466"/>
      <c r="AF195" s="449"/>
      <c r="AG195" s="449"/>
      <c r="AH195" s="449"/>
    </row>
    <row r="196" ht="11.25" customHeight="1">
      <c r="A196" s="450"/>
      <c r="B196" s="451"/>
      <c r="C196" s="452"/>
      <c r="D196" s="452"/>
      <c r="E196" s="453"/>
      <c r="F196" s="453"/>
      <c r="G196" s="454"/>
      <c r="H196" s="454"/>
      <c r="I196" s="455"/>
      <c r="J196" s="456"/>
      <c r="K196" s="467" t="s">
        <v>1417</v>
      </c>
      <c r="L196" s="468">
        <v>9.8</v>
      </c>
      <c r="M196" s="469">
        <v>0.29</v>
      </c>
      <c r="N196" s="470">
        <v>0.582</v>
      </c>
      <c r="O196" s="470">
        <v>0.602</v>
      </c>
      <c r="P196" s="471">
        <v>1.76</v>
      </c>
      <c r="Q196" s="468">
        <v>1.3</v>
      </c>
      <c r="R196" s="469">
        <v>40.0</v>
      </c>
      <c r="S196" s="469">
        <v>28.8</v>
      </c>
      <c r="T196" s="469">
        <v>16.0</v>
      </c>
      <c r="U196" s="469">
        <v>8.5</v>
      </c>
      <c r="V196" s="469">
        <v>4.5</v>
      </c>
      <c r="W196" s="469">
        <v>0.1</v>
      </c>
      <c r="X196" s="469">
        <v>0.8</v>
      </c>
      <c r="Y196" s="462">
        <f t="shared" si="17"/>
        <v>98.7</v>
      </c>
      <c r="Z196" s="463"/>
      <c r="AA196" s="464"/>
      <c r="AB196" s="465"/>
      <c r="AC196" s="465"/>
      <c r="AD196" s="465"/>
      <c r="AE196" s="466"/>
      <c r="AF196" s="449"/>
      <c r="AG196" s="449"/>
      <c r="AH196" s="449"/>
    </row>
    <row r="197" ht="11.25" customHeight="1">
      <c r="A197" s="450"/>
      <c r="B197" s="472"/>
      <c r="C197" s="473"/>
      <c r="D197" s="473"/>
      <c r="E197" s="474"/>
      <c r="F197" s="474"/>
      <c r="G197" s="475"/>
      <c r="H197" s="475"/>
      <c r="I197" s="476"/>
      <c r="J197" s="477"/>
      <c r="K197" s="478" t="s">
        <v>1418</v>
      </c>
      <c r="L197" s="479">
        <v>9.94</v>
      </c>
      <c r="M197" s="480"/>
      <c r="N197" s="481"/>
      <c r="O197" s="481"/>
      <c r="P197" s="482"/>
      <c r="Q197" s="479">
        <v>0.8</v>
      </c>
      <c r="R197" s="480">
        <v>40.1</v>
      </c>
      <c r="S197" s="480">
        <v>26.9</v>
      </c>
      <c r="T197" s="480">
        <v>15.6</v>
      </c>
      <c r="U197" s="480">
        <v>9.8</v>
      </c>
      <c r="V197" s="480">
        <v>5.5</v>
      </c>
      <c r="W197" s="480">
        <v>0.1</v>
      </c>
      <c r="X197" s="480">
        <v>1.2</v>
      </c>
      <c r="Y197" s="483">
        <f t="shared" si="17"/>
        <v>99.2</v>
      </c>
      <c r="Z197" s="484"/>
      <c r="AA197" s="485"/>
      <c r="AB197" s="486"/>
      <c r="AC197" s="486"/>
      <c r="AD197" s="486"/>
      <c r="AE197" s="487"/>
      <c r="AF197" s="449"/>
      <c r="AG197" s="449"/>
      <c r="AH197" s="449"/>
    </row>
    <row r="198" ht="11.25" customHeight="1">
      <c r="A198" s="431">
        <f>IF(B198="","", YEAR(B198))</f>
        <v>2026</v>
      </c>
      <c r="B198" s="432">
        <v>46078.0</v>
      </c>
      <c r="C198" s="433" t="s">
        <v>1162</v>
      </c>
      <c r="D198" s="433" t="s">
        <v>1413</v>
      </c>
      <c r="E198" s="434">
        <f t="shared" ref="E198:I198" si="106">IFERROR(AVERAGE(L198:L201),"")</f>
        <v>10.3675</v>
      </c>
      <c r="F198" s="434">
        <f t="shared" si="106"/>
        <v>0.295</v>
      </c>
      <c r="G198" s="435">
        <f t="shared" si="106"/>
        <v>0.577</v>
      </c>
      <c r="H198" s="435">
        <f t="shared" si="106"/>
        <v>0.597</v>
      </c>
      <c r="I198" s="436">
        <f t="shared" si="106"/>
        <v>1.96</v>
      </c>
      <c r="J198" s="437">
        <f>SUMIFS(PRODUCTION[KG],PRODUCTION[GRADE],"3X50",PRODUCTION[DATE],B198,PRODUCTION[BATCH],C198,PRODUCTION[SHIFT],D198)</f>
        <v>26520</v>
      </c>
      <c r="K198" s="438" t="s">
        <v>1414</v>
      </c>
      <c r="L198" s="439">
        <v>10.07</v>
      </c>
      <c r="M198" s="488">
        <v>0.32</v>
      </c>
      <c r="N198" s="489">
        <v>0.576</v>
      </c>
      <c r="O198" s="489">
        <v>0.596</v>
      </c>
      <c r="P198" s="490">
        <v>1.84</v>
      </c>
      <c r="Q198" s="439">
        <v>1.8</v>
      </c>
      <c r="R198" s="488">
        <v>40.4</v>
      </c>
      <c r="S198" s="488">
        <v>26.2</v>
      </c>
      <c r="T198" s="488">
        <v>15.1</v>
      </c>
      <c r="U198" s="488">
        <v>9.3</v>
      </c>
      <c r="V198" s="488">
        <v>5.6</v>
      </c>
      <c r="W198" s="488">
        <v>0.4</v>
      </c>
      <c r="X198" s="488">
        <v>1.2</v>
      </c>
      <c r="Y198" s="444">
        <f t="shared" si="17"/>
        <v>98.2</v>
      </c>
      <c r="Z198" s="445"/>
      <c r="AA198" s="446">
        <f t="shared" ref="AA198:AE198" si="107">$J198*E198</f>
        <v>274946.1</v>
      </c>
      <c r="AB198" s="447">
        <f t="shared" si="107"/>
        <v>7823.4</v>
      </c>
      <c r="AC198" s="447">
        <f t="shared" si="107"/>
        <v>15302.04</v>
      </c>
      <c r="AD198" s="447">
        <f t="shared" si="107"/>
        <v>15832.44</v>
      </c>
      <c r="AE198" s="448">
        <f t="shared" si="107"/>
        <v>51979.2</v>
      </c>
      <c r="AF198" s="449"/>
      <c r="AG198" s="449"/>
      <c r="AH198" s="449"/>
    </row>
    <row r="199" ht="11.25" customHeight="1">
      <c r="A199" s="450"/>
      <c r="B199" s="451"/>
      <c r="C199" s="452"/>
      <c r="D199" s="452"/>
      <c r="E199" s="453"/>
      <c r="F199" s="453"/>
      <c r="G199" s="454"/>
      <c r="H199" s="454"/>
      <c r="I199" s="455"/>
      <c r="J199" s="456"/>
      <c r="K199" s="457" t="s">
        <v>1416</v>
      </c>
      <c r="L199" s="458">
        <v>10.2</v>
      </c>
      <c r="M199" s="459"/>
      <c r="N199" s="460"/>
      <c r="O199" s="460"/>
      <c r="P199" s="461"/>
      <c r="Q199" s="458">
        <v>1.5</v>
      </c>
      <c r="R199" s="459">
        <v>39.3</v>
      </c>
      <c r="S199" s="459">
        <v>26.2</v>
      </c>
      <c r="T199" s="459">
        <v>15.7</v>
      </c>
      <c r="U199" s="459">
        <v>10.0</v>
      </c>
      <c r="V199" s="459">
        <v>6.0</v>
      </c>
      <c r="W199" s="459">
        <v>0.3</v>
      </c>
      <c r="X199" s="459">
        <v>1.0</v>
      </c>
      <c r="Y199" s="462">
        <f t="shared" si="17"/>
        <v>98.5</v>
      </c>
      <c r="Z199" s="463"/>
      <c r="AA199" s="464"/>
      <c r="AB199" s="465"/>
      <c r="AC199" s="465"/>
      <c r="AD199" s="465"/>
      <c r="AE199" s="466"/>
      <c r="AF199" s="449"/>
      <c r="AG199" s="449"/>
      <c r="AH199" s="449"/>
    </row>
    <row r="200" ht="11.25" customHeight="1">
      <c r="A200" s="450"/>
      <c r="B200" s="451"/>
      <c r="C200" s="452"/>
      <c r="D200" s="452"/>
      <c r="E200" s="453"/>
      <c r="F200" s="453"/>
      <c r="G200" s="454"/>
      <c r="H200" s="454"/>
      <c r="I200" s="455"/>
      <c r="J200" s="456"/>
      <c r="K200" s="467" t="s">
        <v>1417</v>
      </c>
      <c r="L200" s="468">
        <v>10.4</v>
      </c>
      <c r="M200" s="469">
        <v>0.27</v>
      </c>
      <c r="N200" s="470">
        <v>0.578</v>
      </c>
      <c r="O200" s="470">
        <v>0.598</v>
      </c>
      <c r="P200" s="471">
        <v>2.08</v>
      </c>
      <c r="Q200" s="468">
        <v>0.4</v>
      </c>
      <c r="R200" s="469">
        <v>39.6</v>
      </c>
      <c r="S200" s="469">
        <v>24.4</v>
      </c>
      <c r="T200" s="469">
        <v>16.5</v>
      </c>
      <c r="U200" s="469">
        <v>11.1</v>
      </c>
      <c r="V200" s="469">
        <v>6.3</v>
      </c>
      <c r="W200" s="469">
        <v>0.4</v>
      </c>
      <c r="X200" s="469">
        <v>1.3</v>
      </c>
      <c r="Y200" s="462">
        <f t="shared" si="17"/>
        <v>99.6</v>
      </c>
      <c r="Z200" s="463"/>
      <c r="AA200" s="464"/>
      <c r="AB200" s="465"/>
      <c r="AC200" s="465"/>
      <c r="AD200" s="465"/>
      <c r="AE200" s="466"/>
      <c r="AF200" s="449"/>
      <c r="AG200" s="449"/>
      <c r="AH200" s="449"/>
    </row>
    <row r="201" ht="11.25" customHeight="1">
      <c r="A201" s="450"/>
      <c r="B201" s="472"/>
      <c r="C201" s="473"/>
      <c r="D201" s="473"/>
      <c r="E201" s="474"/>
      <c r="F201" s="474"/>
      <c r="G201" s="475"/>
      <c r="H201" s="475"/>
      <c r="I201" s="476"/>
      <c r="J201" s="477"/>
      <c r="K201" s="478" t="s">
        <v>1418</v>
      </c>
      <c r="L201" s="479">
        <v>10.8</v>
      </c>
      <c r="M201" s="480"/>
      <c r="N201" s="481"/>
      <c r="O201" s="481"/>
      <c r="P201" s="482"/>
      <c r="Q201" s="479">
        <v>1.0</v>
      </c>
      <c r="R201" s="480">
        <v>45.3</v>
      </c>
      <c r="S201" s="480">
        <v>27.1</v>
      </c>
      <c r="T201" s="480">
        <v>14.1</v>
      </c>
      <c r="U201" s="480">
        <v>7.6</v>
      </c>
      <c r="V201" s="480">
        <v>4.2</v>
      </c>
      <c r="W201" s="480">
        <v>0.1</v>
      </c>
      <c r="X201" s="480">
        <v>0.6</v>
      </c>
      <c r="Y201" s="483">
        <f t="shared" si="17"/>
        <v>99</v>
      </c>
      <c r="Z201" s="484"/>
      <c r="AA201" s="485"/>
      <c r="AB201" s="486"/>
      <c r="AC201" s="486"/>
      <c r="AD201" s="486"/>
      <c r="AE201" s="487"/>
      <c r="AF201" s="449"/>
      <c r="AG201" s="449"/>
      <c r="AH201" s="449"/>
    </row>
    <row r="202" ht="11.25" customHeight="1">
      <c r="A202" s="431">
        <f>IF(B202="","", YEAR(B202))</f>
        <v>2026</v>
      </c>
      <c r="B202" s="432">
        <v>46079.0</v>
      </c>
      <c r="C202" s="433" t="s">
        <v>1162</v>
      </c>
      <c r="D202" s="433" t="s">
        <v>1413</v>
      </c>
      <c r="E202" s="434">
        <f t="shared" ref="E202:I202" si="108">IFERROR(AVERAGE(L202:L205),"")</f>
        <v>10.335</v>
      </c>
      <c r="F202" s="434">
        <f t="shared" si="108"/>
        <v>0.2833333333</v>
      </c>
      <c r="G202" s="435">
        <f t="shared" si="108"/>
        <v>0.5783333333</v>
      </c>
      <c r="H202" s="435">
        <f t="shared" si="108"/>
        <v>0.5983333333</v>
      </c>
      <c r="I202" s="436">
        <f t="shared" si="108"/>
        <v>1.833333333</v>
      </c>
      <c r="J202" s="437">
        <f>SUMIFS(PRODUCTION[KG],PRODUCTION[GRADE],"3X50",PRODUCTION[DATE],B202,PRODUCTION[BATCH],C202,PRODUCTION[SHIFT],D202)</f>
        <v>28080</v>
      </c>
      <c r="K202" s="438" t="s">
        <v>1414</v>
      </c>
      <c r="L202" s="439">
        <v>10.87</v>
      </c>
      <c r="M202" s="488">
        <v>0.32</v>
      </c>
      <c r="N202" s="489">
        <v>0.581</v>
      </c>
      <c r="O202" s="489">
        <v>0.601</v>
      </c>
      <c r="P202" s="490">
        <v>1.91</v>
      </c>
      <c r="Q202" s="439">
        <v>1.1</v>
      </c>
      <c r="R202" s="488">
        <v>39.8</v>
      </c>
      <c r="S202" s="488">
        <v>27.2</v>
      </c>
      <c r="T202" s="488">
        <v>16.3</v>
      </c>
      <c r="U202" s="488">
        <v>9.5</v>
      </c>
      <c r="V202" s="488">
        <v>5.0</v>
      </c>
      <c r="W202" s="488">
        <v>0.3</v>
      </c>
      <c r="X202" s="488">
        <v>0.8</v>
      </c>
      <c r="Y202" s="444">
        <f t="shared" si="17"/>
        <v>98.9</v>
      </c>
      <c r="Z202" s="445"/>
      <c r="AA202" s="446">
        <f t="shared" ref="AA202:AE202" si="109">$J202*E202</f>
        <v>290206.8</v>
      </c>
      <c r="AB202" s="447">
        <f t="shared" si="109"/>
        <v>7956</v>
      </c>
      <c r="AC202" s="447">
        <f t="shared" si="109"/>
        <v>16239.6</v>
      </c>
      <c r="AD202" s="447">
        <f t="shared" si="109"/>
        <v>16801.2</v>
      </c>
      <c r="AE202" s="448">
        <f t="shared" si="109"/>
        <v>51480</v>
      </c>
      <c r="AF202" s="449"/>
      <c r="AG202" s="449"/>
      <c r="AH202" s="449"/>
    </row>
    <row r="203" ht="11.25" customHeight="1">
      <c r="A203" s="450"/>
      <c r="B203" s="451"/>
      <c r="C203" s="452"/>
      <c r="D203" s="452"/>
      <c r="E203" s="453"/>
      <c r="F203" s="453"/>
      <c r="G203" s="454"/>
      <c r="H203" s="454"/>
      <c r="I203" s="455"/>
      <c r="J203" s="456"/>
      <c r="K203" s="457" t="s">
        <v>1416</v>
      </c>
      <c r="L203" s="458">
        <v>9.8</v>
      </c>
      <c r="M203" s="459"/>
      <c r="N203" s="460"/>
      <c r="O203" s="460"/>
      <c r="P203" s="461"/>
      <c r="Q203" s="458">
        <v>0.8</v>
      </c>
      <c r="R203" s="459">
        <v>43.4</v>
      </c>
      <c r="S203" s="459">
        <v>28.4</v>
      </c>
      <c r="T203" s="459">
        <v>14.9</v>
      </c>
      <c r="U203" s="459">
        <v>7.6</v>
      </c>
      <c r="V203" s="459">
        <v>4.1</v>
      </c>
      <c r="W203" s="459">
        <v>0.1</v>
      </c>
      <c r="X203" s="459">
        <v>0.7</v>
      </c>
      <c r="Y203" s="462">
        <f t="shared" si="17"/>
        <v>99.2</v>
      </c>
      <c r="Z203" s="463"/>
      <c r="AA203" s="464"/>
      <c r="AB203" s="465"/>
      <c r="AC203" s="465"/>
      <c r="AD203" s="465"/>
      <c r="AE203" s="466"/>
      <c r="AF203" s="449"/>
      <c r="AG203" s="449"/>
      <c r="AH203" s="449"/>
    </row>
    <row r="204" ht="11.25" customHeight="1">
      <c r="A204" s="450"/>
      <c r="B204" s="451"/>
      <c r="C204" s="452"/>
      <c r="D204" s="452"/>
      <c r="E204" s="453"/>
      <c r="F204" s="453"/>
      <c r="G204" s="454"/>
      <c r="H204" s="454"/>
      <c r="I204" s="455"/>
      <c r="J204" s="456"/>
      <c r="K204" s="467" t="s">
        <v>1417</v>
      </c>
      <c r="L204" s="468">
        <v>10.2</v>
      </c>
      <c r="M204" s="469">
        <v>0.31</v>
      </c>
      <c r="N204" s="470">
        <v>0.576</v>
      </c>
      <c r="O204" s="470">
        <v>0.596</v>
      </c>
      <c r="P204" s="471">
        <v>1.81</v>
      </c>
      <c r="Q204" s="468">
        <v>0.6</v>
      </c>
      <c r="R204" s="469">
        <v>42.5</v>
      </c>
      <c r="S204" s="469">
        <v>31.3</v>
      </c>
      <c r="T204" s="469">
        <v>14.3</v>
      </c>
      <c r="U204" s="469">
        <v>6.7</v>
      </c>
      <c r="V204" s="469">
        <v>3.7</v>
      </c>
      <c r="W204" s="469">
        <v>0.2</v>
      </c>
      <c r="X204" s="469">
        <v>0.7</v>
      </c>
      <c r="Y204" s="462">
        <f t="shared" si="17"/>
        <v>99.4</v>
      </c>
      <c r="Z204" s="463"/>
      <c r="AA204" s="464"/>
      <c r="AB204" s="465"/>
      <c r="AC204" s="465"/>
      <c r="AD204" s="465"/>
      <c r="AE204" s="466"/>
      <c r="AF204" s="449"/>
      <c r="AG204" s="449"/>
      <c r="AH204" s="449"/>
    </row>
    <row r="205" ht="11.25" customHeight="1">
      <c r="A205" s="450"/>
      <c r="B205" s="472"/>
      <c r="C205" s="473"/>
      <c r="D205" s="473"/>
      <c r="E205" s="474"/>
      <c r="F205" s="474"/>
      <c r="G205" s="475"/>
      <c r="H205" s="475"/>
      <c r="I205" s="476"/>
      <c r="J205" s="477"/>
      <c r="K205" s="478" t="s">
        <v>1418</v>
      </c>
      <c r="L205" s="479">
        <v>10.47</v>
      </c>
      <c r="M205" s="480">
        <v>0.22</v>
      </c>
      <c r="N205" s="481">
        <v>0.578</v>
      </c>
      <c r="O205" s="481">
        <v>0.598</v>
      </c>
      <c r="P205" s="482">
        <v>1.78</v>
      </c>
      <c r="Q205" s="479">
        <v>1.8</v>
      </c>
      <c r="R205" s="480">
        <v>40.7</v>
      </c>
      <c r="S205" s="480">
        <v>26.8</v>
      </c>
      <c r="T205" s="480">
        <v>15.5</v>
      </c>
      <c r="U205" s="480">
        <v>9.1</v>
      </c>
      <c r="V205" s="480">
        <v>5.2</v>
      </c>
      <c r="W205" s="480">
        <v>0.1</v>
      </c>
      <c r="X205" s="480">
        <v>0.8</v>
      </c>
      <c r="Y205" s="483">
        <f t="shared" si="17"/>
        <v>98.2</v>
      </c>
      <c r="Z205" s="484"/>
      <c r="AA205" s="485"/>
      <c r="AB205" s="486"/>
      <c r="AC205" s="486"/>
      <c r="AD205" s="486"/>
      <c r="AE205" s="487"/>
      <c r="AF205" s="449"/>
      <c r="AG205" s="449"/>
      <c r="AH205" s="449"/>
    </row>
    <row r="206" ht="11.25" customHeight="1">
      <c r="A206" s="431">
        <f>IF(B206="","", YEAR(B206))</f>
        <v>2026</v>
      </c>
      <c r="B206" s="432">
        <v>46080.0</v>
      </c>
      <c r="C206" s="433" t="s">
        <v>1162</v>
      </c>
      <c r="D206" s="433" t="s">
        <v>1413</v>
      </c>
      <c r="E206" s="434" t="str">
        <f t="shared" ref="E206:I206" si="110">IFERROR(AVERAGE(L206:L209),"")</f>
        <v/>
      </c>
      <c r="F206" s="434" t="str">
        <f t="shared" si="110"/>
        <v/>
      </c>
      <c r="G206" s="435" t="str">
        <f t="shared" si="110"/>
        <v/>
      </c>
      <c r="H206" s="435" t="str">
        <f t="shared" si="110"/>
        <v/>
      </c>
      <c r="I206" s="436" t="str">
        <f t="shared" si="110"/>
        <v/>
      </c>
      <c r="J206" s="437">
        <f>SUMIFS(PRODUCTION[KG],PRODUCTION[GRADE],"3X50",PRODUCTION[DATE],B206,PRODUCTION[BATCH],C206,PRODUCTION[SHIFT],D206)</f>
        <v>962</v>
      </c>
      <c r="K206" s="438" t="s">
        <v>1414</v>
      </c>
      <c r="L206" s="443"/>
      <c r="M206" s="440"/>
      <c r="N206" s="441"/>
      <c r="O206" s="441"/>
      <c r="P206" s="442"/>
      <c r="Q206" s="443"/>
      <c r="R206" s="440"/>
      <c r="S206" s="440"/>
      <c r="T206" s="440"/>
      <c r="U206" s="440"/>
      <c r="V206" s="440"/>
      <c r="W206" s="440"/>
      <c r="X206" s="440"/>
      <c r="Y206" s="444">
        <f t="shared" si="17"/>
        <v>0</v>
      </c>
      <c r="Z206" s="445"/>
      <c r="AA206" s="446">
        <f t="shared" ref="AA206:AE206" si="111">$J206*E206</f>
        <v>0</v>
      </c>
      <c r="AB206" s="447">
        <f t="shared" si="111"/>
        <v>0</v>
      </c>
      <c r="AC206" s="447">
        <f t="shared" si="111"/>
        <v>0</v>
      </c>
      <c r="AD206" s="447">
        <f t="shared" si="111"/>
        <v>0</v>
      </c>
      <c r="AE206" s="448">
        <f t="shared" si="111"/>
        <v>0</v>
      </c>
      <c r="AF206" s="449"/>
      <c r="AG206" s="449"/>
      <c r="AH206" s="449"/>
    </row>
    <row r="207" ht="11.25" customHeight="1">
      <c r="A207" s="450"/>
      <c r="B207" s="451"/>
      <c r="C207" s="452"/>
      <c r="D207" s="452"/>
      <c r="E207" s="453"/>
      <c r="F207" s="453"/>
      <c r="G207" s="454"/>
      <c r="H207" s="454"/>
      <c r="I207" s="455"/>
      <c r="J207" s="456"/>
      <c r="K207" s="457" t="s">
        <v>1416</v>
      </c>
      <c r="L207" s="458"/>
      <c r="M207" s="459"/>
      <c r="N207" s="460"/>
      <c r="O207" s="460"/>
      <c r="P207" s="461"/>
      <c r="Q207" s="458"/>
      <c r="R207" s="459"/>
      <c r="S207" s="459"/>
      <c r="T207" s="459"/>
      <c r="U207" s="459"/>
      <c r="V207" s="459"/>
      <c r="W207" s="459"/>
      <c r="X207" s="459"/>
      <c r="Y207" s="462">
        <f t="shared" si="17"/>
        <v>0</v>
      </c>
      <c r="Z207" s="463"/>
      <c r="AA207" s="464"/>
      <c r="AB207" s="465"/>
      <c r="AC207" s="465"/>
      <c r="AD207" s="465"/>
      <c r="AE207" s="466"/>
      <c r="AF207" s="449"/>
      <c r="AG207" s="449"/>
      <c r="AH207" s="449"/>
    </row>
    <row r="208" ht="11.25" customHeight="1">
      <c r="A208" s="450"/>
      <c r="B208" s="451"/>
      <c r="C208" s="452"/>
      <c r="D208" s="452"/>
      <c r="E208" s="453"/>
      <c r="F208" s="453"/>
      <c r="G208" s="454"/>
      <c r="H208" s="454"/>
      <c r="I208" s="455"/>
      <c r="J208" s="456"/>
      <c r="K208" s="467" t="s">
        <v>1417</v>
      </c>
      <c r="L208" s="468"/>
      <c r="M208" s="469"/>
      <c r="N208" s="470"/>
      <c r="O208" s="470"/>
      <c r="P208" s="471"/>
      <c r="Q208" s="468"/>
      <c r="R208" s="469"/>
      <c r="S208" s="469"/>
      <c r="T208" s="469"/>
      <c r="U208" s="469"/>
      <c r="V208" s="469"/>
      <c r="W208" s="469"/>
      <c r="X208" s="469"/>
      <c r="Y208" s="462">
        <f t="shared" si="17"/>
        <v>0</v>
      </c>
      <c r="Z208" s="463"/>
      <c r="AA208" s="464"/>
      <c r="AB208" s="465"/>
      <c r="AC208" s="465"/>
      <c r="AD208" s="465"/>
      <c r="AE208" s="466"/>
      <c r="AF208" s="449"/>
      <c r="AG208" s="449"/>
      <c r="AH208" s="449"/>
    </row>
    <row r="209" ht="11.25" customHeight="1">
      <c r="A209" s="450"/>
      <c r="B209" s="472"/>
      <c r="C209" s="473"/>
      <c r="D209" s="473"/>
      <c r="E209" s="474"/>
      <c r="F209" s="474"/>
      <c r="G209" s="475"/>
      <c r="H209" s="475"/>
      <c r="I209" s="476"/>
      <c r="J209" s="477"/>
      <c r="K209" s="478" t="s">
        <v>1418</v>
      </c>
      <c r="L209" s="479"/>
      <c r="M209" s="480"/>
      <c r="N209" s="481"/>
      <c r="O209" s="481"/>
      <c r="P209" s="482"/>
      <c r="Q209" s="479"/>
      <c r="R209" s="480"/>
      <c r="S209" s="480"/>
      <c r="T209" s="480"/>
      <c r="U209" s="480"/>
      <c r="V209" s="480"/>
      <c r="W209" s="480"/>
      <c r="X209" s="480"/>
      <c r="Y209" s="483">
        <f t="shared" si="17"/>
        <v>0</v>
      </c>
      <c r="Z209" s="484"/>
      <c r="AA209" s="485"/>
      <c r="AB209" s="486"/>
      <c r="AC209" s="486"/>
      <c r="AD209" s="486"/>
      <c r="AE209" s="487"/>
      <c r="AF209" s="449"/>
      <c r="AG209" s="449"/>
      <c r="AH209" s="449"/>
    </row>
    <row r="210" ht="11.25" customHeight="1">
      <c r="A210" s="431">
        <f>IF(B210="","", YEAR(B210))</f>
        <v>2026</v>
      </c>
      <c r="B210" s="432">
        <v>46081.0</v>
      </c>
      <c r="C210" s="433" t="s">
        <v>1178</v>
      </c>
      <c r="D210" s="433" t="s">
        <v>1413</v>
      </c>
      <c r="E210" s="434">
        <f t="shared" ref="E210:I210" si="112">IFERROR(AVERAGE(L210:L213),"")</f>
        <v>10.91333333</v>
      </c>
      <c r="F210" s="434">
        <f t="shared" si="112"/>
        <v>0.2966666667</v>
      </c>
      <c r="G210" s="435">
        <f t="shared" si="112"/>
        <v>0.578</v>
      </c>
      <c r="H210" s="435">
        <f t="shared" si="112"/>
        <v>0.598</v>
      </c>
      <c r="I210" s="436">
        <f t="shared" si="112"/>
        <v>5.193333333</v>
      </c>
      <c r="J210" s="437">
        <f>SUMIFS(PRODUCTION[KG],PRODUCTION[GRADE],"3X50",PRODUCTION[DATE],B210,PRODUCTION[BATCH],C210,PRODUCTION[SHIFT],D210)</f>
        <v>21450</v>
      </c>
      <c r="K210" s="438" t="s">
        <v>1414</v>
      </c>
      <c r="L210" s="443"/>
      <c r="M210" s="440"/>
      <c r="N210" s="441"/>
      <c r="O210" s="441"/>
      <c r="P210" s="442"/>
      <c r="Q210" s="443"/>
      <c r="R210" s="440"/>
      <c r="S210" s="440"/>
      <c r="T210" s="440"/>
      <c r="U210" s="440"/>
      <c r="V210" s="440"/>
      <c r="W210" s="440"/>
      <c r="X210" s="440"/>
      <c r="Y210" s="444">
        <f t="shared" si="17"/>
        <v>0</v>
      </c>
      <c r="Z210" s="445"/>
      <c r="AA210" s="446">
        <f t="shared" ref="AA210:AE210" si="113">$J210*E210</f>
        <v>234091</v>
      </c>
      <c r="AB210" s="447">
        <f t="shared" si="113"/>
        <v>6363.5</v>
      </c>
      <c r="AC210" s="447">
        <f t="shared" si="113"/>
        <v>12398.1</v>
      </c>
      <c r="AD210" s="447">
        <f t="shared" si="113"/>
        <v>12827.1</v>
      </c>
      <c r="AE210" s="448">
        <f t="shared" si="113"/>
        <v>111397</v>
      </c>
      <c r="AF210" s="449"/>
      <c r="AG210" s="449"/>
      <c r="AH210" s="449"/>
    </row>
    <row r="211" ht="11.25" customHeight="1">
      <c r="A211" s="450"/>
      <c r="B211" s="451"/>
      <c r="C211" s="452"/>
      <c r="D211" s="452"/>
      <c r="E211" s="453"/>
      <c r="F211" s="453"/>
      <c r="G211" s="454"/>
      <c r="H211" s="454"/>
      <c r="I211" s="455"/>
      <c r="J211" s="456"/>
      <c r="K211" s="457" t="s">
        <v>1416</v>
      </c>
      <c r="L211" s="458">
        <v>10.94</v>
      </c>
      <c r="M211" s="459">
        <v>0.31</v>
      </c>
      <c r="N211" s="460">
        <v>0.577</v>
      </c>
      <c r="O211" s="460">
        <v>0.597</v>
      </c>
      <c r="P211" s="461">
        <v>2.66</v>
      </c>
      <c r="Q211" s="458">
        <v>0.6</v>
      </c>
      <c r="R211" s="459">
        <v>31.7</v>
      </c>
      <c r="S211" s="459">
        <v>29.5</v>
      </c>
      <c r="T211" s="459">
        <v>18.2</v>
      </c>
      <c r="U211" s="459">
        <v>10.8</v>
      </c>
      <c r="V211" s="459">
        <v>7.4</v>
      </c>
      <c r="W211" s="459">
        <v>0.5</v>
      </c>
      <c r="X211" s="459">
        <v>1.3</v>
      </c>
      <c r="Y211" s="462">
        <f t="shared" si="17"/>
        <v>99.4</v>
      </c>
      <c r="Z211" s="463"/>
      <c r="AA211" s="464"/>
      <c r="AB211" s="465"/>
      <c r="AC211" s="465"/>
      <c r="AD211" s="465"/>
      <c r="AE211" s="466"/>
      <c r="AF211" s="449"/>
      <c r="AG211" s="449"/>
      <c r="AH211" s="449"/>
    </row>
    <row r="212" ht="11.25" customHeight="1">
      <c r="A212" s="450"/>
      <c r="B212" s="451"/>
      <c r="C212" s="452"/>
      <c r="D212" s="452"/>
      <c r="E212" s="453"/>
      <c r="F212" s="453"/>
      <c r="G212" s="454"/>
      <c r="H212" s="454"/>
      <c r="I212" s="455"/>
      <c r="J212" s="456"/>
      <c r="K212" s="467" t="s">
        <v>1417</v>
      </c>
      <c r="L212" s="468">
        <v>10.8</v>
      </c>
      <c r="M212" s="469">
        <v>0.32</v>
      </c>
      <c r="N212" s="470">
        <v>0.576</v>
      </c>
      <c r="O212" s="470">
        <v>0.596</v>
      </c>
      <c r="P212" s="471">
        <v>7.03</v>
      </c>
      <c r="Q212" s="468">
        <v>0.5</v>
      </c>
      <c r="R212" s="469">
        <v>28.3</v>
      </c>
      <c r="S212" s="469">
        <v>24.0</v>
      </c>
      <c r="T212" s="469">
        <v>19.3</v>
      </c>
      <c r="U212" s="469">
        <v>15.4</v>
      </c>
      <c r="V212" s="469">
        <v>10.5</v>
      </c>
      <c r="W212" s="469">
        <v>0.7</v>
      </c>
      <c r="X212" s="469">
        <v>1.3</v>
      </c>
      <c r="Y212" s="462">
        <f t="shared" si="17"/>
        <v>99.5</v>
      </c>
      <c r="Z212" s="463"/>
      <c r="AA212" s="464"/>
      <c r="AB212" s="465"/>
      <c r="AC212" s="465"/>
      <c r="AD212" s="465"/>
      <c r="AE212" s="466"/>
      <c r="AF212" s="449"/>
      <c r="AG212" s="449"/>
      <c r="AH212" s="449"/>
    </row>
    <row r="213" ht="11.25" customHeight="1">
      <c r="A213" s="450"/>
      <c r="B213" s="472"/>
      <c r="C213" s="473"/>
      <c r="D213" s="473"/>
      <c r="E213" s="474"/>
      <c r="F213" s="474"/>
      <c r="G213" s="475"/>
      <c r="H213" s="475"/>
      <c r="I213" s="476"/>
      <c r="J213" s="477"/>
      <c r="K213" s="478" t="s">
        <v>1418</v>
      </c>
      <c r="L213" s="479">
        <v>11.0</v>
      </c>
      <c r="M213" s="480">
        <v>0.26</v>
      </c>
      <c r="N213" s="481">
        <v>0.581</v>
      </c>
      <c r="O213" s="481">
        <v>0.601</v>
      </c>
      <c r="P213" s="482">
        <v>5.89</v>
      </c>
      <c r="Q213" s="479">
        <v>0.4</v>
      </c>
      <c r="R213" s="480">
        <v>38.7</v>
      </c>
      <c r="S213" s="480">
        <v>26.7</v>
      </c>
      <c r="T213" s="480">
        <v>16.3</v>
      </c>
      <c r="U213" s="480">
        <v>10.3</v>
      </c>
      <c r="V213" s="480">
        <v>6.2</v>
      </c>
      <c r="W213" s="480">
        <v>0.4</v>
      </c>
      <c r="X213" s="480">
        <v>1.0</v>
      </c>
      <c r="Y213" s="483">
        <f t="shared" si="17"/>
        <v>99.6</v>
      </c>
      <c r="Z213" s="484"/>
      <c r="AA213" s="485"/>
      <c r="AB213" s="486"/>
      <c r="AC213" s="486"/>
      <c r="AD213" s="486"/>
      <c r="AE213" s="487"/>
      <c r="AF213" s="449"/>
      <c r="AG213" s="449"/>
      <c r="AH213" s="449"/>
    </row>
    <row r="214" ht="11.25" customHeight="1">
      <c r="A214" s="431">
        <f>IF(B214="","", YEAR(B214))</f>
        <v>2026</v>
      </c>
      <c r="B214" s="432">
        <v>46083.0</v>
      </c>
      <c r="C214" s="433" t="s">
        <v>1178</v>
      </c>
      <c r="D214" s="433" t="s">
        <v>1413</v>
      </c>
      <c r="E214" s="434">
        <f t="shared" ref="E214:I214" si="114">IFERROR(AVERAGE(L214:L217),"")</f>
        <v>10.8725</v>
      </c>
      <c r="F214" s="434">
        <f t="shared" si="114"/>
        <v>0.255</v>
      </c>
      <c r="G214" s="435">
        <f t="shared" si="114"/>
        <v>0.5785</v>
      </c>
      <c r="H214" s="435">
        <f t="shared" si="114"/>
        <v>0.5985</v>
      </c>
      <c r="I214" s="436">
        <f t="shared" si="114"/>
        <v>3.6425</v>
      </c>
      <c r="J214" s="437">
        <f>SUMIFS(PRODUCTION[KG],PRODUCTION[GRADE],"3X50",PRODUCTION[DATE],B214,PRODUCTION[BATCH],C214,PRODUCTION[SHIFT],D214)</f>
        <v>28080</v>
      </c>
      <c r="K214" s="438" t="s">
        <v>1414</v>
      </c>
      <c r="L214" s="439">
        <v>10.74</v>
      </c>
      <c r="M214" s="488">
        <v>0.25</v>
      </c>
      <c r="N214" s="489">
        <v>0.579</v>
      </c>
      <c r="O214" s="489">
        <v>0.599</v>
      </c>
      <c r="P214" s="490">
        <v>4.86</v>
      </c>
      <c r="Q214" s="439">
        <v>0.7</v>
      </c>
      <c r="R214" s="488">
        <v>34.5</v>
      </c>
      <c r="S214" s="488">
        <v>25.8</v>
      </c>
      <c r="T214" s="488">
        <v>17.3</v>
      </c>
      <c r="U214" s="488">
        <v>11.8</v>
      </c>
      <c r="V214" s="488">
        <v>7.8</v>
      </c>
      <c r="W214" s="488">
        <v>0.6</v>
      </c>
      <c r="X214" s="488">
        <v>1.5</v>
      </c>
      <c r="Y214" s="444">
        <f t="shared" si="17"/>
        <v>99.3</v>
      </c>
      <c r="Z214" s="445"/>
      <c r="AA214" s="446">
        <f t="shared" ref="AA214:AE214" si="115">$J214*E214</f>
        <v>305299.8</v>
      </c>
      <c r="AB214" s="447">
        <f t="shared" si="115"/>
        <v>7160.4</v>
      </c>
      <c r="AC214" s="447">
        <f t="shared" si="115"/>
        <v>16244.28</v>
      </c>
      <c r="AD214" s="447">
        <f t="shared" si="115"/>
        <v>16805.88</v>
      </c>
      <c r="AE214" s="448">
        <f t="shared" si="115"/>
        <v>102281.4</v>
      </c>
      <c r="AF214" s="449"/>
      <c r="AG214" s="449"/>
      <c r="AH214" s="449"/>
    </row>
    <row r="215" ht="11.25" customHeight="1">
      <c r="A215" s="450"/>
      <c r="B215" s="451"/>
      <c r="C215" s="452"/>
      <c r="D215" s="452"/>
      <c r="E215" s="453"/>
      <c r="F215" s="453"/>
      <c r="G215" s="454"/>
      <c r="H215" s="454"/>
      <c r="I215" s="455"/>
      <c r="J215" s="456"/>
      <c r="K215" s="457" t="s">
        <v>1416</v>
      </c>
      <c r="L215" s="458">
        <v>11.14</v>
      </c>
      <c r="M215" s="459">
        <v>0.23</v>
      </c>
      <c r="N215" s="460">
        <v>0.576</v>
      </c>
      <c r="O215" s="460">
        <v>0.596</v>
      </c>
      <c r="P215" s="461">
        <v>2.73</v>
      </c>
      <c r="Q215" s="458">
        <v>1.2</v>
      </c>
      <c r="R215" s="459">
        <v>38.4</v>
      </c>
      <c r="S215" s="459">
        <v>25.5</v>
      </c>
      <c r="T215" s="459">
        <v>16.7</v>
      </c>
      <c r="U215" s="459">
        <v>10.0</v>
      </c>
      <c r="V215" s="459">
        <v>6.2</v>
      </c>
      <c r="W215" s="459">
        <v>0.4</v>
      </c>
      <c r="X215" s="459">
        <v>1.6</v>
      </c>
      <c r="Y215" s="462">
        <f t="shared" si="17"/>
        <v>98.8</v>
      </c>
      <c r="Z215" s="463"/>
      <c r="AA215" s="464"/>
      <c r="AB215" s="465"/>
      <c r="AC215" s="465"/>
      <c r="AD215" s="465"/>
      <c r="AE215" s="466"/>
      <c r="AF215" s="449"/>
      <c r="AG215" s="449"/>
      <c r="AH215" s="449"/>
    </row>
    <row r="216" ht="11.25" customHeight="1">
      <c r="A216" s="450"/>
      <c r="B216" s="451"/>
      <c r="C216" s="452"/>
      <c r="D216" s="452"/>
      <c r="E216" s="453"/>
      <c r="F216" s="453"/>
      <c r="G216" s="454"/>
      <c r="H216" s="454"/>
      <c r="I216" s="455"/>
      <c r="J216" s="456"/>
      <c r="K216" s="467" t="s">
        <v>1417</v>
      </c>
      <c r="L216" s="468">
        <v>10.94</v>
      </c>
      <c r="M216" s="469">
        <v>0.28</v>
      </c>
      <c r="N216" s="470">
        <v>0.581</v>
      </c>
      <c r="O216" s="470">
        <v>0.601</v>
      </c>
      <c r="P216" s="471">
        <v>3.96</v>
      </c>
      <c r="Q216" s="468">
        <v>0.9</v>
      </c>
      <c r="R216" s="469">
        <v>35.3</v>
      </c>
      <c r="S216" s="469">
        <v>27.3</v>
      </c>
      <c r="T216" s="469">
        <v>17.1</v>
      </c>
      <c r="U216" s="469">
        <v>10.9</v>
      </c>
      <c r="V216" s="469">
        <v>6.7</v>
      </c>
      <c r="W216" s="469">
        <v>0.4</v>
      </c>
      <c r="X216" s="469">
        <v>1.4</v>
      </c>
      <c r="Y216" s="462">
        <f t="shared" si="17"/>
        <v>99.1</v>
      </c>
      <c r="Z216" s="463"/>
      <c r="AA216" s="464"/>
      <c r="AB216" s="465"/>
      <c r="AC216" s="465"/>
      <c r="AD216" s="465"/>
      <c r="AE216" s="466"/>
      <c r="AF216" s="449"/>
      <c r="AG216" s="449"/>
      <c r="AH216" s="449"/>
    </row>
    <row r="217" ht="11.25" customHeight="1">
      <c r="A217" s="450"/>
      <c r="B217" s="472"/>
      <c r="C217" s="473"/>
      <c r="D217" s="473"/>
      <c r="E217" s="474"/>
      <c r="F217" s="474"/>
      <c r="G217" s="475"/>
      <c r="H217" s="475"/>
      <c r="I217" s="476"/>
      <c r="J217" s="477"/>
      <c r="K217" s="478" t="s">
        <v>1418</v>
      </c>
      <c r="L217" s="479">
        <v>10.67</v>
      </c>
      <c r="M217" s="480">
        <v>0.26</v>
      </c>
      <c r="N217" s="481">
        <v>0.578</v>
      </c>
      <c r="O217" s="481">
        <v>0.598</v>
      </c>
      <c r="P217" s="482">
        <v>3.02</v>
      </c>
      <c r="Q217" s="479">
        <v>0.8</v>
      </c>
      <c r="R217" s="480">
        <v>38.3</v>
      </c>
      <c r="S217" s="480">
        <v>26.4</v>
      </c>
      <c r="T217" s="480">
        <v>17.0</v>
      </c>
      <c r="U217" s="480">
        <v>10.6</v>
      </c>
      <c r="V217" s="480">
        <v>6.0</v>
      </c>
      <c r="W217" s="480">
        <v>0.1</v>
      </c>
      <c r="X217" s="480">
        <v>0.8</v>
      </c>
      <c r="Y217" s="483">
        <f t="shared" si="17"/>
        <v>99.2</v>
      </c>
      <c r="Z217" s="484"/>
      <c r="AA217" s="485"/>
      <c r="AB217" s="486"/>
      <c r="AC217" s="486"/>
      <c r="AD217" s="486"/>
      <c r="AE217" s="487"/>
      <c r="AF217" s="449"/>
      <c r="AG217" s="449"/>
      <c r="AH217" s="449"/>
    </row>
    <row r="218" ht="11.25" customHeight="1">
      <c r="A218" s="431">
        <f>IF(B218="","", YEAR(B218))</f>
        <v>2026</v>
      </c>
      <c r="B218" s="432">
        <v>46084.0</v>
      </c>
      <c r="C218" s="433" t="s">
        <v>1178</v>
      </c>
      <c r="D218" s="433" t="s">
        <v>1413</v>
      </c>
      <c r="E218" s="434">
        <f t="shared" ref="E218:I218" si="116">IFERROR(AVERAGE(L218:L221),"")</f>
        <v>11.47</v>
      </c>
      <c r="F218" s="434">
        <f t="shared" si="116"/>
        <v>0.2975</v>
      </c>
      <c r="G218" s="435">
        <f t="shared" si="116"/>
        <v>0.576</v>
      </c>
      <c r="H218" s="435">
        <f t="shared" si="116"/>
        <v>0.596</v>
      </c>
      <c r="I218" s="436">
        <f t="shared" si="116"/>
        <v>3.28</v>
      </c>
      <c r="J218" s="437">
        <f>SUMIFS(PRODUCTION[KG],PRODUCTION[GRADE],"3X50",PRODUCTION[DATE],B218,PRODUCTION[BATCH],C218,PRODUCTION[SHIFT],D218)</f>
        <v>27820</v>
      </c>
      <c r="K218" s="438" t="s">
        <v>1414</v>
      </c>
      <c r="L218" s="439">
        <v>11.2</v>
      </c>
      <c r="M218" s="488">
        <v>0.36</v>
      </c>
      <c r="N218" s="489">
        <v>0.575</v>
      </c>
      <c r="O218" s="489">
        <v>0.595</v>
      </c>
      <c r="P218" s="490">
        <v>4.38</v>
      </c>
      <c r="Q218" s="439">
        <v>0.7</v>
      </c>
      <c r="R218" s="488">
        <v>38.0</v>
      </c>
      <c r="S218" s="488">
        <v>28.1</v>
      </c>
      <c r="T218" s="488">
        <v>14.9</v>
      </c>
      <c r="U218" s="488">
        <v>9.0</v>
      </c>
      <c r="V218" s="488">
        <v>6.2</v>
      </c>
      <c r="W218" s="488">
        <v>0.6</v>
      </c>
      <c r="X218" s="488">
        <v>2.5</v>
      </c>
      <c r="Y218" s="444">
        <f t="shared" si="17"/>
        <v>99.3</v>
      </c>
      <c r="Z218" s="445"/>
      <c r="AA218" s="446">
        <f t="shared" ref="AA218:AE218" si="117">$J218*E218</f>
        <v>319095.4</v>
      </c>
      <c r="AB218" s="447">
        <f t="shared" si="117"/>
        <v>8276.45</v>
      </c>
      <c r="AC218" s="447">
        <f t="shared" si="117"/>
        <v>16024.32</v>
      </c>
      <c r="AD218" s="447">
        <f t="shared" si="117"/>
        <v>16580.72</v>
      </c>
      <c r="AE218" s="448">
        <f t="shared" si="117"/>
        <v>91249.6</v>
      </c>
      <c r="AF218" s="449"/>
      <c r="AG218" s="449"/>
      <c r="AH218" s="449"/>
    </row>
    <row r="219" ht="11.25" customHeight="1">
      <c r="A219" s="450"/>
      <c r="B219" s="451"/>
      <c r="C219" s="452"/>
      <c r="D219" s="452"/>
      <c r="E219" s="453"/>
      <c r="F219" s="453"/>
      <c r="G219" s="454"/>
      <c r="H219" s="454"/>
      <c r="I219" s="455"/>
      <c r="J219" s="456"/>
      <c r="K219" s="457" t="s">
        <v>1416</v>
      </c>
      <c r="L219" s="458">
        <v>11.0</v>
      </c>
      <c r="M219" s="459">
        <v>0.32</v>
      </c>
      <c r="N219" s="460">
        <v>0.576</v>
      </c>
      <c r="O219" s="460">
        <v>0.596</v>
      </c>
      <c r="P219" s="461">
        <v>2.18</v>
      </c>
      <c r="Q219" s="458">
        <v>1.9</v>
      </c>
      <c r="R219" s="459">
        <v>40.3</v>
      </c>
      <c r="S219" s="459">
        <v>24.8</v>
      </c>
      <c r="T219" s="459">
        <v>15.6</v>
      </c>
      <c r="U219" s="459">
        <v>9.7</v>
      </c>
      <c r="V219" s="459">
        <v>6.3</v>
      </c>
      <c r="W219" s="459">
        <v>0.3</v>
      </c>
      <c r="X219" s="459">
        <v>1.1</v>
      </c>
      <c r="Y219" s="462">
        <f t="shared" si="17"/>
        <v>98.1</v>
      </c>
      <c r="Z219" s="463"/>
      <c r="AA219" s="464"/>
      <c r="AB219" s="465"/>
      <c r="AC219" s="465"/>
      <c r="AD219" s="465"/>
      <c r="AE219" s="466"/>
      <c r="AF219" s="449"/>
      <c r="AG219" s="449"/>
      <c r="AH219" s="449"/>
    </row>
    <row r="220" ht="11.25" customHeight="1">
      <c r="A220" s="450"/>
      <c r="B220" s="451"/>
      <c r="C220" s="452"/>
      <c r="D220" s="452"/>
      <c r="E220" s="453"/>
      <c r="F220" s="453"/>
      <c r="G220" s="454"/>
      <c r="H220" s="454"/>
      <c r="I220" s="455"/>
      <c r="J220" s="456"/>
      <c r="K220" s="467" t="s">
        <v>1417</v>
      </c>
      <c r="L220" s="468">
        <v>11.74</v>
      </c>
      <c r="M220" s="469">
        <v>0.22</v>
      </c>
      <c r="N220" s="470">
        <v>0.578</v>
      </c>
      <c r="O220" s="470">
        <v>0.598</v>
      </c>
      <c r="P220" s="471">
        <v>3.75</v>
      </c>
      <c r="Q220" s="468">
        <v>0.7</v>
      </c>
      <c r="R220" s="469">
        <v>35.2</v>
      </c>
      <c r="S220" s="469">
        <v>28.1</v>
      </c>
      <c r="T220" s="469">
        <v>18.1</v>
      </c>
      <c r="U220" s="469">
        <v>11.4</v>
      </c>
      <c r="V220" s="469">
        <v>6.0</v>
      </c>
      <c r="W220" s="469">
        <v>0.1</v>
      </c>
      <c r="X220" s="469">
        <v>0.4</v>
      </c>
      <c r="Y220" s="462">
        <f t="shared" si="17"/>
        <v>99.3</v>
      </c>
      <c r="Z220" s="463"/>
      <c r="AA220" s="464"/>
      <c r="AB220" s="465"/>
      <c r="AC220" s="465"/>
      <c r="AD220" s="465"/>
      <c r="AE220" s="466"/>
      <c r="AF220" s="449"/>
      <c r="AG220" s="449"/>
      <c r="AH220" s="449"/>
    </row>
    <row r="221" ht="11.25" customHeight="1">
      <c r="A221" s="450"/>
      <c r="B221" s="472"/>
      <c r="C221" s="473"/>
      <c r="D221" s="473"/>
      <c r="E221" s="474"/>
      <c r="F221" s="474"/>
      <c r="G221" s="475"/>
      <c r="H221" s="475"/>
      <c r="I221" s="476"/>
      <c r="J221" s="477"/>
      <c r="K221" s="478" t="s">
        <v>1418</v>
      </c>
      <c r="L221" s="479">
        <v>11.94</v>
      </c>
      <c r="M221" s="480">
        <v>0.29</v>
      </c>
      <c r="N221" s="481">
        <v>0.575</v>
      </c>
      <c r="O221" s="481">
        <v>0.595</v>
      </c>
      <c r="P221" s="482">
        <v>2.81</v>
      </c>
      <c r="Q221" s="479">
        <v>0.5</v>
      </c>
      <c r="R221" s="480">
        <v>37.3</v>
      </c>
      <c r="S221" s="480">
        <v>26.8</v>
      </c>
      <c r="T221" s="480">
        <v>17.0</v>
      </c>
      <c r="U221" s="480">
        <v>10.8</v>
      </c>
      <c r="V221" s="480">
        <v>6.2</v>
      </c>
      <c r="W221" s="480">
        <v>0.3</v>
      </c>
      <c r="X221" s="480">
        <v>1.1</v>
      </c>
      <c r="Y221" s="483">
        <f t="shared" si="17"/>
        <v>99.5</v>
      </c>
      <c r="Z221" s="484"/>
      <c r="AA221" s="485"/>
      <c r="AB221" s="486"/>
      <c r="AC221" s="486"/>
      <c r="AD221" s="486"/>
      <c r="AE221" s="487"/>
      <c r="AF221" s="449"/>
      <c r="AG221" s="449"/>
      <c r="AH221" s="449"/>
    </row>
    <row r="222" ht="11.25" customHeight="1">
      <c r="A222" s="431">
        <f>IF(B222="","", YEAR(B222))</f>
        <v>2026</v>
      </c>
      <c r="B222" s="432">
        <v>46085.0</v>
      </c>
      <c r="C222" s="433" t="s">
        <v>1178</v>
      </c>
      <c r="D222" s="433" t="s">
        <v>1413</v>
      </c>
      <c r="E222" s="434">
        <f t="shared" ref="E222:I222" si="118">IFERROR(AVERAGE(L222:L225),"")</f>
        <v>12.17</v>
      </c>
      <c r="F222" s="434">
        <f t="shared" si="118"/>
        <v>0.3175</v>
      </c>
      <c r="G222" s="435">
        <f t="shared" si="118"/>
        <v>0.578</v>
      </c>
      <c r="H222" s="435">
        <f t="shared" si="118"/>
        <v>0.598</v>
      </c>
      <c r="I222" s="436">
        <f t="shared" si="118"/>
        <v>2.4175</v>
      </c>
      <c r="J222" s="437">
        <f>SUMIFS(PRODUCTION[KG],PRODUCTION[GRADE],"3X50",PRODUCTION[DATE],B222,PRODUCTION[BATCH],C222,PRODUCTION[SHIFT],D222)</f>
        <v>30472</v>
      </c>
      <c r="K222" s="438" t="s">
        <v>1414</v>
      </c>
      <c r="L222" s="439">
        <v>12.2</v>
      </c>
      <c r="M222" s="488">
        <v>0.38</v>
      </c>
      <c r="N222" s="489">
        <v>0.576</v>
      </c>
      <c r="O222" s="489">
        <v>0.596</v>
      </c>
      <c r="P222" s="490">
        <v>2.28</v>
      </c>
      <c r="Q222" s="439">
        <v>0.8</v>
      </c>
      <c r="R222" s="488">
        <v>33.2</v>
      </c>
      <c r="S222" s="488">
        <v>24.6</v>
      </c>
      <c r="T222" s="488">
        <v>17.3</v>
      </c>
      <c r="U222" s="488">
        <v>12.0</v>
      </c>
      <c r="V222" s="488">
        <v>9.7</v>
      </c>
      <c r="W222" s="488">
        <v>0.6</v>
      </c>
      <c r="X222" s="488">
        <v>1.8</v>
      </c>
      <c r="Y222" s="444">
        <f t="shared" si="17"/>
        <v>99.2</v>
      </c>
      <c r="Z222" s="445"/>
      <c r="AA222" s="446">
        <f t="shared" ref="AA222:AE222" si="119">$J222*E222</f>
        <v>370844.24</v>
      </c>
      <c r="AB222" s="447">
        <f t="shared" si="119"/>
        <v>9674.86</v>
      </c>
      <c r="AC222" s="447">
        <f t="shared" si="119"/>
        <v>17612.816</v>
      </c>
      <c r="AD222" s="447">
        <f t="shared" si="119"/>
        <v>18222.256</v>
      </c>
      <c r="AE222" s="448">
        <f t="shared" si="119"/>
        <v>73666.06</v>
      </c>
      <c r="AF222" s="449"/>
      <c r="AG222" s="449"/>
      <c r="AH222" s="449"/>
    </row>
    <row r="223" ht="11.25" customHeight="1">
      <c r="A223" s="450"/>
      <c r="B223" s="451"/>
      <c r="C223" s="452"/>
      <c r="D223" s="452"/>
      <c r="E223" s="453"/>
      <c r="F223" s="453"/>
      <c r="G223" s="454"/>
      <c r="H223" s="454"/>
      <c r="I223" s="455"/>
      <c r="J223" s="456"/>
      <c r="K223" s="457" t="s">
        <v>1416</v>
      </c>
      <c r="L223" s="458">
        <v>12.34</v>
      </c>
      <c r="M223" s="459">
        <v>0.25</v>
      </c>
      <c r="N223" s="460">
        <v>0.576</v>
      </c>
      <c r="O223" s="460">
        <v>0.596</v>
      </c>
      <c r="P223" s="461">
        <v>1.98</v>
      </c>
      <c r="Q223" s="458">
        <v>0.6</v>
      </c>
      <c r="R223" s="459">
        <v>38.8</v>
      </c>
      <c r="S223" s="459">
        <v>27.6</v>
      </c>
      <c r="T223" s="459">
        <v>16.8</v>
      </c>
      <c r="U223" s="459">
        <v>9.7</v>
      </c>
      <c r="V223" s="459">
        <v>5.6</v>
      </c>
      <c r="W223" s="459">
        <v>0.1</v>
      </c>
      <c r="X223" s="459">
        <v>0.8</v>
      </c>
      <c r="Y223" s="462">
        <f t="shared" si="17"/>
        <v>99.4</v>
      </c>
      <c r="Z223" s="463"/>
      <c r="AA223" s="464"/>
      <c r="AB223" s="465"/>
      <c r="AC223" s="465"/>
      <c r="AD223" s="465"/>
      <c r="AE223" s="466"/>
      <c r="AF223" s="449"/>
      <c r="AG223" s="449"/>
      <c r="AH223" s="449"/>
    </row>
    <row r="224" ht="11.25" customHeight="1">
      <c r="A224" s="450"/>
      <c r="B224" s="451"/>
      <c r="C224" s="452"/>
      <c r="D224" s="452"/>
      <c r="E224" s="453"/>
      <c r="F224" s="453"/>
      <c r="G224" s="454"/>
      <c r="H224" s="454"/>
      <c r="I224" s="455"/>
      <c r="J224" s="456"/>
      <c r="K224" s="467" t="s">
        <v>1417</v>
      </c>
      <c r="L224" s="468">
        <v>12.6</v>
      </c>
      <c r="M224" s="469">
        <v>0.31</v>
      </c>
      <c r="N224" s="470">
        <v>0.579</v>
      </c>
      <c r="O224" s="470">
        <v>0.599</v>
      </c>
      <c r="P224" s="471">
        <v>3.02</v>
      </c>
      <c r="Q224" s="468">
        <v>0.7</v>
      </c>
      <c r="R224" s="469">
        <v>36.6</v>
      </c>
      <c r="S224" s="469">
        <v>27.5</v>
      </c>
      <c r="T224" s="469">
        <v>17.6</v>
      </c>
      <c r="U224" s="469">
        <v>10.6</v>
      </c>
      <c r="V224" s="469">
        <v>6.3</v>
      </c>
      <c r="W224" s="469">
        <v>0.1</v>
      </c>
      <c r="X224" s="469">
        <v>0.6</v>
      </c>
      <c r="Y224" s="462">
        <f t="shared" si="17"/>
        <v>99.3</v>
      </c>
      <c r="Z224" s="463"/>
      <c r="AA224" s="464"/>
      <c r="AB224" s="465"/>
      <c r="AC224" s="465"/>
      <c r="AD224" s="465"/>
      <c r="AE224" s="466"/>
      <c r="AF224" s="449"/>
      <c r="AG224" s="449"/>
      <c r="AH224" s="449"/>
    </row>
    <row r="225" ht="11.25" customHeight="1">
      <c r="A225" s="450"/>
      <c r="B225" s="472"/>
      <c r="C225" s="473"/>
      <c r="D225" s="473"/>
      <c r="E225" s="474"/>
      <c r="F225" s="474"/>
      <c r="G225" s="475"/>
      <c r="H225" s="475"/>
      <c r="I225" s="476"/>
      <c r="J225" s="477"/>
      <c r="K225" s="478" t="s">
        <v>1418</v>
      </c>
      <c r="L225" s="479">
        <v>11.54</v>
      </c>
      <c r="M225" s="480">
        <v>0.33</v>
      </c>
      <c r="N225" s="481">
        <v>0.581</v>
      </c>
      <c r="O225" s="481">
        <v>0.601</v>
      </c>
      <c r="P225" s="482">
        <v>2.39</v>
      </c>
      <c r="Q225" s="479">
        <v>0.9</v>
      </c>
      <c r="R225" s="480">
        <v>60.4</v>
      </c>
      <c r="S225" s="480">
        <v>23.1</v>
      </c>
      <c r="T225" s="480">
        <v>9.5</v>
      </c>
      <c r="U225" s="480">
        <v>3.9</v>
      </c>
      <c r="V225" s="480">
        <v>2.0</v>
      </c>
      <c r="W225" s="480">
        <v>0.1</v>
      </c>
      <c r="X225" s="480">
        <v>0.1</v>
      </c>
      <c r="Y225" s="483">
        <f t="shared" si="17"/>
        <v>99.1</v>
      </c>
      <c r="Z225" s="484"/>
      <c r="AA225" s="485"/>
      <c r="AB225" s="486"/>
      <c r="AC225" s="486"/>
      <c r="AD225" s="486"/>
      <c r="AE225" s="487"/>
      <c r="AF225" s="449"/>
      <c r="AG225" s="449"/>
      <c r="AH225" s="449"/>
    </row>
    <row r="226" ht="11.25" customHeight="1">
      <c r="A226" s="431">
        <f>IF(B226="","", YEAR(B226))</f>
        <v>2026</v>
      </c>
      <c r="B226" s="432">
        <v>46086.0</v>
      </c>
      <c r="C226" s="433" t="s">
        <v>1178</v>
      </c>
      <c r="D226" s="433" t="s">
        <v>1413</v>
      </c>
      <c r="E226" s="434">
        <f t="shared" ref="E226:I226" si="120">IFERROR(AVERAGE(L226:L229),"")</f>
        <v>11.905</v>
      </c>
      <c r="F226" s="434">
        <f t="shared" si="120"/>
        <v>0.255</v>
      </c>
      <c r="G226" s="435">
        <f t="shared" si="120"/>
        <v>0.5775</v>
      </c>
      <c r="H226" s="435">
        <f t="shared" si="120"/>
        <v>0.5975</v>
      </c>
      <c r="I226" s="436">
        <f t="shared" si="120"/>
        <v>2.865</v>
      </c>
      <c r="J226" s="437">
        <f>SUMIFS(PRODUCTION[KG],PRODUCTION[GRADE],"3X50",PRODUCTION[DATE],B226,PRODUCTION[BATCH],C226,PRODUCTION[SHIFT],D226)</f>
        <v>29250</v>
      </c>
      <c r="K226" s="438" t="s">
        <v>1414</v>
      </c>
      <c r="L226" s="439">
        <v>11.34</v>
      </c>
      <c r="M226" s="488">
        <v>0.3</v>
      </c>
      <c r="N226" s="489">
        <v>0.578</v>
      </c>
      <c r="O226" s="489">
        <v>0.598</v>
      </c>
      <c r="P226" s="490">
        <v>3.55</v>
      </c>
      <c r="Q226" s="439">
        <v>0.6</v>
      </c>
      <c r="R226" s="488">
        <v>36.0</v>
      </c>
      <c r="S226" s="488">
        <v>27.2</v>
      </c>
      <c r="T226" s="488">
        <v>17.5</v>
      </c>
      <c r="U226" s="488">
        <v>10.7</v>
      </c>
      <c r="V226" s="488">
        <v>6.5</v>
      </c>
      <c r="W226" s="488">
        <v>0.3</v>
      </c>
      <c r="X226" s="488">
        <v>1.2</v>
      </c>
      <c r="Y226" s="444">
        <f t="shared" si="17"/>
        <v>99.4</v>
      </c>
      <c r="Z226" s="445"/>
      <c r="AA226" s="446">
        <f t="shared" ref="AA226:AE226" si="121">$J226*E226</f>
        <v>348221.25</v>
      </c>
      <c r="AB226" s="447">
        <f t="shared" si="121"/>
        <v>7458.75</v>
      </c>
      <c r="AC226" s="447">
        <f t="shared" si="121"/>
        <v>16891.875</v>
      </c>
      <c r="AD226" s="447">
        <f t="shared" si="121"/>
        <v>17476.875</v>
      </c>
      <c r="AE226" s="448">
        <f t="shared" si="121"/>
        <v>83801.25</v>
      </c>
      <c r="AF226" s="449"/>
      <c r="AG226" s="449"/>
      <c r="AH226" s="449"/>
    </row>
    <row r="227" ht="11.25" customHeight="1">
      <c r="A227" s="450"/>
      <c r="B227" s="451"/>
      <c r="C227" s="452"/>
      <c r="D227" s="452"/>
      <c r="E227" s="453"/>
      <c r="F227" s="453"/>
      <c r="G227" s="454"/>
      <c r="H227" s="454"/>
      <c r="I227" s="455"/>
      <c r="J227" s="456"/>
      <c r="K227" s="457" t="s">
        <v>1416</v>
      </c>
      <c r="L227" s="458">
        <v>12.8</v>
      </c>
      <c r="M227" s="459">
        <v>0.29</v>
      </c>
      <c r="N227" s="460">
        <v>0.581</v>
      </c>
      <c r="O227" s="460">
        <v>0.601</v>
      </c>
      <c r="P227" s="461">
        <v>1.68</v>
      </c>
      <c r="Q227" s="458">
        <v>0.1</v>
      </c>
      <c r="R227" s="459">
        <v>37.5</v>
      </c>
      <c r="S227" s="459">
        <v>26.6</v>
      </c>
      <c r="T227" s="459">
        <v>17.6</v>
      </c>
      <c r="U227" s="459">
        <v>10.1</v>
      </c>
      <c r="V227" s="459">
        <v>6.4</v>
      </c>
      <c r="W227" s="459">
        <v>0.4</v>
      </c>
      <c r="X227" s="459">
        <v>1.3</v>
      </c>
      <c r="Y227" s="462">
        <f t="shared" si="17"/>
        <v>99.9</v>
      </c>
      <c r="Z227" s="463"/>
      <c r="AA227" s="464"/>
      <c r="AB227" s="465"/>
      <c r="AC227" s="465"/>
      <c r="AD227" s="465"/>
      <c r="AE227" s="466"/>
      <c r="AF227" s="449"/>
      <c r="AG227" s="449"/>
      <c r="AH227" s="449"/>
    </row>
    <row r="228" ht="11.25" customHeight="1">
      <c r="A228" s="450"/>
      <c r="B228" s="451"/>
      <c r="C228" s="452"/>
      <c r="D228" s="452"/>
      <c r="E228" s="453"/>
      <c r="F228" s="453"/>
      <c r="G228" s="454"/>
      <c r="H228" s="454"/>
      <c r="I228" s="455"/>
      <c r="J228" s="456"/>
      <c r="K228" s="467" t="s">
        <v>1417</v>
      </c>
      <c r="L228" s="468">
        <v>12.54</v>
      </c>
      <c r="M228" s="469">
        <v>0.25</v>
      </c>
      <c r="N228" s="470">
        <v>0.574</v>
      </c>
      <c r="O228" s="470">
        <v>0.594</v>
      </c>
      <c r="P228" s="471">
        <v>3.25</v>
      </c>
      <c r="Q228" s="468">
        <v>0.5</v>
      </c>
      <c r="R228" s="469">
        <v>31.0</v>
      </c>
      <c r="S228" s="469">
        <v>27.5</v>
      </c>
      <c r="T228" s="469">
        <v>20.0</v>
      </c>
      <c r="U228" s="469">
        <v>11.6</v>
      </c>
      <c r="V228" s="469">
        <v>7.5</v>
      </c>
      <c r="W228" s="469">
        <v>0.4</v>
      </c>
      <c r="X228" s="469">
        <v>1.5</v>
      </c>
      <c r="Y228" s="462">
        <f t="shared" si="17"/>
        <v>99.5</v>
      </c>
      <c r="Z228" s="463"/>
      <c r="AA228" s="464"/>
      <c r="AB228" s="465"/>
      <c r="AC228" s="465"/>
      <c r="AD228" s="465"/>
      <c r="AE228" s="466"/>
      <c r="AF228" s="449"/>
      <c r="AG228" s="449"/>
      <c r="AH228" s="449"/>
    </row>
    <row r="229" ht="11.25" customHeight="1">
      <c r="A229" s="450"/>
      <c r="B229" s="472"/>
      <c r="C229" s="473"/>
      <c r="D229" s="473"/>
      <c r="E229" s="474"/>
      <c r="F229" s="474"/>
      <c r="G229" s="475"/>
      <c r="H229" s="475"/>
      <c r="I229" s="476"/>
      <c r="J229" s="477"/>
      <c r="K229" s="478" t="s">
        <v>1418</v>
      </c>
      <c r="L229" s="479">
        <v>10.94</v>
      </c>
      <c r="M229" s="480">
        <v>0.18</v>
      </c>
      <c r="N229" s="481">
        <v>0.577</v>
      </c>
      <c r="O229" s="481">
        <v>0.597</v>
      </c>
      <c r="P229" s="482">
        <v>2.98</v>
      </c>
      <c r="Q229" s="479">
        <v>0.8</v>
      </c>
      <c r="R229" s="480">
        <v>38.5</v>
      </c>
      <c r="S229" s="480">
        <v>25.0</v>
      </c>
      <c r="T229" s="480">
        <v>17.3</v>
      </c>
      <c r="U229" s="480">
        <v>10.6</v>
      </c>
      <c r="V229" s="480">
        <v>6.4</v>
      </c>
      <c r="W229" s="480">
        <v>0.3</v>
      </c>
      <c r="X229" s="480">
        <v>1.1</v>
      </c>
      <c r="Y229" s="483">
        <f t="shared" si="17"/>
        <v>99.2</v>
      </c>
      <c r="Z229" s="484"/>
      <c r="AA229" s="485"/>
      <c r="AB229" s="486"/>
      <c r="AC229" s="486"/>
      <c r="AD229" s="486"/>
      <c r="AE229" s="487"/>
      <c r="AF229" s="449"/>
      <c r="AG229" s="449"/>
      <c r="AH229" s="449"/>
    </row>
    <row r="230" ht="11.25" customHeight="1">
      <c r="A230" s="431">
        <f>IF(B230="","", YEAR(B230))</f>
        <v>2026</v>
      </c>
      <c r="B230" s="432">
        <v>46087.0</v>
      </c>
      <c r="C230" s="433" t="s">
        <v>1178</v>
      </c>
      <c r="D230" s="433" t="s">
        <v>1413</v>
      </c>
      <c r="E230" s="434">
        <f t="shared" ref="E230:I230" si="122">IFERROR(AVERAGE(L230:L233),"")</f>
        <v>12.58333333</v>
      </c>
      <c r="F230" s="434">
        <f t="shared" si="122"/>
        <v>0.2766666667</v>
      </c>
      <c r="G230" s="435">
        <f t="shared" si="122"/>
        <v>0.5763333333</v>
      </c>
      <c r="H230" s="435">
        <f t="shared" si="122"/>
        <v>0.5943333333</v>
      </c>
      <c r="I230" s="436">
        <f t="shared" si="122"/>
        <v>2.436666667</v>
      </c>
      <c r="J230" s="437">
        <f>SUMIFS(PRODUCTION[KG],PRODUCTION[GRADE],"3X50",PRODUCTION[DATE],B230,PRODUCTION[BATCH],C230,PRODUCTION[SHIFT],D230)</f>
        <v>18070</v>
      </c>
      <c r="K230" s="438" t="s">
        <v>1414</v>
      </c>
      <c r="L230" s="439" t="s">
        <v>1421</v>
      </c>
      <c r="M230" s="440"/>
      <c r="N230" s="441"/>
      <c r="O230" s="441"/>
      <c r="P230" s="442"/>
      <c r="Q230" s="443"/>
      <c r="R230" s="440"/>
      <c r="S230" s="440"/>
      <c r="T230" s="440"/>
      <c r="U230" s="440"/>
      <c r="V230" s="440"/>
      <c r="W230" s="440"/>
      <c r="X230" s="440"/>
      <c r="Y230" s="444">
        <f t="shared" si="17"/>
        <v>0</v>
      </c>
      <c r="Z230" s="445"/>
      <c r="AA230" s="446">
        <f t="shared" ref="AA230:AE230" si="123">$J230*E230</f>
        <v>227380.8333</v>
      </c>
      <c r="AB230" s="447">
        <f t="shared" si="123"/>
        <v>4999.366667</v>
      </c>
      <c r="AC230" s="447">
        <f t="shared" si="123"/>
        <v>10414.34333</v>
      </c>
      <c r="AD230" s="447">
        <f t="shared" si="123"/>
        <v>10739.60333</v>
      </c>
      <c r="AE230" s="448">
        <f t="shared" si="123"/>
        <v>44030.56667</v>
      </c>
      <c r="AF230" s="449"/>
      <c r="AG230" s="449"/>
      <c r="AH230" s="449"/>
    </row>
    <row r="231" ht="11.25" customHeight="1">
      <c r="A231" s="450"/>
      <c r="B231" s="451"/>
      <c r="C231" s="452"/>
      <c r="D231" s="452"/>
      <c r="E231" s="453"/>
      <c r="F231" s="453"/>
      <c r="G231" s="454"/>
      <c r="H231" s="454"/>
      <c r="I231" s="455"/>
      <c r="J231" s="456"/>
      <c r="K231" s="457" t="s">
        <v>1416</v>
      </c>
      <c r="L231" s="458">
        <v>12.74</v>
      </c>
      <c r="M231" s="459">
        <v>0.31</v>
      </c>
      <c r="N231" s="460">
        <v>0.576</v>
      </c>
      <c r="O231" s="460">
        <v>0.596</v>
      </c>
      <c r="P231" s="461">
        <v>2.18</v>
      </c>
      <c r="Q231" s="458">
        <v>0.7</v>
      </c>
      <c r="R231" s="459">
        <v>35.8</v>
      </c>
      <c r="S231" s="459">
        <v>25.4</v>
      </c>
      <c r="T231" s="459">
        <v>18.3</v>
      </c>
      <c r="U231" s="459">
        <v>10.6</v>
      </c>
      <c r="V231" s="459">
        <v>7.1</v>
      </c>
      <c r="W231" s="459">
        <v>0.4</v>
      </c>
      <c r="X231" s="459">
        <v>1.7</v>
      </c>
      <c r="Y231" s="462">
        <f t="shared" si="17"/>
        <v>99.3</v>
      </c>
      <c r="Z231" s="463"/>
      <c r="AA231" s="464"/>
      <c r="AB231" s="465"/>
      <c r="AC231" s="465"/>
      <c r="AD231" s="465"/>
      <c r="AE231" s="466"/>
      <c r="AF231" s="449"/>
      <c r="AG231" s="449"/>
      <c r="AH231" s="449"/>
    </row>
    <row r="232" ht="11.25" customHeight="1">
      <c r="A232" s="450"/>
      <c r="B232" s="451"/>
      <c r="C232" s="452"/>
      <c r="D232" s="452"/>
      <c r="E232" s="453"/>
      <c r="F232" s="453"/>
      <c r="G232" s="454"/>
      <c r="H232" s="454"/>
      <c r="I232" s="455"/>
      <c r="J232" s="456"/>
      <c r="K232" s="467" t="s">
        <v>1417</v>
      </c>
      <c r="L232" s="468">
        <v>12.27</v>
      </c>
      <c r="M232" s="469">
        <v>0.29</v>
      </c>
      <c r="N232" s="470">
        <v>0.578</v>
      </c>
      <c r="O232" s="470">
        <v>0.592</v>
      </c>
      <c r="P232" s="471">
        <v>2.68</v>
      </c>
      <c r="Q232" s="468">
        <v>1.0</v>
      </c>
      <c r="R232" s="469">
        <v>31.6</v>
      </c>
      <c r="S232" s="469">
        <v>24.7</v>
      </c>
      <c r="T232" s="469">
        <v>19.7</v>
      </c>
      <c r="U232" s="469">
        <v>12.0</v>
      </c>
      <c r="V232" s="469">
        <v>8.5</v>
      </c>
      <c r="W232" s="469">
        <v>0.5</v>
      </c>
      <c r="X232" s="469">
        <v>2.0</v>
      </c>
      <c r="Y232" s="462">
        <f t="shared" si="17"/>
        <v>99</v>
      </c>
      <c r="Z232" s="463"/>
      <c r="AA232" s="464"/>
      <c r="AB232" s="465"/>
      <c r="AC232" s="465"/>
      <c r="AD232" s="465"/>
      <c r="AE232" s="466"/>
      <c r="AF232" s="449"/>
      <c r="AG232" s="449"/>
      <c r="AH232" s="449"/>
    </row>
    <row r="233" ht="11.25" customHeight="1">
      <c r="A233" s="450"/>
      <c r="B233" s="472"/>
      <c r="C233" s="473"/>
      <c r="D233" s="473"/>
      <c r="E233" s="474"/>
      <c r="F233" s="474"/>
      <c r="G233" s="475"/>
      <c r="H233" s="475"/>
      <c r="I233" s="476"/>
      <c r="J233" s="477"/>
      <c r="K233" s="478" t="s">
        <v>1418</v>
      </c>
      <c r="L233" s="479">
        <v>12.74</v>
      </c>
      <c r="M233" s="480">
        <v>0.23</v>
      </c>
      <c r="N233" s="481">
        <v>0.575</v>
      </c>
      <c r="O233" s="481">
        <v>0.595</v>
      </c>
      <c r="P233" s="482">
        <v>2.45</v>
      </c>
      <c r="Q233" s="479">
        <v>0.3</v>
      </c>
      <c r="R233" s="480">
        <v>35.0</v>
      </c>
      <c r="S233" s="480">
        <v>26.5</v>
      </c>
      <c r="T233" s="480">
        <v>19.8</v>
      </c>
      <c r="U233" s="480">
        <v>10.2</v>
      </c>
      <c r="V233" s="480">
        <v>6.5</v>
      </c>
      <c r="W233" s="480">
        <v>0.3</v>
      </c>
      <c r="X233" s="480">
        <v>1.4</v>
      </c>
      <c r="Y233" s="483">
        <f t="shared" si="17"/>
        <v>99.7</v>
      </c>
      <c r="Z233" s="484"/>
      <c r="AA233" s="485"/>
      <c r="AB233" s="486"/>
      <c r="AC233" s="486"/>
      <c r="AD233" s="486"/>
      <c r="AE233" s="487"/>
      <c r="AF233" s="449"/>
      <c r="AG233" s="449"/>
      <c r="AH233" s="449"/>
    </row>
    <row r="234" ht="11.25" customHeight="1">
      <c r="A234" s="431">
        <f>IF(B234="","", YEAR(B234))</f>
        <v>2026</v>
      </c>
      <c r="B234" s="432">
        <v>46088.0</v>
      </c>
      <c r="C234" s="433" t="s">
        <v>1178</v>
      </c>
      <c r="D234" s="433" t="s">
        <v>1413</v>
      </c>
      <c r="E234" s="434">
        <f t="shared" ref="E234:I234" si="124">IFERROR(AVERAGE(L234:L237),"")</f>
        <v>12.3525</v>
      </c>
      <c r="F234" s="434">
        <f t="shared" si="124"/>
        <v>0.2825</v>
      </c>
      <c r="G234" s="435">
        <f t="shared" si="124"/>
        <v>0.5785</v>
      </c>
      <c r="H234" s="435">
        <f t="shared" si="124"/>
        <v>0.5985</v>
      </c>
      <c r="I234" s="436">
        <f t="shared" si="124"/>
        <v>2.225</v>
      </c>
      <c r="J234" s="437">
        <f>SUMIFS(PRODUCTION[KG],PRODUCTION[GRADE],"3X50",PRODUCTION[DATE],B234,PRODUCTION[BATCH],C234,PRODUCTION[SHIFT],D234)</f>
        <v>30784</v>
      </c>
      <c r="K234" s="438" t="s">
        <v>1414</v>
      </c>
      <c r="L234" s="439">
        <v>12.67</v>
      </c>
      <c r="M234" s="488">
        <v>0.26</v>
      </c>
      <c r="N234" s="489">
        <v>0.58</v>
      </c>
      <c r="O234" s="489">
        <v>0.6</v>
      </c>
      <c r="P234" s="490">
        <v>2.16</v>
      </c>
      <c r="Q234" s="439">
        <v>0.1</v>
      </c>
      <c r="R234" s="488">
        <v>31.6</v>
      </c>
      <c r="S234" s="488">
        <v>24.7</v>
      </c>
      <c r="T234" s="488">
        <v>19.7</v>
      </c>
      <c r="U234" s="488">
        <v>12.9</v>
      </c>
      <c r="V234" s="488">
        <v>8.5</v>
      </c>
      <c r="W234" s="488">
        <v>0.5</v>
      </c>
      <c r="X234" s="488">
        <v>2.0</v>
      </c>
      <c r="Y234" s="444">
        <f t="shared" si="17"/>
        <v>99.9</v>
      </c>
      <c r="Z234" s="445"/>
      <c r="AA234" s="446">
        <f t="shared" ref="AA234:AE234" si="125">$J234*E234</f>
        <v>380259.36</v>
      </c>
      <c r="AB234" s="447">
        <f t="shared" si="125"/>
        <v>8696.48</v>
      </c>
      <c r="AC234" s="447">
        <f t="shared" si="125"/>
        <v>17808.544</v>
      </c>
      <c r="AD234" s="447">
        <f t="shared" si="125"/>
        <v>18424.224</v>
      </c>
      <c r="AE234" s="448">
        <f t="shared" si="125"/>
        <v>68494.4</v>
      </c>
      <c r="AF234" s="449"/>
      <c r="AG234" s="449"/>
      <c r="AH234" s="449"/>
    </row>
    <row r="235" ht="11.25" customHeight="1">
      <c r="A235" s="450"/>
      <c r="B235" s="451"/>
      <c r="C235" s="452"/>
      <c r="D235" s="452"/>
      <c r="E235" s="453"/>
      <c r="F235" s="453"/>
      <c r="G235" s="454"/>
      <c r="H235" s="454"/>
      <c r="I235" s="455"/>
      <c r="J235" s="456"/>
      <c r="K235" s="457" t="s">
        <v>1416</v>
      </c>
      <c r="L235" s="458">
        <v>12.8</v>
      </c>
      <c r="M235" s="459">
        <v>0.27</v>
      </c>
      <c r="N235" s="460">
        <v>0.576</v>
      </c>
      <c r="O235" s="460">
        <v>0.596</v>
      </c>
      <c r="P235" s="461">
        <v>2.01</v>
      </c>
      <c r="Q235" s="458">
        <v>1.5</v>
      </c>
      <c r="R235" s="459">
        <v>47.4</v>
      </c>
      <c r="S235" s="459">
        <v>23.9</v>
      </c>
      <c r="T235" s="459">
        <v>13.1</v>
      </c>
      <c r="U235" s="459">
        <v>7.9</v>
      </c>
      <c r="V235" s="459">
        <v>5.2</v>
      </c>
      <c r="W235" s="459">
        <v>0.1</v>
      </c>
      <c r="X235" s="459">
        <v>0.9</v>
      </c>
      <c r="Y235" s="462">
        <f t="shared" si="17"/>
        <v>98.5</v>
      </c>
      <c r="Z235" s="463"/>
      <c r="AA235" s="464"/>
      <c r="AB235" s="465"/>
      <c r="AC235" s="465"/>
      <c r="AD235" s="465"/>
      <c r="AE235" s="466"/>
      <c r="AF235" s="449"/>
      <c r="AG235" s="449"/>
      <c r="AH235" s="449"/>
    </row>
    <row r="236" ht="11.25" customHeight="1">
      <c r="A236" s="450"/>
      <c r="B236" s="451"/>
      <c r="C236" s="452"/>
      <c r="D236" s="452"/>
      <c r="E236" s="453"/>
      <c r="F236" s="453"/>
      <c r="G236" s="454"/>
      <c r="H236" s="454"/>
      <c r="I236" s="455"/>
      <c r="J236" s="456"/>
      <c r="K236" s="467" t="s">
        <v>1417</v>
      </c>
      <c r="L236" s="468">
        <v>11.87</v>
      </c>
      <c r="M236" s="469">
        <v>0.31</v>
      </c>
      <c r="N236" s="470">
        <v>0.577</v>
      </c>
      <c r="O236" s="470">
        <v>0.597</v>
      </c>
      <c r="P236" s="471">
        <v>1.86</v>
      </c>
      <c r="Q236" s="468">
        <v>0.9</v>
      </c>
      <c r="R236" s="469">
        <v>56.2</v>
      </c>
      <c r="S236" s="469">
        <v>23.4</v>
      </c>
      <c r="T236" s="469">
        <v>10.3</v>
      </c>
      <c r="U236" s="469">
        <v>5.8</v>
      </c>
      <c r="V236" s="469">
        <v>3.2</v>
      </c>
      <c r="W236" s="469">
        <v>0.1</v>
      </c>
      <c r="X236" s="469">
        <v>0.1</v>
      </c>
      <c r="Y236" s="462">
        <f t="shared" si="17"/>
        <v>99.1</v>
      </c>
      <c r="Z236" s="463"/>
      <c r="AA236" s="464"/>
      <c r="AB236" s="465"/>
      <c r="AC236" s="465"/>
      <c r="AD236" s="465"/>
      <c r="AE236" s="466"/>
      <c r="AF236" s="449"/>
      <c r="AG236" s="449"/>
      <c r="AH236" s="449"/>
    </row>
    <row r="237" ht="11.25" customHeight="1">
      <c r="A237" s="450"/>
      <c r="B237" s="472"/>
      <c r="C237" s="473"/>
      <c r="D237" s="473"/>
      <c r="E237" s="474"/>
      <c r="F237" s="474"/>
      <c r="G237" s="475"/>
      <c r="H237" s="475"/>
      <c r="I237" s="476"/>
      <c r="J237" s="477"/>
      <c r="K237" s="478" t="s">
        <v>1418</v>
      </c>
      <c r="L237" s="479">
        <v>12.07</v>
      </c>
      <c r="M237" s="480">
        <v>0.29</v>
      </c>
      <c r="N237" s="481">
        <v>0.581</v>
      </c>
      <c r="O237" s="481">
        <v>0.601</v>
      </c>
      <c r="P237" s="482">
        <v>2.87</v>
      </c>
      <c r="Q237" s="479">
        <v>1.2</v>
      </c>
      <c r="R237" s="480">
        <v>44.6</v>
      </c>
      <c r="S237" s="480">
        <v>26.5</v>
      </c>
      <c r="T237" s="480">
        <v>13.8</v>
      </c>
      <c r="U237" s="480">
        <v>8.2</v>
      </c>
      <c r="V237" s="480">
        <v>4.5</v>
      </c>
      <c r="W237" s="480">
        <v>0.1</v>
      </c>
      <c r="X237" s="480">
        <v>1.1</v>
      </c>
      <c r="Y237" s="483">
        <f t="shared" si="17"/>
        <v>98.8</v>
      </c>
      <c r="Z237" s="484"/>
      <c r="AA237" s="485"/>
      <c r="AB237" s="486"/>
      <c r="AC237" s="486"/>
      <c r="AD237" s="486"/>
      <c r="AE237" s="487"/>
      <c r="AF237" s="449"/>
      <c r="AG237" s="449"/>
      <c r="AH237" s="449"/>
    </row>
    <row r="238" ht="11.25" customHeight="1">
      <c r="A238" s="431">
        <f>IF(B238="","", YEAR(B238))</f>
        <v>2026</v>
      </c>
      <c r="B238" s="432">
        <v>46090.0</v>
      </c>
      <c r="C238" s="433" t="s">
        <v>1178</v>
      </c>
      <c r="D238" s="433" t="s">
        <v>1413</v>
      </c>
      <c r="E238" s="434">
        <f t="shared" ref="E238:I238" si="126">IFERROR(AVERAGE(L238:L241),"")</f>
        <v>12.3525</v>
      </c>
      <c r="F238" s="434">
        <f t="shared" si="126"/>
        <v>0.22</v>
      </c>
      <c r="G238" s="435">
        <f t="shared" si="126"/>
        <v>0.5775</v>
      </c>
      <c r="H238" s="435">
        <f t="shared" si="126"/>
        <v>0.5975</v>
      </c>
      <c r="I238" s="436">
        <f t="shared" si="126"/>
        <v>2.3575</v>
      </c>
      <c r="J238" s="437">
        <f>SUMIFS(PRODUCTION[KG],PRODUCTION[GRADE],"3X50",PRODUCTION[DATE],B238,PRODUCTION[BATCH],C238,PRODUCTION[SHIFT],D238)</f>
        <v>27300</v>
      </c>
      <c r="K238" s="438" t="s">
        <v>1414</v>
      </c>
      <c r="L238" s="439">
        <v>12.34</v>
      </c>
      <c r="M238" s="488">
        <v>0.22</v>
      </c>
      <c r="N238" s="489">
        <v>0.575</v>
      </c>
      <c r="O238" s="489">
        <v>0.595</v>
      </c>
      <c r="P238" s="490">
        <v>2.98</v>
      </c>
      <c r="Q238" s="439">
        <v>0.8</v>
      </c>
      <c r="R238" s="488">
        <v>51.4</v>
      </c>
      <c r="S238" s="488">
        <v>23.7</v>
      </c>
      <c r="T238" s="488">
        <v>12.3</v>
      </c>
      <c r="U238" s="488">
        <v>7.0</v>
      </c>
      <c r="V238" s="488">
        <v>3.6</v>
      </c>
      <c r="W238" s="488">
        <v>0.1</v>
      </c>
      <c r="X238" s="488">
        <v>1.1</v>
      </c>
      <c r="Y238" s="444">
        <f t="shared" si="17"/>
        <v>99.2</v>
      </c>
      <c r="Z238" s="445"/>
      <c r="AA238" s="446">
        <f t="shared" ref="AA238:AE238" si="127">$J238*E238</f>
        <v>337223.25</v>
      </c>
      <c r="AB238" s="447">
        <f t="shared" si="127"/>
        <v>6006</v>
      </c>
      <c r="AC238" s="447">
        <f t="shared" si="127"/>
        <v>15765.75</v>
      </c>
      <c r="AD238" s="447">
        <f t="shared" si="127"/>
        <v>16311.75</v>
      </c>
      <c r="AE238" s="448">
        <f t="shared" si="127"/>
        <v>64359.75</v>
      </c>
      <c r="AF238" s="449"/>
      <c r="AG238" s="449"/>
      <c r="AH238" s="449"/>
    </row>
    <row r="239" ht="11.25" customHeight="1">
      <c r="A239" s="450"/>
      <c r="B239" s="451"/>
      <c r="C239" s="452"/>
      <c r="D239" s="452"/>
      <c r="E239" s="453"/>
      <c r="F239" s="453"/>
      <c r="G239" s="454"/>
      <c r="H239" s="454"/>
      <c r="I239" s="455"/>
      <c r="J239" s="456"/>
      <c r="K239" s="457" t="s">
        <v>1416</v>
      </c>
      <c r="L239" s="458">
        <v>12.6</v>
      </c>
      <c r="M239" s="459">
        <v>0.18</v>
      </c>
      <c r="N239" s="460">
        <v>0.576</v>
      </c>
      <c r="O239" s="460">
        <v>0.596</v>
      </c>
      <c r="P239" s="461">
        <v>2.08</v>
      </c>
      <c r="Q239" s="458">
        <v>0.8</v>
      </c>
      <c r="R239" s="459">
        <v>41.4</v>
      </c>
      <c r="S239" s="459">
        <v>27.9</v>
      </c>
      <c r="T239" s="459">
        <v>15.0</v>
      </c>
      <c r="U239" s="459">
        <v>8.6</v>
      </c>
      <c r="V239" s="459">
        <v>5.1</v>
      </c>
      <c r="W239" s="459">
        <v>0.1</v>
      </c>
      <c r="X239" s="459">
        <v>1.1</v>
      </c>
      <c r="Y239" s="462">
        <f t="shared" si="17"/>
        <v>99.2</v>
      </c>
      <c r="Z239" s="463"/>
      <c r="AA239" s="464"/>
      <c r="AB239" s="465"/>
      <c r="AC239" s="465"/>
      <c r="AD239" s="465"/>
      <c r="AE239" s="466"/>
      <c r="AF239" s="449"/>
      <c r="AG239" s="449"/>
      <c r="AH239" s="449"/>
    </row>
    <row r="240" ht="11.25" customHeight="1">
      <c r="A240" s="450"/>
      <c r="B240" s="451"/>
      <c r="C240" s="452"/>
      <c r="D240" s="452"/>
      <c r="E240" s="453"/>
      <c r="F240" s="453"/>
      <c r="G240" s="454"/>
      <c r="H240" s="454"/>
      <c r="I240" s="455"/>
      <c r="J240" s="456"/>
      <c r="K240" s="467" t="s">
        <v>1417</v>
      </c>
      <c r="L240" s="468">
        <v>12.0</v>
      </c>
      <c r="M240" s="469">
        <v>0.27</v>
      </c>
      <c r="N240" s="470">
        <v>0.579</v>
      </c>
      <c r="O240" s="470">
        <v>0.599</v>
      </c>
      <c r="P240" s="471">
        <v>2.22</v>
      </c>
      <c r="Q240" s="468">
        <v>1.4</v>
      </c>
      <c r="R240" s="469">
        <v>46.8</v>
      </c>
      <c r="S240" s="469">
        <v>26.6</v>
      </c>
      <c r="T240" s="469">
        <v>12.9</v>
      </c>
      <c r="U240" s="469">
        <v>7.3</v>
      </c>
      <c r="V240" s="469">
        <v>4.2</v>
      </c>
      <c r="W240" s="469">
        <v>0.1</v>
      </c>
      <c r="X240" s="469">
        <v>0.7</v>
      </c>
      <c r="Y240" s="462">
        <f t="shared" si="17"/>
        <v>98.6</v>
      </c>
      <c r="Z240" s="463"/>
      <c r="AA240" s="464"/>
      <c r="AB240" s="465"/>
      <c r="AC240" s="465"/>
      <c r="AD240" s="465"/>
      <c r="AE240" s="466"/>
      <c r="AF240" s="449"/>
      <c r="AG240" s="449"/>
      <c r="AH240" s="449"/>
    </row>
    <row r="241" ht="11.25" customHeight="1">
      <c r="A241" s="450"/>
      <c r="B241" s="472"/>
      <c r="C241" s="473"/>
      <c r="D241" s="473"/>
      <c r="E241" s="474"/>
      <c r="F241" s="474"/>
      <c r="G241" s="475"/>
      <c r="H241" s="475"/>
      <c r="I241" s="476"/>
      <c r="J241" s="477"/>
      <c r="K241" s="478" t="s">
        <v>1418</v>
      </c>
      <c r="L241" s="479">
        <v>12.47</v>
      </c>
      <c r="M241" s="480">
        <v>0.21</v>
      </c>
      <c r="N241" s="481">
        <v>0.58</v>
      </c>
      <c r="O241" s="481">
        <v>0.6</v>
      </c>
      <c r="P241" s="482">
        <v>2.15</v>
      </c>
      <c r="Q241" s="479">
        <v>1.1</v>
      </c>
      <c r="R241" s="480">
        <v>48.8</v>
      </c>
      <c r="S241" s="480">
        <v>25.5</v>
      </c>
      <c r="T241" s="480">
        <v>12.8</v>
      </c>
      <c r="U241" s="480">
        <v>6.9</v>
      </c>
      <c r="V241" s="480">
        <v>3.8</v>
      </c>
      <c r="W241" s="480">
        <v>0.1</v>
      </c>
      <c r="X241" s="480">
        <v>1.0</v>
      </c>
      <c r="Y241" s="483">
        <f t="shared" si="17"/>
        <v>98.9</v>
      </c>
      <c r="Z241" s="484"/>
      <c r="AA241" s="485"/>
      <c r="AB241" s="486"/>
      <c r="AC241" s="486"/>
      <c r="AD241" s="486"/>
      <c r="AE241" s="487"/>
      <c r="AF241" s="449"/>
      <c r="AG241" s="449"/>
      <c r="AH241" s="449"/>
    </row>
    <row r="242" ht="11.25" customHeight="1">
      <c r="A242" s="431">
        <f>IF(B242="","", YEAR(B242))</f>
        <v>2026</v>
      </c>
      <c r="B242" s="432">
        <v>46090.0</v>
      </c>
      <c r="C242" s="433" t="s">
        <v>1178</v>
      </c>
      <c r="D242" s="433" t="s">
        <v>1422</v>
      </c>
      <c r="E242" s="434">
        <f t="shared" ref="E242:I242" si="128">IFERROR(AVERAGE(L242:L245),"")</f>
        <v>12.4</v>
      </c>
      <c r="F242" s="434">
        <f t="shared" si="128"/>
        <v>0.305</v>
      </c>
      <c r="G242" s="435">
        <f t="shared" si="128"/>
        <v>0.573</v>
      </c>
      <c r="H242" s="435">
        <f t="shared" si="128"/>
        <v>0.593</v>
      </c>
      <c r="I242" s="436">
        <f t="shared" si="128"/>
        <v>2.19</v>
      </c>
      <c r="J242" s="437">
        <f>SUMIFS(PRODUCTION[KG],PRODUCTION[GRADE],"3X50",PRODUCTION[DATE],B242,PRODUCTION[BATCH],C242,PRODUCTION[SHIFT],D242)</f>
        <v>27820</v>
      </c>
      <c r="K242" s="438" t="s">
        <v>1414</v>
      </c>
      <c r="L242" s="439" t="s">
        <v>1423</v>
      </c>
      <c r="M242" s="488">
        <v>0.32</v>
      </c>
      <c r="N242" s="489">
        <v>0.571</v>
      </c>
      <c r="O242" s="489">
        <v>0.591</v>
      </c>
      <c r="P242" s="490">
        <v>1.96</v>
      </c>
      <c r="Q242" s="439">
        <v>0.7</v>
      </c>
      <c r="R242" s="488">
        <v>45.0</v>
      </c>
      <c r="S242" s="488">
        <v>25.9</v>
      </c>
      <c r="T242" s="488">
        <v>14.1</v>
      </c>
      <c r="U242" s="488">
        <v>8.3</v>
      </c>
      <c r="V242" s="488">
        <v>4.7</v>
      </c>
      <c r="W242" s="488">
        <v>0.3</v>
      </c>
      <c r="X242" s="488">
        <v>1.0</v>
      </c>
      <c r="Y242" s="444">
        <f t="shared" si="17"/>
        <v>99.3</v>
      </c>
      <c r="Z242" s="445"/>
      <c r="AA242" s="446">
        <f t="shared" ref="AA242:AE242" si="129">$J242*E242</f>
        <v>344968</v>
      </c>
      <c r="AB242" s="447">
        <f t="shared" si="129"/>
        <v>8485.1</v>
      </c>
      <c r="AC242" s="447">
        <f t="shared" si="129"/>
        <v>15940.86</v>
      </c>
      <c r="AD242" s="447">
        <f t="shared" si="129"/>
        <v>16497.26</v>
      </c>
      <c r="AE242" s="448">
        <f t="shared" si="129"/>
        <v>60925.8</v>
      </c>
      <c r="AF242" s="449"/>
      <c r="AG242" s="449"/>
      <c r="AH242" s="449"/>
    </row>
    <row r="243" ht="11.25" customHeight="1">
      <c r="A243" s="450"/>
      <c r="B243" s="451"/>
      <c r="C243" s="452"/>
      <c r="D243" s="452"/>
      <c r="E243" s="453"/>
      <c r="F243" s="453"/>
      <c r="G243" s="454"/>
      <c r="H243" s="454"/>
      <c r="I243" s="455"/>
      <c r="J243" s="456"/>
      <c r="K243" s="457" t="s">
        <v>1416</v>
      </c>
      <c r="L243" s="458">
        <v>12.4</v>
      </c>
      <c r="M243" s="459">
        <v>0.29</v>
      </c>
      <c r="N243" s="460">
        <v>0.575</v>
      </c>
      <c r="O243" s="460">
        <v>0.595</v>
      </c>
      <c r="P243" s="461">
        <v>2.42</v>
      </c>
      <c r="Q243" s="458">
        <v>0.4</v>
      </c>
      <c r="R243" s="459">
        <v>34.0</v>
      </c>
      <c r="S243" s="459">
        <v>27.9</v>
      </c>
      <c r="T243" s="459">
        <v>16.4</v>
      </c>
      <c r="U243" s="459">
        <v>10.5</v>
      </c>
      <c r="V243" s="459">
        <v>7.4</v>
      </c>
      <c r="W243" s="459">
        <v>0.9</v>
      </c>
      <c r="X243" s="459">
        <v>2.5</v>
      </c>
      <c r="Y243" s="462">
        <f t="shared" si="17"/>
        <v>99.6</v>
      </c>
      <c r="Z243" s="463"/>
      <c r="AA243" s="464"/>
      <c r="AB243" s="465"/>
      <c r="AC243" s="465"/>
      <c r="AD243" s="465"/>
      <c r="AE243" s="466"/>
      <c r="AF243" s="449"/>
      <c r="AG243" s="449"/>
      <c r="AH243" s="449"/>
    </row>
    <row r="244" ht="11.25" customHeight="1">
      <c r="A244" s="450"/>
      <c r="B244" s="451"/>
      <c r="C244" s="452"/>
      <c r="D244" s="452"/>
      <c r="E244" s="453"/>
      <c r="F244" s="453"/>
      <c r="G244" s="454"/>
      <c r="H244" s="454"/>
      <c r="I244" s="455"/>
      <c r="J244" s="456"/>
      <c r="K244" s="467" t="s">
        <v>1417</v>
      </c>
      <c r="L244" s="468"/>
      <c r="M244" s="469"/>
      <c r="N244" s="470"/>
      <c r="O244" s="470"/>
      <c r="P244" s="471"/>
      <c r="Q244" s="468"/>
      <c r="R244" s="469"/>
      <c r="S244" s="469"/>
      <c r="T244" s="469"/>
      <c r="U244" s="469"/>
      <c r="V244" s="469"/>
      <c r="W244" s="469"/>
      <c r="X244" s="469"/>
      <c r="Y244" s="462">
        <f t="shared" si="17"/>
        <v>0</v>
      </c>
      <c r="Z244" s="463"/>
      <c r="AA244" s="464"/>
      <c r="AB244" s="465"/>
      <c r="AC244" s="465"/>
      <c r="AD244" s="465"/>
      <c r="AE244" s="466"/>
      <c r="AF244" s="449"/>
      <c r="AG244" s="449"/>
      <c r="AH244" s="449"/>
    </row>
    <row r="245" ht="11.25" customHeight="1">
      <c r="A245" s="450"/>
      <c r="B245" s="472"/>
      <c r="C245" s="473"/>
      <c r="D245" s="473"/>
      <c r="E245" s="474"/>
      <c r="F245" s="474"/>
      <c r="G245" s="475"/>
      <c r="H245" s="475"/>
      <c r="I245" s="476"/>
      <c r="J245" s="477"/>
      <c r="K245" s="478" t="s">
        <v>1418</v>
      </c>
      <c r="L245" s="479"/>
      <c r="M245" s="480"/>
      <c r="N245" s="481"/>
      <c r="O245" s="481"/>
      <c r="P245" s="482"/>
      <c r="Q245" s="479"/>
      <c r="R245" s="480"/>
      <c r="S245" s="480"/>
      <c r="T245" s="480"/>
      <c r="U245" s="480"/>
      <c r="V245" s="480"/>
      <c r="W245" s="480"/>
      <c r="X245" s="480"/>
      <c r="Y245" s="483">
        <f t="shared" si="17"/>
        <v>0</v>
      </c>
      <c r="Z245" s="484"/>
      <c r="AA245" s="485"/>
      <c r="AB245" s="486"/>
      <c r="AC245" s="486"/>
      <c r="AD245" s="486"/>
      <c r="AE245" s="487"/>
      <c r="AF245" s="449"/>
      <c r="AG245" s="449"/>
      <c r="AH245" s="449"/>
    </row>
    <row r="246" ht="11.25" customHeight="1">
      <c r="A246" s="431">
        <f>IF(B246="","", YEAR(B246))</f>
        <v>2026</v>
      </c>
      <c r="B246" s="432">
        <v>46091.0</v>
      </c>
      <c r="C246" s="433" t="s">
        <v>1178</v>
      </c>
      <c r="D246" s="433" t="s">
        <v>1413</v>
      </c>
      <c r="E246" s="434">
        <f t="shared" ref="E246:I246" si="130">IFERROR(AVERAGE(L246:L249),"")</f>
        <v>12.55666667</v>
      </c>
      <c r="F246" s="434">
        <f t="shared" si="130"/>
        <v>0.26</v>
      </c>
      <c r="G246" s="435">
        <f t="shared" si="130"/>
        <v>0.5753333333</v>
      </c>
      <c r="H246" s="435">
        <f t="shared" si="130"/>
        <v>0.5953333333</v>
      </c>
      <c r="I246" s="436">
        <f t="shared" si="130"/>
        <v>2.646666667</v>
      </c>
      <c r="J246" s="437">
        <f>SUMIFS(PRODUCTION[KG],PRODUCTION[GRADE],"3X50",PRODUCTION[DATE],B246,PRODUCTION[BATCH],C246,PRODUCTION[SHIFT],D246)</f>
        <v>21190</v>
      </c>
      <c r="K246" s="438" t="s">
        <v>1414</v>
      </c>
      <c r="L246" s="439">
        <v>12.87</v>
      </c>
      <c r="M246" s="488">
        <v>0.24</v>
      </c>
      <c r="N246" s="489">
        <v>0.572</v>
      </c>
      <c r="O246" s="489">
        <v>0.592</v>
      </c>
      <c r="P246" s="490">
        <v>2.19</v>
      </c>
      <c r="Q246" s="439">
        <v>1.2</v>
      </c>
      <c r="R246" s="488">
        <v>41.9</v>
      </c>
      <c r="S246" s="488">
        <v>25.9</v>
      </c>
      <c r="T246" s="488">
        <v>15.4</v>
      </c>
      <c r="U246" s="488">
        <v>8.5</v>
      </c>
      <c r="V246" s="488">
        <v>5.2</v>
      </c>
      <c r="W246" s="488">
        <v>0.4</v>
      </c>
      <c r="X246" s="488">
        <v>1.5</v>
      </c>
      <c r="Y246" s="444">
        <f t="shared" si="17"/>
        <v>98.8</v>
      </c>
      <c r="Z246" s="445"/>
      <c r="AA246" s="446">
        <f t="shared" ref="AA246:AE246" si="131">$J246*E246</f>
        <v>266075.7667</v>
      </c>
      <c r="AB246" s="447">
        <f t="shared" si="131"/>
        <v>5509.4</v>
      </c>
      <c r="AC246" s="447">
        <f t="shared" si="131"/>
        <v>12191.31333</v>
      </c>
      <c r="AD246" s="447">
        <f t="shared" si="131"/>
        <v>12615.11333</v>
      </c>
      <c r="AE246" s="448">
        <f t="shared" si="131"/>
        <v>56082.86667</v>
      </c>
      <c r="AF246" s="449"/>
      <c r="AG246" s="449"/>
      <c r="AH246" s="449"/>
    </row>
    <row r="247" ht="11.25" customHeight="1">
      <c r="A247" s="450"/>
      <c r="B247" s="451"/>
      <c r="C247" s="452"/>
      <c r="D247" s="452"/>
      <c r="E247" s="453"/>
      <c r="F247" s="453"/>
      <c r="G247" s="454"/>
      <c r="H247" s="454"/>
      <c r="I247" s="455"/>
      <c r="J247" s="456"/>
      <c r="K247" s="457" t="s">
        <v>1416</v>
      </c>
      <c r="L247" s="458" t="s">
        <v>1424</v>
      </c>
      <c r="M247" s="459"/>
      <c r="N247" s="460"/>
      <c r="O247" s="460"/>
      <c r="P247" s="461"/>
      <c r="Q247" s="458"/>
      <c r="R247" s="459"/>
      <c r="S247" s="459"/>
      <c r="T247" s="459"/>
      <c r="U247" s="459"/>
      <c r="V247" s="459"/>
      <c r="W247" s="459"/>
      <c r="X247" s="459"/>
      <c r="Y247" s="462">
        <f t="shared" si="17"/>
        <v>0</v>
      </c>
      <c r="Z247" s="463"/>
      <c r="AA247" s="464"/>
      <c r="AB247" s="465"/>
      <c r="AC247" s="465"/>
      <c r="AD247" s="465"/>
      <c r="AE247" s="466"/>
      <c r="AF247" s="449"/>
      <c r="AG247" s="449"/>
      <c r="AH247" s="449"/>
    </row>
    <row r="248" ht="11.25" customHeight="1">
      <c r="A248" s="450"/>
      <c r="B248" s="451"/>
      <c r="C248" s="452"/>
      <c r="D248" s="452"/>
      <c r="E248" s="453"/>
      <c r="F248" s="453"/>
      <c r="G248" s="454"/>
      <c r="H248" s="454"/>
      <c r="I248" s="455"/>
      <c r="J248" s="456"/>
      <c r="K248" s="467" t="s">
        <v>1417</v>
      </c>
      <c r="L248" s="468">
        <v>12.6</v>
      </c>
      <c r="M248" s="469">
        <v>0.23</v>
      </c>
      <c r="N248" s="470">
        <v>0.578</v>
      </c>
      <c r="O248" s="470">
        <v>0.598</v>
      </c>
      <c r="P248" s="471">
        <v>2.8</v>
      </c>
      <c r="Q248" s="468">
        <v>0.8</v>
      </c>
      <c r="R248" s="469">
        <v>41.8</v>
      </c>
      <c r="S248" s="469">
        <v>25.3</v>
      </c>
      <c r="T248" s="469">
        <v>15.4</v>
      </c>
      <c r="U248" s="469">
        <v>9.1</v>
      </c>
      <c r="V248" s="469">
        <v>5.8</v>
      </c>
      <c r="W248" s="469">
        <v>0.4</v>
      </c>
      <c r="X248" s="469">
        <v>1.4</v>
      </c>
      <c r="Y248" s="462">
        <f t="shared" si="17"/>
        <v>99.2</v>
      </c>
      <c r="Z248" s="463"/>
      <c r="AA248" s="464"/>
      <c r="AB248" s="465"/>
      <c r="AC248" s="465"/>
      <c r="AD248" s="465"/>
      <c r="AE248" s="466"/>
      <c r="AF248" s="449"/>
      <c r="AG248" s="449"/>
      <c r="AH248" s="449"/>
    </row>
    <row r="249" ht="11.25" customHeight="1">
      <c r="A249" s="450"/>
      <c r="B249" s="472"/>
      <c r="C249" s="473"/>
      <c r="D249" s="473"/>
      <c r="E249" s="474"/>
      <c r="F249" s="474"/>
      <c r="G249" s="475"/>
      <c r="H249" s="475"/>
      <c r="I249" s="476"/>
      <c r="J249" s="477"/>
      <c r="K249" s="478" t="s">
        <v>1418</v>
      </c>
      <c r="L249" s="479">
        <v>12.2</v>
      </c>
      <c r="M249" s="480">
        <v>0.31</v>
      </c>
      <c r="N249" s="481">
        <v>0.576</v>
      </c>
      <c r="O249" s="481">
        <v>0.596</v>
      </c>
      <c r="P249" s="482">
        <v>2.95</v>
      </c>
      <c r="Q249" s="479">
        <v>1.4</v>
      </c>
      <c r="R249" s="480">
        <v>40.2</v>
      </c>
      <c r="S249" s="480">
        <v>26.1</v>
      </c>
      <c r="T249" s="480">
        <v>16.0</v>
      </c>
      <c r="U249" s="480">
        <v>9.5</v>
      </c>
      <c r="V249" s="480">
        <v>5.1</v>
      </c>
      <c r="W249" s="480">
        <v>0.3</v>
      </c>
      <c r="X249" s="480">
        <v>1.4</v>
      </c>
      <c r="Y249" s="483">
        <f t="shared" si="17"/>
        <v>98.6</v>
      </c>
      <c r="Z249" s="484"/>
      <c r="AA249" s="485"/>
      <c r="AB249" s="486"/>
      <c r="AC249" s="486"/>
      <c r="AD249" s="486"/>
      <c r="AE249" s="487"/>
      <c r="AF249" s="449"/>
      <c r="AG249" s="449"/>
      <c r="AH249" s="449"/>
    </row>
    <row r="250" ht="11.25" customHeight="1">
      <c r="A250" s="431">
        <f>IF(B250="","", YEAR(B250))</f>
        <v>2026</v>
      </c>
      <c r="B250" s="432">
        <v>46091.0</v>
      </c>
      <c r="C250" s="433" t="s">
        <v>1178</v>
      </c>
      <c r="D250" s="433" t="s">
        <v>1422</v>
      </c>
      <c r="E250" s="434">
        <f t="shared" ref="E250:I250" si="132">IFERROR(AVERAGE(L250:L253),"")</f>
        <v>12.07</v>
      </c>
      <c r="F250" s="434">
        <f t="shared" si="132"/>
        <v>0.295</v>
      </c>
      <c r="G250" s="435">
        <f t="shared" si="132"/>
        <v>0.578</v>
      </c>
      <c r="H250" s="435">
        <f t="shared" si="132"/>
        <v>0.598</v>
      </c>
      <c r="I250" s="436">
        <f t="shared" si="132"/>
        <v>2.3</v>
      </c>
      <c r="J250" s="437">
        <f>SUMIFS(PRODUCTION[KG],PRODUCTION[GRADE],"3X50",PRODUCTION[DATE],B250,PRODUCTION[BATCH],C250,PRODUCTION[SHIFT],D250)</f>
        <v>28340</v>
      </c>
      <c r="K250" s="438" t="s">
        <v>1414</v>
      </c>
      <c r="L250" s="439">
        <v>12.14</v>
      </c>
      <c r="M250" s="488">
        <v>0.3</v>
      </c>
      <c r="N250" s="489">
        <v>0.575</v>
      </c>
      <c r="O250" s="489">
        <v>0.595</v>
      </c>
      <c r="P250" s="490">
        <v>2.47</v>
      </c>
      <c r="Q250" s="439">
        <v>2.3</v>
      </c>
      <c r="R250" s="488">
        <v>42.0</v>
      </c>
      <c r="S250" s="488">
        <v>25.6</v>
      </c>
      <c r="T250" s="488">
        <v>15.4</v>
      </c>
      <c r="U250" s="488">
        <v>8.8</v>
      </c>
      <c r="V250" s="488">
        <v>4.7</v>
      </c>
      <c r="W250" s="488">
        <v>0.1</v>
      </c>
      <c r="X250" s="488">
        <v>1.1</v>
      </c>
      <c r="Y250" s="444">
        <f t="shared" si="17"/>
        <v>97.7</v>
      </c>
      <c r="Z250" s="445"/>
      <c r="AA250" s="446">
        <f t="shared" ref="AA250:AE250" si="133">$J250*E250</f>
        <v>342063.8</v>
      </c>
      <c r="AB250" s="447">
        <f t="shared" si="133"/>
        <v>8360.3</v>
      </c>
      <c r="AC250" s="447">
        <f t="shared" si="133"/>
        <v>16380.52</v>
      </c>
      <c r="AD250" s="447">
        <f t="shared" si="133"/>
        <v>16947.32</v>
      </c>
      <c r="AE250" s="448">
        <f t="shared" si="133"/>
        <v>65182</v>
      </c>
      <c r="AF250" s="449"/>
      <c r="AG250" s="449"/>
      <c r="AH250" s="449"/>
    </row>
    <row r="251" ht="11.25" customHeight="1">
      <c r="A251" s="450"/>
      <c r="B251" s="451"/>
      <c r="C251" s="452"/>
      <c r="D251" s="452"/>
      <c r="E251" s="453"/>
      <c r="F251" s="453"/>
      <c r="G251" s="454"/>
      <c r="H251" s="454"/>
      <c r="I251" s="455"/>
      <c r="J251" s="456"/>
      <c r="K251" s="457" t="s">
        <v>1416</v>
      </c>
      <c r="L251" s="458">
        <v>12.0</v>
      </c>
      <c r="M251" s="459">
        <v>0.29</v>
      </c>
      <c r="N251" s="460">
        <v>0.581</v>
      </c>
      <c r="O251" s="460">
        <v>0.601</v>
      </c>
      <c r="P251" s="461">
        <v>2.13</v>
      </c>
      <c r="Q251" s="458">
        <v>2.2</v>
      </c>
      <c r="R251" s="459">
        <v>49.1</v>
      </c>
      <c r="S251" s="459">
        <v>23.1</v>
      </c>
      <c r="T251" s="459">
        <v>13.0</v>
      </c>
      <c r="U251" s="459">
        <v>7.8</v>
      </c>
      <c r="V251" s="459">
        <v>3.7</v>
      </c>
      <c r="W251" s="459">
        <v>0.3</v>
      </c>
      <c r="X251" s="459">
        <v>0.8</v>
      </c>
      <c r="Y251" s="462">
        <f t="shared" si="17"/>
        <v>97.8</v>
      </c>
      <c r="Z251" s="463"/>
      <c r="AA251" s="464"/>
      <c r="AB251" s="465"/>
      <c r="AC251" s="465"/>
      <c r="AD251" s="465"/>
      <c r="AE251" s="466"/>
      <c r="AF251" s="449"/>
      <c r="AG251" s="449"/>
      <c r="AH251" s="449"/>
    </row>
    <row r="252" ht="11.25" customHeight="1">
      <c r="A252" s="450"/>
      <c r="B252" s="451"/>
      <c r="C252" s="452"/>
      <c r="D252" s="452"/>
      <c r="E252" s="453"/>
      <c r="F252" s="453"/>
      <c r="G252" s="454"/>
      <c r="H252" s="454"/>
      <c r="I252" s="455"/>
      <c r="J252" s="456"/>
      <c r="K252" s="467" t="s">
        <v>1417</v>
      </c>
      <c r="L252" s="468"/>
      <c r="M252" s="469"/>
      <c r="N252" s="470"/>
      <c r="O252" s="470"/>
      <c r="P252" s="471"/>
      <c r="Q252" s="468"/>
      <c r="R252" s="469"/>
      <c r="S252" s="469"/>
      <c r="T252" s="469"/>
      <c r="U252" s="469"/>
      <c r="V252" s="469"/>
      <c r="W252" s="469"/>
      <c r="X252" s="469"/>
      <c r="Y252" s="462">
        <f t="shared" si="17"/>
        <v>0</v>
      </c>
      <c r="Z252" s="463"/>
      <c r="AA252" s="464"/>
      <c r="AB252" s="465"/>
      <c r="AC252" s="465"/>
      <c r="AD252" s="465"/>
      <c r="AE252" s="466"/>
      <c r="AF252" s="449"/>
      <c r="AG252" s="449"/>
      <c r="AH252" s="449"/>
    </row>
    <row r="253" ht="11.25" customHeight="1">
      <c r="A253" s="450"/>
      <c r="B253" s="472"/>
      <c r="C253" s="473"/>
      <c r="D253" s="473"/>
      <c r="E253" s="474"/>
      <c r="F253" s="474"/>
      <c r="G253" s="475"/>
      <c r="H253" s="475"/>
      <c r="I253" s="476"/>
      <c r="J253" s="477"/>
      <c r="K253" s="478" t="s">
        <v>1418</v>
      </c>
      <c r="L253" s="479"/>
      <c r="M253" s="480"/>
      <c r="N253" s="481"/>
      <c r="O253" s="481"/>
      <c r="P253" s="482"/>
      <c r="Q253" s="479"/>
      <c r="R253" s="480"/>
      <c r="S253" s="480"/>
      <c r="T253" s="480"/>
      <c r="U253" s="480"/>
      <c r="V253" s="480"/>
      <c r="W253" s="480"/>
      <c r="X253" s="480"/>
      <c r="Y253" s="483">
        <f t="shared" si="17"/>
        <v>0</v>
      </c>
      <c r="Z253" s="484"/>
      <c r="AA253" s="485"/>
      <c r="AB253" s="486"/>
      <c r="AC253" s="486"/>
      <c r="AD253" s="486"/>
      <c r="AE253" s="487"/>
      <c r="AF253" s="449"/>
      <c r="AG253" s="449"/>
      <c r="AH253" s="449"/>
    </row>
    <row r="254" ht="11.25" customHeight="1">
      <c r="A254" s="431">
        <f>IF(B254="","", YEAR(B254))</f>
        <v>2026</v>
      </c>
      <c r="B254" s="432">
        <v>46092.0</v>
      </c>
      <c r="C254" s="433" t="s">
        <v>1178</v>
      </c>
      <c r="D254" s="433" t="s">
        <v>1413</v>
      </c>
      <c r="E254" s="434">
        <f t="shared" ref="E254:I254" si="134">IFERROR(AVERAGE(L254:L257),"")</f>
        <v>12.255</v>
      </c>
      <c r="F254" s="434">
        <f t="shared" si="134"/>
        <v>0.27</v>
      </c>
      <c r="G254" s="435">
        <f t="shared" si="134"/>
        <v>0.579</v>
      </c>
      <c r="H254" s="435">
        <f t="shared" si="134"/>
        <v>0.599</v>
      </c>
      <c r="I254" s="436">
        <f t="shared" si="134"/>
        <v>2.025</v>
      </c>
      <c r="J254" s="437">
        <f>SUMIFS(PRODUCTION[KG],PRODUCTION[GRADE],"3X50",PRODUCTION[DATE],B254,PRODUCTION[BATCH],C254,PRODUCTION[SHIFT],D254)</f>
        <v>27690</v>
      </c>
      <c r="K254" s="438" t="s">
        <v>1414</v>
      </c>
      <c r="L254" s="439">
        <v>12.14</v>
      </c>
      <c r="M254" s="488">
        <v>0.26</v>
      </c>
      <c r="N254" s="489">
        <v>0.577</v>
      </c>
      <c r="O254" s="489">
        <v>0.597</v>
      </c>
      <c r="P254" s="490">
        <v>2.2</v>
      </c>
      <c r="Q254" s="439">
        <v>1.2</v>
      </c>
      <c r="R254" s="488">
        <v>44.9</v>
      </c>
      <c r="S254" s="488">
        <v>24.2</v>
      </c>
      <c r="T254" s="488">
        <v>12.8</v>
      </c>
      <c r="U254" s="488">
        <v>8.6</v>
      </c>
      <c r="V254" s="488">
        <v>5.9</v>
      </c>
      <c r="W254" s="488">
        <v>0.6</v>
      </c>
      <c r="X254" s="488">
        <v>1.8</v>
      </c>
      <c r="Y254" s="444">
        <f t="shared" si="17"/>
        <v>98.8</v>
      </c>
      <c r="Z254" s="445"/>
      <c r="AA254" s="446">
        <f t="shared" ref="AA254:AE254" si="135">$J254*E254</f>
        <v>339340.95</v>
      </c>
      <c r="AB254" s="447">
        <f t="shared" si="135"/>
        <v>7476.3</v>
      </c>
      <c r="AC254" s="447">
        <f t="shared" si="135"/>
        <v>16032.51</v>
      </c>
      <c r="AD254" s="447">
        <f t="shared" si="135"/>
        <v>16586.31</v>
      </c>
      <c r="AE254" s="448">
        <f t="shared" si="135"/>
        <v>56072.25</v>
      </c>
      <c r="AF254" s="449"/>
      <c r="AG254" s="449"/>
      <c r="AH254" s="449"/>
    </row>
    <row r="255" ht="11.25" customHeight="1">
      <c r="A255" s="450"/>
      <c r="B255" s="451"/>
      <c r="C255" s="452"/>
      <c r="D255" s="452"/>
      <c r="E255" s="453"/>
      <c r="F255" s="453"/>
      <c r="G255" s="454"/>
      <c r="H255" s="454"/>
      <c r="I255" s="455"/>
      <c r="J255" s="456"/>
      <c r="K255" s="457" t="s">
        <v>1416</v>
      </c>
      <c r="L255" s="458">
        <v>12.54</v>
      </c>
      <c r="M255" s="459">
        <v>0.27</v>
      </c>
      <c r="N255" s="460">
        <v>0.576</v>
      </c>
      <c r="O255" s="460">
        <v>0.596</v>
      </c>
      <c r="P255" s="461">
        <v>1.86</v>
      </c>
      <c r="Q255" s="458">
        <v>1.7</v>
      </c>
      <c r="R255" s="459">
        <v>43.2</v>
      </c>
      <c r="S255" s="459">
        <v>26.8</v>
      </c>
      <c r="T255" s="459">
        <v>14.3</v>
      </c>
      <c r="U255" s="459">
        <v>8.2</v>
      </c>
      <c r="V255" s="459">
        <v>4.7</v>
      </c>
      <c r="W255" s="459">
        <v>0.1</v>
      </c>
      <c r="X255" s="459">
        <v>1.0</v>
      </c>
      <c r="Y255" s="462">
        <f t="shared" si="17"/>
        <v>98.3</v>
      </c>
      <c r="Z255" s="463"/>
      <c r="AA255" s="464"/>
      <c r="AB255" s="465"/>
      <c r="AC255" s="465"/>
      <c r="AD255" s="465"/>
      <c r="AE255" s="466"/>
      <c r="AF255" s="449"/>
      <c r="AG255" s="449"/>
      <c r="AH255" s="449"/>
    </row>
    <row r="256" ht="11.25" customHeight="1">
      <c r="A256" s="450"/>
      <c r="B256" s="451"/>
      <c r="C256" s="452"/>
      <c r="D256" s="452"/>
      <c r="E256" s="453"/>
      <c r="F256" s="453"/>
      <c r="G256" s="454"/>
      <c r="H256" s="454"/>
      <c r="I256" s="455"/>
      <c r="J256" s="456"/>
      <c r="K256" s="467" t="s">
        <v>1417</v>
      </c>
      <c r="L256" s="468">
        <v>12.27</v>
      </c>
      <c r="M256" s="469">
        <v>0.26</v>
      </c>
      <c r="N256" s="470">
        <v>0.582</v>
      </c>
      <c r="O256" s="470">
        <v>0.602</v>
      </c>
      <c r="P256" s="471">
        <v>2.09</v>
      </c>
      <c r="Q256" s="468">
        <v>1.3</v>
      </c>
      <c r="R256" s="469">
        <v>40.4</v>
      </c>
      <c r="S256" s="469">
        <v>29.6</v>
      </c>
      <c r="T256" s="469">
        <v>14.7</v>
      </c>
      <c r="U256" s="469">
        <v>7.6</v>
      </c>
      <c r="V256" s="469">
        <v>4.7</v>
      </c>
      <c r="W256" s="469">
        <v>0.4</v>
      </c>
      <c r="X256" s="469">
        <v>1.3</v>
      </c>
      <c r="Y256" s="462">
        <f t="shared" si="17"/>
        <v>98.7</v>
      </c>
      <c r="Z256" s="463"/>
      <c r="AA256" s="464"/>
      <c r="AB256" s="465"/>
      <c r="AC256" s="465"/>
      <c r="AD256" s="465"/>
      <c r="AE256" s="466"/>
      <c r="AF256" s="449"/>
      <c r="AG256" s="449"/>
      <c r="AH256" s="449"/>
    </row>
    <row r="257" ht="11.25" customHeight="1">
      <c r="A257" s="450"/>
      <c r="B257" s="472"/>
      <c r="C257" s="473"/>
      <c r="D257" s="473"/>
      <c r="E257" s="474"/>
      <c r="F257" s="474"/>
      <c r="G257" s="475"/>
      <c r="H257" s="475"/>
      <c r="I257" s="476"/>
      <c r="J257" s="477"/>
      <c r="K257" s="478" t="s">
        <v>1418</v>
      </c>
      <c r="L257" s="479">
        <v>12.07</v>
      </c>
      <c r="M257" s="480">
        <v>0.29</v>
      </c>
      <c r="N257" s="481">
        <v>0.581</v>
      </c>
      <c r="O257" s="481">
        <v>0.601</v>
      </c>
      <c r="P257" s="482">
        <v>1.95</v>
      </c>
      <c r="Q257" s="479">
        <v>3.4</v>
      </c>
      <c r="R257" s="480">
        <v>44.7</v>
      </c>
      <c r="S257" s="480">
        <v>24.1</v>
      </c>
      <c r="T257" s="480">
        <v>13.4</v>
      </c>
      <c r="U257" s="480">
        <v>8.0</v>
      </c>
      <c r="V257" s="480">
        <v>4.6</v>
      </c>
      <c r="W257" s="480">
        <v>0.6</v>
      </c>
      <c r="X257" s="480">
        <v>1.2</v>
      </c>
      <c r="Y257" s="483">
        <f t="shared" si="17"/>
        <v>96.6</v>
      </c>
      <c r="Z257" s="484"/>
      <c r="AA257" s="485"/>
      <c r="AB257" s="486"/>
      <c r="AC257" s="486"/>
      <c r="AD257" s="486"/>
      <c r="AE257" s="487"/>
      <c r="AF257" s="449"/>
      <c r="AG257" s="449"/>
      <c r="AH257" s="449"/>
    </row>
    <row r="258" ht="11.25" customHeight="1">
      <c r="A258" s="431">
        <f>IF(B258="","", YEAR(B258))</f>
        <v>2026</v>
      </c>
      <c r="B258" s="432">
        <v>46092.0</v>
      </c>
      <c r="C258" s="433" t="s">
        <v>1178</v>
      </c>
      <c r="D258" s="433" t="s">
        <v>1422</v>
      </c>
      <c r="E258" s="434">
        <f t="shared" ref="E258:I258" si="136">IFERROR(AVERAGE(L258:L261),"")</f>
        <v>12.1</v>
      </c>
      <c r="F258" s="434">
        <f t="shared" si="136"/>
        <v>0.275</v>
      </c>
      <c r="G258" s="435">
        <f t="shared" si="136"/>
        <v>0.576</v>
      </c>
      <c r="H258" s="435">
        <f t="shared" si="136"/>
        <v>0.596</v>
      </c>
      <c r="I258" s="436">
        <f t="shared" si="136"/>
        <v>2.425</v>
      </c>
      <c r="J258" s="437">
        <f>SUMIFS(PRODUCTION[KG],PRODUCTION[GRADE],"3X50",PRODUCTION[DATE],B258,PRODUCTION[BATCH],C258,PRODUCTION[SHIFT],D258)</f>
        <v>27846</v>
      </c>
      <c r="K258" s="438" t="s">
        <v>1414</v>
      </c>
      <c r="L258" s="439">
        <v>11.8</v>
      </c>
      <c r="M258" s="488">
        <v>0.31</v>
      </c>
      <c r="N258" s="489">
        <v>0.577</v>
      </c>
      <c r="O258" s="489">
        <v>0.597</v>
      </c>
      <c r="P258" s="490">
        <v>2.36</v>
      </c>
      <c r="Q258" s="439">
        <v>1.6</v>
      </c>
      <c r="R258" s="488">
        <v>39.9</v>
      </c>
      <c r="S258" s="488">
        <v>26.3</v>
      </c>
      <c r="T258" s="488">
        <v>14.6</v>
      </c>
      <c r="U258" s="488">
        <v>9.4</v>
      </c>
      <c r="V258" s="488">
        <v>5.9</v>
      </c>
      <c r="W258" s="488">
        <v>0.5</v>
      </c>
      <c r="X258" s="488">
        <v>1.8</v>
      </c>
      <c r="Y258" s="444">
        <f t="shared" si="17"/>
        <v>98.4</v>
      </c>
      <c r="Z258" s="445"/>
      <c r="AA258" s="446">
        <f t="shared" ref="AA258:AE258" si="137">$J258*E258</f>
        <v>336936.6</v>
      </c>
      <c r="AB258" s="447">
        <f t="shared" si="137"/>
        <v>7657.65</v>
      </c>
      <c r="AC258" s="447">
        <f t="shared" si="137"/>
        <v>16039.296</v>
      </c>
      <c r="AD258" s="447">
        <f t="shared" si="137"/>
        <v>16596.216</v>
      </c>
      <c r="AE258" s="448">
        <f t="shared" si="137"/>
        <v>67526.55</v>
      </c>
      <c r="AF258" s="449"/>
      <c r="AG258" s="449"/>
      <c r="AH258" s="449"/>
    </row>
    <row r="259" ht="11.25" customHeight="1">
      <c r="A259" s="450"/>
      <c r="B259" s="451"/>
      <c r="C259" s="452"/>
      <c r="D259" s="452"/>
      <c r="E259" s="453"/>
      <c r="F259" s="453"/>
      <c r="G259" s="454"/>
      <c r="H259" s="454"/>
      <c r="I259" s="455"/>
      <c r="J259" s="456"/>
      <c r="K259" s="457" t="s">
        <v>1416</v>
      </c>
      <c r="L259" s="458">
        <v>12.4</v>
      </c>
      <c r="M259" s="459">
        <v>0.24</v>
      </c>
      <c r="N259" s="460">
        <v>0.575</v>
      </c>
      <c r="O259" s="460">
        <v>0.595</v>
      </c>
      <c r="P259" s="461">
        <v>2.49</v>
      </c>
      <c r="Q259" s="458">
        <v>2.0</v>
      </c>
      <c r="R259" s="459">
        <v>43.2</v>
      </c>
      <c r="S259" s="459">
        <v>26.1</v>
      </c>
      <c r="T259" s="459">
        <v>14.3</v>
      </c>
      <c r="U259" s="459">
        <v>7.9</v>
      </c>
      <c r="V259" s="459">
        <v>4.7</v>
      </c>
      <c r="W259" s="459">
        <v>0.3</v>
      </c>
      <c r="X259" s="459">
        <v>1.5</v>
      </c>
      <c r="Y259" s="462">
        <f t="shared" si="17"/>
        <v>98</v>
      </c>
      <c r="Z259" s="463"/>
      <c r="AA259" s="464"/>
      <c r="AB259" s="465"/>
      <c r="AC259" s="465"/>
      <c r="AD259" s="465"/>
      <c r="AE259" s="466"/>
      <c r="AF259" s="449"/>
      <c r="AG259" s="449"/>
      <c r="AH259" s="449"/>
    </row>
    <row r="260" ht="11.25" customHeight="1">
      <c r="A260" s="450"/>
      <c r="B260" s="451"/>
      <c r="C260" s="452"/>
      <c r="D260" s="452"/>
      <c r="E260" s="453"/>
      <c r="F260" s="453"/>
      <c r="G260" s="454"/>
      <c r="H260" s="454"/>
      <c r="I260" s="455"/>
      <c r="J260" s="456"/>
      <c r="K260" s="467" t="s">
        <v>1417</v>
      </c>
      <c r="L260" s="468"/>
      <c r="M260" s="469"/>
      <c r="N260" s="470"/>
      <c r="O260" s="470"/>
      <c r="P260" s="471"/>
      <c r="Q260" s="468"/>
      <c r="R260" s="469"/>
      <c r="S260" s="469"/>
      <c r="T260" s="469"/>
      <c r="U260" s="469"/>
      <c r="V260" s="469"/>
      <c r="W260" s="469"/>
      <c r="X260" s="469"/>
      <c r="Y260" s="462">
        <f t="shared" si="17"/>
        <v>0</v>
      </c>
      <c r="Z260" s="463"/>
      <c r="AA260" s="464"/>
      <c r="AB260" s="465"/>
      <c r="AC260" s="465"/>
      <c r="AD260" s="465"/>
      <c r="AE260" s="466"/>
      <c r="AF260" s="449"/>
      <c r="AG260" s="449"/>
      <c r="AH260" s="449"/>
    </row>
    <row r="261" ht="11.25" customHeight="1">
      <c r="A261" s="450"/>
      <c r="B261" s="472"/>
      <c r="C261" s="473"/>
      <c r="D261" s="473"/>
      <c r="E261" s="474"/>
      <c r="F261" s="474"/>
      <c r="G261" s="475"/>
      <c r="H261" s="475"/>
      <c r="I261" s="476"/>
      <c r="J261" s="477"/>
      <c r="K261" s="478" t="s">
        <v>1418</v>
      </c>
      <c r="L261" s="479"/>
      <c r="M261" s="480"/>
      <c r="N261" s="481"/>
      <c r="O261" s="481"/>
      <c r="P261" s="482"/>
      <c r="Q261" s="479"/>
      <c r="R261" s="480"/>
      <c r="S261" s="480"/>
      <c r="T261" s="480"/>
      <c r="U261" s="480"/>
      <c r="V261" s="480"/>
      <c r="W261" s="480"/>
      <c r="X261" s="480"/>
      <c r="Y261" s="483">
        <f t="shared" si="17"/>
        <v>0</v>
      </c>
      <c r="Z261" s="484"/>
      <c r="AA261" s="485"/>
      <c r="AB261" s="486"/>
      <c r="AC261" s="486"/>
      <c r="AD261" s="486"/>
      <c r="AE261" s="487"/>
      <c r="AF261" s="449"/>
      <c r="AG261" s="449"/>
      <c r="AH261" s="449"/>
    </row>
    <row r="262" ht="11.25" customHeight="1">
      <c r="A262" s="431">
        <f>IF(B262="","", YEAR(B262))</f>
        <v>2026</v>
      </c>
      <c r="B262" s="432">
        <v>46093.0</v>
      </c>
      <c r="C262" s="433" t="s">
        <v>1178</v>
      </c>
      <c r="D262" s="433" t="s">
        <v>1413</v>
      </c>
      <c r="E262" s="434">
        <f t="shared" ref="E262:I262" si="138">IFERROR(AVERAGE(L262:L265),"")</f>
        <v>11.8375</v>
      </c>
      <c r="F262" s="434">
        <f t="shared" si="138"/>
        <v>0.27</v>
      </c>
      <c r="G262" s="435">
        <f t="shared" si="138"/>
        <v>0.57675</v>
      </c>
      <c r="H262" s="435">
        <f t="shared" si="138"/>
        <v>0.59675</v>
      </c>
      <c r="I262" s="436">
        <f t="shared" si="138"/>
        <v>2.355</v>
      </c>
      <c r="J262" s="437">
        <f>SUMIFS(PRODUCTION[KG],PRODUCTION[GRADE],"3X50",PRODUCTION[DATE],B262,PRODUCTION[BATCH],C262,PRODUCTION[SHIFT],D262)</f>
        <v>27300</v>
      </c>
      <c r="K262" s="438" t="s">
        <v>1414</v>
      </c>
      <c r="L262" s="439">
        <v>12.74</v>
      </c>
      <c r="M262" s="488">
        <v>0.22</v>
      </c>
      <c r="N262" s="489">
        <v>0.578</v>
      </c>
      <c r="O262" s="489">
        <v>0.598</v>
      </c>
      <c r="P262" s="490">
        <v>2.33</v>
      </c>
      <c r="Q262" s="439">
        <v>1.4</v>
      </c>
      <c r="R262" s="488">
        <v>32.8</v>
      </c>
      <c r="S262" s="488">
        <v>24.0</v>
      </c>
      <c r="T262" s="488">
        <v>16.9</v>
      </c>
      <c r="U262" s="488">
        <v>12.8</v>
      </c>
      <c r="V262" s="488">
        <v>8.4</v>
      </c>
      <c r="W262" s="488">
        <v>0.9</v>
      </c>
      <c r="X262" s="488">
        <v>2.8</v>
      </c>
      <c r="Y262" s="444">
        <f t="shared" si="17"/>
        <v>98.6</v>
      </c>
      <c r="Z262" s="445"/>
      <c r="AA262" s="446">
        <f t="shared" ref="AA262:AE262" si="139">$J262*E262</f>
        <v>323163.75</v>
      </c>
      <c r="AB262" s="447">
        <f t="shared" si="139"/>
        <v>7371</v>
      </c>
      <c r="AC262" s="447">
        <f t="shared" si="139"/>
        <v>15745.275</v>
      </c>
      <c r="AD262" s="447">
        <f t="shared" si="139"/>
        <v>16291.275</v>
      </c>
      <c r="AE262" s="448">
        <f t="shared" si="139"/>
        <v>64291.5</v>
      </c>
      <c r="AF262" s="449"/>
      <c r="AG262" s="449"/>
      <c r="AH262" s="449"/>
    </row>
    <row r="263" ht="11.25" customHeight="1">
      <c r="A263" s="450"/>
      <c r="B263" s="451"/>
      <c r="C263" s="452"/>
      <c r="D263" s="452"/>
      <c r="E263" s="453"/>
      <c r="F263" s="453"/>
      <c r="G263" s="454"/>
      <c r="H263" s="454"/>
      <c r="I263" s="455"/>
      <c r="J263" s="456"/>
      <c r="K263" s="457" t="s">
        <v>1416</v>
      </c>
      <c r="L263" s="458">
        <v>11.74</v>
      </c>
      <c r="M263" s="459">
        <v>0.3</v>
      </c>
      <c r="N263" s="460">
        <v>0.577</v>
      </c>
      <c r="O263" s="460">
        <v>0.597</v>
      </c>
      <c r="P263" s="461">
        <v>2.87</v>
      </c>
      <c r="Q263" s="458">
        <v>2.0</v>
      </c>
      <c r="R263" s="459">
        <v>37.2</v>
      </c>
      <c r="S263" s="459">
        <v>23.6</v>
      </c>
      <c r="T263" s="459">
        <v>16.0</v>
      </c>
      <c r="U263" s="459">
        <v>10.6</v>
      </c>
      <c r="V263" s="459">
        <v>7.3</v>
      </c>
      <c r="W263" s="459">
        <v>0.7</v>
      </c>
      <c r="X263" s="459">
        <v>2.6</v>
      </c>
      <c r="Y263" s="462">
        <f t="shared" si="17"/>
        <v>98</v>
      </c>
      <c r="Z263" s="463"/>
      <c r="AA263" s="464"/>
      <c r="AB263" s="465"/>
      <c r="AC263" s="465"/>
      <c r="AD263" s="465"/>
      <c r="AE263" s="466"/>
      <c r="AF263" s="449"/>
      <c r="AG263" s="449"/>
      <c r="AH263" s="449"/>
    </row>
    <row r="264" ht="11.25" customHeight="1">
      <c r="A264" s="450"/>
      <c r="B264" s="451"/>
      <c r="C264" s="452"/>
      <c r="D264" s="452"/>
      <c r="E264" s="453"/>
      <c r="F264" s="453"/>
      <c r="G264" s="454"/>
      <c r="H264" s="454"/>
      <c r="I264" s="455"/>
      <c r="J264" s="456"/>
      <c r="K264" s="467" t="s">
        <v>1417</v>
      </c>
      <c r="L264" s="468">
        <v>10.6</v>
      </c>
      <c r="M264" s="469">
        <v>0.32</v>
      </c>
      <c r="N264" s="470">
        <v>0.579</v>
      </c>
      <c r="O264" s="470">
        <v>0.599</v>
      </c>
      <c r="P264" s="471">
        <v>1.94</v>
      </c>
      <c r="Q264" s="468">
        <v>2.1</v>
      </c>
      <c r="R264" s="469">
        <v>44.2</v>
      </c>
      <c r="S264" s="469">
        <v>26.5</v>
      </c>
      <c r="T264" s="469">
        <v>13.4</v>
      </c>
      <c r="U264" s="469">
        <v>7.0</v>
      </c>
      <c r="V264" s="469">
        <v>4.5</v>
      </c>
      <c r="W264" s="469">
        <v>0.5</v>
      </c>
      <c r="X264" s="469">
        <v>1.8</v>
      </c>
      <c r="Y264" s="462">
        <f t="shared" si="17"/>
        <v>97.9</v>
      </c>
      <c r="Z264" s="463"/>
      <c r="AA264" s="464"/>
      <c r="AB264" s="465"/>
      <c r="AC264" s="465"/>
      <c r="AD264" s="465"/>
      <c r="AE264" s="466"/>
      <c r="AF264" s="449"/>
      <c r="AG264" s="449"/>
      <c r="AH264" s="449"/>
    </row>
    <row r="265" ht="11.25" customHeight="1">
      <c r="A265" s="450"/>
      <c r="B265" s="472"/>
      <c r="C265" s="473"/>
      <c r="D265" s="473"/>
      <c r="E265" s="474"/>
      <c r="F265" s="474"/>
      <c r="G265" s="475"/>
      <c r="H265" s="475"/>
      <c r="I265" s="476"/>
      <c r="J265" s="477"/>
      <c r="K265" s="478" t="s">
        <v>1418</v>
      </c>
      <c r="L265" s="479">
        <v>12.27</v>
      </c>
      <c r="M265" s="480">
        <v>0.24</v>
      </c>
      <c r="N265" s="481">
        <v>0.573</v>
      </c>
      <c r="O265" s="481">
        <v>0.593</v>
      </c>
      <c r="P265" s="482">
        <v>2.28</v>
      </c>
      <c r="Q265" s="479">
        <v>1.7</v>
      </c>
      <c r="R265" s="480">
        <v>43.8</v>
      </c>
      <c r="S265" s="480">
        <v>26.2</v>
      </c>
      <c r="T265" s="480">
        <v>13.9</v>
      </c>
      <c r="U265" s="480">
        <v>8.0</v>
      </c>
      <c r="V265" s="480">
        <v>4.7</v>
      </c>
      <c r="W265" s="480">
        <v>0.5</v>
      </c>
      <c r="X265" s="480">
        <v>1.2</v>
      </c>
      <c r="Y265" s="483">
        <f t="shared" si="17"/>
        <v>98.3</v>
      </c>
      <c r="Z265" s="484"/>
      <c r="AA265" s="485"/>
      <c r="AB265" s="486"/>
      <c r="AC265" s="486"/>
      <c r="AD265" s="486"/>
      <c r="AE265" s="487"/>
      <c r="AF265" s="449"/>
      <c r="AG265" s="449"/>
      <c r="AH265" s="449"/>
    </row>
    <row r="266" ht="11.25" customHeight="1">
      <c r="A266" s="431">
        <f>IF(B266="","", YEAR(B266))</f>
        <v>2026</v>
      </c>
      <c r="B266" s="432">
        <v>46094.0</v>
      </c>
      <c r="C266" s="433" t="s">
        <v>1178</v>
      </c>
      <c r="D266" s="433" t="s">
        <v>1413</v>
      </c>
      <c r="E266" s="434">
        <f t="shared" ref="E266:I266" si="140">IFERROR(AVERAGE(L266:L269),"")</f>
        <v>11.2025</v>
      </c>
      <c r="F266" s="434">
        <f t="shared" si="140"/>
        <v>0.27</v>
      </c>
      <c r="G266" s="435">
        <f t="shared" si="140"/>
        <v>0.5765</v>
      </c>
      <c r="H266" s="435">
        <f t="shared" si="140"/>
        <v>0.5965</v>
      </c>
      <c r="I266" s="436">
        <f t="shared" si="140"/>
        <v>2.5725</v>
      </c>
      <c r="J266" s="437">
        <f>SUMIFS(PRODUCTION[KG],PRODUCTION[GRADE],"3X50",PRODUCTION[DATE],B266,PRODUCTION[BATCH],C266,PRODUCTION[SHIFT],D266)</f>
        <v>28470</v>
      </c>
      <c r="K266" s="438" t="s">
        <v>1414</v>
      </c>
      <c r="L266" s="439">
        <v>10.8</v>
      </c>
      <c r="M266" s="488">
        <v>0.26</v>
      </c>
      <c r="N266" s="489">
        <v>0.576</v>
      </c>
      <c r="O266" s="489">
        <v>0.596</v>
      </c>
      <c r="P266" s="490">
        <v>3.24</v>
      </c>
      <c r="Q266" s="439">
        <v>1.6</v>
      </c>
      <c r="R266" s="488">
        <v>40.7</v>
      </c>
      <c r="S266" s="488">
        <v>25.7</v>
      </c>
      <c r="T266" s="488">
        <v>15.1</v>
      </c>
      <c r="U266" s="488">
        <v>8.9</v>
      </c>
      <c r="V266" s="488">
        <v>5.4</v>
      </c>
      <c r="W266" s="488">
        <v>0.5</v>
      </c>
      <c r="X266" s="488">
        <v>2.1</v>
      </c>
      <c r="Y266" s="444">
        <f t="shared" si="17"/>
        <v>98.4</v>
      </c>
      <c r="Z266" s="445"/>
      <c r="AA266" s="446">
        <f t="shared" ref="AA266:AE266" si="141">$J266*E266</f>
        <v>318935.175</v>
      </c>
      <c r="AB266" s="447">
        <f t="shared" si="141"/>
        <v>7686.9</v>
      </c>
      <c r="AC266" s="447">
        <f t="shared" si="141"/>
        <v>16412.955</v>
      </c>
      <c r="AD266" s="447">
        <f t="shared" si="141"/>
        <v>16982.355</v>
      </c>
      <c r="AE266" s="448">
        <f t="shared" si="141"/>
        <v>73239.075</v>
      </c>
      <c r="AF266" s="449"/>
      <c r="AG266" s="449"/>
      <c r="AH266" s="449"/>
    </row>
    <row r="267" ht="11.25" customHeight="1">
      <c r="A267" s="450"/>
      <c r="B267" s="451"/>
      <c r="C267" s="452"/>
      <c r="D267" s="452"/>
      <c r="E267" s="453"/>
      <c r="F267" s="453"/>
      <c r="G267" s="454"/>
      <c r="H267" s="454"/>
      <c r="I267" s="455"/>
      <c r="J267" s="456"/>
      <c r="K267" s="457" t="s">
        <v>1416</v>
      </c>
      <c r="L267" s="458">
        <v>10.54</v>
      </c>
      <c r="M267" s="459">
        <v>0.27</v>
      </c>
      <c r="N267" s="460">
        <v>0.578</v>
      </c>
      <c r="O267" s="460">
        <v>0.598</v>
      </c>
      <c r="P267" s="461">
        <v>2.34</v>
      </c>
      <c r="Q267" s="458">
        <v>1.2</v>
      </c>
      <c r="R267" s="459">
        <v>47.5</v>
      </c>
      <c r="S267" s="459">
        <v>23.6</v>
      </c>
      <c r="T267" s="459">
        <v>14.7</v>
      </c>
      <c r="U267" s="459">
        <v>7.2</v>
      </c>
      <c r="V267" s="459">
        <v>4.2</v>
      </c>
      <c r="W267" s="459">
        <v>0.6</v>
      </c>
      <c r="X267" s="459">
        <v>1.0</v>
      </c>
      <c r="Y267" s="462">
        <f t="shared" si="17"/>
        <v>98.8</v>
      </c>
      <c r="Z267" s="463"/>
      <c r="AA267" s="464"/>
      <c r="AB267" s="465"/>
      <c r="AC267" s="465"/>
      <c r="AD267" s="465"/>
      <c r="AE267" s="466"/>
      <c r="AF267" s="449"/>
      <c r="AG267" s="449"/>
      <c r="AH267" s="449"/>
    </row>
    <row r="268" ht="11.25" customHeight="1">
      <c r="A268" s="450"/>
      <c r="B268" s="451"/>
      <c r="C268" s="452"/>
      <c r="D268" s="452"/>
      <c r="E268" s="453"/>
      <c r="F268" s="453"/>
      <c r="G268" s="454"/>
      <c r="H268" s="454"/>
      <c r="I268" s="455"/>
      <c r="J268" s="456"/>
      <c r="K268" s="467" t="s">
        <v>1417</v>
      </c>
      <c r="L268" s="468">
        <v>11.8</v>
      </c>
      <c r="M268" s="469">
        <v>0.24</v>
      </c>
      <c r="N268" s="470">
        <v>0.577</v>
      </c>
      <c r="O268" s="470">
        <v>0.597</v>
      </c>
      <c r="P268" s="471">
        <v>2.81</v>
      </c>
      <c r="Q268" s="468">
        <v>0.9</v>
      </c>
      <c r="R268" s="469">
        <v>44.0</v>
      </c>
      <c r="S268" s="469">
        <v>26.1</v>
      </c>
      <c r="T268" s="469">
        <v>15.2</v>
      </c>
      <c r="U268" s="469">
        <v>8.2</v>
      </c>
      <c r="V268" s="469">
        <v>4.3</v>
      </c>
      <c r="W268" s="469">
        <v>0.3</v>
      </c>
      <c r="X268" s="469">
        <v>1.0</v>
      </c>
      <c r="Y268" s="462">
        <f t="shared" si="17"/>
        <v>99.1</v>
      </c>
      <c r="Z268" s="463"/>
      <c r="AA268" s="464"/>
      <c r="AB268" s="465"/>
      <c r="AC268" s="465"/>
      <c r="AD268" s="465"/>
      <c r="AE268" s="466"/>
      <c r="AF268" s="449"/>
      <c r="AG268" s="449"/>
      <c r="AH268" s="449"/>
    </row>
    <row r="269" ht="11.25" customHeight="1">
      <c r="A269" s="450"/>
      <c r="B269" s="472"/>
      <c r="C269" s="473"/>
      <c r="D269" s="473"/>
      <c r="E269" s="474"/>
      <c r="F269" s="474"/>
      <c r="G269" s="475"/>
      <c r="H269" s="475"/>
      <c r="I269" s="476"/>
      <c r="J269" s="477"/>
      <c r="K269" s="478" t="s">
        <v>1418</v>
      </c>
      <c r="L269" s="479">
        <v>11.67</v>
      </c>
      <c r="M269" s="480">
        <v>0.31</v>
      </c>
      <c r="N269" s="481">
        <v>0.575</v>
      </c>
      <c r="O269" s="481">
        <v>0.595</v>
      </c>
      <c r="P269" s="482">
        <v>1.9</v>
      </c>
      <c r="Q269" s="479">
        <v>2.0</v>
      </c>
      <c r="R269" s="480">
        <v>40.9</v>
      </c>
      <c r="S269" s="480">
        <v>27.4</v>
      </c>
      <c r="T269" s="480">
        <v>14.7</v>
      </c>
      <c r="U269" s="480">
        <v>9.0</v>
      </c>
      <c r="V269" s="480">
        <v>4.3</v>
      </c>
      <c r="W269" s="480">
        <v>0.3</v>
      </c>
      <c r="X269" s="480">
        <v>1.4</v>
      </c>
      <c r="Y269" s="483">
        <f t="shared" si="17"/>
        <v>98</v>
      </c>
      <c r="Z269" s="484"/>
      <c r="AA269" s="485"/>
      <c r="AB269" s="486"/>
      <c r="AC269" s="486"/>
      <c r="AD269" s="486"/>
      <c r="AE269" s="487"/>
      <c r="AF269" s="449"/>
      <c r="AG269" s="449"/>
      <c r="AH269" s="449"/>
    </row>
    <row r="270" ht="11.25" customHeight="1">
      <c r="A270" s="431">
        <f>IF(B270="","", YEAR(B270))</f>
        <v>2026</v>
      </c>
      <c r="B270" s="432">
        <v>46095.0</v>
      </c>
      <c r="C270" s="433" t="s">
        <v>1178</v>
      </c>
      <c r="D270" s="433" t="s">
        <v>1413</v>
      </c>
      <c r="E270" s="434">
        <f t="shared" ref="E270:I270" si="142">IFERROR(AVERAGE(L270:L273),"")</f>
        <v>11.6375</v>
      </c>
      <c r="F270" s="434">
        <f t="shared" si="142"/>
        <v>0.2675</v>
      </c>
      <c r="G270" s="435">
        <f t="shared" si="142"/>
        <v>0.57825</v>
      </c>
      <c r="H270" s="435">
        <f t="shared" si="142"/>
        <v>0.59825</v>
      </c>
      <c r="I270" s="436">
        <f t="shared" si="142"/>
        <v>2.7075</v>
      </c>
      <c r="J270" s="437">
        <f>SUMIFS(PRODUCTION[KG],PRODUCTION[GRADE],"3X50",PRODUCTION[DATE],B270,PRODUCTION[BATCH],C270,PRODUCTION[SHIFT],D270)</f>
        <v>29640</v>
      </c>
      <c r="K270" s="438" t="s">
        <v>1414</v>
      </c>
      <c r="L270" s="439">
        <v>12.14</v>
      </c>
      <c r="M270" s="488">
        <v>0.28</v>
      </c>
      <c r="N270" s="489">
        <v>0.58</v>
      </c>
      <c r="O270" s="489">
        <v>0.6</v>
      </c>
      <c r="P270" s="490">
        <v>2.08</v>
      </c>
      <c r="Q270" s="439">
        <v>1.5</v>
      </c>
      <c r="R270" s="488">
        <v>40.8</v>
      </c>
      <c r="S270" s="488">
        <v>27.7</v>
      </c>
      <c r="T270" s="488">
        <v>15.3</v>
      </c>
      <c r="U270" s="488">
        <v>8.4</v>
      </c>
      <c r="V270" s="488">
        <v>4.7</v>
      </c>
      <c r="W270" s="488">
        <v>0.3</v>
      </c>
      <c r="X270" s="488">
        <v>1.3</v>
      </c>
      <c r="Y270" s="444">
        <f t="shared" si="17"/>
        <v>98.5</v>
      </c>
      <c r="Z270" s="445"/>
      <c r="AA270" s="446">
        <f t="shared" ref="AA270:AE270" si="143">$J270*E270</f>
        <v>344935.5</v>
      </c>
      <c r="AB270" s="447">
        <f t="shared" si="143"/>
        <v>7928.7</v>
      </c>
      <c r="AC270" s="447">
        <f t="shared" si="143"/>
        <v>17139.33</v>
      </c>
      <c r="AD270" s="447">
        <f t="shared" si="143"/>
        <v>17732.13</v>
      </c>
      <c r="AE270" s="448">
        <f t="shared" si="143"/>
        <v>80250.3</v>
      </c>
      <c r="AF270" s="449"/>
      <c r="AG270" s="449"/>
      <c r="AH270" s="449"/>
    </row>
    <row r="271" ht="11.25" customHeight="1">
      <c r="A271" s="450"/>
      <c r="B271" s="451"/>
      <c r="C271" s="452"/>
      <c r="D271" s="452"/>
      <c r="E271" s="453"/>
      <c r="F271" s="453"/>
      <c r="G271" s="454"/>
      <c r="H271" s="454"/>
      <c r="I271" s="455"/>
      <c r="J271" s="456"/>
      <c r="K271" s="457" t="s">
        <v>1416</v>
      </c>
      <c r="L271" s="458">
        <v>10.94</v>
      </c>
      <c r="M271" s="459">
        <v>0.23</v>
      </c>
      <c r="N271" s="460">
        <v>0.578</v>
      </c>
      <c r="O271" s="460">
        <v>0.598</v>
      </c>
      <c r="P271" s="461">
        <v>1.91</v>
      </c>
      <c r="Q271" s="458">
        <v>1.8</v>
      </c>
      <c r="R271" s="459">
        <v>44.3</v>
      </c>
      <c r="S271" s="459">
        <v>27.4</v>
      </c>
      <c r="T271" s="459">
        <v>13.9</v>
      </c>
      <c r="U271" s="459">
        <v>7.4</v>
      </c>
      <c r="V271" s="459">
        <v>4.1</v>
      </c>
      <c r="W271" s="459">
        <v>0.3</v>
      </c>
      <c r="X271" s="459">
        <v>0.8</v>
      </c>
      <c r="Y271" s="462">
        <f t="shared" si="17"/>
        <v>98.2</v>
      </c>
      <c r="Z271" s="463"/>
      <c r="AA271" s="464"/>
      <c r="AB271" s="465"/>
      <c r="AC271" s="465"/>
      <c r="AD271" s="465"/>
      <c r="AE271" s="466"/>
      <c r="AF271" s="449"/>
      <c r="AG271" s="449"/>
      <c r="AH271" s="449"/>
    </row>
    <row r="272" ht="11.25" customHeight="1">
      <c r="A272" s="450"/>
      <c r="B272" s="451"/>
      <c r="C272" s="452"/>
      <c r="D272" s="452"/>
      <c r="E272" s="453"/>
      <c r="F272" s="453"/>
      <c r="G272" s="454"/>
      <c r="H272" s="454"/>
      <c r="I272" s="455"/>
      <c r="J272" s="456"/>
      <c r="K272" s="467" t="s">
        <v>1417</v>
      </c>
      <c r="L272" s="468">
        <v>11.67</v>
      </c>
      <c r="M272" s="469">
        <v>0.31</v>
      </c>
      <c r="N272" s="470">
        <v>0.576</v>
      </c>
      <c r="O272" s="470">
        <v>0.596</v>
      </c>
      <c r="P272" s="471">
        <v>2.8</v>
      </c>
      <c r="Q272" s="468">
        <v>1.3</v>
      </c>
      <c r="R272" s="469">
        <v>35.1</v>
      </c>
      <c r="S272" s="469">
        <v>27.0</v>
      </c>
      <c r="T272" s="469">
        <v>16.5</v>
      </c>
      <c r="U272" s="469">
        <v>10.6</v>
      </c>
      <c r="V272" s="469">
        <v>6.2</v>
      </c>
      <c r="W272" s="469">
        <v>0.7</v>
      </c>
      <c r="X272" s="469">
        <v>2.6</v>
      </c>
      <c r="Y272" s="462">
        <f t="shared" si="17"/>
        <v>98.7</v>
      </c>
      <c r="Z272" s="463"/>
      <c r="AA272" s="464"/>
      <c r="AB272" s="465"/>
      <c r="AC272" s="465"/>
      <c r="AD272" s="465"/>
      <c r="AE272" s="466"/>
      <c r="AF272" s="449"/>
      <c r="AG272" s="449"/>
      <c r="AH272" s="449"/>
    </row>
    <row r="273" ht="11.25" customHeight="1">
      <c r="A273" s="450"/>
      <c r="B273" s="472"/>
      <c r="C273" s="473"/>
      <c r="D273" s="473"/>
      <c r="E273" s="474"/>
      <c r="F273" s="474"/>
      <c r="G273" s="475"/>
      <c r="H273" s="475"/>
      <c r="I273" s="476"/>
      <c r="J273" s="477"/>
      <c r="K273" s="478" t="s">
        <v>1418</v>
      </c>
      <c r="L273" s="479">
        <v>11.8</v>
      </c>
      <c r="M273" s="480">
        <v>0.25</v>
      </c>
      <c r="N273" s="481">
        <v>0.579</v>
      </c>
      <c r="O273" s="481">
        <v>0.599</v>
      </c>
      <c r="P273" s="482">
        <v>4.04</v>
      </c>
      <c r="Q273" s="479">
        <v>3.0</v>
      </c>
      <c r="R273" s="480">
        <v>52.1</v>
      </c>
      <c r="S273" s="480">
        <v>24.4</v>
      </c>
      <c r="T273" s="480">
        <v>11.7</v>
      </c>
      <c r="U273" s="480">
        <v>5.0</v>
      </c>
      <c r="V273" s="480">
        <v>3.1</v>
      </c>
      <c r="W273" s="480">
        <v>0.1</v>
      </c>
      <c r="X273" s="480">
        <v>0.6</v>
      </c>
      <c r="Y273" s="483">
        <f t="shared" si="17"/>
        <v>97</v>
      </c>
      <c r="Z273" s="484"/>
      <c r="AA273" s="485"/>
      <c r="AB273" s="486"/>
      <c r="AC273" s="486"/>
      <c r="AD273" s="486"/>
      <c r="AE273" s="487"/>
      <c r="AF273" s="449"/>
      <c r="AG273" s="449"/>
      <c r="AH273" s="449"/>
    </row>
    <row r="274" ht="11.25" customHeight="1">
      <c r="A274" s="431">
        <f>IF(B274="","", YEAR(B274))</f>
        <v>2026</v>
      </c>
      <c r="B274" s="432">
        <v>46098.0</v>
      </c>
      <c r="C274" s="433" t="s">
        <v>1178</v>
      </c>
      <c r="D274" s="433" t="s">
        <v>1413</v>
      </c>
      <c r="E274" s="434">
        <f t="shared" ref="E274:I274" si="144">IFERROR(AVERAGE(L274:L277),"")</f>
        <v>12.205</v>
      </c>
      <c r="F274" s="434">
        <f t="shared" si="144"/>
        <v>0.2975</v>
      </c>
      <c r="G274" s="435">
        <f t="shared" si="144"/>
        <v>0.5765</v>
      </c>
      <c r="H274" s="435">
        <f t="shared" si="144"/>
        <v>0.5965</v>
      </c>
      <c r="I274" s="436">
        <f t="shared" si="144"/>
        <v>3.1075</v>
      </c>
      <c r="J274" s="437">
        <f>SUMIFS(PRODUCTION[KG],PRODUCTION[GRADE],"3X50",PRODUCTION[DATE],B274,PRODUCTION[BATCH],C274,PRODUCTION[SHIFT],D274)</f>
        <v>28990</v>
      </c>
      <c r="K274" s="438" t="s">
        <v>1414</v>
      </c>
      <c r="L274" s="439">
        <v>12.27</v>
      </c>
      <c r="M274" s="488">
        <v>0.29</v>
      </c>
      <c r="N274" s="489">
        <v>0.58</v>
      </c>
      <c r="O274" s="489">
        <v>0.6</v>
      </c>
      <c r="P274" s="490">
        <v>3.55</v>
      </c>
      <c r="Q274" s="439">
        <v>1.3</v>
      </c>
      <c r="R274" s="488">
        <v>42.4</v>
      </c>
      <c r="S274" s="488">
        <v>26.6</v>
      </c>
      <c r="T274" s="488">
        <v>14.7</v>
      </c>
      <c r="U274" s="488">
        <v>8.4</v>
      </c>
      <c r="V274" s="488">
        <v>5.9</v>
      </c>
      <c r="W274" s="488">
        <v>0.6</v>
      </c>
      <c r="X274" s="488">
        <v>0.1</v>
      </c>
      <c r="Y274" s="444">
        <f t="shared" si="17"/>
        <v>98.7</v>
      </c>
      <c r="Z274" s="445"/>
      <c r="AA274" s="446">
        <f t="shared" ref="AA274:AE274" si="145">$J274*E274</f>
        <v>353822.95</v>
      </c>
      <c r="AB274" s="447">
        <f t="shared" si="145"/>
        <v>8624.525</v>
      </c>
      <c r="AC274" s="447">
        <f t="shared" si="145"/>
        <v>16712.735</v>
      </c>
      <c r="AD274" s="447">
        <f t="shared" si="145"/>
        <v>17292.535</v>
      </c>
      <c r="AE274" s="448">
        <f t="shared" si="145"/>
        <v>90086.425</v>
      </c>
      <c r="AF274" s="449"/>
      <c r="AG274" s="449"/>
      <c r="AH274" s="449"/>
    </row>
    <row r="275" ht="11.25" customHeight="1">
      <c r="A275" s="450"/>
      <c r="B275" s="451"/>
      <c r="C275" s="452"/>
      <c r="D275" s="452"/>
      <c r="E275" s="453"/>
      <c r="F275" s="453"/>
      <c r="G275" s="454"/>
      <c r="H275" s="454"/>
      <c r="I275" s="455"/>
      <c r="J275" s="456"/>
      <c r="K275" s="457" t="s">
        <v>1416</v>
      </c>
      <c r="L275" s="458">
        <v>12.54</v>
      </c>
      <c r="M275" s="459">
        <v>0.27</v>
      </c>
      <c r="N275" s="460">
        <v>0.577</v>
      </c>
      <c r="O275" s="460">
        <v>0.597</v>
      </c>
      <c r="P275" s="461">
        <v>3.02</v>
      </c>
      <c r="Q275" s="458">
        <v>2.0</v>
      </c>
      <c r="R275" s="459">
        <v>48.9</v>
      </c>
      <c r="S275" s="459">
        <v>25.3</v>
      </c>
      <c r="T275" s="459">
        <v>13.0</v>
      </c>
      <c r="U275" s="459">
        <v>6.6</v>
      </c>
      <c r="V275" s="459">
        <v>3.5</v>
      </c>
      <c r="W275" s="459">
        <v>0.6</v>
      </c>
      <c r="X275" s="459">
        <v>0.1</v>
      </c>
      <c r="Y275" s="462">
        <f t="shared" si="17"/>
        <v>98</v>
      </c>
      <c r="Z275" s="463"/>
      <c r="AA275" s="464"/>
      <c r="AB275" s="465"/>
      <c r="AC275" s="465"/>
      <c r="AD275" s="465"/>
      <c r="AE275" s="466"/>
      <c r="AF275" s="449"/>
      <c r="AG275" s="449"/>
      <c r="AH275" s="449"/>
    </row>
    <row r="276" ht="11.25" customHeight="1">
      <c r="A276" s="450"/>
      <c r="B276" s="451"/>
      <c r="C276" s="452"/>
      <c r="D276" s="452"/>
      <c r="E276" s="453"/>
      <c r="F276" s="453"/>
      <c r="G276" s="454"/>
      <c r="H276" s="454"/>
      <c r="I276" s="455"/>
      <c r="J276" s="456"/>
      <c r="K276" s="467" t="s">
        <v>1417</v>
      </c>
      <c r="L276" s="468">
        <v>12.07</v>
      </c>
      <c r="M276" s="469">
        <v>0.31</v>
      </c>
      <c r="N276" s="470">
        <v>0.576</v>
      </c>
      <c r="O276" s="470">
        <v>0.596</v>
      </c>
      <c r="P276" s="471">
        <v>3.38</v>
      </c>
      <c r="Q276" s="468">
        <v>0.9</v>
      </c>
      <c r="R276" s="469">
        <v>34.3</v>
      </c>
      <c r="S276" s="469">
        <v>25.8</v>
      </c>
      <c r="T276" s="469">
        <v>17.4</v>
      </c>
      <c r="U276" s="469">
        <v>12.7</v>
      </c>
      <c r="V276" s="469">
        <v>8.0</v>
      </c>
      <c r="W276" s="469">
        <v>0.8</v>
      </c>
      <c r="X276" s="469">
        <v>0.1</v>
      </c>
      <c r="Y276" s="462">
        <f t="shared" si="17"/>
        <v>99.1</v>
      </c>
      <c r="Z276" s="463"/>
      <c r="AA276" s="464"/>
      <c r="AB276" s="465"/>
      <c r="AC276" s="465"/>
      <c r="AD276" s="465"/>
      <c r="AE276" s="466"/>
      <c r="AF276" s="449"/>
      <c r="AG276" s="449"/>
      <c r="AH276" s="449"/>
    </row>
    <row r="277" ht="11.25" customHeight="1">
      <c r="A277" s="450"/>
      <c r="B277" s="472"/>
      <c r="C277" s="473"/>
      <c r="D277" s="473"/>
      <c r="E277" s="474"/>
      <c r="F277" s="474"/>
      <c r="G277" s="475"/>
      <c r="H277" s="475"/>
      <c r="I277" s="476"/>
      <c r="J277" s="477"/>
      <c r="K277" s="478" t="s">
        <v>1418</v>
      </c>
      <c r="L277" s="479">
        <v>11.94</v>
      </c>
      <c r="M277" s="480">
        <v>0.32</v>
      </c>
      <c r="N277" s="481">
        <v>0.573</v>
      </c>
      <c r="O277" s="481">
        <v>0.593</v>
      </c>
      <c r="P277" s="482">
        <v>2.48</v>
      </c>
      <c r="Q277" s="479">
        <v>1.6</v>
      </c>
      <c r="R277" s="480">
        <v>37.3</v>
      </c>
      <c r="S277" s="480">
        <v>27.5</v>
      </c>
      <c r="T277" s="480">
        <v>16.8</v>
      </c>
      <c r="U277" s="480">
        <v>10.4</v>
      </c>
      <c r="V277" s="480">
        <v>5.7</v>
      </c>
      <c r="W277" s="480">
        <v>0.6</v>
      </c>
      <c r="X277" s="480">
        <v>0.1</v>
      </c>
      <c r="Y277" s="483">
        <f t="shared" si="17"/>
        <v>98.4</v>
      </c>
      <c r="Z277" s="484"/>
      <c r="AA277" s="485"/>
      <c r="AB277" s="486"/>
      <c r="AC277" s="486"/>
      <c r="AD277" s="486"/>
      <c r="AE277" s="487"/>
      <c r="AF277" s="449"/>
      <c r="AG277" s="449"/>
      <c r="AH277" s="449"/>
    </row>
    <row r="278" ht="11.25" customHeight="1">
      <c r="A278" s="431">
        <f>IF(B278="","", YEAR(B278))</f>
        <v>2026</v>
      </c>
      <c r="B278" s="432">
        <v>46099.0</v>
      </c>
      <c r="C278" s="433" t="s">
        <v>1178</v>
      </c>
      <c r="D278" s="433" t="s">
        <v>1413</v>
      </c>
      <c r="E278" s="434">
        <f t="shared" ref="E278:I278" si="146">IFERROR(AVERAGE(L278:L281),"")</f>
        <v>11.52</v>
      </c>
      <c r="F278" s="434">
        <f t="shared" si="146"/>
        <v>0.2575</v>
      </c>
      <c r="G278" s="435">
        <f t="shared" si="146"/>
        <v>0.5785</v>
      </c>
      <c r="H278" s="435">
        <f t="shared" si="146"/>
        <v>0.5985</v>
      </c>
      <c r="I278" s="436">
        <f t="shared" si="146"/>
        <v>2.0275</v>
      </c>
      <c r="J278" s="437">
        <f>SUMIFS(PRODUCTION[KG],PRODUCTION[GRADE],"3X50",PRODUCTION[DATE],B278,PRODUCTION[BATCH],C278,PRODUCTION[SHIFT],D278)</f>
        <v>28600</v>
      </c>
      <c r="K278" s="438" t="s">
        <v>1414</v>
      </c>
      <c r="L278" s="439">
        <v>11.54</v>
      </c>
      <c r="M278" s="488">
        <v>0.26</v>
      </c>
      <c r="N278" s="489">
        <v>0.579</v>
      </c>
      <c r="O278" s="489">
        <v>0.599</v>
      </c>
      <c r="P278" s="490">
        <v>2.98</v>
      </c>
      <c r="Q278" s="439">
        <v>0.8</v>
      </c>
      <c r="R278" s="488">
        <v>43.1</v>
      </c>
      <c r="S278" s="488">
        <v>27.7</v>
      </c>
      <c r="T278" s="488">
        <v>14.4</v>
      </c>
      <c r="U278" s="488">
        <v>7.8</v>
      </c>
      <c r="V278" s="488">
        <v>5.5</v>
      </c>
      <c r="W278" s="488">
        <v>0.6</v>
      </c>
      <c r="X278" s="488">
        <v>0.1</v>
      </c>
      <c r="Y278" s="444">
        <f t="shared" si="17"/>
        <v>99.2</v>
      </c>
      <c r="Z278" s="445"/>
      <c r="AA278" s="446">
        <f t="shared" ref="AA278:AE278" si="147">$J278*E278</f>
        <v>329472</v>
      </c>
      <c r="AB278" s="447">
        <f t="shared" si="147"/>
        <v>7364.5</v>
      </c>
      <c r="AC278" s="447">
        <f t="shared" si="147"/>
        <v>16545.1</v>
      </c>
      <c r="AD278" s="447">
        <f t="shared" si="147"/>
        <v>17117.1</v>
      </c>
      <c r="AE278" s="448">
        <f t="shared" si="147"/>
        <v>57986.5</v>
      </c>
      <c r="AF278" s="449"/>
      <c r="AG278" s="449"/>
      <c r="AH278" s="449"/>
    </row>
    <row r="279" ht="11.25" customHeight="1">
      <c r="A279" s="450"/>
      <c r="B279" s="451"/>
      <c r="C279" s="452"/>
      <c r="D279" s="452"/>
      <c r="E279" s="453"/>
      <c r="F279" s="453"/>
      <c r="G279" s="454"/>
      <c r="H279" s="454"/>
      <c r="I279" s="455"/>
      <c r="J279" s="456"/>
      <c r="K279" s="457" t="s">
        <v>1416</v>
      </c>
      <c r="L279" s="458">
        <v>11.6</v>
      </c>
      <c r="M279" s="459">
        <v>0.22</v>
      </c>
      <c r="N279" s="460">
        <v>0.578</v>
      </c>
      <c r="O279" s="460">
        <v>0.598</v>
      </c>
      <c r="P279" s="461">
        <v>2.02</v>
      </c>
      <c r="Q279" s="458">
        <v>0.8</v>
      </c>
      <c r="R279" s="459">
        <v>45.8</v>
      </c>
      <c r="S279" s="459">
        <v>27.1</v>
      </c>
      <c r="T279" s="459">
        <v>14.6</v>
      </c>
      <c r="U279" s="459">
        <v>7.1</v>
      </c>
      <c r="V279" s="459">
        <v>4.4</v>
      </c>
      <c r="W279" s="459">
        <v>0.1</v>
      </c>
      <c r="X279" s="459">
        <v>0.1</v>
      </c>
      <c r="Y279" s="462">
        <f t="shared" si="17"/>
        <v>99.2</v>
      </c>
      <c r="Z279" s="463"/>
      <c r="AA279" s="464"/>
      <c r="AB279" s="465"/>
      <c r="AC279" s="465"/>
      <c r="AD279" s="465"/>
      <c r="AE279" s="466"/>
      <c r="AF279" s="449"/>
      <c r="AG279" s="449"/>
      <c r="AH279" s="449"/>
    </row>
    <row r="280" ht="11.25" customHeight="1">
      <c r="A280" s="450"/>
      <c r="B280" s="451"/>
      <c r="C280" s="452"/>
      <c r="D280" s="452"/>
      <c r="E280" s="453"/>
      <c r="F280" s="453"/>
      <c r="G280" s="454"/>
      <c r="H280" s="454"/>
      <c r="I280" s="455"/>
      <c r="J280" s="456"/>
      <c r="K280" s="467" t="s">
        <v>1417</v>
      </c>
      <c r="L280" s="468">
        <v>10.8</v>
      </c>
      <c r="M280" s="469">
        <v>0.27</v>
      </c>
      <c r="N280" s="470">
        <v>0.581</v>
      </c>
      <c r="O280" s="470">
        <v>0.601</v>
      </c>
      <c r="P280" s="471">
        <v>1.5</v>
      </c>
      <c r="Q280" s="468">
        <v>1.2</v>
      </c>
      <c r="R280" s="469">
        <v>39.5</v>
      </c>
      <c r="S280" s="469">
        <v>28.5</v>
      </c>
      <c r="T280" s="469">
        <v>15.8</v>
      </c>
      <c r="U280" s="469">
        <v>8.7</v>
      </c>
      <c r="V280" s="469">
        <v>5.6</v>
      </c>
      <c r="W280" s="469">
        <v>0.6</v>
      </c>
      <c r="X280" s="469">
        <v>0.1</v>
      </c>
      <c r="Y280" s="462">
        <f t="shared" si="17"/>
        <v>98.8</v>
      </c>
      <c r="Z280" s="463"/>
      <c r="AA280" s="464"/>
      <c r="AB280" s="465"/>
      <c r="AC280" s="465"/>
      <c r="AD280" s="465"/>
      <c r="AE280" s="466"/>
      <c r="AF280" s="449"/>
      <c r="AG280" s="449"/>
      <c r="AH280" s="449"/>
    </row>
    <row r="281" ht="11.25" customHeight="1">
      <c r="A281" s="450"/>
      <c r="B281" s="472"/>
      <c r="C281" s="473"/>
      <c r="D281" s="473"/>
      <c r="E281" s="474"/>
      <c r="F281" s="474"/>
      <c r="G281" s="475"/>
      <c r="H281" s="475"/>
      <c r="I281" s="476"/>
      <c r="J281" s="477"/>
      <c r="K281" s="478" t="s">
        <v>1418</v>
      </c>
      <c r="L281" s="479">
        <v>12.14</v>
      </c>
      <c r="M281" s="480">
        <v>0.28</v>
      </c>
      <c r="N281" s="481">
        <v>0.576</v>
      </c>
      <c r="O281" s="481">
        <v>0.596</v>
      </c>
      <c r="P281" s="482">
        <v>1.61</v>
      </c>
      <c r="Q281" s="479">
        <v>2.7</v>
      </c>
      <c r="R281" s="480">
        <v>57.7</v>
      </c>
      <c r="S281" s="480">
        <v>21.0</v>
      </c>
      <c r="T281" s="480">
        <v>10.4</v>
      </c>
      <c r="U281" s="480">
        <v>5.4</v>
      </c>
      <c r="V281" s="480">
        <v>2.4</v>
      </c>
      <c r="W281" s="480">
        <v>0.3</v>
      </c>
      <c r="X281" s="480">
        <v>0.1</v>
      </c>
      <c r="Y281" s="483">
        <f t="shared" si="17"/>
        <v>97.3</v>
      </c>
      <c r="Z281" s="484"/>
      <c r="AA281" s="485"/>
      <c r="AB281" s="486"/>
      <c r="AC281" s="486"/>
      <c r="AD281" s="486"/>
      <c r="AE281" s="487"/>
      <c r="AF281" s="449"/>
      <c r="AG281" s="449"/>
      <c r="AH281" s="449"/>
    </row>
    <row r="282" ht="11.25" customHeight="1">
      <c r="A282" s="431">
        <f>IF(B282="","", YEAR(B282))</f>
        <v>2026</v>
      </c>
      <c r="B282" s="432">
        <v>46100.0</v>
      </c>
      <c r="C282" s="433" t="s">
        <v>1178</v>
      </c>
      <c r="D282" s="433" t="s">
        <v>1413</v>
      </c>
      <c r="E282" s="434">
        <f t="shared" ref="E282:I282" si="148">IFERROR(AVERAGE(L282:L285),"")</f>
        <v>9.935</v>
      </c>
      <c r="F282" s="434">
        <f t="shared" si="148"/>
        <v>0.2425</v>
      </c>
      <c r="G282" s="435">
        <f t="shared" si="148"/>
        <v>0.5795</v>
      </c>
      <c r="H282" s="435">
        <f t="shared" si="148"/>
        <v>0.5995</v>
      </c>
      <c r="I282" s="436">
        <f t="shared" si="148"/>
        <v>1.6825</v>
      </c>
      <c r="J282" s="437">
        <f>SUMIFS(PRODUCTION[KG],PRODUCTION[GRADE],"3X50",PRODUCTION[DATE],B282,PRODUCTION[BATCH],C282,PRODUCTION[SHIFT],D282)</f>
        <v>28860</v>
      </c>
      <c r="K282" s="438" t="s">
        <v>1414</v>
      </c>
      <c r="L282" s="439">
        <v>10.6</v>
      </c>
      <c r="M282" s="488">
        <v>0.25</v>
      </c>
      <c r="N282" s="489">
        <v>0.575</v>
      </c>
      <c r="O282" s="489">
        <v>0.595</v>
      </c>
      <c r="P282" s="490">
        <v>1.88</v>
      </c>
      <c r="Q282" s="439">
        <v>1.4</v>
      </c>
      <c r="R282" s="488">
        <v>33.0</v>
      </c>
      <c r="S282" s="488">
        <v>27.5</v>
      </c>
      <c r="T282" s="488">
        <v>19.2</v>
      </c>
      <c r="U282" s="488">
        <v>11.7</v>
      </c>
      <c r="V282" s="488">
        <v>6.5</v>
      </c>
      <c r="W282" s="488">
        <v>0.6</v>
      </c>
      <c r="X282" s="488">
        <v>0.1</v>
      </c>
      <c r="Y282" s="444">
        <f t="shared" si="17"/>
        <v>98.6</v>
      </c>
      <c r="Z282" s="445"/>
      <c r="AA282" s="446">
        <f t="shared" ref="AA282:AE282" si="149">$J282*E282</f>
        <v>286724.1</v>
      </c>
      <c r="AB282" s="447">
        <f t="shared" si="149"/>
        <v>6998.55</v>
      </c>
      <c r="AC282" s="447">
        <f t="shared" si="149"/>
        <v>16724.37</v>
      </c>
      <c r="AD282" s="447">
        <f t="shared" si="149"/>
        <v>17301.57</v>
      </c>
      <c r="AE282" s="448">
        <f t="shared" si="149"/>
        <v>48556.95</v>
      </c>
      <c r="AF282" s="449"/>
      <c r="AG282" s="449"/>
      <c r="AH282" s="449"/>
    </row>
    <row r="283" ht="11.25" customHeight="1">
      <c r="A283" s="450"/>
      <c r="B283" s="451"/>
      <c r="C283" s="452"/>
      <c r="D283" s="452"/>
      <c r="E283" s="453"/>
      <c r="F283" s="453"/>
      <c r="G283" s="454"/>
      <c r="H283" s="454"/>
      <c r="I283" s="455"/>
      <c r="J283" s="456"/>
      <c r="K283" s="457" t="s">
        <v>1416</v>
      </c>
      <c r="L283" s="458">
        <v>9.67</v>
      </c>
      <c r="M283" s="459">
        <v>0.24</v>
      </c>
      <c r="N283" s="460">
        <v>0.582</v>
      </c>
      <c r="O283" s="460">
        <v>0.602</v>
      </c>
      <c r="P283" s="461">
        <v>0.64</v>
      </c>
      <c r="Q283" s="458">
        <v>1.3</v>
      </c>
      <c r="R283" s="459">
        <v>44.0</v>
      </c>
      <c r="S283" s="459">
        <v>26.2</v>
      </c>
      <c r="T283" s="459">
        <v>15.0</v>
      </c>
      <c r="U283" s="459">
        <v>7.8</v>
      </c>
      <c r="V283" s="459">
        <v>5.0</v>
      </c>
      <c r="W283" s="459">
        <v>0.6</v>
      </c>
      <c r="X283" s="459">
        <v>0.1</v>
      </c>
      <c r="Y283" s="462">
        <f t="shared" si="17"/>
        <v>98.7</v>
      </c>
      <c r="Z283" s="463"/>
      <c r="AA283" s="464"/>
      <c r="AB283" s="465"/>
      <c r="AC283" s="465"/>
      <c r="AD283" s="465"/>
      <c r="AE283" s="466"/>
      <c r="AF283" s="449"/>
      <c r="AG283" s="449"/>
      <c r="AH283" s="449"/>
    </row>
    <row r="284" ht="11.25" customHeight="1">
      <c r="A284" s="450"/>
      <c r="B284" s="451"/>
      <c r="C284" s="452"/>
      <c r="D284" s="452"/>
      <c r="E284" s="453"/>
      <c r="F284" s="453"/>
      <c r="G284" s="454"/>
      <c r="H284" s="454"/>
      <c r="I284" s="455"/>
      <c r="J284" s="456"/>
      <c r="K284" s="467" t="s">
        <v>1417</v>
      </c>
      <c r="L284" s="468">
        <v>9.2</v>
      </c>
      <c r="M284" s="469">
        <v>0.18</v>
      </c>
      <c r="N284" s="470">
        <v>0.578</v>
      </c>
      <c r="O284" s="470">
        <v>0.598</v>
      </c>
      <c r="P284" s="471">
        <v>1.54</v>
      </c>
      <c r="Q284" s="468">
        <v>1.4</v>
      </c>
      <c r="R284" s="469">
        <v>39.8</v>
      </c>
      <c r="S284" s="469">
        <v>26.3</v>
      </c>
      <c r="T284" s="469">
        <v>17.9</v>
      </c>
      <c r="U284" s="469">
        <v>9.0</v>
      </c>
      <c r="V284" s="469">
        <v>5.0</v>
      </c>
      <c r="W284" s="469">
        <v>0.5</v>
      </c>
      <c r="X284" s="469">
        <v>0.1</v>
      </c>
      <c r="Y284" s="462">
        <f t="shared" si="17"/>
        <v>98.6</v>
      </c>
      <c r="Z284" s="463"/>
      <c r="AA284" s="464"/>
      <c r="AB284" s="465"/>
      <c r="AC284" s="465"/>
      <c r="AD284" s="465"/>
      <c r="AE284" s="466"/>
      <c r="AF284" s="449"/>
      <c r="AG284" s="449"/>
      <c r="AH284" s="449"/>
    </row>
    <row r="285" ht="11.25" customHeight="1">
      <c r="A285" s="450"/>
      <c r="B285" s="472"/>
      <c r="C285" s="473"/>
      <c r="D285" s="473"/>
      <c r="E285" s="474"/>
      <c r="F285" s="474"/>
      <c r="G285" s="475"/>
      <c r="H285" s="475"/>
      <c r="I285" s="476"/>
      <c r="J285" s="477"/>
      <c r="K285" s="478" t="s">
        <v>1418</v>
      </c>
      <c r="L285" s="479">
        <v>10.27</v>
      </c>
      <c r="M285" s="480">
        <v>0.3</v>
      </c>
      <c r="N285" s="481">
        <v>0.583</v>
      </c>
      <c r="O285" s="481">
        <v>0.603</v>
      </c>
      <c r="P285" s="482">
        <v>2.67</v>
      </c>
      <c r="Q285" s="479">
        <v>0.4</v>
      </c>
      <c r="R285" s="480">
        <v>35.2</v>
      </c>
      <c r="S285" s="480">
        <v>26.9</v>
      </c>
      <c r="T285" s="480">
        <v>19.7</v>
      </c>
      <c r="U285" s="480">
        <v>11.0</v>
      </c>
      <c r="V285" s="480">
        <v>6.0</v>
      </c>
      <c r="W285" s="480">
        <v>0.7</v>
      </c>
      <c r="X285" s="480">
        <v>0.1</v>
      </c>
      <c r="Y285" s="483">
        <f t="shared" si="17"/>
        <v>99.6</v>
      </c>
      <c r="Z285" s="484"/>
      <c r="AA285" s="485"/>
      <c r="AB285" s="486"/>
      <c r="AC285" s="486"/>
      <c r="AD285" s="486"/>
      <c r="AE285" s="487"/>
      <c r="AF285" s="449"/>
      <c r="AG285" s="449"/>
      <c r="AH285" s="449"/>
    </row>
    <row r="286" ht="11.25" customHeight="1">
      <c r="A286" s="431">
        <f>IF(B286="","", YEAR(B286))</f>
        <v>2026</v>
      </c>
      <c r="B286" s="432">
        <v>46101.0</v>
      </c>
      <c r="C286" s="433" t="s">
        <v>1178</v>
      </c>
      <c r="D286" s="433" t="s">
        <v>1413</v>
      </c>
      <c r="E286" s="434">
        <f t="shared" ref="E286:I286" si="150">IFERROR(AVERAGE(L286:L289),"")</f>
        <v>10.1375</v>
      </c>
      <c r="F286" s="434">
        <f t="shared" si="150"/>
        <v>0.235</v>
      </c>
      <c r="G286" s="435">
        <f t="shared" si="150"/>
        <v>0.57725</v>
      </c>
      <c r="H286" s="435">
        <f t="shared" si="150"/>
        <v>0.59725</v>
      </c>
      <c r="I286" s="436">
        <f t="shared" si="150"/>
        <v>2.7825</v>
      </c>
      <c r="J286" s="437">
        <f>SUMIFS(PRODUCTION[KG],PRODUCTION[GRADE],"3X50",PRODUCTION[DATE],B286,PRODUCTION[BATCH],C286,PRODUCTION[SHIFT],D286)</f>
        <v>29120</v>
      </c>
      <c r="K286" s="438" t="s">
        <v>1414</v>
      </c>
      <c r="L286" s="439">
        <v>9.87</v>
      </c>
      <c r="M286" s="488">
        <v>0.25</v>
      </c>
      <c r="N286" s="489">
        <v>0.574</v>
      </c>
      <c r="O286" s="489">
        <v>0.594</v>
      </c>
      <c r="P286" s="490">
        <v>2.9</v>
      </c>
      <c r="Q286" s="439">
        <v>1.5</v>
      </c>
      <c r="R286" s="488">
        <v>34.8</v>
      </c>
      <c r="S286" s="488">
        <v>23.6</v>
      </c>
      <c r="T286" s="488">
        <v>18.1</v>
      </c>
      <c r="U286" s="488">
        <v>12.4</v>
      </c>
      <c r="V286" s="488">
        <v>8.5</v>
      </c>
      <c r="W286" s="488">
        <v>1.0</v>
      </c>
      <c r="X286" s="488">
        <v>0.1</v>
      </c>
      <c r="Y286" s="444">
        <f t="shared" si="17"/>
        <v>98.5</v>
      </c>
      <c r="Z286" s="445"/>
      <c r="AA286" s="446">
        <f t="shared" ref="AA286:AE286" si="151">$J286*E286</f>
        <v>295204</v>
      </c>
      <c r="AB286" s="447">
        <f t="shared" si="151"/>
        <v>6843.2</v>
      </c>
      <c r="AC286" s="447">
        <f t="shared" si="151"/>
        <v>16809.52</v>
      </c>
      <c r="AD286" s="447">
        <f t="shared" si="151"/>
        <v>17391.92</v>
      </c>
      <c r="AE286" s="448">
        <f t="shared" si="151"/>
        <v>81026.4</v>
      </c>
      <c r="AF286" s="449"/>
      <c r="AG286" s="449"/>
      <c r="AH286" s="449"/>
    </row>
    <row r="287" ht="11.25" customHeight="1">
      <c r="A287" s="450"/>
      <c r="B287" s="451"/>
      <c r="C287" s="452"/>
      <c r="D287" s="452"/>
      <c r="E287" s="453"/>
      <c r="F287" s="453"/>
      <c r="G287" s="454"/>
      <c r="H287" s="454"/>
      <c r="I287" s="455"/>
      <c r="J287" s="456"/>
      <c r="K287" s="457" t="s">
        <v>1416</v>
      </c>
      <c r="L287" s="458">
        <v>9.74</v>
      </c>
      <c r="M287" s="459">
        <v>0.29</v>
      </c>
      <c r="N287" s="460">
        <v>0.579</v>
      </c>
      <c r="O287" s="460">
        <v>0.599</v>
      </c>
      <c r="P287" s="461">
        <v>2.89</v>
      </c>
      <c r="Q287" s="458">
        <v>0.8</v>
      </c>
      <c r="R287" s="459">
        <v>42.3</v>
      </c>
      <c r="S287" s="459">
        <v>26.8</v>
      </c>
      <c r="T287" s="459">
        <v>15.2</v>
      </c>
      <c r="U287" s="459">
        <v>8.2</v>
      </c>
      <c r="V287" s="459">
        <v>6.0</v>
      </c>
      <c r="W287" s="459">
        <v>0.6</v>
      </c>
      <c r="X287" s="459">
        <v>0.1</v>
      </c>
      <c r="Y287" s="462">
        <f t="shared" si="17"/>
        <v>99.2</v>
      </c>
      <c r="Z287" s="463"/>
      <c r="AA287" s="464"/>
      <c r="AB287" s="465"/>
      <c r="AC287" s="465"/>
      <c r="AD287" s="465"/>
      <c r="AE287" s="466"/>
      <c r="AF287" s="449"/>
      <c r="AG287" s="449"/>
      <c r="AH287" s="449"/>
    </row>
    <row r="288" ht="11.25" customHeight="1">
      <c r="A288" s="450"/>
      <c r="B288" s="451"/>
      <c r="C288" s="452"/>
      <c r="D288" s="452"/>
      <c r="E288" s="453"/>
      <c r="F288" s="453"/>
      <c r="G288" s="454"/>
      <c r="H288" s="454"/>
      <c r="I288" s="455"/>
      <c r="J288" s="456"/>
      <c r="K288" s="467" t="s">
        <v>1417</v>
      </c>
      <c r="L288" s="468">
        <v>10.74</v>
      </c>
      <c r="M288" s="469">
        <v>0.17</v>
      </c>
      <c r="N288" s="470">
        <v>0.58</v>
      </c>
      <c r="O288" s="470">
        <v>0.6</v>
      </c>
      <c r="P288" s="471">
        <v>2.51</v>
      </c>
      <c r="Q288" s="468">
        <v>2.6</v>
      </c>
      <c r="R288" s="469">
        <v>34.9</v>
      </c>
      <c r="S288" s="469">
        <v>26.3</v>
      </c>
      <c r="T288" s="469">
        <v>17.7</v>
      </c>
      <c r="U288" s="469">
        <v>10.9</v>
      </c>
      <c r="V288" s="469">
        <v>6.9</v>
      </c>
      <c r="W288" s="469">
        <v>0.6</v>
      </c>
      <c r="X288" s="469">
        <v>0.1</v>
      </c>
      <c r="Y288" s="462">
        <f t="shared" si="17"/>
        <v>97.4</v>
      </c>
      <c r="Z288" s="463"/>
      <c r="AA288" s="464"/>
      <c r="AB288" s="465"/>
      <c r="AC288" s="465"/>
      <c r="AD288" s="465"/>
      <c r="AE288" s="466"/>
      <c r="AF288" s="449"/>
      <c r="AG288" s="449"/>
      <c r="AH288" s="449"/>
    </row>
    <row r="289" ht="11.25" customHeight="1">
      <c r="A289" s="450"/>
      <c r="B289" s="472"/>
      <c r="C289" s="473"/>
      <c r="D289" s="473"/>
      <c r="E289" s="474"/>
      <c r="F289" s="474"/>
      <c r="G289" s="475"/>
      <c r="H289" s="475"/>
      <c r="I289" s="476"/>
      <c r="J289" s="477"/>
      <c r="K289" s="478" t="s">
        <v>1418</v>
      </c>
      <c r="L289" s="479">
        <v>10.2</v>
      </c>
      <c r="M289" s="480">
        <v>0.23</v>
      </c>
      <c r="N289" s="481">
        <v>0.576</v>
      </c>
      <c r="O289" s="481">
        <v>0.596</v>
      </c>
      <c r="P289" s="482">
        <v>2.83</v>
      </c>
      <c r="Q289" s="479">
        <v>0.1</v>
      </c>
      <c r="R289" s="480">
        <v>35.6</v>
      </c>
      <c r="S289" s="480">
        <v>27.2</v>
      </c>
      <c r="T289" s="480">
        <v>18.8</v>
      </c>
      <c r="U289" s="480">
        <v>11.0</v>
      </c>
      <c r="V289" s="480">
        <v>6.8</v>
      </c>
      <c r="W289" s="480">
        <v>0.4</v>
      </c>
      <c r="X289" s="480">
        <v>0.1</v>
      </c>
      <c r="Y289" s="483">
        <f t="shared" si="17"/>
        <v>99.9</v>
      </c>
      <c r="Z289" s="484"/>
      <c r="AA289" s="485"/>
      <c r="AB289" s="486"/>
      <c r="AC289" s="486"/>
      <c r="AD289" s="486"/>
      <c r="AE289" s="487"/>
      <c r="AF289" s="449"/>
      <c r="AG289" s="449"/>
      <c r="AH289" s="449"/>
    </row>
    <row r="290" ht="11.25" customHeight="1">
      <c r="A290" s="431">
        <f>IF(B290="","", YEAR(B290))</f>
        <v>2026</v>
      </c>
      <c r="B290" s="432">
        <v>46104.0</v>
      </c>
      <c r="C290" s="433" t="s">
        <v>1178</v>
      </c>
      <c r="D290" s="433" t="s">
        <v>1413</v>
      </c>
      <c r="E290" s="434">
        <f t="shared" ref="E290:I290" si="152">IFERROR(AVERAGE(L290:L293),"")</f>
        <v>11.6875</v>
      </c>
      <c r="F290" s="434">
        <f t="shared" si="152"/>
        <v>0.2375</v>
      </c>
      <c r="G290" s="435">
        <f t="shared" si="152"/>
        <v>0.5755</v>
      </c>
      <c r="H290" s="435">
        <f t="shared" si="152"/>
        <v>0.5955</v>
      </c>
      <c r="I290" s="436">
        <f t="shared" si="152"/>
        <v>2.7925</v>
      </c>
      <c r="J290" s="437">
        <f>SUMIFS(PRODUCTION[KG],PRODUCTION[GRADE],"3X50",PRODUCTION[DATE],B290,PRODUCTION[BATCH],C290,PRODUCTION[SHIFT],D290)</f>
        <v>27300</v>
      </c>
      <c r="K290" s="438" t="s">
        <v>1414</v>
      </c>
      <c r="L290" s="439">
        <v>10.67</v>
      </c>
      <c r="M290" s="488">
        <v>0.28</v>
      </c>
      <c r="N290" s="489">
        <v>0.575</v>
      </c>
      <c r="O290" s="489">
        <v>0.595</v>
      </c>
      <c r="P290" s="490">
        <v>3.86</v>
      </c>
      <c r="Q290" s="439">
        <v>1.1</v>
      </c>
      <c r="R290" s="488">
        <v>36.9</v>
      </c>
      <c r="S290" s="488">
        <v>22.2</v>
      </c>
      <c r="T290" s="488">
        <v>17.7</v>
      </c>
      <c r="U290" s="488">
        <v>12.1</v>
      </c>
      <c r="V290" s="488">
        <v>8.9</v>
      </c>
      <c r="W290" s="488">
        <v>1.0</v>
      </c>
      <c r="X290" s="488">
        <v>0.1</v>
      </c>
      <c r="Y290" s="444">
        <f t="shared" si="17"/>
        <v>98.9</v>
      </c>
      <c r="Z290" s="445"/>
      <c r="AA290" s="446">
        <f t="shared" ref="AA290:AE290" si="153">$J290*E290</f>
        <v>319068.75</v>
      </c>
      <c r="AB290" s="447">
        <f t="shared" si="153"/>
        <v>6483.75</v>
      </c>
      <c r="AC290" s="447">
        <f t="shared" si="153"/>
        <v>15711.15</v>
      </c>
      <c r="AD290" s="447">
        <f t="shared" si="153"/>
        <v>16257.15</v>
      </c>
      <c r="AE290" s="448">
        <f t="shared" si="153"/>
        <v>76235.25</v>
      </c>
      <c r="AF290" s="449"/>
      <c r="AG290" s="449"/>
      <c r="AH290" s="449"/>
    </row>
    <row r="291" ht="11.25" customHeight="1">
      <c r="A291" s="450"/>
      <c r="B291" s="451"/>
      <c r="C291" s="452"/>
      <c r="D291" s="452"/>
      <c r="E291" s="453"/>
      <c r="F291" s="453"/>
      <c r="G291" s="454"/>
      <c r="H291" s="454"/>
      <c r="I291" s="455"/>
      <c r="J291" s="456"/>
      <c r="K291" s="457" t="s">
        <v>1416</v>
      </c>
      <c r="L291" s="458">
        <v>12.34</v>
      </c>
      <c r="M291" s="459">
        <v>0.22</v>
      </c>
      <c r="N291" s="460">
        <v>0.575</v>
      </c>
      <c r="O291" s="460">
        <v>0.595</v>
      </c>
      <c r="P291" s="461">
        <v>2.63</v>
      </c>
      <c r="Q291" s="458">
        <v>1.2</v>
      </c>
      <c r="R291" s="459">
        <v>38.6</v>
      </c>
      <c r="S291" s="459">
        <v>25.7</v>
      </c>
      <c r="T291" s="459">
        <v>16.1</v>
      </c>
      <c r="U291" s="459">
        <v>10.1</v>
      </c>
      <c r="V291" s="459">
        <v>6.7</v>
      </c>
      <c r="W291" s="459">
        <v>0.9</v>
      </c>
      <c r="X291" s="459">
        <v>0.7</v>
      </c>
      <c r="Y291" s="462">
        <f t="shared" si="17"/>
        <v>98.8</v>
      </c>
      <c r="Z291" s="463"/>
      <c r="AA291" s="464"/>
      <c r="AB291" s="465"/>
      <c r="AC291" s="465"/>
      <c r="AD291" s="465"/>
      <c r="AE291" s="466"/>
      <c r="AF291" s="449"/>
      <c r="AG291" s="449"/>
      <c r="AH291" s="449"/>
    </row>
    <row r="292" ht="11.25" customHeight="1">
      <c r="A292" s="450"/>
      <c r="B292" s="451"/>
      <c r="C292" s="452"/>
      <c r="D292" s="452"/>
      <c r="E292" s="453"/>
      <c r="F292" s="453"/>
      <c r="G292" s="454"/>
      <c r="H292" s="454"/>
      <c r="I292" s="455"/>
      <c r="J292" s="456"/>
      <c r="K292" s="467" t="s">
        <v>1417</v>
      </c>
      <c r="L292" s="468">
        <v>11.8</v>
      </c>
      <c r="M292" s="469">
        <v>0.25</v>
      </c>
      <c r="N292" s="470">
        <v>0.578</v>
      </c>
      <c r="O292" s="470">
        <v>0.598</v>
      </c>
      <c r="P292" s="471">
        <v>2.42</v>
      </c>
      <c r="Q292" s="468">
        <v>0.9</v>
      </c>
      <c r="R292" s="469">
        <v>39.0</v>
      </c>
      <c r="S292" s="469">
        <v>26.1</v>
      </c>
      <c r="T292" s="469">
        <v>17.2</v>
      </c>
      <c r="U292" s="469">
        <v>9.8</v>
      </c>
      <c r="V292" s="469">
        <v>6.4</v>
      </c>
      <c r="W292" s="469">
        <v>0.5</v>
      </c>
      <c r="X292" s="469">
        <v>0.1</v>
      </c>
      <c r="Y292" s="462">
        <f t="shared" si="17"/>
        <v>99.1</v>
      </c>
      <c r="Z292" s="463"/>
      <c r="AA292" s="464"/>
      <c r="AB292" s="465"/>
      <c r="AC292" s="465"/>
      <c r="AD292" s="465"/>
      <c r="AE292" s="466"/>
      <c r="AF292" s="449"/>
      <c r="AG292" s="449"/>
      <c r="AH292" s="449"/>
    </row>
    <row r="293" ht="11.25" customHeight="1">
      <c r="A293" s="450"/>
      <c r="B293" s="472"/>
      <c r="C293" s="473"/>
      <c r="D293" s="473"/>
      <c r="E293" s="474"/>
      <c r="F293" s="474"/>
      <c r="G293" s="475"/>
      <c r="H293" s="475"/>
      <c r="I293" s="476"/>
      <c r="J293" s="477"/>
      <c r="K293" s="478" t="s">
        <v>1418</v>
      </c>
      <c r="L293" s="479">
        <v>11.94</v>
      </c>
      <c r="M293" s="480">
        <v>0.2</v>
      </c>
      <c r="N293" s="481">
        <v>0.574</v>
      </c>
      <c r="O293" s="481">
        <v>0.594</v>
      </c>
      <c r="P293" s="482">
        <v>2.26</v>
      </c>
      <c r="Q293" s="479">
        <v>1.1</v>
      </c>
      <c r="R293" s="480">
        <v>36.1</v>
      </c>
      <c r="S293" s="480">
        <v>26.0</v>
      </c>
      <c r="T293" s="480">
        <v>16.8</v>
      </c>
      <c r="U293" s="480">
        <v>10.9</v>
      </c>
      <c r="V293" s="480">
        <v>8.2</v>
      </c>
      <c r="W293" s="480">
        <v>0.8</v>
      </c>
      <c r="X293" s="480">
        <v>0.1</v>
      </c>
      <c r="Y293" s="483">
        <f t="shared" si="17"/>
        <v>98.9</v>
      </c>
      <c r="Z293" s="484"/>
      <c r="AA293" s="485"/>
      <c r="AB293" s="486"/>
      <c r="AC293" s="486"/>
      <c r="AD293" s="486"/>
      <c r="AE293" s="487"/>
      <c r="AF293" s="449"/>
      <c r="AG293" s="449"/>
      <c r="AH293" s="449"/>
    </row>
    <row r="294" ht="11.25" customHeight="1">
      <c r="A294" s="431">
        <f>IF(B294="","", YEAR(B294))</f>
        <v>2026</v>
      </c>
      <c r="B294" s="432">
        <v>46104.0</v>
      </c>
      <c r="C294" s="433" t="s">
        <v>1178</v>
      </c>
      <c r="D294" s="433" t="s">
        <v>1422</v>
      </c>
      <c r="E294" s="434">
        <f t="shared" ref="E294:I294" si="154">IFERROR(AVERAGE(L294:L297),"")</f>
        <v>11.67</v>
      </c>
      <c r="F294" s="434">
        <f t="shared" si="154"/>
        <v>0.295</v>
      </c>
      <c r="G294" s="435">
        <f t="shared" si="154"/>
        <v>0.5765</v>
      </c>
      <c r="H294" s="435">
        <f t="shared" si="154"/>
        <v>0.5965</v>
      </c>
      <c r="I294" s="436">
        <f t="shared" si="154"/>
        <v>2.605</v>
      </c>
      <c r="J294" s="437">
        <f>SUMIFS(PRODUCTION[KG],PRODUCTION[GRADE],"3X50",PRODUCTION[DATE],B294,PRODUCTION[BATCH],C294,PRODUCTION[SHIFT],D294)</f>
        <v>26728</v>
      </c>
      <c r="K294" s="438" t="s">
        <v>1414</v>
      </c>
      <c r="L294" s="439">
        <v>11.74</v>
      </c>
      <c r="M294" s="488">
        <v>0.31</v>
      </c>
      <c r="N294" s="489">
        <v>0.577</v>
      </c>
      <c r="O294" s="489">
        <v>0.597</v>
      </c>
      <c r="P294" s="490">
        <v>2.54</v>
      </c>
      <c r="Q294" s="439">
        <v>1.5</v>
      </c>
      <c r="R294" s="488">
        <v>42.0</v>
      </c>
      <c r="S294" s="488">
        <v>24.1</v>
      </c>
      <c r="T294" s="488">
        <v>16.1</v>
      </c>
      <c r="U294" s="488">
        <v>9.5</v>
      </c>
      <c r="V294" s="488">
        <v>6.0</v>
      </c>
      <c r="W294" s="488">
        <v>0.7</v>
      </c>
      <c r="X294" s="488">
        <v>0.1</v>
      </c>
      <c r="Y294" s="444">
        <f t="shared" si="17"/>
        <v>98.5</v>
      </c>
      <c r="Z294" s="445"/>
      <c r="AA294" s="446">
        <f t="shared" ref="AA294:AE294" si="155">$J294*E294</f>
        <v>311915.76</v>
      </c>
      <c r="AB294" s="447">
        <f t="shared" si="155"/>
        <v>7884.76</v>
      </c>
      <c r="AC294" s="447">
        <f t="shared" si="155"/>
        <v>15408.692</v>
      </c>
      <c r="AD294" s="447">
        <f t="shared" si="155"/>
        <v>15943.252</v>
      </c>
      <c r="AE294" s="448">
        <f t="shared" si="155"/>
        <v>69626.44</v>
      </c>
      <c r="AF294" s="449"/>
      <c r="AG294" s="449"/>
      <c r="AH294" s="449"/>
    </row>
    <row r="295" ht="11.25" customHeight="1">
      <c r="A295" s="450"/>
      <c r="B295" s="451"/>
      <c r="C295" s="452"/>
      <c r="D295" s="452"/>
      <c r="E295" s="453"/>
      <c r="F295" s="453"/>
      <c r="G295" s="454"/>
      <c r="H295" s="454"/>
      <c r="I295" s="455"/>
      <c r="J295" s="456"/>
      <c r="K295" s="457" t="s">
        <v>1416</v>
      </c>
      <c r="L295" s="458">
        <v>11.6</v>
      </c>
      <c r="M295" s="459">
        <v>0.28</v>
      </c>
      <c r="N295" s="460">
        <v>0.576</v>
      </c>
      <c r="O295" s="460">
        <v>0.596</v>
      </c>
      <c r="P295" s="461">
        <v>2.67</v>
      </c>
      <c r="Q295" s="458">
        <v>0.8</v>
      </c>
      <c r="R295" s="459">
        <v>40.8</v>
      </c>
      <c r="S295" s="459">
        <v>23.9</v>
      </c>
      <c r="T295" s="459">
        <v>15.8</v>
      </c>
      <c r="U295" s="459">
        <v>10.3</v>
      </c>
      <c r="V295" s="459">
        <v>7.6</v>
      </c>
      <c r="W295" s="459">
        <v>0.7</v>
      </c>
      <c r="X295" s="459">
        <v>0.1</v>
      </c>
      <c r="Y295" s="462">
        <f t="shared" si="17"/>
        <v>99.2</v>
      </c>
      <c r="Z295" s="463"/>
      <c r="AA295" s="464"/>
      <c r="AB295" s="465"/>
      <c r="AC295" s="465"/>
      <c r="AD295" s="465"/>
      <c r="AE295" s="466"/>
      <c r="AF295" s="449"/>
      <c r="AG295" s="449"/>
      <c r="AH295" s="449"/>
    </row>
    <row r="296" ht="11.25" customHeight="1">
      <c r="A296" s="450"/>
      <c r="B296" s="451"/>
      <c r="C296" s="452"/>
      <c r="D296" s="452"/>
      <c r="E296" s="453"/>
      <c r="F296" s="453"/>
      <c r="G296" s="454"/>
      <c r="H296" s="454"/>
      <c r="I296" s="455"/>
      <c r="J296" s="456"/>
      <c r="K296" s="467" t="s">
        <v>1417</v>
      </c>
      <c r="L296" s="468"/>
      <c r="M296" s="469"/>
      <c r="N296" s="470"/>
      <c r="O296" s="470"/>
      <c r="P296" s="471"/>
      <c r="Q296" s="468"/>
      <c r="R296" s="469"/>
      <c r="S296" s="469"/>
      <c r="T296" s="469"/>
      <c r="U296" s="469"/>
      <c r="V296" s="469"/>
      <c r="W296" s="469"/>
      <c r="X296" s="469"/>
      <c r="Y296" s="462">
        <f t="shared" si="17"/>
        <v>0</v>
      </c>
      <c r="Z296" s="463"/>
      <c r="AA296" s="464"/>
      <c r="AB296" s="465"/>
      <c r="AC296" s="465"/>
      <c r="AD296" s="465"/>
      <c r="AE296" s="466"/>
      <c r="AF296" s="449"/>
      <c r="AG296" s="449"/>
      <c r="AH296" s="449"/>
    </row>
    <row r="297" ht="11.25" customHeight="1">
      <c r="A297" s="450"/>
      <c r="B297" s="472"/>
      <c r="C297" s="473"/>
      <c r="D297" s="473"/>
      <c r="E297" s="474"/>
      <c r="F297" s="474"/>
      <c r="G297" s="475"/>
      <c r="H297" s="475"/>
      <c r="I297" s="476"/>
      <c r="J297" s="477"/>
      <c r="K297" s="478" t="s">
        <v>1418</v>
      </c>
      <c r="L297" s="479"/>
      <c r="M297" s="480"/>
      <c r="N297" s="481"/>
      <c r="O297" s="481"/>
      <c r="P297" s="482"/>
      <c r="Q297" s="479"/>
      <c r="R297" s="480"/>
      <c r="S297" s="480"/>
      <c r="T297" s="480"/>
      <c r="U297" s="480"/>
      <c r="V297" s="480"/>
      <c r="W297" s="480"/>
      <c r="X297" s="480"/>
      <c r="Y297" s="483">
        <f t="shared" si="17"/>
        <v>0</v>
      </c>
      <c r="Z297" s="484"/>
      <c r="AA297" s="485"/>
      <c r="AB297" s="486"/>
      <c r="AC297" s="486"/>
      <c r="AD297" s="486"/>
      <c r="AE297" s="487"/>
      <c r="AF297" s="449"/>
      <c r="AG297" s="449"/>
      <c r="AH297" s="449"/>
    </row>
    <row r="298" ht="11.25" customHeight="1">
      <c r="A298" s="431">
        <f>IF(B298="","", YEAR(B298))</f>
        <v>2026</v>
      </c>
      <c r="B298" s="432">
        <v>46105.0</v>
      </c>
      <c r="C298" s="433" t="s">
        <v>1178</v>
      </c>
      <c r="D298" s="433" t="s">
        <v>1413</v>
      </c>
      <c r="E298" s="434">
        <f t="shared" ref="E298:I298" si="156">IFERROR(AVERAGE(L298:L301),"")</f>
        <v>11.9875</v>
      </c>
      <c r="F298" s="434">
        <f t="shared" si="156"/>
        <v>0.2375</v>
      </c>
      <c r="G298" s="435">
        <f t="shared" si="156"/>
        <v>0.57775</v>
      </c>
      <c r="H298" s="435">
        <f t="shared" si="156"/>
        <v>0.59775</v>
      </c>
      <c r="I298" s="436">
        <f t="shared" si="156"/>
        <v>2.2525</v>
      </c>
      <c r="J298" s="437">
        <f>SUMIFS(PRODUCTION[KG],PRODUCTION[GRADE],"3X50",PRODUCTION[DATE],B298,PRODUCTION[BATCH],C298,PRODUCTION[SHIFT],D298)</f>
        <v>28470</v>
      </c>
      <c r="K298" s="438" t="s">
        <v>1414</v>
      </c>
      <c r="L298" s="439">
        <v>12.34</v>
      </c>
      <c r="M298" s="488">
        <v>0.23</v>
      </c>
      <c r="N298" s="489">
        <v>0.579</v>
      </c>
      <c r="O298" s="489">
        <v>0.599</v>
      </c>
      <c r="P298" s="490">
        <v>2.23</v>
      </c>
      <c r="Q298" s="439">
        <v>0.8</v>
      </c>
      <c r="R298" s="488">
        <v>38.3</v>
      </c>
      <c r="S298" s="488">
        <v>24.4</v>
      </c>
      <c r="T298" s="488">
        <v>16.1</v>
      </c>
      <c r="U298" s="488">
        <v>11.4</v>
      </c>
      <c r="V298" s="488">
        <v>8.2</v>
      </c>
      <c r="W298" s="488">
        <v>0.7</v>
      </c>
      <c r="X298" s="488">
        <v>0.1</v>
      </c>
      <c r="Y298" s="444">
        <f t="shared" si="17"/>
        <v>99.2</v>
      </c>
      <c r="Z298" s="445"/>
      <c r="AA298" s="446">
        <f t="shared" ref="AA298:AE298" si="157">$J298*E298</f>
        <v>341284.125</v>
      </c>
      <c r="AB298" s="447">
        <f t="shared" si="157"/>
        <v>6761.625</v>
      </c>
      <c r="AC298" s="447">
        <f t="shared" si="157"/>
        <v>16448.5425</v>
      </c>
      <c r="AD298" s="447">
        <f t="shared" si="157"/>
        <v>17017.9425</v>
      </c>
      <c r="AE298" s="448">
        <f t="shared" si="157"/>
        <v>64128.675</v>
      </c>
      <c r="AF298" s="449"/>
      <c r="AG298" s="449"/>
      <c r="AH298" s="449"/>
    </row>
    <row r="299" ht="11.25" customHeight="1">
      <c r="A299" s="450"/>
      <c r="B299" s="451"/>
      <c r="C299" s="452"/>
      <c r="D299" s="452"/>
      <c r="E299" s="453"/>
      <c r="F299" s="453"/>
      <c r="G299" s="454"/>
      <c r="H299" s="454"/>
      <c r="I299" s="455"/>
      <c r="J299" s="456"/>
      <c r="K299" s="457" t="s">
        <v>1416</v>
      </c>
      <c r="L299" s="458">
        <v>12.27</v>
      </c>
      <c r="M299" s="459">
        <v>0.2</v>
      </c>
      <c r="N299" s="460">
        <v>0.578</v>
      </c>
      <c r="O299" s="460">
        <v>0.598</v>
      </c>
      <c r="P299" s="461">
        <v>3.14</v>
      </c>
      <c r="Q299" s="458">
        <v>0.4</v>
      </c>
      <c r="R299" s="459">
        <v>38.0</v>
      </c>
      <c r="S299" s="459">
        <v>28.9</v>
      </c>
      <c r="T299" s="459">
        <v>17.0</v>
      </c>
      <c r="U299" s="459">
        <v>9.3</v>
      </c>
      <c r="V299" s="459">
        <v>5.8</v>
      </c>
      <c r="W299" s="459">
        <v>0.5</v>
      </c>
      <c r="X299" s="459">
        <v>0.1</v>
      </c>
      <c r="Y299" s="462">
        <f t="shared" si="17"/>
        <v>99.6</v>
      </c>
      <c r="Z299" s="463"/>
      <c r="AA299" s="464"/>
      <c r="AB299" s="465"/>
      <c r="AC299" s="465"/>
      <c r="AD299" s="465"/>
      <c r="AE299" s="466"/>
      <c r="AF299" s="449"/>
      <c r="AG299" s="449"/>
      <c r="AH299" s="449"/>
    </row>
    <row r="300" ht="11.25" customHeight="1">
      <c r="A300" s="450"/>
      <c r="B300" s="451"/>
      <c r="C300" s="452"/>
      <c r="D300" s="452"/>
      <c r="E300" s="453"/>
      <c r="F300" s="453"/>
      <c r="G300" s="454"/>
      <c r="H300" s="454"/>
      <c r="I300" s="455"/>
      <c r="J300" s="456"/>
      <c r="K300" s="467" t="s">
        <v>1417</v>
      </c>
      <c r="L300" s="468">
        <v>10.94</v>
      </c>
      <c r="M300" s="469">
        <v>0.24</v>
      </c>
      <c r="N300" s="470">
        <v>0.579</v>
      </c>
      <c r="O300" s="470">
        <v>0.599</v>
      </c>
      <c r="P300" s="471">
        <v>1.93</v>
      </c>
      <c r="Q300" s="468">
        <v>0.6</v>
      </c>
      <c r="R300" s="469">
        <v>38.2</v>
      </c>
      <c r="S300" s="469">
        <v>26.6</v>
      </c>
      <c r="T300" s="469">
        <v>18.0</v>
      </c>
      <c r="U300" s="469">
        <v>9.9</v>
      </c>
      <c r="V300" s="469">
        <v>5.5</v>
      </c>
      <c r="W300" s="469">
        <v>0.4</v>
      </c>
      <c r="X300" s="469">
        <v>0.8</v>
      </c>
      <c r="Y300" s="462">
        <f t="shared" si="17"/>
        <v>99.4</v>
      </c>
      <c r="Z300" s="463"/>
      <c r="AA300" s="464"/>
      <c r="AB300" s="465"/>
      <c r="AC300" s="465"/>
      <c r="AD300" s="465"/>
      <c r="AE300" s="466"/>
      <c r="AF300" s="449"/>
      <c r="AG300" s="449"/>
      <c r="AH300" s="449"/>
    </row>
    <row r="301" ht="11.25" customHeight="1">
      <c r="A301" s="450"/>
      <c r="B301" s="472"/>
      <c r="C301" s="473"/>
      <c r="D301" s="473"/>
      <c r="E301" s="474"/>
      <c r="F301" s="474"/>
      <c r="G301" s="475"/>
      <c r="H301" s="475"/>
      <c r="I301" s="476"/>
      <c r="J301" s="477"/>
      <c r="K301" s="478" t="s">
        <v>1418</v>
      </c>
      <c r="L301" s="479">
        <v>12.4</v>
      </c>
      <c r="M301" s="480">
        <v>0.28</v>
      </c>
      <c r="N301" s="481">
        <v>0.575</v>
      </c>
      <c r="O301" s="481">
        <v>0.595</v>
      </c>
      <c r="P301" s="482">
        <v>1.71</v>
      </c>
      <c r="Q301" s="479">
        <v>0.4</v>
      </c>
      <c r="R301" s="480">
        <v>33.2</v>
      </c>
      <c r="S301" s="480">
        <v>25.8</v>
      </c>
      <c r="T301" s="480">
        <v>17.7</v>
      </c>
      <c r="U301" s="480">
        <v>11.8</v>
      </c>
      <c r="V301" s="480">
        <v>9.8</v>
      </c>
      <c r="W301" s="480">
        <v>1.2</v>
      </c>
      <c r="X301" s="480">
        <v>0.1</v>
      </c>
      <c r="Y301" s="483">
        <f t="shared" si="17"/>
        <v>99.6</v>
      </c>
      <c r="Z301" s="484"/>
      <c r="AA301" s="485"/>
      <c r="AB301" s="486"/>
      <c r="AC301" s="486"/>
      <c r="AD301" s="486"/>
      <c r="AE301" s="487"/>
      <c r="AF301" s="449"/>
      <c r="AG301" s="449"/>
      <c r="AH301" s="449"/>
    </row>
    <row r="302" ht="11.25" customHeight="1">
      <c r="A302" s="431">
        <f>IF(B302="","", YEAR(B302))</f>
        <v>2026</v>
      </c>
      <c r="B302" s="432">
        <v>46105.0</v>
      </c>
      <c r="C302" s="433" t="s">
        <v>1178</v>
      </c>
      <c r="D302" s="433" t="s">
        <v>1422</v>
      </c>
      <c r="E302" s="434">
        <f t="shared" ref="E302:I302" si="158">IFERROR(AVERAGE(L302:L305),"")</f>
        <v>12.2</v>
      </c>
      <c r="F302" s="434">
        <f t="shared" si="158"/>
        <v>0.205</v>
      </c>
      <c r="G302" s="435">
        <f t="shared" si="158"/>
        <v>0.5785</v>
      </c>
      <c r="H302" s="435">
        <f t="shared" si="158"/>
        <v>0.5985</v>
      </c>
      <c r="I302" s="436">
        <f t="shared" si="158"/>
        <v>2.42</v>
      </c>
      <c r="J302" s="437">
        <f>SUMIFS(PRODUCTION[KG],PRODUCTION[GRADE],"3X50",PRODUCTION[DATE],B302,PRODUCTION[BATCH],C302,PRODUCTION[SHIFT],D302)</f>
        <v>29250</v>
      </c>
      <c r="K302" s="438" t="s">
        <v>1414</v>
      </c>
      <c r="L302" s="439">
        <v>11.6</v>
      </c>
      <c r="M302" s="488">
        <v>0.19</v>
      </c>
      <c r="N302" s="489">
        <v>0.582</v>
      </c>
      <c r="O302" s="489">
        <v>0.602</v>
      </c>
      <c r="P302" s="490">
        <v>2.73</v>
      </c>
      <c r="Q302" s="439">
        <v>0.6</v>
      </c>
      <c r="R302" s="488">
        <v>35.7</v>
      </c>
      <c r="S302" s="488">
        <v>26.5</v>
      </c>
      <c r="T302" s="488">
        <v>18.0</v>
      </c>
      <c r="U302" s="488">
        <v>10.9</v>
      </c>
      <c r="V302" s="488">
        <v>7.5</v>
      </c>
      <c r="W302" s="488">
        <v>0.7</v>
      </c>
      <c r="X302" s="488">
        <v>0.1</v>
      </c>
      <c r="Y302" s="444">
        <f t="shared" si="17"/>
        <v>99.4</v>
      </c>
      <c r="Z302" s="445"/>
      <c r="AA302" s="446">
        <f t="shared" ref="AA302:AE302" si="159">$J302*E302</f>
        <v>356850</v>
      </c>
      <c r="AB302" s="447">
        <f t="shared" si="159"/>
        <v>5996.25</v>
      </c>
      <c r="AC302" s="447">
        <f t="shared" si="159"/>
        <v>16921.125</v>
      </c>
      <c r="AD302" s="447">
        <f t="shared" si="159"/>
        <v>17506.125</v>
      </c>
      <c r="AE302" s="448">
        <f t="shared" si="159"/>
        <v>70785</v>
      </c>
      <c r="AF302" s="449"/>
      <c r="AG302" s="449"/>
      <c r="AH302" s="449"/>
    </row>
    <row r="303" ht="11.25" customHeight="1">
      <c r="A303" s="450"/>
      <c r="B303" s="451"/>
      <c r="C303" s="452"/>
      <c r="D303" s="452"/>
      <c r="E303" s="453"/>
      <c r="F303" s="453"/>
      <c r="G303" s="454"/>
      <c r="H303" s="454"/>
      <c r="I303" s="455"/>
      <c r="J303" s="456"/>
      <c r="K303" s="457" t="s">
        <v>1416</v>
      </c>
      <c r="L303" s="458">
        <v>12.8</v>
      </c>
      <c r="M303" s="459">
        <v>0.22</v>
      </c>
      <c r="N303" s="460">
        <v>0.575</v>
      </c>
      <c r="O303" s="460">
        <v>0.595</v>
      </c>
      <c r="P303" s="461">
        <v>2.11</v>
      </c>
      <c r="Q303" s="458">
        <v>0.5</v>
      </c>
      <c r="R303" s="459">
        <v>37.8</v>
      </c>
      <c r="S303" s="459">
        <v>26.4</v>
      </c>
      <c r="T303" s="459">
        <v>15.8</v>
      </c>
      <c r="U303" s="459">
        <v>10.2</v>
      </c>
      <c r="V303" s="459">
        <v>8.4</v>
      </c>
      <c r="W303" s="459">
        <v>0.8</v>
      </c>
      <c r="X303" s="459">
        <v>0.1</v>
      </c>
      <c r="Y303" s="462">
        <f t="shared" si="17"/>
        <v>99.5</v>
      </c>
      <c r="Z303" s="463"/>
      <c r="AA303" s="464"/>
      <c r="AB303" s="465"/>
      <c r="AC303" s="465"/>
      <c r="AD303" s="465"/>
      <c r="AE303" s="466"/>
      <c r="AF303" s="449"/>
      <c r="AG303" s="449"/>
      <c r="AH303" s="449"/>
    </row>
    <row r="304" ht="11.25" customHeight="1">
      <c r="A304" s="450"/>
      <c r="B304" s="451"/>
      <c r="C304" s="452"/>
      <c r="D304" s="452"/>
      <c r="E304" s="453"/>
      <c r="F304" s="453"/>
      <c r="G304" s="454"/>
      <c r="H304" s="454"/>
      <c r="I304" s="455"/>
      <c r="J304" s="456"/>
      <c r="K304" s="467" t="s">
        <v>1417</v>
      </c>
      <c r="L304" s="468"/>
      <c r="M304" s="469"/>
      <c r="N304" s="470"/>
      <c r="O304" s="470"/>
      <c r="P304" s="471"/>
      <c r="Q304" s="468"/>
      <c r="R304" s="469"/>
      <c r="S304" s="469"/>
      <c r="T304" s="469"/>
      <c r="U304" s="469"/>
      <c r="V304" s="469"/>
      <c r="W304" s="469"/>
      <c r="X304" s="469"/>
      <c r="Y304" s="462">
        <f t="shared" si="17"/>
        <v>0</v>
      </c>
      <c r="Z304" s="463"/>
      <c r="AA304" s="464"/>
      <c r="AB304" s="465"/>
      <c r="AC304" s="465"/>
      <c r="AD304" s="465"/>
      <c r="AE304" s="466"/>
      <c r="AF304" s="449"/>
      <c r="AG304" s="449"/>
      <c r="AH304" s="449"/>
    </row>
    <row r="305" ht="11.25" customHeight="1">
      <c r="A305" s="450"/>
      <c r="B305" s="472"/>
      <c r="C305" s="473"/>
      <c r="D305" s="473"/>
      <c r="E305" s="474"/>
      <c r="F305" s="474"/>
      <c r="G305" s="475"/>
      <c r="H305" s="475"/>
      <c r="I305" s="476"/>
      <c r="J305" s="477"/>
      <c r="K305" s="478" t="s">
        <v>1418</v>
      </c>
      <c r="L305" s="479"/>
      <c r="M305" s="480"/>
      <c r="N305" s="481"/>
      <c r="O305" s="481"/>
      <c r="P305" s="482"/>
      <c r="Q305" s="479"/>
      <c r="R305" s="480"/>
      <c r="S305" s="480"/>
      <c r="T305" s="480"/>
      <c r="U305" s="480"/>
      <c r="V305" s="480"/>
      <c r="W305" s="480"/>
      <c r="X305" s="480"/>
      <c r="Y305" s="483">
        <f t="shared" si="17"/>
        <v>0</v>
      </c>
      <c r="Z305" s="484"/>
      <c r="AA305" s="485"/>
      <c r="AB305" s="486"/>
      <c r="AC305" s="486"/>
      <c r="AD305" s="486"/>
      <c r="AE305" s="487"/>
      <c r="AF305" s="449"/>
      <c r="AG305" s="449"/>
      <c r="AH305" s="449"/>
    </row>
    <row r="306" ht="11.25" customHeight="1">
      <c r="A306" s="431">
        <f>IF(B306="","", YEAR(B306))</f>
        <v>2026</v>
      </c>
      <c r="B306" s="432">
        <v>46106.0</v>
      </c>
      <c r="C306" s="433" t="s">
        <v>1178</v>
      </c>
      <c r="D306" s="433" t="s">
        <v>1413</v>
      </c>
      <c r="E306" s="434">
        <f t="shared" ref="E306:I306" si="160">IFERROR(AVERAGE(L306:L309),"")</f>
        <v>12.22</v>
      </c>
      <c r="F306" s="434">
        <f t="shared" si="160"/>
        <v>0.2325</v>
      </c>
      <c r="G306" s="435">
        <f t="shared" si="160"/>
        <v>0.575</v>
      </c>
      <c r="H306" s="435">
        <f t="shared" si="160"/>
        <v>0.595</v>
      </c>
      <c r="I306" s="436">
        <f t="shared" si="160"/>
        <v>1.8475</v>
      </c>
      <c r="J306" s="437">
        <f>SUMIFS(PRODUCTION[KG],PRODUCTION[GRADE],"3X50",PRODUCTION[DATE],B306,PRODUCTION[BATCH],C306,PRODUCTION[SHIFT],D306)</f>
        <v>29640</v>
      </c>
      <c r="K306" s="438" t="s">
        <v>1414</v>
      </c>
      <c r="L306" s="439">
        <v>12.47</v>
      </c>
      <c r="M306" s="488">
        <v>0.26</v>
      </c>
      <c r="N306" s="489">
        <v>0.576</v>
      </c>
      <c r="O306" s="489">
        <v>0.596</v>
      </c>
      <c r="P306" s="490">
        <v>1.84</v>
      </c>
      <c r="Q306" s="439">
        <v>1.0</v>
      </c>
      <c r="R306" s="488">
        <v>37.5</v>
      </c>
      <c r="S306" s="488">
        <v>27.1</v>
      </c>
      <c r="T306" s="488">
        <v>16.9</v>
      </c>
      <c r="U306" s="488">
        <v>10.4</v>
      </c>
      <c r="V306" s="488">
        <v>6.4</v>
      </c>
      <c r="W306" s="488">
        <v>0.6</v>
      </c>
      <c r="X306" s="488">
        <v>0.1</v>
      </c>
      <c r="Y306" s="444">
        <f t="shared" si="17"/>
        <v>99</v>
      </c>
      <c r="Z306" s="445"/>
      <c r="AA306" s="446">
        <f t="shared" ref="AA306:AE306" si="161">$J306*E306</f>
        <v>362200.8</v>
      </c>
      <c r="AB306" s="447">
        <f t="shared" si="161"/>
        <v>6891.3</v>
      </c>
      <c r="AC306" s="447">
        <f t="shared" si="161"/>
        <v>17043</v>
      </c>
      <c r="AD306" s="447">
        <f t="shared" si="161"/>
        <v>17635.8</v>
      </c>
      <c r="AE306" s="448">
        <f t="shared" si="161"/>
        <v>54759.9</v>
      </c>
      <c r="AF306" s="449"/>
      <c r="AG306" s="449"/>
      <c r="AH306" s="449"/>
    </row>
    <row r="307" ht="11.25" customHeight="1">
      <c r="A307" s="450"/>
      <c r="B307" s="451"/>
      <c r="C307" s="452"/>
      <c r="D307" s="452"/>
      <c r="E307" s="453"/>
      <c r="F307" s="453"/>
      <c r="G307" s="454"/>
      <c r="H307" s="454"/>
      <c r="I307" s="455"/>
      <c r="J307" s="456"/>
      <c r="K307" s="457" t="s">
        <v>1416</v>
      </c>
      <c r="L307" s="458">
        <v>12.0</v>
      </c>
      <c r="M307" s="459">
        <v>0.21</v>
      </c>
      <c r="N307" s="460">
        <v>0.574</v>
      </c>
      <c r="O307" s="460">
        <v>0.594</v>
      </c>
      <c r="P307" s="461">
        <v>1.76</v>
      </c>
      <c r="Q307" s="458">
        <v>0.5</v>
      </c>
      <c r="R307" s="459">
        <v>40.6</v>
      </c>
      <c r="S307" s="459">
        <v>24.3</v>
      </c>
      <c r="T307" s="459">
        <v>15.4</v>
      </c>
      <c r="U307" s="459">
        <v>10.1</v>
      </c>
      <c r="V307" s="459">
        <v>8.2</v>
      </c>
      <c r="W307" s="459">
        <v>0.8</v>
      </c>
      <c r="X307" s="459">
        <v>0.1</v>
      </c>
      <c r="Y307" s="462">
        <f t="shared" si="17"/>
        <v>99.5</v>
      </c>
      <c r="Z307" s="463"/>
      <c r="AA307" s="464"/>
      <c r="AB307" s="465"/>
      <c r="AC307" s="465"/>
      <c r="AD307" s="465"/>
      <c r="AE307" s="466"/>
      <c r="AF307" s="449"/>
      <c r="AG307" s="449"/>
      <c r="AH307" s="449"/>
    </row>
    <row r="308" ht="11.25" customHeight="1">
      <c r="A308" s="450"/>
      <c r="B308" s="451"/>
      <c r="C308" s="452"/>
      <c r="D308" s="452"/>
      <c r="E308" s="453"/>
      <c r="F308" s="453"/>
      <c r="G308" s="454"/>
      <c r="H308" s="454"/>
      <c r="I308" s="455"/>
      <c r="J308" s="456"/>
      <c r="K308" s="467" t="s">
        <v>1417</v>
      </c>
      <c r="L308" s="468">
        <v>12.27</v>
      </c>
      <c r="M308" s="469">
        <v>0.29</v>
      </c>
      <c r="N308" s="470">
        <v>0.578</v>
      </c>
      <c r="O308" s="470">
        <v>0.598</v>
      </c>
      <c r="P308" s="471">
        <v>1.97</v>
      </c>
      <c r="Q308" s="468">
        <v>0.1</v>
      </c>
      <c r="R308" s="469">
        <v>41.8</v>
      </c>
      <c r="S308" s="469">
        <v>28.4</v>
      </c>
      <c r="T308" s="469">
        <v>14.7</v>
      </c>
      <c r="U308" s="469">
        <v>8.6</v>
      </c>
      <c r="V308" s="469">
        <v>5.7</v>
      </c>
      <c r="W308" s="469">
        <v>0.6</v>
      </c>
      <c r="X308" s="469">
        <v>0.1</v>
      </c>
      <c r="Y308" s="462">
        <f t="shared" si="17"/>
        <v>99.9</v>
      </c>
      <c r="Z308" s="463"/>
      <c r="AA308" s="464"/>
      <c r="AB308" s="465"/>
      <c r="AC308" s="465"/>
      <c r="AD308" s="465"/>
      <c r="AE308" s="466"/>
      <c r="AF308" s="449"/>
      <c r="AG308" s="449"/>
      <c r="AH308" s="449"/>
    </row>
    <row r="309" ht="11.25" customHeight="1">
      <c r="A309" s="450"/>
      <c r="B309" s="472"/>
      <c r="C309" s="473"/>
      <c r="D309" s="473"/>
      <c r="E309" s="474"/>
      <c r="F309" s="474"/>
      <c r="G309" s="475"/>
      <c r="H309" s="475"/>
      <c r="I309" s="476"/>
      <c r="J309" s="477"/>
      <c r="K309" s="478" t="s">
        <v>1418</v>
      </c>
      <c r="L309" s="479">
        <v>12.14</v>
      </c>
      <c r="M309" s="480">
        <v>0.17</v>
      </c>
      <c r="N309" s="481">
        <v>0.572</v>
      </c>
      <c r="O309" s="481">
        <v>0.592</v>
      </c>
      <c r="P309" s="482">
        <v>1.82</v>
      </c>
      <c r="Q309" s="479">
        <v>1.0</v>
      </c>
      <c r="R309" s="480">
        <v>40.3</v>
      </c>
      <c r="S309" s="480">
        <v>28.5</v>
      </c>
      <c r="T309" s="480">
        <v>15.3</v>
      </c>
      <c r="U309" s="480">
        <v>8.8</v>
      </c>
      <c r="V309" s="480">
        <v>5.6</v>
      </c>
      <c r="W309" s="480">
        <v>0.4</v>
      </c>
      <c r="X309" s="480">
        <v>0.1</v>
      </c>
      <c r="Y309" s="483">
        <f t="shared" si="17"/>
        <v>99</v>
      </c>
      <c r="Z309" s="484"/>
      <c r="AA309" s="485"/>
      <c r="AB309" s="486"/>
      <c r="AC309" s="486"/>
      <c r="AD309" s="486"/>
      <c r="AE309" s="487"/>
      <c r="AF309" s="449"/>
      <c r="AG309" s="449"/>
      <c r="AH309" s="449"/>
    </row>
    <row r="310" ht="11.25" customHeight="1">
      <c r="A310" s="431">
        <f>IF(B310="","", YEAR(B310))</f>
        <v>2026</v>
      </c>
      <c r="B310" s="432">
        <v>46106.0</v>
      </c>
      <c r="C310" s="433" t="s">
        <v>1178</v>
      </c>
      <c r="D310" s="433" t="s">
        <v>1422</v>
      </c>
      <c r="E310" s="434">
        <f t="shared" ref="E310:I310" si="162">IFERROR(AVERAGE(L310:L313),"")</f>
        <v>12.47</v>
      </c>
      <c r="F310" s="434">
        <f t="shared" si="162"/>
        <v>0.295</v>
      </c>
      <c r="G310" s="435">
        <f t="shared" si="162"/>
        <v>0.5805</v>
      </c>
      <c r="H310" s="435">
        <f t="shared" si="162"/>
        <v>0.6005</v>
      </c>
      <c r="I310" s="436">
        <f t="shared" si="162"/>
        <v>3.145</v>
      </c>
      <c r="J310" s="437">
        <f>SUMIFS(PRODUCTION[KG],PRODUCTION[GRADE],"3X50",PRODUCTION[DATE],B310,PRODUCTION[BATCH],C310,PRODUCTION[SHIFT],D310)</f>
        <v>28730</v>
      </c>
      <c r="K310" s="438" t="s">
        <v>1414</v>
      </c>
      <c r="L310" s="439">
        <v>12.87</v>
      </c>
      <c r="M310" s="488">
        <v>0.27</v>
      </c>
      <c r="N310" s="489">
        <v>0.58</v>
      </c>
      <c r="O310" s="489">
        <v>0.6</v>
      </c>
      <c r="P310" s="490">
        <v>2.98</v>
      </c>
      <c r="Q310" s="439">
        <v>1.2</v>
      </c>
      <c r="R310" s="488">
        <v>38.1</v>
      </c>
      <c r="S310" s="488">
        <v>30.4</v>
      </c>
      <c r="T310" s="488">
        <v>15.7</v>
      </c>
      <c r="U310" s="488">
        <v>8.8</v>
      </c>
      <c r="V310" s="488">
        <v>5.3</v>
      </c>
      <c r="W310" s="488">
        <v>0.4</v>
      </c>
      <c r="X310" s="488">
        <v>0.1</v>
      </c>
      <c r="Y310" s="444">
        <f t="shared" si="17"/>
        <v>98.8</v>
      </c>
      <c r="Z310" s="445"/>
      <c r="AA310" s="446">
        <f t="shared" ref="AA310:AE310" si="163">$J310*E310</f>
        <v>358263.1</v>
      </c>
      <c r="AB310" s="447">
        <f t="shared" si="163"/>
        <v>8475.35</v>
      </c>
      <c r="AC310" s="447">
        <f t="shared" si="163"/>
        <v>16677.765</v>
      </c>
      <c r="AD310" s="447">
        <f t="shared" si="163"/>
        <v>17252.365</v>
      </c>
      <c r="AE310" s="448">
        <f t="shared" si="163"/>
        <v>90355.85</v>
      </c>
      <c r="AF310" s="449"/>
      <c r="AG310" s="449"/>
      <c r="AH310" s="449"/>
    </row>
    <row r="311" ht="11.25" customHeight="1">
      <c r="A311" s="450"/>
      <c r="B311" s="451"/>
      <c r="C311" s="452"/>
      <c r="D311" s="452"/>
      <c r="E311" s="453"/>
      <c r="F311" s="453"/>
      <c r="G311" s="454"/>
      <c r="H311" s="454"/>
      <c r="I311" s="455"/>
      <c r="J311" s="456"/>
      <c r="K311" s="457" t="s">
        <v>1416</v>
      </c>
      <c r="L311" s="458">
        <v>12.07</v>
      </c>
      <c r="M311" s="459">
        <v>0.32</v>
      </c>
      <c r="N311" s="460">
        <v>0.581</v>
      </c>
      <c r="O311" s="460">
        <v>0.601</v>
      </c>
      <c r="P311" s="461">
        <v>3.31</v>
      </c>
      <c r="Q311" s="458">
        <v>1.0</v>
      </c>
      <c r="R311" s="459">
        <v>40.1</v>
      </c>
      <c r="S311" s="459">
        <v>28.8</v>
      </c>
      <c r="T311" s="459">
        <v>15.3</v>
      </c>
      <c r="U311" s="459">
        <v>8.6</v>
      </c>
      <c r="V311" s="459">
        <v>5.7</v>
      </c>
      <c r="W311" s="459">
        <v>0.4</v>
      </c>
      <c r="X311" s="459">
        <v>0.1</v>
      </c>
      <c r="Y311" s="462">
        <f t="shared" si="17"/>
        <v>99</v>
      </c>
      <c r="Z311" s="463"/>
      <c r="AA311" s="464"/>
      <c r="AB311" s="465"/>
      <c r="AC311" s="465"/>
      <c r="AD311" s="465"/>
      <c r="AE311" s="466"/>
      <c r="AF311" s="449"/>
      <c r="AG311" s="449"/>
      <c r="AH311" s="449"/>
    </row>
    <row r="312" ht="11.25" customHeight="1">
      <c r="A312" s="450"/>
      <c r="B312" s="451"/>
      <c r="C312" s="452"/>
      <c r="D312" s="452"/>
      <c r="E312" s="453"/>
      <c r="F312" s="453"/>
      <c r="G312" s="454"/>
      <c r="H312" s="454"/>
      <c r="I312" s="455"/>
      <c r="J312" s="456"/>
      <c r="K312" s="467" t="s">
        <v>1417</v>
      </c>
      <c r="L312" s="468"/>
      <c r="M312" s="469"/>
      <c r="N312" s="470"/>
      <c r="O312" s="470"/>
      <c r="P312" s="471"/>
      <c r="Q312" s="468"/>
      <c r="R312" s="469"/>
      <c r="S312" s="469"/>
      <c r="T312" s="469"/>
      <c r="U312" s="469"/>
      <c r="V312" s="469"/>
      <c r="W312" s="469"/>
      <c r="X312" s="469"/>
      <c r="Y312" s="462">
        <f t="shared" si="17"/>
        <v>0</v>
      </c>
      <c r="Z312" s="463"/>
      <c r="AA312" s="464"/>
      <c r="AB312" s="465"/>
      <c r="AC312" s="465"/>
      <c r="AD312" s="465"/>
      <c r="AE312" s="466"/>
      <c r="AF312" s="449"/>
      <c r="AG312" s="449"/>
      <c r="AH312" s="449"/>
    </row>
    <row r="313" ht="11.25" customHeight="1">
      <c r="A313" s="450"/>
      <c r="B313" s="472"/>
      <c r="C313" s="473"/>
      <c r="D313" s="473"/>
      <c r="E313" s="474"/>
      <c r="F313" s="474"/>
      <c r="G313" s="475"/>
      <c r="H313" s="475"/>
      <c r="I313" s="476"/>
      <c r="J313" s="477"/>
      <c r="K313" s="478" t="s">
        <v>1418</v>
      </c>
      <c r="L313" s="479"/>
      <c r="M313" s="480"/>
      <c r="N313" s="481"/>
      <c r="O313" s="481"/>
      <c r="P313" s="482"/>
      <c r="Q313" s="479"/>
      <c r="R313" s="480"/>
      <c r="S313" s="480"/>
      <c r="T313" s="480"/>
      <c r="U313" s="480"/>
      <c r="V313" s="480"/>
      <c r="W313" s="480"/>
      <c r="X313" s="480"/>
      <c r="Y313" s="483">
        <f t="shared" si="17"/>
        <v>0</v>
      </c>
      <c r="Z313" s="484"/>
      <c r="AA313" s="485"/>
      <c r="AB313" s="486"/>
      <c r="AC313" s="486"/>
      <c r="AD313" s="486"/>
      <c r="AE313" s="487"/>
      <c r="AF313" s="449"/>
      <c r="AG313" s="449"/>
      <c r="AH313" s="449"/>
    </row>
    <row r="314" ht="11.25" customHeight="1">
      <c r="A314" s="431">
        <f>IF(B314="","", YEAR(B314))</f>
        <v>2026</v>
      </c>
      <c r="B314" s="432">
        <v>46107.0</v>
      </c>
      <c r="C314" s="433" t="s">
        <v>1178</v>
      </c>
      <c r="D314" s="433" t="s">
        <v>1413</v>
      </c>
      <c r="E314" s="434">
        <f t="shared" ref="E314:I314" si="164">IFERROR(AVERAGE(L314:L317),"")</f>
        <v>12.655</v>
      </c>
      <c r="F314" s="434">
        <f t="shared" si="164"/>
        <v>0.22</v>
      </c>
      <c r="G314" s="435">
        <f t="shared" si="164"/>
        <v>0.57725</v>
      </c>
      <c r="H314" s="435">
        <f t="shared" si="164"/>
        <v>0.59725</v>
      </c>
      <c r="I314" s="436">
        <f t="shared" si="164"/>
        <v>2.395</v>
      </c>
      <c r="J314" s="437">
        <f>SUMIFS(PRODUCTION[KG],PRODUCTION[GRADE],"3X50",PRODUCTION[DATE],B314,PRODUCTION[BATCH],C314,PRODUCTION[SHIFT],D314)</f>
        <v>25896</v>
      </c>
      <c r="K314" s="438" t="s">
        <v>1414</v>
      </c>
      <c r="L314" s="439">
        <v>12.74</v>
      </c>
      <c r="M314" s="488">
        <v>0.28</v>
      </c>
      <c r="N314" s="489">
        <v>0.575</v>
      </c>
      <c r="O314" s="489">
        <v>0.595</v>
      </c>
      <c r="P314" s="490">
        <v>2.13</v>
      </c>
      <c r="Q314" s="439">
        <v>0.7</v>
      </c>
      <c r="R314" s="488">
        <v>38.0</v>
      </c>
      <c r="S314" s="488">
        <v>26.6</v>
      </c>
      <c r="T314" s="488">
        <v>15.3</v>
      </c>
      <c r="U314" s="488">
        <v>10.5</v>
      </c>
      <c r="V314" s="488">
        <v>8.0</v>
      </c>
      <c r="W314" s="488">
        <v>0.8</v>
      </c>
      <c r="X314" s="488">
        <v>0.1</v>
      </c>
      <c r="Y314" s="444">
        <f t="shared" si="17"/>
        <v>99.3</v>
      </c>
      <c r="Z314" s="445"/>
      <c r="AA314" s="446">
        <f t="shared" ref="AA314:AE314" si="165">$J314*E314</f>
        <v>327713.88</v>
      </c>
      <c r="AB314" s="447">
        <f t="shared" si="165"/>
        <v>5697.12</v>
      </c>
      <c r="AC314" s="447">
        <f t="shared" si="165"/>
        <v>14948.466</v>
      </c>
      <c r="AD314" s="447">
        <f t="shared" si="165"/>
        <v>15466.386</v>
      </c>
      <c r="AE314" s="448">
        <f t="shared" si="165"/>
        <v>62020.92</v>
      </c>
      <c r="AF314" s="449"/>
      <c r="AG314" s="449"/>
      <c r="AH314" s="449"/>
    </row>
    <row r="315" ht="11.25" customHeight="1">
      <c r="A315" s="450"/>
      <c r="B315" s="451"/>
      <c r="C315" s="452"/>
      <c r="D315" s="452"/>
      <c r="E315" s="453"/>
      <c r="F315" s="453"/>
      <c r="G315" s="454"/>
      <c r="H315" s="454"/>
      <c r="I315" s="455"/>
      <c r="J315" s="456"/>
      <c r="K315" s="457" t="s">
        <v>1416</v>
      </c>
      <c r="L315" s="458">
        <v>12.94</v>
      </c>
      <c r="M315" s="459">
        <v>0.17</v>
      </c>
      <c r="N315" s="460">
        <v>0.573</v>
      </c>
      <c r="O315" s="460">
        <v>0.593</v>
      </c>
      <c r="P315" s="461">
        <v>2.09</v>
      </c>
      <c r="Q315" s="458">
        <v>0.4</v>
      </c>
      <c r="R315" s="459">
        <v>42.7</v>
      </c>
      <c r="S315" s="459">
        <v>28.1</v>
      </c>
      <c r="T315" s="459">
        <v>14.4</v>
      </c>
      <c r="U315" s="459">
        <v>8.2</v>
      </c>
      <c r="V315" s="459">
        <v>5.7</v>
      </c>
      <c r="W315" s="459">
        <v>0.4</v>
      </c>
      <c r="X315" s="459">
        <v>0.1</v>
      </c>
      <c r="Y315" s="462">
        <f t="shared" si="17"/>
        <v>99.6</v>
      </c>
      <c r="Z315" s="463"/>
      <c r="AA315" s="464"/>
      <c r="AB315" s="465"/>
      <c r="AC315" s="465"/>
      <c r="AD315" s="465"/>
      <c r="AE315" s="466"/>
      <c r="AF315" s="449"/>
      <c r="AG315" s="449"/>
      <c r="AH315" s="449"/>
    </row>
    <row r="316" ht="11.25" customHeight="1">
      <c r="A316" s="450"/>
      <c r="B316" s="451"/>
      <c r="C316" s="452"/>
      <c r="D316" s="452"/>
      <c r="E316" s="453"/>
      <c r="F316" s="453"/>
      <c r="G316" s="454"/>
      <c r="H316" s="454"/>
      <c r="I316" s="455"/>
      <c r="J316" s="456"/>
      <c r="K316" s="467" t="s">
        <v>1417</v>
      </c>
      <c r="L316" s="468">
        <v>12.74</v>
      </c>
      <c r="M316" s="469">
        <v>0.23</v>
      </c>
      <c r="N316" s="470">
        <v>0.579</v>
      </c>
      <c r="O316" s="470">
        <v>0.599</v>
      </c>
      <c r="P316" s="471">
        <v>2.48</v>
      </c>
      <c r="Q316" s="468">
        <v>1.0</v>
      </c>
      <c r="R316" s="469">
        <v>41.9</v>
      </c>
      <c r="S316" s="469">
        <v>27.8</v>
      </c>
      <c r="T316" s="469">
        <v>15.3</v>
      </c>
      <c r="U316" s="469">
        <v>8.1</v>
      </c>
      <c r="V316" s="469">
        <v>5.4</v>
      </c>
      <c r="W316" s="469">
        <v>0.4</v>
      </c>
      <c r="X316" s="469">
        <v>0.1</v>
      </c>
      <c r="Y316" s="462">
        <f t="shared" si="17"/>
        <v>99</v>
      </c>
      <c r="Z316" s="463"/>
      <c r="AA316" s="464"/>
      <c r="AB316" s="465"/>
      <c r="AC316" s="465"/>
      <c r="AD316" s="465"/>
      <c r="AE316" s="466"/>
      <c r="AF316" s="449"/>
      <c r="AG316" s="449"/>
      <c r="AH316" s="449"/>
    </row>
    <row r="317" ht="11.25" customHeight="1">
      <c r="A317" s="450"/>
      <c r="B317" s="472"/>
      <c r="C317" s="473"/>
      <c r="D317" s="473"/>
      <c r="E317" s="474"/>
      <c r="F317" s="474"/>
      <c r="G317" s="475"/>
      <c r="H317" s="475"/>
      <c r="I317" s="476"/>
      <c r="J317" s="477"/>
      <c r="K317" s="478" t="s">
        <v>1418</v>
      </c>
      <c r="L317" s="479">
        <v>12.2</v>
      </c>
      <c r="M317" s="480">
        <v>0.2</v>
      </c>
      <c r="N317" s="481">
        <v>0.582</v>
      </c>
      <c r="O317" s="481">
        <v>0.602</v>
      </c>
      <c r="P317" s="482">
        <v>2.88</v>
      </c>
      <c r="Q317" s="479">
        <v>1.1</v>
      </c>
      <c r="R317" s="480">
        <v>32.2</v>
      </c>
      <c r="S317" s="480">
        <v>27.4</v>
      </c>
      <c r="T317" s="480">
        <v>17.8</v>
      </c>
      <c r="U317" s="480">
        <v>11.2</v>
      </c>
      <c r="V317" s="480">
        <v>9.0</v>
      </c>
      <c r="W317" s="480">
        <v>1.2</v>
      </c>
      <c r="X317" s="480">
        <v>0.1</v>
      </c>
      <c r="Y317" s="483">
        <f t="shared" si="17"/>
        <v>98.9</v>
      </c>
      <c r="Z317" s="484"/>
      <c r="AA317" s="485"/>
      <c r="AB317" s="486"/>
      <c r="AC317" s="486"/>
      <c r="AD317" s="486"/>
      <c r="AE317" s="487"/>
      <c r="AF317" s="449"/>
      <c r="AG317" s="449"/>
      <c r="AH317" s="449"/>
    </row>
    <row r="318" ht="11.25" customHeight="1">
      <c r="A318" s="431">
        <f>IF(B318="","", YEAR(B318))</f>
        <v>2026</v>
      </c>
      <c r="B318" s="432">
        <v>46107.0</v>
      </c>
      <c r="C318" s="433" t="s">
        <v>1178</v>
      </c>
      <c r="D318" s="433" t="s">
        <v>1422</v>
      </c>
      <c r="E318" s="434">
        <f t="shared" ref="E318:I318" si="166">IFERROR(AVERAGE(L318:L321),"")</f>
        <v>12.635</v>
      </c>
      <c r="F318" s="434">
        <f t="shared" si="166"/>
        <v>0.225</v>
      </c>
      <c r="G318" s="435">
        <f t="shared" si="166"/>
        <v>0.578</v>
      </c>
      <c r="H318" s="435">
        <f t="shared" si="166"/>
        <v>0.598</v>
      </c>
      <c r="I318" s="436">
        <f t="shared" si="166"/>
        <v>3.18</v>
      </c>
      <c r="J318" s="437">
        <f>SUMIFS(PRODUCTION[KG],PRODUCTION[GRADE],"3X50",PRODUCTION[DATE],B318,PRODUCTION[BATCH],C318,PRODUCTION[SHIFT],D318)</f>
        <v>28860</v>
      </c>
      <c r="K318" s="438" t="s">
        <v>1414</v>
      </c>
      <c r="L318" s="439">
        <v>12.87</v>
      </c>
      <c r="M318" s="488">
        <v>0.19</v>
      </c>
      <c r="N318" s="489">
        <v>0.58</v>
      </c>
      <c r="O318" s="489">
        <v>0.6</v>
      </c>
      <c r="P318" s="490">
        <v>3.38</v>
      </c>
      <c r="Q318" s="439">
        <v>0.6</v>
      </c>
      <c r="R318" s="488">
        <v>32.2</v>
      </c>
      <c r="S318" s="488">
        <v>27.8</v>
      </c>
      <c r="T318" s="488">
        <v>16.7</v>
      </c>
      <c r="U318" s="488">
        <v>10.6</v>
      </c>
      <c r="V318" s="488">
        <v>8.9</v>
      </c>
      <c r="W318" s="488">
        <v>1.2</v>
      </c>
      <c r="X318" s="488">
        <v>2.0</v>
      </c>
      <c r="Y318" s="444">
        <f t="shared" si="17"/>
        <v>99.4</v>
      </c>
      <c r="Z318" s="445"/>
      <c r="AA318" s="446">
        <f t="shared" ref="AA318:AE318" si="167">$J318*E318</f>
        <v>364646.1</v>
      </c>
      <c r="AB318" s="447">
        <f t="shared" si="167"/>
        <v>6493.5</v>
      </c>
      <c r="AC318" s="447">
        <f t="shared" si="167"/>
        <v>16681.08</v>
      </c>
      <c r="AD318" s="447">
        <f t="shared" si="167"/>
        <v>17258.28</v>
      </c>
      <c r="AE318" s="448">
        <f t="shared" si="167"/>
        <v>91774.8</v>
      </c>
      <c r="AF318" s="449"/>
      <c r="AG318" s="449"/>
      <c r="AH318" s="449"/>
    </row>
    <row r="319" ht="11.25" customHeight="1">
      <c r="A319" s="450"/>
      <c r="B319" s="451"/>
      <c r="C319" s="452"/>
      <c r="D319" s="452"/>
      <c r="E319" s="453"/>
      <c r="F319" s="453"/>
      <c r="G319" s="454"/>
      <c r="H319" s="454"/>
      <c r="I319" s="455"/>
      <c r="J319" s="456"/>
      <c r="K319" s="457" t="s">
        <v>1416</v>
      </c>
      <c r="L319" s="458">
        <v>12.4</v>
      </c>
      <c r="M319" s="459">
        <v>0.26</v>
      </c>
      <c r="N319" s="460">
        <v>0.576</v>
      </c>
      <c r="O319" s="460">
        <v>0.596</v>
      </c>
      <c r="P319" s="461">
        <v>2.98</v>
      </c>
      <c r="Q319" s="458">
        <v>1.2</v>
      </c>
      <c r="R319" s="459">
        <v>41.7</v>
      </c>
      <c r="S319" s="459">
        <v>27.2</v>
      </c>
      <c r="T319" s="459">
        <v>15.4</v>
      </c>
      <c r="U319" s="459">
        <v>8.3</v>
      </c>
      <c r="V319" s="459">
        <v>5.5</v>
      </c>
      <c r="W319" s="459">
        <v>0.6</v>
      </c>
      <c r="X319" s="459">
        <v>0.1</v>
      </c>
      <c r="Y319" s="462">
        <f t="shared" si="17"/>
        <v>98.8</v>
      </c>
      <c r="Z319" s="463"/>
      <c r="AA319" s="464"/>
      <c r="AB319" s="465"/>
      <c r="AC319" s="465"/>
      <c r="AD319" s="465"/>
      <c r="AE319" s="466"/>
      <c r="AF319" s="449"/>
      <c r="AG319" s="449"/>
      <c r="AH319" s="449"/>
    </row>
    <row r="320" ht="11.25" customHeight="1">
      <c r="A320" s="450"/>
      <c r="B320" s="451"/>
      <c r="C320" s="452"/>
      <c r="D320" s="452"/>
      <c r="E320" s="453"/>
      <c r="F320" s="453"/>
      <c r="G320" s="454"/>
      <c r="H320" s="454"/>
      <c r="I320" s="455"/>
      <c r="J320" s="456"/>
      <c r="K320" s="467" t="s">
        <v>1417</v>
      </c>
      <c r="L320" s="468"/>
      <c r="M320" s="469"/>
      <c r="N320" s="470"/>
      <c r="O320" s="470"/>
      <c r="P320" s="471"/>
      <c r="Q320" s="468"/>
      <c r="R320" s="469"/>
      <c r="S320" s="469"/>
      <c r="T320" s="469"/>
      <c r="U320" s="469"/>
      <c r="V320" s="469"/>
      <c r="W320" s="469"/>
      <c r="X320" s="469"/>
      <c r="Y320" s="462">
        <f t="shared" si="17"/>
        <v>0</v>
      </c>
      <c r="Z320" s="463"/>
      <c r="AA320" s="464"/>
      <c r="AB320" s="465"/>
      <c r="AC320" s="465"/>
      <c r="AD320" s="465"/>
      <c r="AE320" s="466"/>
      <c r="AF320" s="449"/>
      <c r="AG320" s="449"/>
      <c r="AH320" s="449"/>
    </row>
    <row r="321" ht="11.25" customHeight="1">
      <c r="A321" s="450"/>
      <c r="B321" s="472"/>
      <c r="C321" s="473"/>
      <c r="D321" s="473"/>
      <c r="E321" s="474"/>
      <c r="F321" s="474"/>
      <c r="G321" s="475"/>
      <c r="H321" s="475"/>
      <c r="I321" s="476"/>
      <c r="J321" s="477"/>
      <c r="K321" s="478" t="s">
        <v>1418</v>
      </c>
      <c r="L321" s="479"/>
      <c r="M321" s="480"/>
      <c r="N321" s="481"/>
      <c r="O321" s="481"/>
      <c r="P321" s="482"/>
      <c r="Q321" s="479"/>
      <c r="R321" s="480"/>
      <c r="S321" s="480"/>
      <c r="T321" s="480"/>
      <c r="U321" s="480"/>
      <c r="V321" s="480"/>
      <c r="W321" s="480"/>
      <c r="X321" s="480"/>
      <c r="Y321" s="483">
        <f t="shared" si="17"/>
        <v>0</v>
      </c>
      <c r="Z321" s="484"/>
      <c r="AA321" s="485"/>
      <c r="AB321" s="486"/>
      <c r="AC321" s="486"/>
      <c r="AD321" s="486"/>
      <c r="AE321" s="487"/>
      <c r="AF321" s="449"/>
      <c r="AG321" s="449"/>
      <c r="AH321" s="449"/>
    </row>
    <row r="322" ht="11.25" customHeight="1">
      <c r="A322" s="431">
        <f>IF(B322="","", YEAR(B322))</f>
        <v>2026</v>
      </c>
      <c r="B322" s="432">
        <v>46108.0</v>
      </c>
      <c r="C322" s="433" t="s">
        <v>1178</v>
      </c>
      <c r="D322" s="433" t="s">
        <v>1413</v>
      </c>
      <c r="E322" s="434">
        <f t="shared" ref="E322:I322" si="168">IFERROR(AVERAGE(L322:L325),"")</f>
        <v>12.335</v>
      </c>
      <c r="F322" s="434">
        <f t="shared" si="168"/>
        <v>0.26</v>
      </c>
      <c r="G322" s="435">
        <f t="shared" si="168"/>
        <v>0.57675</v>
      </c>
      <c r="H322" s="435">
        <f t="shared" si="168"/>
        <v>0.59675</v>
      </c>
      <c r="I322" s="436">
        <f t="shared" si="168"/>
        <v>2.4025</v>
      </c>
      <c r="J322" s="437">
        <f>SUMIFS(PRODUCTION[KG],PRODUCTION[GRADE],"3X50",PRODUCTION[DATE],B322,PRODUCTION[BATCH],C322,PRODUCTION[SHIFT],D322)</f>
        <v>29380</v>
      </c>
      <c r="K322" s="438" t="s">
        <v>1414</v>
      </c>
      <c r="L322" s="439">
        <v>12.8</v>
      </c>
      <c r="M322" s="488">
        <v>0.31</v>
      </c>
      <c r="N322" s="489">
        <v>0.574</v>
      </c>
      <c r="O322" s="489">
        <v>0.594</v>
      </c>
      <c r="P322" s="490">
        <v>3.04</v>
      </c>
      <c r="Q322" s="439">
        <v>0.5</v>
      </c>
      <c r="R322" s="488">
        <v>35.8</v>
      </c>
      <c r="S322" s="488">
        <v>27.1</v>
      </c>
      <c r="T322" s="488">
        <v>17.7</v>
      </c>
      <c r="U322" s="488">
        <v>10.8</v>
      </c>
      <c r="V322" s="488">
        <v>7.2</v>
      </c>
      <c r="W322" s="488">
        <v>0.8</v>
      </c>
      <c r="X322" s="488">
        <v>0.1</v>
      </c>
      <c r="Y322" s="444">
        <f t="shared" si="17"/>
        <v>99.5</v>
      </c>
      <c r="Z322" s="445"/>
      <c r="AA322" s="446">
        <f t="shared" ref="AA322:AE322" si="169">$J322*E322</f>
        <v>362402.3</v>
      </c>
      <c r="AB322" s="447">
        <f t="shared" si="169"/>
        <v>7638.8</v>
      </c>
      <c r="AC322" s="447">
        <f t="shared" si="169"/>
        <v>16944.915</v>
      </c>
      <c r="AD322" s="447">
        <f t="shared" si="169"/>
        <v>17532.515</v>
      </c>
      <c r="AE322" s="448">
        <f t="shared" si="169"/>
        <v>70585.45</v>
      </c>
      <c r="AF322" s="449"/>
      <c r="AG322" s="449"/>
      <c r="AH322" s="449"/>
    </row>
    <row r="323" ht="11.25" customHeight="1">
      <c r="A323" s="450"/>
      <c r="B323" s="451"/>
      <c r="C323" s="452"/>
      <c r="D323" s="452"/>
      <c r="E323" s="453"/>
      <c r="F323" s="453"/>
      <c r="G323" s="454"/>
      <c r="H323" s="454"/>
      <c r="I323" s="455"/>
      <c r="J323" s="456"/>
      <c r="K323" s="457" t="s">
        <v>1416</v>
      </c>
      <c r="L323" s="458">
        <v>12.67</v>
      </c>
      <c r="M323" s="459">
        <v>0.18</v>
      </c>
      <c r="N323" s="460">
        <v>0.577</v>
      </c>
      <c r="O323" s="460">
        <v>0.597</v>
      </c>
      <c r="P323" s="461">
        <v>2.23</v>
      </c>
      <c r="Q323" s="458">
        <v>0.3</v>
      </c>
      <c r="R323" s="459">
        <v>37.8</v>
      </c>
      <c r="S323" s="459">
        <v>28.9</v>
      </c>
      <c r="T323" s="459">
        <v>17.0</v>
      </c>
      <c r="U323" s="459">
        <v>9.1</v>
      </c>
      <c r="V323" s="459">
        <v>6.3</v>
      </c>
      <c r="W323" s="459">
        <v>0.5</v>
      </c>
      <c r="X323" s="459">
        <v>0.1</v>
      </c>
      <c r="Y323" s="462">
        <f t="shared" si="17"/>
        <v>99.7</v>
      </c>
      <c r="Z323" s="463"/>
      <c r="AA323" s="464"/>
      <c r="AB323" s="465"/>
      <c r="AC323" s="465"/>
      <c r="AD323" s="465"/>
      <c r="AE323" s="466"/>
      <c r="AF323" s="449"/>
      <c r="AG323" s="449"/>
      <c r="AH323" s="449"/>
    </row>
    <row r="324" ht="11.25" customHeight="1">
      <c r="A324" s="450"/>
      <c r="B324" s="451"/>
      <c r="C324" s="452"/>
      <c r="D324" s="452"/>
      <c r="E324" s="453"/>
      <c r="F324" s="453"/>
      <c r="G324" s="454"/>
      <c r="H324" s="454"/>
      <c r="I324" s="455"/>
      <c r="J324" s="456"/>
      <c r="K324" s="467" t="s">
        <v>1417</v>
      </c>
      <c r="L324" s="468">
        <v>12.07</v>
      </c>
      <c r="M324" s="469">
        <v>0.29</v>
      </c>
      <c r="N324" s="470">
        <v>0.575</v>
      </c>
      <c r="O324" s="470">
        <v>0.595</v>
      </c>
      <c r="P324" s="471">
        <v>2.14</v>
      </c>
      <c r="Q324" s="468">
        <v>0.6</v>
      </c>
      <c r="R324" s="469">
        <v>33.9</v>
      </c>
      <c r="S324" s="469">
        <v>29.4</v>
      </c>
      <c r="T324" s="469">
        <v>18.8</v>
      </c>
      <c r="U324" s="469">
        <v>9.8</v>
      </c>
      <c r="V324" s="469">
        <v>6.7</v>
      </c>
      <c r="W324" s="469">
        <v>0.7</v>
      </c>
      <c r="X324" s="469">
        <v>0.1</v>
      </c>
      <c r="Y324" s="462">
        <f t="shared" si="17"/>
        <v>99.4</v>
      </c>
      <c r="Z324" s="463"/>
      <c r="AA324" s="464"/>
      <c r="AB324" s="465"/>
      <c r="AC324" s="465"/>
      <c r="AD324" s="465"/>
      <c r="AE324" s="466"/>
      <c r="AF324" s="449"/>
      <c r="AG324" s="449"/>
      <c r="AH324" s="449"/>
    </row>
    <row r="325" ht="11.25" customHeight="1">
      <c r="A325" s="450"/>
      <c r="B325" s="472"/>
      <c r="C325" s="473"/>
      <c r="D325" s="473"/>
      <c r="E325" s="474"/>
      <c r="F325" s="474"/>
      <c r="G325" s="475"/>
      <c r="H325" s="475"/>
      <c r="I325" s="476"/>
      <c r="J325" s="477"/>
      <c r="K325" s="478" t="s">
        <v>1418</v>
      </c>
      <c r="L325" s="479">
        <v>11.8</v>
      </c>
      <c r="M325" s="480">
        <v>0.26</v>
      </c>
      <c r="N325" s="481">
        <v>0.581</v>
      </c>
      <c r="O325" s="481">
        <v>0.601</v>
      </c>
      <c r="P325" s="482">
        <v>2.2</v>
      </c>
      <c r="Q325" s="479">
        <v>0.4</v>
      </c>
      <c r="R325" s="480">
        <v>37.6</v>
      </c>
      <c r="S325" s="480">
        <v>28.7</v>
      </c>
      <c r="T325" s="480">
        <v>16.4</v>
      </c>
      <c r="U325" s="480">
        <v>9.0</v>
      </c>
      <c r="V325" s="480">
        <v>7.0</v>
      </c>
      <c r="W325" s="480">
        <v>0.8</v>
      </c>
      <c r="X325" s="480">
        <v>0.1</v>
      </c>
      <c r="Y325" s="483">
        <f t="shared" si="17"/>
        <v>99.6</v>
      </c>
      <c r="Z325" s="484"/>
      <c r="AA325" s="485"/>
      <c r="AB325" s="486"/>
      <c r="AC325" s="486"/>
      <c r="AD325" s="486"/>
      <c r="AE325" s="487"/>
      <c r="AF325" s="449"/>
      <c r="AG325" s="449"/>
      <c r="AH325" s="449"/>
    </row>
    <row r="326" ht="11.25" customHeight="1">
      <c r="A326" s="431">
        <f>IF(B326="","", YEAR(B326))</f>
        <v>2026</v>
      </c>
      <c r="B326" s="432">
        <v>46108.0</v>
      </c>
      <c r="C326" s="433" t="s">
        <v>1178</v>
      </c>
      <c r="D326" s="433" t="s">
        <v>1422</v>
      </c>
      <c r="E326" s="434">
        <f t="shared" ref="E326:I326" si="170">IFERROR(AVERAGE(L326:L329),"")</f>
        <v>12.24</v>
      </c>
      <c r="F326" s="434">
        <f t="shared" si="170"/>
        <v>0.215</v>
      </c>
      <c r="G326" s="435">
        <f t="shared" si="170"/>
        <v>0.5795</v>
      </c>
      <c r="H326" s="435">
        <f t="shared" si="170"/>
        <v>0.5995</v>
      </c>
      <c r="I326" s="436">
        <f t="shared" si="170"/>
        <v>2.02</v>
      </c>
      <c r="J326" s="437">
        <f>SUMIFS(PRODUCTION[KG],PRODUCTION[GRADE],"3X50",PRODUCTION[DATE],B326,PRODUCTION[BATCH],C326,PRODUCTION[SHIFT],D326)</f>
        <v>25870</v>
      </c>
      <c r="K326" s="438" t="s">
        <v>1414</v>
      </c>
      <c r="L326" s="439">
        <v>12.14</v>
      </c>
      <c r="M326" s="488">
        <v>0.19</v>
      </c>
      <c r="N326" s="489">
        <v>0.583</v>
      </c>
      <c r="O326" s="489">
        <v>0.603</v>
      </c>
      <c r="P326" s="490">
        <v>1.86</v>
      </c>
      <c r="Q326" s="439">
        <v>1.6</v>
      </c>
      <c r="R326" s="488">
        <v>42.1</v>
      </c>
      <c r="S326" s="488">
        <v>26.1</v>
      </c>
      <c r="T326" s="488">
        <v>14.2</v>
      </c>
      <c r="U326" s="488">
        <v>9.3</v>
      </c>
      <c r="V326" s="488">
        <v>6.0</v>
      </c>
      <c r="W326" s="488">
        <v>0.6</v>
      </c>
      <c r="X326" s="488">
        <v>0.1</v>
      </c>
      <c r="Y326" s="444">
        <f t="shared" si="17"/>
        <v>98.4</v>
      </c>
      <c r="Z326" s="445"/>
      <c r="AA326" s="446">
        <f t="shared" ref="AA326:AE326" si="171">$J326*E326</f>
        <v>316648.8</v>
      </c>
      <c r="AB326" s="447">
        <f t="shared" si="171"/>
        <v>5562.05</v>
      </c>
      <c r="AC326" s="447">
        <f t="shared" si="171"/>
        <v>14991.665</v>
      </c>
      <c r="AD326" s="447">
        <f t="shared" si="171"/>
        <v>15509.065</v>
      </c>
      <c r="AE326" s="448">
        <f t="shared" si="171"/>
        <v>52257.4</v>
      </c>
      <c r="AF326" s="449"/>
      <c r="AG326" s="449"/>
      <c r="AH326" s="449"/>
    </row>
    <row r="327" ht="11.25" customHeight="1">
      <c r="A327" s="450"/>
      <c r="B327" s="451"/>
      <c r="C327" s="452"/>
      <c r="D327" s="452"/>
      <c r="E327" s="453"/>
      <c r="F327" s="453"/>
      <c r="G327" s="454"/>
      <c r="H327" s="454"/>
      <c r="I327" s="455"/>
      <c r="J327" s="456"/>
      <c r="K327" s="457" t="s">
        <v>1416</v>
      </c>
      <c r="L327" s="458">
        <v>12.34</v>
      </c>
      <c r="M327" s="459">
        <v>0.24</v>
      </c>
      <c r="N327" s="460">
        <v>0.576</v>
      </c>
      <c r="O327" s="460">
        <v>0.596</v>
      </c>
      <c r="P327" s="461">
        <v>2.18</v>
      </c>
      <c r="Q327" s="458">
        <v>2.4</v>
      </c>
      <c r="R327" s="459">
        <v>46.9</v>
      </c>
      <c r="S327" s="459">
        <v>26.9</v>
      </c>
      <c r="T327" s="459">
        <v>12.4</v>
      </c>
      <c r="U327" s="459">
        <v>6.8</v>
      </c>
      <c r="V327" s="459">
        <v>4.2</v>
      </c>
      <c r="W327" s="459">
        <v>0.3</v>
      </c>
      <c r="X327" s="459">
        <v>0.1</v>
      </c>
      <c r="Y327" s="462">
        <f t="shared" si="17"/>
        <v>97.6</v>
      </c>
      <c r="Z327" s="463"/>
      <c r="AA327" s="464"/>
      <c r="AB327" s="465"/>
      <c r="AC327" s="465"/>
      <c r="AD327" s="465"/>
      <c r="AE327" s="466"/>
      <c r="AF327" s="449"/>
      <c r="AG327" s="449"/>
      <c r="AH327" s="449"/>
    </row>
    <row r="328" ht="11.25" customHeight="1">
      <c r="A328" s="450"/>
      <c r="B328" s="451"/>
      <c r="C328" s="452"/>
      <c r="D328" s="452"/>
      <c r="E328" s="453"/>
      <c r="F328" s="453"/>
      <c r="G328" s="454"/>
      <c r="H328" s="454"/>
      <c r="I328" s="455"/>
      <c r="J328" s="456"/>
      <c r="K328" s="467" t="s">
        <v>1417</v>
      </c>
      <c r="L328" s="468"/>
      <c r="M328" s="469"/>
      <c r="N328" s="470"/>
      <c r="O328" s="470"/>
      <c r="P328" s="471"/>
      <c r="Q328" s="468"/>
      <c r="R328" s="469"/>
      <c r="S328" s="469"/>
      <c r="T328" s="469"/>
      <c r="U328" s="469"/>
      <c r="V328" s="469"/>
      <c r="W328" s="469"/>
      <c r="X328" s="469"/>
      <c r="Y328" s="462">
        <f t="shared" si="17"/>
        <v>0</v>
      </c>
      <c r="Z328" s="463"/>
      <c r="AA328" s="464"/>
      <c r="AB328" s="465"/>
      <c r="AC328" s="465"/>
      <c r="AD328" s="465"/>
      <c r="AE328" s="466"/>
      <c r="AF328" s="449"/>
      <c r="AG328" s="449"/>
      <c r="AH328" s="449"/>
    </row>
    <row r="329" ht="11.25" customHeight="1">
      <c r="A329" s="450"/>
      <c r="B329" s="472"/>
      <c r="C329" s="473"/>
      <c r="D329" s="473"/>
      <c r="E329" s="474"/>
      <c r="F329" s="474"/>
      <c r="G329" s="475"/>
      <c r="H329" s="475"/>
      <c r="I329" s="476"/>
      <c r="J329" s="477"/>
      <c r="K329" s="478" t="s">
        <v>1418</v>
      </c>
      <c r="L329" s="479"/>
      <c r="M329" s="480"/>
      <c r="N329" s="481"/>
      <c r="O329" s="481"/>
      <c r="P329" s="482"/>
      <c r="Q329" s="479"/>
      <c r="R329" s="480"/>
      <c r="S329" s="480"/>
      <c r="T329" s="480"/>
      <c r="U329" s="480"/>
      <c r="V329" s="480"/>
      <c r="W329" s="480"/>
      <c r="X329" s="480"/>
      <c r="Y329" s="483">
        <f t="shared" si="17"/>
        <v>0</v>
      </c>
      <c r="Z329" s="484"/>
      <c r="AA329" s="485"/>
      <c r="AB329" s="486"/>
      <c r="AC329" s="486"/>
      <c r="AD329" s="486"/>
      <c r="AE329" s="487"/>
      <c r="AF329" s="449"/>
      <c r="AG329" s="449"/>
      <c r="AH329" s="449"/>
    </row>
    <row r="330" ht="11.25" customHeight="1">
      <c r="A330" s="431">
        <f>IF(B330="","", YEAR(B330))</f>
        <v>2026</v>
      </c>
      <c r="B330" s="432">
        <v>46109.0</v>
      </c>
      <c r="C330" s="433" t="s">
        <v>1178</v>
      </c>
      <c r="D330" s="433" t="s">
        <v>1413</v>
      </c>
      <c r="E330" s="434">
        <f t="shared" ref="E330:I330" si="172">IFERROR(AVERAGE(L330:L333),"")</f>
        <v>12.02</v>
      </c>
      <c r="F330" s="434">
        <f t="shared" si="172"/>
        <v>0.2625</v>
      </c>
      <c r="G330" s="435">
        <f t="shared" si="172"/>
        <v>0.57875</v>
      </c>
      <c r="H330" s="435">
        <f t="shared" si="172"/>
        <v>0.59875</v>
      </c>
      <c r="I330" s="436">
        <f t="shared" si="172"/>
        <v>2.0175</v>
      </c>
      <c r="J330" s="437">
        <f>SUMIFS(PRODUCTION[KG],PRODUCTION[GRADE],"3X50",PRODUCTION[DATE],B330,PRODUCTION[BATCH],C330,PRODUCTION[SHIFT],D330)</f>
        <v>28600</v>
      </c>
      <c r="K330" s="438" t="s">
        <v>1414</v>
      </c>
      <c r="L330" s="439">
        <v>12.6</v>
      </c>
      <c r="M330" s="488">
        <v>0.29</v>
      </c>
      <c r="N330" s="489">
        <v>0.578</v>
      </c>
      <c r="O330" s="489">
        <v>0.598</v>
      </c>
      <c r="P330" s="490">
        <v>2.62</v>
      </c>
      <c r="Q330" s="439">
        <v>1.8</v>
      </c>
      <c r="R330" s="488">
        <v>40.3</v>
      </c>
      <c r="S330" s="488">
        <v>27.1</v>
      </c>
      <c r="T330" s="488">
        <v>15.1</v>
      </c>
      <c r="U330" s="488">
        <v>8.8</v>
      </c>
      <c r="V330" s="488">
        <v>5.4</v>
      </c>
      <c r="W330" s="488">
        <v>0.7</v>
      </c>
      <c r="X330" s="488">
        <v>0.8</v>
      </c>
      <c r="Y330" s="444">
        <f t="shared" si="17"/>
        <v>98.2</v>
      </c>
      <c r="Z330" s="445"/>
      <c r="AA330" s="446">
        <f t="shared" ref="AA330:AE330" si="173">$J330*E330</f>
        <v>343772</v>
      </c>
      <c r="AB330" s="447">
        <f t="shared" si="173"/>
        <v>7507.5</v>
      </c>
      <c r="AC330" s="447">
        <f t="shared" si="173"/>
        <v>16552.25</v>
      </c>
      <c r="AD330" s="447">
        <f t="shared" si="173"/>
        <v>17124.25</v>
      </c>
      <c r="AE330" s="448">
        <f t="shared" si="173"/>
        <v>57700.5</v>
      </c>
      <c r="AF330" s="449"/>
      <c r="AG330" s="449"/>
      <c r="AH330" s="449"/>
    </row>
    <row r="331" ht="11.25" customHeight="1">
      <c r="A331" s="450"/>
      <c r="B331" s="451"/>
      <c r="C331" s="452"/>
      <c r="D331" s="452"/>
      <c r="E331" s="453"/>
      <c r="F331" s="453"/>
      <c r="G331" s="454"/>
      <c r="H331" s="454"/>
      <c r="I331" s="455"/>
      <c r="J331" s="456"/>
      <c r="K331" s="457" t="s">
        <v>1416</v>
      </c>
      <c r="L331" s="458">
        <v>12.4</v>
      </c>
      <c r="M331" s="459">
        <v>0.29</v>
      </c>
      <c r="N331" s="460">
        <v>0.577</v>
      </c>
      <c r="O331" s="460">
        <v>0.597</v>
      </c>
      <c r="P331" s="461">
        <v>1.81</v>
      </c>
      <c r="Q331" s="458">
        <v>0.8</v>
      </c>
      <c r="R331" s="459">
        <v>42.2</v>
      </c>
      <c r="S331" s="459">
        <v>24.8</v>
      </c>
      <c r="T331" s="459">
        <v>15.3</v>
      </c>
      <c r="U331" s="459">
        <v>9.6</v>
      </c>
      <c r="V331" s="459">
        <v>6.6</v>
      </c>
      <c r="W331" s="459">
        <v>0.6</v>
      </c>
      <c r="X331" s="459">
        <v>0.1</v>
      </c>
      <c r="Y331" s="462">
        <f t="shared" si="17"/>
        <v>99.2</v>
      </c>
      <c r="Z331" s="463"/>
      <c r="AA331" s="464"/>
      <c r="AB331" s="465"/>
      <c r="AC331" s="465"/>
      <c r="AD331" s="465"/>
      <c r="AE331" s="466"/>
      <c r="AF331" s="449"/>
      <c r="AG331" s="449"/>
      <c r="AH331" s="449"/>
    </row>
    <row r="332" ht="11.25" customHeight="1">
      <c r="A332" s="450"/>
      <c r="B332" s="451"/>
      <c r="C332" s="452"/>
      <c r="D332" s="452"/>
      <c r="E332" s="453"/>
      <c r="F332" s="453"/>
      <c r="G332" s="454"/>
      <c r="H332" s="454"/>
      <c r="I332" s="455"/>
      <c r="J332" s="456"/>
      <c r="K332" s="467" t="s">
        <v>1417</v>
      </c>
      <c r="L332" s="468">
        <v>11.54</v>
      </c>
      <c r="M332" s="469">
        <v>0.27</v>
      </c>
      <c r="N332" s="470">
        <v>0.582</v>
      </c>
      <c r="O332" s="470">
        <v>0.602</v>
      </c>
      <c r="P332" s="471">
        <v>1.9</v>
      </c>
      <c r="Q332" s="468">
        <v>1.3</v>
      </c>
      <c r="R332" s="469">
        <v>44.7</v>
      </c>
      <c r="S332" s="469">
        <v>27.3</v>
      </c>
      <c r="T332" s="469">
        <v>13.6</v>
      </c>
      <c r="U332" s="469">
        <v>7.8</v>
      </c>
      <c r="V332" s="469">
        <v>4.9</v>
      </c>
      <c r="W332" s="469">
        <v>0.3</v>
      </c>
      <c r="X332" s="469">
        <v>0.1</v>
      </c>
      <c r="Y332" s="462">
        <f t="shared" si="17"/>
        <v>98.7</v>
      </c>
      <c r="Z332" s="463"/>
      <c r="AA332" s="464"/>
      <c r="AB332" s="465"/>
      <c r="AC332" s="465"/>
      <c r="AD332" s="465"/>
      <c r="AE332" s="466"/>
      <c r="AF332" s="449"/>
      <c r="AG332" s="449"/>
      <c r="AH332" s="449"/>
    </row>
    <row r="333" ht="11.25" customHeight="1">
      <c r="A333" s="450"/>
      <c r="B333" s="472"/>
      <c r="C333" s="473"/>
      <c r="D333" s="473"/>
      <c r="E333" s="474"/>
      <c r="F333" s="474"/>
      <c r="G333" s="475"/>
      <c r="H333" s="475"/>
      <c r="I333" s="476"/>
      <c r="J333" s="477"/>
      <c r="K333" s="478" t="s">
        <v>1418</v>
      </c>
      <c r="L333" s="479">
        <v>11.54</v>
      </c>
      <c r="M333" s="480">
        <v>0.2</v>
      </c>
      <c r="N333" s="481">
        <v>0.578</v>
      </c>
      <c r="O333" s="481">
        <v>0.598</v>
      </c>
      <c r="P333" s="482">
        <v>1.74</v>
      </c>
      <c r="Q333" s="479">
        <v>1.1</v>
      </c>
      <c r="R333" s="480">
        <v>38.7</v>
      </c>
      <c r="S333" s="480">
        <v>24.4</v>
      </c>
      <c r="T333" s="480">
        <v>15.7</v>
      </c>
      <c r="U333" s="480">
        <v>10.3</v>
      </c>
      <c r="V333" s="480">
        <v>8.6</v>
      </c>
      <c r="W333" s="480">
        <v>1.1</v>
      </c>
      <c r="X333" s="480">
        <v>0.1</v>
      </c>
      <c r="Y333" s="483">
        <f t="shared" si="17"/>
        <v>98.9</v>
      </c>
      <c r="Z333" s="484"/>
      <c r="AA333" s="485"/>
      <c r="AB333" s="486"/>
      <c r="AC333" s="486"/>
      <c r="AD333" s="486"/>
      <c r="AE333" s="487"/>
      <c r="AF333" s="449"/>
      <c r="AG333" s="449"/>
      <c r="AH333" s="449"/>
    </row>
    <row r="334" ht="11.25" customHeight="1">
      <c r="A334" s="431">
        <f>IF(B334="","", YEAR(B334))</f>
        <v>2026</v>
      </c>
      <c r="B334" s="432">
        <v>46109.0</v>
      </c>
      <c r="C334" s="433" t="s">
        <v>1178</v>
      </c>
      <c r="D334" s="433" t="s">
        <v>1422</v>
      </c>
      <c r="E334" s="434">
        <f t="shared" ref="E334:I334" si="174">IFERROR(AVERAGE(L334:L337),"")</f>
        <v>12.2</v>
      </c>
      <c r="F334" s="434">
        <f t="shared" si="174"/>
        <v>0.225</v>
      </c>
      <c r="G334" s="435">
        <f t="shared" si="174"/>
        <v>0.578</v>
      </c>
      <c r="H334" s="435">
        <f t="shared" si="174"/>
        <v>0.598</v>
      </c>
      <c r="I334" s="436">
        <f t="shared" si="174"/>
        <v>2.055</v>
      </c>
      <c r="J334" s="437">
        <f>SUMIFS(PRODUCTION[KG],PRODUCTION[GRADE],"3X50",PRODUCTION[DATE],B334,PRODUCTION[BATCH],C334,PRODUCTION[SHIFT],D334)</f>
        <v>26572</v>
      </c>
      <c r="K334" s="438" t="s">
        <v>1414</v>
      </c>
      <c r="L334" s="439">
        <v>12.0</v>
      </c>
      <c r="M334" s="488">
        <v>0.17</v>
      </c>
      <c r="N334" s="489">
        <v>0.575</v>
      </c>
      <c r="O334" s="489">
        <v>0.595</v>
      </c>
      <c r="P334" s="490">
        <v>2.02</v>
      </c>
      <c r="Q334" s="439">
        <v>0.9</v>
      </c>
      <c r="R334" s="488">
        <v>39.6</v>
      </c>
      <c r="S334" s="488">
        <v>24.0</v>
      </c>
      <c r="T334" s="488">
        <v>14.3</v>
      </c>
      <c r="U334" s="488">
        <v>10.3</v>
      </c>
      <c r="V334" s="488">
        <v>9.7</v>
      </c>
      <c r="W334" s="488">
        <v>1.1</v>
      </c>
      <c r="X334" s="488">
        <v>0.1</v>
      </c>
      <c r="Y334" s="444">
        <f t="shared" si="17"/>
        <v>99.1</v>
      </c>
      <c r="Z334" s="445"/>
      <c r="AA334" s="446">
        <f t="shared" ref="AA334:AE334" si="175">$J334*E334</f>
        <v>324178.4</v>
      </c>
      <c r="AB334" s="447">
        <f t="shared" si="175"/>
        <v>5978.7</v>
      </c>
      <c r="AC334" s="447">
        <f t="shared" si="175"/>
        <v>15358.616</v>
      </c>
      <c r="AD334" s="447">
        <f t="shared" si="175"/>
        <v>15890.056</v>
      </c>
      <c r="AE334" s="448">
        <f t="shared" si="175"/>
        <v>54605.46</v>
      </c>
      <c r="AF334" s="449"/>
      <c r="AG334" s="449"/>
      <c r="AH334" s="449"/>
    </row>
    <row r="335" ht="11.25" customHeight="1">
      <c r="A335" s="450"/>
      <c r="B335" s="451"/>
      <c r="C335" s="452"/>
      <c r="D335" s="452"/>
      <c r="E335" s="453"/>
      <c r="F335" s="453"/>
      <c r="G335" s="454"/>
      <c r="H335" s="454"/>
      <c r="I335" s="455"/>
      <c r="J335" s="456"/>
      <c r="K335" s="457" t="s">
        <v>1416</v>
      </c>
      <c r="L335" s="458">
        <v>12.4</v>
      </c>
      <c r="M335" s="459">
        <v>0.28</v>
      </c>
      <c r="N335" s="460">
        <v>0.581</v>
      </c>
      <c r="O335" s="460">
        <v>0.601</v>
      </c>
      <c r="P335" s="461">
        <v>2.09</v>
      </c>
      <c r="Q335" s="458">
        <v>2.5</v>
      </c>
      <c r="R335" s="459">
        <v>43.8</v>
      </c>
      <c r="S335" s="459">
        <v>26.6</v>
      </c>
      <c r="T335" s="459">
        <v>14.4</v>
      </c>
      <c r="U335" s="459">
        <v>7.4</v>
      </c>
      <c r="V335" s="459">
        <v>4.8</v>
      </c>
      <c r="W335" s="459">
        <v>0.4</v>
      </c>
      <c r="X335" s="459">
        <v>0.1</v>
      </c>
      <c r="Y335" s="462">
        <f t="shared" si="17"/>
        <v>97.5</v>
      </c>
      <c r="Z335" s="463"/>
      <c r="AA335" s="464"/>
      <c r="AB335" s="465"/>
      <c r="AC335" s="465"/>
      <c r="AD335" s="465"/>
      <c r="AE335" s="466"/>
      <c r="AF335" s="449"/>
      <c r="AG335" s="449"/>
      <c r="AH335" s="449"/>
    </row>
    <row r="336" ht="11.25" customHeight="1">
      <c r="A336" s="450"/>
      <c r="B336" s="451"/>
      <c r="C336" s="452"/>
      <c r="D336" s="452"/>
      <c r="E336" s="453"/>
      <c r="F336" s="453"/>
      <c r="G336" s="454"/>
      <c r="H336" s="454"/>
      <c r="I336" s="455"/>
      <c r="J336" s="456"/>
      <c r="K336" s="467" t="s">
        <v>1417</v>
      </c>
      <c r="L336" s="468"/>
      <c r="M336" s="469"/>
      <c r="N336" s="470"/>
      <c r="O336" s="470"/>
      <c r="P336" s="471"/>
      <c r="Q336" s="468"/>
      <c r="R336" s="469"/>
      <c r="S336" s="469"/>
      <c r="T336" s="469"/>
      <c r="U336" s="469"/>
      <c r="V336" s="469"/>
      <c r="W336" s="469"/>
      <c r="X336" s="469"/>
      <c r="Y336" s="462">
        <f t="shared" si="17"/>
        <v>0</v>
      </c>
      <c r="Z336" s="463"/>
      <c r="AA336" s="464"/>
      <c r="AB336" s="465"/>
      <c r="AC336" s="465"/>
      <c r="AD336" s="465"/>
      <c r="AE336" s="466"/>
      <c r="AF336" s="449"/>
      <c r="AG336" s="449"/>
      <c r="AH336" s="449"/>
    </row>
    <row r="337" ht="11.25" customHeight="1">
      <c r="A337" s="450"/>
      <c r="B337" s="472"/>
      <c r="C337" s="473"/>
      <c r="D337" s="473"/>
      <c r="E337" s="474"/>
      <c r="F337" s="474"/>
      <c r="G337" s="475"/>
      <c r="H337" s="475"/>
      <c r="I337" s="476"/>
      <c r="J337" s="477"/>
      <c r="K337" s="478" t="s">
        <v>1418</v>
      </c>
      <c r="L337" s="479"/>
      <c r="M337" s="480"/>
      <c r="N337" s="481"/>
      <c r="O337" s="481"/>
      <c r="P337" s="482"/>
      <c r="Q337" s="479"/>
      <c r="R337" s="480"/>
      <c r="S337" s="480"/>
      <c r="T337" s="480"/>
      <c r="U337" s="480"/>
      <c r="V337" s="480"/>
      <c r="W337" s="480"/>
      <c r="X337" s="480"/>
      <c r="Y337" s="483">
        <f t="shared" si="17"/>
        <v>0</v>
      </c>
      <c r="Z337" s="484"/>
      <c r="AA337" s="485"/>
      <c r="AB337" s="486"/>
      <c r="AC337" s="486"/>
      <c r="AD337" s="486"/>
      <c r="AE337" s="487"/>
      <c r="AF337" s="449"/>
      <c r="AG337" s="449"/>
      <c r="AH337" s="449"/>
    </row>
    <row r="338" ht="11.25" customHeight="1">
      <c r="A338" s="431">
        <f>IF(B338="","", YEAR(B338))</f>
        <v>2026</v>
      </c>
      <c r="B338" s="432">
        <v>46111.0</v>
      </c>
      <c r="C338" s="433" t="s">
        <v>1178</v>
      </c>
      <c r="D338" s="433" t="s">
        <v>1413</v>
      </c>
      <c r="E338" s="434" t="str">
        <f t="shared" ref="E338:I338" si="176">IFERROR(AVERAGE(L338:L341),"")</f>
        <v/>
      </c>
      <c r="F338" s="434" t="str">
        <f t="shared" si="176"/>
        <v/>
      </c>
      <c r="G338" s="435" t="str">
        <f t="shared" si="176"/>
        <v/>
      </c>
      <c r="H338" s="435" t="str">
        <f t="shared" si="176"/>
        <v/>
      </c>
      <c r="I338" s="436" t="str">
        <f t="shared" si="176"/>
        <v/>
      </c>
      <c r="J338" s="437">
        <f>SUMIFS(PRODUCTION[KG],PRODUCTION[GRADE],"3X50",PRODUCTION[DATE],B338,PRODUCTION[BATCH],C338,PRODUCTION[SHIFT],D338)</f>
        <v>5876</v>
      </c>
      <c r="K338" s="438" t="s">
        <v>1414</v>
      </c>
      <c r="L338" s="443"/>
      <c r="M338" s="440"/>
      <c r="N338" s="441"/>
      <c r="O338" s="441"/>
      <c r="P338" s="442"/>
      <c r="Q338" s="443"/>
      <c r="R338" s="440"/>
      <c r="S338" s="440"/>
      <c r="T338" s="440"/>
      <c r="U338" s="440"/>
      <c r="V338" s="440"/>
      <c r="W338" s="440"/>
      <c r="X338" s="440"/>
      <c r="Y338" s="444">
        <f t="shared" si="17"/>
        <v>0</v>
      </c>
      <c r="Z338" s="445"/>
      <c r="AA338" s="446">
        <f t="shared" ref="AA338:AE338" si="177">$J338*E338</f>
        <v>0</v>
      </c>
      <c r="AB338" s="447">
        <f t="shared" si="177"/>
        <v>0</v>
      </c>
      <c r="AC338" s="447">
        <f t="shared" si="177"/>
        <v>0</v>
      </c>
      <c r="AD338" s="447">
        <f t="shared" si="177"/>
        <v>0</v>
      </c>
      <c r="AE338" s="448">
        <f t="shared" si="177"/>
        <v>0</v>
      </c>
      <c r="AF338" s="449"/>
      <c r="AG338" s="449"/>
      <c r="AH338" s="449"/>
    </row>
    <row r="339" ht="11.25" customHeight="1">
      <c r="A339" s="450"/>
      <c r="B339" s="451"/>
      <c r="C339" s="452"/>
      <c r="D339" s="452"/>
      <c r="E339" s="453"/>
      <c r="F339" s="453"/>
      <c r="G339" s="454"/>
      <c r="H339" s="454"/>
      <c r="I339" s="455"/>
      <c r="J339" s="456"/>
      <c r="K339" s="457" t="s">
        <v>1416</v>
      </c>
      <c r="L339" s="458"/>
      <c r="M339" s="459"/>
      <c r="N339" s="460"/>
      <c r="O339" s="460"/>
      <c r="P339" s="461"/>
      <c r="Q339" s="458"/>
      <c r="R339" s="459"/>
      <c r="S339" s="459"/>
      <c r="T339" s="459"/>
      <c r="U339" s="459"/>
      <c r="V339" s="459"/>
      <c r="W339" s="459"/>
      <c r="X339" s="459"/>
      <c r="Y339" s="462">
        <f t="shared" si="17"/>
        <v>0</v>
      </c>
      <c r="Z339" s="463"/>
      <c r="AA339" s="464"/>
      <c r="AB339" s="465"/>
      <c r="AC339" s="465"/>
      <c r="AD339" s="465"/>
      <c r="AE339" s="466"/>
      <c r="AF339" s="449"/>
      <c r="AG339" s="449"/>
      <c r="AH339" s="449"/>
    </row>
    <row r="340" ht="11.25" customHeight="1">
      <c r="A340" s="450"/>
      <c r="B340" s="451"/>
      <c r="C340" s="452"/>
      <c r="D340" s="452"/>
      <c r="E340" s="453"/>
      <c r="F340" s="453"/>
      <c r="G340" s="454"/>
      <c r="H340" s="454"/>
      <c r="I340" s="455"/>
      <c r="J340" s="456"/>
      <c r="K340" s="467" t="s">
        <v>1417</v>
      </c>
      <c r="L340" s="468"/>
      <c r="M340" s="469"/>
      <c r="N340" s="470"/>
      <c r="O340" s="470"/>
      <c r="P340" s="471"/>
      <c r="Q340" s="468"/>
      <c r="R340" s="469"/>
      <c r="S340" s="469"/>
      <c r="T340" s="469"/>
      <c r="U340" s="469"/>
      <c r="V340" s="469"/>
      <c r="W340" s="469"/>
      <c r="X340" s="469"/>
      <c r="Y340" s="462">
        <f t="shared" si="17"/>
        <v>0</v>
      </c>
      <c r="Z340" s="463"/>
      <c r="AA340" s="464"/>
      <c r="AB340" s="465"/>
      <c r="AC340" s="465"/>
      <c r="AD340" s="465"/>
      <c r="AE340" s="466"/>
      <c r="AF340" s="449"/>
      <c r="AG340" s="449"/>
      <c r="AH340" s="449"/>
    </row>
    <row r="341" ht="11.25" customHeight="1">
      <c r="A341" s="450"/>
      <c r="B341" s="472"/>
      <c r="C341" s="473"/>
      <c r="D341" s="473"/>
      <c r="E341" s="474"/>
      <c r="F341" s="474"/>
      <c r="G341" s="475"/>
      <c r="H341" s="475"/>
      <c r="I341" s="476"/>
      <c r="J341" s="477"/>
      <c r="K341" s="478" t="s">
        <v>1418</v>
      </c>
      <c r="L341" s="479"/>
      <c r="M341" s="480"/>
      <c r="N341" s="481"/>
      <c r="O341" s="481"/>
      <c r="P341" s="482"/>
      <c r="Q341" s="479"/>
      <c r="R341" s="480"/>
      <c r="S341" s="480"/>
      <c r="T341" s="480"/>
      <c r="U341" s="480"/>
      <c r="V341" s="480"/>
      <c r="W341" s="480"/>
      <c r="X341" s="480"/>
      <c r="Y341" s="483">
        <f t="shared" si="17"/>
        <v>0</v>
      </c>
      <c r="Z341" s="484"/>
      <c r="AA341" s="485"/>
      <c r="AB341" s="486"/>
      <c r="AC341" s="486"/>
      <c r="AD341" s="486"/>
      <c r="AE341" s="487"/>
      <c r="AF341" s="449"/>
      <c r="AG341" s="449"/>
      <c r="AH341" s="449"/>
    </row>
    <row r="342" ht="11.25" customHeight="1">
      <c r="A342" s="431">
        <f>IF(B342="","", YEAR(B342))</f>
        <v>2026</v>
      </c>
      <c r="B342" s="432">
        <v>46111.0</v>
      </c>
      <c r="C342" s="433" t="s">
        <v>1198</v>
      </c>
      <c r="D342" s="433" t="s">
        <v>1413</v>
      </c>
      <c r="E342" s="434" t="str">
        <f t="shared" ref="E342:I342" si="178">IFERROR(AVERAGE(L342:L345),"")</f>
        <v/>
      </c>
      <c r="F342" s="434" t="str">
        <f t="shared" si="178"/>
        <v/>
      </c>
      <c r="G342" s="435" t="str">
        <f t="shared" si="178"/>
        <v/>
      </c>
      <c r="H342" s="435" t="str">
        <f t="shared" si="178"/>
        <v/>
      </c>
      <c r="I342" s="436" t="str">
        <f t="shared" si="178"/>
        <v/>
      </c>
      <c r="J342" s="437">
        <f>SUMIFS(PRODUCTION[KG],PRODUCTION[GRADE],"3X50",PRODUCTION[DATE],B342,PRODUCTION[BATCH],C342,PRODUCTION[SHIFT],D342)</f>
        <v>18880</v>
      </c>
      <c r="K342" s="438" t="s">
        <v>1414</v>
      </c>
      <c r="L342" s="443"/>
      <c r="M342" s="440"/>
      <c r="N342" s="441"/>
      <c r="O342" s="441"/>
      <c r="P342" s="442"/>
      <c r="Q342" s="443"/>
      <c r="R342" s="440"/>
      <c r="S342" s="440"/>
      <c r="T342" s="440"/>
      <c r="U342" s="440"/>
      <c r="V342" s="440"/>
      <c r="W342" s="440"/>
      <c r="X342" s="440"/>
      <c r="Y342" s="444">
        <f t="shared" si="17"/>
        <v>0</v>
      </c>
      <c r="Z342" s="445"/>
      <c r="AA342" s="446">
        <f t="shared" ref="AA342:AE342" si="179">$J342*E342</f>
        <v>0</v>
      </c>
      <c r="AB342" s="447">
        <f t="shared" si="179"/>
        <v>0</v>
      </c>
      <c r="AC342" s="447">
        <f t="shared" si="179"/>
        <v>0</v>
      </c>
      <c r="AD342" s="447">
        <f t="shared" si="179"/>
        <v>0</v>
      </c>
      <c r="AE342" s="448">
        <f t="shared" si="179"/>
        <v>0</v>
      </c>
      <c r="AF342" s="449"/>
      <c r="AG342" s="449"/>
      <c r="AH342" s="449"/>
    </row>
    <row r="343" ht="11.25" customHeight="1">
      <c r="A343" s="450"/>
      <c r="B343" s="451"/>
      <c r="C343" s="452"/>
      <c r="D343" s="452"/>
      <c r="E343" s="453"/>
      <c r="F343" s="453"/>
      <c r="G343" s="454"/>
      <c r="H343" s="454"/>
      <c r="I343" s="455"/>
      <c r="J343" s="456"/>
      <c r="K343" s="457" t="s">
        <v>1416</v>
      </c>
      <c r="L343" s="458"/>
      <c r="M343" s="459"/>
      <c r="N343" s="460"/>
      <c r="O343" s="460"/>
      <c r="P343" s="461"/>
      <c r="Q343" s="458"/>
      <c r="R343" s="459"/>
      <c r="S343" s="459"/>
      <c r="T343" s="459"/>
      <c r="U343" s="459"/>
      <c r="V343" s="459"/>
      <c r="W343" s="459"/>
      <c r="X343" s="459"/>
      <c r="Y343" s="462">
        <f t="shared" si="17"/>
        <v>0</v>
      </c>
      <c r="Z343" s="463"/>
      <c r="AA343" s="464"/>
      <c r="AB343" s="465"/>
      <c r="AC343" s="465"/>
      <c r="AD343" s="465"/>
      <c r="AE343" s="466"/>
      <c r="AF343" s="449"/>
      <c r="AG343" s="449"/>
      <c r="AH343" s="449"/>
    </row>
    <row r="344" ht="11.25" customHeight="1">
      <c r="A344" s="450"/>
      <c r="B344" s="451"/>
      <c r="C344" s="452"/>
      <c r="D344" s="452"/>
      <c r="E344" s="453"/>
      <c r="F344" s="453"/>
      <c r="G344" s="454"/>
      <c r="H344" s="454"/>
      <c r="I344" s="455"/>
      <c r="J344" s="456"/>
      <c r="K344" s="467" t="s">
        <v>1417</v>
      </c>
      <c r="L344" s="468"/>
      <c r="M344" s="469"/>
      <c r="N344" s="470"/>
      <c r="O344" s="470"/>
      <c r="P344" s="471"/>
      <c r="Q344" s="468"/>
      <c r="R344" s="469"/>
      <c r="S344" s="469"/>
      <c r="T344" s="469"/>
      <c r="U344" s="469"/>
      <c r="V344" s="469"/>
      <c r="W344" s="469"/>
      <c r="X344" s="469"/>
      <c r="Y344" s="462">
        <f t="shared" si="17"/>
        <v>0</v>
      </c>
      <c r="Z344" s="463"/>
      <c r="AA344" s="464"/>
      <c r="AB344" s="465"/>
      <c r="AC344" s="465"/>
      <c r="AD344" s="465"/>
      <c r="AE344" s="466"/>
      <c r="AF344" s="449"/>
      <c r="AG344" s="449"/>
      <c r="AH344" s="449"/>
    </row>
    <row r="345" ht="11.25" customHeight="1">
      <c r="A345" s="450"/>
      <c r="B345" s="472"/>
      <c r="C345" s="473"/>
      <c r="D345" s="473"/>
      <c r="E345" s="474"/>
      <c r="F345" s="474"/>
      <c r="G345" s="475"/>
      <c r="H345" s="475"/>
      <c r="I345" s="476"/>
      <c r="J345" s="477"/>
      <c r="K345" s="478" t="s">
        <v>1418</v>
      </c>
      <c r="L345" s="479"/>
      <c r="M345" s="480"/>
      <c r="N345" s="481"/>
      <c r="O345" s="481"/>
      <c r="P345" s="482"/>
      <c r="Q345" s="479"/>
      <c r="R345" s="480"/>
      <c r="S345" s="480"/>
      <c r="T345" s="480"/>
      <c r="U345" s="480"/>
      <c r="V345" s="480"/>
      <c r="W345" s="480"/>
      <c r="X345" s="480"/>
      <c r="Y345" s="483">
        <f t="shared" si="17"/>
        <v>0</v>
      </c>
      <c r="Z345" s="484"/>
      <c r="AA345" s="485"/>
      <c r="AB345" s="486"/>
      <c r="AC345" s="486"/>
      <c r="AD345" s="486"/>
      <c r="AE345" s="487"/>
      <c r="AF345" s="449"/>
      <c r="AG345" s="449"/>
      <c r="AH345" s="449"/>
    </row>
    <row r="346" ht="11.25" customHeight="1">
      <c r="A346" s="431">
        <f>IF(B346="","", YEAR(B346))</f>
        <v>2026</v>
      </c>
      <c r="B346" s="432">
        <v>46113.0</v>
      </c>
      <c r="C346" s="433" t="s">
        <v>1198</v>
      </c>
      <c r="D346" s="433" t="s">
        <v>1413</v>
      </c>
      <c r="E346" s="434" t="str">
        <f t="shared" ref="E346:I346" si="180">IFERROR(AVERAGE(L346:L349),"")</f>
        <v/>
      </c>
      <c r="F346" s="434" t="str">
        <f t="shared" si="180"/>
        <v/>
      </c>
      <c r="G346" s="435" t="str">
        <f t="shared" si="180"/>
        <v/>
      </c>
      <c r="H346" s="435" t="str">
        <f t="shared" si="180"/>
        <v/>
      </c>
      <c r="I346" s="436" t="str">
        <f t="shared" si="180"/>
        <v/>
      </c>
      <c r="J346" s="437">
        <f>SUMIFS(PRODUCTION[KG],PRODUCTION[GRADE],"3X50",PRODUCTION[DATE],B346,PRODUCTION[BATCH],C346,PRODUCTION[SHIFT],D346)</f>
        <v>22420</v>
      </c>
      <c r="K346" s="438" t="s">
        <v>1414</v>
      </c>
      <c r="L346" s="443"/>
      <c r="M346" s="440"/>
      <c r="N346" s="441"/>
      <c r="O346" s="441"/>
      <c r="P346" s="442"/>
      <c r="Q346" s="443"/>
      <c r="R346" s="440"/>
      <c r="S346" s="440"/>
      <c r="T346" s="440"/>
      <c r="U346" s="440"/>
      <c r="V346" s="440"/>
      <c r="W346" s="440"/>
      <c r="X346" s="440"/>
      <c r="Y346" s="444">
        <f t="shared" si="17"/>
        <v>0</v>
      </c>
      <c r="Z346" s="445"/>
      <c r="AA346" s="446">
        <f t="shared" ref="AA346:AE346" si="181">$J346*E346</f>
        <v>0</v>
      </c>
      <c r="AB346" s="447">
        <f t="shared" si="181"/>
        <v>0</v>
      </c>
      <c r="AC346" s="447">
        <f t="shared" si="181"/>
        <v>0</v>
      </c>
      <c r="AD346" s="447">
        <f t="shared" si="181"/>
        <v>0</v>
      </c>
      <c r="AE346" s="448">
        <f t="shared" si="181"/>
        <v>0</v>
      </c>
      <c r="AF346" s="449"/>
      <c r="AG346" s="449"/>
      <c r="AH346" s="449"/>
    </row>
    <row r="347" ht="11.25" customHeight="1">
      <c r="A347" s="450"/>
      <c r="B347" s="451"/>
      <c r="C347" s="452"/>
      <c r="D347" s="452"/>
      <c r="E347" s="453"/>
      <c r="F347" s="453"/>
      <c r="G347" s="454"/>
      <c r="H347" s="454"/>
      <c r="I347" s="455"/>
      <c r="J347" s="456"/>
      <c r="K347" s="457" t="s">
        <v>1416</v>
      </c>
      <c r="L347" s="458"/>
      <c r="M347" s="459"/>
      <c r="N347" s="460"/>
      <c r="O347" s="460"/>
      <c r="P347" s="461"/>
      <c r="Q347" s="458"/>
      <c r="R347" s="459"/>
      <c r="S347" s="459"/>
      <c r="T347" s="459"/>
      <c r="U347" s="459"/>
      <c r="V347" s="459"/>
      <c r="W347" s="459"/>
      <c r="X347" s="459"/>
      <c r="Y347" s="462">
        <f t="shared" si="17"/>
        <v>0</v>
      </c>
      <c r="Z347" s="463"/>
      <c r="AA347" s="464"/>
      <c r="AB347" s="465"/>
      <c r="AC347" s="465"/>
      <c r="AD347" s="465"/>
      <c r="AE347" s="466"/>
      <c r="AF347" s="449"/>
      <c r="AG347" s="449"/>
      <c r="AH347" s="449"/>
    </row>
    <row r="348" ht="11.25" customHeight="1">
      <c r="A348" s="450"/>
      <c r="B348" s="451"/>
      <c r="C348" s="452"/>
      <c r="D348" s="452"/>
      <c r="E348" s="453"/>
      <c r="F348" s="453"/>
      <c r="G348" s="454"/>
      <c r="H348" s="454"/>
      <c r="I348" s="455"/>
      <c r="J348" s="456"/>
      <c r="K348" s="467" t="s">
        <v>1417</v>
      </c>
      <c r="L348" s="468"/>
      <c r="M348" s="469"/>
      <c r="N348" s="470"/>
      <c r="O348" s="470"/>
      <c r="P348" s="471"/>
      <c r="Q348" s="468"/>
      <c r="R348" s="469"/>
      <c r="S348" s="469"/>
      <c r="T348" s="469"/>
      <c r="U348" s="469"/>
      <c r="V348" s="469"/>
      <c r="W348" s="469"/>
      <c r="X348" s="469"/>
      <c r="Y348" s="462">
        <f t="shared" si="17"/>
        <v>0</v>
      </c>
      <c r="Z348" s="463"/>
      <c r="AA348" s="464"/>
      <c r="AB348" s="465"/>
      <c r="AC348" s="465"/>
      <c r="AD348" s="465"/>
      <c r="AE348" s="466"/>
      <c r="AF348" s="449"/>
      <c r="AG348" s="449"/>
      <c r="AH348" s="449"/>
    </row>
    <row r="349" ht="11.25" customHeight="1">
      <c r="A349" s="450"/>
      <c r="B349" s="472"/>
      <c r="C349" s="473"/>
      <c r="D349" s="473"/>
      <c r="E349" s="474"/>
      <c r="F349" s="474"/>
      <c r="G349" s="475"/>
      <c r="H349" s="475"/>
      <c r="I349" s="476"/>
      <c r="J349" s="477"/>
      <c r="K349" s="478" t="s">
        <v>1418</v>
      </c>
      <c r="L349" s="479"/>
      <c r="M349" s="480"/>
      <c r="N349" s="481"/>
      <c r="O349" s="481"/>
      <c r="P349" s="482"/>
      <c r="Q349" s="479"/>
      <c r="R349" s="480"/>
      <c r="S349" s="480"/>
      <c r="T349" s="480"/>
      <c r="U349" s="480"/>
      <c r="V349" s="480"/>
      <c r="W349" s="480"/>
      <c r="X349" s="480"/>
      <c r="Y349" s="483">
        <f t="shared" si="17"/>
        <v>0</v>
      </c>
      <c r="Z349" s="484"/>
      <c r="AA349" s="485"/>
      <c r="AB349" s="486"/>
      <c r="AC349" s="486"/>
      <c r="AD349" s="486"/>
      <c r="AE349" s="487"/>
      <c r="AF349" s="449"/>
      <c r="AG349" s="449"/>
      <c r="AH349" s="449"/>
    </row>
    <row r="350" ht="11.25" customHeight="1">
      <c r="A350" s="431">
        <f>IF(B350="","", YEAR(B350))</f>
        <v>2026</v>
      </c>
      <c r="B350" s="432">
        <v>46118.0</v>
      </c>
      <c r="C350" s="433" t="s">
        <v>1198</v>
      </c>
      <c r="D350" s="433" t="s">
        <v>1413</v>
      </c>
      <c r="E350" s="434" t="str">
        <f t="shared" ref="E350:I350" si="182">IFERROR(AVERAGE(L350:L353),"")</f>
        <v/>
      </c>
      <c r="F350" s="434" t="str">
        <f t="shared" si="182"/>
        <v/>
      </c>
      <c r="G350" s="435" t="str">
        <f t="shared" si="182"/>
        <v/>
      </c>
      <c r="H350" s="435" t="str">
        <f t="shared" si="182"/>
        <v/>
      </c>
      <c r="I350" s="436" t="str">
        <f t="shared" si="182"/>
        <v/>
      </c>
      <c r="J350" s="437">
        <f>SUMIFS(PRODUCTION[KG],PRODUCTION[GRADE],"3X50",PRODUCTION[DATE],B350,PRODUCTION[BATCH],C350,PRODUCTION[SHIFT],D350)</f>
        <v>22420</v>
      </c>
      <c r="K350" s="438" t="s">
        <v>1414</v>
      </c>
      <c r="L350" s="443"/>
      <c r="M350" s="440"/>
      <c r="N350" s="441"/>
      <c r="O350" s="441"/>
      <c r="P350" s="442"/>
      <c r="Q350" s="443"/>
      <c r="R350" s="440"/>
      <c r="S350" s="440"/>
      <c r="T350" s="440"/>
      <c r="U350" s="440"/>
      <c r="V350" s="440"/>
      <c r="W350" s="440"/>
      <c r="X350" s="440"/>
      <c r="Y350" s="444">
        <f t="shared" si="17"/>
        <v>0</v>
      </c>
      <c r="Z350" s="445"/>
      <c r="AA350" s="446">
        <f t="shared" ref="AA350:AE350" si="183">$J350*E350</f>
        <v>0</v>
      </c>
      <c r="AB350" s="447">
        <f t="shared" si="183"/>
        <v>0</v>
      </c>
      <c r="AC350" s="447">
        <f t="shared" si="183"/>
        <v>0</v>
      </c>
      <c r="AD350" s="447">
        <f t="shared" si="183"/>
        <v>0</v>
      </c>
      <c r="AE350" s="448">
        <f t="shared" si="183"/>
        <v>0</v>
      </c>
      <c r="AF350" s="449"/>
      <c r="AG350" s="449"/>
      <c r="AH350" s="449"/>
    </row>
    <row r="351" ht="11.25" customHeight="1">
      <c r="A351" s="450"/>
      <c r="B351" s="451"/>
      <c r="C351" s="452"/>
      <c r="D351" s="452"/>
      <c r="E351" s="453"/>
      <c r="F351" s="453"/>
      <c r="G351" s="454"/>
      <c r="H351" s="454"/>
      <c r="I351" s="455"/>
      <c r="J351" s="456"/>
      <c r="K351" s="457" t="s">
        <v>1416</v>
      </c>
      <c r="L351" s="458"/>
      <c r="M351" s="459"/>
      <c r="N351" s="460"/>
      <c r="O351" s="460"/>
      <c r="P351" s="461"/>
      <c r="Q351" s="458"/>
      <c r="R351" s="459"/>
      <c r="S351" s="459"/>
      <c r="T351" s="459"/>
      <c r="U351" s="459"/>
      <c r="V351" s="459"/>
      <c r="W351" s="459"/>
      <c r="X351" s="459"/>
      <c r="Y351" s="462">
        <f t="shared" si="17"/>
        <v>0</v>
      </c>
      <c r="Z351" s="463"/>
      <c r="AA351" s="464"/>
      <c r="AB351" s="465"/>
      <c r="AC351" s="465"/>
      <c r="AD351" s="465"/>
      <c r="AE351" s="466"/>
      <c r="AF351" s="449"/>
      <c r="AG351" s="449"/>
      <c r="AH351" s="449"/>
    </row>
    <row r="352" ht="11.25" customHeight="1">
      <c r="A352" s="450"/>
      <c r="B352" s="451"/>
      <c r="C352" s="452"/>
      <c r="D352" s="452"/>
      <c r="E352" s="453"/>
      <c r="F352" s="453"/>
      <c r="G352" s="454"/>
      <c r="H352" s="454"/>
      <c r="I352" s="455"/>
      <c r="J352" s="456"/>
      <c r="K352" s="467" t="s">
        <v>1417</v>
      </c>
      <c r="L352" s="468"/>
      <c r="M352" s="469"/>
      <c r="N352" s="470"/>
      <c r="O352" s="470"/>
      <c r="P352" s="471"/>
      <c r="Q352" s="468"/>
      <c r="R352" s="469"/>
      <c r="S352" s="469"/>
      <c r="T352" s="469"/>
      <c r="U352" s="469"/>
      <c r="V352" s="469"/>
      <c r="W352" s="469"/>
      <c r="X352" s="469"/>
      <c r="Y352" s="462">
        <f t="shared" si="17"/>
        <v>0</v>
      </c>
      <c r="Z352" s="463"/>
      <c r="AA352" s="464"/>
      <c r="AB352" s="465"/>
      <c r="AC352" s="465"/>
      <c r="AD352" s="465"/>
      <c r="AE352" s="466"/>
      <c r="AF352" s="449"/>
      <c r="AG352" s="449"/>
      <c r="AH352" s="449"/>
    </row>
    <row r="353" ht="11.25" customHeight="1">
      <c r="A353" s="450"/>
      <c r="B353" s="472"/>
      <c r="C353" s="473"/>
      <c r="D353" s="473"/>
      <c r="E353" s="474"/>
      <c r="F353" s="474"/>
      <c r="G353" s="475"/>
      <c r="H353" s="475"/>
      <c r="I353" s="476"/>
      <c r="J353" s="477"/>
      <c r="K353" s="478" t="s">
        <v>1418</v>
      </c>
      <c r="L353" s="479"/>
      <c r="M353" s="480"/>
      <c r="N353" s="481"/>
      <c r="O353" s="481"/>
      <c r="P353" s="482"/>
      <c r="Q353" s="479"/>
      <c r="R353" s="480"/>
      <c r="S353" s="480"/>
      <c r="T353" s="480"/>
      <c r="U353" s="480"/>
      <c r="V353" s="480"/>
      <c r="W353" s="480"/>
      <c r="X353" s="480"/>
      <c r="Y353" s="483">
        <f t="shared" si="17"/>
        <v>0</v>
      </c>
      <c r="Z353" s="484"/>
      <c r="AA353" s="485"/>
      <c r="AB353" s="486"/>
      <c r="AC353" s="486"/>
      <c r="AD353" s="486"/>
      <c r="AE353" s="487"/>
      <c r="AF353" s="449"/>
      <c r="AG353" s="449"/>
      <c r="AH353" s="449"/>
    </row>
    <row r="354" ht="11.25" customHeight="1">
      <c r="A354" s="431">
        <f>IF(B354="","", YEAR(B354))</f>
        <v>2026</v>
      </c>
      <c r="B354" s="432">
        <v>46119.0</v>
      </c>
      <c r="C354" s="433" t="s">
        <v>1198</v>
      </c>
      <c r="D354" s="433" t="s">
        <v>1413</v>
      </c>
      <c r="E354" s="434" t="str">
        <f t="shared" ref="E354:I354" si="184">IFERROR(AVERAGE(L354:L357),"")</f>
        <v/>
      </c>
      <c r="F354" s="434" t="str">
        <f t="shared" si="184"/>
        <v/>
      </c>
      <c r="G354" s="435" t="str">
        <f t="shared" si="184"/>
        <v/>
      </c>
      <c r="H354" s="435" t="str">
        <f t="shared" si="184"/>
        <v/>
      </c>
      <c r="I354" s="436" t="str">
        <f t="shared" si="184"/>
        <v/>
      </c>
      <c r="J354" s="437">
        <f>SUMIFS(PRODUCTION[KG],PRODUCTION[GRADE],"3X50",PRODUCTION[DATE],B354,PRODUCTION[BATCH],C354,PRODUCTION[SHIFT],D354)</f>
        <v>24190</v>
      </c>
      <c r="K354" s="438" t="s">
        <v>1414</v>
      </c>
      <c r="L354" s="443"/>
      <c r="M354" s="440"/>
      <c r="N354" s="441"/>
      <c r="O354" s="441"/>
      <c r="P354" s="442"/>
      <c r="Q354" s="443"/>
      <c r="R354" s="440"/>
      <c r="S354" s="440"/>
      <c r="T354" s="440"/>
      <c r="U354" s="440"/>
      <c r="V354" s="440"/>
      <c r="W354" s="440"/>
      <c r="X354" s="440"/>
      <c r="Y354" s="444">
        <f t="shared" si="17"/>
        <v>0</v>
      </c>
      <c r="Z354" s="445"/>
      <c r="AA354" s="446">
        <f t="shared" ref="AA354:AE354" si="185">$J354*E354</f>
        <v>0</v>
      </c>
      <c r="AB354" s="447">
        <f t="shared" si="185"/>
        <v>0</v>
      </c>
      <c r="AC354" s="447">
        <f t="shared" si="185"/>
        <v>0</v>
      </c>
      <c r="AD354" s="447">
        <f t="shared" si="185"/>
        <v>0</v>
      </c>
      <c r="AE354" s="448">
        <f t="shared" si="185"/>
        <v>0</v>
      </c>
      <c r="AF354" s="449"/>
      <c r="AG354" s="449"/>
      <c r="AH354" s="449"/>
    </row>
    <row r="355" ht="11.25" customHeight="1">
      <c r="A355" s="450"/>
      <c r="B355" s="451"/>
      <c r="C355" s="452"/>
      <c r="D355" s="452"/>
      <c r="E355" s="453"/>
      <c r="F355" s="453"/>
      <c r="G355" s="454"/>
      <c r="H355" s="454"/>
      <c r="I355" s="455"/>
      <c r="J355" s="456"/>
      <c r="K355" s="457">
        <v>144.0</v>
      </c>
      <c r="L355" s="458"/>
      <c r="M355" s="459"/>
      <c r="N355" s="460"/>
      <c r="O355" s="460"/>
      <c r="P355" s="461"/>
      <c r="Q355" s="458"/>
      <c r="R355" s="459"/>
      <c r="S355" s="459"/>
      <c r="T355" s="459"/>
      <c r="U355" s="459"/>
      <c r="V355" s="459"/>
      <c r="W355" s="459"/>
      <c r="X355" s="459"/>
      <c r="Y355" s="462">
        <f t="shared" si="17"/>
        <v>0</v>
      </c>
      <c r="Z355" s="463"/>
      <c r="AA355" s="464"/>
      <c r="AB355" s="465"/>
      <c r="AC355" s="465"/>
      <c r="AD355" s="465"/>
      <c r="AE355" s="466"/>
      <c r="AF355" s="449"/>
      <c r="AG355" s="449"/>
      <c r="AH355" s="449"/>
    </row>
    <row r="356" ht="11.25" customHeight="1">
      <c r="A356" s="450"/>
      <c r="B356" s="451"/>
      <c r="C356" s="452"/>
      <c r="D356" s="452"/>
      <c r="E356" s="453"/>
      <c r="F356" s="453"/>
      <c r="G356" s="454"/>
      <c r="H356" s="454"/>
      <c r="I356" s="455"/>
      <c r="J356" s="456"/>
      <c r="K356" s="467" t="s">
        <v>1417</v>
      </c>
      <c r="L356" s="468"/>
      <c r="M356" s="469"/>
      <c r="N356" s="470"/>
      <c r="O356" s="470"/>
      <c r="P356" s="471"/>
      <c r="Q356" s="468"/>
      <c r="R356" s="469"/>
      <c r="S356" s="469"/>
      <c r="T356" s="469"/>
      <c r="U356" s="469"/>
      <c r="V356" s="469"/>
      <c r="W356" s="469"/>
      <c r="X356" s="469"/>
      <c r="Y356" s="462">
        <f t="shared" si="17"/>
        <v>0</v>
      </c>
      <c r="Z356" s="463"/>
      <c r="AA356" s="464"/>
      <c r="AB356" s="465"/>
      <c r="AC356" s="465"/>
      <c r="AD356" s="465"/>
      <c r="AE356" s="466"/>
      <c r="AF356" s="449"/>
      <c r="AG356" s="449"/>
      <c r="AH356" s="449"/>
    </row>
    <row r="357" ht="11.25" customHeight="1">
      <c r="A357" s="450"/>
      <c r="B357" s="472"/>
      <c r="C357" s="473"/>
      <c r="D357" s="473"/>
      <c r="E357" s="474"/>
      <c r="F357" s="474"/>
      <c r="G357" s="475"/>
      <c r="H357" s="475"/>
      <c r="I357" s="476"/>
      <c r="J357" s="477"/>
      <c r="K357" s="478" t="s">
        <v>1418</v>
      </c>
      <c r="L357" s="479"/>
      <c r="M357" s="480"/>
      <c r="N357" s="481"/>
      <c r="O357" s="481"/>
      <c r="P357" s="482"/>
      <c r="Q357" s="479"/>
      <c r="R357" s="480"/>
      <c r="S357" s="480"/>
      <c r="T357" s="480"/>
      <c r="U357" s="480"/>
      <c r="V357" s="480"/>
      <c r="W357" s="480"/>
      <c r="X357" s="480"/>
      <c r="Y357" s="483">
        <f t="shared" si="17"/>
        <v>0</v>
      </c>
      <c r="Z357" s="484"/>
      <c r="AA357" s="485"/>
      <c r="AB357" s="486"/>
      <c r="AC357" s="486"/>
      <c r="AD357" s="486"/>
      <c r="AE357" s="487"/>
      <c r="AF357" s="449"/>
      <c r="AG357" s="449"/>
      <c r="AH357" s="449"/>
    </row>
    <row r="358" ht="11.25" customHeight="1">
      <c r="A358" s="431">
        <f>IF(B358="","", YEAR(B358))</f>
        <v>2026</v>
      </c>
      <c r="B358" s="432">
        <v>46120.0</v>
      </c>
      <c r="C358" s="433" t="s">
        <v>1198</v>
      </c>
      <c r="D358" s="433" t="s">
        <v>1413</v>
      </c>
      <c r="E358" s="434" t="str">
        <f t="shared" ref="E358:I358" si="186">IFERROR(AVERAGE(L358:L361),"")</f>
        <v/>
      </c>
      <c r="F358" s="434" t="str">
        <f t="shared" si="186"/>
        <v/>
      </c>
      <c r="G358" s="435" t="str">
        <f t="shared" si="186"/>
        <v/>
      </c>
      <c r="H358" s="435" t="str">
        <f t="shared" si="186"/>
        <v/>
      </c>
      <c r="I358" s="436" t="str">
        <f t="shared" si="186"/>
        <v/>
      </c>
      <c r="J358" s="437">
        <f>SUMIFS(PRODUCTION[KG],PRODUCTION[GRADE],"3X50",PRODUCTION[DATE],B358,PRODUCTION[BATCH],C358,PRODUCTION[SHIFT],D358)</f>
        <v>25370</v>
      </c>
      <c r="K358" s="438" t="s">
        <v>1414</v>
      </c>
      <c r="L358" s="443"/>
      <c r="M358" s="440"/>
      <c r="N358" s="441"/>
      <c r="O358" s="441"/>
      <c r="P358" s="442"/>
      <c r="Q358" s="443"/>
      <c r="R358" s="440"/>
      <c r="S358" s="440"/>
      <c r="T358" s="440"/>
      <c r="U358" s="440"/>
      <c r="V358" s="440"/>
      <c r="W358" s="440"/>
      <c r="X358" s="440"/>
      <c r="Y358" s="444">
        <f t="shared" si="17"/>
        <v>0</v>
      </c>
      <c r="Z358" s="445"/>
      <c r="AA358" s="446">
        <f t="shared" ref="AA358:AE358" si="187">$J358*E358</f>
        <v>0</v>
      </c>
      <c r="AB358" s="447">
        <f t="shared" si="187"/>
        <v>0</v>
      </c>
      <c r="AC358" s="447">
        <f t="shared" si="187"/>
        <v>0</v>
      </c>
      <c r="AD358" s="447">
        <f t="shared" si="187"/>
        <v>0</v>
      </c>
      <c r="AE358" s="448">
        <f t="shared" si="187"/>
        <v>0</v>
      </c>
      <c r="AF358" s="449"/>
      <c r="AG358" s="449"/>
      <c r="AH358" s="449"/>
    </row>
    <row r="359" ht="11.25" customHeight="1">
      <c r="A359" s="450"/>
      <c r="B359" s="451"/>
      <c r="C359" s="452"/>
      <c r="D359" s="452"/>
      <c r="E359" s="453"/>
      <c r="F359" s="453"/>
      <c r="G359" s="454"/>
      <c r="H359" s="454"/>
      <c r="I359" s="455"/>
      <c r="J359" s="456"/>
      <c r="K359" s="457" t="s">
        <v>1416</v>
      </c>
      <c r="L359" s="458"/>
      <c r="M359" s="459"/>
      <c r="N359" s="460"/>
      <c r="O359" s="460"/>
      <c r="P359" s="461"/>
      <c r="Q359" s="458"/>
      <c r="R359" s="459"/>
      <c r="S359" s="459"/>
      <c r="T359" s="459"/>
      <c r="U359" s="459"/>
      <c r="V359" s="459"/>
      <c r="W359" s="459"/>
      <c r="X359" s="459"/>
      <c r="Y359" s="462">
        <f t="shared" si="17"/>
        <v>0</v>
      </c>
      <c r="Z359" s="463"/>
      <c r="AA359" s="464"/>
      <c r="AB359" s="465"/>
      <c r="AC359" s="465"/>
      <c r="AD359" s="465"/>
      <c r="AE359" s="466"/>
      <c r="AF359" s="449"/>
      <c r="AG359" s="449"/>
      <c r="AH359" s="449"/>
    </row>
    <row r="360" ht="11.25" customHeight="1">
      <c r="A360" s="450"/>
      <c r="B360" s="451"/>
      <c r="C360" s="452"/>
      <c r="D360" s="452"/>
      <c r="E360" s="453"/>
      <c r="F360" s="453"/>
      <c r="G360" s="454"/>
      <c r="H360" s="454"/>
      <c r="I360" s="455"/>
      <c r="J360" s="456"/>
      <c r="K360" s="467" t="s">
        <v>1417</v>
      </c>
      <c r="L360" s="468"/>
      <c r="M360" s="469"/>
      <c r="N360" s="470"/>
      <c r="O360" s="470"/>
      <c r="P360" s="471"/>
      <c r="Q360" s="468"/>
      <c r="R360" s="469"/>
      <c r="S360" s="469"/>
      <c r="T360" s="469"/>
      <c r="U360" s="469"/>
      <c r="V360" s="469"/>
      <c r="W360" s="469"/>
      <c r="X360" s="469"/>
      <c r="Y360" s="462">
        <f t="shared" si="17"/>
        <v>0</v>
      </c>
      <c r="Z360" s="463"/>
      <c r="AA360" s="464"/>
      <c r="AB360" s="465"/>
      <c r="AC360" s="465"/>
      <c r="AD360" s="465"/>
      <c r="AE360" s="466"/>
      <c r="AF360" s="449"/>
      <c r="AG360" s="449"/>
      <c r="AH360" s="449"/>
    </row>
    <row r="361" ht="11.25" customHeight="1">
      <c r="A361" s="450"/>
      <c r="B361" s="472"/>
      <c r="C361" s="473"/>
      <c r="D361" s="473"/>
      <c r="E361" s="474"/>
      <c r="F361" s="474"/>
      <c r="G361" s="475"/>
      <c r="H361" s="475"/>
      <c r="I361" s="476"/>
      <c r="J361" s="477"/>
      <c r="K361" s="478" t="s">
        <v>1418</v>
      </c>
      <c r="L361" s="479"/>
      <c r="M361" s="480"/>
      <c r="N361" s="481"/>
      <c r="O361" s="481"/>
      <c r="P361" s="482"/>
      <c r="Q361" s="479"/>
      <c r="R361" s="480"/>
      <c r="S361" s="480"/>
      <c r="T361" s="480"/>
      <c r="U361" s="480"/>
      <c r="V361" s="480"/>
      <c r="W361" s="480"/>
      <c r="X361" s="480"/>
      <c r="Y361" s="483">
        <f t="shared" si="17"/>
        <v>0</v>
      </c>
      <c r="Z361" s="484"/>
      <c r="AA361" s="485"/>
      <c r="AB361" s="486"/>
      <c r="AC361" s="486"/>
      <c r="AD361" s="486"/>
      <c r="AE361" s="487"/>
      <c r="AF361" s="449"/>
      <c r="AG361" s="449"/>
      <c r="AH361" s="449"/>
    </row>
    <row r="362" ht="11.25" customHeight="1">
      <c r="A362" s="431">
        <f>IF(B362="","", YEAR(B362))</f>
        <v>2026</v>
      </c>
      <c r="B362" s="432">
        <v>46121.0</v>
      </c>
      <c r="C362" s="433" t="s">
        <v>1198</v>
      </c>
      <c r="D362" s="433" t="s">
        <v>1413</v>
      </c>
      <c r="E362" s="434" t="str">
        <f t="shared" ref="E362:I362" si="188">IFERROR(AVERAGE(L362:L365),"")</f>
        <v/>
      </c>
      <c r="F362" s="434" t="str">
        <f t="shared" si="188"/>
        <v/>
      </c>
      <c r="G362" s="435" t="str">
        <f t="shared" si="188"/>
        <v/>
      </c>
      <c r="H362" s="435" t="str">
        <f t="shared" si="188"/>
        <v/>
      </c>
      <c r="I362" s="436" t="str">
        <f t="shared" si="188"/>
        <v/>
      </c>
      <c r="J362" s="437">
        <f>SUMIFS(PRODUCTION[KG],PRODUCTION[GRADE],"3X50",PRODUCTION[DATE],B362,PRODUCTION[BATCH],C362,PRODUCTION[SHIFT],D362)</f>
        <v>25370</v>
      </c>
      <c r="K362" s="438" t="s">
        <v>1414</v>
      </c>
      <c r="L362" s="443"/>
      <c r="M362" s="440"/>
      <c r="N362" s="441"/>
      <c r="O362" s="441"/>
      <c r="P362" s="442"/>
      <c r="Q362" s="443"/>
      <c r="R362" s="440"/>
      <c r="S362" s="440"/>
      <c r="T362" s="440"/>
      <c r="U362" s="440"/>
      <c r="V362" s="440"/>
      <c r="W362" s="440"/>
      <c r="X362" s="440"/>
      <c r="Y362" s="444">
        <f t="shared" si="17"/>
        <v>0</v>
      </c>
      <c r="Z362" s="445"/>
      <c r="AA362" s="446">
        <f t="shared" ref="AA362:AE362" si="189">$J362*E362</f>
        <v>0</v>
      </c>
      <c r="AB362" s="447">
        <f t="shared" si="189"/>
        <v>0</v>
      </c>
      <c r="AC362" s="447">
        <f t="shared" si="189"/>
        <v>0</v>
      </c>
      <c r="AD362" s="447">
        <f t="shared" si="189"/>
        <v>0</v>
      </c>
      <c r="AE362" s="448">
        <f t="shared" si="189"/>
        <v>0</v>
      </c>
      <c r="AF362" s="449"/>
      <c r="AG362" s="449"/>
      <c r="AH362" s="449"/>
    </row>
    <row r="363" ht="11.25" customHeight="1">
      <c r="A363" s="450"/>
      <c r="B363" s="451"/>
      <c r="C363" s="452"/>
      <c r="D363" s="452"/>
      <c r="E363" s="453"/>
      <c r="F363" s="453"/>
      <c r="G363" s="454"/>
      <c r="H363" s="454"/>
      <c r="I363" s="455"/>
      <c r="J363" s="456"/>
      <c r="K363" s="457" t="s">
        <v>1416</v>
      </c>
      <c r="L363" s="458"/>
      <c r="M363" s="459"/>
      <c r="N363" s="460"/>
      <c r="O363" s="460"/>
      <c r="P363" s="461"/>
      <c r="Q363" s="458"/>
      <c r="R363" s="459"/>
      <c r="S363" s="459"/>
      <c r="T363" s="459"/>
      <c r="U363" s="459"/>
      <c r="V363" s="459"/>
      <c r="W363" s="459"/>
      <c r="X363" s="459"/>
      <c r="Y363" s="462">
        <f t="shared" si="17"/>
        <v>0</v>
      </c>
      <c r="Z363" s="463"/>
      <c r="AA363" s="464"/>
      <c r="AB363" s="465"/>
      <c r="AC363" s="465"/>
      <c r="AD363" s="465"/>
      <c r="AE363" s="466"/>
      <c r="AF363" s="449"/>
      <c r="AG363" s="449"/>
      <c r="AH363" s="449"/>
    </row>
    <row r="364" ht="11.25" customHeight="1">
      <c r="A364" s="450"/>
      <c r="B364" s="451"/>
      <c r="C364" s="452"/>
      <c r="D364" s="452"/>
      <c r="E364" s="453"/>
      <c r="F364" s="453"/>
      <c r="G364" s="454"/>
      <c r="H364" s="454"/>
      <c r="I364" s="455"/>
      <c r="J364" s="456"/>
      <c r="K364" s="467" t="s">
        <v>1417</v>
      </c>
      <c r="L364" s="468"/>
      <c r="M364" s="469"/>
      <c r="N364" s="470"/>
      <c r="O364" s="470"/>
      <c r="P364" s="471"/>
      <c r="Q364" s="468"/>
      <c r="R364" s="469"/>
      <c r="S364" s="469"/>
      <c r="T364" s="469"/>
      <c r="U364" s="469"/>
      <c r="V364" s="469"/>
      <c r="W364" s="469"/>
      <c r="X364" s="469"/>
      <c r="Y364" s="462">
        <f t="shared" si="17"/>
        <v>0</v>
      </c>
      <c r="Z364" s="463"/>
      <c r="AA364" s="464"/>
      <c r="AB364" s="465"/>
      <c r="AC364" s="465"/>
      <c r="AD364" s="465"/>
      <c r="AE364" s="466"/>
      <c r="AF364" s="449"/>
      <c r="AG364" s="449"/>
      <c r="AH364" s="449"/>
    </row>
    <row r="365" ht="11.25" customHeight="1">
      <c r="A365" s="450"/>
      <c r="B365" s="472"/>
      <c r="C365" s="473"/>
      <c r="D365" s="473"/>
      <c r="E365" s="474"/>
      <c r="F365" s="474"/>
      <c r="G365" s="475"/>
      <c r="H365" s="475"/>
      <c r="I365" s="476"/>
      <c r="J365" s="477"/>
      <c r="K365" s="478" t="s">
        <v>1418</v>
      </c>
      <c r="L365" s="479"/>
      <c r="M365" s="480"/>
      <c r="N365" s="481"/>
      <c r="O365" s="481"/>
      <c r="P365" s="482"/>
      <c r="Q365" s="479"/>
      <c r="R365" s="480"/>
      <c r="S365" s="480"/>
      <c r="T365" s="480"/>
      <c r="U365" s="480"/>
      <c r="V365" s="480"/>
      <c r="W365" s="480"/>
      <c r="X365" s="480"/>
      <c r="Y365" s="483">
        <f t="shared" si="17"/>
        <v>0</v>
      </c>
      <c r="Z365" s="484"/>
      <c r="AA365" s="485"/>
      <c r="AB365" s="486"/>
      <c r="AC365" s="486"/>
      <c r="AD365" s="486"/>
      <c r="AE365" s="487"/>
      <c r="AF365" s="449"/>
      <c r="AG365" s="449"/>
      <c r="AH365" s="449"/>
    </row>
    <row r="366" ht="11.25" customHeight="1">
      <c r="A366" s="431">
        <f>IF(B366="","", YEAR(B366))</f>
        <v>2026</v>
      </c>
      <c r="B366" s="432">
        <v>46122.0</v>
      </c>
      <c r="C366" s="433" t="s">
        <v>1198</v>
      </c>
      <c r="D366" s="433" t="s">
        <v>1413</v>
      </c>
      <c r="E366" s="434" t="str">
        <f t="shared" ref="E366:I366" si="190">IFERROR(AVERAGE(L366:L369),"")</f>
        <v/>
      </c>
      <c r="F366" s="434" t="str">
        <f t="shared" si="190"/>
        <v/>
      </c>
      <c r="G366" s="435" t="str">
        <f t="shared" si="190"/>
        <v/>
      </c>
      <c r="H366" s="435" t="str">
        <f t="shared" si="190"/>
        <v/>
      </c>
      <c r="I366" s="436" t="str">
        <f t="shared" si="190"/>
        <v/>
      </c>
      <c r="J366" s="437">
        <f>SUMIFS(PRODUCTION[KG],PRODUCTION[GRADE],"3X50",PRODUCTION[DATE],B366,PRODUCTION[BATCH],C366,PRODUCTION[SHIFT],D366)</f>
        <v>21830</v>
      </c>
      <c r="K366" s="438" t="s">
        <v>1414</v>
      </c>
      <c r="L366" s="443"/>
      <c r="M366" s="440"/>
      <c r="N366" s="441"/>
      <c r="O366" s="441"/>
      <c r="P366" s="442"/>
      <c r="Q366" s="443"/>
      <c r="R366" s="440"/>
      <c r="S366" s="440"/>
      <c r="T366" s="440"/>
      <c r="U366" s="440"/>
      <c r="V366" s="440"/>
      <c r="W366" s="440"/>
      <c r="X366" s="440"/>
      <c r="Y366" s="444">
        <f t="shared" si="17"/>
        <v>0</v>
      </c>
      <c r="Z366" s="445"/>
      <c r="AA366" s="446">
        <f t="shared" ref="AA366:AE366" si="191">$J366*E366</f>
        <v>0</v>
      </c>
      <c r="AB366" s="447">
        <f t="shared" si="191"/>
        <v>0</v>
      </c>
      <c r="AC366" s="447">
        <f t="shared" si="191"/>
        <v>0</v>
      </c>
      <c r="AD366" s="447">
        <f t="shared" si="191"/>
        <v>0</v>
      </c>
      <c r="AE366" s="448">
        <f t="shared" si="191"/>
        <v>0</v>
      </c>
      <c r="AF366" s="449"/>
      <c r="AG366" s="449"/>
      <c r="AH366" s="449"/>
    </row>
    <row r="367" ht="11.25" customHeight="1">
      <c r="A367" s="450"/>
      <c r="B367" s="451"/>
      <c r="C367" s="452"/>
      <c r="D367" s="452"/>
      <c r="E367" s="453"/>
      <c r="F367" s="453"/>
      <c r="G367" s="454"/>
      <c r="H367" s="454"/>
      <c r="I367" s="455"/>
      <c r="J367" s="456"/>
      <c r="K367" s="457" t="s">
        <v>1416</v>
      </c>
      <c r="L367" s="458"/>
      <c r="M367" s="459"/>
      <c r="N367" s="460"/>
      <c r="O367" s="460"/>
      <c r="P367" s="461"/>
      <c r="Q367" s="458"/>
      <c r="R367" s="459"/>
      <c r="S367" s="459"/>
      <c r="T367" s="459"/>
      <c r="U367" s="459"/>
      <c r="V367" s="459"/>
      <c r="W367" s="459"/>
      <c r="X367" s="459"/>
      <c r="Y367" s="462">
        <f t="shared" si="17"/>
        <v>0</v>
      </c>
      <c r="Z367" s="463"/>
      <c r="AA367" s="464"/>
      <c r="AB367" s="465"/>
      <c r="AC367" s="465"/>
      <c r="AD367" s="465"/>
      <c r="AE367" s="466"/>
      <c r="AF367" s="449"/>
      <c r="AG367" s="449"/>
      <c r="AH367" s="449"/>
    </row>
    <row r="368" ht="11.25" customHeight="1">
      <c r="A368" s="450"/>
      <c r="B368" s="451"/>
      <c r="C368" s="452"/>
      <c r="D368" s="452"/>
      <c r="E368" s="453"/>
      <c r="F368" s="453"/>
      <c r="G368" s="454"/>
      <c r="H368" s="454"/>
      <c r="I368" s="455"/>
      <c r="J368" s="456"/>
      <c r="K368" s="467" t="s">
        <v>1417</v>
      </c>
      <c r="L368" s="468"/>
      <c r="M368" s="469"/>
      <c r="N368" s="470"/>
      <c r="O368" s="470"/>
      <c r="P368" s="471"/>
      <c r="Q368" s="468"/>
      <c r="R368" s="469"/>
      <c r="S368" s="469"/>
      <c r="T368" s="469"/>
      <c r="U368" s="469"/>
      <c r="V368" s="469"/>
      <c r="W368" s="469"/>
      <c r="X368" s="469"/>
      <c r="Y368" s="462">
        <f t="shared" si="17"/>
        <v>0</v>
      </c>
      <c r="Z368" s="463"/>
      <c r="AA368" s="464"/>
      <c r="AB368" s="465"/>
      <c r="AC368" s="465"/>
      <c r="AD368" s="465"/>
      <c r="AE368" s="466"/>
      <c r="AF368" s="449"/>
      <c r="AG368" s="449"/>
      <c r="AH368" s="449"/>
    </row>
    <row r="369" ht="11.25" customHeight="1">
      <c r="A369" s="450"/>
      <c r="B369" s="472"/>
      <c r="C369" s="473"/>
      <c r="D369" s="473"/>
      <c r="E369" s="474"/>
      <c r="F369" s="474"/>
      <c r="G369" s="475"/>
      <c r="H369" s="475"/>
      <c r="I369" s="476"/>
      <c r="J369" s="477"/>
      <c r="K369" s="478" t="s">
        <v>1418</v>
      </c>
      <c r="L369" s="479"/>
      <c r="M369" s="480"/>
      <c r="N369" s="481"/>
      <c r="O369" s="481"/>
      <c r="P369" s="482"/>
      <c r="Q369" s="479"/>
      <c r="R369" s="480"/>
      <c r="S369" s="480"/>
      <c r="T369" s="480"/>
      <c r="U369" s="480"/>
      <c r="V369" s="480"/>
      <c r="W369" s="480"/>
      <c r="X369" s="480"/>
      <c r="Y369" s="483">
        <f t="shared" si="17"/>
        <v>0</v>
      </c>
      <c r="Z369" s="484"/>
      <c r="AA369" s="485"/>
      <c r="AB369" s="486"/>
      <c r="AC369" s="486"/>
      <c r="AD369" s="486"/>
      <c r="AE369" s="487"/>
      <c r="AF369" s="449"/>
      <c r="AG369" s="449"/>
      <c r="AH369" s="449"/>
    </row>
    <row r="370" ht="11.25" customHeight="1">
      <c r="A370" s="431">
        <f>IF(B370="","", YEAR(B370))</f>
        <v>2026</v>
      </c>
      <c r="B370" s="432">
        <v>46123.0</v>
      </c>
      <c r="C370" s="433" t="s">
        <v>1198</v>
      </c>
      <c r="D370" s="433" t="s">
        <v>1413</v>
      </c>
      <c r="E370" s="434" t="str">
        <f t="shared" ref="E370:I370" si="192">IFERROR(AVERAGE(L370:L373),"")</f>
        <v/>
      </c>
      <c r="F370" s="434" t="str">
        <f t="shared" si="192"/>
        <v/>
      </c>
      <c r="G370" s="435" t="str">
        <f t="shared" si="192"/>
        <v/>
      </c>
      <c r="H370" s="435" t="str">
        <f t="shared" si="192"/>
        <v/>
      </c>
      <c r="I370" s="436" t="str">
        <f t="shared" si="192"/>
        <v/>
      </c>
      <c r="J370" s="437">
        <f>SUMIFS(PRODUCTION[KG],PRODUCTION[GRADE],"3X50",PRODUCTION[DATE],B370,PRODUCTION[BATCH],C370,PRODUCTION[SHIFT],D370)</f>
        <v>0</v>
      </c>
      <c r="K370" s="438" t="s">
        <v>1414</v>
      </c>
      <c r="L370" s="443"/>
      <c r="M370" s="440"/>
      <c r="N370" s="441"/>
      <c r="O370" s="441"/>
      <c r="P370" s="442"/>
      <c r="Q370" s="443"/>
      <c r="R370" s="440"/>
      <c r="S370" s="440"/>
      <c r="T370" s="440"/>
      <c r="U370" s="440"/>
      <c r="V370" s="440"/>
      <c r="W370" s="440"/>
      <c r="X370" s="440"/>
      <c r="Y370" s="444">
        <f t="shared" si="17"/>
        <v>0</v>
      </c>
      <c r="Z370" s="445"/>
      <c r="AA370" s="446">
        <f t="shared" ref="AA370:AE370" si="193">$J370*E370</f>
        <v>0</v>
      </c>
      <c r="AB370" s="447">
        <f t="shared" si="193"/>
        <v>0</v>
      </c>
      <c r="AC370" s="447">
        <f t="shared" si="193"/>
        <v>0</v>
      </c>
      <c r="AD370" s="447">
        <f t="shared" si="193"/>
        <v>0</v>
      </c>
      <c r="AE370" s="448">
        <f t="shared" si="193"/>
        <v>0</v>
      </c>
      <c r="AF370" s="449"/>
      <c r="AG370" s="449"/>
      <c r="AH370" s="449"/>
    </row>
    <row r="371" ht="11.25" customHeight="1">
      <c r="A371" s="450"/>
      <c r="B371" s="451"/>
      <c r="C371" s="452"/>
      <c r="D371" s="452"/>
      <c r="E371" s="453"/>
      <c r="F371" s="453"/>
      <c r="G371" s="454"/>
      <c r="H371" s="454"/>
      <c r="I371" s="455"/>
      <c r="J371" s="456"/>
      <c r="K371" s="457" t="s">
        <v>1416</v>
      </c>
      <c r="L371" s="458"/>
      <c r="M371" s="459"/>
      <c r="N371" s="460"/>
      <c r="O371" s="460"/>
      <c r="P371" s="461"/>
      <c r="Q371" s="458"/>
      <c r="R371" s="459"/>
      <c r="S371" s="459"/>
      <c r="T371" s="459"/>
      <c r="U371" s="459"/>
      <c r="V371" s="459"/>
      <c r="W371" s="459"/>
      <c r="X371" s="459"/>
      <c r="Y371" s="462">
        <f t="shared" si="17"/>
        <v>0</v>
      </c>
      <c r="Z371" s="463"/>
      <c r="AA371" s="464"/>
      <c r="AB371" s="465"/>
      <c r="AC371" s="465"/>
      <c r="AD371" s="465"/>
      <c r="AE371" s="466"/>
      <c r="AF371" s="449"/>
      <c r="AG371" s="449"/>
      <c r="AH371" s="449"/>
    </row>
    <row r="372" ht="11.25" customHeight="1">
      <c r="A372" s="450"/>
      <c r="B372" s="451"/>
      <c r="C372" s="452"/>
      <c r="D372" s="452"/>
      <c r="E372" s="453"/>
      <c r="F372" s="453"/>
      <c r="G372" s="454"/>
      <c r="H372" s="454"/>
      <c r="I372" s="455"/>
      <c r="J372" s="456"/>
      <c r="K372" s="467" t="s">
        <v>1417</v>
      </c>
      <c r="L372" s="468"/>
      <c r="M372" s="469"/>
      <c r="N372" s="470"/>
      <c r="O372" s="470"/>
      <c r="P372" s="471"/>
      <c r="Q372" s="468"/>
      <c r="R372" s="469"/>
      <c r="S372" s="469"/>
      <c r="T372" s="469"/>
      <c r="U372" s="469"/>
      <c r="V372" s="469"/>
      <c r="W372" s="469"/>
      <c r="X372" s="469"/>
      <c r="Y372" s="462">
        <f t="shared" si="17"/>
        <v>0</v>
      </c>
      <c r="Z372" s="463"/>
      <c r="AA372" s="464"/>
      <c r="AB372" s="465"/>
      <c r="AC372" s="465"/>
      <c r="AD372" s="465"/>
      <c r="AE372" s="466"/>
      <c r="AF372" s="449"/>
      <c r="AG372" s="449"/>
      <c r="AH372" s="449"/>
    </row>
    <row r="373" ht="11.25" customHeight="1">
      <c r="A373" s="450"/>
      <c r="B373" s="472"/>
      <c r="C373" s="473"/>
      <c r="D373" s="473"/>
      <c r="E373" s="474"/>
      <c r="F373" s="474"/>
      <c r="G373" s="475"/>
      <c r="H373" s="475"/>
      <c r="I373" s="476"/>
      <c r="J373" s="477"/>
      <c r="K373" s="478" t="s">
        <v>1418</v>
      </c>
      <c r="L373" s="479"/>
      <c r="M373" s="480"/>
      <c r="N373" s="481"/>
      <c r="O373" s="481"/>
      <c r="P373" s="482"/>
      <c r="Q373" s="479"/>
      <c r="R373" s="480"/>
      <c r="S373" s="480"/>
      <c r="T373" s="480"/>
      <c r="U373" s="480"/>
      <c r="V373" s="480"/>
      <c r="W373" s="480"/>
      <c r="X373" s="480"/>
      <c r="Y373" s="483">
        <f t="shared" si="17"/>
        <v>0</v>
      </c>
      <c r="Z373" s="484"/>
      <c r="AA373" s="485"/>
      <c r="AB373" s="486"/>
      <c r="AC373" s="486"/>
      <c r="AD373" s="486"/>
      <c r="AE373" s="487"/>
      <c r="AF373" s="449"/>
      <c r="AG373" s="449"/>
      <c r="AH373" s="449"/>
    </row>
    <row r="374" ht="11.25" customHeight="1">
      <c r="A374" s="431">
        <f>IF(B374="","", YEAR(B374))</f>
        <v>2026</v>
      </c>
      <c r="B374" s="432">
        <v>46124.0</v>
      </c>
      <c r="C374" s="433" t="s">
        <v>1198</v>
      </c>
      <c r="D374" s="433" t="s">
        <v>1413</v>
      </c>
      <c r="E374" s="434" t="str">
        <f t="shared" ref="E374:I374" si="194">IFERROR(AVERAGE(L374:L377),"")</f>
        <v/>
      </c>
      <c r="F374" s="434" t="str">
        <f t="shared" si="194"/>
        <v/>
      </c>
      <c r="G374" s="435" t="str">
        <f t="shared" si="194"/>
        <v/>
      </c>
      <c r="H374" s="435" t="str">
        <f t="shared" si="194"/>
        <v/>
      </c>
      <c r="I374" s="436" t="str">
        <f t="shared" si="194"/>
        <v/>
      </c>
      <c r="J374" s="437">
        <f>SUMIFS(PRODUCTION[KG],PRODUCTION[GRADE],"3X50",PRODUCTION[DATE],B374,PRODUCTION[BATCH],C374,PRODUCTION[SHIFT],D374)</f>
        <v>0</v>
      </c>
      <c r="K374" s="438" t="s">
        <v>1414</v>
      </c>
      <c r="L374" s="443"/>
      <c r="M374" s="440"/>
      <c r="N374" s="441"/>
      <c r="O374" s="441"/>
      <c r="P374" s="442"/>
      <c r="Q374" s="443"/>
      <c r="R374" s="440"/>
      <c r="S374" s="440"/>
      <c r="T374" s="440"/>
      <c r="U374" s="440"/>
      <c r="V374" s="440"/>
      <c r="W374" s="440"/>
      <c r="X374" s="440"/>
      <c r="Y374" s="444">
        <f t="shared" si="17"/>
        <v>0</v>
      </c>
      <c r="Z374" s="445"/>
      <c r="AA374" s="446">
        <f t="shared" ref="AA374:AE374" si="195">$J374*E374</f>
        <v>0</v>
      </c>
      <c r="AB374" s="447">
        <f t="shared" si="195"/>
        <v>0</v>
      </c>
      <c r="AC374" s="447">
        <f t="shared" si="195"/>
        <v>0</v>
      </c>
      <c r="AD374" s="447">
        <f t="shared" si="195"/>
        <v>0</v>
      </c>
      <c r="AE374" s="448">
        <f t="shared" si="195"/>
        <v>0</v>
      </c>
      <c r="AF374" s="449"/>
      <c r="AG374" s="449"/>
      <c r="AH374" s="449"/>
    </row>
    <row r="375" ht="11.25" customHeight="1">
      <c r="A375" s="450"/>
      <c r="B375" s="451"/>
      <c r="C375" s="452"/>
      <c r="D375" s="452"/>
      <c r="E375" s="453"/>
      <c r="F375" s="453"/>
      <c r="G375" s="454"/>
      <c r="H375" s="454"/>
      <c r="I375" s="455"/>
      <c r="J375" s="456"/>
      <c r="K375" s="457" t="s">
        <v>1416</v>
      </c>
      <c r="L375" s="458"/>
      <c r="M375" s="459"/>
      <c r="N375" s="460"/>
      <c r="O375" s="460"/>
      <c r="P375" s="461"/>
      <c r="Q375" s="458"/>
      <c r="R375" s="459"/>
      <c r="S375" s="459"/>
      <c r="T375" s="459"/>
      <c r="U375" s="459"/>
      <c r="V375" s="459"/>
      <c r="W375" s="459"/>
      <c r="X375" s="459"/>
      <c r="Y375" s="462">
        <f t="shared" si="17"/>
        <v>0</v>
      </c>
      <c r="Z375" s="463"/>
      <c r="AA375" s="464"/>
      <c r="AB375" s="465"/>
      <c r="AC375" s="465"/>
      <c r="AD375" s="465"/>
      <c r="AE375" s="466"/>
      <c r="AF375" s="449"/>
      <c r="AG375" s="449"/>
      <c r="AH375" s="449"/>
    </row>
    <row r="376" ht="11.25" customHeight="1">
      <c r="A376" s="450"/>
      <c r="B376" s="451"/>
      <c r="C376" s="452"/>
      <c r="D376" s="452"/>
      <c r="E376" s="453"/>
      <c r="F376" s="453"/>
      <c r="G376" s="454"/>
      <c r="H376" s="454"/>
      <c r="I376" s="455"/>
      <c r="J376" s="456"/>
      <c r="K376" s="467" t="s">
        <v>1417</v>
      </c>
      <c r="L376" s="468"/>
      <c r="M376" s="469"/>
      <c r="N376" s="470"/>
      <c r="O376" s="470"/>
      <c r="P376" s="471"/>
      <c r="Q376" s="468"/>
      <c r="R376" s="469"/>
      <c r="S376" s="469"/>
      <c r="T376" s="469"/>
      <c r="U376" s="469"/>
      <c r="V376" s="469"/>
      <c r="W376" s="469"/>
      <c r="X376" s="469"/>
      <c r="Y376" s="462">
        <f t="shared" si="17"/>
        <v>0</v>
      </c>
      <c r="Z376" s="463"/>
      <c r="AA376" s="464"/>
      <c r="AB376" s="465"/>
      <c r="AC376" s="465"/>
      <c r="AD376" s="465"/>
      <c r="AE376" s="466"/>
      <c r="AF376" s="449"/>
      <c r="AG376" s="449"/>
      <c r="AH376" s="449"/>
    </row>
    <row r="377" ht="11.25" customHeight="1">
      <c r="A377" s="450"/>
      <c r="B377" s="472"/>
      <c r="C377" s="473"/>
      <c r="D377" s="473"/>
      <c r="E377" s="474"/>
      <c r="F377" s="474"/>
      <c r="G377" s="475"/>
      <c r="H377" s="475"/>
      <c r="I377" s="476"/>
      <c r="J377" s="477"/>
      <c r="K377" s="478" t="s">
        <v>1418</v>
      </c>
      <c r="L377" s="479"/>
      <c r="M377" s="480"/>
      <c r="N377" s="481"/>
      <c r="O377" s="481"/>
      <c r="P377" s="482"/>
      <c r="Q377" s="479"/>
      <c r="R377" s="480"/>
      <c r="S377" s="480"/>
      <c r="T377" s="480"/>
      <c r="U377" s="480"/>
      <c r="V377" s="480"/>
      <c r="W377" s="480"/>
      <c r="X377" s="480"/>
      <c r="Y377" s="483">
        <f t="shared" si="17"/>
        <v>0</v>
      </c>
      <c r="Z377" s="484"/>
      <c r="AA377" s="485"/>
      <c r="AB377" s="486"/>
      <c r="AC377" s="486"/>
      <c r="AD377" s="486"/>
      <c r="AE377" s="487"/>
      <c r="AF377" s="449"/>
      <c r="AG377" s="449"/>
      <c r="AH377" s="449"/>
    </row>
    <row r="378" ht="11.25" customHeight="1">
      <c r="A378" s="431">
        <f>IF(B378="","", YEAR(B378))</f>
        <v>2026</v>
      </c>
      <c r="B378" s="432">
        <v>46125.0</v>
      </c>
      <c r="C378" s="433" t="s">
        <v>1198</v>
      </c>
      <c r="D378" s="433" t="s">
        <v>1413</v>
      </c>
      <c r="E378" s="434" t="str">
        <f t="shared" ref="E378:I378" si="196">IFERROR(AVERAGE(L378:L381),"")</f>
        <v/>
      </c>
      <c r="F378" s="434" t="str">
        <f t="shared" si="196"/>
        <v/>
      </c>
      <c r="G378" s="435" t="str">
        <f t="shared" si="196"/>
        <v/>
      </c>
      <c r="H378" s="435" t="str">
        <f t="shared" si="196"/>
        <v/>
      </c>
      <c r="I378" s="436" t="str">
        <f t="shared" si="196"/>
        <v/>
      </c>
      <c r="J378" s="437">
        <f>SUMIFS(PRODUCTION[KG],PRODUCTION[GRADE],"3X50",PRODUCTION[DATE],B378,PRODUCTION[BATCH],C378,PRODUCTION[SHIFT],D378)</f>
        <v>0</v>
      </c>
      <c r="K378" s="438" t="s">
        <v>1414</v>
      </c>
      <c r="L378" s="443"/>
      <c r="M378" s="440"/>
      <c r="N378" s="441"/>
      <c r="O378" s="441"/>
      <c r="P378" s="442"/>
      <c r="Q378" s="443"/>
      <c r="R378" s="440"/>
      <c r="S378" s="440"/>
      <c r="T378" s="440"/>
      <c r="U378" s="440"/>
      <c r="V378" s="440"/>
      <c r="W378" s="440"/>
      <c r="X378" s="440"/>
      <c r="Y378" s="444">
        <f t="shared" si="17"/>
        <v>0</v>
      </c>
      <c r="Z378" s="445"/>
      <c r="AA378" s="446">
        <f t="shared" ref="AA378:AE378" si="197">$J378*E378</f>
        <v>0</v>
      </c>
      <c r="AB378" s="447">
        <f t="shared" si="197"/>
        <v>0</v>
      </c>
      <c r="AC378" s="447">
        <f t="shared" si="197"/>
        <v>0</v>
      </c>
      <c r="AD378" s="447">
        <f t="shared" si="197"/>
        <v>0</v>
      </c>
      <c r="AE378" s="448">
        <f t="shared" si="197"/>
        <v>0</v>
      </c>
      <c r="AF378" s="449"/>
      <c r="AG378" s="449"/>
      <c r="AH378" s="449"/>
    </row>
    <row r="379" ht="11.25" customHeight="1">
      <c r="A379" s="450"/>
      <c r="B379" s="451"/>
      <c r="C379" s="452"/>
      <c r="D379" s="452"/>
      <c r="E379" s="453"/>
      <c r="F379" s="453"/>
      <c r="G379" s="454"/>
      <c r="H379" s="454"/>
      <c r="I379" s="455"/>
      <c r="J379" s="456"/>
      <c r="K379" s="457" t="s">
        <v>1416</v>
      </c>
      <c r="L379" s="458"/>
      <c r="M379" s="459"/>
      <c r="N379" s="460"/>
      <c r="O379" s="460"/>
      <c r="P379" s="461"/>
      <c r="Q379" s="458"/>
      <c r="R379" s="459"/>
      <c r="S379" s="459"/>
      <c r="T379" s="459"/>
      <c r="U379" s="459"/>
      <c r="V379" s="459"/>
      <c r="W379" s="459"/>
      <c r="X379" s="459"/>
      <c r="Y379" s="462">
        <f t="shared" si="17"/>
        <v>0</v>
      </c>
      <c r="Z379" s="463"/>
      <c r="AA379" s="464"/>
      <c r="AB379" s="465"/>
      <c r="AC379" s="465"/>
      <c r="AD379" s="465"/>
      <c r="AE379" s="466"/>
      <c r="AF379" s="449"/>
      <c r="AG379" s="449"/>
      <c r="AH379" s="449"/>
    </row>
    <row r="380" ht="11.25" customHeight="1">
      <c r="A380" s="450"/>
      <c r="B380" s="451"/>
      <c r="C380" s="452"/>
      <c r="D380" s="452"/>
      <c r="E380" s="453"/>
      <c r="F380" s="453"/>
      <c r="G380" s="454"/>
      <c r="H380" s="454"/>
      <c r="I380" s="455"/>
      <c r="J380" s="456"/>
      <c r="K380" s="467" t="s">
        <v>1417</v>
      </c>
      <c r="L380" s="468"/>
      <c r="M380" s="469"/>
      <c r="N380" s="470"/>
      <c r="O380" s="470"/>
      <c r="P380" s="471"/>
      <c r="Q380" s="468"/>
      <c r="R380" s="469"/>
      <c r="S380" s="469"/>
      <c r="T380" s="469"/>
      <c r="U380" s="469"/>
      <c r="V380" s="469"/>
      <c r="W380" s="469"/>
      <c r="X380" s="469"/>
      <c r="Y380" s="462">
        <f t="shared" si="17"/>
        <v>0</v>
      </c>
      <c r="Z380" s="463"/>
      <c r="AA380" s="464"/>
      <c r="AB380" s="465"/>
      <c r="AC380" s="465"/>
      <c r="AD380" s="465"/>
      <c r="AE380" s="466"/>
      <c r="AF380" s="449"/>
      <c r="AG380" s="449"/>
      <c r="AH380" s="449"/>
    </row>
    <row r="381" ht="11.25" customHeight="1">
      <c r="A381" s="450"/>
      <c r="B381" s="472"/>
      <c r="C381" s="473"/>
      <c r="D381" s="473"/>
      <c r="E381" s="474"/>
      <c r="F381" s="474"/>
      <c r="G381" s="475"/>
      <c r="H381" s="475"/>
      <c r="I381" s="476"/>
      <c r="J381" s="477"/>
      <c r="K381" s="478" t="s">
        <v>1418</v>
      </c>
      <c r="L381" s="479"/>
      <c r="M381" s="480"/>
      <c r="N381" s="481"/>
      <c r="O381" s="481"/>
      <c r="P381" s="482"/>
      <c r="Q381" s="479"/>
      <c r="R381" s="480"/>
      <c r="S381" s="480"/>
      <c r="T381" s="480"/>
      <c r="U381" s="480"/>
      <c r="V381" s="480"/>
      <c r="W381" s="480"/>
      <c r="X381" s="480"/>
      <c r="Y381" s="483">
        <f t="shared" si="17"/>
        <v>0</v>
      </c>
      <c r="Z381" s="484"/>
      <c r="AA381" s="485"/>
      <c r="AB381" s="486"/>
      <c r="AC381" s="486"/>
      <c r="AD381" s="486"/>
      <c r="AE381" s="487"/>
      <c r="AF381" s="449"/>
      <c r="AG381" s="449"/>
      <c r="AH381" s="449"/>
    </row>
    <row r="382" ht="11.25" customHeight="1">
      <c r="A382" s="431">
        <f>IF(B382="","", YEAR(B382))</f>
        <v>2026</v>
      </c>
      <c r="B382" s="432">
        <v>46126.0</v>
      </c>
      <c r="C382" s="433" t="s">
        <v>1198</v>
      </c>
      <c r="D382" s="433" t="s">
        <v>1413</v>
      </c>
      <c r="E382" s="434" t="str">
        <f t="shared" ref="E382:I382" si="198">IFERROR(AVERAGE(L382:L385),"")</f>
        <v/>
      </c>
      <c r="F382" s="434" t="str">
        <f t="shared" si="198"/>
        <v/>
      </c>
      <c r="G382" s="435" t="str">
        <f t="shared" si="198"/>
        <v/>
      </c>
      <c r="H382" s="435" t="str">
        <f t="shared" si="198"/>
        <v/>
      </c>
      <c r="I382" s="436" t="str">
        <f t="shared" si="198"/>
        <v/>
      </c>
      <c r="J382" s="437">
        <f>SUMIFS(PRODUCTION[KG],PRODUCTION[GRADE],"3X50",PRODUCTION[DATE],B382,PRODUCTION[BATCH],C382,PRODUCTION[SHIFT],D382)</f>
        <v>0</v>
      </c>
      <c r="K382" s="438" t="s">
        <v>1414</v>
      </c>
      <c r="L382" s="443"/>
      <c r="M382" s="440"/>
      <c r="N382" s="441"/>
      <c r="O382" s="441"/>
      <c r="P382" s="442"/>
      <c r="Q382" s="443"/>
      <c r="R382" s="440"/>
      <c r="S382" s="440"/>
      <c r="T382" s="440"/>
      <c r="U382" s="440"/>
      <c r="V382" s="440"/>
      <c r="W382" s="440"/>
      <c r="X382" s="440"/>
      <c r="Y382" s="444">
        <f t="shared" si="17"/>
        <v>0</v>
      </c>
      <c r="Z382" s="445"/>
      <c r="AA382" s="446">
        <f t="shared" ref="AA382:AE382" si="199">$J382*E382</f>
        <v>0</v>
      </c>
      <c r="AB382" s="447">
        <f t="shared" si="199"/>
        <v>0</v>
      </c>
      <c r="AC382" s="447">
        <f t="shared" si="199"/>
        <v>0</v>
      </c>
      <c r="AD382" s="447">
        <f t="shared" si="199"/>
        <v>0</v>
      </c>
      <c r="AE382" s="448">
        <f t="shared" si="199"/>
        <v>0</v>
      </c>
      <c r="AF382" s="449"/>
      <c r="AG382" s="449"/>
      <c r="AH382" s="449"/>
    </row>
    <row r="383" ht="11.25" customHeight="1">
      <c r="A383" s="450"/>
      <c r="B383" s="451"/>
      <c r="C383" s="452"/>
      <c r="D383" s="452"/>
      <c r="E383" s="453"/>
      <c r="F383" s="453"/>
      <c r="G383" s="454"/>
      <c r="H383" s="454"/>
      <c r="I383" s="455"/>
      <c r="J383" s="456"/>
      <c r="K383" s="457" t="s">
        <v>1416</v>
      </c>
      <c r="L383" s="458"/>
      <c r="M383" s="459"/>
      <c r="N383" s="460"/>
      <c r="O383" s="460"/>
      <c r="P383" s="461"/>
      <c r="Q383" s="458"/>
      <c r="R383" s="459"/>
      <c r="S383" s="459"/>
      <c r="T383" s="459"/>
      <c r="U383" s="459"/>
      <c r="V383" s="459"/>
      <c r="W383" s="459"/>
      <c r="X383" s="459"/>
      <c r="Y383" s="462">
        <f t="shared" si="17"/>
        <v>0</v>
      </c>
      <c r="Z383" s="463"/>
      <c r="AA383" s="464"/>
      <c r="AB383" s="465"/>
      <c r="AC383" s="465"/>
      <c r="AD383" s="465"/>
      <c r="AE383" s="466"/>
      <c r="AF383" s="449"/>
      <c r="AG383" s="449"/>
      <c r="AH383" s="449"/>
    </row>
    <row r="384" ht="11.25" customHeight="1">
      <c r="A384" s="450"/>
      <c r="B384" s="451"/>
      <c r="C384" s="452"/>
      <c r="D384" s="452"/>
      <c r="E384" s="453"/>
      <c r="F384" s="453"/>
      <c r="G384" s="454"/>
      <c r="H384" s="454"/>
      <c r="I384" s="455"/>
      <c r="J384" s="456"/>
      <c r="K384" s="467" t="s">
        <v>1417</v>
      </c>
      <c r="L384" s="468"/>
      <c r="M384" s="469"/>
      <c r="N384" s="470"/>
      <c r="O384" s="470"/>
      <c r="P384" s="471"/>
      <c r="Q384" s="468"/>
      <c r="R384" s="469"/>
      <c r="S384" s="469"/>
      <c r="T384" s="469"/>
      <c r="U384" s="469"/>
      <c r="V384" s="469"/>
      <c r="W384" s="469"/>
      <c r="X384" s="469"/>
      <c r="Y384" s="462">
        <f t="shared" si="17"/>
        <v>0</v>
      </c>
      <c r="Z384" s="463"/>
      <c r="AA384" s="464"/>
      <c r="AB384" s="465"/>
      <c r="AC384" s="465"/>
      <c r="AD384" s="465"/>
      <c r="AE384" s="466"/>
      <c r="AF384" s="449"/>
      <c r="AG384" s="449"/>
      <c r="AH384" s="449"/>
    </row>
    <row r="385" ht="11.25" customHeight="1">
      <c r="A385" s="450"/>
      <c r="B385" s="472"/>
      <c r="C385" s="473"/>
      <c r="D385" s="473"/>
      <c r="E385" s="474"/>
      <c r="F385" s="474"/>
      <c r="G385" s="475"/>
      <c r="H385" s="475"/>
      <c r="I385" s="476"/>
      <c r="J385" s="477"/>
      <c r="K385" s="478" t="s">
        <v>1418</v>
      </c>
      <c r="L385" s="479"/>
      <c r="M385" s="480"/>
      <c r="N385" s="481"/>
      <c r="O385" s="481"/>
      <c r="P385" s="482"/>
      <c r="Q385" s="479"/>
      <c r="R385" s="480"/>
      <c r="S385" s="480"/>
      <c r="T385" s="480"/>
      <c r="U385" s="480"/>
      <c r="V385" s="480"/>
      <c r="W385" s="480"/>
      <c r="X385" s="480"/>
      <c r="Y385" s="483">
        <f t="shared" si="17"/>
        <v>0</v>
      </c>
      <c r="Z385" s="484"/>
      <c r="AA385" s="485"/>
      <c r="AB385" s="486"/>
      <c r="AC385" s="486"/>
      <c r="AD385" s="486"/>
      <c r="AE385" s="487"/>
      <c r="AF385" s="449"/>
      <c r="AG385" s="449"/>
      <c r="AH385" s="449"/>
    </row>
    <row r="386" ht="11.25" customHeight="1">
      <c r="A386" s="431">
        <f>IF(B386="","", YEAR(B386))</f>
        <v>2026</v>
      </c>
      <c r="B386" s="432">
        <v>46127.0</v>
      </c>
      <c r="C386" s="433" t="s">
        <v>1198</v>
      </c>
      <c r="D386" s="433" t="s">
        <v>1413</v>
      </c>
      <c r="E386" s="434" t="str">
        <f t="shared" ref="E386:I386" si="200">IFERROR(AVERAGE(L386:L389),"")</f>
        <v/>
      </c>
      <c r="F386" s="434" t="str">
        <f t="shared" si="200"/>
        <v/>
      </c>
      <c r="G386" s="435" t="str">
        <f t="shared" si="200"/>
        <v/>
      </c>
      <c r="H386" s="435" t="str">
        <f t="shared" si="200"/>
        <v/>
      </c>
      <c r="I386" s="436" t="str">
        <f t="shared" si="200"/>
        <v/>
      </c>
      <c r="J386" s="437">
        <f>SUMIFS(PRODUCTION[KG],PRODUCTION[GRADE],"3X50",PRODUCTION[DATE],B386,PRODUCTION[BATCH],C386,PRODUCTION[SHIFT],D386)</f>
        <v>0</v>
      </c>
      <c r="K386" s="438" t="s">
        <v>1414</v>
      </c>
      <c r="L386" s="443"/>
      <c r="M386" s="440"/>
      <c r="N386" s="441"/>
      <c r="O386" s="441"/>
      <c r="P386" s="442"/>
      <c r="Q386" s="443"/>
      <c r="R386" s="440"/>
      <c r="S386" s="440"/>
      <c r="T386" s="440"/>
      <c r="U386" s="440"/>
      <c r="V386" s="440"/>
      <c r="W386" s="440"/>
      <c r="X386" s="440"/>
      <c r="Y386" s="444">
        <f t="shared" si="17"/>
        <v>0</v>
      </c>
      <c r="Z386" s="445"/>
      <c r="AA386" s="446">
        <f t="shared" ref="AA386:AE386" si="201">$J386*E386</f>
        <v>0</v>
      </c>
      <c r="AB386" s="447">
        <f t="shared" si="201"/>
        <v>0</v>
      </c>
      <c r="AC386" s="447">
        <f t="shared" si="201"/>
        <v>0</v>
      </c>
      <c r="AD386" s="447">
        <f t="shared" si="201"/>
        <v>0</v>
      </c>
      <c r="AE386" s="448">
        <f t="shared" si="201"/>
        <v>0</v>
      </c>
      <c r="AF386" s="449"/>
      <c r="AG386" s="449"/>
      <c r="AH386" s="449"/>
    </row>
    <row r="387" ht="11.25" customHeight="1">
      <c r="A387" s="450"/>
      <c r="B387" s="451"/>
      <c r="C387" s="452"/>
      <c r="D387" s="452"/>
      <c r="E387" s="453"/>
      <c r="F387" s="453"/>
      <c r="G387" s="454"/>
      <c r="H387" s="454"/>
      <c r="I387" s="455"/>
      <c r="J387" s="456"/>
      <c r="K387" s="457" t="s">
        <v>1416</v>
      </c>
      <c r="L387" s="458"/>
      <c r="M387" s="459"/>
      <c r="N387" s="460"/>
      <c r="O387" s="460"/>
      <c r="P387" s="461"/>
      <c r="Q387" s="458"/>
      <c r="R387" s="459"/>
      <c r="S387" s="459"/>
      <c r="T387" s="459"/>
      <c r="U387" s="459"/>
      <c r="V387" s="459"/>
      <c r="W387" s="459"/>
      <c r="X387" s="459"/>
      <c r="Y387" s="462">
        <f t="shared" si="17"/>
        <v>0</v>
      </c>
      <c r="Z387" s="463"/>
      <c r="AA387" s="464"/>
      <c r="AB387" s="465"/>
      <c r="AC387" s="465"/>
      <c r="AD387" s="465"/>
      <c r="AE387" s="466"/>
      <c r="AF387" s="449"/>
      <c r="AG387" s="449"/>
      <c r="AH387" s="449"/>
    </row>
    <row r="388" ht="11.25" customHeight="1">
      <c r="A388" s="450"/>
      <c r="B388" s="451"/>
      <c r="C388" s="452"/>
      <c r="D388" s="452"/>
      <c r="E388" s="453"/>
      <c r="F388" s="453"/>
      <c r="G388" s="454"/>
      <c r="H388" s="454"/>
      <c r="I388" s="455"/>
      <c r="J388" s="456"/>
      <c r="K388" s="467" t="s">
        <v>1417</v>
      </c>
      <c r="L388" s="468"/>
      <c r="M388" s="469"/>
      <c r="N388" s="470"/>
      <c r="O388" s="470"/>
      <c r="P388" s="471"/>
      <c r="Q388" s="468"/>
      <c r="R388" s="469"/>
      <c r="S388" s="469"/>
      <c r="T388" s="469"/>
      <c r="U388" s="469"/>
      <c r="V388" s="469"/>
      <c r="W388" s="469"/>
      <c r="X388" s="469"/>
      <c r="Y388" s="462">
        <f t="shared" si="17"/>
        <v>0</v>
      </c>
      <c r="Z388" s="463"/>
      <c r="AA388" s="464"/>
      <c r="AB388" s="465"/>
      <c r="AC388" s="465"/>
      <c r="AD388" s="465"/>
      <c r="AE388" s="466"/>
      <c r="AF388" s="449"/>
      <c r="AG388" s="449"/>
      <c r="AH388" s="449"/>
    </row>
    <row r="389" ht="11.25" customHeight="1">
      <c r="A389" s="450"/>
      <c r="B389" s="472"/>
      <c r="C389" s="473"/>
      <c r="D389" s="473"/>
      <c r="E389" s="474"/>
      <c r="F389" s="474"/>
      <c r="G389" s="475"/>
      <c r="H389" s="475"/>
      <c r="I389" s="476"/>
      <c r="J389" s="477"/>
      <c r="K389" s="478" t="s">
        <v>1418</v>
      </c>
      <c r="L389" s="479"/>
      <c r="M389" s="480"/>
      <c r="N389" s="481"/>
      <c r="O389" s="481"/>
      <c r="P389" s="482"/>
      <c r="Q389" s="479"/>
      <c r="R389" s="480"/>
      <c r="S389" s="480"/>
      <c r="T389" s="480"/>
      <c r="U389" s="480"/>
      <c r="V389" s="480"/>
      <c r="W389" s="480"/>
      <c r="X389" s="480"/>
      <c r="Y389" s="483">
        <f t="shared" si="17"/>
        <v>0</v>
      </c>
      <c r="Z389" s="484"/>
      <c r="AA389" s="485"/>
      <c r="AB389" s="486"/>
      <c r="AC389" s="486"/>
      <c r="AD389" s="486"/>
      <c r="AE389" s="487"/>
      <c r="AF389" s="449"/>
      <c r="AG389" s="449"/>
      <c r="AH389" s="449"/>
    </row>
    <row r="390" ht="11.25" customHeight="1">
      <c r="A390" s="431" t="str">
        <f>IF(B390="","", YEAR(B390))</f>
        <v/>
      </c>
      <c r="B390" s="432"/>
      <c r="C390" s="433"/>
      <c r="D390" s="433"/>
      <c r="E390" s="434" t="str">
        <f t="shared" ref="E390:I390" si="202">IFERROR(AVERAGE(L390:L393),"")</f>
        <v/>
      </c>
      <c r="F390" s="434" t="str">
        <f t="shared" si="202"/>
        <v/>
      </c>
      <c r="G390" s="435" t="str">
        <f t="shared" si="202"/>
        <v/>
      </c>
      <c r="H390" s="435" t="str">
        <f t="shared" si="202"/>
        <v/>
      </c>
      <c r="I390" s="436" t="str">
        <f t="shared" si="202"/>
        <v/>
      </c>
      <c r="J390" s="437">
        <f>SUMIFS(PRODUCTION[KG],PRODUCTION[GRADE],"3X50",PRODUCTION[DATE],B390,PRODUCTION[BATCH],C390,PRODUCTION[SHIFT],D390)</f>
        <v>0</v>
      </c>
      <c r="K390" s="438" t="s">
        <v>1414</v>
      </c>
      <c r="L390" s="443"/>
      <c r="M390" s="440"/>
      <c r="N390" s="441"/>
      <c r="O390" s="441"/>
      <c r="P390" s="442"/>
      <c r="Q390" s="443"/>
      <c r="R390" s="440"/>
      <c r="S390" s="440"/>
      <c r="T390" s="440"/>
      <c r="U390" s="440"/>
      <c r="V390" s="440"/>
      <c r="W390" s="440"/>
      <c r="X390" s="440"/>
      <c r="Y390" s="444">
        <f t="shared" si="17"/>
        <v>0</v>
      </c>
      <c r="Z390" s="445"/>
      <c r="AA390" s="446">
        <f t="shared" ref="AA390:AE390" si="203">$J390*E390</f>
        <v>0</v>
      </c>
      <c r="AB390" s="447">
        <f t="shared" si="203"/>
        <v>0</v>
      </c>
      <c r="AC390" s="447">
        <f t="shared" si="203"/>
        <v>0</v>
      </c>
      <c r="AD390" s="447">
        <f t="shared" si="203"/>
        <v>0</v>
      </c>
      <c r="AE390" s="448">
        <f t="shared" si="203"/>
        <v>0</v>
      </c>
      <c r="AF390" s="449"/>
      <c r="AG390" s="449"/>
      <c r="AH390" s="449"/>
    </row>
    <row r="391" ht="11.25" customHeight="1">
      <c r="A391" s="450"/>
      <c r="B391" s="451"/>
      <c r="C391" s="452"/>
      <c r="D391" s="452"/>
      <c r="E391" s="453"/>
      <c r="F391" s="453"/>
      <c r="G391" s="454"/>
      <c r="H391" s="454"/>
      <c r="I391" s="455"/>
      <c r="J391" s="456"/>
      <c r="K391" s="457" t="s">
        <v>1416</v>
      </c>
      <c r="L391" s="458"/>
      <c r="M391" s="459"/>
      <c r="N391" s="460"/>
      <c r="O391" s="460"/>
      <c r="P391" s="461"/>
      <c r="Q391" s="458"/>
      <c r="R391" s="459"/>
      <c r="S391" s="459"/>
      <c r="T391" s="459"/>
      <c r="U391" s="459"/>
      <c r="V391" s="459"/>
      <c r="W391" s="459"/>
      <c r="X391" s="459"/>
      <c r="Y391" s="462">
        <f t="shared" si="17"/>
        <v>0</v>
      </c>
      <c r="Z391" s="463"/>
      <c r="AA391" s="464"/>
      <c r="AB391" s="465"/>
      <c r="AC391" s="465"/>
      <c r="AD391" s="465"/>
      <c r="AE391" s="466"/>
      <c r="AF391" s="449"/>
      <c r="AG391" s="449"/>
      <c r="AH391" s="449"/>
    </row>
    <row r="392" ht="11.25" customHeight="1">
      <c r="A392" s="450"/>
      <c r="B392" s="451"/>
      <c r="C392" s="452"/>
      <c r="D392" s="452"/>
      <c r="E392" s="453"/>
      <c r="F392" s="453"/>
      <c r="G392" s="454"/>
      <c r="H392" s="454"/>
      <c r="I392" s="455"/>
      <c r="J392" s="456"/>
      <c r="K392" s="467" t="s">
        <v>1417</v>
      </c>
      <c r="L392" s="468"/>
      <c r="M392" s="469"/>
      <c r="N392" s="470"/>
      <c r="O392" s="470"/>
      <c r="P392" s="471"/>
      <c r="Q392" s="468"/>
      <c r="R392" s="469"/>
      <c r="S392" s="469"/>
      <c r="T392" s="469"/>
      <c r="U392" s="469"/>
      <c r="V392" s="469"/>
      <c r="W392" s="469"/>
      <c r="X392" s="469"/>
      <c r="Y392" s="462">
        <f t="shared" si="17"/>
        <v>0</v>
      </c>
      <c r="Z392" s="463"/>
      <c r="AA392" s="464"/>
      <c r="AB392" s="465"/>
      <c r="AC392" s="465"/>
      <c r="AD392" s="465"/>
      <c r="AE392" s="466"/>
      <c r="AF392" s="449"/>
      <c r="AG392" s="449"/>
      <c r="AH392" s="449"/>
    </row>
    <row r="393" ht="11.25" customHeight="1">
      <c r="A393" s="450"/>
      <c r="B393" s="472"/>
      <c r="C393" s="473"/>
      <c r="D393" s="473"/>
      <c r="E393" s="474"/>
      <c r="F393" s="474"/>
      <c r="G393" s="475"/>
      <c r="H393" s="475"/>
      <c r="I393" s="476"/>
      <c r="J393" s="477"/>
      <c r="K393" s="478" t="s">
        <v>1418</v>
      </c>
      <c r="L393" s="479"/>
      <c r="M393" s="480"/>
      <c r="N393" s="481"/>
      <c r="O393" s="481"/>
      <c r="P393" s="482"/>
      <c r="Q393" s="479"/>
      <c r="R393" s="480"/>
      <c r="S393" s="480"/>
      <c r="T393" s="480"/>
      <c r="U393" s="480"/>
      <c r="V393" s="480"/>
      <c r="W393" s="480"/>
      <c r="X393" s="480"/>
      <c r="Y393" s="483">
        <f t="shared" si="17"/>
        <v>0</v>
      </c>
      <c r="Z393" s="484"/>
      <c r="AA393" s="485"/>
      <c r="AB393" s="486"/>
      <c r="AC393" s="486"/>
      <c r="AD393" s="486"/>
      <c r="AE393" s="487"/>
      <c r="AF393" s="449"/>
      <c r="AG393" s="449"/>
      <c r="AH393" s="449"/>
    </row>
    <row r="394" ht="11.25" customHeight="1">
      <c r="A394" s="431" t="str">
        <f>IF(B394="","", YEAR(B394))</f>
        <v/>
      </c>
      <c r="B394" s="432"/>
      <c r="C394" s="433"/>
      <c r="D394" s="433"/>
      <c r="E394" s="434" t="str">
        <f t="shared" ref="E394:I394" si="204">IFERROR(AVERAGE(L394:L397),"")</f>
        <v/>
      </c>
      <c r="F394" s="434" t="str">
        <f t="shared" si="204"/>
        <v/>
      </c>
      <c r="G394" s="435" t="str">
        <f t="shared" si="204"/>
        <v/>
      </c>
      <c r="H394" s="435" t="str">
        <f t="shared" si="204"/>
        <v/>
      </c>
      <c r="I394" s="436" t="str">
        <f t="shared" si="204"/>
        <v/>
      </c>
      <c r="J394" s="437">
        <f>SUMIFS(PRODUCTION[KG],PRODUCTION[GRADE],"3X50",PRODUCTION[DATE],B394,PRODUCTION[BATCH],C394,PRODUCTION[SHIFT],D394)</f>
        <v>0</v>
      </c>
      <c r="K394" s="438" t="s">
        <v>1414</v>
      </c>
      <c r="L394" s="443"/>
      <c r="M394" s="440"/>
      <c r="N394" s="441"/>
      <c r="O394" s="441"/>
      <c r="P394" s="442"/>
      <c r="Q394" s="443"/>
      <c r="R394" s="440"/>
      <c r="S394" s="440"/>
      <c r="T394" s="440"/>
      <c r="U394" s="440"/>
      <c r="V394" s="440"/>
      <c r="W394" s="440"/>
      <c r="X394" s="440"/>
      <c r="Y394" s="444">
        <f t="shared" si="17"/>
        <v>0</v>
      </c>
      <c r="Z394" s="445"/>
      <c r="AA394" s="446">
        <f t="shared" ref="AA394:AE394" si="205">$J394*E394</f>
        <v>0</v>
      </c>
      <c r="AB394" s="447">
        <f t="shared" si="205"/>
        <v>0</v>
      </c>
      <c r="AC394" s="447">
        <f t="shared" si="205"/>
        <v>0</v>
      </c>
      <c r="AD394" s="447">
        <f t="shared" si="205"/>
        <v>0</v>
      </c>
      <c r="AE394" s="448">
        <f t="shared" si="205"/>
        <v>0</v>
      </c>
      <c r="AF394" s="449"/>
      <c r="AG394" s="449"/>
      <c r="AH394" s="449"/>
    </row>
    <row r="395" ht="11.25" customHeight="1">
      <c r="A395" s="450"/>
      <c r="B395" s="451"/>
      <c r="C395" s="452"/>
      <c r="D395" s="452"/>
      <c r="E395" s="453"/>
      <c r="F395" s="453"/>
      <c r="G395" s="454"/>
      <c r="H395" s="454"/>
      <c r="I395" s="455"/>
      <c r="J395" s="456"/>
      <c r="K395" s="457" t="s">
        <v>1416</v>
      </c>
      <c r="L395" s="458"/>
      <c r="M395" s="459"/>
      <c r="N395" s="460"/>
      <c r="O395" s="460"/>
      <c r="P395" s="461"/>
      <c r="Q395" s="458"/>
      <c r="R395" s="459"/>
      <c r="S395" s="459"/>
      <c r="T395" s="459"/>
      <c r="U395" s="459"/>
      <c r="V395" s="459"/>
      <c r="W395" s="459"/>
      <c r="X395" s="459"/>
      <c r="Y395" s="462">
        <f t="shared" si="17"/>
        <v>0</v>
      </c>
      <c r="Z395" s="463"/>
      <c r="AA395" s="464"/>
      <c r="AB395" s="465"/>
      <c r="AC395" s="465"/>
      <c r="AD395" s="465"/>
      <c r="AE395" s="466"/>
      <c r="AF395" s="449"/>
      <c r="AG395" s="449"/>
      <c r="AH395" s="449"/>
    </row>
    <row r="396" ht="11.25" customHeight="1">
      <c r="A396" s="450"/>
      <c r="B396" s="451"/>
      <c r="C396" s="452"/>
      <c r="D396" s="452"/>
      <c r="E396" s="453"/>
      <c r="F396" s="453"/>
      <c r="G396" s="454"/>
      <c r="H396" s="454"/>
      <c r="I396" s="455"/>
      <c r="J396" s="456"/>
      <c r="K396" s="467" t="s">
        <v>1417</v>
      </c>
      <c r="L396" s="468"/>
      <c r="M396" s="469"/>
      <c r="N396" s="470"/>
      <c r="O396" s="470"/>
      <c r="P396" s="471"/>
      <c r="Q396" s="468"/>
      <c r="R396" s="469"/>
      <c r="S396" s="469"/>
      <c r="T396" s="469"/>
      <c r="U396" s="469"/>
      <c r="V396" s="469"/>
      <c r="W396" s="469"/>
      <c r="X396" s="469"/>
      <c r="Y396" s="462">
        <f t="shared" si="17"/>
        <v>0</v>
      </c>
      <c r="Z396" s="463"/>
      <c r="AA396" s="464"/>
      <c r="AB396" s="465"/>
      <c r="AC396" s="465"/>
      <c r="AD396" s="465"/>
      <c r="AE396" s="466"/>
      <c r="AF396" s="449"/>
      <c r="AG396" s="449"/>
      <c r="AH396" s="449"/>
    </row>
    <row r="397" ht="11.25" customHeight="1">
      <c r="A397" s="450"/>
      <c r="B397" s="472"/>
      <c r="C397" s="473"/>
      <c r="D397" s="473"/>
      <c r="E397" s="474"/>
      <c r="F397" s="474"/>
      <c r="G397" s="475"/>
      <c r="H397" s="475"/>
      <c r="I397" s="476"/>
      <c r="J397" s="477"/>
      <c r="K397" s="478" t="s">
        <v>1418</v>
      </c>
      <c r="L397" s="479"/>
      <c r="M397" s="480"/>
      <c r="N397" s="481"/>
      <c r="O397" s="481"/>
      <c r="P397" s="482"/>
      <c r="Q397" s="479"/>
      <c r="R397" s="480"/>
      <c r="S397" s="480"/>
      <c r="T397" s="480"/>
      <c r="U397" s="480"/>
      <c r="V397" s="480"/>
      <c r="W397" s="480"/>
      <c r="X397" s="480"/>
      <c r="Y397" s="483">
        <f t="shared" si="17"/>
        <v>0</v>
      </c>
      <c r="Z397" s="484"/>
      <c r="AA397" s="485"/>
      <c r="AB397" s="486"/>
      <c r="AC397" s="486"/>
      <c r="AD397" s="486"/>
      <c r="AE397" s="487"/>
      <c r="AF397" s="449"/>
      <c r="AG397" s="449"/>
      <c r="AH397" s="449"/>
    </row>
    <row r="398" ht="11.25" customHeight="1">
      <c r="A398" s="431" t="str">
        <f>IF(B398="","", YEAR(B398))</f>
        <v/>
      </c>
      <c r="B398" s="432"/>
      <c r="C398" s="433"/>
      <c r="D398" s="433"/>
      <c r="E398" s="434" t="str">
        <f t="shared" ref="E398:I398" si="206">IFERROR(AVERAGE(L398:L401),"")</f>
        <v/>
      </c>
      <c r="F398" s="434" t="str">
        <f t="shared" si="206"/>
        <v/>
      </c>
      <c r="G398" s="435" t="str">
        <f t="shared" si="206"/>
        <v/>
      </c>
      <c r="H398" s="435" t="str">
        <f t="shared" si="206"/>
        <v/>
      </c>
      <c r="I398" s="436" t="str">
        <f t="shared" si="206"/>
        <v/>
      </c>
      <c r="J398" s="437">
        <f>SUMIFS(PRODUCTION[KG],PRODUCTION[GRADE],"3X50",PRODUCTION[DATE],B398,PRODUCTION[BATCH],C398,PRODUCTION[SHIFT],D398)</f>
        <v>0</v>
      </c>
      <c r="K398" s="438" t="s">
        <v>1414</v>
      </c>
      <c r="L398" s="443"/>
      <c r="M398" s="440"/>
      <c r="N398" s="441"/>
      <c r="O398" s="441"/>
      <c r="P398" s="442"/>
      <c r="Q398" s="443"/>
      <c r="R398" s="440"/>
      <c r="S398" s="440"/>
      <c r="T398" s="440"/>
      <c r="U398" s="440"/>
      <c r="V398" s="440"/>
      <c r="W398" s="440"/>
      <c r="X398" s="440"/>
      <c r="Y398" s="444">
        <f t="shared" si="17"/>
        <v>0</v>
      </c>
      <c r="Z398" s="445"/>
      <c r="AA398" s="446">
        <f t="shared" ref="AA398:AE398" si="207">$J398*E398</f>
        <v>0</v>
      </c>
      <c r="AB398" s="447">
        <f t="shared" si="207"/>
        <v>0</v>
      </c>
      <c r="AC398" s="447">
        <f t="shared" si="207"/>
        <v>0</v>
      </c>
      <c r="AD398" s="447">
        <f t="shared" si="207"/>
        <v>0</v>
      </c>
      <c r="AE398" s="448">
        <f t="shared" si="207"/>
        <v>0</v>
      </c>
      <c r="AF398" s="449"/>
      <c r="AG398" s="449"/>
      <c r="AH398" s="449"/>
    </row>
    <row r="399" ht="11.25" customHeight="1">
      <c r="A399" s="450"/>
      <c r="B399" s="451"/>
      <c r="C399" s="452"/>
      <c r="D399" s="452"/>
      <c r="E399" s="453"/>
      <c r="F399" s="453"/>
      <c r="G399" s="454"/>
      <c r="H399" s="454"/>
      <c r="I399" s="455"/>
      <c r="J399" s="456"/>
      <c r="K399" s="457" t="s">
        <v>1416</v>
      </c>
      <c r="L399" s="458"/>
      <c r="M399" s="459"/>
      <c r="N399" s="460"/>
      <c r="O399" s="460"/>
      <c r="P399" s="461"/>
      <c r="Q399" s="458"/>
      <c r="R399" s="459"/>
      <c r="S399" s="459"/>
      <c r="T399" s="459"/>
      <c r="U399" s="459"/>
      <c r="V399" s="459"/>
      <c r="W399" s="459"/>
      <c r="X399" s="459"/>
      <c r="Y399" s="462">
        <f t="shared" si="17"/>
        <v>0</v>
      </c>
      <c r="Z399" s="463"/>
      <c r="AA399" s="464"/>
      <c r="AB399" s="465"/>
      <c r="AC399" s="465"/>
      <c r="AD399" s="465"/>
      <c r="AE399" s="466"/>
      <c r="AF399" s="449"/>
      <c r="AG399" s="449"/>
      <c r="AH399" s="449"/>
    </row>
    <row r="400" ht="11.25" customHeight="1">
      <c r="A400" s="450"/>
      <c r="B400" s="451"/>
      <c r="C400" s="452"/>
      <c r="D400" s="452"/>
      <c r="E400" s="453"/>
      <c r="F400" s="453"/>
      <c r="G400" s="454"/>
      <c r="H400" s="454"/>
      <c r="I400" s="455"/>
      <c r="J400" s="456"/>
      <c r="K400" s="467" t="s">
        <v>1417</v>
      </c>
      <c r="L400" s="468"/>
      <c r="M400" s="469"/>
      <c r="N400" s="470"/>
      <c r="O400" s="470"/>
      <c r="P400" s="471"/>
      <c r="Q400" s="468"/>
      <c r="R400" s="469"/>
      <c r="S400" s="469"/>
      <c r="T400" s="469"/>
      <c r="U400" s="469"/>
      <c r="V400" s="469"/>
      <c r="W400" s="469"/>
      <c r="X400" s="469"/>
      <c r="Y400" s="462">
        <f t="shared" si="17"/>
        <v>0</v>
      </c>
      <c r="Z400" s="463"/>
      <c r="AA400" s="464"/>
      <c r="AB400" s="465"/>
      <c r="AC400" s="465"/>
      <c r="AD400" s="465"/>
      <c r="AE400" s="466"/>
      <c r="AF400" s="449"/>
      <c r="AG400" s="449"/>
      <c r="AH400" s="449"/>
    </row>
    <row r="401" ht="11.25" customHeight="1">
      <c r="A401" s="450"/>
      <c r="B401" s="472"/>
      <c r="C401" s="473"/>
      <c r="D401" s="473"/>
      <c r="E401" s="474"/>
      <c r="F401" s="474"/>
      <c r="G401" s="475"/>
      <c r="H401" s="475"/>
      <c r="I401" s="476"/>
      <c r="J401" s="477"/>
      <c r="K401" s="478" t="s">
        <v>1418</v>
      </c>
      <c r="L401" s="479"/>
      <c r="M401" s="480"/>
      <c r="N401" s="481"/>
      <c r="O401" s="481"/>
      <c r="P401" s="482"/>
      <c r="Q401" s="479"/>
      <c r="R401" s="480"/>
      <c r="S401" s="480"/>
      <c r="T401" s="480"/>
      <c r="U401" s="480"/>
      <c r="V401" s="480"/>
      <c r="W401" s="480"/>
      <c r="X401" s="480"/>
      <c r="Y401" s="483">
        <f t="shared" si="17"/>
        <v>0</v>
      </c>
      <c r="Z401" s="484"/>
      <c r="AA401" s="485"/>
      <c r="AB401" s="486"/>
      <c r="AC401" s="486"/>
      <c r="AD401" s="486"/>
      <c r="AE401" s="487"/>
      <c r="AF401" s="449"/>
      <c r="AG401" s="449"/>
      <c r="AH401" s="449"/>
    </row>
    <row r="402" ht="11.25" customHeight="1">
      <c r="A402" s="431" t="str">
        <f>IF(B402="","", YEAR(B402))</f>
        <v/>
      </c>
      <c r="B402" s="432"/>
      <c r="C402" s="433"/>
      <c r="D402" s="433"/>
      <c r="E402" s="434" t="str">
        <f t="shared" ref="E402:I402" si="208">IFERROR(AVERAGE(L402:L405),"")</f>
        <v/>
      </c>
      <c r="F402" s="434" t="str">
        <f t="shared" si="208"/>
        <v/>
      </c>
      <c r="G402" s="435" t="str">
        <f t="shared" si="208"/>
        <v/>
      </c>
      <c r="H402" s="435" t="str">
        <f t="shared" si="208"/>
        <v/>
      </c>
      <c r="I402" s="436" t="str">
        <f t="shared" si="208"/>
        <v/>
      </c>
      <c r="J402" s="437">
        <f>SUMIFS(PRODUCTION[KG],PRODUCTION[GRADE],"3X50",PRODUCTION[DATE],B402,PRODUCTION[BATCH],C402,PRODUCTION[SHIFT],D402)</f>
        <v>0</v>
      </c>
      <c r="K402" s="438" t="s">
        <v>1414</v>
      </c>
      <c r="L402" s="443"/>
      <c r="M402" s="440"/>
      <c r="N402" s="441"/>
      <c r="O402" s="441"/>
      <c r="P402" s="442"/>
      <c r="Q402" s="443"/>
      <c r="R402" s="440"/>
      <c r="S402" s="440"/>
      <c r="T402" s="440"/>
      <c r="U402" s="440"/>
      <c r="V402" s="440"/>
      <c r="W402" s="440"/>
      <c r="X402" s="440"/>
      <c r="Y402" s="444">
        <f t="shared" si="17"/>
        <v>0</v>
      </c>
      <c r="Z402" s="445"/>
      <c r="AA402" s="446">
        <f t="shared" ref="AA402:AE402" si="209">$J402*E402</f>
        <v>0</v>
      </c>
      <c r="AB402" s="447">
        <f t="shared" si="209"/>
        <v>0</v>
      </c>
      <c r="AC402" s="447">
        <f t="shared" si="209"/>
        <v>0</v>
      </c>
      <c r="AD402" s="447">
        <f t="shared" si="209"/>
        <v>0</v>
      </c>
      <c r="AE402" s="448">
        <f t="shared" si="209"/>
        <v>0</v>
      </c>
      <c r="AF402" s="449"/>
      <c r="AG402" s="449"/>
      <c r="AH402" s="449"/>
    </row>
    <row r="403" ht="11.25" customHeight="1">
      <c r="A403" s="450"/>
      <c r="B403" s="451"/>
      <c r="C403" s="452"/>
      <c r="D403" s="452"/>
      <c r="E403" s="453"/>
      <c r="F403" s="453"/>
      <c r="G403" s="454"/>
      <c r="H403" s="454"/>
      <c r="I403" s="455"/>
      <c r="J403" s="456"/>
      <c r="K403" s="457" t="s">
        <v>1416</v>
      </c>
      <c r="L403" s="458"/>
      <c r="M403" s="459"/>
      <c r="N403" s="460"/>
      <c r="O403" s="460"/>
      <c r="P403" s="461"/>
      <c r="Q403" s="458"/>
      <c r="R403" s="459"/>
      <c r="S403" s="459"/>
      <c r="T403" s="459"/>
      <c r="U403" s="459"/>
      <c r="V403" s="459"/>
      <c r="W403" s="459"/>
      <c r="X403" s="459"/>
      <c r="Y403" s="462">
        <f t="shared" si="17"/>
        <v>0</v>
      </c>
      <c r="Z403" s="463"/>
      <c r="AA403" s="464"/>
      <c r="AB403" s="465"/>
      <c r="AC403" s="465"/>
      <c r="AD403" s="465"/>
      <c r="AE403" s="466"/>
      <c r="AF403" s="449"/>
      <c r="AG403" s="449"/>
      <c r="AH403" s="449"/>
    </row>
    <row r="404" ht="11.25" customHeight="1">
      <c r="A404" s="450"/>
      <c r="B404" s="451"/>
      <c r="C404" s="452"/>
      <c r="D404" s="452"/>
      <c r="E404" s="453"/>
      <c r="F404" s="453"/>
      <c r="G404" s="454"/>
      <c r="H404" s="454"/>
      <c r="I404" s="455"/>
      <c r="J404" s="456"/>
      <c r="K404" s="467" t="s">
        <v>1417</v>
      </c>
      <c r="L404" s="468"/>
      <c r="M404" s="469"/>
      <c r="N404" s="470"/>
      <c r="O404" s="470"/>
      <c r="P404" s="471"/>
      <c r="Q404" s="468"/>
      <c r="R404" s="469"/>
      <c r="S404" s="469"/>
      <c r="T404" s="469"/>
      <c r="U404" s="469"/>
      <c r="V404" s="469"/>
      <c r="W404" s="469"/>
      <c r="X404" s="469"/>
      <c r="Y404" s="462">
        <f t="shared" si="17"/>
        <v>0</v>
      </c>
      <c r="Z404" s="463"/>
      <c r="AA404" s="464"/>
      <c r="AB404" s="465"/>
      <c r="AC404" s="465"/>
      <c r="AD404" s="465"/>
      <c r="AE404" s="466"/>
      <c r="AF404" s="449"/>
      <c r="AG404" s="449"/>
      <c r="AH404" s="449"/>
    </row>
    <row r="405" ht="11.25" customHeight="1">
      <c r="A405" s="450"/>
      <c r="B405" s="472"/>
      <c r="C405" s="473"/>
      <c r="D405" s="473"/>
      <c r="E405" s="474"/>
      <c r="F405" s="474"/>
      <c r="G405" s="475"/>
      <c r="H405" s="475"/>
      <c r="I405" s="476"/>
      <c r="J405" s="477"/>
      <c r="K405" s="478" t="s">
        <v>1418</v>
      </c>
      <c r="L405" s="479"/>
      <c r="M405" s="480"/>
      <c r="N405" s="481"/>
      <c r="O405" s="481"/>
      <c r="P405" s="482"/>
      <c r="Q405" s="479"/>
      <c r="R405" s="480"/>
      <c r="S405" s="480"/>
      <c r="T405" s="480"/>
      <c r="U405" s="480"/>
      <c r="V405" s="480"/>
      <c r="W405" s="480"/>
      <c r="X405" s="480"/>
      <c r="Y405" s="483">
        <f t="shared" si="17"/>
        <v>0</v>
      </c>
      <c r="Z405" s="484"/>
      <c r="AA405" s="485"/>
      <c r="AB405" s="486"/>
      <c r="AC405" s="486"/>
      <c r="AD405" s="486"/>
      <c r="AE405" s="487"/>
      <c r="AF405" s="449"/>
      <c r="AG405" s="449"/>
      <c r="AH405" s="449"/>
    </row>
    <row r="406" ht="11.25" customHeight="1">
      <c r="A406" s="431" t="str">
        <f>IF(B406="","", YEAR(B406))</f>
        <v/>
      </c>
      <c r="B406" s="432"/>
      <c r="C406" s="433"/>
      <c r="D406" s="433"/>
      <c r="E406" s="434" t="str">
        <f t="shared" ref="E406:I406" si="210">IFERROR(AVERAGE(L406:L409),"")</f>
        <v/>
      </c>
      <c r="F406" s="434" t="str">
        <f t="shared" si="210"/>
        <v/>
      </c>
      <c r="G406" s="435" t="str">
        <f t="shared" si="210"/>
        <v/>
      </c>
      <c r="H406" s="435" t="str">
        <f t="shared" si="210"/>
        <v/>
      </c>
      <c r="I406" s="436" t="str">
        <f t="shared" si="210"/>
        <v/>
      </c>
      <c r="J406" s="437">
        <f>SUMIFS(PRODUCTION[KG],PRODUCTION[GRADE],"3X50",PRODUCTION[DATE],B406,PRODUCTION[BATCH],C406,PRODUCTION[SHIFT],D406)</f>
        <v>0</v>
      </c>
      <c r="K406" s="438" t="s">
        <v>1414</v>
      </c>
      <c r="L406" s="443"/>
      <c r="M406" s="440"/>
      <c r="N406" s="441"/>
      <c r="O406" s="441"/>
      <c r="P406" s="442"/>
      <c r="Q406" s="443"/>
      <c r="R406" s="440"/>
      <c r="S406" s="440"/>
      <c r="T406" s="440"/>
      <c r="U406" s="440"/>
      <c r="V406" s="440"/>
      <c r="W406" s="440"/>
      <c r="X406" s="440"/>
      <c r="Y406" s="444">
        <f t="shared" si="17"/>
        <v>0</v>
      </c>
      <c r="Z406" s="445"/>
      <c r="AA406" s="446">
        <f t="shared" ref="AA406:AE406" si="211">$J406*E406</f>
        <v>0</v>
      </c>
      <c r="AB406" s="447">
        <f t="shared" si="211"/>
        <v>0</v>
      </c>
      <c r="AC406" s="447">
        <f t="shared" si="211"/>
        <v>0</v>
      </c>
      <c r="AD406" s="447">
        <f t="shared" si="211"/>
        <v>0</v>
      </c>
      <c r="AE406" s="448">
        <f t="shared" si="211"/>
        <v>0</v>
      </c>
      <c r="AF406" s="449"/>
      <c r="AG406" s="449"/>
      <c r="AH406" s="449"/>
    </row>
    <row r="407" ht="11.25" customHeight="1">
      <c r="A407" s="450"/>
      <c r="B407" s="451"/>
      <c r="C407" s="452"/>
      <c r="D407" s="452"/>
      <c r="E407" s="453"/>
      <c r="F407" s="453"/>
      <c r="G407" s="454"/>
      <c r="H407" s="454"/>
      <c r="I407" s="455"/>
      <c r="J407" s="456"/>
      <c r="K407" s="457" t="s">
        <v>1416</v>
      </c>
      <c r="L407" s="458"/>
      <c r="M407" s="459"/>
      <c r="N407" s="460"/>
      <c r="O407" s="460"/>
      <c r="P407" s="461"/>
      <c r="Q407" s="458"/>
      <c r="R407" s="459"/>
      <c r="S407" s="459"/>
      <c r="T407" s="459"/>
      <c r="U407" s="459"/>
      <c r="V407" s="459"/>
      <c r="W407" s="459"/>
      <c r="X407" s="459"/>
      <c r="Y407" s="462">
        <f t="shared" si="17"/>
        <v>0</v>
      </c>
      <c r="Z407" s="463"/>
      <c r="AA407" s="464"/>
      <c r="AB407" s="465"/>
      <c r="AC407" s="465"/>
      <c r="AD407" s="465"/>
      <c r="AE407" s="466"/>
      <c r="AF407" s="449"/>
      <c r="AG407" s="449"/>
      <c r="AH407" s="449"/>
    </row>
    <row r="408" ht="11.25" customHeight="1">
      <c r="A408" s="450"/>
      <c r="B408" s="451"/>
      <c r="C408" s="452"/>
      <c r="D408" s="452"/>
      <c r="E408" s="453"/>
      <c r="F408" s="453"/>
      <c r="G408" s="454"/>
      <c r="H408" s="454"/>
      <c r="I408" s="455"/>
      <c r="J408" s="456"/>
      <c r="K408" s="467" t="s">
        <v>1417</v>
      </c>
      <c r="L408" s="468"/>
      <c r="M408" s="469"/>
      <c r="N408" s="470"/>
      <c r="O408" s="470"/>
      <c r="P408" s="471"/>
      <c r="Q408" s="468"/>
      <c r="R408" s="469"/>
      <c r="S408" s="469"/>
      <c r="T408" s="469"/>
      <c r="U408" s="469"/>
      <c r="V408" s="469"/>
      <c r="W408" s="469"/>
      <c r="X408" s="469"/>
      <c r="Y408" s="462">
        <f t="shared" si="17"/>
        <v>0</v>
      </c>
      <c r="Z408" s="463"/>
      <c r="AA408" s="464"/>
      <c r="AB408" s="465"/>
      <c r="AC408" s="465"/>
      <c r="AD408" s="465"/>
      <c r="AE408" s="466"/>
      <c r="AF408" s="449"/>
      <c r="AG408" s="449"/>
      <c r="AH408" s="449"/>
    </row>
    <row r="409" ht="11.25" customHeight="1">
      <c r="A409" s="450"/>
      <c r="B409" s="472"/>
      <c r="C409" s="473"/>
      <c r="D409" s="473"/>
      <c r="E409" s="474"/>
      <c r="F409" s="474"/>
      <c r="G409" s="475"/>
      <c r="H409" s="475"/>
      <c r="I409" s="476"/>
      <c r="J409" s="477"/>
      <c r="K409" s="478" t="s">
        <v>1418</v>
      </c>
      <c r="L409" s="479"/>
      <c r="M409" s="480"/>
      <c r="N409" s="481"/>
      <c r="O409" s="481"/>
      <c r="P409" s="482"/>
      <c r="Q409" s="479"/>
      <c r="R409" s="480"/>
      <c r="S409" s="480"/>
      <c r="T409" s="480"/>
      <c r="U409" s="480"/>
      <c r="V409" s="480"/>
      <c r="W409" s="480"/>
      <c r="X409" s="480"/>
      <c r="Y409" s="483">
        <f t="shared" si="17"/>
        <v>0</v>
      </c>
      <c r="Z409" s="484"/>
      <c r="AA409" s="485"/>
      <c r="AB409" s="486"/>
      <c r="AC409" s="486"/>
      <c r="AD409" s="486"/>
      <c r="AE409" s="487"/>
      <c r="AF409" s="449"/>
      <c r="AG409" s="449"/>
      <c r="AH409" s="449"/>
    </row>
    <row r="410" ht="11.25" customHeight="1">
      <c r="A410" s="431" t="str">
        <f>IF(B410="","", YEAR(B410))</f>
        <v/>
      </c>
      <c r="B410" s="432"/>
      <c r="C410" s="433"/>
      <c r="D410" s="433"/>
      <c r="E410" s="434" t="str">
        <f t="shared" ref="E410:I410" si="212">IFERROR(AVERAGE(L410:L413),"")</f>
        <v/>
      </c>
      <c r="F410" s="434" t="str">
        <f t="shared" si="212"/>
        <v/>
      </c>
      <c r="G410" s="435" t="str">
        <f t="shared" si="212"/>
        <v/>
      </c>
      <c r="H410" s="435" t="str">
        <f t="shared" si="212"/>
        <v/>
      </c>
      <c r="I410" s="436" t="str">
        <f t="shared" si="212"/>
        <v/>
      </c>
      <c r="J410" s="437">
        <f>SUMIFS(PRODUCTION[KG],PRODUCTION[GRADE],"3X50",PRODUCTION[DATE],B410,PRODUCTION[BATCH],C410,PRODUCTION[SHIFT],D410)</f>
        <v>0</v>
      </c>
      <c r="K410" s="438" t="s">
        <v>1414</v>
      </c>
      <c r="L410" s="443"/>
      <c r="M410" s="440"/>
      <c r="N410" s="441"/>
      <c r="O410" s="441"/>
      <c r="P410" s="442"/>
      <c r="Q410" s="443"/>
      <c r="R410" s="440"/>
      <c r="S410" s="440"/>
      <c r="T410" s="440"/>
      <c r="U410" s="440"/>
      <c r="V410" s="440"/>
      <c r="W410" s="440"/>
      <c r="X410" s="440"/>
      <c r="Y410" s="444">
        <f t="shared" si="17"/>
        <v>0</v>
      </c>
      <c r="Z410" s="445"/>
      <c r="AA410" s="446">
        <f t="shared" ref="AA410:AE410" si="213">$J410*E410</f>
        <v>0</v>
      </c>
      <c r="AB410" s="447">
        <f t="shared" si="213"/>
        <v>0</v>
      </c>
      <c r="AC410" s="447">
        <f t="shared" si="213"/>
        <v>0</v>
      </c>
      <c r="AD410" s="447">
        <f t="shared" si="213"/>
        <v>0</v>
      </c>
      <c r="AE410" s="448">
        <f t="shared" si="213"/>
        <v>0</v>
      </c>
      <c r="AF410" s="449"/>
      <c r="AG410" s="449"/>
      <c r="AH410" s="449"/>
    </row>
    <row r="411" ht="11.25" customHeight="1">
      <c r="A411" s="450"/>
      <c r="B411" s="451"/>
      <c r="C411" s="452"/>
      <c r="D411" s="452"/>
      <c r="E411" s="453"/>
      <c r="F411" s="453"/>
      <c r="G411" s="454"/>
      <c r="H411" s="454"/>
      <c r="I411" s="455"/>
      <c r="J411" s="456"/>
      <c r="K411" s="457" t="s">
        <v>1416</v>
      </c>
      <c r="L411" s="458"/>
      <c r="M411" s="459"/>
      <c r="N411" s="460"/>
      <c r="O411" s="460"/>
      <c r="P411" s="461"/>
      <c r="Q411" s="458"/>
      <c r="R411" s="459"/>
      <c r="S411" s="459"/>
      <c r="T411" s="459"/>
      <c r="U411" s="459"/>
      <c r="V411" s="459"/>
      <c r="W411" s="459"/>
      <c r="X411" s="459"/>
      <c r="Y411" s="462">
        <f t="shared" si="17"/>
        <v>0</v>
      </c>
      <c r="Z411" s="463"/>
      <c r="AA411" s="464"/>
      <c r="AB411" s="465"/>
      <c r="AC411" s="465"/>
      <c r="AD411" s="465"/>
      <c r="AE411" s="466"/>
      <c r="AF411" s="449"/>
      <c r="AG411" s="449"/>
      <c r="AH411" s="449"/>
    </row>
    <row r="412" ht="11.25" customHeight="1">
      <c r="A412" s="450"/>
      <c r="B412" s="451"/>
      <c r="C412" s="452"/>
      <c r="D412" s="452"/>
      <c r="E412" s="453"/>
      <c r="F412" s="453"/>
      <c r="G412" s="454"/>
      <c r="H412" s="454"/>
      <c r="I412" s="455"/>
      <c r="J412" s="456"/>
      <c r="K412" s="467" t="s">
        <v>1417</v>
      </c>
      <c r="L412" s="468"/>
      <c r="M412" s="469"/>
      <c r="N412" s="470"/>
      <c r="O412" s="470"/>
      <c r="P412" s="471"/>
      <c r="Q412" s="468"/>
      <c r="R412" s="469"/>
      <c r="S412" s="469"/>
      <c r="T412" s="469"/>
      <c r="U412" s="469"/>
      <c r="V412" s="469"/>
      <c r="W412" s="469"/>
      <c r="X412" s="469"/>
      <c r="Y412" s="462">
        <f t="shared" si="17"/>
        <v>0</v>
      </c>
      <c r="Z412" s="463"/>
      <c r="AA412" s="464"/>
      <c r="AB412" s="465"/>
      <c r="AC412" s="465"/>
      <c r="AD412" s="465"/>
      <c r="AE412" s="466"/>
      <c r="AF412" s="449"/>
      <c r="AG412" s="449"/>
      <c r="AH412" s="449"/>
    </row>
    <row r="413" ht="11.25" customHeight="1">
      <c r="A413" s="450"/>
      <c r="B413" s="472"/>
      <c r="C413" s="473"/>
      <c r="D413" s="473"/>
      <c r="E413" s="474"/>
      <c r="F413" s="474"/>
      <c r="G413" s="475"/>
      <c r="H413" s="475"/>
      <c r="I413" s="476"/>
      <c r="J413" s="477"/>
      <c r="K413" s="478" t="s">
        <v>1418</v>
      </c>
      <c r="L413" s="479"/>
      <c r="M413" s="480"/>
      <c r="N413" s="481"/>
      <c r="O413" s="481"/>
      <c r="P413" s="482"/>
      <c r="Q413" s="479"/>
      <c r="R413" s="480"/>
      <c r="S413" s="480"/>
      <c r="T413" s="480"/>
      <c r="U413" s="480"/>
      <c r="V413" s="480"/>
      <c r="W413" s="480"/>
      <c r="X413" s="480"/>
      <c r="Y413" s="483">
        <f t="shared" si="17"/>
        <v>0</v>
      </c>
      <c r="Z413" s="484"/>
      <c r="AA413" s="485"/>
      <c r="AB413" s="486"/>
      <c r="AC413" s="486"/>
      <c r="AD413" s="486"/>
      <c r="AE413" s="487"/>
      <c r="AF413" s="449"/>
      <c r="AG413" s="449"/>
      <c r="AH413" s="449"/>
    </row>
    <row r="414" ht="11.25" customHeight="1">
      <c r="A414" s="431" t="str">
        <f>IF(B414="","", YEAR(B414))</f>
        <v/>
      </c>
      <c r="B414" s="432"/>
      <c r="C414" s="433"/>
      <c r="D414" s="433"/>
      <c r="E414" s="434" t="str">
        <f t="shared" ref="E414:I414" si="214">IFERROR(AVERAGE(L414:L417),"")</f>
        <v/>
      </c>
      <c r="F414" s="434" t="str">
        <f t="shared" si="214"/>
        <v/>
      </c>
      <c r="G414" s="435" t="str">
        <f t="shared" si="214"/>
        <v/>
      </c>
      <c r="H414" s="435" t="str">
        <f t="shared" si="214"/>
        <v/>
      </c>
      <c r="I414" s="436" t="str">
        <f t="shared" si="214"/>
        <v/>
      </c>
      <c r="J414" s="437">
        <f>SUMIFS(PRODUCTION[KG],PRODUCTION[GRADE],"3X50",PRODUCTION[DATE],B414,PRODUCTION[BATCH],C414,PRODUCTION[SHIFT],D414)</f>
        <v>0</v>
      </c>
      <c r="K414" s="438" t="s">
        <v>1414</v>
      </c>
      <c r="L414" s="443"/>
      <c r="M414" s="440"/>
      <c r="N414" s="441"/>
      <c r="O414" s="441"/>
      <c r="P414" s="442"/>
      <c r="Q414" s="443"/>
      <c r="R414" s="440"/>
      <c r="S414" s="440"/>
      <c r="T414" s="440"/>
      <c r="U414" s="440"/>
      <c r="V414" s="440"/>
      <c r="W414" s="440"/>
      <c r="X414" s="440"/>
      <c r="Y414" s="444">
        <f t="shared" si="17"/>
        <v>0</v>
      </c>
      <c r="Z414" s="445"/>
      <c r="AA414" s="446">
        <f t="shared" ref="AA414:AE414" si="215">$J414*E414</f>
        <v>0</v>
      </c>
      <c r="AB414" s="447">
        <f t="shared" si="215"/>
        <v>0</v>
      </c>
      <c r="AC414" s="447">
        <f t="shared" si="215"/>
        <v>0</v>
      </c>
      <c r="AD414" s="447">
        <f t="shared" si="215"/>
        <v>0</v>
      </c>
      <c r="AE414" s="448">
        <f t="shared" si="215"/>
        <v>0</v>
      </c>
      <c r="AF414" s="449"/>
      <c r="AG414" s="449"/>
      <c r="AH414" s="449"/>
    </row>
    <row r="415" ht="11.25" customHeight="1">
      <c r="A415" s="450"/>
      <c r="B415" s="451"/>
      <c r="C415" s="452"/>
      <c r="D415" s="452"/>
      <c r="E415" s="453"/>
      <c r="F415" s="453"/>
      <c r="G415" s="454"/>
      <c r="H415" s="454"/>
      <c r="I415" s="455"/>
      <c r="J415" s="456"/>
      <c r="K415" s="457" t="s">
        <v>1416</v>
      </c>
      <c r="L415" s="458"/>
      <c r="M415" s="459"/>
      <c r="N415" s="460"/>
      <c r="O415" s="460"/>
      <c r="P415" s="461"/>
      <c r="Q415" s="458"/>
      <c r="R415" s="459"/>
      <c r="S415" s="459"/>
      <c r="T415" s="459"/>
      <c r="U415" s="459"/>
      <c r="V415" s="459"/>
      <c r="W415" s="459"/>
      <c r="X415" s="459"/>
      <c r="Y415" s="462">
        <f t="shared" si="17"/>
        <v>0</v>
      </c>
      <c r="Z415" s="463"/>
      <c r="AA415" s="464"/>
      <c r="AB415" s="465"/>
      <c r="AC415" s="465"/>
      <c r="AD415" s="465"/>
      <c r="AE415" s="466"/>
      <c r="AF415" s="449"/>
      <c r="AG415" s="449"/>
      <c r="AH415" s="449"/>
    </row>
    <row r="416" ht="11.25" customHeight="1">
      <c r="A416" s="450"/>
      <c r="B416" s="451"/>
      <c r="C416" s="452"/>
      <c r="D416" s="452"/>
      <c r="E416" s="453"/>
      <c r="F416" s="453"/>
      <c r="G416" s="454"/>
      <c r="H416" s="454"/>
      <c r="I416" s="455"/>
      <c r="J416" s="456"/>
      <c r="K416" s="467" t="s">
        <v>1417</v>
      </c>
      <c r="L416" s="468"/>
      <c r="M416" s="469"/>
      <c r="N416" s="470"/>
      <c r="O416" s="470"/>
      <c r="P416" s="471"/>
      <c r="Q416" s="468"/>
      <c r="R416" s="469"/>
      <c r="S416" s="469"/>
      <c r="T416" s="469"/>
      <c r="U416" s="469"/>
      <c r="V416" s="469"/>
      <c r="W416" s="469"/>
      <c r="X416" s="469"/>
      <c r="Y416" s="462">
        <f t="shared" si="17"/>
        <v>0</v>
      </c>
      <c r="Z416" s="463"/>
      <c r="AA416" s="464"/>
      <c r="AB416" s="465"/>
      <c r="AC416" s="465"/>
      <c r="AD416" s="465"/>
      <c r="AE416" s="466"/>
      <c r="AF416" s="449"/>
      <c r="AG416" s="449"/>
      <c r="AH416" s="449"/>
    </row>
    <row r="417" ht="11.25" customHeight="1">
      <c r="A417" s="450"/>
      <c r="B417" s="472"/>
      <c r="C417" s="473"/>
      <c r="D417" s="473"/>
      <c r="E417" s="474"/>
      <c r="F417" s="474"/>
      <c r="G417" s="475"/>
      <c r="H417" s="475"/>
      <c r="I417" s="476"/>
      <c r="J417" s="477"/>
      <c r="K417" s="478" t="s">
        <v>1418</v>
      </c>
      <c r="L417" s="479"/>
      <c r="M417" s="480"/>
      <c r="N417" s="481"/>
      <c r="O417" s="481"/>
      <c r="P417" s="482"/>
      <c r="Q417" s="479"/>
      <c r="R417" s="480"/>
      <c r="S417" s="480"/>
      <c r="T417" s="480"/>
      <c r="U417" s="480"/>
      <c r="V417" s="480"/>
      <c r="W417" s="480"/>
      <c r="X417" s="480"/>
      <c r="Y417" s="483">
        <f t="shared" si="17"/>
        <v>0</v>
      </c>
      <c r="Z417" s="484"/>
      <c r="AA417" s="485"/>
      <c r="AB417" s="486"/>
      <c r="AC417" s="486"/>
      <c r="AD417" s="486"/>
      <c r="AE417" s="487"/>
      <c r="AF417" s="449"/>
      <c r="AG417" s="449"/>
      <c r="AH417" s="449"/>
    </row>
    <row r="418" ht="11.25" customHeight="1">
      <c r="A418" s="431" t="str">
        <f>IF(B418="","", YEAR(B418))</f>
        <v/>
      </c>
      <c r="B418" s="432"/>
      <c r="C418" s="433"/>
      <c r="D418" s="433"/>
      <c r="E418" s="434" t="str">
        <f t="shared" ref="E418:I418" si="216">IFERROR(AVERAGE(L418:L421),"")</f>
        <v/>
      </c>
      <c r="F418" s="434" t="str">
        <f t="shared" si="216"/>
        <v/>
      </c>
      <c r="G418" s="435" t="str">
        <f t="shared" si="216"/>
        <v/>
      </c>
      <c r="H418" s="435" t="str">
        <f t="shared" si="216"/>
        <v/>
      </c>
      <c r="I418" s="436" t="str">
        <f t="shared" si="216"/>
        <v/>
      </c>
      <c r="J418" s="437">
        <f>SUMIFS(PRODUCTION[KG],PRODUCTION[GRADE],"3X50",PRODUCTION[DATE],B418,PRODUCTION[BATCH],C418,PRODUCTION[SHIFT],D418)</f>
        <v>0</v>
      </c>
      <c r="K418" s="438" t="s">
        <v>1414</v>
      </c>
      <c r="L418" s="443"/>
      <c r="M418" s="440"/>
      <c r="N418" s="441"/>
      <c r="O418" s="441"/>
      <c r="P418" s="442"/>
      <c r="Q418" s="443"/>
      <c r="R418" s="440"/>
      <c r="S418" s="440"/>
      <c r="T418" s="440"/>
      <c r="U418" s="440"/>
      <c r="V418" s="440"/>
      <c r="W418" s="440"/>
      <c r="X418" s="440"/>
      <c r="Y418" s="444">
        <f t="shared" si="17"/>
        <v>0</v>
      </c>
      <c r="Z418" s="445"/>
      <c r="AA418" s="446">
        <f t="shared" ref="AA418:AE418" si="217">$J418*E418</f>
        <v>0</v>
      </c>
      <c r="AB418" s="447">
        <f t="shared" si="217"/>
        <v>0</v>
      </c>
      <c r="AC418" s="447">
        <f t="shared" si="217"/>
        <v>0</v>
      </c>
      <c r="AD418" s="447">
        <f t="shared" si="217"/>
        <v>0</v>
      </c>
      <c r="AE418" s="448">
        <f t="shared" si="217"/>
        <v>0</v>
      </c>
      <c r="AF418" s="449"/>
      <c r="AG418" s="449"/>
      <c r="AH418" s="449"/>
    </row>
    <row r="419" ht="11.25" customHeight="1">
      <c r="A419" s="450"/>
      <c r="B419" s="451"/>
      <c r="C419" s="452"/>
      <c r="D419" s="452"/>
      <c r="E419" s="453"/>
      <c r="F419" s="453"/>
      <c r="G419" s="454"/>
      <c r="H419" s="454"/>
      <c r="I419" s="455"/>
      <c r="J419" s="456"/>
      <c r="K419" s="457" t="s">
        <v>1416</v>
      </c>
      <c r="L419" s="458"/>
      <c r="M419" s="459"/>
      <c r="N419" s="460"/>
      <c r="O419" s="460"/>
      <c r="P419" s="461"/>
      <c r="Q419" s="458"/>
      <c r="R419" s="459"/>
      <c r="S419" s="459"/>
      <c r="T419" s="459"/>
      <c r="U419" s="459"/>
      <c r="V419" s="459"/>
      <c r="W419" s="459"/>
      <c r="X419" s="459"/>
      <c r="Y419" s="462">
        <f t="shared" si="17"/>
        <v>0</v>
      </c>
      <c r="Z419" s="463"/>
      <c r="AA419" s="464"/>
      <c r="AB419" s="465"/>
      <c r="AC419" s="465"/>
      <c r="AD419" s="465"/>
      <c r="AE419" s="466"/>
      <c r="AF419" s="449"/>
      <c r="AG419" s="449"/>
      <c r="AH419" s="449"/>
    </row>
    <row r="420" ht="11.25" customHeight="1">
      <c r="A420" s="450"/>
      <c r="B420" s="451"/>
      <c r="C420" s="452"/>
      <c r="D420" s="452"/>
      <c r="E420" s="453"/>
      <c r="F420" s="453"/>
      <c r="G420" s="454"/>
      <c r="H420" s="454"/>
      <c r="I420" s="455"/>
      <c r="J420" s="456"/>
      <c r="K420" s="467" t="s">
        <v>1417</v>
      </c>
      <c r="L420" s="468"/>
      <c r="M420" s="469"/>
      <c r="N420" s="470"/>
      <c r="O420" s="470"/>
      <c r="P420" s="471"/>
      <c r="Q420" s="468"/>
      <c r="R420" s="469"/>
      <c r="S420" s="469"/>
      <c r="T420" s="469"/>
      <c r="U420" s="469"/>
      <c r="V420" s="469"/>
      <c r="W420" s="469"/>
      <c r="X420" s="469"/>
      <c r="Y420" s="462">
        <f t="shared" si="17"/>
        <v>0</v>
      </c>
      <c r="Z420" s="463"/>
      <c r="AA420" s="464"/>
      <c r="AB420" s="465"/>
      <c r="AC420" s="465"/>
      <c r="AD420" s="465"/>
      <c r="AE420" s="466"/>
      <c r="AF420" s="449"/>
      <c r="AG420" s="449"/>
      <c r="AH420" s="449"/>
    </row>
    <row r="421" ht="11.25" customHeight="1">
      <c r="A421" s="450"/>
      <c r="B421" s="472"/>
      <c r="C421" s="473"/>
      <c r="D421" s="473"/>
      <c r="E421" s="474"/>
      <c r="F421" s="474"/>
      <c r="G421" s="475"/>
      <c r="H421" s="475"/>
      <c r="I421" s="476"/>
      <c r="J421" s="477"/>
      <c r="K421" s="478" t="s">
        <v>1418</v>
      </c>
      <c r="L421" s="479"/>
      <c r="M421" s="480"/>
      <c r="N421" s="481"/>
      <c r="O421" s="481"/>
      <c r="P421" s="482"/>
      <c r="Q421" s="479"/>
      <c r="R421" s="480"/>
      <c r="S421" s="480"/>
      <c r="T421" s="480"/>
      <c r="U421" s="480"/>
      <c r="V421" s="480"/>
      <c r="W421" s="480"/>
      <c r="X421" s="480"/>
      <c r="Y421" s="483">
        <f t="shared" si="17"/>
        <v>0</v>
      </c>
      <c r="Z421" s="484"/>
      <c r="AA421" s="485"/>
      <c r="AB421" s="486"/>
      <c r="AC421" s="486"/>
      <c r="AD421" s="486"/>
      <c r="AE421" s="487"/>
      <c r="AF421" s="449"/>
      <c r="AG421" s="449"/>
      <c r="AH421" s="449"/>
    </row>
    <row r="422" ht="11.25" customHeight="1">
      <c r="A422" s="431" t="str">
        <f>IF(B422="","", YEAR(B422))</f>
        <v/>
      </c>
      <c r="B422" s="432"/>
      <c r="C422" s="433"/>
      <c r="D422" s="433"/>
      <c r="E422" s="434" t="str">
        <f t="shared" ref="E422:I422" si="218">IFERROR(AVERAGE(L422:L425),"")</f>
        <v/>
      </c>
      <c r="F422" s="434" t="str">
        <f t="shared" si="218"/>
        <v/>
      </c>
      <c r="G422" s="435" t="str">
        <f t="shared" si="218"/>
        <v/>
      </c>
      <c r="H422" s="435" t="str">
        <f t="shared" si="218"/>
        <v/>
      </c>
      <c r="I422" s="436" t="str">
        <f t="shared" si="218"/>
        <v/>
      </c>
      <c r="J422" s="437">
        <f>SUMIFS(PRODUCTION[KG],PRODUCTION[GRADE],"3X50",PRODUCTION[DATE],B422,PRODUCTION[BATCH],C422,PRODUCTION[SHIFT],D422)</f>
        <v>0</v>
      </c>
      <c r="K422" s="438" t="s">
        <v>1414</v>
      </c>
      <c r="L422" s="443"/>
      <c r="M422" s="440"/>
      <c r="N422" s="441"/>
      <c r="O422" s="441"/>
      <c r="P422" s="442"/>
      <c r="Q422" s="443"/>
      <c r="R422" s="440"/>
      <c r="S422" s="440"/>
      <c r="T422" s="440"/>
      <c r="U422" s="440"/>
      <c r="V422" s="440"/>
      <c r="W422" s="440"/>
      <c r="X422" s="440"/>
      <c r="Y422" s="444">
        <f t="shared" si="17"/>
        <v>0</v>
      </c>
      <c r="Z422" s="445"/>
      <c r="AA422" s="446">
        <f t="shared" ref="AA422:AE422" si="219">$J422*E422</f>
        <v>0</v>
      </c>
      <c r="AB422" s="447">
        <f t="shared" si="219"/>
        <v>0</v>
      </c>
      <c r="AC422" s="447">
        <f t="shared" si="219"/>
        <v>0</v>
      </c>
      <c r="AD422" s="447">
        <f t="shared" si="219"/>
        <v>0</v>
      </c>
      <c r="AE422" s="448">
        <f t="shared" si="219"/>
        <v>0</v>
      </c>
      <c r="AF422" s="449"/>
      <c r="AG422" s="449"/>
      <c r="AH422" s="449"/>
    </row>
    <row r="423" ht="11.25" customHeight="1">
      <c r="A423" s="450"/>
      <c r="B423" s="451"/>
      <c r="C423" s="452"/>
      <c r="D423" s="452"/>
      <c r="E423" s="453"/>
      <c r="F423" s="453"/>
      <c r="G423" s="454"/>
      <c r="H423" s="454"/>
      <c r="I423" s="455"/>
      <c r="J423" s="456"/>
      <c r="K423" s="457" t="s">
        <v>1416</v>
      </c>
      <c r="L423" s="458"/>
      <c r="M423" s="459"/>
      <c r="N423" s="460"/>
      <c r="O423" s="460"/>
      <c r="P423" s="461"/>
      <c r="Q423" s="458"/>
      <c r="R423" s="459"/>
      <c r="S423" s="459"/>
      <c r="T423" s="459"/>
      <c r="U423" s="459"/>
      <c r="V423" s="459"/>
      <c r="W423" s="459"/>
      <c r="X423" s="459"/>
      <c r="Y423" s="462">
        <f t="shared" si="17"/>
        <v>0</v>
      </c>
      <c r="Z423" s="463"/>
      <c r="AA423" s="464"/>
      <c r="AB423" s="465"/>
      <c r="AC423" s="465"/>
      <c r="AD423" s="465"/>
      <c r="AE423" s="466"/>
      <c r="AF423" s="449"/>
      <c r="AG423" s="449"/>
      <c r="AH423" s="449"/>
    </row>
    <row r="424" ht="11.25" customHeight="1">
      <c r="A424" s="450"/>
      <c r="B424" s="451"/>
      <c r="C424" s="452"/>
      <c r="D424" s="452"/>
      <c r="E424" s="453"/>
      <c r="F424" s="453"/>
      <c r="G424" s="454"/>
      <c r="H424" s="454"/>
      <c r="I424" s="455"/>
      <c r="J424" s="456"/>
      <c r="K424" s="467" t="s">
        <v>1417</v>
      </c>
      <c r="L424" s="468"/>
      <c r="M424" s="469"/>
      <c r="N424" s="470"/>
      <c r="O424" s="470"/>
      <c r="P424" s="471"/>
      <c r="Q424" s="468"/>
      <c r="R424" s="469"/>
      <c r="S424" s="469"/>
      <c r="T424" s="469"/>
      <c r="U424" s="469"/>
      <c r="V424" s="469"/>
      <c r="W424" s="469"/>
      <c r="X424" s="469"/>
      <c r="Y424" s="462">
        <f t="shared" si="17"/>
        <v>0</v>
      </c>
      <c r="Z424" s="463"/>
      <c r="AA424" s="464"/>
      <c r="AB424" s="465"/>
      <c r="AC424" s="465"/>
      <c r="AD424" s="465"/>
      <c r="AE424" s="466"/>
      <c r="AF424" s="449"/>
      <c r="AG424" s="449"/>
      <c r="AH424" s="449"/>
    </row>
    <row r="425" ht="11.25" customHeight="1">
      <c r="A425" s="450"/>
      <c r="B425" s="472"/>
      <c r="C425" s="473"/>
      <c r="D425" s="473"/>
      <c r="E425" s="474"/>
      <c r="F425" s="474"/>
      <c r="G425" s="475"/>
      <c r="H425" s="475"/>
      <c r="I425" s="476"/>
      <c r="J425" s="477"/>
      <c r="K425" s="478" t="s">
        <v>1418</v>
      </c>
      <c r="L425" s="479"/>
      <c r="M425" s="480"/>
      <c r="N425" s="481"/>
      <c r="O425" s="481"/>
      <c r="P425" s="482"/>
      <c r="Q425" s="479"/>
      <c r="R425" s="480"/>
      <c r="S425" s="480"/>
      <c r="T425" s="480"/>
      <c r="U425" s="480"/>
      <c r="V425" s="480"/>
      <c r="W425" s="480"/>
      <c r="X425" s="480"/>
      <c r="Y425" s="483">
        <f t="shared" si="17"/>
        <v>0</v>
      </c>
      <c r="Z425" s="484"/>
      <c r="AA425" s="485"/>
      <c r="AB425" s="486"/>
      <c r="AC425" s="486"/>
      <c r="AD425" s="486"/>
      <c r="AE425" s="487"/>
      <c r="AF425" s="449"/>
      <c r="AG425" s="449"/>
      <c r="AH425" s="449"/>
    </row>
    <row r="426" ht="11.25" customHeight="1">
      <c r="A426" s="431" t="str">
        <f>IF(B426="","", YEAR(B426))</f>
        <v/>
      </c>
      <c r="B426" s="432"/>
      <c r="C426" s="433"/>
      <c r="D426" s="433"/>
      <c r="E426" s="434" t="str">
        <f t="shared" ref="E426:I426" si="220">IFERROR(AVERAGE(L426:L429),"")</f>
        <v/>
      </c>
      <c r="F426" s="434" t="str">
        <f t="shared" si="220"/>
        <v/>
      </c>
      <c r="G426" s="435" t="str">
        <f t="shared" si="220"/>
        <v/>
      </c>
      <c r="H426" s="435" t="str">
        <f t="shared" si="220"/>
        <v/>
      </c>
      <c r="I426" s="436" t="str">
        <f t="shared" si="220"/>
        <v/>
      </c>
      <c r="J426" s="437">
        <f>SUMIFS(PRODUCTION[KG],PRODUCTION[GRADE],"3X50",PRODUCTION[DATE],B426,PRODUCTION[BATCH],C426,PRODUCTION[SHIFT],D426)</f>
        <v>0</v>
      </c>
      <c r="K426" s="438" t="s">
        <v>1414</v>
      </c>
      <c r="L426" s="443"/>
      <c r="M426" s="440"/>
      <c r="N426" s="441"/>
      <c r="O426" s="441"/>
      <c r="P426" s="442"/>
      <c r="Q426" s="443"/>
      <c r="R426" s="440"/>
      <c r="S426" s="440"/>
      <c r="T426" s="440"/>
      <c r="U426" s="440"/>
      <c r="V426" s="440"/>
      <c r="W426" s="440"/>
      <c r="X426" s="440"/>
      <c r="Y426" s="444">
        <f t="shared" si="17"/>
        <v>0</v>
      </c>
      <c r="Z426" s="445"/>
      <c r="AA426" s="446">
        <f t="shared" ref="AA426:AE426" si="221">$J426*E426</f>
        <v>0</v>
      </c>
      <c r="AB426" s="447">
        <f t="shared" si="221"/>
        <v>0</v>
      </c>
      <c r="AC426" s="447">
        <f t="shared" si="221"/>
        <v>0</v>
      </c>
      <c r="AD426" s="447">
        <f t="shared" si="221"/>
        <v>0</v>
      </c>
      <c r="AE426" s="448">
        <f t="shared" si="221"/>
        <v>0</v>
      </c>
      <c r="AF426" s="449"/>
      <c r="AG426" s="449"/>
      <c r="AH426" s="449"/>
    </row>
    <row r="427" ht="11.25" customHeight="1">
      <c r="A427" s="450"/>
      <c r="B427" s="451"/>
      <c r="C427" s="452"/>
      <c r="D427" s="452"/>
      <c r="E427" s="453"/>
      <c r="F427" s="453"/>
      <c r="G427" s="454"/>
      <c r="H427" s="454"/>
      <c r="I427" s="455"/>
      <c r="J427" s="456"/>
      <c r="K427" s="457" t="s">
        <v>1416</v>
      </c>
      <c r="L427" s="458"/>
      <c r="M427" s="459"/>
      <c r="N427" s="460"/>
      <c r="O427" s="460"/>
      <c r="P427" s="461"/>
      <c r="Q427" s="458"/>
      <c r="R427" s="459"/>
      <c r="S427" s="459"/>
      <c r="T427" s="459"/>
      <c r="U427" s="459"/>
      <c r="V427" s="459"/>
      <c r="W427" s="459"/>
      <c r="X427" s="459"/>
      <c r="Y427" s="462">
        <f t="shared" si="17"/>
        <v>0</v>
      </c>
      <c r="Z427" s="463"/>
      <c r="AA427" s="464"/>
      <c r="AB427" s="465"/>
      <c r="AC427" s="465"/>
      <c r="AD427" s="465"/>
      <c r="AE427" s="466"/>
      <c r="AF427" s="449"/>
      <c r="AG427" s="449"/>
      <c r="AH427" s="449"/>
    </row>
    <row r="428" ht="11.25" customHeight="1">
      <c r="A428" s="450"/>
      <c r="B428" s="451"/>
      <c r="C428" s="452"/>
      <c r="D428" s="452"/>
      <c r="E428" s="453"/>
      <c r="F428" s="453"/>
      <c r="G428" s="454"/>
      <c r="H428" s="454"/>
      <c r="I428" s="455"/>
      <c r="J428" s="456"/>
      <c r="K428" s="467" t="s">
        <v>1417</v>
      </c>
      <c r="L428" s="468"/>
      <c r="M428" s="469"/>
      <c r="N428" s="470"/>
      <c r="O428" s="470"/>
      <c r="P428" s="471"/>
      <c r="Q428" s="468"/>
      <c r="R428" s="469"/>
      <c r="S428" s="469"/>
      <c r="T428" s="469"/>
      <c r="U428" s="469"/>
      <c r="V428" s="469"/>
      <c r="W428" s="469"/>
      <c r="X428" s="469"/>
      <c r="Y428" s="462">
        <f t="shared" si="17"/>
        <v>0</v>
      </c>
      <c r="Z428" s="463"/>
      <c r="AA428" s="464"/>
      <c r="AB428" s="465"/>
      <c r="AC428" s="465"/>
      <c r="AD428" s="465"/>
      <c r="AE428" s="466"/>
      <c r="AF428" s="449"/>
      <c r="AG428" s="449"/>
      <c r="AH428" s="449"/>
    </row>
    <row r="429" ht="11.25" customHeight="1">
      <c r="A429" s="450"/>
      <c r="B429" s="472"/>
      <c r="C429" s="473"/>
      <c r="D429" s="473"/>
      <c r="E429" s="474"/>
      <c r="F429" s="474"/>
      <c r="G429" s="475"/>
      <c r="H429" s="475"/>
      <c r="I429" s="476"/>
      <c r="J429" s="477"/>
      <c r="K429" s="478" t="s">
        <v>1418</v>
      </c>
      <c r="L429" s="479"/>
      <c r="M429" s="480"/>
      <c r="N429" s="481"/>
      <c r="O429" s="481"/>
      <c r="P429" s="482"/>
      <c r="Q429" s="479"/>
      <c r="R429" s="480"/>
      <c r="S429" s="480"/>
      <c r="T429" s="480"/>
      <c r="U429" s="480"/>
      <c r="V429" s="480"/>
      <c r="W429" s="480"/>
      <c r="X429" s="480"/>
      <c r="Y429" s="483">
        <f t="shared" si="17"/>
        <v>0</v>
      </c>
      <c r="Z429" s="484"/>
      <c r="AA429" s="485"/>
      <c r="AB429" s="486"/>
      <c r="AC429" s="486"/>
      <c r="AD429" s="486"/>
      <c r="AE429" s="487"/>
      <c r="AF429" s="449"/>
      <c r="AG429" s="449"/>
      <c r="AH429" s="449"/>
    </row>
    <row r="430" ht="11.25" customHeight="1">
      <c r="A430" s="431" t="str">
        <f>IF(B430="","", YEAR(B430))</f>
        <v/>
      </c>
      <c r="B430" s="432"/>
      <c r="C430" s="433"/>
      <c r="D430" s="433"/>
      <c r="E430" s="434" t="str">
        <f t="shared" ref="E430:I430" si="222">IFERROR(AVERAGE(L430:L433),"")</f>
        <v/>
      </c>
      <c r="F430" s="434" t="str">
        <f t="shared" si="222"/>
        <v/>
      </c>
      <c r="G430" s="435" t="str">
        <f t="shared" si="222"/>
        <v/>
      </c>
      <c r="H430" s="435" t="str">
        <f t="shared" si="222"/>
        <v/>
      </c>
      <c r="I430" s="436" t="str">
        <f t="shared" si="222"/>
        <v/>
      </c>
      <c r="J430" s="437">
        <f>SUMIFS(PRODUCTION[KG],PRODUCTION[GRADE],"3X50",PRODUCTION[DATE],B430,PRODUCTION[BATCH],C430,PRODUCTION[SHIFT],D430)</f>
        <v>0</v>
      </c>
      <c r="K430" s="438" t="s">
        <v>1414</v>
      </c>
      <c r="L430" s="443"/>
      <c r="M430" s="440"/>
      <c r="N430" s="441"/>
      <c r="O430" s="441"/>
      <c r="P430" s="442"/>
      <c r="Q430" s="443"/>
      <c r="R430" s="440"/>
      <c r="S430" s="440"/>
      <c r="T430" s="440"/>
      <c r="U430" s="440"/>
      <c r="V430" s="440"/>
      <c r="W430" s="440"/>
      <c r="X430" s="440"/>
      <c r="Y430" s="444">
        <f t="shared" si="17"/>
        <v>0</v>
      </c>
      <c r="Z430" s="445"/>
      <c r="AA430" s="446">
        <f t="shared" ref="AA430:AE430" si="223">$J430*E430</f>
        <v>0</v>
      </c>
      <c r="AB430" s="447">
        <f t="shared" si="223"/>
        <v>0</v>
      </c>
      <c r="AC430" s="447">
        <f t="shared" si="223"/>
        <v>0</v>
      </c>
      <c r="AD430" s="447">
        <f t="shared" si="223"/>
        <v>0</v>
      </c>
      <c r="AE430" s="448">
        <f t="shared" si="223"/>
        <v>0</v>
      </c>
      <c r="AF430" s="449"/>
      <c r="AG430" s="449"/>
      <c r="AH430" s="449"/>
    </row>
    <row r="431" ht="11.25" customHeight="1">
      <c r="A431" s="450"/>
      <c r="B431" s="451"/>
      <c r="C431" s="452"/>
      <c r="D431" s="452"/>
      <c r="E431" s="453"/>
      <c r="F431" s="453"/>
      <c r="G431" s="454"/>
      <c r="H431" s="454"/>
      <c r="I431" s="455"/>
      <c r="J431" s="456"/>
      <c r="K431" s="457" t="s">
        <v>1416</v>
      </c>
      <c r="L431" s="458"/>
      <c r="M431" s="459"/>
      <c r="N431" s="460"/>
      <c r="O431" s="460"/>
      <c r="P431" s="461"/>
      <c r="Q431" s="458"/>
      <c r="R431" s="459"/>
      <c r="S431" s="459"/>
      <c r="T431" s="459"/>
      <c r="U431" s="459"/>
      <c r="V431" s="459"/>
      <c r="W431" s="459"/>
      <c r="X431" s="459"/>
      <c r="Y431" s="462">
        <f t="shared" si="17"/>
        <v>0</v>
      </c>
      <c r="Z431" s="463"/>
      <c r="AA431" s="464"/>
      <c r="AB431" s="465"/>
      <c r="AC431" s="465"/>
      <c r="AD431" s="465"/>
      <c r="AE431" s="466"/>
      <c r="AF431" s="449"/>
      <c r="AG431" s="449"/>
      <c r="AH431" s="449"/>
    </row>
    <row r="432" ht="11.25" customHeight="1">
      <c r="A432" s="450"/>
      <c r="B432" s="451"/>
      <c r="C432" s="452"/>
      <c r="D432" s="452"/>
      <c r="E432" s="453"/>
      <c r="F432" s="453"/>
      <c r="G432" s="454"/>
      <c r="H432" s="454"/>
      <c r="I432" s="455"/>
      <c r="J432" s="456"/>
      <c r="K432" s="467" t="s">
        <v>1417</v>
      </c>
      <c r="L432" s="468"/>
      <c r="M432" s="469"/>
      <c r="N432" s="470"/>
      <c r="O432" s="470"/>
      <c r="P432" s="471"/>
      <c r="Q432" s="468"/>
      <c r="R432" s="469"/>
      <c r="S432" s="469"/>
      <c r="T432" s="469"/>
      <c r="U432" s="469"/>
      <c r="V432" s="469"/>
      <c r="W432" s="469"/>
      <c r="X432" s="469"/>
      <c r="Y432" s="462">
        <f t="shared" si="17"/>
        <v>0</v>
      </c>
      <c r="Z432" s="463"/>
      <c r="AA432" s="464"/>
      <c r="AB432" s="465"/>
      <c r="AC432" s="465"/>
      <c r="AD432" s="465"/>
      <c r="AE432" s="466"/>
      <c r="AF432" s="449"/>
      <c r="AG432" s="449"/>
      <c r="AH432" s="449"/>
    </row>
    <row r="433" ht="11.25" customHeight="1">
      <c r="A433" s="450"/>
      <c r="B433" s="472"/>
      <c r="C433" s="473"/>
      <c r="D433" s="473"/>
      <c r="E433" s="474"/>
      <c r="F433" s="474"/>
      <c r="G433" s="475"/>
      <c r="H433" s="475"/>
      <c r="I433" s="476"/>
      <c r="J433" s="477"/>
      <c r="K433" s="478" t="s">
        <v>1418</v>
      </c>
      <c r="L433" s="479"/>
      <c r="M433" s="480"/>
      <c r="N433" s="481"/>
      <c r="O433" s="481"/>
      <c r="P433" s="482"/>
      <c r="Q433" s="479"/>
      <c r="R433" s="480"/>
      <c r="S433" s="480"/>
      <c r="T433" s="480"/>
      <c r="U433" s="480"/>
      <c r="V433" s="480"/>
      <c r="W433" s="480"/>
      <c r="X433" s="480"/>
      <c r="Y433" s="483">
        <f t="shared" si="17"/>
        <v>0</v>
      </c>
      <c r="Z433" s="484"/>
      <c r="AA433" s="485"/>
      <c r="AB433" s="486"/>
      <c r="AC433" s="486"/>
      <c r="AD433" s="486"/>
      <c r="AE433" s="487"/>
      <c r="AF433" s="449"/>
      <c r="AG433" s="449"/>
      <c r="AH433" s="449"/>
    </row>
    <row r="434" ht="11.25" customHeight="1">
      <c r="A434" s="431" t="str">
        <f>IF(B434="","", YEAR(B434))</f>
        <v/>
      </c>
      <c r="B434" s="432"/>
      <c r="C434" s="433"/>
      <c r="D434" s="433"/>
      <c r="E434" s="434" t="str">
        <f t="shared" ref="E434:I434" si="224">IFERROR(AVERAGE(L434:L437),"")</f>
        <v/>
      </c>
      <c r="F434" s="434" t="str">
        <f t="shared" si="224"/>
        <v/>
      </c>
      <c r="G434" s="435" t="str">
        <f t="shared" si="224"/>
        <v/>
      </c>
      <c r="H434" s="435" t="str">
        <f t="shared" si="224"/>
        <v/>
      </c>
      <c r="I434" s="436" t="str">
        <f t="shared" si="224"/>
        <v/>
      </c>
      <c r="J434" s="437">
        <f>SUMIFS(PRODUCTION[KG],PRODUCTION[GRADE],"3X50",PRODUCTION[DATE],B434,PRODUCTION[BATCH],C434,PRODUCTION[SHIFT],D434)</f>
        <v>0</v>
      </c>
      <c r="K434" s="438" t="s">
        <v>1414</v>
      </c>
      <c r="L434" s="443"/>
      <c r="M434" s="440"/>
      <c r="N434" s="441"/>
      <c r="O434" s="441"/>
      <c r="P434" s="442"/>
      <c r="Q434" s="443"/>
      <c r="R434" s="440"/>
      <c r="S434" s="440"/>
      <c r="T434" s="440"/>
      <c r="U434" s="440"/>
      <c r="V434" s="440"/>
      <c r="W434" s="440"/>
      <c r="X434" s="440"/>
      <c r="Y434" s="444">
        <f t="shared" si="17"/>
        <v>0</v>
      </c>
      <c r="Z434" s="445"/>
      <c r="AA434" s="446">
        <f t="shared" ref="AA434:AE434" si="225">$J434*E434</f>
        <v>0</v>
      </c>
      <c r="AB434" s="447">
        <f t="shared" si="225"/>
        <v>0</v>
      </c>
      <c r="AC434" s="447">
        <f t="shared" si="225"/>
        <v>0</v>
      </c>
      <c r="AD434" s="447">
        <f t="shared" si="225"/>
        <v>0</v>
      </c>
      <c r="AE434" s="448">
        <f t="shared" si="225"/>
        <v>0</v>
      </c>
      <c r="AF434" s="449"/>
      <c r="AG434" s="449"/>
      <c r="AH434" s="449"/>
    </row>
    <row r="435" ht="11.25" customHeight="1">
      <c r="A435" s="450"/>
      <c r="B435" s="451"/>
      <c r="C435" s="452"/>
      <c r="D435" s="452"/>
      <c r="E435" s="453"/>
      <c r="F435" s="453"/>
      <c r="G435" s="454"/>
      <c r="H435" s="454"/>
      <c r="I435" s="455"/>
      <c r="J435" s="456"/>
      <c r="K435" s="457" t="s">
        <v>1416</v>
      </c>
      <c r="L435" s="458"/>
      <c r="M435" s="459"/>
      <c r="N435" s="460"/>
      <c r="O435" s="460"/>
      <c r="P435" s="461"/>
      <c r="Q435" s="458"/>
      <c r="R435" s="459"/>
      <c r="S435" s="459"/>
      <c r="T435" s="459"/>
      <c r="U435" s="459"/>
      <c r="V435" s="459"/>
      <c r="W435" s="459"/>
      <c r="X435" s="459"/>
      <c r="Y435" s="462">
        <f t="shared" si="17"/>
        <v>0</v>
      </c>
      <c r="Z435" s="463"/>
      <c r="AA435" s="464"/>
      <c r="AB435" s="465"/>
      <c r="AC435" s="465"/>
      <c r="AD435" s="465"/>
      <c r="AE435" s="466"/>
      <c r="AF435" s="449"/>
      <c r="AG435" s="449"/>
      <c r="AH435" s="449"/>
    </row>
    <row r="436" ht="11.25" customHeight="1">
      <c r="A436" s="450"/>
      <c r="B436" s="451"/>
      <c r="C436" s="452"/>
      <c r="D436" s="452"/>
      <c r="E436" s="453"/>
      <c r="F436" s="453"/>
      <c r="G436" s="454"/>
      <c r="H436" s="454"/>
      <c r="I436" s="455"/>
      <c r="J436" s="456"/>
      <c r="K436" s="467" t="s">
        <v>1417</v>
      </c>
      <c r="L436" s="468"/>
      <c r="M436" s="469"/>
      <c r="N436" s="470"/>
      <c r="O436" s="470"/>
      <c r="P436" s="471"/>
      <c r="Q436" s="468"/>
      <c r="R436" s="469"/>
      <c r="S436" s="469"/>
      <c r="T436" s="469"/>
      <c r="U436" s="469"/>
      <c r="V436" s="469"/>
      <c r="W436" s="469"/>
      <c r="X436" s="469"/>
      <c r="Y436" s="462">
        <f t="shared" si="17"/>
        <v>0</v>
      </c>
      <c r="Z436" s="463"/>
      <c r="AA436" s="464"/>
      <c r="AB436" s="465"/>
      <c r="AC436" s="465"/>
      <c r="AD436" s="465"/>
      <c r="AE436" s="466"/>
      <c r="AF436" s="449"/>
      <c r="AG436" s="449"/>
      <c r="AH436" s="449"/>
    </row>
    <row r="437" ht="11.25" customHeight="1">
      <c r="A437" s="450"/>
      <c r="B437" s="472"/>
      <c r="C437" s="473"/>
      <c r="D437" s="473"/>
      <c r="E437" s="474"/>
      <c r="F437" s="474"/>
      <c r="G437" s="475"/>
      <c r="H437" s="475"/>
      <c r="I437" s="476"/>
      <c r="J437" s="477"/>
      <c r="K437" s="478" t="s">
        <v>1418</v>
      </c>
      <c r="L437" s="479"/>
      <c r="M437" s="480"/>
      <c r="N437" s="481"/>
      <c r="O437" s="481"/>
      <c r="P437" s="482"/>
      <c r="Q437" s="479"/>
      <c r="R437" s="480"/>
      <c r="S437" s="480"/>
      <c r="T437" s="480"/>
      <c r="U437" s="480"/>
      <c r="V437" s="480"/>
      <c r="W437" s="480"/>
      <c r="X437" s="480"/>
      <c r="Y437" s="483">
        <f t="shared" si="17"/>
        <v>0</v>
      </c>
      <c r="Z437" s="484"/>
      <c r="AA437" s="485"/>
      <c r="AB437" s="486"/>
      <c r="AC437" s="486"/>
      <c r="AD437" s="486"/>
      <c r="AE437" s="487"/>
      <c r="AF437" s="449"/>
      <c r="AG437" s="449"/>
      <c r="AH437" s="449"/>
    </row>
    <row r="438" ht="11.25" customHeight="1">
      <c r="A438" s="431" t="str">
        <f>IF(B438="","", YEAR(B438))</f>
        <v/>
      </c>
      <c r="B438" s="432"/>
      <c r="C438" s="433"/>
      <c r="D438" s="433"/>
      <c r="E438" s="434" t="str">
        <f t="shared" ref="E438:I438" si="226">IFERROR(AVERAGE(L438:L441),"")</f>
        <v/>
      </c>
      <c r="F438" s="434" t="str">
        <f t="shared" si="226"/>
        <v/>
      </c>
      <c r="G438" s="435" t="str">
        <f t="shared" si="226"/>
        <v/>
      </c>
      <c r="H438" s="435" t="str">
        <f t="shared" si="226"/>
        <v/>
      </c>
      <c r="I438" s="436" t="str">
        <f t="shared" si="226"/>
        <v/>
      </c>
      <c r="J438" s="437">
        <f>SUMIFS(PRODUCTION[KG],PRODUCTION[GRADE],"3X50",PRODUCTION[DATE],B438,PRODUCTION[BATCH],C438,PRODUCTION[SHIFT],D438)</f>
        <v>0</v>
      </c>
      <c r="K438" s="438" t="s">
        <v>1414</v>
      </c>
      <c r="L438" s="443"/>
      <c r="M438" s="440"/>
      <c r="N438" s="441"/>
      <c r="O438" s="441"/>
      <c r="P438" s="442"/>
      <c r="Q438" s="443"/>
      <c r="R438" s="440"/>
      <c r="S438" s="440"/>
      <c r="T438" s="440"/>
      <c r="U438" s="440"/>
      <c r="V438" s="440"/>
      <c r="W438" s="440"/>
      <c r="X438" s="440"/>
      <c r="Y438" s="444">
        <f t="shared" si="17"/>
        <v>0</v>
      </c>
      <c r="Z438" s="445"/>
      <c r="AA438" s="446">
        <f t="shared" ref="AA438:AE438" si="227">$J438*E438</f>
        <v>0</v>
      </c>
      <c r="AB438" s="447">
        <f t="shared" si="227"/>
        <v>0</v>
      </c>
      <c r="AC438" s="447">
        <f t="shared" si="227"/>
        <v>0</v>
      </c>
      <c r="AD438" s="447">
        <f t="shared" si="227"/>
        <v>0</v>
      </c>
      <c r="AE438" s="448">
        <f t="shared" si="227"/>
        <v>0</v>
      </c>
      <c r="AF438" s="449"/>
      <c r="AG438" s="449"/>
      <c r="AH438" s="449"/>
    </row>
    <row r="439" ht="11.25" customHeight="1">
      <c r="A439" s="450"/>
      <c r="B439" s="451"/>
      <c r="C439" s="452"/>
      <c r="D439" s="452"/>
      <c r="E439" s="453"/>
      <c r="F439" s="453"/>
      <c r="G439" s="454"/>
      <c r="H439" s="454"/>
      <c r="I439" s="455"/>
      <c r="J439" s="456"/>
      <c r="K439" s="457" t="s">
        <v>1416</v>
      </c>
      <c r="L439" s="458"/>
      <c r="M439" s="459"/>
      <c r="N439" s="460"/>
      <c r="O439" s="460"/>
      <c r="P439" s="461"/>
      <c r="Q439" s="458"/>
      <c r="R439" s="459"/>
      <c r="S439" s="459"/>
      <c r="T439" s="459"/>
      <c r="U439" s="459"/>
      <c r="V439" s="459"/>
      <c r="W439" s="459"/>
      <c r="X439" s="459"/>
      <c r="Y439" s="462">
        <f t="shared" si="17"/>
        <v>0</v>
      </c>
      <c r="Z439" s="463"/>
      <c r="AA439" s="464"/>
      <c r="AB439" s="465"/>
      <c r="AC439" s="465"/>
      <c r="AD439" s="465"/>
      <c r="AE439" s="466"/>
      <c r="AF439" s="449"/>
      <c r="AG439" s="449"/>
      <c r="AH439" s="449"/>
    </row>
    <row r="440" ht="11.25" customHeight="1">
      <c r="A440" s="450"/>
      <c r="B440" s="451"/>
      <c r="C440" s="452"/>
      <c r="D440" s="452"/>
      <c r="E440" s="453"/>
      <c r="F440" s="453"/>
      <c r="G440" s="454"/>
      <c r="H440" s="454"/>
      <c r="I440" s="455"/>
      <c r="J440" s="456"/>
      <c r="K440" s="467" t="s">
        <v>1417</v>
      </c>
      <c r="L440" s="468"/>
      <c r="M440" s="469"/>
      <c r="N440" s="470"/>
      <c r="O440" s="470"/>
      <c r="P440" s="471"/>
      <c r="Q440" s="468"/>
      <c r="R440" s="469"/>
      <c r="S440" s="469"/>
      <c r="T440" s="469"/>
      <c r="U440" s="469"/>
      <c r="V440" s="469"/>
      <c r="W440" s="469"/>
      <c r="X440" s="469"/>
      <c r="Y440" s="462">
        <f t="shared" si="17"/>
        <v>0</v>
      </c>
      <c r="Z440" s="463"/>
      <c r="AA440" s="464"/>
      <c r="AB440" s="465"/>
      <c r="AC440" s="465"/>
      <c r="AD440" s="465"/>
      <c r="AE440" s="466"/>
      <c r="AF440" s="449"/>
      <c r="AG440" s="449"/>
      <c r="AH440" s="449"/>
    </row>
    <row r="441" ht="11.25" customHeight="1">
      <c r="A441" s="450"/>
      <c r="B441" s="472"/>
      <c r="C441" s="473"/>
      <c r="D441" s="473"/>
      <c r="E441" s="474"/>
      <c r="F441" s="474"/>
      <c r="G441" s="475"/>
      <c r="H441" s="475"/>
      <c r="I441" s="476"/>
      <c r="J441" s="477"/>
      <c r="K441" s="478" t="s">
        <v>1418</v>
      </c>
      <c r="L441" s="479"/>
      <c r="M441" s="480"/>
      <c r="N441" s="481"/>
      <c r="O441" s="481"/>
      <c r="P441" s="482"/>
      <c r="Q441" s="479"/>
      <c r="R441" s="480"/>
      <c r="S441" s="480"/>
      <c r="T441" s="480"/>
      <c r="U441" s="480"/>
      <c r="V441" s="480"/>
      <c r="W441" s="480"/>
      <c r="X441" s="480"/>
      <c r="Y441" s="483">
        <f t="shared" si="17"/>
        <v>0</v>
      </c>
      <c r="Z441" s="484"/>
      <c r="AA441" s="485"/>
      <c r="AB441" s="486"/>
      <c r="AC441" s="486"/>
      <c r="AD441" s="486"/>
      <c r="AE441" s="487"/>
      <c r="AF441" s="449"/>
      <c r="AG441" s="449"/>
      <c r="AH441" s="449"/>
    </row>
    <row r="442" ht="11.25" customHeight="1">
      <c r="A442" s="431" t="str">
        <f>IF(B442="","", YEAR(B442))</f>
        <v/>
      </c>
      <c r="B442" s="432"/>
      <c r="C442" s="433"/>
      <c r="D442" s="433"/>
      <c r="E442" s="434" t="str">
        <f t="shared" ref="E442:I442" si="228">IFERROR(AVERAGE(L442:L445),"")</f>
        <v/>
      </c>
      <c r="F442" s="434" t="str">
        <f t="shared" si="228"/>
        <v/>
      </c>
      <c r="G442" s="435" t="str">
        <f t="shared" si="228"/>
        <v/>
      </c>
      <c r="H442" s="435" t="str">
        <f t="shared" si="228"/>
        <v/>
      </c>
      <c r="I442" s="436" t="str">
        <f t="shared" si="228"/>
        <v/>
      </c>
      <c r="J442" s="437">
        <f>SUMIFS(PRODUCTION[KG],PRODUCTION[GRADE],"3X50",PRODUCTION[DATE],B442,PRODUCTION[BATCH],C442,PRODUCTION[SHIFT],D442)</f>
        <v>0</v>
      </c>
      <c r="K442" s="438" t="s">
        <v>1414</v>
      </c>
      <c r="L442" s="443"/>
      <c r="M442" s="440"/>
      <c r="N442" s="441"/>
      <c r="O442" s="441"/>
      <c r="P442" s="442"/>
      <c r="Q442" s="443"/>
      <c r="R442" s="440"/>
      <c r="S442" s="440"/>
      <c r="T442" s="440"/>
      <c r="U442" s="440"/>
      <c r="V442" s="440"/>
      <c r="W442" s="440"/>
      <c r="X442" s="440"/>
      <c r="Y442" s="444">
        <f t="shared" si="17"/>
        <v>0</v>
      </c>
      <c r="Z442" s="445"/>
      <c r="AA442" s="446">
        <f t="shared" ref="AA442:AE442" si="229">$J442*E442</f>
        <v>0</v>
      </c>
      <c r="AB442" s="447">
        <f t="shared" si="229"/>
        <v>0</v>
      </c>
      <c r="AC442" s="447">
        <f t="shared" si="229"/>
        <v>0</v>
      </c>
      <c r="AD442" s="447">
        <f t="shared" si="229"/>
        <v>0</v>
      </c>
      <c r="AE442" s="448">
        <f t="shared" si="229"/>
        <v>0</v>
      </c>
      <c r="AF442" s="449"/>
      <c r="AG442" s="449"/>
      <c r="AH442" s="449"/>
    </row>
    <row r="443" ht="11.25" customHeight="1">
      <c r="A443" s="450"/>
      <c r="B443" s="451"/>
      <c r="C443" s="452"/>
      <c r="D443" s="452"/>
      <c r="E443" s="453"/>
      <c r="F443" s="453"/>
      <c r="G443" s="454"/>
      <c r="H443" s="454"/>
      <c r="I443" s="455"/>
      <c r="J443" s="456"/>
      <c r="K443" s="457" t="s">
        <v>1416</v>
      </c>
      <c r="L443" s="458"/>
      <c r="M443" s="459"/>
      <c r="N443" s="460"/>
      <c r="O443" s="460"/>
      <c r="P443" s="461"/>
      <c r="Q443" s="458"/>
      <c r="R443" s="459"/>
      <c r="S443" s="459"/>
      <c r="T443" s="459"/>
      <c r="U443" s="459"/>
      <c r="V443" s="459"/>
      <c r="W443" s="459"/>
      <c r="X443" s="459"/>
      <c r="Y443" s="462">
        <f t="shared" si="17"/>
        <v>0</v>
      </c>
      <c r="Z443" s="463"/>
      <c r="AA443" s="464"/>
      <c r="AB443" s="465"/>
      <c r="AC443" s="465"/>
      <c r="AD443" s="465"/>
      <c r="AE443" s="466"/>
      <c r="AF443" s="449"/>
      <c r="AG443" s="449"/>
      <c r="AH443" s="449"/>
    </row>
    <row r="444" ht="11.25" customHeight="1">
      <c r="A444" s="450"/>
      <c r="B444" s="451"/>
      <c r="C444" s="452"/>
      <c r="D444" s="452"/>
      <c r="E444" s="453"/>
      <c r="F444" s="453"/>
      <c r="G444" s="454"/>
      <c r="H444" s="454"/>
      <c r="I444" s="455"/>
      <c r="J444" s="456"/>
      <c r="K444" s="467" t="s">
        <v>1417</v>
      </c>
      <c r="L444" s="468"/>
      <c r="M444" s="469"/>
      <c r="N444" s="470"/>
      <c r="O444" s="470"/>
      <c r="P444" s="471"/>
      <c r="Q444" s="468"/>
      <c r="R444" s="469"/>
      <c r="S444" s="469"/>
      <c r="T444" s="469"/>
      <c r="U444" s="469"/>
      <c r="V444" s="469"/>
      <c r="W444" s="469"/>
      <c r="X444" s="469"/>
      <c r="Y444" s="462">
        <f t="shared" si="17"/>
        <v>0</v>
      </c>
      <c r="Z444" s="463"/>
      <c r="AA444" s="464"/>
      <c r="AB444" s="465"/>
      <c r="AC444" s="465"/>
      <c r="AD444" s="465"/>
      <c r="AE444" s="466"/>
      <c r="AF444" s="449"/>
      <c r="AG444" s="449"/>
      <c r="AH444" s="449"/>
    </row>
    <row r="445" ht="11.25" customHeight="1">
      <c r="A445" s="450"/>
      <c r="B445" s="472"/>
      <c r="C445" s="473"/>
      <c r="D445" s="473"/>
      <c r="E445" s="474"/>
      <c r="F445" s="474"/>
      <c r="G445" s="475"/>
      <c r="H445" s="475"/>
      <c r="I445" s="476"/>
      <c r="J445" s="477"/>
      <c r="K445" s="478" t="s">
        <v>1418</v>
      </c>
      <c r="L445" s="479"/>
      <c r="M445" s="480"/>
      <c r="N445" s="481"/>
      <c r="O445" s="481"/>
      <c r="P445" s="482"/>
      <c r="Q445" s="479"/>
      <c r="R445" s="480"/>
      <c r="S445" s="480"/>
      <c r="T445" s="480"/>
      <c r="U445" s="480"/>
      <c r="V445" s="480"/>
      <c r="W445" s="480"/>
      <c r="X445" s="480"/>
      <c r="Y445" s="483">
        <f t="shared" si="17"/>
        <v>0</v>
      </c>
      <c r="Z445" s="484"/>
      <c r="AA445" s="485"/>
      <c r="AB445" s="486"/>
      <c r="AC445" s="486"/>
      <c r="AD445" s="486"/>
      <c r="AE445" s="487"/>
      <c r="AF445" s="449"/>
      <c r="AG445" s="449"/>
      <c r="AH445" s="449"/>
    </row>
    <row r="446" ht="11.25" customHeight="1">
      <c r="A446" s="431" t="str">
        <f>IF(B446="","", YEAR(B446))</f>
        <v/>
      </c>
      <c r="B446" s="432"/>
      <c r="C446" s="433"/>
      <c r="D446" s="433"/>
      <c r="E446" s="434" t="str">
        <f t="shared" ref="E446:I446" si="230">IFERROR(AVERAGE(L446:L449),"")</f>
        <v/>
      </c>
      <c r="F446" s="434" t="str">
        <f t="shared" si="230"/>
        <v/>
      </c>
      <c r="G446" s="435" t="str">
        <f t="shared" si="230"/>
        <v/>
      </c>
      <c r="H446" s="435" t="str">
        <f t="shared" si="230"/>
        <v/>
      </c>
      <c r="I446" s="436" t="str">
        <f t="shared" si="230"/>
        <v/>
      </c>
      <c r="J446" s="437">
        <f>SUMIFS(PRODUCTION[KG],PRODUCTION[GRADE],"3X50",PRODUCTION[DATE],B446,PRODUCTION[BATCH],C446,PRODUCTION[SHIFT],D446)</f>
        <v>0</v>
      </c>
      <c r="K446" s="438" t="s">
        <v>1414</v>
      </c>
      <c r="L446" s="443"/>
      <c r="M446" s="440"/>
      <c r="N446" s="441"/>
      <c r="O446" s="441"/>
      <c r="P446" s="442"/>
      <c r="Q446" s="443"/>
      <c r="R446" s="440"/>
      <c r="S446" s="440"/>
      <c r="T446" s="440"/>
      <c r="U446" s="440"/>
      <c r="V446" s="440"/>
      <c r="W446" s="440"/>
      <c r="X446" s="440"/>
      <c r="Y446" s="444">
        <f t="shared" si="17"/>
        <v>0</v>
      </c>
      <c r="Z446" s="445"/>
      <c r="AA446" s="446">
        <f t="shared" ref="AA446:AE446" si="231">$J446*E446</f>
        <v>0</v>
      </c>
      <c r="AB446" s="447">
        <f t="shared" si="231"/>
        <v>0</v>
      </c>
      <c r="AC446" s="447">
        <f t="shared" si="231"/>
        <v>0</v>
      </c>
      <c r="AD446" s="447">
        <f t="shared" si="231"/>
        <v>0</v>
      </c>
      <c r="AE446" s="448">
        <f t="shared" si="231"/>
        <v>0</v>
      </c>
      <c r="AF446" s="449"/>
      <c r="AG446" s="449"/>
      <c r="AH446" s="449"/>
    </row>
    <row r="447" ht="11.25" customHeight="1">
      <c r="A447" s="450"/>
      <c r="B447" s="451"/>
      <c r="C447" s="452"/>
      <c r="D447" s="452"/>
      <c r="E447" s="453"/>
      <c r="F447" s="453"/>
      <c r="G447" s="454"/>
      <c r="H447" s="454"/>
      <c r="I447" s="455"/>
      <c r="J447" s="456"/>
      <c r="K447" s="457" t="s">
        <v>1416</v>
      </c>
      <c r="L447" s="458"/>
      <c r="M447" s="459"/>
      <c r="N447" s="460"/>
      <c r="O447" s="460"/>
      <c r="P447" s="461"/>
      <c r="Q447" s="458"/>
      <c r="R447" s="459"/>
      <c r="S447" s="459"/>
      <c r="T447" s="459"/>
      <c r="U447" s="459"/>
      <c r="V447" s="459"/>
      <c r="W447" s="459"/>
      <c r="X447" s="459"/>
      <c r="Y447" s="462">
        <f t="shared" si="17"/>
        <v>0</v>
      </c>
      <c r="Z447" s="463"/>
      <c r="AA447" s="464"/>
      <c r="AB447" s="465"/>
      <c r="AC447" s="465"/>
      <c r="AD447" s="465"/>
      <c r="AE447" s="466"/>
      <c r="AF447" s="449"/>
      <c r="AG447" s="449"/>
      <c r="AH447" s="449"/>
    </row>
    <row r="448" ht="11.25" customHeight="1">
      <c r="A448" s="450"/>
      <c r="B448" s="451"/>
      <c r="C448" s="452"/>
      <c r="D448" s="452"/>
      <c r="E448" s="453"/>
      <c r="F448" s="453"/>
      <c r="G448" s="454"/>
      <c r="H448" s="454"/>
      <c r="I448" s="455"/>
      <c r="J448" s="456"/>
      <c r="K448" s="467" t="s">
        <v>1417</v>
      </c>
      <c r="L448" s="468"/>
      <c r="M448" s="469"/>
      <c r="N448" s="470"/>
      <c r="O448" s="470"/>
      <c r="P448" s="471"/>
      <c r="Q448" s="468"/>
      <c r="R448" s="469"/>
      <c r="S448" s="469"/>
      <c r="T448" s="469"/>
      <c r="U448" s="469"/>
      <c r="V448" s="469"/>
      <c r="W448" s="469"/>
      <c r="X448" s="469"/>
      <c r="Y448" s="462">
        <f t="shared" si="17"/>
        <v>0</v>
      </c>
      <c r="Z448" s="463"/>
      <c r="AA448" s="464"/>
      <c r="AB448" s="465"/>
      <c r="AC448" s="465"/>
      <c r="AD448" s="465"/>
      <c r="AE448" s="466"/>
      <c r="AF448" s="449"/>
      <c r="AG448" s="449"/>
      <c r="AH448" s="449"/>
    </row>
    <row r="449" ht="11.25" customHeight="1">
      <c r="A449" s="450"/>
      <c r="B449" s="472"/>
      <c r="C449" s="473"/>
      <c r="D449" s="473"/>
      <c r="E449" s="474"/>
      <c r="F449" s="474"/>
      <c r="G449" s="475"/>
      <c r="H449" s="475"/>
      <c r="I449" s="476"/>
      <c r="J449" s="477"/>
      <c r="K449" s="478" t="s">
        <v>1418</v>
      </c>
      <c r="L449" s="479"/>
      <c r="M449" s="480"/>
      <c r="N449" s="481"/>
      <c r="O449" s="481"/>
      <c r="P449" s="482"/>
      <c r="Q449" s="479"/>
      <c r="R449" s="480"/>
      <c r="S449" s="480"/>
      <c r="T449" s="480"/>
      <c r="U449" s="480"/>
      <c r="V449" s="480"/>
      <c r="W449" s="480"/>
      <c r="X449" s="480"/>
      <c r="Y449" s="483">
        <f t="shared" si="17"/>
        <v>0</v>
      </c>
      <c r="Z449" s="484"/>
      <c r="AA449" s="485"/>
      <c r="AB449" s="486"/>
      <c r="AC449" s="486"/>
      <c r="AD449" s="486"/>
      <c r="AE449" s="487"/>
      <c r="AF449" s="449"/>
      <c r="AG449" s="449"/>
      <c r="AH449" s="449"/>
    </row>
    <row r="450" ht="11.25" customHeight="1">
      <c r="A450" s="431" t="str">
        <f>IF(B450="","", YEAR(B450))</f>
        <v/>
      </c>
      <c r="B450" s="432"/>
      <c r="C450" s="433"/>
      <c r="D450" s="433"/>
      <c r="E450" s="434" t="str">
        <f t="shared" ref="E450:I450" si="232">IFERROR(AVERAGE(L450:L453),"")</f>
        <v/>
      </c>
      <c r="F450" s="434" t="str">
        <f t="shared" si="232"/>
        <v/>
      </c>
      <c r="G450" s="435" t="str">
        <f t="shared" si="232"/>
        <v/>
      </c>
      <c r="H450" s="435" t="str">
        <f t="shared" si="232"/>
        <v/>
      </c>
      <c r="I450" s="436" t="str">
        <f t="shared" si="232"/>
        <v/>
      </c>
      <c r="J450" s="437">
        <f>SUMIFS(PRODUCTION[KG],PRODUCTION[GRADE],"3X50",PRODUCTION[DATE],B450,PRODUCTION[BATCH],C450,PRODUCTION[SHIFT],D450)</f>
        <v>0</v>
      </c>
      <c r="K450" s="438" t="s">
        <v>1414</v>
      </c>
      <c r="L450" s="443"/>
      <c r="M450" s="440"/>
      <c r="N450" s="441"/>
      <c r="O450" s="441"/>
      <c r="P450" s="442"/>
      <c r="Q450" s="443"/>
      <c r="R450" s="440"/>
      <c r="S450" s="440"/>
      <c r="T450" s="440"/>
      <c r="U450" s="440"/>
      <c r="V450" s="440"/>
      <c r="W450" s="440"/>
      <c r="X450" s="440"/>
      <c r="Y450" s="444">
        <f t="shared" si="17"/>
        <v>0</v>
      </c>
      <c r="Z450" s="445"/>
      <c r="AA450" s="446">
        <f t="shared" ref="AA450:AE450" si="233">$J450*E450</f>
        <v>0</v>
      </c>
      <c r="AB450" s="447">
        <f t="shared" si="233"/>
        <v>0</v>
      </c>
      <c r="AC450" s="447">
        <f t="shared" si="233"/>
        <v>0</v>
      </c>
      <c r="AD450" s="447">
        <f t="shared" si="233"/>
        <v>0</v>
      </c>
      <c r="AE450" s="448">
        <f t="shared" si="233"/>
        <v>0</v>
      </c>
      <c r="AF450" s="449"/>
      <c r="AG450" s="449"/>
      <c r="AH450" s="449"/>
    </row>
    <row r="451" ht="11.25" customHeight="1">
      <c r="A451" s="450"/>
      <c r="B451" s="451"/>
      <c r="C451" s="452"/>
      <c r="D451" s="452"/>
      <c r="E451" s="453"/>
      <c r="F451" s="453"/>
      <c r="G451" s="454"/>
      <c r="H451" s="454"/>
      <c r="I451" s="455"/>
      <c r="J451" s="456"/>
      <c r="K451" s="457" t="s">
        <v>1416</v>
      </c>
      <c r="L451" s="458"/>
      <c r="M451" s="459"/>
      <c r="N451" s="460"/>
      <c r="O451" s="460"/>
      <c r="P451" s="461"/>
      <c r="Q451" s="458"/>
      <c r="R451" s="459"/>
      <c r="S451" s="459"/>
      <c r="T451" s="459"/>
      <c r="U451" s="459"/>
      <c r="V451" s="459"/>
      <c r="W451" s="459"/>
      <c r="X451" s="459"/>
      <c r="Y451" s="462">
        <f t="shared" si="17"/>
        <v>0</v>
      </c>
      <c r="Z451" s="463"/>
      <c r="AA451" s="464"/>
      <c r="AB451" s="465"/>
      <c r="AC451" s="465"/>
      <c r="AD451" s="465"/>
      <c r="AE451" s="466"/>
      <c r="AF451" s="449"/>
      <c r="AG451" s="449"/>
      <c r="AH451" s="449"/>
    </row>
    <row r="452" ht="11.25" customHeight="1">
      <c r="A452" s="450"/>
      <c r="B452" s="451"/>
      <c r="C452" s="452"/>
      <c r="D452" s="452"/>
      <c r="E452" s="453"/>
      <c r="F452" s="453"/>
      <c r="G452" s="454"/>
      <c r="H452" s="454"/>
      <c r="I452" s="455"/>
      <c r="J452" s="456"/>
      <c r="K452" s="467" t="s">
        <v>1417</v>
      </c>
      <c r="L452" s="468"/>
      <c r="M452" s="469"/>
      <c r="N452" s="470"/>
      <c r="O452" s="470"/>
      <c r="P452" s="471"/>
      <c r="Q452" s="468"/>
      <c r="R452" s="469"/>
      <c r="S452" s="469"/>
      <c r="T452" s="469"/>
      <c r="U452" s="469"/>
      <c r="V452" s="469"/>
      <c r="W452" s="469"/>
      <c r="X452" s="469"/>
      <c r="Y452" s="462">
        <f t="shared" si="17"/>
        <v>0</v>
      </c>
      <c r="Z452" s="463"/>
      <c r="AA452" s="464"/>
      <c r="AB452" s="465"/>
      <c r="AC452" s="465"/>
      <c r="AD452" s="465"/>
      <c r="AE452" s="466"/>
      <c r="AF452" s="449"/>
      <c r="AG452" s="449"/>
      <c r="AH452" s="449"/>
    </row>
    <row r="453" ht="11.25" customHeight="1">
      <c r="A453" s="450"/>
      <c r="B453" s="472"/>
      <c r="C453" s="473"/>
      <c r="D453" s="473"/>
      <c r="E453" s="474"/>
      <c r="F453" s="474"/>
      <c r="G453" s="475"/>
      <c r="H453" s="475"/>
      <c r="I453" s="476"/>
      <c r="J453" s="477"/>
      <c r="K453" s="478" t="s">
        <v>1418</v>
      </c>
      <c r="L453" s="479"/>
      <c r="M453" s="480"/>
      <c r="N453" s="481"/>
      <c r="O453" s="481"/>
      <c r="P453" s="482"/>
      <c r="Q453" s="479"/>
      <c r="R453" s="480"/>
      <c r="S453" s="480"/>
      <c r="T453" s="480"/>
      <c r="U453" s="480"/>
      <c r="V453" s="480"/>
      <c r="W453" s="480"/>
      <c r="X453" s="480"/>
      <c r="Y453" s="483">
        <f t="shared" si="17"/>
        <v>0</v>
      </c>
      <c r="Z453" s="484"/>
      <c r="AA453" s="485"/>
      <c r="AB453" s="486"/>
      <c r="AC453" s="486"/>
      <c r="AD453" s="486"/>
      <c r="AE453" s="487"/>
      <c r="AF453" s="449"/>
      <c r="AG453" s="449"/>
      <c r="AH453" s="449"/>
    </row>
    <row r="454" ht="11.25" customHeight="1">
      <c r="A454" s="431" t="str">
        <f>IF(B454="","", YEAR(B454))</f>
        <v/>
      </c>
      <c r="B454" s="432"/>
      <c r="C454" s="433"/>
      <c r="D454" s="433"/>
      <c r="E454" s="434" t="str">
        <f t="shared" ref="E454:I454" si="234">IFERROR(AVERAGE(L454:L457),"")</f>
        <v/>
      </c>
      <c r="F454" s="434" t="str">
        <f t="shared" si="234"/>
        <v/>
      </c>
      <c r="G454" s="435" t="str">
        <f t="shared" si="234"/>
        <v/>
      </c>
      <c r="H454" s="435" t="str">
        <f t="shared" si="234"/>
        <v/>
      </c>
      <c r="I454" s="436" t="str">
        <f t="shared" si="234"/>
        <v/>
      </c>
      <c r="J454" s="437">
        <f>SUMIFS(PRODUCTION[KG],PRODUCTION[GRADE],"3X50",PRODUCTION[DATE],B454,PRODUCTION[BATCH],C454,PRODUCTION[SHIFT],D454)</f>
        <v>0</v>
      </c>
      <c r="K454" s="438" t="s">
        <v>1414</v>
      </c>
      <c r="L454" s="443"/>
      <c r="M454" s="440"/>
      <c r="N454" s="441"/>
      <c r="O454" s="441"/>
      <c r="P454" s="442"/>
      <c r="Q454" s="443"/>
      <c r="R454" s="440"/>
      <c r="S454" s="440"/>
      <c r="T454" s="440"/>
      <c r="U454" s="440"/>
      <c r="V454" s="440"/>
      <c r="W454" s="440"/>
      <c r="X454" s="440"/>
      <c r="Y454" s="444">
        <f t="shared" si="17"/>
        <v>0</v>
      </c>
      <c r="Z454" s="445"/>
      <c r="AA454" s="446">
        <f t="shared" ref="AA454:AE454" si="235">$J454*E454</f>
        <v>0</v>
      </c>
      <c r="AB454" s="447">
        <f t="shared" si="235"/>
        <v>0</v>
      </c>
      <c r="AC454" s="447">
        <f t="shared" si="235"/>
        <v>0</v>
      </c>
      <c r="AD454" s="447">
        <f t="shared" si="235"/>
        <v>0</v>
      </c>
      <c r="AE454" s="448">
        <f t="shared" si="235"/>
        <v>0</v>
      </c>
      <c r="AF454" s="449"/>
      <c r="AG454" s="449"/>
      <c r="AH454" s="449"/>
    </row>
    <row r="455" ht="11.25" customHeight="1">
      <c r="A455" s="450"/>
      <c r="B455" s="451"/>
      <c r="C455" s="452"/>
      <c r="D455" s="452"/>
      <c r="E455" s="453"/>
      <c r="F455" s="453"/>
      <c r="G455" s="454"/>
      <c r="H455" s="454"/>
      <c r="I455" s="455"/>
      <c r="J455" s="456"/>
      <c r="K455" s="457" t="s">
        <v>1416</v>
      </c>
      <c r="L455" s="458"/>
      <c r="M455" s="459"/>
      <c r="N455" s="460"/>
      <c r="O455" s="460"/>
      <c r="P455" s="461"/>
      <c r="Q455" s="458"/>
      <c r="R455" s="459"/>
      <c r="S455" s="459"/>
      <c r="T455" s="459"/>
      <c r="U455" s="459"/>
      <c r="V455" s="459"/>
      <c r="W455" s="459"/>
      <c r="X455" s="459"/>
      <c r="Y455" s="462">
        <f t="shared" si="17"/>
        <v>0</v>
      </c>
      <c r="Z455" s="463"/>
      <c r="AA455" s="464"/>
      <c r="AB455" s="465"/>
      <c r="AC455" s="465"/>
      <c r="AD455" s="465"/>
      <c r="AE455" s="466"/>
      <c r="AF455" s="449"/>
      <c r="AG455" s="449"/>
      <c r="AH455" s="449"/>
    </row>
    <row r="456" ht="11.25" customHeight="1">
      <c r="A456" s="450"/>
      <c r="B456" s="451"/>
      <c r="C456" s="452"/>
      <c r="D456" s="452"/>
      <c r="E456" s="453"/>
      <c r="F456" s="453"/>
      <c r="G456" s="454"/>
      <c r="H456" s="454"/>
      <c r="I456" s="455"/>
      <c r="J456" s="456"/>
      <c r="K456" s="467" t="s">
        <v>1417</v>
      </c>
      <c r="L456" s="468"/>
      <c r="M456" s="469"/>
      <c r="N456" s="470"/>
      <c r="O456" s="470"/>
      <c r="P456" s="471"/>
      <c r="Q456" s="468"/>
      <c r="R456" s="469"/>
      <c r="S456" s="469"/>
      <c r="T456" s="469"/>
      <c r="U456" s="469"/>
      <c r="V456" s="469"/>
      <c r="W456" s="469"/>
      <c r="X456" s="469"/>
      <c r="Y456" s="462">
        <f t="shared" si="17"/>
        <v>0</v>
      </c>
      <c r="Z456" s="463"/>
      <c r="AA456" s="464"/>
      <c r="AB456" s="465"/>
      <c r="AC456" s="465"/>
      <c r="AD456" s="465"/>
      <c r="AE456" s="466"/>
      <c r="AF456" s="449"/>
      <c r="AG456" s="449"/>
      <c r="AH456" s="449"/>
    </row>
    <row r="457" ht="11.25" customHeight="1">
      <c r="A457" s="450"/>
      <c r="B457" s="472"/>
      <c r="C457" s="473"/>
      <c r="D457" s="473"/>
      <c r="E457" s="474"/>
      <c r="F457" s="474"/>
      <c r="G457" s="475"/>
      <c r="H457" s="475"/>
      <c r="I457" s="476"/>
      <c r="J457" s="477"/>
      <c r="K457" s="478" t="s">
        <v>1418</v>
      </c>
      <c r="L457" s="479"/>
      <c r="M457" s="480"/>
      <c r="N457" s="481"/>
      <c r="O457" s="481"/>
      <c r="P457" s="482"/>
      <c r="Q457" s="479"/>
      <c r="R457" s="480"/>
      <c r="S457" s="480"/>
      <c r="T457" s="480"/>
      <c r="U457" s="480"/>
      <c r="V457" s="480"/>
      <c r="W457" s="480"/>
      <c r="X457" s="480"/>
      <c r="Y457" s="483">
        <f t="shared" si="17"/>
        <v>0</v>
      </c>
      <c r="Z457" s="484"/>
      <c r="AA457" s="485"/>
      <c r="AB457" s="486"/>
      <c r="AC457" s="486"/>
      <c r="AD457" s="486"/>
      <c r="AE457" s="487"/>
      <c r="AF457" s="449"/>
      <c r="AG457" s="449"/>
      <c r="AH457" s="449"/>
    </row>
    <row r="458" ht="11.25" customHeight="1">
      <c r="A458" s="431" t="str">
        <f>IF(B458="","", YEAR(B458))</f>
        <v/>
      </c>
      <c r="B458" s="432"/>
      <c r="C458" s="433"/>
      <c r="D458" s="433"/>
      <c r="E458" s="434" t="str">
        <f t="shared" ref="E458:I458" si="236">IFERROR(AVERAGE(L458:L461),"")</f>
        <v/>
      </c>
      <c r="F458" s="434" t="str">
        <f t="shared" si="236"/>
        <v/>
      </c>
      <c r="G458" s="435" t="str">
        <f t="shared" si="236"/>
        <v/>
      </c>
      <c r="H458" s="435" t="str">
        <f t="shared" si="236"/>
        <v/>
      </c>
      <c r="I458" s="436" t="str">
        <f t="shared" si="236"/>
        <v/>
      </c>
      <c r="J458" s="437">
        <f>SUMIFS(PRODUCTION[KG],PRODUCTION[GRADE],"3X50",PRODUCTION[DATE],B458,PRODUCTION[BATCH],C458,PRODUCTION[SHIFT],D458)</f>
        <v>0</v>
      </c>
      <c r="K458" s="438" t="s">
        <v>1414</v>
      </c>
      <c r="L458" s="443"/>
      <c r="M458" s="440"/>
      <c r="N458" s="441"/>
      <c r="O458" s="441"/>
      <c r="P458" s="442"/>
      <c r="Q458" s="443"/>
      <c r="R458" s="440"/>
      <c r="S458" s="440"/>
      <c r="T458" s="440"/>
      <c r="U458" s="440"/>
      <c r="V458" s="440"/>
      <c r="W458" s="440"/>
      <c r="X458" s="440"/>
      <c r="Y458" s="444">
        <f t="shared" si="17"/>
        <v>0</v>
      </c>
      <c r="Z458" s="445"/>
      <c r="AA458" s="446">
        <f t="shared" ref="AA458:AE458" si="237">$J458*E458</f>
        <v>0</v>
      </c>
      <c r="AB458" s="447">
        <f t="shared" si="237"/>
        <v>0</v>
      </c>
      <c r="AC458" s="447">
        <f t="shared" si="237"/>
        <v>0</v>
      </c>
      <c r="AD458" s="447">
        <f t="shared" si="237"/>
        <v>0</v>
      </c>
      <c r="AE458" s="448">
        <f t="shared" si="237"/>
        <v>0</v>
      </c>
      <c r="AF458" s="449"/>
      <c r="AG458" s="449"/>
      <c r="AH458" s="449"/>
    </row>
    <row r="459" ht="11.25" customHeight="1">
      <c r="A459" s="450"/>
      <c r="B459" s="451"/>
      <c r="C459" s="452"/>
      <c r="D459" s="452"/>
      <c r="E459" s="453"/>
      <c r="F459" s="453"/>
      <c r="G459" s="454"/>
      <c r="H459" s="454"/>
      <c r="I459" s="455"/>
      <c r="J459" s="456"/>
      <c r="K459" s="457" t="s">
        <v>1416</v>
      </c>
      <c r="L459" s="458"/>
      <c r="M459" s="459"/>
      <c r="N459" s="460"/>
      <c r="O459" s="460"/>
      <c r="P459" s="461"/>
      <c r="Q459" s="458"/>
      <c r="R459" s="459"/>
      <c r="S459" s="459"/>
      <c r="T459" s="459"/>
      <c r="U459" s="459"/>
      <c r="V459" s="459"/>
      <c r="W459" s="459"/>
      <c r="X459" s="459"/>
      <c r="Y459" s="462">
        <f t="shared" si="17"/>
        <v>0</v>
      </c>
      <c r="Z459" s="463"/>
      <c r="AA459" s="464"/>
      <c r="AB459" s="465"/>
      <c r="AC459" s="465"/>
      <c r="AD459" s="465"/>
      <c r="AE459" s="466"/>
      <c r="AF459" s="449"/>
      <c r="AG459" s="449"/>
      <c r="AH459" s="449"/>
    </row>
    <row r="460" ht="11.25" customHeight="1">
      <c r="A460" s="450"/>
      <c r="B460" s="451"/>
      <c r="C460" s="452"/>
      <c r="D460" s="452"/>
      <c r="E460" s="453"/>
      <c r="F460" s="453"/>
      <c r="G460" s="454"/>
      <c r="H460" s="454"/>
      <c r="I460" s="455"/>
      <c r="J460" s="456"/>
      <c r="K460" s="467" t="s">
        <v>1417</v>
      </c>
      <c r="L460" s="468"/>
      <c r="M460" s="469"/>
      <c r="N460" s="470"/>
      <c r="O460" s="470"/>
      <c r="P460" s="471"/>
      <c r="Q460" s="468"/>
      <c r="R460" s="469"/>
      <c r="S460" s="469"/>
      <c r="T460" s="469"/>
      <c r="U460" s="469"/>
      <c r="V460" s="469"/>
      <c r="W460" s="469"/>
      <c r="X460" s="469"/>
      <c r="Y460" s="462">
        <f t="shared" si="17"/>
        <v>0</v>
      </c>
      <c r="Z460" s="463"/>
      <c r="AA460" s="464"/>
      <c r="AB460" s="465"/>
      <c r="AC460" s="465"/>
      <c r="AD460" s="465"/>
      <c r="AE460" s="466"/>
      <c r="AF460" s="449"/>
      <c r="AG460" s="449"/>
      <c r="AH460" s="449"/>
    </row>
    <row r="461" ht="11.25" customHeight="1">
      <c r="A461" s="450"/>
      <c r="B461" s="472"/>
      <c r="C461" s="473"/>
      <c r="D461" s="473"/>
      <c r="E461" s="474"/>
      <c r="F461" s="474"/>
      <c r="G461" s="475"/>
      <c r="H461" s="475"/>
      <c r="I461" s="476"/>
      <c r="J461" s="477"/>
      <c r="K461" s="478" t="s">
        <v>1418</v>
      </c>
      <c r="L461" s="479"/>
      <c r="M461" s="480"/>
      <c r="N461" s="481"/>
      <c r="O461" s="481"/>
      <c r="P461" s="482"/>
      <c r="Q461" s="479"/>
      <c r="R461" s="480"/>
      <c r="S461" s="480"/>
      <c r="T461" s="480"/>
      <c r="U461" s="480"/>
      <c r="V461" s="480"/>
      <c r="W461" s="480"/>
      <c r="X461" s="480"/>
      <c r="Y461" s="483">
        <f t="shared" si="17"/>
        <v>0</v>
      </c>
      <c r="Z461" s="484"/>
      <c r="AA461" s="485"/>
      <c r="AB461" s="486"/>
      <c r="AC461" s="486"/>
      <c r="AD461" s="486"/>
      <c r="AE461" s="487"/>
      <c r="AF461" s="449"/>
      <c r="AG461" s="449"/>
      <c r="AH461" s="449"/>
    </row>
    <row r="462" ht="11.25" customHeight="1">
      <c r="A462" s="431" t="str">
        <f>IF(B462="","", YEAR(B462))</f>
        <v/>
      </c>
      <c r="B462" s="432"/>
      <c r="C462" s="433"/>
      <c r="D462" s="433"/>
      <c r="E462" s="434" t="str">
        <f t="shared" ref="E462:I462" si="238">IFERROR(AVERAGE(L462:L465),"")</f>
        <v/>
      </c>
      <c r="F462" s="434" t="str">
        <f t="shared" si="238"/>
        <v/>
      </c>
      <c r="G462" s="435" t="str">
        <f t="shared" si="238"/>
        <v/>
      </c>
      <c r="H462" s="435" t="str">
        <f t="shared" si="238"/>
        <v/>
      </c>
      <c r="I462" s="436" t="str">
        <f t="shared" si="238"/>
        <v/>
      </c>
      <c r="J462" s="437">
        <f>SUMIFS(PRODUCTION[KG],PRODUCTION[GRADE],"3X50",PRODUCTION[DATE],B462,PRODUCTION[BATCH],C462,PRODUCTION[SHIFT],D462)</f>
        <v>0</v>
      </c>
      <c r="K462" s="438" t="s">
        <v>1414</v>
      </c>
      <c r="L462" s="443"/>
      <c r="M462" s="440"/>
      <c r="N462" s="441"/>
      <c r="O462" s="441"/>
      <c r="P462" s="442"/>
      <c r="Q462" s="443"/>
      <c r="R462" s="440"/>
      <c r="S462" s="440"/>
      <c r="T462" s="440"/>
      <c r="U462" s="440"/>
      <c r="V462" s="440"/>
      <c r="W462" s="440"/>
      <c r="X462" s="440"/>
      <c r="Y462" s="444">
        <f t="shared" si="17"/>
        <v>0</v>
      </c>
      <c r="Z462" s="445"/>
      <c r="AA462" s="446">
        <f t="shared" ref="AA462:AE462" si="239">$J462*E462</f>
        <v>0</v>
      </c>
      <c r="AB462" s="447">
        <f t="shared" si="239"/>
        <v>0</v>
      </c>
      <c r="AC462" s="447">
        <f t="shared" si="239"/>
        <v>0</v>
      </c>
      <c r="AD462" s="447">
        <f t="shared" si="239"/>
        <v>0</v>
      </c>
      <c r="AE462" s="448">
        <f t="shared" si="239"/>
        <v>0</v>
      </c>
      <c r="AF462" s="449"/>
      <c r="AG462" s="449"/>
      <c r="AH462" s="449"/>
    </row>
    <row r="463" ht="11.25" customHeight="1">
      <c r="A463" s="450"/>
      <c r="B463" s="451"/>
      <c r="C463" s="452"/>
      <c r="D463" s="452"/>
      <c r="E463" s="453"/>
      <c r="F463" s="453"/>
      <c r="G463" s="454"/>
      <c r="H463" s="454"/>
      <c r="I463" s="455"/>
      <c r="J463" s="456"/>
      <c r="K463" s="457" t="s">
        <v>1416</v>
      </c>
      <c r="L463" s="458"/>
      <c r="M463" s="459"/>
      <c r="N463" s="460"/>
      <c r="O463" s="460"/>
      <c r="P463" s="461"/>
      <c r="Q463" s="458"/>
      <c r="R463" s="459"/>
      <c r="S463" s="459"/>
      <c r="T463" s="459"/>
      <c r="U463" s="459"/>
      <c r="V463" s="459"/>
      <c r="W463" s="459"/>
      <c r="X463" s="459"/>
      <c r="Y463" s="462">
        <f t="shared" si="17"/>
        <v>0</v>
      </c>
      <c r="Z463" s="463"/>
      <c r="AA463" s="464"/>
      <c r="AB463" s="465"/>
      <c r="AC463" s="465"/>
      <c r="AD463" s="465"/>
      <c r="AE463" s="466"/>
      <c r="AF463" s="449"/>
      <c r="AG463" s="449"/>
      <c r="AH463" s="449"/>
    </row>
    <row r="464" ht="11.25" customHeight="1">
      <c r="A464" s="450"/>
      <c r="B464" s="451"/>
      <c r="C464" s="452"/>
      <c r="D464" s="452"/>
      <c r="E464" s="453"/>
      <c r="F464" s="453"/>
      <c r="G464" s="454"/>
      <c r="H464" s="454"/>
      <c r="I464" s="455"/>
      <c r="J464" s="456"/>
      <c r="K464" s="467" t="s">
        <v>1417</v>
      </c>
      <c r="L464" s="468"/>
      <c r="M464" s="469"/>
      <c r="N464" s="470"/>
      <c r="O464" s="470"/>
      <c r="P464" s="471"/>
      <c r="Q464" s="468"/>
      <c r="R464" s="469"/>
      <c r="S464" s="469"/>
      <c r="T464" s="469"/>
      <c r="U464" s="469"/>
      <c r="V464" s="469"/>
      <c r="W464" s="469"/>
      <c r="X464" s="469"/>
      <c r="Y464" s="462">
        <f t="shared" si="17"/>
        <v>0</v>
      </c>
      <c r="Z464" s="463"/>
      <c r="AA464" s="464"/>
      <c r="AB464" s="465"/>
      <c r="AC464" s="465"/>
      <c r="AD464" s="465"/>
      <c r="AE464" s="466"/>
      <c r="AF464" s="449"/>
      <c r="AG464" s="449"/>
      <c r="AH464" s="449"/>
    </row>
    <row r="465" ht="11.25" customHeight="1">
      <c r="A465" s="450"/>
      <c r="B465" s="472"/>
      <c r="C465" s="473"/>
      <c r="D465" s="473"/>
      <c r="E465" s="474"/>
      <c r="F465" s="474"/>
      <c r="G465" s="475"/>
      <c r="H465" s="475"/>
      <c r="I465" s="476"/>
      <c r="J465" s="477"/>
      <c r="K465" s="478" t="s">
        <v>1418</v>
      </c>
      <c r="L465" s="479"/>
      <c r="M465" s="480"/>
      <c r="N465" s="481"/>
      <c r="O465" s="481"/>
      <c r="P465" s="482"/>
      <c r="Q465" s="479"/>
      <c r="R465" s="480"/>
      <c r="S465" s="480"/>
      <c r="T465" s="480"/>
      <c r="U465" s="480"/>
      <c r="V465" s="480"/>
      <c r="W465" s="480"/>
      <c r="X465" s="480"/>
      <c r="Y465" s="483">
        <f t="shared" si="17"/>
        <v>0</v>
      </c>
      <c r="Z465" s="484"/>
      <c r="AA465" s="485"/>
      <c r="AB465" s="486"/>
      <c r="AC465" s="486"/>
      <c r="AD465" s="486"/>
      <c r="AE465" s="487"/>
      <c r="AF465" s="449"/>
      <c r="AG465" s="449"/>
      <c r="AH465" s="449"/>
    </row>
    <row r="466" ht="11.25" customHeight="1">
      <c r="A466" s="431" t="str">
        <f>IF(B466="","", YEAR(B466))</f>
        <v/>
      </c>
      <c r="B466" s="432"/>
      <c r="C466" s="433"/>
      <c r="D466" s="433"/>
      <c r="E466" s="434" t="str">
        <f t="shared" ref="E466:I466" si="240">IFERROR(AVERAGE(L466:L469),"")</f>
        <v/>
      </c>
      <c r="F466" s="434" t="str">
        <f t="shared" si="240"/>
        <v/>
      </c>
      <c r="G466" s="435" t="str">
        <f t="shared" si="240"/>
        <v/>
      </c>
      <c r="H466" s="435" t="str">
        <f t="shared" si="240"/>
        <v/>
      </c>
      <c r="I466" s="436" t="str">
        <f t="shared" si="240"/>
        <v/>
      </c>
      <c r="J466" s="437">
        <f>SUMIFS(PRODUCTION[KG],PRODUCTION[GRADE],"3X50",PRODUCTION[DATE],B466,PRODUCTION[BATCH],C466,PRODUCTION[SHIFT],D466)</f>
        <v>0</v>
      </c>
      <c r="K466" s="438" t="s">
        <v>1414</v>
      </c>
      <c r="L466" s="443"/>
      <c r="M466" s="440"/>
      <c r="N466" s="441"/>
      <c r="O466" s="441"/>
      <c r="P466" s="442"/>
      <c r="Q466" s="443"/>
      <c r="R466" s="440"/>
      <c r="S466" s="440"/>
      <c r="T466" s="440"/>
      <c r="U466" s="440"/>
      <c r="V466" s="440"/>
      <c r="W466" s="440"/>
      <c r="X466" s="440"/>
      <c r="Y466" s="444">
        <f t="shared" si="17"/>
        <v>0</v>
      </c>
      <c r="Z466" s="445"/>
      <c r="AA466" s="446">
        <f t="shared" ref="AA466:AE466" si="241">$J466*E466</f>
        <v>0</v>
      </c>
      <c r="AB466" s="447">
        <f t="shared" si="241"/>
        <v>0</v>
      </c>
      <c r="AC466" s="447">
        <f t="shared" si="241"/>
        <v>0</v>
      </c>
      <c r="AD466" s="447">
        <f t="shared" si="241"/>
        <v>0</v>
      </c>
      <c r="AE466" s="448">
        <f t="shared" si="241"/>
        <v>0</v>
      </c>
      <c r="AF466" s="449"/>
      <c r="AG466" s="449"/>
      <c r="AH466" s="449"/>
    </row>
    <row r="467" ht="11.25" customHeight="1">
      <c r="A467" s="450"/>
      <c r="B467" s="451"/>
      <c r="C467" s="452"/>
      <c r="D467" s="452"/>
      <c r="E467" s="453"/>
      <c r="F467" s="453"/>
      <c r="G467" s="454"/>
      <c r="H467" s="454"/>
      <c r="I467" s="455"/>
      <c r="J467" s="456"/>
      <c r="K467" s="457" t="s">
        <v>1416</v>
      </c>
      <c r="L467" s="458"/>
      <c r="M467" s="459"/>
      <c r="N467" s="460"/>
      <c r="O467" s="460"/>
      <c r="P467" s="461"/>
      <c r="Q467" s="458"/>
      <c r="R467" s="459"/>
      <c r="S467" s="459"/>
      <c r="T467" s="459"/>
      <c r="U467" s="459"/>
      <c r="V467" s="459"/>
      <c r="W467" s="459"/>
      <c r="X467" s="459"/>
      <c r="Y467" s="462">
        <f t="shared" si="17"/>
        <v>0</v>
      </c>
      <c r="Z467" s="463"/>
      <c r="AA467" s="464"/>
      <c r="AB467" s="465"/>
      <c r="AC467" s="465"/>
      <c r="AD467" s="465"/>
      <c r="AE467" s="466"/>
      <c r="AF467" s="449"/>
      <c r="AG467" s="449"/>
      <c r="AH467" s="449"/>
    </row>
    <row r="468" ht="11.25" customHeight="1">
      <c r="A468" s="450"/>
      <c r="B468" s="451"/>
      <c r="C468" s="452"/>
      <c r="D468" s="452"/>
      <c r="E468" s="453"/>
      <c r="F468" s="453"/>
      <c r="G468" s="454"/>
      <c r="H468" s="454"/>
      <c r="I468" s="455"/>
      <c r="J468" s="456"/>
      <c r="K468" s="467" t="s">
        <v>1417</v>
      </c>
      <c r="L468" s="468"/>
      <c r="M468" s="469"/>
      <c r="N468" s="470"/>
      <c r="O468" s="470"/>
      <c r="P468" s="471"/>
      <c r="Q468" s="468"/>
      <c r="R468" s="469"/>
      <c r="S468" s="469"/>
      <c r="T468" s="469"/>
      <c r="U468" s="469"/>
      <c r="V468" s="469"/>
      <c r="W468" s="469"/>
      <c r="X468" s="469"/>
      <c r="Y468" s="462">
        <f t="shared" si="17"/>
        <v>0</v>
      </c>
      <c r="Z468" s="463"/>
      <c r="AA468" s="464"/>
      <c r="AB468" s="465"/>
      <c r="AC468" s="465"/>
      <c r="AD468" s="465"/>
      <c r="AE468" s="466"/>
      <c r="AF468" s="449"/>
      <c r="AG468" s="449"/>
      <c r="AH468" s="449"/>
    </row>
    <row r="469" ht="11.25" customHeight="1">
      <c r="A469" s="450"/>
      <c r="B469" s="472"/>
      <c r="C469" s="473"/>
      <c r="D469" s="473"/>
      <c r="E469" s="474"/>
      <c r="F469" s="474"/>
      <c r="G469" s="475"/>
      <c r="H469" s="475"/>
      <c r="I469" s="476"/>
      <c r="J469" s="477"/>
      <c r="K469" s="478" t="s">
        <v>1418</v>
      </c>
      <c r="L469" s="479"/>
      <c r="M469" s="480"/>
      <c r="N469" s="481"/>
      <c r="O469" s="481"/>
      <c r="P469" s="482"/>
      <c r="Q469" s="479"/>
      <c r="R469" s="480"/>
      <c r="S469" s="480"/>
      <c r="T469" s="480"/>
      <c r="U469" s="480"/>
      <c r="V469" s="480"/>
      <c r="W469" s="480"/>
      <c r="X469" s="480"/>
      <c r="Y469" s="483">
        <f t="shared" si="17"/>
        <v>0</v>
      </c>
      <c r="Z469" s="484"/>
      <c r="AA469" s="485"/>
      <c r="AB469" s="486"/>
      <c r="AC469" s="486"/>
      <c r="AD469" s="486"/>
      <c r="AE469" s="487"/>
      <c r="AF469" s="449"/>
      <c r="AG469" s="449"/>
      <c r="AH469" s="449"/>
    </row>
    <row r="470" ht="11.25" customHeight="1">
      <c r="A470" s="431" t="str">
        <f>IF(B470="","", YEAR(B470))</f>
        <v/>
      </c>
      <c r="B470" s="432"/>
      <c r="C470" s="433"/>
      <c r="D470" s="433"/>
      <c r="E470" s="434" t="str">
        <f t="shared" ref="E470:I470" si="242">IFERROR(AVERAGE(L470:L473),"")</f>
        <v/>
      </c>
      <c r="F470" s="434" t="str">
        <f t="shared" si="242"/>
        <v/>
      </c>
      <c r="G470" s="435" t="str">
        <f t="shared" si="242"/>
        <v/>
      </c>
      <c r="H470" s="435" t="str">
        <f t="shared" si="242"/>
        <v/>
      </c>
      <c r="I470" s="436" t="str">
        <f t="shared" si="242"/>
        <v/>
      </c>
      <c r="J470" s="437">
        <f>SUMIFS(PRODUCTION[KG],PRODUCTION[GRADE],"3X50",PRODUCTION[DATE],B470,PRODUCTION[BATCH],C470,PRODUCTION[SHIFT],D470)</f>
        <v>0</v>
      </c>
      <c r="K470" s="438" t="s">
        <v>1414</v>
      </c>
      <c r="L470" s="443"/>
      <c r="M470" s="440"/>
      <c r="N470" s="441"/>
      <c r="O470" s="441"/>
      <c r="P470" s="442"/>
      <c r="Q470" s="443"/>
      <c r="R470" s="440"/>
      <c r="S470" s="440"/>
      <c r="T470" s="440"/>
      <c r="U470" s="440"/>
      <c r="V470" s="440"/>
      <c r="W470" s="440"/>
      <c r="X470" s="440"/>
      <c r="Y470" s="444">
        <f t="shared" si="17"/>
        <v>0</v>
      </c>
      <c r="Z470" s="445"/>
      <c r="AA470" s="446">
        <f t="shared" ref="AA470:AE470" si="243">$J470*E470</f>
        <v>0</v>
      </c>
      <c r="AB470" s="447">
        <f t="shared" si="243"/>
        <v>0</v>
      </c>
      <c r="AC470" s="447">
        <f t="shared" si="243"/>
        <v>0</v>
      </c>
      <c r="AD470" s="447">
        <f t="shared" si="243"/>
        <v>0</v>
      </c>
      <c r="AE470" s="448">
        <f t="shared" si="243"/>
        <v>0</v>
      </c>
      <c r="AF470" s="449"/>
      <c r="AG470" s="449"/>
      <c r="AH470" s="449"/>
    </row>
    <row r="471" ht="11.25" customHeight="1">
      <c r="A471" s="450"/>
      <c r="B471" s="451"/>
      <c r="C471" s="452"/>
      <c r="D471" s="452"/>
      <c r="E471" s="453"/>
      <c r="F471" s="453"/>
      <c r="G471" s="454"/>
      <c r="H471" s="454"/>
      <c r="I471" s="455"/>
      <c r="J471" s="456"/>
      <c r="K471" s="457" t="s">
        <v>1416</v>
      </c>
      <c r="L471" s="458"/>
      <c r="M471" s="459"/>
      <c r="N471" s="460"/>
      <c r="O471" s="460"/>
      <c r="P471" s="461"/>
      <c r="Q471" s="458"/>
      <c r="R471" s="459"/>
      <c r="S471" s="459"/>
      <c r="T471" s="459"/>
      <c r="U471" s="459"/>
      <c r="V471" s="459"/>
      <c r="W471" s="459"/>
      <c r="X471" s="459"/>
      <c r="Y471" s="462">
        <f t="shared" si="17"/>
        <v>0</v>
      </c>
      <c r="Z471" s="463"/>
      <c r="AA471" s="464"/>
      <c r="AB471" s="465"/>
      <c r="AC471" s="465"/>
      <c r="AD471" s="465"/>
      <c r="AE471" s="466"/>
      <c r="AF471" s="449"/>
      <c r="AG471" s="449"/>
      <c r="AH471" s="449"/>
    </row>
    <row r="472" ht="11.25" customHeight="1">
      <c r="A472" s="450"/>
      <c r="B472" s="451"/>
      <c r="C472" s="452"/>
      <c r="D472" s="452"/>
      <c r="E472" s="453"/>
      <c r="F472" s="453"/>
      <c r="G472" s="454"/>
      <c r="H472" s="454"/>
      <c r="I472" s="455"/>
      <c r="J472" s="456"/>
      <c r="K472" s="467" t="s">
        <v>1417</v>
      </c>
      <c r="L472" s="468"/>
      <c r="M472" s="469"/>
      <c r="N472" s="470"/>
      <c r="O472" s="470"/>
      <c r="P472" s="471"/>
      <c r="Q472" s="468"/>
      <c r="R472" s="469"/>
      <c r="S472" s="469"/>
      <c r="T472" s="469"/>
      <c r="U472" s="469"/>
      <c r="V472" s="469"/>
      <c r="W472" s="469"/>
      <c r="X472" s="469"/>
      <c r="Y472" s="462">
        <f t="shared" si="17"/>
        <v>0</v>
      </c>
      <c r="Z472" s="463"/>
      <c r="AA472" s="464"/>
      <c r="AB472" s="465"/>
      <c r="AC472" s="465"/>
      <c r="AD472" s="465"/>
      <c r="AE472" s="466"/>
      <c r="AF472" s="449"/>
      <c r="AG472" s="449"/>
      <c r="AH472" s="449"/>
    </row>
    <row r="473" ht="11.25" customHeight="1">
      <c r="A473" s="450"/>
      <c r="B473" s="472"/>
      <c r="C473" s="473"/>
      <c r="D473" s="473"/>
      <c r="E473" s="474"/>
      <c r="F473" s="474"/>
      <c r="G473" s="475"/>
      <c r="H473" s="475"/>
      <c r="I473" s="476"/>
      <c r="J473" s="477"/>
      <c r="K473" s="478" t="s">
        <v>1418</v>
      </c>
      <c r="L473" s="479"/>
      <c r="M473" s="480"/>
      <c r="N473" s="481"/>
      <c r="O473" s="481"/>
      <c r="P473" s="482"/>
      <c r="Q473" s="479"/>
      <c r="R473" s="480"/>
      <c r="S473" s="480"/>
      <c r="T473" s="480"/>
      <c r="U473" s="480"/>
      <c r="V473" s="480"/>
      <c r="W473" s="480"/>
      <c r="X473" s="480"/>
      <c r="Y473" s="483">
        <f t="shared" si="17"/>
        <v>0</v>
      </c>
      <c r="Z473" s="484"/>
      <c r="AA473" s="485"/>
      <c r="AB473" s="486"/>
      <c r="AC473" s="486"/>
      <c r="AD473" s="486"/>
      <c r="AE473" s="487"/>
      <c r="AF473" s="449"/>
      <c r="AG473" s="449"/>
      <c r="AH473" s="449"/>
    </row>
    <row r="474" ht="11.25" customHeight="1">
      <c r="A474" s="431" t="str">
        <f>IF(B474="","", YEAR(B474))</f>
        <v/>
      </c>
      <c r="B474" s="432"/>
      <c r="C474" s="433"/>
      <c r="D474" s="433"/>
      <c r="E474" s="434" t="str">
        <f t="shared" ref="E474:I474" si="244">IFERROR(AVERAGE(L474:L477),"")</f>
        <v/>
      </c>
      <c r="F474" s="434" t="str">
        <f t="shared" si="244"/>
        <v/>
      </c>
      <c r="G474" s="435" t="str">
        <f t="shared" si="244"/>
        <v/>
      </c>
      <c r="H474" s="435" t="str">
        <f t="shared" si="244"/>
        <v/>
      </c>
      <c r="I474" s="436" t="str">
        <f t="shared" si="244"/>
        <v/>
      </c>
      <c r="J474" s="437">
        <f>SUMIFS(PRODUCTION[KG],PRODUCTION[GRADE],"3X50",PRODUCTION[DATE],B474,PRODUCTION[BATCH],C474,PRODUCTION[SHIFT],D474)</f>
        <v>0</v>
      </c>
      <c r="K474" s="438" t="s">
        <v>1414</v>
      </c>
      <c r="L474" s="443"/>
      <c r="M474" s="440"/>
      <c r="N474" s="441"/>
      <c r="O474" s="441"/>
      <c r="P474" s="442"/>
      <c r="Q474" s="443"/>
      <c r="R474" s="440"/>
      <c r="S474" s="440"/>
      <c r="T474" s="440"/>
      <c r="U474" s="440"/>
      <c r="V474" s="440"/>
      <c r="W474" s="440"/>
      <c r="X474" s="440"/>
      <c r="Y474" s="444">
        <f t="shared" si="17"/>
        <v>0</v>
      </c>
      <c r="Z474" s="445"/>
      <c r="AA474" s="446">
        <f t="shared" ref="AA474:AE474" si="245">$J474*E474</f>
        <v>0</v>
      </c>
      <c r="AB474" s="447">
        <f t="shared" si="245"/>
        <v>0</v>
      </c>
      <c r="AC474" s="447">
        <f t="shared" si="245"/>
        <v>0</v>
      </c>
      <c r="AD474" s="447">
        <f t="shared" si="245"/>
        <v>0</v>
      </c>
      <c r="AE474" s="448">
        <f t="shared" si="245"/>
        <v>0</v>
      </c>
      <c r="AF474" s="449"/>
      <c r="AG474" s="449"/>
      <c r="AH474" s="449"/>
    </row>
    <row r="475" ht="11.25" customHeight="1">
      <c r="A475" s="450"/>
      <c r="B475" s="451"/>
      <c r="C475" s="452"/>
      <c r="D475" s="452"/>
      <c r="E475" s="453"/>
      <c r="F475" s="453"/>
      <c r="G475" s="454"/>
      <c r="H475" s="454"/>
      <c r="I475" s="455"/>
      <c r="J475" s="456"/>
      <c r="K475" s="457" t="s">
        <v>1416</v>
      </c>
      <c r="L475" s="458"/>
      <c r="M475" s="459"/>
      <c r="N475" s="460"/>
      <c r="O475" s="460"/>
      <c r="P475" s="461"/>
      <c r="Q475" s="458"/>
      <c r="R475" s="459"/>
      <c r="S475" s="459"/>
      <c r="T475" s="459"/>
      <c r="U475" s="459"/>
      <c r="V475" s="459"/>
      <c r="W475" s="459"/>
      <c r="X475" s="459"/>
      <c r="Y475" s="462">
        <f t="shared" si="17"/>
        <v>0</v>
      </c>
      <c r="Z475" s="463"/>
      <c r="AA475" s="464"/>
      <c r="AB475" s="465"/>
      <c r="AC475" s="465"/>
      <c r="AD475" s="465"/>
      <c r="AE475" s="466"/>
      <c r="AF475" s="449"/>
      <c r="AG475" s="449"/>
      <c r="AH475" s="449"/>
    </row>
    <row r="476" ht="11.25" customHeight="1">
      <c r="A476" s="450"/>
      <c r="B476" s="451"/>
      <c r="C476" s="452"/>
      <c r="D476" s="452"/>
      <c r="E476" s="453"/>
      <c r="F476" s="453"/>
      <c r="G476" s="454"/>
      <c r="H476" s="454"/>
      <c r="I476" s="455"/>
      <c r="J476" s="456"/>
      <c r="K476" s="467" t="s">
        <v>1417</v>
      </c>
      <c r="L476" s="468"/>
      <c r="M476" s="469"/>
      <c r="N476" s="470"/>
      <c r="O476" s="470"/>
      <c r="P476" s="471"/>
      <c r="Q476" s="468"/>
      <c r="R476" s="469"/>
      <c r="S476" s="469"/>
      <c r="T476" s="469"/>
      <c r="U476" s="469"/>
      <c r="V476" s="469"/>
      <c r="W476" s="469"/>
      <c r="X476" s="469"/>
      <c r="Y476" s="462">
        <f t="shared" si="17"/>
        <v>0</v>
      </c>
      <c r="Z476" s="463"/>
      <c r="AA476" s="464"/>
      <c r="AB476" s="465"/>
      <c r="AC476" s="465"/>
      <c r="AD476" s="465"/>
      <c r="AE476" s="466"/>
      <c r="AF476" s="449"/>
      <c r="AG476" s="449"/>
      <c r="AH476" s="449"/>
    </row>
    <row r="477" ht="11.25" customHeight="1">
      <c r="A477" s="450"/>
      <c r="B477" s="472"/>
      <c r="C477" s="473"/>
      <c r="D477" s="473"/>
      <c r="E477" s="474"/>
      <c r="F477" s="474"/>
      <c r="G477" s="475"/>
      <c r="H477" s="475"/>
      <c r="I477" s="476"/>
      <c r="J477" s="477"/>
      <c r="K477" s="478" t="s">
        <v>1418</v>
      </c>
      <c r="L477" s="479"/>
      <c r="M477" s="480"/>
      <c r="N477" s="481"/>
      <c r="O477" s="481"/>
      <c r="P477" s="482"/>
      <c r="Q477" s="479"/>
      <c r="R477" s="480"/>
      <c r="S477" s="480"/>
      <c r="T477" s="480"/>
      <c r="U477" s="480"/>
      <c r="V477" s="480"/>
      <c r="W477" s="480"/>
      <c r="X477" s="480"/>
      <c r="Y477" s="483">
        <f t="shared" si="17"/>
        <v>0</v>
      </c>
      <c r="Z477" s="484"/>
      <c r="AA477" s="485"/>
      <c r="AB477" s="486"/>
      <c r="AC477" s="486"/>
      <c r="AD477" s="486"/>
      <c r="AE477" s="487"/>
      <c r="AF477" s="449"/>
      <c r="AG477" s="449"/>
      <c r="AH477" s="449"/>
    </row>
    <row r="478" ht="11.25" customHeight="1">
      <c r="A478" s="431" t="str">
        <f>IF(B478="","", YEAR(B478))</f>
        <v/>
      </c>
      <c r="B478" s="432"/>
      <c r="C478" s="433"/>
      <c r="D478" s="433"/>
      <c r="E478" s="434" t="str">
        <f t="shared" ref="E478:I478" si="246">IFERROR(AVERAGE(L478:L481),"")</f>
        <v/>
      </c>
      <c r="F478" s="434" t="str">
        <f t="shared" si="246"/>
        <v/>
      </c>
      <c r="G478" s="435" t="str">
        <f t="shared" si="246"/>
        <v/>
      </c>
      <c r="H478" s="435" t="str">
        <f t="shared" si="246"/>
        <v/>
      </c>
      <c r="I478" s="436" t="str">
        <f t="shared" si="246"/>
        <v/>
      </c>
      <c r="J478" s="437">
        <f>SUMIFS(PRODUCTION[KG],PRODUCTION[GRADE],"3X50",PRODUCTION[DATE],B478,PRODUCTION[BATCH],C478,PRODUCTION[SHIFT],D478)</f>
        <v>0</v>
      </c>
      <c r="K478" s="438" t="s">
        <v>1414</v>
      </c>
      <c r="L478" s="443"/>
      <c r="M478" s="440"/>
      <c r="N478" s="441"/>
      <c r="O478" s="441"/>
      <c r="P478" s="442"/>
      <c r="Q478" s="443"/>
      <c r="R478" s="440"/>
      <c r="S478" s="440"/>
      <c r="T478" s="440"/>
      <c r="U478" s="440"/>
      <c r="V478" s="440"/>
      <c r="W478" s="440"/>
      <c r="X478" s="440"/>
      <c r="Y478" s="444">
        <f t="shared" si="17"/>
        <v>0</v>
      </c>
      <c r="Z478" s="445"/>
      <c r="AA478" s="446">
        <f t="shared" ref="AA478:AE478" si="247">$J478*E478</f>
        <v>0</v>
      </c>
      <c r="AB478" s="447">
        <f t="shared" si="247"/>
        <v>0</v>
      </c>
      <c r="AC478" s="447">
        <f t="shared" si="247"/>
        <v>0</v>
      </c>
      <c r="AD478" s="447">
        <f t="shared" si="247"/>
        <v>0</v>
      </c>
      <c r="AE478" s="448">
        <f t="shared" si="247"/>
        <v>0</v>
      </c>
      <c r="AF478" s="449"/>
      <c r="AG478" s="449"/>
      <c r="AH478" s="449"/>
    </row>
    <row r="479" ht="11.25" customHeight="1">
      <c r="A479" s="450"/>
      <c r="B479" s="451"/>
      <c r="C479" s="452"/>
      <c r="D479" s="452"/>
      <c r="E479" s="453"/>
      <c r="F479" s="453"/>
      <c r="G479" s="454"/>
      <c r="H479" s="454"/>
      <c r="I479" s="455"/>
      <c r="J479" s="456"/>
      <c r="K479" s="457" t="s">
        <v>1416</v>
      </c>
      <c r="L479" s="458"/>
      <c r="M479" s="459"/>
      <c r="N479" s="460"/>
      <c r="O479" s="460"/>
      <c r="P479" s="461"/>
      <c r="Q479" s="458"/>
      <c r="R479" s="459"/>
      <c r="S479" s="459"/>
      <c r="T479" s="459"/>
      <c r="U479" s="459"/>
      <c r="V479" s="459"/>
      <c r="W479" s="459"/>
      <c r="X479" s="459"/>
      <c r="Y479" s="462">
        <f t="shared" si="17"/>
        <v>0</v>
      </c>
      <c r="Z479" s="463"/>
      <c r="AA479" s="464"/>
      <c r="AB479" s="465"/>
      <c r="AC479" s="465"/>
      <c r="AD479" s="465"/>
      <c r="AE479" s="466"/>
      <c r="AF479" s="449"/>
      <c r="AG479" s="449"/>
      <c r="AH479" s="449"/>
    </row>
    <row r="480" ht="11.25" customHeight="1">
      <c r="A480" s="450"/>
      <c r="B480" s="451"/>
      <c r="C480" s="452"/>
      <c r="D480" s="452"/>
      <c r="E480" s="453"/>
      <c r="F480" s="453"/>
      <c r="G480" s="454"/>
      <c r="H480" s="454"/>
      <c r="I480" s="455"/>
      <c r="J480" s="456"/>
      <c r="K480" s="467" t="s">
        <v>1417</v>
      </c>
      <c r="L480" s="468"/>
      <c r="M480" s="469"/>
      <c r="N480" s="470"/>
      <c r="O480" s="470"/>
      <c r="P480" s="471"/>
      <c r="Q480" s="468"/>
      <c r="R480" s="469"/>
      <c r="S480" s="469"/>
      <c r="T480" s="469"/>
      <c r="U480" s="469"/>
      <c r="V480" s="469"/>
      <c r="W480" s="469"/>
      <c r="X480" s="469"/>
      <c r="Y480" s="462">
        <f t="shared" si="17"/>
        <v>0</v>
      </c>
      <c r="Z480" s="463"/>
      <c r="AA480" s="464"/>
      <c r="AB480" s="465"/>
      <c r="AC480" s="465"/>
      <c r="AD480" s="465"/>
      <c r="AE480" s="466"/>
      <c r="AF480" s="449"/>
      <c r="AG480" s="449"/>
      <c r="AH480" s="449"/>
    </row>
    <row r="481" ht="11.25" customHeight="1">
      <c r="A481" s="450"/>
      <c r="B481" s="472"/>
      <c r="C481" s="473"/>
      <c r="D481" s="473"/>
      <c r="E481" s="474"/>
      <c r="F481" s="474"/>
      <c r="G481" s="475"/>
      <c r="H481" s="475"/>
      <c r="I481" s="476"/>
      <c r="J481" s="477"/>
      <c r="K481" s="478" t="s">
        <v>1418</v>
      </c>
      <c r="L481" s="479"/>
      <c r="M481" s="480"/>
      <c r="N481" s="481"/>
      <c r="O481" s="481"/>
      <c r="P481" s="482"/>
      <c r="Q481" s="479"/>
      <c r="R481" s="480"/>
      <c r="S481" s="480"/>
      <c r="T481" s="480"/>
      <c r="U481" s="480"/>
      <c r="V481" s="480"/>
      <c r="W481" s="480"/>
      <c r="X481" s="480"/>
      <c r="Y481" s="483">
        <f t="shared" si="17"/>
        <v>0</v>
      </c>
      <c r="Z481" s="484"/>
      <c r="AA481" s="485"/>
      <c r="AB481" s="486"/>
      <c r="AC481" s="486"/>
      <c r="AD481" s="486"/>
      <c r="AE481" s="487"/>
      <c r="AF481" s="449"/>
      <c r="AG481" s="449"/>
      <c r="AH481" s="449"/>
    </row>
    <row r="482" ht="11.25" customHeight="1">
      <c r="A482" s="431" t="str">
        <f>IF(B482="","", YEAR(B482))</f>
        <v/>
      </c>
      <c r="B482" s="432"/>
      <c r="C482" s="433"/>
      <c r="D482" s="433"/>
      <c r="E482" s="434" t="str">
        <f t="shared" ref="E482:I482" si="248">IFERROR(AVERAGE(L482:L485),"")</f>
        <v/>
      </c>
      <c r="F482" s="434" t="str">
        <f t="shared" si="248"/>
        <v/>
      </c>
      <c r="G482" s="435" t="str">
        <f t="shared" si="248"/>
        <v/>
      </c>
      <c r="H482" s="435" t="str">
        <f t="shared" si="248"/>
        <v/>
      </c>
      <c r="I482" s="436" t="str">
        <f t="shared" si="248"/>
        <v/>
      </c>
      <c r="J482" s="437">
        <f>SUMIFS(PRODUCTION[KG],PRODUCTION[GRADE],"3X50",PRODUCTION[DATE],B482,PRODUCTION[BATCH],C482,PRODUCTION[SHIFT],D482)</f>
        <v>0</v>
      </c>
      <c r="K482" s="438" t="s">
        <v>1414</v>
      </c>
      <c r="L482" s="443"/>
      <c r="M482" s="440"/>
      <c r="N482" s="441"/>
      <c r="O482" s="441"/>
      <c r="P482" s="442"/>
      <c r="Q482" s="443"/>
      <c r="R482" s="440"/>
      <c r="S482" s="440"/>
      <c r="T482" s="440"/>
      <c r="U482" s="440"/>
      <c r="V482" s="440"/>
      <c r="W482" s="440"/>
      <c r="X482" s="440"/>
      <c r="Y482" s="444">
        <f t="shared" si="17"/>
        <v>0</v>
      </c>
      <c r="Z482" s="445"/>
      <c r="AA482" s="446">
        <f t="shared" ref="AA482:AE482" si="249">$J482*E482</f>
        <v>0</v>
      </c>
      <c r="AB482" s="447">
        <f t="shared" si="249"/>
        <v>0</v>
      </c>
      <c r="AC482" s="447">
        <f t="shared" si="249"/>
        <v>0</v>
      </c>
      <c r="AD482" s="447">
        <f t="shared" si="249"/>
        <v>0</v>
      </c>
      <c r="AE482" s="448">
        <f t="shared" si="249"/>
        <v>0</v>
      </c>
      <c r="AF482" s="449"/>
      <c r="AG482" s="449"/>
      <c r="AH482" s="449"/>
    </row>
    <row r="483" ht="11.25" customHeight="1">
      <c r="A483" s="450"/>
      <c r="B483" s="451"/>
      <c r="C483" s="452"/>
      <c r="D483" s="452"/>
      <c r="E483" s="453"/>
      <c r="F483" s="453"/>
      <c r="G483" s="454"/>
      <c r="H483" s="454"/>
      <c r="I483" s="455"/>
      <c r="J483" s="456"/>
      <c r="K483" s="457" t="s">
        <v>1416</v>
      </c>
      <c r="L483" s="458"/>
      <c r="M483" s="459"/>
      <c r="N483" s="460"/>
      <c r="O483" s="460"/>
      <c r="P483" s="461"/>
      <c r="Q483" s="458"/>
      <c r="R483" s="459"/>
      <c r="S483" s="459"/>
      <c r="T483" s="459"/>
      <c r="U483" s="459"/>
      <c r="V483" s="459"/>
      <c r="W483" s="459"/>
      <c r="X483" s="459"/>
      <c r="Y483" s="462">
        <f t="shared" si="17"/>
        <v>0</v>
      </c>
      <c r="Z483" s="463"/>
      <c r="AA483" s="464"/>
      <c r="AB483" s="465"/>
      <c r="AC483" s="465"/>
      <c r="AD483" s="465"/>
      <c r="AE483" s="466"/>
      <c r="AF483" s="449"/>
      <c r="AG483" s="449"/>
      <c r="AH483" s="449"/>
    </row>
    <row r="484" ht="11.25" customHeight="1">
      <c r="A484" s="450"/>
      <c r="B484" s="451"/>
      <c r="C484" s="452"/>
      <c r="D484" s="452"/>
      <c r="E484" s="453"/>
      <c r="F484" s="453"/>
      <c r="G484" s="454"/>
      <c r="H484" s="454"/>
      <c r="I484" s="455"/>
      <c r="J484" s="456"/>
      <c r="K484" s="467" t="s">
        <v>1417</v>
      </c>
      <c r="L484" s="468"/>
      <c r="M484" s="469"/>
      <c r="N484" s="470"/>
      <c r="O484" s="470"/>
      <c r="P484" s="471"/>
      <c r="Q484" s="468"/>
      <c r="R484" s="469"/>
      <c r="S484" s="469"/>
      <c r="T484" s="469"/>
      <c r="U484" s="469"/>
      <c r="V484" s="469"/>
      <c r="W484" s="469"/>
      <c r="X484" s="469"/>
      <c r="Y484" s="462">
        <f t="shared" si="17"/>
        <v>0</v>
      </c>
      <c r="Z484" s="463"/>
      <c r="AA484" s="464"/>
      <c r="AB484" s="465"/>
      <c r="AC484" s="465"/>
      <c r="AD484" s="465"/>
      <c r="AE484" s="466"/>
      <c r="AF484" s="449"/>
      <c r="AG484" s="449"/>
      <c r="AH484" s="449"/>
    </row>
    <row r="485" ht="11.25" customHeight="1">
      <c r="A485" s="450"/>
      <c r="B485" s="472"/>
      <c r="C485" s="473"/>
      <c r="D485" s="473"/>
      <c r="E485" s="474"/>
      <c r="F485" s="474"/>
      <c r="G485" s="475"/>
      <c r="H485" s="475"/>
      <c r="I485" s="476"/>
      <c r="J485" s="477"/>
      <c r="K485" s="478" t="s">
        <v>1418</v>
      </c>
      <c r="L485" s="479"/>
      <c r="M485" s="480"/>
      <c r="N485" s="481"/>
      <c r="O485" s="481"/>
      <c r="P485" s="482"/>
      <c r="Q485" s="479"/>
      <c r="R485" s="480"/>
      <c r="S485" s="480"/>
      <c r="T485" s="480"/>
      <c r="U485" s="480"/>
      <c r="V485" s="480"/>
      <c r="W485" s="480"/>
      <c r="X485" s="480"/>
      <c r="Y485" s="483">
        <f t="shared" si="17"/>
        <v>0</v>
      </c>
      <c r="Z485" s="484"/>
      <c r="AA485" s="485"/>
      <c r="AB485" s="486"/>
      <c r="AC485" s="486"/>
      <c r="AD485" s="486"/>
      <c r="AE485" s="487"/>
      <c r="AF485" s="449"/>
      <c r="AG485" s="449"/>
      <c r="AH485" s="449"/>
    </row>
    <row r="486" ht="11.25" customHeight="1">
      <c r="A486" s="431" t="str">
        <f>IF(B486="","", YEAR(B486))</f>
        <v/>
      </c>
      <c r="B486" s="432"/>
      <c r="C486" s="433"/>
      <c r="D486" s="433"/>
      <c r="E486" s="434" t="str">
        <f t="shared" ref="E486:I486" si="250">IFERROR(AVERAGE(L486:L489),"")</f>
        <v/>
      </c>
      <c r="F486" s="434" t="str">
        <f t="shared" si="250"/>
        <v/>
      </c>
      <c r="G486" s="435" t="str">
        <f t="shared" si="250"/>
        <v/>
      </c>
      <c r="H486" s="435" t="str">
        <f t="shared" si="250"/>
        <v/>
      </c>
      <c r="I486" s="436" t="str">
        <f t="shared" si="250"/>
        <v/>
      </c>
      <c r="J486" s="437">
        <f>SUMIFS(PRODUCTION[KG],PRODUCTION[GRADE],"3X50",PRODUCTION[DATE],B486,PRODUCTION[BATCH],C486,PRODUCTION[SHIFT],D486)</f>
        <v>0</v>
      </c>
      <c r="K486" s="438" t="s">
        <v>1414</v>
      </c>
      <c r="L486" s="443"/>
      <c r="M486" s="440"/>
      <c r="N486" s="441"/>
      <c r="O486" s="441"/>
      <c r="P486" s="442"/>
      <c r="Q486" s="443"/>
      <c r="R486" s="440"/>
      <c r="S486" s="440"/>
      <c r="T486" s="440"/>
      <c r="U486" s="440"/>
      <c r="V486" s="440"/>
      <c r="W486" s="440"/>
      <c r="X486" s="440"/>
      <c r="Y486" s="444">
        <f t="shared" si="17"/>
        <v>0</v>
      </c>
      <c r="Z486" s="445"/>
      <c r="AA486" s="446">
        <f t="shared" ref="AA486:AE486" si="251">$J486*E486</f>
        <v>0</v>
      </c>
      <c r="AB486" s="447">
        <f t="shared" si="251"/>
        <v>0</v>
      </c>
      <c r="AC486" s="447">
        <f t="shared" si="251"/>
        <v>0</v>
      </c>
      <c r="AD486" s="447">
        <f t="shared" si="251"/>
        <v>0</v>
      </c>
      <c r="AE486" s="448">
        <f t="shared" si="251"/>
        <v>0</v>
      </c>
      <c r="AF486" s="449"/>
      <c r="AG486" s="449"/>
      <c r="AH486" s="449"/>
    </row>
    <row r="487" ht="11.25" customHeight="1">
      <c r="A487" s="450"/>
      <c r="B487" s="451"/>
      <c r="C487" s="452"/>
      <c r="D487" s="452"/>
      <c r="E487" s="453"/>
      <c r="F487" s="453"/>
      <c r="G487" s="454"/>
      <c r="H487" s="454"/>
      <c r="I487" s="455"/>
      <c r="J487" s="456"/>
      <c r="K487" s="457" t="s">
        <v>1416</v>
      </c>
      <c r="L487" s="458"/>
      <c r="M487" s="459"/>
      <c r="N487" s="460"/>
      <c r="O487" s="460"/>
      <c r="P487" s="461"/>
      <c r="Q487" s="458"/>
      <c r="R487" s="459"/>
      <c r="S487" s="459"/>
      <c r="T487" s="459"/>
      <c r="U487" s="459"/>
      <c r="V487" s="459"/>
      <c r="W487" s="459"/>
      <c r="X487" s="459"/>
      <c r="Y487" s="462">
        <f t="shared" si="17"/>
        <v>0</v>
      </c>
      <c r="Z487" s="463"/>
      <c r="AA487" s="464"/>
      <c r="AB487" s="465"/>
      <c r="AC487" s="465"/>
      <c r="AD487" s="465"/>
      <c r="AE487" s="466"/>
      <c r="AF487" s="449"/>
      <c r="AG487" s="449"/>
      <c r="AH487" s="449"/>
    </row>
    <row r="488" ht="11.25" customHeight="1">
      <c r="A488" s="450"/>
      <c r="B488" s="451"/>
      <c r="C488" s="452"/>
      <c r="D488" s="452"/>
      <c r="E488" s="453"/>
      <c r="F488" s="453"/>
      <c r="G488" s="454"/>
      <c r="H488" s="454"/>
      <c r="I488" s="455"/>
      <c r="J488" s="456"/>
      <c r="K488" s="467" t="s">
        <v>1417</v>
      </c>
      <c r="L488" s="468"/>
      <c r="M488" s="469"/>
      <c r="N488" s="470"/>
      <c r="O488" s="470"/>
      <c r="P488" s="471"/>
      <c r="Q488" s="468"/>
      <c r="R488" s="469"/>
      <c r="S488" s="469"/>
      <c r="T488" s="469"/>
      <c r="U488" s="469"/>
      <c r="V488" s="469"/>
      <c r="W488" s="469"/>
      <c r="X488" s="469"/>
      <c r="Y488" s="462">
        <f t="shared" si="17"/>
        <v>0</v>
      </c>
      <c r="Z488" s="463"/>
      <c r="AA488" s="464"/>
      <c r="AB488" s="465"/>
      <c r="AC488" s="465"/>
      <c r="AD488" s="465"/>
      <c r="AE488" s="466"/>
      <c r="AF488" s="449"/>
      <c r="AG488" s="449"/>
      <c r="AH488" s="449"/>
    </row>
    <row r="489" ht="11.25" customHeight="1">
      <c r="A489" s="450"/>
      <c r="B489" s="472"/>
      <c r="C489" s="473"/>
      <c r="D489" s="473"/>
      <c r="E489" s="474"/>
      <c r="F489" s="474"/>
      <c r="G489" s="475"/>
      <c r="H489" s="475"/>
      <c r="I489" s="476"/>
      <c r="J489" s="477"/>
      <c r="K489" s="478" t="s">
        <v>1418</v>
      </c>
      <c r="L489" s="479"/>
      <c r="M489" s="480"/>
      <c r="N489" s="481"/>
      <c r="O489" s="481"/>
      <c r="P489" s="482"/>
      <c r="Q489" s="479"/>
      <c r="R489" s="480"/>
      <c r="S489" s="480"/>
      <c r="T489" s="480"/>
      <c r="U489" s="480"/>
      <c r="V489" s="480"/>
      <c r="W489" s="480"/>
      <c r="X489" s="480"/>
      <c r="Y489" s="483">
        <f t="shared" si="17"/>
        <v>0</v>
      </c>
      <c r="Z489" s="484"/>
      <c r="AA489" s="485"/>
      <c r="AB489" s="486"/>
      <c r="AC489" s="486"/>
      <c r="AD489" s="486"/>
      <c r="AE489" s="487"/>
      <c r="AF489" s="449"/>
      <c r="AG489" s="449"/>
      <c r="AH489" s="449"/>
    </row>
    <row r="490" ht="11.25" customHeight="1">
      <c r="A490" s="431" t="str">
        <f>IF(B490="","", YEAR(B490))</f>
        <v/>
      </c>
      <c r="B490" s="432"/>
      <c r="C490" s="433"/>
      <c r="D490" s="433"/>
      <c r="E490" s="434" t="str">
        <f t="shared" ref="E490:I490" si="252">IFERROR(AVERAGE(L490:L493),"")</f>
        <v/>
      </c>
      <c r="F490" s="434" t="str">
        <f t="shared" si="252"/>
        <v/>
      </c>
      <c r="G490" s="435" t="str">
        <f t="shared" si="252"/>
        <v/>
      </c>
      <c r="H490" s="435" t="str">
        <f t="shared" si="252"/>
        <v/>
      </c>
      <c r="I490" s="436" t="str">
        <f t="shared" si="252"/>
        <v/>
      </c>
      <c r="J490" s="437">
        <f>SUMIFS(PRODUCTION[KG],PRODUCTION[GRADE],"3X50",PRODUCTION[DATE],B490,PRODUCTION[BATCH],C490,PRODUCTION[SHIFT],D490)</f>
        <v>0</v>
      </c>
      <c r="K490" s="438" t="s">
        <v>1414</v>
      </c>
      <c r="L490" s="443"/>
      <c r="M490" s="440"/>
      <c r="N490" s="441"/>
      <c r="O490" s="441"/>
      <c r="P490" s="442"/>
      <c r="Q490" s="443"/>
      <c r="R490" s="440"/>
      <c r="S490" s="440"/>
      <c r="T490" s="440"/>
      <c r="U490" s="440"/>
      <c r="V490" s="440"/>
      <c r="W490" s="440"/>
      <c r="X490" s="440"/>
      <c r="Y490" s="444">
        <f t="shared" si="17"/>
        <v>0</v>
      </c>
      <c r="Z490" s="445"/>
      <c r="AA490" s="446">
        <f t="shared" ref="AA490:AE490" si="253">$J490*E490</f>
        <v>0</v>
      </c>
      <c r="AB490" s="447">
        <f t="shared" si="253"/>
        <v>0</v>
      </c>
      <c r="AC490" s="447">
        <f t="shared" si="253"/>
        <v>0</v>
      </c>
      <c r="AD490" s="447">
        <f t="shared" si="253"/>
        <v>0</v>
      </c>
      <c r="AE490" s="448">
        <f t="shared" si="253"/>
        <v>0</v>
      </c>
      <c r="AF490" s="449"/>
      <c r="AG490" s="449"/>
      <c r="AH490" s="449"/>
    </row>
    <row r="491" ht="11.25" customHeight="1">
      <c r="A491" s="450"/>
      <c r="B491" s="451"/>
      <c r="C491" s="452"/>
      <c r="D491" s="452"/>
      <c r="E491" s="453"/>
      <c r="F491" s="453"/>
      <c r="G491" s="454"/>
      <c r="H491" s="454"/>
      <c r="I491" s="455"/>
      <c r="J491" s="456"/>
      <c r="K491" s="457" t="s">
        <v>1416</v>
      </c>
      <c r="L491" s="458"/>
      <c r="M491" s="459"/>
      <c r="N491" s="460"/>
      <c r="O491" s="460"/>
      <c r="P491" s="461"/>
      <c r="Q491" s="458"/>
      <c r="R491" s="459"/>
      <c r="S491" s="459"/>
      <c r="T491" s="459"/>
      <c r="U491" s="459"/>
      <c r="V491" s="459"/>
      <c r="W491" s="459"/>
      <c r="X491" s="459"/>
      <c r="Y491" s="462">
        <f t="shared" si="17"/>
        <v>0</v>
      </c>
      <c r="Z491" s="463"/>
      <c r="AA491" s="464"/>
      <c r="AB491" s="465"/>
      <c r="AC491" s="465"/>
      <c r="AD491" s="465"/>
      <c r="AE491" s="466"/>
      <c r="AF491" s="449"/>
      <c r="AG491" s="449"/>
      <c r="AH491" s="449"/>
    </row>
    <row r="492" ht="11.25" customHeight="1">
      <c r="A492" s="450"/>
      <c r="B492" s="451"/>
      <c r="C492" s="452"/>
      <c r="D492" s="452"/>
      <c r="E492" s="453"/>
      <c r="F492" s="453"/>
      <c r="G492" s="454"/>
      <c r="H492" s="454"/>
      <c r="I492" s="455"/>
      <c r="J492" s="456"/>
      <c r="K492" s="467" t="s">
        <v>1417</v>
      </c>
      <c r="L492" s="468"/>
      <c r="M492" s="469"/>
      <c r="N492" s="470"/>
      <c r="O492" s="470"/>
      <c r="P492" s="471"/>
      <c r="Q492" s="468"/>
      <c r="R492" s="469"/>
      <c r="S492" s="469"/>
      <c r="T492" s="469"/>
      <c r="U492" s="469"/>
      <c r="V492" s="469"/>
      <c r="W492" s="469"/>
      <c r="X492" s="469"/>
      <c r="Y492" s="462">
        <f t="shared" si="17"/>
        <v>0</v>
      </c>
      <c r="Z492" s="463"/>
      <c r="AA492" s="464"/>
      <c r="AB492" s="465"/>
      <c r="AC492" s="465"/>
      <c r="AD492" s="465"/>
      <c r="AE492" s="466"/>
      <c r="AF492" s="449"/>
      <c r="AG492" s="449"/>
      <c r="AH492" s="449"/>
    </row>
    <row r="493" ht="11.25" customHeight="1">
      <c r="A493" s="450"/>
      <c r="B493" s="472"/>
      <c r="C493" s="473"/>
      <c r="D493" s="473"/>
      <c r="E493" s="474"/>
      <c r="F493" s="474"/>
      <c r="G493" s="475"/>
      <c r="H493" s="475"/>
      <c r="I493" s="476"/>
      <c r="J493" s="477"/>
      <c r="K493" s="478" t="s">
        <v>1418</v>
      </c>
      <c r="L493" s="479"/>
      <c r="M493" s="480"/>
      <c r="N493" s="481"/>
      <c r="O493" s="481"/>
      <c r="P493" s="482"/>
      <c r="Q493" s="479"/>
      <c r="R493" s="480"/>
      <c r="S493" s="480"/>
      <c r="T493" s="480"/>
      <c r="U493" s="480"/>
      <c r="V493" s="480"/>
      <c r="W493" s="480"/>
      <c r="X493" s="480"/>
      <c r="Y493" s="483">
        <f t="shared" si="17"/>
        <v>0</v>
      </c>
      <c r="Z493" s="484"/>
      <c r="AA493" s="485"/>
      <c r="AB493" s="486"/>
      <c r="AC493" s="486"/>
      <c r="AD493" s="486"/>
      <c r="AE493" s="487"/>
      <c r="AF493" s="449"/>
      <c r="AG493" s="449"/>
      <c r="AH493" s="449"/>
    </row>
    <row r="494" ht="11.25" customHeight="1">
      <c r="A494" s="431" t="str">
        <f>IF(B494="","", YEAR(B494))</f>
        <v/>
      </c>
      <c r="B494" s="432"/>
      <c r="C494" s="433"/>
      <c r="D494" s="433"/>
      <c r="E494" s="434" t="str">
        <f t="shared" ref="E494:I494" si="254">IFERROR(AVERAGE(L494:L497),"")</f>
        <v/>
      </c>
      <c r="F494" s="434" t="str">
        <f t="shared" si="254"/>
        <v/>
      </c>
      <c r="G494" s="435" t="str">
        <f t="shared" si="254"/>
        <v/>
      </c>
      <c r="H494" s="435" t="str">
        <f t="shared" si="254"/>
        <v/>
      </c>
      <c r="I494" s="436" t="str">
        <f t="shared" si="254"/>
        <v/>
      </c>
      <c r="J494" s="437">
        <f>SUMIFS(PRODUCTION[KG],PRODUCTION[GRADE],"3X50",PRODUCTION[DATE],B494,PRODUCTION[BATCH],C494,PRODUCTION[SHIFT],D494)</f>
        <v>0</v>
      </c>
      <c r="K494" s="438" t="s">
        <v>1414</v>
      </c>
      <c r="L494" s="443"/>
      <c r="M494" s="440"/>
      <c r="N494" s="441"/>
      <c r="O494" s="441"/>
      <c r="P494" s="442"/>
      <c r="Q494" s="443"/>
      <c r="R494" s="440"/>
      <c r="S494" s="440"/>
      <c r="T494" s="440"/>
      <c r="U494" s="440"/>
      <c r="V494" s="440"/>
      <c r="W494" s="440"/>
      <c r="X494" s="440"/>
      <c r="Y494" s="444">
        <f t="shared" si="17"/>
        <v>0</v>
      </c>
      <c r="Z494" s="445"/>
      <c r="AA494" s="446">
        <f t="shared" ref="AA494:AE494" si="255">$J494*E494</f>
        <v>0</v>
      </c>
      <c r="AB494" s="447">
        <f t="shared" si="255"/>
        <v>0</v>
      </c>
      <c r="AC494" s="447">
        <f t="shared" si="255"/>
        <v>0</v>
      </c>
      <c r="AD494" s="447">
        <f t="shared" si="255"/>
        <v>0</v>
      </c>
      <c r="AE494" s="448">
        <f t="shared" si="255"/>
        <v>0</v>
      </c>
      <c r="AF494" s="449"/>
      <c r="AG494" s="449"/>
      <c r="AH494" s="449"/>
    </row>
    <row r="495" ht="11.25" customHeight="1">
      <c r="A495" s="450"/>
      <c r="B495" s="451"/>
      <c r="C495" s="452"/>
      <c r="D495" s="452"/>
      <c r="E495" s="453"/>
      <c r="F495" s="453"/>
      <c r="G495" s="454"/>
      <c r="H495" s="454"/>
      <c r="I495" s="455"/>
      <c r="J495" s="456"/>
      <c r="K495" s="457" t="s">
        <v>1416</v>
      </c>
      <c r="L495" s="458"/>
      <c r="M495" s="459"/>
      <c r="N495" s="460"/>
      <c r="O495" s="460"/>
      <c r="P495" s="461"/>
      <c r="Q495" s="458"/>
      <c r="R495" s="459"/>
      <c r="S495" s="459"/>
      <c r="T495" s="459"/>
      <c r="U495" s="459"/>
      <c r="V495" s="459"/>
      <c r="W495" s="459"/>
      <c r="X495" s="459"/>
      <c r="Y495" s="462">
        <f t="shared" si="17"/>
        <v>0</v>
      </c>
      <c r="Z495" s="463"/>
      <c r="AA495" s="464"/>
      <c r="AB495" s="465"/>
      <c r="AC495" s="465"/>
      <c r="AD495" s="465"/>
      <c r="AE495" s="466"/>
      <c r="AF495" s="449"/>
      <c r="AG495" s="449"/>
      <c r="AH495" s="449"/>
    </row>
    <row r="496" ht="11.25" customHeight="1">
      <c r="A496" s="450"/>
      <c r="B496" s="451"/>
      <c r="C496" s="452"/>
      <c r="D496" s="452"/>
      <c r="E496" s="453"/>
      <c r="F496" s="453"/>
      <c r="G496" s="454"/>
      <c r="H496" s="454"/>
      <c r="I496" s="455"/>
      <c r="J496" s="456"/>
      <c r="K496" s="467" t="s">
        <v>1417</v>
      </c>
      <c r="L496" s="468"/>
      <c r="M496" s="469"/>
      <c r="N496" s="470"/>
      <c r="O496" s="470"/>
      <c r="P496" s="471"/>
      <c r="Q496" s="468"/>
      <c r="R496" s="469"/>
      <c r="S496" s="469"/>
      <c r="T496" s="469"/>
      <c r="U496" s="469"/>
      <c r="V496" s="469"/>
      <c r="W496" s="469"/>
      <c r="X496" s="469"/>
      <c r="Y496" s="462">
        <f t="shared" si="17"/>
        <v>0</v>
      </c>
      <c r="Z496" s="463"/>
      <c r="AA496" s="464"/>
      <c r="AB496" s="465"/>
      <c r="AC496" s="465"/>
      <c r="AD496" s="465"/>
      <c r="AE496" s="466"/>
      <c r="AF496" s="449"/>
      <c r="AG496" s="449"/>
      <c r="AH496" s="449"/>
    </row>
    <row r="497" ht="11.25" customHeight="1">
      <c r="A497" s="450"/>
      <c r="B497" s="472"/>
      <c r="C497" s="473"/>
      <c r="D497" s="473"/>
      <c r="E497" s="474"/>
      <c r="F497" s="474"/>
      <c r="G497" s="475"/>
      <c r="H497" s="475"/>
      <c r="I497" s="476"/>
      <c r="J497" s="477"/>
      <c r="K497" s="478" t="s">
        <v>1418</v>
      </c>
      <c r="L497" s="479"/>
      <c r="M497" s="480"/>
      <c r="N497" s="481"/>
      <c r="O497" s="481"/>
      <c r="P497" s="482"/>
      <c r="Q497" s="479"/>
      <c r="R497" s="480"/>
      <c r="S497" s="480"/>
      <c r="T497" s="480"/>
      <c r="U497" s="480"/>
      <c r="V497" s="480"/>
      <c r="W497" s="480"/>
      <c r="X497" s="480"/>
      <c r="Y497" s="483">
        <f t="shared" si="17"/>
        <v>0</v>
      </c>
      <c r="Z497" s="484"/>
      <c r="AA497" s="485"/>
      <c r="AB497" s="486"/>
      <c r="AC497" s="486"/>
      <c r="AD497" s="486"/>
      <c r="AE497" s="487"/>
      <c r="AF497" s="449"/>
      <c r="AG497" s="449"/>
      <c r="AH497" s="449"/>
    </row>
    <row r="498" ht="11.25" customHeight="1">
      <c r="A498" s="431" t="str">
        <f>IF(B498="","", YEAR(B498))</f>
        <v/>
      </c>
      <c r="B498" s="432"/>
      <c r="C498" s="433"/>
      <c r="D498" s="433"/>
      <c r="E498" s="434" t="str">
        <f t="shared" ref="E498:I498" si="256">IFERROR(AVERAGE(L498:L501),"")</f>
        <v/>
      </c>
      <c r="F498" s="434" t="str">
        <f t="shared" si="256"/>
        <v/>
      </c>
      <c r="G498" s="435" t="str">
        <f t="shared" si="256"/>
        <v/>
      </c>
      <c r="H498" s="435" t="str">
        <f t="shared" si="256"/>
        <v/>
      </c>
      <c r="I498" s="436" t="str">
        <f t="shared" si="256"/>
        <v/>
      </c>
      <c r="J498" s="437">
        <f>SUMIFS(PRODUCTION[KG],PRODUCTION[GRADE],"3X50",PRODUCTION[DATE],B498,PRODUCTION[BATCH],C498,PRODUCTION[SHIFT],D498)</f>
        <v>0</v>
      </c>
      <c r="K498" s="438" t="s">
        <v>1414</v>
      </c>
      <c r="L498" s="443"/>
      <c r="M498" s="440"/>
      <c r="N498" s="441"/>
      <c r="O498" s="441"/>
      <c r="P498" s="442"/>
      <c r="Q498" s="443"/>
      <c r="R498" s="440"/>
      <c r="S498" s="440"/>
      <c r="T498" s="440"/>
      <c r="U498" s="440"/>
      <c r="V498" s="440"/>
      <c r="W498" s="440"/>
      <c r="X498" s="440"/>
      <c r="Y498" s="444">
        <f t="shared" si="17"/>
        <v>0</v>
      </c>
      <c r="Z498" s="445"/>
      <c r="AA498" s="446">
        <f t="shared" ref="AA498:AE498" si="257">$J498*E498</f>
        <v>0</v>
      </c>
      <c r="AB498" s="447">
        <f t="shared" si="257"/>
        <v>0</v>
      </c>
      <c r="AC498" s="447">
        <f t="shared" si="257"/>
        <v>0</v>
      </c>
      <c r="AD498" s="447">
        <f t="shared" si="257"/>
        <v>0</v>
      </c>
      <c r="AE498" s="448">
        <f t="shared" si="257"/>
        <v>0</v>
      </c>
      <c r="AF498" s="449"/>
      <c r="AG498" s="449"/>
      <c r="AH498" s="449"/>
    </row>
    <row r="499" ht="11.25" customHeight="1">
      <c r="A499" s="450"/>
      <c r="B499" s="451"/>
      <c r="C499" s="452"/>
      <c r="D499" s="452"/>
      <c r="E499" s="453"/>
      <c r="F499" s="453"/>
      <c r="G499" s="454"/>
      <c r="H499" s="454"/>
      <c r="I499" s="455"/>
      <c r="J499" s="456"/>
      <c r="K499" s="457" t="s">
        <v>1416</v>
      </c>
      <c r="L499" s="458"/>
      <c r="M499" s="459"/>
      <c r="N499" s="460"/>
      <c r="O499" s="460"/>
      <c r="P499" s="461"/>
      <c r="Q499" s="458"/>
      <c r="R499" s="459"/>
      <c r="S499" s="459"/>
      <c r="T499" s="459"/>
      <c r="U499" s="459"/>
      <c r="V499" s="459"/>
      <c r="W499" s="459"/>
      <c r="X499" s="459"/>
      <c r="Y499" s="462">
        <f t="shared" si="17"/>
        <v>0</v>
      </c>
      <c r="Z499" s="463"/>
      <c r="AA499" s="464"/>
      <c r="AB499" s="465"/>
      <c r="AC499" s="465"/>
      <c r="AD499" s="465"/>
      <c r="AE499" s="466"/>
      <c r="AF499" s="449"/>
      <c r="AG499" s="449"/>
      <c r="AH499" s="449"/>
    </row>
    <row r="500" ht="11.25" customHeight="1">
      <c r="A500" s="450"/>
      <c r="B500" s="451"/>
      <c r="C500" s="452"/>
      <c r="D500" s="452"/>
      <c r="E500" s="453"/>
      <c r="F500" s="453"/>
      <c r="G500" s="454"/>
      <c r="H500" s="454"/>
      <c r="I500" s="455"/>
      <c r="J500" s="456"/>
      <c r="K500" s="467" t="s">
        <v>1417</v>
      </c>
      <c r="L500" s="468"/>
      <c r="M500" s="469"/>
      <c r="N500" s="470"/>
      <c r="O500" s="470"/>
      <c r="P500" s="471"/>
      <c r="Q500" s="468"/>
      <c r="R500" s="469"/>
      <c r="S500" s="469"/>
      <c r="T500" s="469"/>
      <c r="U500" s="469"/>
      <c r="V500" s="469"/>
      <c r="W500" s="469"/>
      <c r="X500" s="469"/>
      <c r="Y500" s="462">
        <f t="shared" si="17"/>
        <v>0</v>
      </c>
      <c r="Z500" s="463"/>
      <c r="AA500" s="464"/>
      <c r="AB500" s="465"/>
      <c r="AC500" s="465"/>
      <c r="AD500" s="465"/>
      <c r="AE500" s="466"/>
      <c r="AF500" s="449"/>
      <c r="AG500" s="449"/>
      <c r="AH500" s="449"/>
    </row>
    <row r="501" ht="11.25" customHeight="1">
      <c r="A501" s="450"/>
      <c r="B501" s="472"/>
      <c r="C501" s="473"/>
      <c r="D501" s="473"/>
      <c r="E501" s="474"/>
      <c r="F501" s="474"/>
      <c r="G501" s="475"/>
      <c r="H501" s="475"/>
      <c r="I501" s="476"/>
      <c r="J501" s="477"/>
      <c r="K501" s="478" t="s">
        <v>1418</v>
      </c>
      <c r="L501" s="479"/>
      <c r="M501" s="480"/>
      <c r="N501" s="481"/>
      <c r="O501" s="481"/>
      <c r="P501" s="482"/>
      <c r="Q501" s="479"/>
      <c r="R501" s="480"/>
      <c r="S501" s="480"/>
      <c r="T501" s="480"/>
      <c r="U501" s="480"/>
      <c r="V501" s="480"/>
      <c r="W501" s="480"/>
      <c r="X501" s="480"/>
      <c r="Y501" s="483">
        <f t="shared" si="17"/>
        <v>0</v>
      </c>
      <c r="Z501" s="484"/>
      <c r="AA501" s="485"/>
      <c r="AB501" s="486"/>
      <c r="AC501" s="486"/>
      <c r="AD501" s="486"/>
      <c r="AE501" s="487"/>
      <c r="AF501" s="449"/>
      <c r="AG501" s="449"/>
      <c r="AH501" s="449"/>
    </row>
    <row r="502" ht="11.25" customHeight="1">
      <c r="A502" s="431" t="str">
        <f>IF(B502="","", YEAR(B502))</f>
        <v/>
      </c>
      <c r="B502" s="432"/>
      <c r="C502" s="433"/>
      <c r="D502" s="433"/>
      <c r="E502" s="434" t="str">
        <f t="shared" ref="E502:I502" si="258">IFERROR(AVERAGE(L502:L505),"")</f>
        <v/>
      </c>
      <c r="F502" s="434" t="str">
        <f t="shared" si="258"/>
        <v/>
      </c>
      <c r="G502" s="435" t="str">
        <f t="shared" si="258"/>
        <v/>
      </c>
      <c r="H502" s="435" t="str">
        <f t="shared" si="258"/>
        <v/>
      </c>
      <c r="I502" s="436" t="str">
        <f t="shared" si="258"/>
        <v/>
      </c>
      <c r="J502" s="437">
        <f>SUMIFS(PRODUCTION[KG],PRODUCTION[GRADE],"3X50",PRODUCTION[DATE],B502,PRODUCTION[BATCH],C502,PRODUCTION[SHIFT],D502)</f>
        <v>0</v>
      </c>
      <c r="K502" s="438" t="s">
        <v>1414</v>
      </c>
      <c r="L502" s="443"/>
      <c r="M502" s="440"/>
      <c r="N502" s="441"/>
      <c r="O502" s="441"/>
      <c r="P502" s="442"/>
      <c r="Q502" s="443"/>
      <c r="R502" s="440"/>
      <c r="S502" s="440"/>
      <c r="T502" s="440"/>
      <c r="U502" s="440"/>
      <c r="V502" s="440"/>
      <c r="W502" s="440"/>
      <c r="X502" s="440"/>
      <c r="Y502" s="444">
        <f t="shared" si="17"/>
        <v>0</v>
      </c>
      <c r="Z502" s="445"/>
      <c r="AA502" s="446">
        <f t="shared" ref="AA502:AE502" si="259">$J502*E502</f>
        <v>0</v>
      </c>
      <c r="AB502" s="447">
        <f t="shared" si="259"/>
        <v>0</v>
      </c>
      <c r="AC502" s="447">
        <f t="shared" si="259"/>
        <v>0</v>
      </c>
      <c r="AD502" s="447">
        <f t="shared" si="259"/>
        <v>0</v>
      </c>
      <c r="AE502" s="448">
        <f t="shared" si="259"/>
        <v>0</v>
      </c>
      <c r="AF502" s="449"/>
      <c r="AG502" s="449"/>
      <c r="AH502" s="449"/>
    </row>
    <row r="503" ht="11.25" customHeight="1">
      <c r="A503" s="450"/>
      <c r="B503" s="451"/>
      <c r="C503" s="452"/>
      <c r="D503" s="452"/>
      <c r="E503" s="453"/>
      <c r="F503" s="453"/>
      <c r="G503" s="454"/>
      <c r="H503" s="454"/>
      <c r="I503" s="455"/>
      <c r="J503" s="456"/>
      <c r="K503" s="457" t="s">
        <v>1416</v>
      </c>
      <c r="L503" s="458"/>
      <c r="M503" s="459"/>
      <c r="N503" s="460"/>
      <c r="O503" s="460"/>
      <c r="P503" s="461"/>
      <c r="Q503" s="458"/>
      <c r="R503" s="459"/>
      <c r="S503" s="459"/>
      <c r="T503" s="459"/>
      <c r="U503" s="459"/>
      <c r="V503" s="459"/>
      <c r="W503" s="459"/>
      <c r="X503" s="459"/>
      <c r="Y503" s="462">
        <f t="shared" si="17"/>
        <v>0</v>
      </c>
      <c r="Z503" s="463"/>
      <c r="AA503" s="464"/>
      <c r="AB503" s="465"/>
      <c r="AC503" s="465"/>
      <c r="AD503" s="465"/>
      <c r="AE503" s="466"/>
      <c r="AF503" s="449"/>
      <c r="AG503" s="449"/>
      <c r="AH503" s="449"/>
    </row>
    <row r="504" ht="11.25" customHeight="1">
      <c r="A504" s="450"/>
      <c r="B504" s="451"/>
      <c r="C504" s="452"/>
      <c r="D504" s="452"/>
      <c r="E504" s="453"/>
      <c r="F504" s="453"/>
      <c r="G504" s="454"/>
      <c r="H504" s="454"/>
      <c r="I504" s="455"/>
      <c r="J504" s="456"/>
      <c r="K504" s="467" t="s">
        <v>1417</v>
      </c>
      <c r="L504" s="468"/>
      <c r="M504" s="469"/>
      <c r="N504" s="470"/>
      <c r="O504" s="470"/>
      <c r="P504" s="471"/>
      <c r="Q504" s="468"/>
      <c r="R504" s="469"/>
      <c r="S504" s="469"/>
      <c r="T504" s="469"/>
      <c r="U504" s="469"/>
      <c r="V504" s="469"/>
      <c r="W504" s="469"/>
      <c r="X504" s="469"/>
      <c r="Y504" s="462">
        <f t="shared" si="17"/>
        <v>0</v>
      </c>
      <c r="Z504" s="463"/>
      <c r="AA504" s="464"/>
      <c r="AB504" s="465"/>
      <c r="AC504" s="465"/>
      <c r="AD504" s="465"/>
      <c r="AE504" s="466"/>
      <c r="AF504" s="449"/>
      <c r="AG504" s="449"/>
      <c r="AH504" s="449"/>
    </row>
    <row r="505" ht="11.25" customHeight="1">
      <c r="A505" s="450"/>
      <c r="B505" s="472"/>
      <c r="C505" s="473"/>
      <c r="D505" s="473"/>
      <c r="E505" s="474"/>
      <c r="F505" s="474"/>
      <c r="G505" s="475"/>
      <c r="H505" s="475"/>
      <c r="I505" s="476"/>
      <c r="J505" s="477"/>
      <c r="K505" s="478" t="s">
        <v>1418</v>
      </c>
      <c r="L505" s="479"/>
      <c r="M505" s="480"/>
      <c r="N505" s="481"/>
      <c r="O505" s="481"/>
      <c r="P505" s="482"/>
      <c r="Q505" s="479"/>
      <c r="R505" s="480"/>
      <c r="S505" s="480"/>
      <c r="T505" s="480"/>
      <c r="U505" s="480"/>
      <c r="V505" s="480"/>
      <c r="W505" s="480"/>
      <c r="X505" s="480"/>
      <c r="Y505" s="483">
        <f t="shared" si="17"/>
        <v>0</v>
      </c>
      <c r="Z505" s="484"/>
      <c r="AA505" s="485"/>
      <c r="AB505" s="486"/>
      <c r="AC505" s="486"/>
      <c r="AD505" s="486"/>
      <c r="AE505" s="487"/>
      <c r="AF505" s="449"/>
      <c r="AG505" s="449"/>
      <c r="AH505" s="449"/>
    </row>
    <row r="506" ht="11.25" customHeight="1">
      <c r="A506" s="431" t="str">
        <f>IF(B506="","", YEAR(B506))</f>
        <v/>
      </c>
      <c r="B506" s="432"/>
      <c r="C506" s="433"/>
      <c r="D506" s="433"/>
      <c r="E506" s="434" t="str">
        <f t="shared" ref="E506:I506" si="260">IFERROR(AVERAGE(L506:L509),"")</f>
        <v/>
      </c>
      <c r="F506" s="434" t="str">
        <f t="shared" si="260"/>
        <v/>
      </c>
      <c r="G506" s="435" t="str">
        <f t="shared" si="260"/>
        <v/>
      </c>
      <c r="H506" s="435" t="str">
        <f t="shared" si="260"/>
        <v/>
      </c>
      <c r="I506" s="436" t="str">
        <f t="shared" si="260"/>
        <v/>
      </c>
      <c r="J506" s="437">
        <f>SUMIFS(PRODUCTION[KG],PRODUCTION[GRADE],"3X50",PRODUCTION[DATE],B506,PRODUCTION[BATCH],C506,PRODUCTION[SHIFT],D506)</f>
        <v>0</v>
      </c>
      <c r="K506" s="438" t="s">
        <v>1414</v>
      </c>
      <c r="L506" s="443"/>
      <c r="M506" s="440"/>
      <c r="N506" s="441"/>
      <c r="O506" s="441"/>
      <c r="P506" s="442"/>
      <c r="Q506" s="443"/>
      <c r="R506" s="440"/>
      <c r="S506" s="440"/>
      <c r="T506" s="440"/>
      <c r="U506" s="440"/>
      <c r="V506" s="440"/>
      <c r="W506" s="440"/>
      <c r="X506" s="440"/>
      <c r="Y506" s="444">
        <f t="shared" si="17"/>
        <v>0</v>
      </c>
      <c r="Z506" s="445"/>
      <c r="AA506" s="446">
        <f t="shared" ref="AA506:AE506" si="261">$J506*E506</f>
        <v>0</v>
      </c>
      <c r="AB506" s="447">
        <f t="shared" si="261"/>
        <v>0</v>
      </c>
      <c r="AC506" s="447">
        <f t="shared" si="261"/>
        <v>0</v>
      </c>
      <c r="AD506" s="447">
        <f t="shared" si="261"/>
        <v>0</v>
      </c>
      <c r="AE506" s="448">
        <f t="shared" si="261"/>
        <v>0</v>
      </c>
      <c r="AF506" s="449"/>
      <c r="AG506" s="449"/>
      <c r="AH506" s="449"/>
    </row>
    <row r="507" ht="11.25" customHeight="1">
      <c r="A507" s="450"/>
      <c r="B507" s="451"/>
      <c r="C507" s="452"/>
      <c r="D507" s="452"/>
      <c r="E507" s="453"/>
      <c r="F507" s="453"/>
      <c r="G507" s="454"/>
      <c r="H507" s="454"/>
      <c r="I507" s="455"/>
      <c r="J507" s="456"/>
      <c r="K507" s="457" t="s">
        <v>1416</v>
      </c>
      <c r="L507" s="458"/>
      <c r="M507" s="459"/>
      <c r="N507" s="460"/>
      <c r="O507" s="460"/>
      <c r="P507" s="461"/>
      <c r="Q507" s="458"/>
      <c r="R507" s="459"/>
      <c r="S507" s="459"/>
      <c r="T507" s="459"/>
      <c r="U507" s="459"/>
      <c r="V507" s="459"/>
      <c r="W507" s="459"/>
      <c r="X507" s="459"/>
      <c r="Y507" s="462">
        <f t="shared" si="17"/>
        <v>0</v>
      </c>
      <c r="Z507" s="463"/>
      <c r="AA507" s="464"/>
      <c r="AB507" s="465"/>
      <c r="AC507" s="465"/>
      <c r="AD507" s="465"/>
      <c r="AE507" s="466"/>
      <c r="AF507" s="449"/>
      <c r="AG507" s="449"/>
      <c r="AH507" s="449"/>
    </row>
    <row r="508" ht="11.25" customHeight="1">
      <c r="A508" s="450"/>
      <c r="B508" s="451"/>
      <c r="C508" s="452"/>
      <c r="D508" s="452"/>
      <c r="E508" s="453"/>
      <c r="F508" s="453"/>
      <c r="G508" s="454"/>
      <c r="H508" s="454"/>
      <c r="I508" s="455"/>
      <c r="J508" s="456"/>
      <c r="K508" s="467" t="s">
        <v>1417</v>
      </c>
      <c r="L508" s="468"/>
      <c r="M508" s="469"/>
      <c r="N508" s="470"/>
      <c r="O508" s="470"/>
      <c r="P508" s="471"/>
      <c r="Q508" s="468"/>
      <c r="R508" s="469"/>
      <c r="S508" s="469"/>
      <c r="T508" s="469"/>
      <c r="U508" s="469"/>
      <c r="V508" s="469"/>
      <c r="W508" s="469"/>
      <c r="X508" s="469"/>
      <c r="Y508" s="462">
        <f t="shared" si="17"/>
        <v>0</v>
      </c>
      <c r="Z508" s="463"/>
      <c r="AA508" s="464"/>
      <c r="AB508" s="465"/>
      <c r="AC508" s="465"/>
      <c r="AD508" s="465"/>
      <c r="AE508" s="466"/>
      <c r="AF508" s="449"/>
      <c r="AG508" s="449"/>
      <c r="AH508" s="449"/>
    </row>
    <row r="509" ht="11.25" customHeight="1">
      <c r="A509" s="450"/>
      <c r="B509" s="472"/>
      <c r="C509" s="473"/>
      <c r="D509" s="473"/>
      <c r="E509" s="474"/>
      <c r="F509" s="474"/>
      <c r="G509" s="475"/>
      <c r="H509" s="475"/>
      <c r="I509" s="476"/>
      <c r="J509" s="477"/>
      <c r="K509" s="478" t="s">
        <v>1418</v>
      </c>
      <c r="L509" s="479"/>
      <c r="M509" s="480"/>
      <c r="N509" s="481"/>
      <c r="O509" s="481"/>
      <c r="P509" s="482"/>
      <c r="Q509" s="479"/>
      <c r="R509" s="480"/>
      <c r="S509" s="480"/>
      <c r="T509" s="480"/>
      <c r="U509" s="480"/>
      <c r="V509" s="480"/>
      <c r="W509" s="480"/>
      <c r="X509" s="480"/>
      <c r="Y509" s="483">
        <f t="shared" si="17"/>
        <v>0</v>
      </c>
      <c r="Z509" s="484"/>
      <c r="AA509" s="485"/>
      <c r="AB509" s="486"/>
      <c r="AC509" s="486"/>
      <c r="AD509" s="486"/>
      <c r="AE509" s="487"/>
      <c r="AF509" s="449"/>
      <c r="AG509" s="449"/>
      <c r="AH509" s="449"/>
    </row>
    <row r="510" ht="11.25" customHeight="1">
      <c r="A510" s="431" t="str">
        <f>IF(B510="","", YEAR(B510))</f>
        <v/>
      </c>
      <c r="B510" s="432"/>
      <c r="C510" s="433"/>
      <c r="D510" s="433"/>
      <c r="E510" s="434" t="str">
        <f t="shared" ref="E510:I510" si="262">IFERROR(AVERAGE(L510:L513),"")</f>
        <v/>
      </c>
      <c r="F510" s="434" t="str">
        <f t="shared" si="262"/>
        <v/>
      </c>
      <c r="G510" s="435" t="str">
        <f t="shared" si="262"/>
        <v/>
      </c>
      <c r="H510" s="435" t="str">
        <f t="shared" si="262"/>
        <v/>
      </c>
      <c r="I510" s="436" t="str">
        <f t="shared" si="262"/>
        <v/>
      </c>
      <c r="J510" s="437">
        <f>SUMIFS(PRODUCTION[KG],PRODUCTION[GRADE],"3X50",PRODUCTION[DATE],B510,PRODUCTION[BATCH],C510,PRODUCTION[SHIFT],D510)</f>
        <v>0</v>
      </c>
      <c r="K510" s="438" t="s">
        <v>1414</v>
      </c>
      <c r="L510" s="443"/>
      <c r="M510" s="440"/>
      <c r="N510" s="441"/>
      <c r="O510" s="441"/>
      <c r="P510" s="442"/>
      <c r="Q510" s="443"/>
      <c r="R510" s="440"/>
      <c r="S510" s="440"/>
      <c r="T510" s="440"/>
      <c r="U510" s="440"/>
      <c r="V510" s="440"/>
      <c r="W510" s="440"/>
      <c r="X510" s="440"/>
      <c r="Y510" s="444">
        <f t="shared" si="17"/>
        <v>0</v>
      </c>
      <c r="Z510" s="445"/>
      <c r="AA510" s="446">
        <f t="shared" ref="AA510:AE510" si="263">$J510*E510</f>
        <v>0</v>
      </c>
      <c r="AB510" s="447">
        <f t="shared" si="263"/>
        <v>0</v>
      </c>
      <c r="AC510" s="447">
        <f t="shared" si="263"/>
        <v>0</v>
      </c>
      <c r="AD510" s="447">
        <f t="shared" si="263"/>
        <v>0</v>
      </c>
      <c r="AE510" s="448">
        <f t="shared" si="263"/>
        <v>0</v>
      </c>
      <c r="AF510" s="449"/>
      <c r="AG510" s="449"/>
      <c r="AH510" s="449"/>
    </row>
    <row r="511" ht="11.25" customHeight="1">
      <c r="A511" s="450"/>
      <c r="B511" s="451"/>
      <c r="C511" s="452"/>
      <c r="D511" s="452"/>
      <c r="E511" s="453"/>
      <c r="F511" s="453"/>
      <c r="G511" s="454"/>
      <c r="H511" s="454"/>
      <c r="I511" s="455"/>
      <c r="J511" s="456"/>
      <c r="K511" s="457" t="s">
        <v>1416</v>
      </c>
      <c r="L511" s="458"/>
      <c r="M511" s="459"/>
      <c r="N511" s="460"/>
      <c r="O511" s="460"/>
      <c r="P511" s="461"/>
      <c r="Q511" s="458"/>
      <c r="R511" s="459"/>
      <c r="S511" s="459"/>
      <c r="T511" s="459"/>
      <c r="U511" s="459"/>
      <c r="V511" s="459"/>
      <c r="W511" s="459"/>
      <c r="X511" s="459"/>
      <c r="Y511" s="462">
        <f t="shared" si="17"/>
        <v>0</v>
      </c>
      <c r="Z511" s="463"/>
      <c r="AA511" s="464"/>
      <c r="AB511" s="465"/>
      <c r="AC511" s="465"/>
      <c r="AD511" s="465"/>
      <c r="AE511" s="466"/>
      <c r="AF511" s="449"/>
      <c r="AG511" s="449"/>
      <c r="AH511" s="449"/>
    </row>
    <row r="512" ht="11.25" customHeight="1">
      <c r="A512" s="450"/>
      <c r="B512" s="451"/>
      <c r="C512" s="452"/>
      <c r="D512" s="452"/>
      <c r="E512" s="453"/>
      <c r="F512" s="453"/>
      <c r="G512" s="454"/>
      <c r="H512" s="454"/>
      <c r="I512" s="455"/>
      <c r="J512" s="456"/>
      <c r="K512" s="467" t="s">
        <v>1417</v>
      </c>
      <c r="L512" s="468"/>
      <c r="M512" s="469"/>
      <c r="N512" s="470"/>
      <c r="O512" s="470"/>
      <c r="P512" s="471"/>
      <c r="Q512" s="468"/>
      <c r="R512" s="469"/>
      <c r="S512" s="469"/>
      <c r="T512" s="469"/>
      <c r="U512" s="469"/>
      <c r="V512" s="469"/>
      <c r="W512" s="469"/>
      <c r="X512" s="469"/>
      <c r="Y512" s="462">
        <f t="shared" si="17"/>
        <v>0</v>
      </c>
      <c r="Z512" s="463"/>
      <c r="AA512" s="464"/>
      <c r="AB512" s="465"/>
      <c r="AC512" s="465"/>
      <c r="AD512" s="465"/>
      <c r="AE512" s="466"/>
      <c r="AF512" s="449"/>
      <c r="AG512" s="449"/>
      <c r="AH512" s="449"/>
    </row>
    <row r="513" ht="11.25" customHeight="1">
      <c r="A513" s="450"/>
      <c r="B513" s="472"/>
      <c r="C513" s="473"/>
      <c r="D513" s="473"/>
      <c r="E513" s="474"/>
      <c r="F513" s="474"/>
      <c r="G513" s="475"/>
      <c r="H513" s="475"/>
      <c r="I513" s="476"/>
      <c r="J513" s="477"/>
      <c r="K513" s="478" t="s">
        <v>1418</v>
      </c>
      <c r="L513" s="479"/>
      <c r="M513" s="480"/>
      <c r="N513" s="481"/>
      <c r="O513" s="481"/>
      <c r="P513" s="482"/>
      <c r="Q513" s="479"/>
      <c r="R513" s="480"/>
      <c r="S513" s="480"/>
      <c r="T513" s="480"/>
      <c r="U513" s="480"/>
      <c r="V513" s="480"/>
      <c r="W513" s="480"/>
      <c r="X513" s="480"/>
      <c r="Y513" s="483">
        <f t="shared" si="17"/>
        <v>0</v>
      </c>
      <c r="Z513" s="484"/>
      <c r="AA513" s="485"/>
      <c r="AB513" s="486"/>
      <c r="AC513" s="486"/>
      <c r="AD513" s="486"/>
      <c r="AE513" s="487"/>
      <c r="AF513" s="449"/>
      <c r="AG513" s="449"/>
      <c r="AH513" s="449"/>
    </row>
    <row r="514" ht="11.25" customHeight="1">
      <c r="A514" s="431" t="str">
        <f>IF(B514="","", YEAR(B514))</f>
        <v/>
      </c>
      <c r="B514" s="432"/>
      <c r="C514" s="433"/>
      <c r="D514" s="433"/>
      <c r="E514" s="434" t="str">
        <f t="shared" ref="E514:I514" si="264">IFERROR(AVERAGE(L514:L517),"")</f>
        <v/>
      </c>
      <c r="F514" s="434" t="str">
        <f t="shared" si="264"/>
        <v/>
      </c>
      <c r="G514" s="435" t="str">
        <f t="shared" si="264"/>
        <v/>
      </c>
      <c r="H514" s="435" t="str">
        <f t="shared" si="264"/>
        <v/>
      </c>
      <c r="I514" s="436" t="str">
        <f t="shared" si="264"/>
        <v/>
      </c>
      <c r="J514" s="437">
        <f>SUMIFS(PRODUCTION[KG],PRODUCTION[GRADE],"3X50",PRODUCTION[DATE],B514,PRODUCTION[BATCH],C514,PRODUCTION[SHIFT],D514)</f>
        <v>0</v>
      </c>
      <c r="K514" s="438" t="s">
        <v>1414</v>
      </c>
      <c r="L514" s="443"/>
      <c r="M514" s="440"/>
      <c r="N514" s="441"/>
      <c r="O514" s="441"/>
      <c r="P514" s="442"/>
      <c r="Q514" s="443"/>
      <c r="R514" s="440"/>
      <c r="S514" s="440"/>
      <c r="T514" s="440"/>
      <c r="U514" s="440"/>
      <c r="V514" s="440"/>
      <c r="W514" s="440"/>
      <c r="X514" s="440"/>
      <c r="Y514" s="444">
        <f t="shared" si="17"/>
        <v>0</v>
      </c>
      <c r="Z514" s="445"/>
      <c r="AA514" s="446">
        <f t="shared" ref="AA514:AE514" si="265">$J514*E514</f>
        <v>0</v>
      </c>
      <c r="AB514" s="447">
        <f t="shared" si="265"/>
        <v>0</v>
      </c>
      <c r="AC514" s="447">
        <f t="shared" si="265"/>
        <v>0</v>
      </c>
      <c r="AD514" s="447">
        <f t="shared" si="265"/>
        <v>0</v>
      </c>
      <c r="AE514" s="448">
        <f t="shared" si="265"/>
        <v>0</v>
      </c>
      <c r="AF514" s="449"/>
      <c r="AG514" s="449"/>
      <c r="AH514" s="449"/>
    </row>
    <row r="515" ht="11.25" customHeight="1">
      <c r="A515" s="450"/>
      <c r="B515" s="451"/>
      <c r="C515" s="452"/>
      <c r="D515" s="452"/>
      <c r="E515" s="453"/>
      <c r="F515" s="453"/>
      <c r="G515" s="454"/>
      <c r="H515" s="454"/>
      <c r="I515" s="455"/>
      <c r="J515" s="456"/>
      <c r="K515" s="457" t="s">
        <v>1416</v>
      </c>
      <c r="L515" s="458"/>
      <c r="M515" s="459"/>
      <c r="N515" s="460"/>
      <c r="O515" s="460"/>
      <c r="P515" s="461"/>
      <c r="Q515" s="458"/>
      <c r="R515" s="459"/>
      <c r="S515" s="459"/>
      <c r="T515" s="459"/>
      <c r="U515" s="459"/>
      <c r="V515" s="459"/>
      <c r="W515" s="459"/>
      <c r="X515" s="459"/>
      <c r="Y515" s="462">
        <f t="shared" si="17"/>
        <v>0</v>
      </c>
      <c r="Z515" s="463"/>
      <c r="AA515" s="464"/>
      <c r="AB515" s="465"/>
      <c r="AC515" s="465"/>
      <c r="AD515" s="465"/>
      <c r="AE515" s="466"/>
      <c r="AF515" s="449"/>
      <c r="AG515" s="449"/>
      <c r="AH515" s="449"/>
    </row>
    <row r="516" ht="11.25" customHeight="1">
      <c r="A516" s="450"/>
      <c r="B516" s="451"/>
      <c r="C516" s="452"/>
      <c r="D516" s="452"/>
      <c r="E516" s="453"/>
      <c r="F516" s="453"/>
      <c r="G516" s="454"/>
      <c r="H516" s="454"/>
      <c r="I516" s="455"/>
      <c r="J516" s="456"/>
      <c r="K516" s="467" t="s">
        <v>1417</v>
      </c>
      <c r="L516" s="468"/>
      <c r="M516" s="469"/>
      <c r="N516" s="470"/>
      <c r="O516" s="470"/>
      <c r="P516" s="471"/>
      <c r="Q516" s="468"/>
      <c r="R516" s="469"/>
      <c r="S516" s="469"/>
      <c r="T516" s="469"/>
      <c r="U516" s="469"/>
      <c r="V516" s="469"/>
      <c r="W516" s="469"/>
      <c r="X516" s="469"/>
      <c r="Y516" s="462">
        <f t="shared" si="17"/>
        <v>0</v>
      </c>
      <c r="Z516" s="463"/>
      <c r="AA516" s="464"/>
      <c r="AB516" s="465"/>
      <c r="AC516" s="465"/>
      <c r="AD516" s="465"/>
      <c r="AE516" s="466"/>
      <c r="AF516" s="449"/>
      <c r="AG516" s="449"/>
      <c r="AH516" s="449"/>
    </row>
    <row r="517" ht="11.25" customHeight="1">
      <c r="A517" s="450"/>
      <c r="B517" s="472"/>
      <c r="C517" s="473"/>
      <c r="D517" s="473"/>
      <c r="E517" s="474"/>
      <c r="F517" s="474"/>
      <c r="G517" s="475"/>
      <c r="H517" s="475"/>
      <c r="I517" s="476"/>
      <c r="J517" s="477"/>
      <c r="K517" s="478" t="s">
        <v>1418</v>
      </c>
      <c r="L517" s="479"/>
      <c r="M517" s="480"/>
      <c r="N517" s="481"/>
      <c r="O517" s="481"/>
      <c r="P517" s="482"/>
      <c r="Q517" s="479"/>
      <c r="R517" s="480"/>
      <c r="S517" s="480"/>
      <c r="T517" s="480"/>
      <c r="U517" s="480"/>
      <c r="V517" s="480"/>
      <c r="W517" s="480"/>
      <c r="X517" s="480"/>
      <c r="Y517" s="483">
        <f t="shared" si="17"/>
        <v>0</v>
      </c>
      <c r="Z517" s="484"/>
      <c r="AA517" s="485"/>
      <c r="AB517" s="486"/>
      <c r="AC517" s="486"/>
      <c r="AD517" s="486"/>
      <c r="AE517" s="487"/>
      <c r="AF517" s="449"/>
      <c r="AG517" s="449"/>
      <c r="AH517" s="449"/>
    </row>
    <row r="518" ht="11.25" customHeight="1">
      <c r="A518" s="431" t="str">
        <f>IF(B518="","", YEAR(B518))</f>
        <v/>
      </c>
      <c r="B518" s="432"/>
      <c r="C518" s="433"/>
      <c r="D518" s="433"/>
      <c r="E518" s="434" t="str">
        <f t="shared" ref="E518:I518" si="266">IFERROR(AVERAGE(L518:L521),"")</f>
        <v/>
      </c>
      <c r="F518" s="434" t="str">
        <f t="shared" si="266"/>
        <v/>
      </c>
      <c r="G518" s="435" t="str">
        <f t="shared" si="266"/>
        <v/>
      </c>
      <c r="H518" s="435" t="str">
        <f t="shared" si="266"/>
        <v/>
      </c>
      <c r="I518" s="436" t="str">
        <f t="shared" si="266"/>
        <v/>
      </c>
      <c r="J518" s="437">
        <f>SUMIFS(PRODUCTION[KG],PRODUCTION[GRADE],"3X50",PRODUCTION[DATE],B518,PRODUCTION[BATCH],C518,PRODUCTION[SHIFT],D518)</f>
        <v>0</v>
      </c>
      <c r="K518" s="438" t="s">
        <v>1414</v>
      </c>
      <c r="L518" s="443"/>
      <c r="M518" s="440"/>
      <c r="N518" s="441"/>
      <c r="O518" s="441"/>
      <c r="P518" s="442"/>
      <c r="Q518" s="443"/>
      <c r="R518" s="440"/>
      <c r="S518" s="440"/>
      <c r="T518" s="440"/>
      <c r="U518" s="440"/>
      <c r="V518" s="440"/>
      <c r="W518" s="440"/>
      <c r="X518" s="440"/>
      <c r="Y518" s="444">
        <f t="shared" si="17"/>
        <v>0</v>
      </c>
      <c r="Z518" s="445"/>
      <c r="AA518" s="446">
        <f t="shared" ref="AA518:AE518" si="267">$J518*E518</f>
        <v>0</v>
      </c>
      <c r="AB518" s="447">
        <f t="shared" si="267"/>
        <v>0</v>
      </c>
      <c r="AC518" s="447">
        <f t="shared" si="267"/>
        <v>0</v>
      </c>
      <c r="AD518" s="447">
        <f t="shared" si="267"/>
        <v>0</v>
      </c>
      <c r="AE518" s="448">
        <f t="shared" si="267"/>
        <v>0</v>
      </c>
      <c r="AF518" s="449"/>
      <c r="AG518" s="449"/>
      <c r="AH518" s="449"/>
    </row>
    <row r="519" ht="11.25" customHeight="1">
      <c r="A519" s="450"/>
      <c r="B519" s="451"/>
      <c r="C519" s="452"/>
      <c r="D519" s="452"/>
      <c r="E519" s="453"/>
      <c r="F519" s="453"/>
      <c r="G519" s="454"/>
      <c r="H519" s="454"/>
      <c r="I519" s="455"/>
      <c r="J519" s="456"/>
      <c r="K519" s="457" t="s">
        <v>1416</v>
      </c>
      <c r="L519" s="458"/>
      <c r="M519" s="459"/>
      <c r="N519" s="460"/>
      <c r="O519" s="460"/>
      <c r="P519" s="461"/>
      <c r="Q519" s="458"/>
      <c r="R519" s="459"/>
      <c r="S519" s="459"/>
      <c r="T519" s="459"/>
      <c r="U519" s="459"/>
      <c r="V519" s="459"/>
      <c r="W519" s="459"/>
      <c r="X519" s="459"/>
      <c r="Y519" s="462">
        <f t="shared" si="17"/>
        <v>0</v>
      </c>
      <c r="Z519" s="463"/>
      <c r="AA519" s="464"/>
      <c r="AB519" s="465"/>
      <c r="AC519" s="465"/>
      <c r="AD519" s="465"/>
      <c r="AE519" s="466"/>
      <c r="AF519" s="449"/>
      <c r="AG519" s="449"/>
      <c r="AH519" s="449"/>
    </row>
    <row r="520" ht="11.25" customHeight="1">
      <c r="A520" s="450"/>
      <c r="B520" s="451"/>
      <c r="C520" s="452"/>
      <c r="D520" s="452"/>
      <c r="E520" s="453"/>
      <c r="F520" s="453"/>
      <c r="G520" s="454"/>
      <c r="H520" s="454"/>
      <c r="I520" s="455"/>
      <c r="J520" s="456"/>
      <c r="K520" s="467" t="s">
        <v>1417</v>
      </c>
      <c r="L520" s="468"/>
      <c r="M520" s="469"/>
      <c r="N520" s="470"/>
      <c r="O520" s="470"/>
      <c r="P520" s="471"/>
      <c r="Q520" s="468"/>
      <c r="R520" s="469"/>
      <c r="S520" s="469"/>
      <c r="T520" s="469"/>
      <c r="U520" s="469"/>
      <c r="V520" s="469"/>
      <c r="W520" s="469"/>
      <c r="X520" s="469"/>
      <c r="Y520" s="462">
        <f t="shared" si="17"/>
        <v>0</v>
      </c>
      <c r="Z520" s="463"/>
      <c r="AA520" s="464"/>
      <c r="AB520" s="465"/>
      <c r="AC520" s="465"/>
      <c r="AD520" s="465"/>
      <c r="AE520" s="466"/>
      <c r="AF520" s="449"/>
      <c r="AG520" s="449"/>
      <c r="AH520" s="449"/>
    </row>
    <row r="521" ht="11.25" customHeight="1">
      <c r="A521" s="450"/>
      <c r="B521" s="472"/>
      <c r="C521" s="473"/>
      <c r="D521" s="473"/>
      <c r="E521" s="474"/>
      <c r="F521" s="474"/>
      <c r="G521" s="475"/>
      <c r="H521" s="475"/>
      <c r="I521" s="476"/>
      <c r="J521" s="477"/>
      <c r="K521" s="478" t="s">
        <v>1418</v>
      </c>
      <c r="L521" s="479"/>
      <c r="M521" s="480"/>
      <c r="N521" s="481"/>
      <c r="O521" s="481"/>
      <c r="P521" s="482"/>
      <c r="Q521" s="479"/>
      <c r="R521" s="480"/>
      <c r="S521" s="480"/>
      <c r="T521" s="480"/>
      <c r="U521" s="480"/>
      <c r="V521" s="480"/>
      <c r="W521" s="480"/>
      <c r="X521" s="480"/>
      <c r="Y521" s="483">
        <f t="shared" si="17"/>
        <v>0</v>
      </c>
      <c r="Z521" s="484"/>
      <c r="AA521" s="485"/>
      <c r="AB521" s="486"/>
      <c r="AC521" s="486"/>
      <c r="AD521" s="486"/>
      <c r="AE521" s="487"/>
      <c r="AF521" s="449"/>
      <c r="AG521" s="449"/>
      <c r="AH521" s="449"/>
    </row>
    <row r="522" ht="11.25" customHeight="1">
      <c r="A522" s="431" t="str">
        <f>IF(B522="","", YEAR(B522))</f>
        <v/>
      </c>
      <c r="B522" s="432"/>
      <c r="C522" s="433"/>
      <c r="D522" s="433"/>
      <c r="E522" s="434" t="str">
        <f t="shared" ref="E522:I522" si="268">IFERROR(AVERAGE(L522:L525),"")</f>
        <v/>
      </c>
      <c r="F522" s="434" t="str">
        <f t="shared" si="268"/>
        <v/>
      </c>
      <c r="G522" s="435" t="str">
        <f t="shared" si="268"/>
        <v/>
      </c>
      <c r="H522" s="435" t="str">
        <f t="shared" si="268"/>
        <v/>
      </c>
      <c r="I522" s="436" t="str">
        <f t="shared" si="268"/>
        <v/>
      </c>
      <c r="J522" s="437">
        <f>SUMIFS(PRODUCTION[KG],PRODUCTION[GRADE],"3X50",PRODUCTION[DATE],B522,PRODUCTION[BATCH],C522,PRODUCTION[SHIFT],D522)</f>
        <v>0</v>
      </c>
      <c r="K522" s="438" t="s">
        <v>1414</v>
      </c>
      <c r="L522" s="443"/>
      <c r="M522" s="440"/>
      <c r="N522" s="441"/>
      <c r="O522" s="441"/>
      <c r="P522" s="442"/>
      <c r="Q522" s="443"/>
      <c r="R522" s="440"/>
      <c r="S522" s="440"/>
      <c r="T522" s="440"/>
      <c r="U522" s="440"/>
      <c r="V522" s="440"/>
      <c r="W522" s="440"/>
      <c r="X522" s="440"/>
      <c r="Y522" s="444">
        <f t="shared" si="17"/>
        <v>0</v>
      </c>
      <c r="Z522" s="445"/>
      <c r="AA522" s="446">
        <f t="shared" ref="AA522:AE522" si="269">$J522*E522</f>
        <v>0</v>
      </c>
      <c r="AB522" s="447">
        <f t="shared" si="269"/>
        <v>0</v>
      </c>
      <c r="AC522" s="447">
        <f t="shared" si="269"/>
        <v>0</v>
      </c>
      <c r="AD522" s="447">
        <f t="shared" si="269"/>
        <v>0</v>
      </c>
      <c r="AE522" s="448">
        <f t="shared" si="269"/>
        <v>0</v>
      </c>
      <c r="AF522" s="449"/>
      <c r="AG522" s="449"/>
      <c r="AH522" s="449"/>
    </row>
    <row r="523" ht="11.25" customHeight="1">
      <c r="A523" s="450"/>
      <c r="B523" s="451"/>
      <c r="C523" s="452"/>
      <c r="D523" s="452"/>
      <c r="E523" s="453"/>
      <c r="F523" s="453"/>
      <c r="G523" s="454"/>
      <c r="H523" s="454"/>
      <c r="I523" s="455"/>
      <c r="J523" s="456"/>
      <c r="K523" s="457" t="s">
        <v>1416</v>
      </c>
      <c r="L523" s="458"/>
      <c r="M523" s="459"/>
      <c r="N523" s="460"/>
      <c r="O523" s="460"/>
      <c r="P523" s="461"/>
      <c r="Q523" s="458"/>
      <c r="R523" s="459"/>
      <c r="S523" s="459"/>
      <c r="T523" s="459"/>
      <c r="U523" s="459"/>
      <c r="V523" s="459"/>
      <c r="W523" s="459"/>
      <c r="X523" s="459"/>
      <c r="Y523" s="462">
        <f t="shared" si="17"/>
        <v>0</v>
      </c>
      <c r="Z523" s="463"/>
      <c r="AA523" s="464"/>
      <c r="AB523" s="465"/>
      <c r="AC523" s="465"/>
      <c r="AD523" s="465"/>
      <c r="AE523" s="466"/>
      <c r="AF523" s="449"/>
      <c r="AG523" s="449"/>
      <c r="AH523" s="449"/>
    </row>
    <row r="524" ht="11.25" customHeight="1">
      <c r="A524" s="450"/>
      <c r="B524" s="451"/>
      <c r="C524" s="452"/>
      <c r="D524" s="452"/>
      <c r="E524" s="453"/>
      <c r="F524" s="453"/>
      <c r="G524" s="454"/>
      <c r="H524" s="454"/>
      <c r="I524" s="455"/>
      <c r="J524" s="456"/>
      <c r="K524" s="467" t="s">
        <v>1417</v>
      </c>
      <c r="L524" s="468"/>
      <c r="M524" s="469"/>
      <c r="N524" s="470"/>
      <c r="O524" s="470"/>
      <c r="P524" s="471"/>
      <c r="Q524" s="468"/>
      <c r="R524" s="469"/>
      <c r="S524" s="469"/>
      <c r="T524" s="469"/>
      <c r="U524" s="469"/>
      <c r="V524" s="469"/>
      <c r="W524" s="469"/>
      <c r="X524" s="469"/>
      <c r="Y524" s="462">
        <f t="shared" si="17"/>
        <v>0</v>
      </c>
      <c r="Z524" s="463"/>
      <c r="AA524" s="464"/>
      <c r="AB524" s="465"/>
      <c r="AC524" s="465"/>
      <c r="AD524" s="465"/>
      <c r="AE524" s="466"/>
      <c r="AF524" s="449"/>
      <c r="AG524" s="449"/>
      <c r="AH524" s="449"/>
    </row>
    <row r="525" ht="11.25" customHeight="1">
      <c r="A525" s="450"/>
      <c r="B525" s="472"/>
      <c r="C525" s="473"/>
      <c r="D525" s="473"/>
      <c r="E525" s="474"/>
      <c r="F525" s="474"/>
      <c r="G525" s="475"/>
      <c r="H525" s="475"/>
      <c r="I525" s="476"/>
      <c r="J525" s="477"/>
      <c r="K525" s="478" t="s">
        <v>1418</v>
      </c>
      <c r="L525" s="479"/>
      <c r="M525" s="480"/>
      <c r="N525" s="481"/>
      <c r="O525" s="481"/>
      <c r="P525" s="482"/>
      <c r="Q525" s="479"/>
      <c r="R525" s="480"/>
      <c r="S525" s="480"/>
      <c r="T525" s="480"/>
      <c r="U525" s="480"/>
      <c r="V525" s="480"/>
      <c r="W525" s="480"/>
      <c r="X525" s="480"/>
      <c r="Y525" s="483">
        <f t="shared" si="17"/>
        <v>0</v>
      </c>
      <c r="Z525" s="484"/>
      <c r="AA525" s="485"/>
      <c r="AB525" s="486"/>
      <c r="AC525" s="486"/>
      <c r="AD525" s="486"/>
      <c r="AE525" s="487"/>
      <c r="AF525" s="449"/>
      <c r="AG525" s="449"/>
      <c r="AH525" s="449"/>
    </row>
    <row r="526" ht="11.25" customHeight="1">
      <c r="A526" s="431" t="str">
        <f>IF(B526="","", YEAR(B526))</f>
        <v/>
      </c>
      <c r="B526" s="432"/>
      <c r="C526" s="433"/>
      <c r="D526" s="433"/>
      <c r="E526" s="434" t="str">
        <f t="shared" ref="E526:I526" si="270">IFERROR(AVERAGE(L526:L529),"")</f>
        <v/>
      </c>
      <c r="F526" s="434" t="str">
        <f t="shared" si="270"/>
        <v/>
      </c>
      <c r="G526" s="435" t="str">
        <f t="shared" si="270"/>
        <v/>
      </c>
      <c r="H526" s="435" t="str">
        <f t="shared" si="270"/>
        <v/>
      </c>
      <c r="I526" s="436" t="str">
        <f t="shared" si="270"/>
        <v/>
      </c>
      <c r="J526" s="437">
        <f>SUMIFS(PRODUCTION[KG],PRODUCTION[GRADE],"3X50",PRODUCTION[DATE],B526,PRODUCTION[BATCH],C526,PRODUCTION[SHIFT],D526)</f>
        <v>0</v>
      </c>
      <c r="K526" s="438" t="s">
        <v>1414</v>
      </c>
      <c r="L526" s="443"/>
      <c r="M526" s="440"/>
      <c r="N526" s="441"/>
      <c r="O526" s="441"/>
      <c r="P526" s="442"/>
      <c r="Q526" s="443"/>
      <c r="R526" s="440"/>
      <c r="S526" s="440"/>
      <c r="T526" s="440"/>
      <c r="U526" s="440"/>
      <c r="V526" s="440"/>
      <c r="W526" s="440"/>
      <c r="X526" s="440"/>
      <c r="Y526" s="444">
        <f t="shared" si="17"/>
        <v>0</v>
      </c>
      <c r="Z526" s="445"/>
      <c r="AA526" s="446">
        <f t="shared" ref="AA526:AE526" si="271">$J526*E526</f>
        <v>0</v>
      </c>
      <c r="AB526" s="447">
        <f t="shared" si="271"/>
        <v>0</v>
      </c>
      <c r="AC526" s="447">
        <f t="shared" si="271"/>
        <v>0</v>
      </c>
      <c r="AD526" s="447">
        <f t="shared" si="271"/>
        <v>0</v>
      </c>
      <c r="AE526" s="448">
        <f t="shared" si="271"/>
        <v>0</v>
      </c>
      <c r="AF526" s="449"/>
      <c r="AG526" s="449"/>
      <c r="AH526" s="449"/>
    </row>
    <row r="527" ht="11.25" customHeight="1">
      <c r="A527" s="450"/>
      <c r="B527" s="451"/>
      <c r="C527" s="452"/>
      <c r="D527" s="452"/>
      <c r="E527" s="453"/>
      <c r="F527" s="453"/>
      <c r="G527" s="454"/>
      <c r="H527" s="454"/>
      <c r="I527" s="455"/>
      <c r="J527" s="456"/>
      <c r="K527" s="457" t="s">
        <v>1416</v>
      </c>
      <c r="L527" s="458"/>
      <c r="M527" s="459"/>
      <c r="N527" s="460"/>
      <c r="O527" s="460"/>
      <c r="P527" s="461"/>
      <c r="Q527" s="458"/>
      <c r="R527" s="459"/>
      <c r="S527" s="459"/>
      <c r="T527" s="459"/>
      <c r="U527" s="459"/>
      <c r="V527" s="459"/>
      <c r="W527" s="459"/>
      <c r="X527" s="459"/>
      <c r="Y527" s="462">
        <f t="shared" si="17"/>
        <v>0</v>
      </c>
      <c r="Z527" s="463"/>
      <c r="AA527" s="464"/>
      <c r="AB527" s="465"/>
      <c r="AC527" s="465"/>
      <c r="AD527" s="465"/>
      <c r="AE527" s="466"/>
      <c r="AF527" s="449"/>
      <c r="AG527" s="449"/>
      <c r="AH527" s="449"/>
    </row>
    <row r="528" ht="11.25" customHeight="1">
      <c r="A528" s="450"/>
      <c r="B528" s="451"/>
      <c r="C528" s="452"/>
      <c r="D528" s="452"/>
      <c r="E528" s="453"/>
      <c r="F528" s="453"/>
      <c r="G528" s="454"/>
      <c r="H528" s="454"/>
      <c r="I528" s="455"/>
      <c r="J528" s="456"/>
      <c r="K528" s="467" t="s">
        <v>1417</v>
      </c>
      <c r="L528" s="468"/>
      <c r="M528" s="469"/>
      <c r="N528" s="470"/>
      <c r="O528" s="470"/>
      <c r="P528" s="471"/>
      <c r="Q528" s="468"/>
      <c r="R528" s="469"/>
      <c r="S528" s="469"/>
      <c r="T528" s="469"/>
      <c r="U528" s="469"/>
      <c r="V528" s="469"/>
      <c r="W528" s="469"/>
      <c r="X528" s="469"/>
      <c r="Y528" s="462">
        <f t="shared" si="17"/>
        <v>0</v>
      </c>
      <c r="Z528" s="463"/>
      <c r="AA528" s="464"/>
      <c r="AB528" s="465"/>
      <c r="AC528" s="465"/>
      <c r="AD528" s="465"/>
      <c r="AE528" s="466"/>
      <c r="AF528" s="449"/>
      <c r="AG528" s="449"/>
      <c r="AH528" s="449"/>
    </row>
    <row r="529" ht="11.25" customHeight="1">
      <c r="A529" s="450"/>
      <c r="B529" s="472"/>
      <c r="C529" s="473"/>
      <c r="D529" s="473"/>
      <c r="E529" s="474"/>
      <c r="F529" s="474"/>
      <c r="G529" s="475"/>
      <c r="H529" s="475"/>
      <c r="I529" s="476"/>
      <c r="J529" s="477"/>
      <c r="K529" s="478" t="s">
        <v>1418</v>
      </c>
      <c r="L529" s="479"/>
      <c r="M529" s="480"/>
      <c r="N529" s="481"/>
      <c r="O529" s="481"/>
      <c r="P529" s="482"/>
      <c r="Q529" s="479"/>
      <c r="R529" s="480"/>
      <c r="S529" s="480"/>
      <c r="T529" s="480"/>
      <c r="U529" s="480"/>
      <c r="V529" s="480"/>
      <c r="W529" s="480"/>
      <c r="X529" s="480"/>
      <c r="Y529" s="483">
        <f t="shared" si="17"/>
        <v>0</v>
      </c>
      <c r="Z529" s="484"/>
      <c r="AA529" s="485"/>
      <c r="AB529" s="486"/>
      <c r="AC529" s="486"/>
      <c r="AD529" s="486"/>
      <c r="AE529" s="487"/>
      <c r="AF529" s="449"/>
      <c r="AG529" s="449"/>
      <c r="AH529" s="449"/>
    </row>
    <row r="530" ht="11.25" customHeight="1">
      <c r="A530" s="431" t="str">
        <f>IF(B530="","", YEAR(B530))</f>
        <v/>
      </c>
      <c r="B530" s="432"/>
      <c r="C530" s="433"/>
      <c r="D530" s="433"/>
      <c r="E530" s="434" t="str">
        <f t="shared" ref="E530:I530" si="272">IFERROR(AVERAGE(L530:L533),"")</f>
        <v/>
      </c>
      <c r="F530" s="434" t="str">
        <f t="shared" si="272"/>
        <v/>
      </c>
      <c r="G530" s="435" t="str">
        <f t="shared" si="272"/>
        <v/>
      </c>
      <c r="H530" s="435" t="str">
        <f t="shared" si="272"/>
        <v/>
      </c>
      <c r="I530" s="436" t="str">
        <f t="shared" si="272"/>
        <v/>
      </c>
      <c r="J530" s="437">
        <f>SUMIFS(PRODUCTION[KG],PRODUCTION[GRADE],"3X50",PRODUCTION[DATE],B530,PRODUCTION[BATCH],C530,PRODUCTION[SHIFT],D530)</f>
        <v>0</v>
      </c>
      <c r="K530" s="438" t="s">
        <v>1414</v>
      </c>
      <c r="L530" s="443"/>
      <c r="M530" s="440"/>
      <c r="N530" s="441"/>
      <c r="O530" s="441"/>
      <c r="P530" s="442"/>
      <c r="Q530" s="443"/>
      <c r="R530" s="440"/>
      <c r="S530" s="440"/>
      <c r="T530" s="440"/>
      <c r="U530" s="440"/>
      <c r="V530" s="440"/>
      <c r="W530" s="440"/>
      <c r="X530" s="440"/>
      <c r="Y530" s="444">
        <f t="shared" si="17"/>
        <v>0</v>
      </c>
      <c r="Z530" s="445"/>
      <c r="AA530" s="446">
        <f t="shared" ref="AA530:AE530" si="273">$J530*E530</f>
        <v>0</v>
      </c>
      <c r="AB530" s="447">
        <f t="shared" si="273"/>
        <v>0</v>
      </c>
      <c r="AC530" s="447">
        <f t="shared" si="273"/>
        <v>0</v>
      </c>
      <c r="AD530" s="447">
        <f t="shared" si="273"/>
        <v>0</v>
      </c>
      <c r="AE530" s="448">
        <f t="shared" si="273"/>
        <v>0</v>
      </c>
      <c r="AF530" s="449"/>
      <c r="AG530" s="449"/>
      <c r="AH530" s="449"/>
    </row>
    <row r="531" ht="11.25" customHeight="1">
      <c r="A531" s="450"/>
      <c r="B531" s="451"/>
      <c r="C531" s="452"/>
      <c r="D531" s="452"/>
      <c r="E531" s="453"/>
      <c r="F531" s="453"/>
      <c r="G531" s="454"/>
      <c r="H531" s="454"/>
      <c r="I531" s="455"/>
      <c r="J531" s="456"/>
      <c r="K531" s="457" t="s">
        <v>1416</v>
      </c>
      <c r="L531" s="458"/>
      <c r="M531" s="459"/>
      <c r="N531" s="460"/>
      <c r="O531" s="460"/>
      <c r="P531" s="461"/>
      <c r="Q531" s="458"/>
      <c r="R531" s="459"/>
      <c r="S531" s="459"/>
      <c r="T531" s="459"/>
      <c r="U531" s="459"/>
      <c r="V531" s="459"/>
      <c r="W531" s="459"/>
      <c r="X531" s="459"/>
      <c r="Y531" s="462">
        <f t="shared" si="17"/>
        <v>0</v>
      </c>
      <c r="Z531" s="463"/>
      <c r="AA531" s="464"/>
      <c r="AB531" s="465"/>
      <c r="AC531" s="465"/>
      <c r="AD531" s="465"/>
      <c r="AE531" s="466"/>
      <c r="AF531" s="449"/>
      <c r="AG531" s="449"/>
      <c r="AH531" s="449"/>
    </row>
    <row r="532" ht="11.25" customHeight="1">
      <c r="A532" s="450"/>
      <c r="B532" s="451"/>
      <c r="C532" s="452"/>
      <c r="D532" s="452"/>
      <c r="E532" s="453"/>
      <c r="F532" s="453"/>
      <c r="G532" s="454"/>
      <c r="H532" s="454"/>
      <c r="I532" s="455"/>
      <c r="J532" s="456"/>
      <c r="K532" s="467" t="s">
        <v>1417</v>
      </c>
      <c r="L532" s="468"/>
      <c r="M532" s="469"/>
      <c r="N532" s="470"/>
      <c r="O532" s="470"/>
      <c r="P532" s="471"/>
      <c r="Q532" s="468"/>
      <c r="R532" s="469"/>
      <c r="S532" s="469"/>
      <c r="T532" s="469"/>
      <c r="U532" s="469"/>
      <c r="V532" s="469"/>
      <c r="W532" s="469"/>
      <c r="X532" s="469"/>
      <c r="Y532" s="462">
        <f t="shared" si="17"/>
        <v>0</v>
      </c>
      <c r="Z532" s="463"/>
      <c r="AA532" s="464"/>
      <c r="AB532" s="465"/>
      <c r="AC532" s="465"/>
      <c r="AD532" s="465"/>
      <c r="AE532" s="466"/>
      <c r="AF532" s="449"/>
      <c r="AG532" s="449"/>
      <c r="AH532" s="449"/>
    </row>
    <row r="533" ht="11.25" customHeight="1">
      <c r="A533" s="450"/>
      <c r="B533" s="472"/>
      <c r="C533" s="473"/>
      <c r="D533" s="473"/>
      <c r="E533" s="474"/>
      <c r="F533" s="474"/>
      <c r="G533" s="475"/>
      <c r="H533" s="475"/>
      <c r="I533" s="476"/>
      <c r="J533" s="477"/>
      <c r="K533" s="478" t="s">
        <v>1418</v>
      </c>
      <c r="L533" s="479"/>
      <c r="M533" s="480"/>
      <c r="N533" s="481"/>
      <c r="O533" s="481"/>
      <c r="P533" s="482"/>
      <c r="Q533" s="479"/>
      <c r="R533" s="480"/>
      <c r="S533" s="480"/>
      <c r="T533" s="480"/>
      <c r="U533" s="480"/>
      <c r="V533" s="480"/>
      <c r="W533" s="480"/>
      <c r="X533" s="480"/>
      <c r="Y533" s="483">
        <f t="shared" si="17"/>
        <v>0</v>
      </c>
      <c r="Z533" s="484"/>
      <c r="AA533" s="485"/>
      <c r="AB533" s="486"/>
      <c r="AC533" s="486"/>
      <c r="AD533" s="486"/>
      <c r="AE533" s="487"/>
      <c r="AF533" s="449"/>
      <c r="AG533" s="449"/>
      <c r="AH533" s="449"/>
    </row>
    <row r="534" ht="11.25" customHeight="1">
      <c r="A534" s="431" t="str">
        <f>IF(B534="","", YEAR(B534))</f>
        <v/>
      </c>
      <c r="B534" s="432"/>
      <c r="C534" s="433"/>
      <c r="D534" s="433"/>
      <c r="E534" s="434" t="str">
        <f t="shared" ref="E534:I534" si="274">IFERROR(AVERAGE(L534:L537),"")</f>
        <v/>
      </c>
      <c r="F534" s="434" t="str">
        <f t="shared" si="274"/>
        <v/>
      </c>
      <c r="G534" s="435" t="str">
        <f t="shared" si="274"/>
        <v/>
      </c>
      <c r="H534" s="435" t="str">
        <f t="shared" si="274"/>
        <v/>
      </c>
      <c r="I534" s="436" t="str">
        <f t="shared" si="274"/>
        <v/>
      </c>
      <c r="J534" s="437">
        <f>SUMIFS(PRODUCTION[KG],PRODUCTION[GRADE],"3X50",PRODUCTION[DATE],B534,PRODUCTION[BATCH],C534,PRODUCTION[SHIFT],D534)</f>
        <v>0</v>
      </c>
      <c r="K534" s="438" t="s">
        <v>1414</v>
      </c>
      <c r="L534" s="443"/>
      <c r="M534" s="440"/>
      <c r="N534" s="441"/>
      <c r="O534" s="441"/>
      <c r="P534" s="442"/>
      <c r="Q534" s="443"/>
      <c r="R534" s="440"/>
      <c r="S534" s="440"/>
      <c r="T534" s="440"/>
      <c r="U534" s="440"/>
      <c r="V534" s="440"/>
      <c r="W534" s="440"/>
      <c r="X534" s="440"/>
      <c r="Y534" s="444">
        <f t="shared" si="17"/>
        <v>0</v>
      </c>
      <c r="Z534" s="445"/>
      <c r="AA534" s="446">
        <f t="shared" ref="AA534:AE534" si="275">$J534*E534</f>
        <v>0</v>
      </c>
      <c r="AB534" s="447">
        <f t="shared" si="275"/>
        <v>0</v>
      </c>
      <c r="AC534" s="447">
        <f t="shared" si="275"/>
        <v>0</v>
      </c>
      <c r="AD534" s="447">
        <f t="shared" si="275"/>
        <v>0</v>
      </c>
      <c r="AE534" s="448">
        <f t="shared" si="275"/>
        <v>0</v>
      </c>
      <c r="AF534" s="449"/>
      <c r="AG534" s="449"/>
      <c r="AH534" s="449"/>
    </row>
    <row r="535" ht="11.25" customHeight="1">
      <c r="A535" s="450"/>
      <c r="B535" s="451"/>
      <c r="C535" s="452"/>
      <c r="D535" s="452"/>
      <c r="E535" s="453"/>
      <c r="F535" s="453"/>
      <c r="G535" s="454"/>
      <c r="H535" s="454"/>
      <c r="I535" s="455"/>
      <c r="J535" s="456"/>
      <c r="K535" s="457" t="s">
        <v>1416</v>
      </c>
      <c r="L535" s="458"/>
      <c r="M535" s="459"/>
      <c r="N535" s="460"/>
      <c r="O535" s="460"/>
      <c r="P535" s="461"/>
      <c r="Q535" s="458"/>
      <c r="R535" s="459"/>
      <c r="S535" s="459"/>
      <c r="T535" s="459"/>
      <c r="U535" s="459"/>
      <c r="V535" s="459"/>
      <c r="W535" s="459"/>
      <c r="X535" s="459"/>
      <c r="Y535" s="462">
        <f t="shared" si="17"/>
        <v>0</v>
      </c>
      <c r="Z535" s="463"/>
      <c r="AA535" s="464"/>
      <c r="AB535" s="465"/>
      <c r="AC535" s="465"/>
      <c r="AD535" s="465"/>
      <c r="AE535" s="466"/>
      <c r="AF535" s="449"/>
      <c r="AG535" s="449"/>
      <c r="AH535" s="449"/>
    </row>
    <row r="536" ht="11.25" customHeight="1">
      <c r="A536" s="450"/>
      <c r="B536" s="451"/>
      <c r="C536" s="452"/>
      <c r="D536" s="452"/>
      <c r="E536" s="453"/>
      <c r="F536" s="453"/>
      <c r="G536" s="454"/>
      <c r="H536" s="454"/>
      <c r="I536" s="455"/>
      <c r="J536" s="456"/>
      <c r="K536" s="467" t="s">
        <v>1417</v>
      </c>
      <c r="L536" s="468"/>
      <c r="M536" s="469"/>
      <c r="N536" s="470"/>
      <c r="O536" s="470"/>
      <c r="P536" s="471"/>
      <c r="Q536" s="468"/>
      <c r="R536" s="469"/>
      <c r="S536" s="469"/>
      <c r="T536" s="469"/>
      <c r="U536" s="469"/>
      <c r="V536" s="469"/>
      <c r="W536" s="469"/>
      <c r="X536" s="469"/>
      <c r="Y536" s="462">
        <f t="shared" si="17"/>
        <v>0</v>
      </c>
      <c r="Z536" s="463"/>
      <c r="AA536" s="464"/>
      <c r="AB536" s="465"/>
      <c r="AC536" s="465"/>
      <c r="AD536" s="465"/>
      <c r="AE536" s="466"/>
      <c r="AF536" s="449"/>
      <c r="AG536" s="449"/>
      <c r="AH536" s="449"/>
    </row>
    <row r="537" ht="11.25" customHeight="1">
      <c r="A537" s="450"/>
      <c r="B537" s="472"/>
      <c r="C537" s="473"/>
      <c r="D537" s="473"/>
      <c r="E537" s="474"/>
      <c r="F537" s="474"/>
      <c r="G537" s="475"/>
      <c r="H537" s="475"/>
      <c r="I537" s="476"/>
      <c r="J537" s="477"/>
      <c r="K537" s="478" t="s">
        <v>1418</v>
      </c>
      <c r="L537" s="479"/>
      <c r="M537" s="480"/>
      <c r="N537" s="481"/>
      <c r="O537" s="481"/>
      <c r="P537" s="482"/>
      <c r="Q537" s="479"/>
      <c r="R537" s="480"/>
      <c r="S537" s="480"/>
      <c r="T537" s="480"/>
      <c r="U537" s="480"/>
      <c r="V537" s="480"/>
      <c r="W537" s="480"/>
      <c r="X537" s="480"/>
      <c r="Y537" s="483">
        <f t="shared" si="17"/>
        <v>0</v>
      </c>
      <c r="Z537" s="484"/>
      <c r="AA537" s="485"/>
      <c r="AB537" s="486"/>
      <c r="AC537" s="486"/>
      <c r="AD537" s="486"/>
      <c r="AE537" s="487"/>
      <c r="AF537" s="449"/>
      <c r="AG537" s="449"/>
      <c r="AH537" s="449"/>
    </row>
    <row r="538" ht="11.25" customHeight="1">
      <c r="A538" s="431" t="str">
        <f>IF(B538="","", YEAR(B538))</f>
        <v/>
      </c>
      <c r="B538" s="432"/>
      <c r="C538" s="433"/>
      <c r="D538" s="433"/>
      <c r="E538" s="434" t="str">
        <f t="shared" ref="E538:I538" si="276">IFERROR(AVERAGE(L538:L541),"")</f>
        <v/>
      </c>
      <c r="F538" s="434" t="str">
        <f t="shared" si="276"/>
        <v/>
      </c>
      <c r="G538" s="435" t="str">
        <f t="shared" si="276"/>
        <v/>
      </c>
      <c r="H538" s="435" t="str">
        <f t="shared" si="276"/>
        <v/>
      </c>
      <c r="I538" s="436" t="str">
        <f t="shared" si="276"/>
        <v/>
      </c>
      <c r="J538" s="437">
        <f>SUMIFS(PRODUCTION[KG],PRODUCTION[GRADE],"3X50",PRODUCTION[DATE],B538,PRODUCTION[BATCH],C538,PRODUCTION[SHIFT],D538)</f>
        <v>0</v>
      </c>
      <c r="K538" s="438" t="s">
        <v>1414</v>
      </c>
      <c r="L538" s="443"/>
      <c r="M538" s="440"/>
      <c r="N538" s="441"/>
      <c r="O538" s="441"/>
      <c r="P538" s="442"/>
      <c r="Q538" s="443"/>
      <c r="R538" s="440"/>
      <c r="S538" s="440"/>
      <c r="T538" s="440"/>
      <c r="U538" s="440"/>
      <c r="V538" s="440"/>
      <c r="W538" s="440"/>
      <c r="X538" s="440"/>
      <c r="Y538" s="444">
        <f t="shared" si="17"/>
        <v>0</v>
      </c>
      <c r="Z538" s="445"/>
      <c r="AA538" s="446">
        <f t="shared" ref="AA538:AE538" si="277">$J538*E538</f>
        <v>0</v>
      </c>
      <c r="AB538" s="447">
        <f t="shared" si="277"/>
        <v>0</v>
      </c>
      <c r="AC538" s="447">
        <f t="shared" si="277"/>
        <v>0</v>
      </c>
      <c r="AD538" s="447">
        <f t="shared" si="277"/>
        <v>0</v>
      </c>
      <c r="AE538" s="448">
        <f t="shared" si="277"/>
        <v>0</v>
      </c>
      <c r="AF538" s="449"/>
      <c r="AG538" s="449"/>
      <c r="AH538" s="449"/>
    </row>
    <row r="539" ht="11.25" customHeight="1">
      <c r="A539" s="450"/>
      <c r="B539" s="451"/>
      <c r="C539" s="452"/>
      <c r="D539" s="452"/>
      <c r="E539" s="453"/>
      <c r="F539" s="453"/>
      <c r="G539" s="454"/>
      <c r="H539" s="454"/>
      <c r="I539" s="455"/>
      <c r="J539" s="456"/>
      <c r="K539" s="457" t="s">
        <v>1416</v>
      </c>
      <c r="L539" s="458"/>
      <c r="M539" s="459"/>
      <c r="N539" s="460"/>
      <c r="O539" s="460"/>
      <c r="P539" s="461"/>
      <c r="Q539" s="458"/>
      <c r="R539" s="459"/>
      <c r="S539" s="459"/>
      <c r="T539" s="459"/>
      <c r="U539" s="459"/>
      <c r="V539" s="459"/>
      <c r="W539" s="459"/>
      <c r="X539" s="459"/>
      <c r="Y539" s="462">
        <f t="shared" si="17"/>
        <v>0</v>
      </c>
      <c r="Z539" s="463"/>
      <c r="AA539" s="464"/>
      <c r="AB539" s="465"/>
      <c r="AC539" s="465"/>
      <c r="AD539" s="465"/>
      <c r="AE539" s="466"/>
      <c r="AF539" s="449"/>
      <c r="AG539" s="449"/>
      <c r="AH539" s="449"/>
    </row>
    <row r="540" ht="11.25" customHeight="1">
      <c r="A540" s="450"/>
      <c r="B540" s="451"/>
      <c r="C540" s="452"/>
      <c r="D540" s="452"/>
      <c r="E540" s="453"/>
      <c r="F540" s="453"/>
      <c r="G540" s="454"/>
      <c r="H540" s="454"/>
      <c r="I540" s="455"/>
      <c r="J540" s="456"/>
      <c r="K540" s="467" t="s">
        <v>1417</v>
      </c>
      <c r="L540" s="468"/>
      <c r="M540" s="469"/>
      <c r="N540" s="470"/>
      <c r="O540" s="470"/>
      <c r="P540" s="471"/>
      <c r="Q540" s="468"/>
      <c r="R540" s="469"/>
      <c r="S540" s="469"/>
      <c r="T540" s="469"/>
      <c r="U540" s="469"/>
      <c r="V540" s="469"/>
      <c r="W540" s="469"/>
      <c r="X540" s="469"/>
      <c r="Y540" s="462">
        <f t="shared" si="17"/>
        <v>0</v>
      </c>
      <c r="Z540" s="463"/>
      <c r="AA540" s="464"/>
      <c r="AB540" s="465"/>
      <c r="AC540" s="465"/>
      <c r="AD540" s="465"/>
      <c r="AE540" s="466"/>
      <c r="AF540" s="449"/>
      <c r="AG540" s="449"/>
      <c r="AH540" s="449"/>
    </row>
    <row r="541" ht="11.25" customHeight="1">
      <c r="A541" s="450"/>
      <c r="B541" s="472"/>
      <c r="C541" s="473"/>
      <c r="D541" s="473"/>
      <c r="E541" s="474"/>
      <c r="F541" s="474"/>
      <c r="G541" s="475"/>
      <c r="H541" s="475"/>
      <c r="I541" s="476"/>
      <c r="J541" s="477"/>
      <c r="K541" s="478" t="s">
        <v>1418</v>
      </c>
      <c r="L541" s="479"/>
      <c r="M541" s="480"/>
      <c r="N541" s="481"/>
      <c r="O541" s="481"/>
      <c r="P541" s="482"/>
      <c r="Q541" s="479"/>
      <c r="R541" s="480"/>
      <c r="S541" s="480"/>
      <c r="T541" s="480"/>
      <c r="U541" s="480"/>
      <c r="V541" s="480"/>
      <c r="W541" s="480"/>
      <c r="X541" s="480"/>
      <c r="Y541" s="483">
        <f t="shared" si="17"/>
        <v>0</v>
      </c>
      <c r="Z541" s="484"/>
      <c r="AA541" s="485"/>
      <c r="AB541" s="486"/>
      <c r="AC541" s="486"/>
      <c r="AD541" s="486"/>
      <c r="AE541" s="487"/>
      <c r="AF541" s="449"/>
      <c r="AG541" s="449"/>
      <c r="AH541" s="449"/>
    </row>
    <row r="542" ht="11.25" customHeight="1">
      <c r="A542" s="431" t="str">
        <f>IF(B542="","", YEAR(B542))</f>
        <v/>
      </c>
      <c r="B542" s="432"/>
      <c r="C542" s="433"/>
      <c r="D542" s="433"/>
      <c r="E542" s="434" t="str">
        <f t="shared" ref="E542:I542" si="278">IFERROR(AVERAGE(L542:L545),"")</f>
        <v/>
      </c>
      <c r="F542" s="434" t="str">
        <f t="shared" si="278"/>
        <v/>
      </c>
      <c r="G542" s="435" t="str">
        <f t="shared" si="278"/>
        <v/>
      </c>
      <c r="H542" s="435" t="str">
        <f t="shared" si="278"/>
        <v/>
      </c>
      <c r="I542" s="436" t="str">
        <f t="shared" si="278"/>
        <v/>
      </c>
      <c r="J542" s="437">
        <f>SUMIFS(PRODUCTION[KG],PRODUCTION[GRADE],"3X50",PRODUCTION[DATE],B542,PRODUCTION[BATCH],C542,PRODUCTION[SHIFT],D542)</f>
        <v>0</v>
      </c>
      <c r="K542" s="438" t="s">
        <v>1414</v>
      </c>
      <c r="L542" s="443"/>
      <c r="M542" s="440"/>
      <c r="N542" s="441"/>
      <c r="O542" s="441"/>
      <c r="P542" s="442"/>
      <c r="Q542" s="443"/>
      <c r="R542" s="440"/>
      <c r="S542" s="440"/>
      <c r="T542" s="440"/>
      <c r="U542" s="440"/>
      <c r="V542" s="440"/>
      <c r="W542" s="440"/>
      <c r="X542" s="440"/>
      <c r="Y542" s="444">
        <f t="shared" si="17"/>
        <v>0</v>
      </c>
      <c r="Z542" s="445"/>
      <c r="AA542" s="446">
        <f t="shared" ref="AA542:AE542" si="279">$J542*E542</f>
        <v>0</v>
      </c>
      <c r="AB542" s="447">
        <f t="shared" si="279"/>
        <v>0</v>
      </c>
      <c r="AC542" s="447">
        <f t="shared" si="279"/>
        <v>0</v>
      </c>
      <c r="AD542" s="447">
        <f t="shared" si="279"/>
        <v>0</v>
      </c>
      <c r="AE542" s="448">
        <f t="shared" si="279"/>
        <v>0</v>
      </c>
      <c r="AF542" s="449"/>
      <c r="AG542" s="449"/>
      <c r="AH542" s="449"/>
    </row>
    <row r="543" ht="11.25" customHeight="1">
      <c r="A543" s="450"/>
      <c r="B543" s="451"/>
      <c r="C543" s="452"/>
      <c r="D543" s="452"/>
      <c r="E543" s="453"/>
      <c r="F543" s="453"/>
      <c r="G543" s="454"/>
      <c r="H543" s="454"/>
      <c r="I543" s="455"/>
      <c r="J543" s="456"/>
      <c r="K543" s="457" t="s">
        <v>1416</v>
      </c>
      <c r="L543" s="458"/>
      <c r="M543" s="459"/>
      <c r="N543" s="460"/>
      <c r="O543" s="460"/>
      <c r="P543" s="461"/>
      <c r="Q543" s="458"/>
      <c r="R543" s="459"/>
      <c r="S543" s="459"/>
      <c r="T543" s="459"/>
      <c r="U543" s="459"/>
      <c r="V543" s="459"/>
      <c r="W543" s="459"/>
      <c r="X543" s="459"/>
      <c r="Y543" s="462">
        <f t="shared" si="17"/>
        <v>0</v>
      </c>
      <c r="Z543" s="463"/>
      <c r="AA543" s="464"/>
      <c r="AB543" s="465"/>
      <c r="AC543" s="465"/>
      <c r="AD543" s="465"/>
      <c r="AE543" s="466"/>
      <c r="AF543" s="449"/>
      <c r="AG543" s="449"/>
      <c r="AH543" s="449"/>
    </row>
    <row r="544" ht="11.25" customHeight="1">
      <c r="A544" s="450"/>
      <c r="B544" s="451"/>
      <c r="C544" s="452"/>
      <c r="D544" s="452"/>
      <c r="E544" s="453"/>
      <c r="F544" s="453"/>
      <c r="G544" s="454"/>
      <c r="H544" s="454"/>
      <c r="I544" s="455"/>
      <c r="J544" s="456"/>
      <c r="K544" s="467" t="s">
        <v>1417</v>
      </c>
      <c r="L544" s="468"/>
      <c r="M544" s="469"/>
      <c r="N544" s="470"/>
      <c r="O544" s="470"/>
      <c r="P544" s="471"/>
      <c r="Q544" s="468"/>
      <c r="R544" s="469"/>
      <c r="S544" s="469"/>
      <c r="T544" s="469"/>
      <c r="U544" s="469"/>
      <c r="V544" s="469"/>
      <c r="W544" s="469"/>
      <c r="X544" s="469"/>
      <c r="Y544" s="462">
        <f t="shared" si="17"/>
        <v>0</v>
      </c>
      <c r="Z544" s="463"/>
      <c r="AA544" s="464"/>
      <c r="AB544" s="465"/>
      <c r="AC544" s="465"/>
      <c r="AD544" s="465"/>
      <c r="AE544" s="466"/>
      <c r="AF544" s="449"/>
      <c r="AG544" s="449"/>
      <c r="AH544" s="449"/>
    </row>
    <row r="545" ht="11.25" customHeight="1">
      <c r="A545" s="450"/>
      <c r="B545" s="472"/>
      <c r="C545" s="473"/>
      <c r="D545" s="473"/>
      <c r="E545" s="474"/>
      <c r="F545" s="474"/>
      <c r="G545" s="475"/>
      <c r="H545" s="475"/>
      <c r="I545" s="476"/>
      <c r="J545" s="477"/>
      <c r="K545" s="478" t="s">
        <v>1418</v>
      </c>
      <c r="L545" s="479"/>
      <c r="M545" s="480"/>
      <c r="N545" s="481"/>
      <c r="O545" s="481"/>
      <c r="P545" s="482"/>
      <c r="Q545" s="479"/>
      <c r="R545" s="480"/>
      <c r="S545" s="480"/>
      <c r="T545" s="480"/>
      <c r="U545" s="480"/>
      <c r="V545" s="480"/>
      <c r="W545" s="480"/>
      <c r="X545" s="480"/>
      <c r="Y545" s="483">
        <f t="shared" si="17"/>
        <v>0</v>
      </c>
      <c r="Z545" s="484"/>
      <c r="AA545" s="485"/>
      <c r="AB545" s="486"/>
      <c r="AC545" s="486"/>
      <c r="AD545" s="486"/>
      <c r="AE545" s="487"/>
      <c r="AF545" s="449"/>
      <c r="AG545" s="449"/>
      <c r="AH545" s="449"/>
    </row>
    <row r="546" ht="11.25" customHeight="1">
      <c r="A546" s="431" t="str">
        <f>IF(B546="","", YEAR(B546))</f>
        <v/>
      </c>
      <c r="B546" s="432"/>
      <c r="C546" s="433"/>
      <c r="D546" s="433"/>
      <c r="E546" s="434" t="str">
        <f t="shared" ref="E546:I546" si="280">IFERROR(AVERAGE(L546:L549),"")</f>
        <v/>
      </c>
      <c r="F546" s="434" t="str">
        <f t="shared" si="280"/>
        <v/>
      </c>
      <c r="G546" s="435" t="str">
        <f t="shared" si="280"/>
        <v/>
      </c>
      <c r="H546" s="435" t="str">
        <f t="shared" si="280"/>
        <v/>
      </c>
      <c r="I546" s="436" t="str">
        <f t="shared" si="280"/>
        <v/>
      </c>
      <c r="J546" s="437">
        <f>SUMIFS(PRODUCTION[KG],PRODUCTION[GRADE],"3X50",PRODUCTION[DATE],B546,PRODUCTION[BATCH],C546,PRODUCTION[SHIFT],D546)</f>
        <v>0</v>
      </c>
      <c r="K546" s="438" t="s">
        <v>1414</v>
      </c>
      <c r="L546" s="443"/>
      <c r="M546" s="440"/>
      <c r="N546" s="441"/>
      <c r="O546" s="441"/>
      <c r="P546" s="442"/>
      <c r="Q546" s="443"/>
      <c r="R546" s="440"/>
      <c r="S546" s="440"/>
      <c r="T546" s="440"/>
      <c r="U546" s="440"/>
      <c r="V546" s="440"/>
      <c r="W546" s="440"/>
      <c r="X546" s="440"/>
      <c r="Y546" s="444">
        <f t="shared" si="17"/>
        <v>0</v>
      </c>
      <c r="Z546" s="445"/>
      <c r="AA546" s="446">
        <f t="shared" ref="AA546:AE546" si="281">$J546*E546</f>
        <v>0</v>
      </c>
      <c r="AB546" s="447">
        <f t="shared" si="281"/>
        <v>0</v>
      </c>
      <c r="AC546" s="447">
        <f t="shared" si="281"/>
        <v>0</v>
      </c>
      <c r="AD546" s="447">
        <f t="shared" si="281"/>
        <v>0</v>
      </c>
      <c r="AE546" s="448">
        <f t="shared" si="281"/>
        <v>0</v>
      </c>
      <c r="AF546" s="449"/>
      <c r="AG546" s="449"/>
      <c r="AH546" s="449"/>
    </row>
    <row r="547" ht="11.25" customHeight="1">
      <c r="A547" s="450"/>
      <c r="B547" s="451"/>
      <c r="C547" s="452"/>
      <c r="D547" s="452"/>
      <c r="E547" s="453"/>
      <c r="F547" s="453"/>
      <c r="G547" s="454"/>
      <c r="H547" s="454"/>
      <c r="I547" s="455"/>
      <c r="J547" s="456"/>
      <c r="K547" s="457" t="s">
        <v>1416</v>
      </c>
      <c r="L547" s="458"/>
      <c r="M547" s="459"/>
      <c r="N547" s="460"/>
      <c r="O547" s="460"/>
      <c r="P547" s="461"/>
      <c r="Q547" s="458"/>
      <c r="R547" s="459"/>
      <c r="S547" s="459"/>
      <c r="T547" s="459"/>
      <c r="U547" s="459"/>
      <c r="V547" s="459"/>
      <c r="W547" s="459"/>
      <c r="X547" s="459"/>
      <c r="Y547" s="462">
        <f t="shared" si="17"/>
        <v>0</v>
      </c>
      <c r="Z547" s="463"/>
      <c r="AA547" s="464"/>
      <c r="AB547" s="465"/>
      <c r="AC547" s="465"/>
      <c r="AD547" s="465"/>
      <c r="AE547" s="466"/>
      <c r="AF547" s="449"/>
      <c r="AG547" s="449"/>
      <c r="AH547" s="449"/>
    </row>
    <row r="548" ht="11.25" customHeight="1">
      <c r="A548" s="450"/>
      <c r="B548" s="451"/>
      <c r="C548" s="452"/>
      <c r="D548" s="452"/>
      <c r="E548" s="453"/>
      <c r="F548" s="453"/>
      <c r="G548" s="454"/>
      <c r="H548" s="454"/>
      <c r="I548" s="455"/>
      <c r="J548" s="456"/>
      <c r="K548" s="467" t="s">
        <v>1417</v>
      </c>
      <c r="L548" s="468"/>
      <c r="M548" s="469"/>
      <c r="N548" s="470"/>
      <c r="O548" s="470"/>
      <c r="P548" s="471"/>
      <c r="Q548" s="468"/>
      <c r="R548" s="469"/>
      <c r="S548" s="469"/>
      <c r="T548" s="469"/>
      <c r="U548" s="469"/>
      <c r="V548" s="469"/>
      <c r="W548" s="469"/>
      <c r="X548" s="469"/>
      <c r="Y548" s="462">
        <f t="shared" si="17"/>
        <v>0</v>
      </c>
      <c r="Z548" s="463"/>
      <c r="AA548" s="464"/>
      <c r="AB548" s="465"/>
      <c r="AC548" s="465"/>
      <c r="AD548" s="465"/>
      <c r="AE548" s="466"/>
      <c r="AF548" s="449"/>
      <c r="AG548" s="449"/>
      <c r="AH548" s="449"/>
    </row>
    <row r="549" ht="11.25" customHeight="1">
      <c r="A549" s="450"/>
      <c r="B549" s="472"/>
      <c r="C549" s="473"/>
      <c r="D549" s="473"/>
      <c r="E549" s="474"/>
      <c r="F549" s="474"/>
      <c r="G549" s="475"/>
      <c r="H549" s="475"/>
      <c r="I549" s="476"/>
      <c r="J549" s="477"/>
      <c r="K549" s="478" t="s">
        <v>1418</v>
      </c>
      <c r="L549" s="479"/>
      <c r="M549" s="480"/>
      <c r="N549" s="481"/>
      <c r="O549" s="481"/>
      <c r="P549" s="482"/>
      <c r="Q549" s="479"/>
      <c r="R549" s="480"/>
      <c r="S549" s="480"/>
      <c r="T549" s="480"/>
      <c r="U549" s="480"/>
      <c r="V549" s="480"/>
      <c r="W549" s="480"/>
      <c r="X549" s="480"/>
      <c r="Y549" s="483">
        <f t="shared" si="17"/>
        <v>0</v>
      </c>
      <c r="Z549" s="484"/>
      <c r="AA549" s="485"/>
      <c r="AB549" s="486"/>
      <c r="AC549" s="486"/>
      <c r="AD549" s="486"/>
      <c r="AE549" s="487"/>
      <c r="AF549" s="449"/>
      <c r="AG549" s="449"/>
      <c r="AH549" s="449"/>
    </row>
    <row r="550" ht="11.25" customHeight="1">
      <c r="A550" s="431" t="str">
        <f>IF(B550="","", YEAR(B550))</f>
        <v/>
      </c>
      <c r="B550" s="432"/>
      <c r="C550" s="433"/>
      <c r="D550" s="433"/>
      <c r="E550" s="434" t="str">
        <f t="shared" ref="E550:I550" si="282">IFERROR(AVERAGE(L550:L553),"")</f>
        <v/>
      </c>
      <c r="F550" s="434" t="str">
        <f t="shared" si="282"/>
        <v/>
      </c>
      <c r="G550" s="435" t="str">
        <f t="shared" si="282"/>
        <v/>
      </c>
      <c r="H550" s="435" t="str">
        <f t="shared" si="282"/>
        <v/>
      </c>
      <c r="I550" s="436" t="str">
        <f t="shared" si="282"/>
        <v/>
      </c>
      <c r="J550" s="437">
        <f>SUMIFS(PRODUCTION[KG],PRODUCTION[GRADE],"3X50",PRODUCTION[DATE],B550,PRODUCTION[BATCH],C550,PRODUCTION[SHIFT],D550)</f>
        <v>0</v>
      </c>
      <c r="K550" s="438" t="s">
        <v>1414</v>
      </c>
      <c r="L550" s="443"/>
      <c r="M550" s="440"/>
      <c r="N550" s="441"/>
      <c r="O550" s="441"/>
      <c r="P550" s="442"/>
      <c r="Q550" s="443"/>
      <c r="R550" s="440"/>
      <c r="S550" s="440"/>
      <c r="T550" s="440"/>
      <c r="U550" s="440"/>
      <c r="V550" s="440"/>
      <c r="W550" s="440"/>
      <c r="X550" s="440"/>
      <c r="Y550" s="444">
        <f t="shared" si="17"/>
        <v>0</v>
      </c>
      <c r="Z550" s="445"/>
      <c r="AA550" s="446">
        <f t="shared" ref="AA550:AE550" si="283">$J550*E550</f>
        <v>0</v>
      </c>
      <c r="AB550" s="447">
        <f t="shared" si="283"/>
        <v>0</v>
      </c>
      <c r="AC550" s="447">
        <f t="shared" si="283"/>
        <v>0</v>
      </c>
      <c r="AD550" s="447">
        <f t="shared" si="283"/>
        <v>0</v>
      </c>
      <c r="AE550" s="448">
        <f t="shared" si="283"/>
        <v>0</v>
      </c>
      <c r="AF550" s="449"/>
      <c r="AG550" s="449"/>
      <c r="AH550" s="449"/>
    </row>
    <row r="551" ht="11.25" customHeight="1">
      <c r="A551" s="450"/>
      <c r="B551" s="451"/>
      <c r="C551" s="452"/>
      <c r="D551" s="452"/>
      <c r="E551" s="453"/>
      <c r="F551" s="453"/>
      <c r="G551" s="454"/>
      <c r="H551" s="454"/>
      <c r="I551" s="455"/>
      <c r="J551" s="456"/>
      <c r="K551" s="457" t="s">
        <v>1416</v>
      </c>
      <c r="L551" s="458"/>
      <c r="M551" s="459"/>
      <c r="N551" s="460"/>
      <c r="O551" s="460"/>
      <c r="P551" s="461"/>
      <c r="Q551" s="458"/>
      <c r="R551" s="459"/>
      <c r="S551" s="459"/>
      <c r="T551" s="459"/>
      <c r="U551" s="459"/>
      <c r="V551" s="459"/>
      <c r="W551" s="459"/>
      <c r="X551" s="459"/>
      <c r="Y551" s="462">
        <f t="shared" si="17"/>
        <v>0</v>
      </c>
      <c r="Z551" s="463"/>
      <c r="AA551" s="464"/>
      <c r="AB551" s="465"/>
      <c r="AC551" s="465"/>
      <c r="AD551" s="465"/>
      <c r="AE551" s="466"/>
      <c r="AF551" s="449"/>
      <c r="AG551" s="449"/>
      <c r="AH551" s="449"/>
    </row>
    <row r="552" ht="11.25" customHeight="1">
      <c r="A552" s="450"/>
      <c r="B552" s="451"/>
      <c r="C552" s="452"/>
      <c r="D552" s="452"/>
      <c r="E552" s="453"/>
      <c r="F552" s="453"/>
      <c r="G552" s="454"/>
      <c r="H552" s="454"/>
      <c r="I552" s="455"/>
      <c r="J552" s="456"/>
      <c r="K552" s="467" t="s">
        <v>1417</v>
      </c>
      <c r="L552" s="468"/>
      <c r="M552" s="469"/>
      <c r="N552" s="470"/>
      <c r="O552" s="470"/>
      <c r="P552" s="471"/>
      <c r="Q552" s="468"/>
      <c r="R552" s="469"/>
      <c r="S552" s="469"/>
      <c r="T552" s="469"/>
      <c r="U552" s="469"/>
      <c r="V552" s="469"/>
      <c r="W552" s="469"/>
      <c r="X552" s="469"/>
      <c r="Y552" s="462">
        <f t="shared" si="17"/>
        <v>0</v>
      </c>
      <c r="Z552" s="463"/>
      <c r="AA552" s="464"/>
      <c r="AB552" s="465"/>
      <c r="AC552" s="465"/>
      <c r="AD552" s="465"/>
      <c r="AE552" s="466"/>
      <c r="AF552" s="449"/>
      <c r="AG552" s="449"/>
      <c r="AH552" s="449"/>
    </row>
    <row r="553" ht="11.25" customHeight="1">
      <c r="A553" s="450"/>
      <c r="B553" s="472"/>
      <c r="C553" s="473"/>
      <c r="D553" s="473"/>
      <c r="E553" s="474"/>
      <c r="F553" s="474"/>
      <c r="G553" s="475"/>
      <c r="H553" s="475"/>
      <c r="I553" s="476"/>
      <c r="J553" s="477"/>
      <c r="K553" s="478" t="s">
        <v>1418</v>
      </c>
      <c r="L553" s="479"/>
      <c r="M553" s="480"/>
      <c r="N553" s="481"/>
      <c r="O553" s="481"/>
      <c r="P553" s="482"/>
      <c r="Q553" s="479"/>
      <c r="R553" s="480"/>
      <c r="S553" s="480"/>
      <c r="T553" s="480"/>
      <c r="U553" s="480"/>
      <c r="V553" s="480"/>
      <c r="W553" s="480"/>
      <c r="X553" s="480"/>
      <c r="Y553" s="483">
        <f t="shared" si="17"/>
        <v>0</v>
      </c>
      <c r="Z553" s="484"/>
      <c r="AA553" s="485"/>
      <c r="AB553" s="486"/>
      <c r="AC553" s="486"/>
      <c r="AD553" s="486"/>
      <c r="AE553" s="487"/>
      <c r="AF553" s="449"/>
      <c r="AG553" s="449"/>
      <c r="AH553" s="449"/>
    </row>
    <row r="554" ht="11.25" customHeight="1">
      <c r="A554" s="431" t="str">
        <f>IF(B554="","", YEAR(B554))</f>
        <v/>
      </c>
      <c r="B554" s="432"/>
      <c r="C554" s="433"/>
      <c r="D554" s="433"/>
      <c r="E554" s="434" t="str">
        <f t="shared" ref="E554:I554" si="284">IFERROR(AVERAGE(L554:L557),"")</f>
        <v/>
      </c>
      <c r="F554" s="434" t="str">
        <f t="shared" si="284"/>
        <v/>
      </c>
      <c r="G554" s="435" t="str">
        <f t="shared" si="284"/>
        <v/>
      </c>
      <c r="H554" s="435" t="str">
        <f t="shared" si="284"/>
        <v/>
      </c>
      <c r="I554" s="436" t="str">
        <f t="shared" si="284"/>
        <v/>
      </c>
      <c r="J554" s="437">
        <f>SUMIFS(PRODUCTION[KG],PRODUCTION[GRADE],"3X50",PRODUCTION[DATE],B554,PRODUCTION[BATCH],C554,PRODUCTION[SHIFT],D554)</f>
        <v>0</v>
      </c>
      <c r="K554" s="438" t="s">
        <v>1414</v>
      </c>
      <c r="L554" s="443"/>
      <c r="M554" s="440"/>
      <c r="N554" s="441"/>
      <c r="O554" s="441"/>
      <c r="P554" s="442"/>
      <c r="Q554" s="443"/>
      <c r="R554" s="440"/>
      <c r="S554" s="440"/>
      <c r="T554" s="440"/>
      <c r="U554" s="440"/>
      <c r="V554" s="440"/>
      <c r="W554" s="440"/>
      <c r="X554" s="440"/>
      <c r="Y554" s="444">
        <f t="shared" si="17"/>
        <v>0</v>
      </c>
      <c r="Z554" s="445"/>
      <c r="AA554" s="446">
        <f t="shared" ref="AA554:AE554" si="285">$J554*E554</f>
        <v>0</v>
      </c>
      <c r="AB554" s="447">
        <f t="shared" si="285"/>
        <v>0</v>
      </c>
      <c r="AC554" s="447">
        <f t="shared" si="285"/>
        <v>0</v>
      </c>
      <c r="AD554" s="447">
        <f t="shared" si="285"/>
        <v>0</v>
      </c>
      <c r="AE554" s="448">
        <f t="shared" si="285"/>
        <v>0</v>
      </c>
      <c r="AF554" s="449"/>
      <c r="AG554" s="449"/>
      <c r="AH554" s="449"/>
    </row>
    <row r="555" ht="11.25" customHeight="1">
      <c r="A555" s="450"/>
      <c r="B555" s="451"/>
      <c r="C555" s="452"/>
      <c r="D555" s="452"/>
      <c r="E555" s="453"/>
      <c r="F555" s="453"/>
      <c r="G555" s="454"/>
      <c r="H555" s="454"/>
      <c r="I555" s="455"/>
      <c r="J555" s="456"/>
      <c r="K555" s="457" t="s">
        <v>1416</v>
      </c>
      <c r="L555" s="458"/>
      <c r="M555" s="459"/>
      <c r="N555" s="460"/>
      <c r="O555" s="460"/>
      <c r="P555" s="461"/>
      <c r="Q555" s="458"/>
      <c r="R555" s="459"/>
      <c r="S555" s="459"/>
      <c r="T555" s="459"/>
      <c r="U555" s="459"/>
      <c r="V555" s="459"/>
      <c r="W555" s="459"/>
      <c r="X555" s="459"/>
      <c r="Y555" s="462">
        <f t="shared" si="17"/>
        <v>0</v>
      </c>
      <c r="Z555" s="463"/>
      <c r="AA555" s="464"/>
      <c r="AB555" s="465"/>
      <c r="AC555" s="465"/>
      <c r="AD555" s="465"/>
      <c r="AE555" s="466"/>
      <c r="AF555" s="449"/>
      <c r="AG555" s="449"/>
      <c r="AH555" s="449"/>
    </row>
    <row r="556" ht="11.25" customHeight="1">
      <c r="A556" s="450"/>
      <c r="B556" s="451"/>
      <c r="C556" s="452"/>
      <c r="D556" s="452"/>
      <c r="E556" s="453"/>
      <c r="F556" s="453"/>
      <c r="G556" s="454"/>
      <c r="H556" s="454"/>
      <c r="I556" s="455"/>
      <c r="J556" s="456"/>
      <c r="K556" s="467" t="s">
        <v>1417</v>
      </c>
      <c r="L556" s="468"/>
      <c r="M556" s="469"/>
      <c r="N556" s="470"/>
      <c r="O556" s="470"/>
      <c r="P556" s="471"/>
      <c r="Q556" s="468"/>
      <c r="R556" s="469"/>
      <c r="S556" s="469"/>
      <c r="T556" s="469"/>
      <c r="U556" s="469"/>
      <c r="V556" s="469"/>
      <c r="W556" s="469"/>
      <c r="X556" s="469"/>
      <c r="Y556" s="462">
        <f t="shared" si="17"/>
        <v>0</v>
      </c>
      <c r="Z556" s="463"/>
      <c r="AA556" s="464"/>
      <c r="AB556" s="465"/>
      <c r="AC556" s="465"/>
      <c r="AD556" s="465"/>
      <c r="AE556" s="466"/>
      <c r="AF556" s="449"/>
      <c r="AG556" s="449"/>
      <c r="AH556" s="449"/>
    </row>
    <row r="557" ht="11.25" customHeight="1">
      <c r="A557" s="450"/>
      <c r="B557" s="472"/>
      <c r="C557" s="473"/>
      <c r="D557" s="473"/>
      <c r="E557" s="474"/>
      <c r="F557" s="474"/>
      <c r="G557" s="475"/>
      <c r="H557" s="475"/>
      <c r="I557" s="476"/>
      <c r="J557" s="477"/>
      <c r="K557" s="478" t="s">
        <v>1418</v>
      </c>
      <c r="L557" s="479"/>
      <c r="M557" s="480"/>
      <c r="N557" s="481"/>
      <c r="O557" s="481"/>
      <c r="P557" s="482"/>
      <c r="Q557" s="479"/>
      <c r="R557" s="480"/>
      <c r="S557" s="480"/>
      <c r="T557" s="480"/>
      <c r="U557" s="480"/>
      <c r="V557" s="480"/>
      <c r="W557" s="480"/>
      <c r="X557" s="480"/>
      <c r="Y557" s="483">
        <f t="shared" si="17"/>
        <v>0</v>
      </c>
      <c r="Z557" s="484"/>
      <c r="AA557" s="485"/>
      <c r="AB557" s="486"/>
      <c r="AC557" s="486"/>
      <c r="AD557" s="486"/>
      <c r="AE557" s="487"/>
      <c r="AF557" s="449"/>
      <c r="AG557" s="449"/>
      <c r="AH557" s="449"/>
    </row>
    <row r="558" ht="11.25" customHeight="1">
      <c r="A558" s="431" t="str">
        <f>IF(B558="","", YEAR(B558))</f>
        <v/>
      </c>
      <c r="B558" s="432"/>
      <c r="C558" s="433"/>
      <c r="D558" s="433"/>
      <c r="E558" s="434" t="str">
        <f t="shared" ref="E558:I558" si="286">IFERROR(AVERAGE(L558:L561),"")</f>
        <v/>
      </c>
      <c r="F558" s="434" t="str">
        <f t="shared" si="286"/>
        <v/>
      </c>
      <c r="G558" s="435" t="str">
        <f t="shared" si="286"/>
        <v/>
      </c>
      <c r="H558" s="435" t="str">
        <f t="shared" si="286"/>
        <v/>
      </c>
      <c r="I558" s="436" t="str">
        <f t="shared" si="286"/>
        <v/>
      </c>
      <c r="J558" s="437">
        <f>SUMIFS(PRODUCTION[KG],PRODUCTION[GRADE],"3X50",PRODUCTION[DATE],B558,PRODUCTION[BATCH],C558,PRODUCTION[SHIFT],D558)</f>
        <v>0</v>
      </c>
      <c r="K558" s="438" t="s">
        <v>1414</v>
      </c>
      <c r="L558" s="443"/>
      <c r="M558" s="440"/>
      <c r="N558" s="441"/>
      <c r="O558" s="441"/>
      <c r="P558" s="442"/>
      <c r="Q558" s="443"/>
      <c r="R558" s="440"/>
      <c r="S558" s="440"/>
      <c r="T558" s="440"/>
      <c r="U558" s="440"/>
      <c r="V558" s="440"/>
      <c r="W558" s="440"/>
      <c r="X558" s="440"/>
      <c r="Y558" s="444">
        <f t="shared" si="17"/>
        <v>0</v>
      </c>
      <c r="Z558" s="445"/>
      <c r="AA558" s="446">
        <f t="shared" ref="AA558:AE558" si="287">$J558*E558</f>
        <v>0</v>
      </c>
      <c r="AB558" s="447">
        <f t="shared" si="287"/>
        <v>0</v>
      </c>
      <c r="AC558" s="447">
        <f t="shared" si="287"/>
        <v>0</v>
      </c>
      <c r="AD558" s="447">
        <f t="shared" si="287"/>
        <v>0</v>
      </c>
      <c r="AE558" s="448">
        <f t="shared" si="287"/>
        <v>0</v>
      </c>
      <c r="AF558" s="449"/>
      <c r="AG558" s="449"/>
      <c r="AH558" s="449"/>
    </row>
    <row r="559" ht="11.25" customHeight="1">
      <c r="A559" s="450"/>
      <c r="B559" s="451"/>
      <c r="C559" s="452"/>
      <c r="D559" s="452"/>
      <c r="E559" s="453"/>
      <c r="F559" s="453"/>
      <c r="G559" s="454"/>
      <c r="H559" s="454"/>
      <c r="I559" s="455"/>
      <c r="J559" s="456"/>
      <c r="K559" s="457" t="s">
        <v>1416</v>
      </c>
      <c r="L559" s="458"/>
      <c r="M559" s="459"/>
      <c r="N559" s="460"/>
      <c r="O559" s="460"/>
      <c r="P559" s="461"/>
      <c r="Q559" s="458"/>
      <c r="R559" s="459"/>
      <c r="S559" s="459"/>
      <c r="T559" s="459"/>
      <c r="U559" s="459"/>
      <c r="V559" s="459"/>
      <c r="W559" s="459"/>
      <c r="X559" s="459"/>
      <c r="Y559" s="462">
        <f t="shared" si="17"/>
        <v>0</v>
      </c>
      <c r="Z559" s="463"/>
      <c r="AA559" s="464"/>
      <c r="AB559" s="465"/>
      <c r="AC559" s="465"/>
      <c r="AD559" s="465"/>
      <c r="AE559" s="466"/>
      <c r="AF559" s="449"/>
      <c r="AG559" s="449"/>
      <c r="AH559" s="449"/>
    </row>
    <row r="560" ht="11.25" customHeight="1">
      <c r="A560" s="450"/>
      <c r="B560" s="451"/>
      <c r="C560" s="452"/>
      <c r="D560" s="452"/>
      <c r="E560" s="453"/>
      <c r="F560" s="453"/>
      <c r="G560" s="454"/>
      <c r="H560" s="454"/>
      <c r="I560" s="455"/>
      <c r="J560" s="456"/>
      <c r="K560" s="467" t="s">
        <v>1417</v>
      </c>
      <c r="L560" s="468"/>
      <c r="M560" s="469"/>
      <c r="N560" s="470"/>
      <c r="O560" s="470"/>
      <c r="P560" s="471"/>
      <c r="Q560" s="468"/>
      <c r="R560" s="469"/>
      <c r="S560" s="469"/>
      <c r="T560" s="469"/>
      <c r="U560" s="469"/>
      <c r="V560" s="469"/>
      <c r="W560" s="469"/>
      <c r="X560" s="469"/>
      <c r="Y560" s="462">
        <f t="shared" si="17"/>
        <v>0</v>
      </c>
      <c r="Z560" s="463"/>
      <c r="AA560" s="464"/>
      <c r="AB560" s="465"/>
      <c r="AC560" s="465"/>
      <c r="AD560" s="465"/>
      <c r="AE560" s="466"/>
      <c r="AF560" s="449"/>
      <c r="AG560" s="449"/>
      <c r="AH560" s="449"/>
    </row>
    <row r="561" ht="11.25" customHeight="1">
      <c r="A561" s="450"/>
      <c r="B561" s="472"/>
      <c r="C561" s="473"/>
      <c r="D561" s="473"/>
      <c r="E561" s="474"/>
      <c r="F561" s="474"/>
      <c r="G561" s="475"/>
      <c r="H561" s="475"/>
      <c r="I561" s="476"/>
      <c r="J561" s="477"/>
      <c r="K561" s="478" t="s">
        <v>1418</v>
      </c>
      <c r="L561" s="479"/>
      <c r="M561" s="480"/>
      <c r="N561" s="481"/>
      <c r="O561" s="481"/>
      <c r="P561" s="482"/>
      <c r="Q561" s="479"/>
      <c r="R561" s="480"/>
      <c r="S561" s="480"/>
      <c r="T561" s="480"/>
      <c r="U561" s="480"/>
      <c r="V561" s="480"/>
      <c r="W561" s="480"/>
      <c r="X561" s="480"/>
      <c r="Y561" s="483">
        <f t="shared" si="17"/>
        <v>0</v>
      </c>
      <c r="Z561" s="484"/>
      <c r="AA561" s="485"/>
      <c r="AB561" s="486"/>
      <c r="AC561" s="486"/>
      <c r="AD561" s="486"/>
      <c r="AE561" s="487"/>
      <c r="AF561" s="449"/>
      <c r="AG561" s="449"/>
      <c r="AH561" s="449"/>
    </row>
    <row r="562" ht="11.25" customHeight="1">
      <c r="A562" s="431" t="str">
        <f>IF(B562="","", YEAR(B562))</f>
        <v/>
      </c>
      <c r="B562" s="432"/>
      <c r="C562" s="433"/>
      <c r="D562" s="433"/>
      <c r="E562" s="434" t="str">
        <f t="shared" ref="E562:I562" si="288">IFERROR(AVERAGE(L562:L565),"")</f>
        <v/>
      </c>
      <c r="F562" s="434" t="str">
        <f t="shared" si="288"/>
        <v/>
      </c>
      <c r="G562" s="435" t="str">
        <f t="shared" si="288"/>
        <v/>
      </c>
      <c r="H562" s="435" t="str">
        <f t="shared" si="288"/>
        <v/>
      </c>
      <c r="I562" s="436" t="str">
        <f t="shared" si="288"/>
        <v/>
      </c>
      <c r="J562" s="437">
        <f>SUMIFS(PRODUCTION[KG],PRODUCTION[GRADE],"3X50",PRODUCTION[DATE],B562,PRODUCTION[BATCH],C562,PRODUCTION[SHIFT],D562)</f>
        <v>0</v>
      </c>
      <c r="K562" s="438" t="s">
        <v>1414</v>
      </c>
      <c r="L562" s="443"/>
      <c r="M562" s="440"/>
      <c r="N562" s="441"/>
      <c r="O562" s="441"/>
      <c r="P562" s="442"/>
      <c r="Q562" s="443"/>
      <c r="R562" s="440"/>
      <c r="S562" s="440"/>
      <c r="T562" s="440"/>
      <c r="U562" s="440"/>
      <c r="V562" s="440"/>
      <c r="W562" s="440"/>
      <c r="X562" s="440"/>
      <c r="Y562" s="444">
        <f t="shared" si="17"/>
        <v>0</v>
      </c>
      <c r="Z562" s="445"/>
      <c r="AA562" s="446">
        <f t="shared" ref="AA562:AE562" si="289">$J562*E562</f>
        <v>0</v>
      </c>
      <c r="AB562" s="447">
        <f t="shared" si="289"/>
        <v>0</v>
      </c>
      <c r="AC562" s="447">
        <f t="shared" si="289"/>
        <v>0</v>
      </c>
      <c r="AD562" s="447">
        <f t="shared" si="289"/>
        <v>0</v>
      </c>
      <c r="AE562" s="448">
        <f t="shared" si="289"/>
        <v>0</v>
      </c>
      <c r="AF562" s="449"/>
      <c r="AG562" s="449"/>
      <c r="AH562" s="449"/>
    </row>
    <row r="563" ht="11.25" customHeight="1">
      <c r="A563" s="450"/>
      <c r="B563" s="451"/>
      <c r="C563" s="452"/>
      <c r="D563" s="452"/>
      <c r="E563" s="453"/>
      <c r="F563" s="453"/>
      <c r="G563" s="454"/>
      <c r="H563" s="454"/>
      <c r="I563" s="455"/>
      <c r="J563" s="456"/>
      <c r="K563" s="457" t="s">
        <v>1416</v>
      </c>
      <c r="L563" s="458"/>
      <c r="M563" s="459"/>
      <c r="N563" s="460"/>
      <c r="O563" s="460"/>
      <c r="P563" s="461"/>
      <c r="Q563" s="458"/>
      <c r="R563" s="459"/>
      <c r="S563" s="459"/>
      <c r="T563" s="459"/>
      <c r="U563" s="459"/>
      <c r="V563" s="459"/>
      <c r="W563" s="459"/>
      <c r="X563" s="459"/>
      <c r="Y563" s="462">
        <f t="shared" si="17"/>
        <v>0</v>
      </c>
      <c r="Z563" s="463"/>
      <c r="AA563" s="464"/>
      <c r="AB563" s="465"/>
      <c r="AC563" s="465"/>
      <c r="AD563" s="465"/>
      <c r="AE563" s="466"/>
      <c r="AF563" s="449"/>
      <c r="AG563" s="449"/>
      <c r="AH563" s="449"/>
    </row>
    <row r="564" ht="11.25" customHeight="1">
      <c r="A564" s="450"/>
      <c r="B564" s="451"/>
      <c r="C564" s="452"/>
      <c r="D564" s="452"/>
      <c r="E564" s="453"/>
      <c r="F564" s="453"/>
      <c r="G564" s="454"/>
      <c r="H564" s="454"/>
      <c r="I564" s="455"/>
      <c r="J564" s="456"/>
      <c r="K564" s="467" t="s">
        <v>1417</v>
      </c>
      <c r="L564" s="468"/>
      <c r="M564" s="469"/>
      <c r="N564" s="470"/>
      <c r="O564" s="470"/>
      <c r="P564" s="471"/>
      <c r="Q564" s="468"/>
      <c r="R564" s="469"/>
      <c r="S564" s="469"/>
      <c r="T564" s="469"/>
      <c r="U564" s="469"/>
      <c r="V564" s="469"/>
      <c r="W564" s="469"/>
      <c r="X564" s="469"/>
      <c r="Y564" s="462">
        <f t="shared" si="17"/>
        <v>0</v>
      </c>
      <c r="Z564" s="463"/>
      <c r="AA564" s="464"/>
      <c r="AB564" s="465"/>
      <c r="AC564" s="465"/>
      <c r="AD564" s="465"/>
      <c r="AE564" s="466"/>
      <c r="AF564" s="449"/>
      <c r="AG564" s="449"/>
      <c r="AH564" s="449"/>
    </row>
    <row r="565" ht="11.25" customHeight="1">
      <c r="A565" s="450"/>
      <c r="B565" s="472"/>
      <c r="C565" s="473"/>
      <c r="D565" s="473"/>
      <c r="E565" s="474"/>
      <c r="F565" s="474"/>
      <c r="G565" s="475"/>
      <c r="H565" s="475"/>
      <c r="I565" s="476"/>
      <c r="J565" s="477"/>
      <c r="K565" s="478" t="s">
        <v>1418</v>
      </c>
      <c r="L565" s="479"/>
      <c r="M565" s="480"/>
      <c r="N565" s="481"/>
      <c r="O565" s="481"/>
      <c r="P565" s="482"/>
      <c r="Q565" s="479"/>
      <c r="R565" s="480"/>
      <c r="S565" s="480"/>
      <c r="T565" s="480"/>
      <c r="U565" s="480"/>
      <c r="V565" s="480"/>
      <c r="W565" s="480"/>
      <c r="X565" s="480"/>
      <c r="Y565" s="483">
        <f t="shared" si="17"/>
        <v>0</v>
      </c>
      <c r="Z565" s="484"/>
      <c r="AA565" s="485"/>
      <c r="AB565" s="486"/>
      <c r="AC565" s="486"/>
      <c r="AD565" s="486"/>
      <c r="AE565" s="487"/>
      <c r="AF565" s="449"/>
      <c r="AG565" s="449"/>
      <c r="AH565" s="449"/>
    </row>
    <row r="566" ht="11.25" customHeight="1">
      <c r="A566" s="431" t="str">
        <f>IF(B566="","", YEAR(B566))</f>
        <v/>
      </c>
      <c r="B566" s="432"/>
      <c r="C566" s="433"/>
      <c r="D566" s="433"/>
      <c r="E566" s="434" t="str">
        <f t="shared" ref="E566:I566" si="290">IFERROR(AVERAGE(L566:L569),"")</f>
        <v/>
      </c>
      <c r="F566" s="434" t="str">
        <f t="shared" si="290"/>
        <v/>
      </c>
      <c r="G566" s="435" t="str">
        <f t="shared" si="290"/>
        <v/>
      </c>
      <c r="H566" s="435" t="str">
        <f t="shared" si="290"/>
        <v/>
      </c>
      <c r="I566" s="436" t="str">
        <f t="shared" si="290"/>
        <v/>
      </c>
      <c r="J566" s="437">
        <f>SUMIFS(PRODUCTION[KG],PRODUCTION[GRADE],"3X50",PRODUCTION[DATE],B566,PRODUCTION[BATCH],C566,PRODUCTION[SHIFT],D566)</f>
        <v>0</v>
      </c>
      <c r="K566" s="438" t="s">
        <v>1414</v>
      </c>
      <c r="L566" s="443"/>
      <c r="M566" s="440"/>
      <c r="N566" s="441"/>
      <c r="O566" s="441"/>
      <c r="P566" s="442"/>
      <c r="Q566" s="443"/>
      <c r="R566" s="440"/>
      <c r="S566" s="440"/>
      <c r="T566" s="440"/>
      <c r="U566" s="440"/>
      <c r="V566" s="440"/>
      <c r="W566" s="440"/>
      <c r="X566" s="440"/>
      <c r="Y566" s="444">
        <f t="shared" si="17"/>
        <v>0</v>
      </c>
      <c r="Z566" s="445"/>
      <c r="AA566" s="446">
        <f t="shared" ref="AA566:AE566" si="291">$J566*E566</f>
        <v>0</v>
      </c>
      <c r="AB566" s="447">
        <f t="shared" si="291"/>
        <v>0</v>
      </c>
      <c r="AC566" s="447">
        <f t="shared" si="291"/>
        <v>0</v>
      </c>
      <c r="AD566" s="447">
        <f t="shared" si="291"/>
        <v>0</v>
      </c>
      <c r="AE566" s="448">
        <f t="shared" si="291"/>
        <v>0</v>
      </c>
      <c r="AF566" s="449"/>
      <c r="AG566" s="449"/>
      <c r="AH566" s="449"/>
    </row>
    <row r="567" ht="11.25" customHeight="1">
      <c r="A567" s="450"/>
      <c r="B567" s="451"/>
      <c r="C567" s="452"/>
      <c r="D567" s="452"/>
      <c r="E567" s="453"/>
      <c r="F567" s="453"/>
      <c r="G567" s="454"/>
      <c r="H567" s="454"/>
      <c r="I567" s="455"/>
      <c r="J567" s="456"/>
      <c r="K567" s="457" t="s">
        <v>1416</v>
      </c>
      <c r="L567" s="458"/>
      <c r="M567" s="459"/>
      <c r="N567" s="460"/>
      <c r="O567" s="460"/>
      <c r="P567" s="461"/>
      <c r="Q567" s="458"/>
      <c r="R567" s="459"/>
      <c r="S567" s="459"/>
      <c r="T567" s="459"/>
      <c r="U567" s="459"/>
      <c r="V567" s="459"/>
      <c r="W567" s="459"/>
      <c r="X567" s="459"/>
      <c r="Y567" s="462">
        <f t="shared" si="17"/>
        <v>0</v>
      </c>
      <c r="Z567" s="463"/>
      <c r="AA567" s="464"/>
      <c r="AB567" s="465"/>
      <c r="AC567" s="465"/>
      <c r="AD567" s="465"/>
      <c r="AE567" s="466"/>
      <c r="AF567" s="449"/>
      <c r="AG567" s="449"/>
      <c r="AH567" s="449"/>
    </row>
    <row r="568" ht="11.25" customHeight="1">
      <c r="A568" s="450"/>
      <c r="B568" s="451"/>
      <c r="C568" s="452"/>
      <c r="D568" s="452"/>
      <c r="E568" s="453"/>
      <c r="F568" s="453"/>
      <c r="G568" s="454"/>
      <c r="H568" s="454"/>
      <c r="I568" s="455"/>
      <c r="J568" s="456"/>
      <c r="K568" s="467" t="s">
        <v>1417</v>
      </c>
      <c r="L568" s="468"/>
      <c r="M568" s="469"/>
      <c r="N568" s="470"/>
      <c r="O568" s="470"/>
      <c r="P568" s="471"/>
      <c r="Q568" s="468"/>
      <c r="R568" s="469"/>
      <c r="S568" s="469"/>
      <c r="T568" s="469"/>
      <c r="U568" s="469"/>
      <c r="V568" s="469"/>
      <c r="W568" s="469"/>
      <c r="X568" s="469"/>
      <c r="Y568" s="462">
        <f t="shared" si="17"/>
        <v>0</v>
      </c>
      <c r="Z568" s="463"/>
      <c r="AA568" s="464"/>
      <c r="AB568" s="465"/>
      <c r="AC568" s="465"/>
      <c r="AD568" s="465"/>
      <c r="AE568" s="466"/>
      <c r="AF568" s="449"/>
      <c r="AG568" s="449"/>
      <c r="AH568" s="449"/>
    </row>
    <row r="569" ht="11.25" customHeight="1">
      <c r="A569" s="450"/>
      <c r="B569" s="472"/>
      <c r="C569" s="473"/>
      <c r="D569" s="473"/>
      <c r="E569" s="474"/>
      <c r="F569" s="474"/>
      <c r="G569" s="475"/>
      <c r="H569" s="475"/>
      <c r="I569" s="476"/>
      <c r="J569" s="477"/>
      <c r="K569" s="478" t="s">
        <v>1418</v>
      </c>
      <c r="L569" s="479"/>
      <c r="M569" s="480"/>
      <c r="N569" s="481"/>
      <c r="O569" s="481"/>
      <c r="P569" s="482"/>
      <c r="Q569" s="479"/>
      <c r="R569" s="480"/>
      <c r="S569" s="480"/>
      <c r="T569" s="480"/>
      <c r="U569" s="480"/>
      <c r="V569" s="480"/>
      <c r="W569" s="480"/>
      <c r="X569" s="480"/>
      <c r="Y569" s="483">
        <f t="shared" si="17"/>
        <v>0</v>
      </c>
      <c r="Z569" s="484"/>
      <c r="AA569" s="485"/>
      <c r="AB569" s="486"/>
      <c r="AC569" s="486"/>
      <c r="AD569" s="486"/>
      <c r="AE569" s="487"/>
      <c r="AF569" s="449"/>
      <c r="AG569" s="449"/>
      <c r="AH569" s="449"/>
    </row>
    <row r="570" ht="11.25" customHeight="1">
      <c r="A570" s="431" t="str">
        <f>IF(B570="","", YEAR(B570))</f>
        <v/>
      </c>
      <c r="B570" s="432"/>
      <c r="C570" s="433"/>
      <c r="D570" s="433"/>
      <c r="E570" s="434" t="str">
        <f t="shared" ref="E570:I570" si="292">IFERROR(AVERAGE(L570:L573),"")</f>
        <v/>
      </c>
      <c r="F570" s="434" t="str">
        <f t="shared" si="292"/>
        <v/>
      </c>
      <c r="G570" s="435" t="str">
        <f t="shared" si="292"/>
        <v/>
      </c>
      <c r="H570" s="435" t="str">
        <f t="shared" si="292"/>
        <v/>
      </c>
      <c r="I570" s="436" t="str">
        <f t="shared" si="292"/>
        <v/>
      </c>
      <c r="J570" s="437">
        <f>SUMIFS(PRODUCTION[KG],PRODUCTION[GRADE],"3X50",PRODUCTION[DATE],B570,PRODUCTION[BATCH],C570,PRODUCTION[SHIFT],D570)</f>
        <v>0</v>
      </c>
      <c r="K570" s="438" t="s">
        <v>1414</v>
      </c>
      <c r="L570" s="443"/>
      <c r="M570" s="440"/>
      <c r="N570" s="441"/>
      <c r="O570" s="441"/>
      <c r="P570" s="442"/>
      <c r="Q570" s="443"/>
      <c r="R570" s="440"/>
      <c r="S570" s="440"/>
      <c r="T570" s="440"/>
      <c r="U570" s="440"/>
      <c r="V570" s="440"/>
      <c r="W570" s="440"/>
      <c r="X570" s="440"/>
      <c r="Y570" s="444">
        <f t="shared" si="17"/>
        <v>0</v>
      </c>
      <c r="Z570" s="445"/>
      <c r="AA570" s="446">
        <f t="shared" ref="AA570:AE570" si="293">$J570*E570</f>
        <v>0</v>
      </c>
      <c r="AB570" s="447">
        <f t="shared" si="293"/>
        <v>0</v>
      </c>
      <c r="AC570" s="447">
        <f t="shared" si="293"/>
        <v>0</v>
      </c>
      <c r="AD570" s="447">
        <f t="shared" si="293"/>
        <v>0</v>
      </c>
      <c r="AE570" s="448">
        <f t="shared" si="293"/>
        <v>0</v>
      </c>
      <c r="AF570" s="449"/>
      <c r="AG570" s="449"/>
      <c r="AH570" s="449"/>
    </row>
    <row r="571" ht="11.25" customHeight="1">
      <c r="A571" s="450"/>
      <c r="B571" s="451"/>
      <c r="C571" s="452"/>
      <c r="D571" s="452"/>
      <c r="E571" s="453"/>
      <c r="F571" s="453"/>
      <c r="G571" s="454"/>
      <c r="H571" s="454"/>
      <c r="I571" s="455"/>
      <c r="J571" s="456"/>
      <c r="K571" s="457" t="s">
        <v>1416</v>
      </c>
      <c r="L571" s="458"/>
      <c r="M571" s="459"/>
      <c r="N571" s="460"/>
      <c r="O571" s="460"/>
      <c r="P571" s="461"/>
      <c r="Q571" s="458"/>
      <c r="R571" s="459"/>
      <c r="S571" s="459"/>
      <c r="T571" s="459"/>
      <c r="U571" s="459"/>
      <c r="V571" s="459"/>
      <c r="W571" s="459"/>
      <c r="X571" s="459"/>
      <c r="Y571" s="462">
        <f t="shared" si="17"/>
        <v>0</v>
      </c>
      <c r="Z571" s="463"/>
      <c r="AA571" s="464"/>
      <c r="AB571" s="465"/>
      <c r="AC571" s="465"/>
      <c r="AD571" s="465"/>
      <c r="AE571" s="466"/>
      <c r="AF571" s="449"/>
      <c r="AG571" s="449"/>
      <c r="AH571" s="449"/>
    </row>
    <row r="572" ht="11.25" customHeight="1">
      <c r="A572" s="450"/>
      <c r="B572" s="451"/>
      <c r="C572" s="452"/>
      <c r="D572" s="452"/>
      <c r="E572" s="453"/>
      <c r="F572" s="453"/>
      <c r="G572" s="454"/>
      <c r="H572" s="454"/>
      <c r="I572" s="455"/>
      <c r="J572" s="456"/>
      <c r="K572" s="467" t="s">
        <v>1417</v>
      </c>
      <c r="L572" s="468"/>
      <c r="M572" s="469"/>
      <c r="N572" s="470"/>
      <c r="O572" s="470"/>
      <c r="P572" s="471"/>
      <c r="Q572" s="468"/>
      <c r="R572" s="469"/>
      <c r="S572" s="469"/>
      <c r="T572" s="469"/>
      <c r="U572" s="469"/>
      <c r="V572" s="469"/>
      <c r="W572" s="469"/>
      <c r="X572" s="469"/>
      <c r="Y572" s="462">
        <f t="shared" si="17"/>
        <v>0</v>
      </c>
      <c r="Z572" s="463"/>
      <c r="AA572" s="464"/>
      <c r="AB572" s="465"/>
      <c r="AC572" s="465"/>
      <c r="AD572" s="465"/>
      <c r="AE572" s="466"/>
      <c r="AF572" s="449"/>
      <c r="AG572" s="449"/>
      <c r="AH572" s="449"/>
    </row>
    <row r="573" ht="11.25" customHeight="1">
      <c r="A573" s="450"/>
      <c r="B573" s="472"/>
      <c r="C573" s="473"/>
      <c r="D573" s="473"/>
      <c r="E573" s="474"/>
      <c r="F573" s="474"/>
      <c r="G573" s="475"/>
      <c r="H573" s="475"/>
      <c r="I573" s="476"/>
      <c r="J573" s="477"/>
      <c r="K573" s="478" t="s">
        <v>1418</v>
      </c>
      <c r="L573" s="479"/>
      <c r="M573" s="480"/>
      <c r="N573" s="481"/>
      <c r="O573" s="481"/>
      <c r="P573" s="482"/>
      <c r="Q573" s="479"/>
      <c r="R573" s="480"/>
      <c r="S573" s="480"/>
      <c r="T573" s="480"/>
      <c r="U573" s="480"/>
      <c r="V573" s="480"/>
      <c r="W573" s="480"/>
      <c r="X573" s="480"/>
      <c r="Y573" s="483">
        <f t="shared" si="17"/>
        <v>0</v>
      </c>
      <c r="Z573" s="484"/>
      <c r="AA573" s="485"/>
      <c r="AB573" s="486"/>
      <c r="AC573" s="486"/>
      <c r="AD573" s="486"/>
      <c r="AE573" s="487"/>
      <c r="AF573" s="449"/>
      <c r="AG573" s="449"/>
      <c r="AH573" s="449"/>
    </row>
    <row r="574" ht="11.25" customHeight="1">
      <c r="A574" s="431" t="str">
        <f>IF(B574="","", YEAR(B574))</f>
        <v/>
      </c>
      <c r="B574" s="432"/>
      <c r="C574" s="433"/>
      <c r="D574" s="433"/>
      <c r="E574" s="434" t="str">
        <f t="shared" ref="E574:I574" si="294">IFERROR(AVERAGE(L574:L577),"")</f>
        <v/>
      </c>
      <c r="F574" s="434" t="str">
        <f t="shared" si="294"/>
        <v/>
      </c>
      <c r="G574" s="435" t="str">
        <f t="shared" si="294"/>
        <v/>
      </c>
      <c r="H574" s="435" t="str">
        <f t="shared" si="294"/>
        <v/>
      </c>
      <c r="I574" s="436" t="str">
        <f t="shared" si="294"/>
        <v/>
      </c>
      <c r="J574" s="437">
        <f>SUMIFS(PRODUCTION[KG],PRODUCTION[GRADE],"3X50",PRODUCTION[DATE],B574,PRODUCTION[BATCH],C574,PRODUCTION[SHIFT],D574)</f>
        <v>0</v>
      </c>
      <c r="K574" s="438" t="s">
        <v>1414</v>
      </c>
      <c r="L574" s="443"/>
      <c r="M574" s="440"/>
      <c r="N574" s="441"/>
      <c r="O574" s="441"/>
      <c r="P574" s="442"/>
      <c r="Q574" s="443"/>
      <c r="R574" s="440"/>
      <c r="S574" s="440"/>
      <c r="T574" s="440"/>
      <c r="U574" s="440"/>
      <c r="V574" s="440"/>
      <c r="W574" s="440"/>
      <c r="X574" s="440"/>
      <c r="Y574" s="444">
        <f t="shared" si="17"/>
        <v>0</v>
      </c>
      <c r="Z574" s="445"/>
      <c r="AA574" s="446">
        <f t="shared" ref="AA574:AE574" si="295">$J574*E574</f>
        <v>0</v>
      </c>
      <c r="AB574" s="447">
        <f t="shared" si="295"/>
        <v>0</v>
      </c>
      <c r="AC574" s="447">
        <f t="shared" si="295"/>
        <v>0</v>
      </c>
      <c r="AD574" s="447">
        <f t="shared" si="295"/>
        <v>0</v>
      </c>
      <c r="AE574" s="448">
        <f t="shared" si="295"/>
        <v>0</v>
      </c>
      <c r="AF574" s="449"/>
      <c r="AG574" s="449"/>
      <c r="AH574" s="449"/>
    </row>
    <row r="575" ht="11.25" customHeight="1">
      <c r="A575" s="450"/>
      <c r="B575" s="451"/>
      <c r="C575" s="452"/>
      <c r="D575" s="452"/>
      <c r="E575" s="453"/>
      <c r="F575" s="453"/>
      <c r="G575" s="454"/>
      <c r="H575" s="454"/>
      <c r="I575" s="455"/>
      <c r="J575" s="456"/>
      <c r="K575" s="457" t="s">
        <v>1416</v>
      </c>
      <c r="L575" s="458"/>
      <c r="M575" s="459"/>
      <c r="N575" s="460"/>
      <c r="O575" s="460"/>
      <c r="P575" s="461"/>
      <c r="Q575" s="458"/>
      <c r="R575" s="459"/>
      <c r="S575" s="459"/>
      <c r="T575" s="459"/>
      <c r="U575" s="459"/>
      <c r="V575" s="459"/>
      <c r="W575" s="459"/>
      <c r="X575" s="459"/>
      <c r="Y575" s="462">
        <f t="shared" si="17"/>
        <v>0</v>
      </c>
      <c r="Z575" s="463"/>
      <c r="AA575" s="464"/>
      <c r="AB575" s="465"/>
      <c r="AC575" s="465"/>
      <c r="AD575" s="465"/>
      <c r="AE575" s="466"/>
      <c r="AF575" s="449"/>
      <c r="AG575" s="449"/>
      <c r="AH575" s="449"/>
    </row>
    <row r="576" ht="11.25" customHeight="1">
      <c r="A576" s="450"/>
      <c r="B576" s="451"/>
      <c r="C576" s="452"/>
      <c r="D576" s="452"/>
      <c r="E576" s="453"/>
      <c r="F576" s="453"/>
      <c r="G576" s="454"/>
      <c r="H576" s="454"/>
      <c r="I576" s="455"/>
      <c r="J576" s="456"/>
      <c r="K576" s="467" t="s">
        <v>1417</v>
      </c>
      <c r="L576" s="468"/>
      <c r="M576" s="469"/>
      <c r="N576" s="470"/>
      <c r="O576" s="470"/>
      <c r="P576" s="471"/>
      <c r="Q576" s="468"/>
      <c r="R576" s="469"/>
      <c r="S576" s="469"/>
      <c r="T576" s="469"/>
      <c r="U576" s="469"/>
      <c r="V576" s="469"/>
      <c r="W576" s="469"/>
      <c r="X576" s="469"/>
      <c r="Y576" s="462">
        <f t="shared" si="17"/>
        <v>0</v>
      </c>
      <c r="Z576" s="463"/>
      <c r="AA576" s="464"/>
      <c r="AB576" s="465"/>
      <c r="AC576" s="465"/>
      <c r="AD576" s="465"/>
      <c r="AE576" s="466"/>
      <c r="AF576" s="449"/>
      <c r="AG576" s="449"/>
      <c r="AH576" s="449"/>
    </row>
    <row r="577" ht="11.25" customHeight="1">
      <c r="A577" s="450"/>
      <c r="B577" s="472"/>
      <c r="C577" s="473"/>
      <c r="D577" s="473"/>
      <c r="E577" s="474"/>
      <c r="F577" s="474"/>
      <c r="G577" s="475"/>
      <c r="H577" s="475"/>
      <c r="I577" s="476"/>
      <c r="J577" s="477"/>
      <c r="K577" s="478" t="s">
        <v>1418</v>
      </c>
      <c r="L577" s="479"/>
      <c r="M577" s="480"/>
      <c r="N577" s="481"/>
      <c r="O577" s="481"/>
      <c r="P577" s="482"/>
      <c r="Q577" s="479"/>
      <c r="R577" s="480"/>
      <c r="S577" s="480"/>
      <c r="T577" s="480"/>
      <c r="U577" s="480"/>
      <c r="V577" s="480"/>
      <c r="W577" s="480"/>
      <c r="X577" s="480"/>
      <c r="Y577" s="483">
        <f t="shared" si="17"/>
        <v>0</v>
      </c>
      <c r="Z577" s="484"/>
      <c r="AA577" s="485"/>
      <c r="AB577" s="486"/>
      <c r="AC577" s="486"/>
      <c r="AD577" s="486"/>
      <c r="AE577" s="487"/>
      <c r="AF577" s="449"/>
      <c r="AG577" s="449"/>
      <c r="AH577" s="449"/>
    </row>
    <row r="578" ht="11.25" customHeight="1">
      <c r="A578" s="431" t="str">
        <f>IF(B578="","", YEAR(B578))</f>
        <v/>
      </c>
      <c r="B578" s="432"/>
      <c r="C578" s="433"/>
      <c r="D578" s="433"/>
      <c r="E578" s="434" t="str">
        <f t="shared" ref="E578:I578" si="296">IFERROR(AVERAGE(L578:L581),"")</f>
        <v/>
      </c>
      <c r="F578" s="434" t="str">
        <f t="shared" si="296"/>
        <v/>
      </c>
      <c r="G578" s="435" t="str">
        <f t="shared" si="296"/>
        <v/>
      </c>
      <c r="H578" s="435" t="str">
        <f t="shared" si="296"/>
        <v/>
      </c>
      <c r="I578" s="436" t="str">
        <f t="shared" si="296"/>
        <v/>
      </c>
      <c r="J578" s="437">
        <f>SUMIFS(PRODUCTION[KG],PRODUCTION[GRADE],"3X50",PRODUCTION[DATE],B578,PRODUCTION[BATCH],C578,PRODUCTION[SHIFT],D578)</f>
        <v>0</v>
      </c>
      <c r="K578" s="438" t="s">
        <v>1414</v>
      </c>
      <c r="L578" s="443"/>
      <c r="M578" s="440"/>
      <c r="N578" s="441"/>
      <c r="O578" s="441"/>
      <c r="P578" s="442"/>
      <c r="Q578" s="443"/>
      <c r="R578" s="440"/>
      <c r="S578" s="440"/>
      <c r="T578" s="440"/>
      <c r="U578" s="440"/>
      <c r="V578" s="440"/>
      <c r="W578" s="440"/>
      <c r="X578" s="440"/>
      <c r="Y578" s="444">
        <f t="shared" si="17"/>
        <v>0</v>
      </c>
      <c r="Z578" s="445"/>
      <c r="AA578" s="446">
        <f t="shared" ref="AA578:AE578" si="297">$J578*E578</f>
        <v>0</v>
      </c>
      <c r="AB578" s="447">
        <f t="shared" si="297"/>
        <v>0</v>
      </c>
      <c r="AC578" s="447">
        <f t="shared" si="297"/>
        <v>0</v>
      </c>
      <c r="AD578" s="447">
        <f t="shared" si="297"/>
        <v>0</v>
      </c>
      <c r="AE578" s="448">
        <f t="shared" si="297"/>
        <v>0</v>
      </c>
      <c r="AF578" s="449"/>
      <c r="AG578" s="449"/>
      <c r="AH578" s="449"/>
    </row>
    <row r="579" ht="11.25" customHeight="1">
      <c r="A579" s="450"/>
      <c r="B579" s="451"/>
      <c r="C579" s="452"/>
      <c r="D579" s="452"/>
      <c r="E579" s="453"/>
      <c r="F579" s="453"/>
      <c r="G579" s="454"/>
      <c r="H579" s="454"/>
      <c r="I579" s="455"/>
      <c r="J579" s="456"/>
      <c r="K579" s="457" t="s">
        <v>1416</v>
      </c>
      <c r="L579" s="458"/>
      <c r="M579" s="459"/>
      <c r="N579" s="460"/>
      <c r="O579" s="460"/>
      <c r="P579" s="461"/>
      <c r="Q579" s="458"/>
      <c r="R579" s="459"/>
      <c r="S579" s="459"/>
      <c r="T579" s="459"/>
      <c r="U579" s="459"/>
      <c r="V579" s="459"/>
      <c r="W579" s="459"/>
      <c r="X579" s="459"/>
      <c r="Y579" s="462">
        <f t="shared" si="17"/>
        <v>0</v>
      </c>
      <c r="Z579" s="463"/>
      <c r="AA579" s="464"/>
      <c r="AB579" s="465"/>
      <c r="AC579" s="465"/>
      <c r="AD579" s="465"/>
      <c r="AE579" s="466"/>
      <c r="AF579" s="449"/>
      <c r="AG579" s="449"/>
      <c r="AH579" s="449"/>
    </row>
    <row r="580" ht="11.25" customHeight="1">
      <c r="A580" s="450"/>
      <c r="B580" s="451"/>
      <c r="C580" s="452"/>
      <c r="D580" s="452"/>
      <c r="E580" s="453"/>
      <c r="F580" s="453"/>
      <c r="G580" s="454"/>
      <c r="H580" s="454"/>
      <c r="I580" s="455"/>
      <c r="J580" s="456"/>
      <c r="K580" s="467" t="s">
        <v>1417</v>
      </c>
      <c r="L580" s="468"/>
      <c r="M580" s="469"/>
      <c r="N580" s="470"/>
      <c r="O580" s="470"/>
      <c r="P580" s="471"/>
      <c r="Q580" s="468"/>
      <c r="R580" s="469"/>
      <c r="S580" s="469"/>
      <c r="T580" s="469"/>
      <c r="U580" s="469"/>
      <c r="V580" s="469"/>
      <c r="W580" s="469"/>
      <c r="X580" s="469"/>
      <c r="Y580" s="462">
        <f t="shared" si="17"/>
        <v>0</v>
      </c>
      <c r="Z580" s="463"/>
      <c r="AA580" s="464"/>
      <c r="AB580" s="465"/>
      <c r="AC580" s="465"/>
      <c r="AD580" s="465"/>
      <c r="AE580" s="466"/>
      <c r="AF580" s="449"/>
      <c r="AG580" s="449"/>
      <c r="AH580" s="449"/>
    </row>
    <row r="581" ht="11.25" customHeight="1">
      <c r="A581" s="450"/>
      <c r="B581" s="472"/>
      <c r="C581" s="473"/>
      <c r="D581" s="473"/>
      <c r="E581" s="474"/>
      <c r="F581" s="474"/>
      <c r="G581" s="475"/>
      <c r="H581" s="475"/>
      <c r="I581" s="476"/>
      <c r="J581" s="477"/>
      <c r="K581" s="478" t="s">
        <v>1418</v>
      </c>
      <c r="L581" s="479"/>
      <c r="M581" s="480"/>
      <c r="N581" s="481"/>
      <c r="O581" s="481"/>
      <c r="P581" s="482"/>
      <c r="Q581" s="479"/>
      <c r="R581" s="480"/>
      <c r="S581" s="480"/>
      <c r="T581" s="480"/>
      <c r="U581" s="480"/>
      <c r="V581" s="480"/>
      <c r="W581" s="480"/>
      <c r="X581" s="480"/>
      <c r="Y581" s="483">
        <f t="shared" si="17"/>
        <v>0</v>
      </c>
      <c r="Z581" s="484"/>
      <c r="AA581" s="485"/>
      <c r="AB581" s="486"/>
      <c r="AC581" s="486"/>
      <c r="AD581" s="486"/>
      <c r="AE581" s="487"/>
      <c r="AF581" s="449"/>
      <c r="AG581" s="449"/>
      <c r="AH581" s="449"/>
    </row>
    <row r="582" ht="11.25" customHeight="1">
      <c r="A582" s="431" t="str">
        <f>IF(B582="","", YEAR(B582))</f>
        <v/>
      </c>
      <c r="B582" s="432"/>
      <c r="C582" s="433"/>
      <c r="D582" s="433"/>
      <c r="E582" s="434" t="str">
        <f t="shared" ref="E582:I582" si="298">IFERROR(AVERAGE(L582:L585),"")</f>
        <v/>
      </c>
      <c r="F582" s="434" t="str">
        <f t="shared" si="298"/>
        <v/>
      </c>
      <c r="G582" s="435" t="str">
        <f t="shared" si="298"/>
        <v/>
      </c>
      <c r="H582" s="435" t="str">
        <f t="shared" si="298"/>
        <v/>
      </c>
      <c r="I582" s="436" t="str">
        <f t="shared" si="298"/>
        <v/>
      </c>
      <c r="J582" s="437">
        <f>SUMIFS(PRODUCTION[KG],PRODUCTION[GRADE],"3X50",PRODUCTION[DATE],B582,PRODUCTION[BATCH],C582,PRODUCTION[SHIFT],D582)</f>
        <v>0</v>
      </c>
      <c r="K582" s="438" t="s">
        <v>1414</v>
      </c>
      <c r="L582" s="443"/>
      <c r="M582" s="440"/>
      <c r="N582" s="441"/>
      <c r="O582" s="441"/>
      <c r="P582" s="442"/>
      <c r="Q582" s="443"/>
      <c r="R582" s="440"/>
      <c r="S582" s="440"/>
      <c r="T582" s="440"/>
      <c r="U582" s="440"/>
      <c r="V582" s="440"/>
      <c r="W582" s="440"/>
      <c r="X582" s="440"/>
      <c r="Y582" s="444">
        <f t="shared" si="17"/>
        <v>0</v>
      </c>
      <c r="Z582" s="445"/>
      <c r="AA582" s="446">
        <f t="shared" ref="AA582:AE582" si="299">$J582*E582</f>
        <v>0</v>
      </c>
      <c r="AB582" s="447">
        <f t="shared" si="299"/>
        <v>0</v>
      </c>
      <c r="AC582" s="447">
        <f t="shared" si="299"/>
        <v>0</v>
      </c>
      <c r="AD582" s="447">
        <f t="shared" si="299"/>
        <v>0</v>
      </c>
      <c r="AE582" s="448">
        <f t="shared" si="299"/>
        <v>0</v>
      </c>
      <c r="AF582" s="449"/>
      <c r="AG582" s="449"/>
      <c r="AH582" s="449"/>
    </row>
    <row r="583" ht="11.25" customHeight="1">
      <c r="A583" s="450"/>
      <c r="B583" s="451"/>
      <c r="C583" s="452"/>
      <c r="D583" s="452"/>
      <c r="E583" s="453"/>
      <c r="F583" s="453"/>
      <c r="G583" s="454"/>
      <c r="H583" s="454"/>
      <c r="I583" s="455"/>
      <c r="J583" s="456"/>
      <c r="K583" s="457" t="s">
        <v>1416</v>
      </c>
      <c r="L583" s="458"/>
      <c r="M583" s="459"/>
      <c r="N583" s="460"/>
      <c r="O583" s="460"/>
      <c r="P583" s="461"/>
      <c r="Q583" s="458"/>
      <c r="R583" s="459"/>
      <c r="S583" s="459"/>
      <c r="T583" s="459"/>
      <c r="U583" s="459"/>
      <c r="V583" s="459"/>
      <c r="W583" s="459"/>
      <c r="X583" s="459"/>
      <c r="Y583" s="462">
        <f t="shared" si="17"/>
        <v>0</v>
      </c>
      <c r="Z583" s="463"/>
      <c r="AA583" s="464"/>
      <c r="AB583" s="465"/>
      <c r="AC583" s="465"/>
      <c r="AD583" s="465"/>
      <c r="AE583" s="466"/>
      <c r="AF583" s="449"/>
      <c r="AG583" s="449"/>
      <c r="AH583" s="449"/>
    </row>
    <row r="584" ht="11.25" customHeight="1">
      <c r="A584" s="450"/>
      <c r="B584" s="451"/>
      <c r="C584" s="452"/>
      <c r="D584" s="452"/>
      <c r="E584" s="453"/>
      <c r="F584" s="453"/>
      <c r="G584" s="454"/>
      <c r="H584" s="454"/>
      <c r="I584" s="455"/>
      <c r="J584" s="456"/>
      <c r="K584" s="467" t="s">
        <v>1417</v>
      </c>
      <c r="L584" s="468"/>
      <c r="M584" s="469"/>
      <c r="N584" s="470"/>
      <c r="O584" s="470"/>
      <c r="P584" s="471"/>
      <c r="Q584" s="468"/>
      <c r="R584" s="469"/>
      <c r="S584" s="469"/>
      <c r="T584" s="469"/>
      <c r="U584" s="469"/>
      <c r="V584" s="469"/>
      <c r="W584" s="469"/>
      <c r="X584" s="469"/>
      <c r="Y584" s="462">
        <f t="shared" si="17"/>
        <v>0</v>
      </c>
      <c r="Z584" s="463"/>
      <c r="AA584" s="464"/>
      <c r="AB584" s="465"/>
      <c r="AC584" s="465"/>
      <c r="AD584" s="465"/>
      <c r="AE584" s="466"/>
      <c r="AF584" s="449"/>
      <c r="AG584" s="449"/>
      <c r="AH584" s="449"/>
    </row>
    <row r="585" ht="11.25" customHeight="1">
      <c r="A585" s="450"/>
      <c r="B585" s="472"/>
      <c r="C585" s="473"/>
      <c r="D585" s="473"/>
      <c r="E585" s="474"/>
      <c r="F585" s="474"/>
      <c r="G585" s="475"/>
      <c r="H585" s="475"/>
      <c r="I585" s="476"/>
      <c r="J585" s="477"/>
      <c r="K585" s="478" t="s">
        <v>1418</v>
      </c>
      <c r="L585" s="479"/>
      <c r="M585" s="480"/>
      <c r="N585" s="481"/>
      <c r="O585" s="481"/>
      <c r="P585" s="482"/>
      <c r="Q585" s="479"/>
      <c r="R585" s="480"/>
      <c r="S585" s="480"/>
      <c r="T585" s="480"/>
      <c r="U585" s="480"/>
      <c r="V585" s="480"/>
      <c r="W585" s="480"/>
      <c r="X585" s="480"/>
      <c r="Y585" s="483">
        <f t="shared" si="17"/>
        <v>0</v>
      </c>
      <c r="Z585" s="484"/>
      <c r="AA585" s="485"/>
      <c r="AB585" s="486"/>
      <c r="AC585" s="486"/>
      <c r="AD585" s="486"/>
      <c r="AE585" s="487"/>
      <c r="AF585" s="449"/>
      <c r="AG585" s="449"/>
      <c r="AH585" s="449"/>
    </row>
    <row r="586" ht="11.25" customHeight="1">
      <c r="A586" s="431" t="str">
        <f>IF(B586="","", YEAR(B586))</f>
        <v/>
      </c>
      <c r="B586" s="432"/>
      <c r="C586" s="433"/>
      <c r="D586" s="433"/>
      <c r="E586" s="434" t="str">
        <f t="shared" ref="E586:I586" si="300">IFERROR(AVERAGE(L586:L589),"")</f>
        <v/>
      </c>
      <c r="F586" s="434" t="str">
        <f t="shared" si="300"/>
        <v/>
      </c>
      <c r="G586" s="435" t="str">
        <f t="shared" si="300"/>
        <v/>
      </c>
      <c r="H586" s="435" t="str">
        <f t="shared" si="300"/>
        <v/>
      </c>
      <c r="I586" s="436" t="str">
        <f t="shared" si="300"/>
        <v/>
      </c>
      <c r="J586" s="437">
        <f>SUMIFS(PRODUCTION[KG],PRODUCTION[GRADE],"3X50",PRODUCTION[DATE],B586,PRODUCTION[BATCH],C586,PRODUCTION[SHIFT],D586)</f>
        <v>0</v>
      </c>
      <c r="K586" s="438" t="s">
        <v>1414</v>
      </c>
      <c r="L586" s="443"/>
      <c r="M586" s="440"/>
      <c r="N586" s="441"/>
      <c r="O586" s="441"/>
      <c r="P586" s="442"/>
      <c r="Q586" s="443"/>
      <c r="R586" s="440"/>
      <c r="S586" s="440"/>
      <c r="T586" s="440"/>
      <c r="U586" s="440"/>
      <c r="V586" s="440"/>
      <c r="W586" s="440"/>
      <c r="X586" s="440"/>
      <c r="Y586" s="444">
        <f t="shared" si="17"/>
        <v>0</v>
      </c>
      <c r="Z586" s="445"/>
      <c r="AA586" s="446">
        <f t="shared" ref="AA586:AE586" si="301">$J586*E586</f>
        <v>0</v>
      </c>
      <c r="AB586" s="447">
        <f t="shared" si="301"/>
        <v>0</v>
      </c>
      <c r="AC586" s="447">
        <f t="shared" si="301"/>
        <v>0</v>
      </c>
      <c r="AD586" s="447">
        <f t="shared" si="301"/>
        <v>0</v>
      </c>
      <c r="AE586" s="448">
        <f t="shared" si="301"/>
        <v>0</v>
      </c>
      <c r="AF586" s="449"/>
      <c r="AG586" s="449"/>
      <c r="AH586" s="449"/>
    </row>
    <row r="587" ht="11.25" customHeight="1">
      <c r="A587" s="450"/>
      <c r="B587" s="451"/>
      <c r="C587" s="452"/>
      <c r="D587" s="452"/>
      <c r="E587" s="453"/>
      <c r="F587" s="453"/>
      <c r="G587" s="454"/>
      <c r="H587" s="454"/>
      <c r="I587" s="455"/>
      <c r="J587" s="456"/>
      <c r="K587" s="457" t="s">
        <v>1416</v>
      </c>
      <c r="L587" s="458"/>
      <c r="M587" s="459"/>
      <c r="N587" s="460"/>
      <c r="O587" s="460"/>
      <c r="P587" s="461"/>
      <c r="Q587" s="458"/>
      <c r="R587" s="459"/>
      <c r="S587" s="459"/>
      <c r="T587" s="459"/>
      <c r="U587" s="459"/>
      <c r="V587" s="459"/>
      <c r="W587" s="459"/>
      <c r="X587" s="459"/>
      <c r="Y587" s="462">
        <f t="shared" si="17"/>
        <v>0</v>
      </c>
      <c r="Z587" s="463"/>
      <c r="AA587" s="464"/>
      <c r="AB587" s="465"/>
      <c r="AC587" s="465"/>
      <c r="AD587" s="465"/>
      <c r="AE587" s="466"/>
      <c r="AF587" s="449"/>
      <c r="AG587" s="449"/>
      <c r="AH587" s="449"/>
    </row>
    <row r="588" ht="11.25" customHeight="1">
      <c r="A588" s="450"/>
      <c r="B588" s="451"/>
      <c r="C588" s="452"/>
      <c r="D588" s="452"/>
      <c r="E588" s="453"/>
      <c r="F588" s="453"/>
      <c r="G588" s="454"/>
      <c r="H588" s="454"/>
      <c r="I588" s="455"/>
      <c r="J588" s="456"/>
      <c r="K588" s="467" t="s">
        <v>1417</v>
      </c>
      <c r="L588" s="468"/>
      <c r="M588" s="469"/>
      <c r="N588" s="470"/>
      <c r="O588" s="470"/>
      <c r="P588" s="471"/>
      <c r="Q588" s="468"/>
      <c r="R588" s="469"/>
      <c r="S588" s="469"/>
      <c r="T588" s="469"/>
      <c r="U588" s="469"/>
      <c r="V588" s="469"/>
      <c r="W588" s="469"/>
      <c r="X588" s="469"/>
      <c r="Y588" s="462">
        <f t="shared" si="17"/>
        <v>0</v>
      </c>
      <c r="Z588" s="463"/>
      <c r="AA588" s="464"/>
      <c r="AB588" s="465"/>
      <c r="AC588" s="465"/>
      <c r="AD588" s="465"/>
      <c r="AE588" s="466"/>
      <c r="AF588" s="449"/>
      <c r="AG588" s="449"/>
      <c r="AH588" s="449"/>
    </row>
    <row r="589" ht="11.25" customHeight="1">
      <c r="A589" s="450"/>
      <c r="B589" s="472"/>
      <c r="C589" s="473"/>
      <c r="D589" s="473"/>
      <c r="E589" s="474"/>
      <c r="F589" s="474"/>
      <c r="G589" s="475"/>
      <c r="H589" s="475"/>
      <c r="I589" s="476"/>
      <c r="J589" s="477"/>
      <c r="K589" s="478" t="s">
        <v>1418</v>
      </c>
      <c r="L589" s="479"/>
      <c r="M589" s="480"/>
      <c r="N589" s="481"/>
      <c r="O589" s="481"/>
      <c r="P589" s="482"/>
      <c r="Q589" s="479"/>
      <c r="R589" s="480"/>
      <c r="S589" s="480"/>
      <c r="T589" s="480"/>
      <c r="U589" s="480"/>
      <c r="V589" s="480"/>
      <c r="W589" s="480"/>
      <c r="X589" s="480"/>
      <c r="Y589" s="483">
        <f t="shared" si="17"/>
        <v>0</v>
      </c>
      <c r="Z589" s="484"/>
      <c r="AA589" s="485"/>
      <c r="AB589" s="486"/>
      <c r="AC589" s="486"/>
      <c r="AD589" s="486"/>
      <c r="AE589" s="487"/>
      <c r="AF589" s="449"/>
      <c r="AG589" s="449"/>
      <c r="AH589" s="449"/>
    </row>
    <row r="590" ht="11.25" customHeight="1">
      <c r="A590" s="431" t="str">
        <f>IF(B590="","", YEAR(B590))</f>
        <v/>
      </c>
      <c r="B590" s="432"/>
      <c r="C590" s="433"/>
      <c r="D590" s="433"/>
      <c r="E590" s="434" t="str">
        <f t="shared" ref="E590:I590" si="302">IFERROR(AVERAGE(L590:L593),"")</f>
        <v/>
      </c>
      <c r="F590" s="434" t="str">
        <f t="shared" si="302"/>
        <v/>
      </c>
      <c r="G590" s="435" t="str">
        <f t="shared" si="302"/>
        <v/>
      </c>
      <c r="H590" s="435" t="str">
        <f t="shared" si="302"/>
        <v/>
      </c>
      <c r="I590" s="436" t="str">
        <f t="shared" si="302"/>
        <v/>
      </c>
      <c r="J590" s="437">
        <f>SUMIFS(PRODUCTION[KG],PRODUCTION[GRADE],"3X50",PRODUCTION[DATE],B590,PRODUCTION[BATCH],C590,PRODUCTION[SHIFT],D590)</f>
        <v>0</v>
      </c>
      <c r="K590" s="438" t="s">
        <v>1414</v>
      </c>
      <c r="L590" s="443"/>
      <c r="M590" s="440"/>
      <c r="N590" s="441"/>
      <c r="O590" s="441"/>
      <c r="P590" s="442"/>
      <c r="Q590" s="443"/>
      <c r="R590" s="440"/>
      <c r="S590" s="440"/>
      <c r="T590" s="440"/>
      <c r="U590" s="440"/>
      <c r="V590" s="440"/>
      <c r="W590" s="440"/>
      <c r="X590" s="440"/>
      <c r="Y590" s="444">
        <f t="shared" si="17"/>
        <v>0</v>
      </c>
      <c r="Z590" s="445"/>
      <c r="AA590" s="446">
        <f t="shared" ref="AA590:AE590" si="303">$J590*E590</f>
        <v>0</v>
      </c>
      <c r="AB590" s="447">
        <f t="shared" si="303"/>
        <v>0</v>
      </c>
      <c r="AC590" s="447">
        <f t="shared" si="303"/>
        <v>0</v>
      </c>
      <c r="AD590" s="447">
        <f t="shared" si="303"/>
        <v>0</v>
      </c>
      <c r="AE590" s="448">
        <f t="shared" si="303"/>
        <v>0</v>
      </c>
      <c r="AF590" s="449"/>
      <c r="AG590" s="449"/>
      <c r="AH590" s="449"/>
    </row>
    <row r="591" ht="11.25" customHeight="1">
      <c r="A591" s="450"/>
      <c r="B591" s="451"/>
      <c r="C591" s="452"/>
      <c r="D591" s="452"/>
      <c r="E591" s="453"/>
      <c r="F591" s="453"/>
      <c r="G591" s="454"/>
      <c r="H591" s="454"/>
      <c r="I591" s="455"/>
      <c r="J591" s="456"/>
      <c r="K591" s="457" t="s">
        <v>1416</v>
      </c>
      <c r="L591" s="458"/>
      <c r="M591" s="459"/>
      <c r="N591" s="460"/>
      <c r="O591" s="460"/>
      <c r="P591" s="461"/>
      <c r="Q591" s="458"/>
      <c r="R591" s="459"/>
      <c r="S591" s="459"/>
      <c r="T591" s="459"/>
      <c r="U591" s="459"/>
      <c r="V591" s="459"/>
      <c r="W591" s="459"/>
      <c r="X591" s="459"/>
      <c r="Y591" s="462">
        <f t="shared" si="17"/>
        <v>0</v>
      </c>
      <c r="Z591" s="463"/>
      <c r="AA591" s="464"/>
      <c r="AB591" s="465"/>
      <c r="AC591" s="465"/>
      <c r="AD591" s="465"/>
      <c r="AE591" s="466"/>
      <c r="AF591" s="449"/>
      <c r="AG591" s="449"/>
      <c r="AH591" s="449"/>
    </row>
    <row r="592" ht="11.25" customHeight="1">
      <c r="A592" s="450"/>
      <c r="B592" s="451"/>
      <c r="C592" s="452"/>
      <c r="D592" s="452"/>
      <c r="E592" s="453"/>
      <c r="F592" s="453"/>
      <c r="G592" s="454"/>
      <c r="H592" s="454"/>
      <c r="I592" s="455"/>
      <c r="J592" s="456"/>
      <c r="K592" s="467" t="s">
        <v>1417</v>
      </c>
      <c r="L592" s="468"/>
      <c r="M592" s="469"/>
      <c r="N592" s="470"/>
      <c r="O592" s="470"/>
      <c r="P592" s="471"/>
      <c r="Q592" s="468"/>
      <c r="R592" s="469"/>
      <c r="S592" s="469"/>
      <c r="T592" s="469"/>
      <c r="U592" s="469"/>
      <c r="V592" s="469"/>
      <c r="W592" s="469"/>
      <c r="X592" s="469"/>
      <c r="Y592" s="462">
        <f t="shared" si="17"/>
        <v>0</v>
      </c>
      <c r="Z592" s="463"/>
      <c r="AA592" s="464"/>
      <c r="AB592" s="465"/>
      <c r="AC592" s="465"/>
      <c r="AD592" s="465"/>
      <c r="AE592" s="466"/>
      <c r="AF592" s="449"/>
      <c r="AG592" s="449"/>
      <c r="AH592" s="449"/>
    </row>
    <row r="593" ht="11.25" customHeight="1">
      <c r="A593" s="450"/>
      <c r="B593" s="472"/>
      <c r="C593" s="473"/>
      <c r="D593" s="473"/>
      <c r="E593" s="474"/>
      <c r="F593" s="474"/>
      <c r="G593" s="475"/>
      <c r="H593" s="475"/>
      <c r="I593" s="476"/>
      <c r="J593" s="477"/>
      <c r="K593" s="478" t="s">
        <v>1418</v>
      </c>
      <c r="L593" s="479"/>
      <c r="M593" s="480"/>
      <c r="N593" s="481"/>
      <c r="O593" s="481"/>
      <c r="P593" s="482"/>
      <c r="Q593" s="479"/>
      <c r="R593" s="480"/>
      <c r="S593" s="480"/>
      <c r="T593" s="480"/>
      <c r="U593" s="480"/>
      <c r="V593" s="480"/>
      <c r="W593" s="480"/>
      <c r="X593" s="480"/>
      <c r="Y593" s="483">
        <f t="shared" si="17"/>
        <v>0</v>
      </c>
      <c r="Z593" s="484"/>
      <c r="AA593" s="485"/>
      <c r="AB593" s="486"/>
      <c r="AC593" s="486"/>
      <c r="AD593" s="486"/>
      <c r="AE593" s="487"/>
      <c r="AF593" s="449"/>
      <c r="AG593" s="449"/>
      <c r="AH593" s="449"/>
    </row>
    <row r="594" ht="11.25" customHeight="1">
      <c r="A594" s="431" t="str">
        <f>IF(B594="","", YEAR(B594))</f>
        <v/>
      </c>
      <c r="B594" s="432"/>
      <c r="C594" s="433"/>
      <c r="D594" s="433"/>
      <c r="E594" s="434" t="str">
        <f t="shared" ref="E594:I594" si="304">IFERROR(AVERAGE(L594:L597),"")</f>
        <v/>
      </c>
      <c r="F594" s="434" t="str">
        <f t="shared" si="304"/>
        <v/>
      </c>
      <c r="G594" s="435" t="str">
        <f t="shared" si="304"/>
        <v/>
      </c>
      <c r="H594" s="435" t="str">
        <f t="shared" si="304"/>
        <v/>
      </c>
      <c r="I594" s="436" t="str">
        <f t="shared" si="304"/>
        <v/>
      </c>
      <c r="J594" s="437">
        <f>SUMIFS(PRODUCTION[KG],PRODUCTION[GRADE],"3X50",PRODUCTION[DATE],B594,PRODUCTION[BATCH],C594,PRODUCTION[SHIFT],D594)</f>
        <v>0</v>
      </c>
      <c r="K594" s="438" t="s">
        <v>1414</v>
      </c>
      <c r="L594" s="443"/>
      <c r="M594" s="440"/>
      <c r="N594" s="441"/>
      <c r="O594" s="441"/>
      <c r="P594" s="442"/>
      <c r="Q594" s="443"/>
      <c r="R594" s="440"/>
      <c r="S594" s="440"/>
      <c r="T594" s="440"/>
      <c r="U594" s="440"/>
      <c r="V594" s="440"/>
      <c r="W594" s="440"/>
      <c r="X594" s="440"/>
      <c r="Y594" s="444">
        <f t="shared" si="17"/>
        <v>0</v>
      </c>
      <c r="Z594" s="445"/>
      <c r="AA594" s="446">
        <f t="shared" ref="AA594:AE594" si="305">$J594*E594</f>
        <v>0</v>
      </c>
      <c r="AB594" s="447">
        <f t="shared" si="305"/>
        <v>0</v>
      </c>
      <c r="AC594" s="447">
        <f t="shared" si="305"/>
        <v>0</v>
      </c>
      <c r="AD594" s="447">
        <f t="shared" si="305"/>
        <v>0</v>
      </c>
      <c r="AE594" s="448">
        <f t="shared" si="305"/>
        <v>0</v>
      </c>
      <c r="AF594" s="449"/>
      <c r="AG594" s="449"/>
      <c r="AH594" s="449"/>
    </row>
    <row r="595" ht="11.25" customHeight="1">
      <c r="A595" s="450"/>
      <c r="B595" s="451"/>
      <c r="C595" s="452"/>
      <c r="D595" s="452"/>
      <c r="E595" s="453"/>
      <c r="F595" s="453"/>
      <c r="G595" s="454"/>
      <c r="H595" s="454"/>
      <c r="I595" s="455"/>
      <c r="J595" s="456"/>
      <c r="K595" s="457" t="s">
        <v>1416</v>
      </c>
      <c r="L595" s="458"/>
      <c r="M595" s="459"/>
      <c r="N595" s="460"/>
      <c r="O595" s="460"/>
      <c r="P595" s="461"/>
      <c r="Q595" s="458"/>
      <c r="R595" s="459"/>
      <c r="S595" s="459"/>
      <c r="T595" s="459"/>
      <c r="U595" s="459"/>
      <c r="V595" s="459"/>
      <c r="W595" s="459"/>
      <c r="X595" s="459"/>
      <c r="Y595" s="462">
        <f t="shared" si="17"/>
        <v>0</v>
      </c>
      <c r="Z595" s="463"/>
      <c r="AA595" s="464"/>
      <c r="AB595" s="465"/>
      <c r="AC595" s="465"/>
      <c r="AD595" s="465"/>
      <c r="AE595" s="466"/>
      <c r="AF595" s="449"/>
      <c r="AG595" s="449"/>
      <c r="AH595" s="449"/>
    </row>
    <row r="596" ht="11.25" customHeight="1">
      <c r="A596" s="450"/>
      <c r="B596" s="451"/>
      <c r="C596" s="452"/>
      <c r="D596" s="452"/>
      <c r="E596" s="453"/>
      <c r="F596" s="453"/>
      <c r="G596" s="454"/>
      <c r="H596" s="454"/>
      <c r="I596" s="455"/>
      <c r="J596" s="456"/>
      <c r="K596" s="467" t="s">
        <v>1417</v>
      </c>
      <c r="L596" s="468"/>
      <c r="M596" s="469"/>
      <c r="N596" s="470"/>
      <c r="O596" s="470"/>
      <c r="P596" s="471"/>
      <c r="Q596" s="468"/>
      <c r="R596" s="469"/>
      <c r="S596" s="469"/>
      <c r="T596" s="469"/>
      <c r="U596" s="469"/>
      <c r="V596" s="469"/>
      <c r="W596" s="469"/>
      <c r="X596" s="469"/>
      <c r="Y596" s="462">
        <f t="shared" si="17"/>
        <v>0</v>
      </c>
      <c r="Z596" s="463"/>
      <c r="AA596" s="464"/>
      <c r="AB596" s="465"/>
      <c r="AC596" s="465"/>
      <c r="AD596" s="465"/>
      <c r="AE596" s="466"/>
      <c r="AF596" s="449"/>
      <c r="AG596" s="449"/>
      <c r="AH596" s="449"/>
    </row>
    <row r="597" ht="11.25" customHeight="1">
      <c r="A597" s="450"/>
      <c r="B597" s="472"/>
      <c r="C597" s="473"/>
      <c r="D597" s="473"/>
      <c r="E597" s="474"/>
      <c r="F597" s="474"/>
      <c r="G597" s="475"/>
      <c r="H597" s="475"/>
      <c r="I597" s="476"/>
      <c r="J597" s="477"/>
      <c r="K597" s="478" t="s">
        <v>1418</v>
      </c>
      <c r="L597" s="479"/>
      <c r="M597" s="480"/>
      <c r="N597" s="481"/>
      <c r="O597" s="481"/>
      <c r="P597" s="482"/>
      <c r="Q597" s="479"/>
      <c r="R597" s="480"/>
      <c r="S597" s="480"/>
      <c r="T597" s="480"/>
      <c r="U597" s="480"/>
      <c r="V597" s="480"/>
      <c r="W597" s="480"/>
      <c r="X597" s="480"/>
      <c r="Y597" s="483">
        <f t="shared" si="17"/>
        <v>0</v>
      </c>
      <c r="Z597" s="484"/>
      <c r="AA597" s="485"/>
      <c r="AB597" s="486"/>
      <c r="AC597" s="486"/>
      <c r="AD597" s="486"/>
      <c r="AE597" s="487"/>
      <c r="AF597" s="449"/>
      <c r="AG597" s="449"/>
      <c r="AH597" s="449"/>
    </row>
    <row r="598" ht="11.25" customHeight="1">
      <c r="A598" s="431" t="str">
        <f>IF(B598="","", YEAR(B598))</f>
        <v/>
      </c>
      <c r="B598" s="432"/>
      <c r="C598" s="433"/>
      <c r="D598" s="433"/>
      <c r="E598" s="434" t="str">
        <f t="shared" ref="E598:I598" si="306">IFERROR(AVERAGE(L598:L601),"")</f>
        <v/>
      </c>
      <c r="F598" s="434" t="str">
        <f t="shared" si="306"/>
        <v/>
      </c>
      <c r="G598" s="435" t="str">
        <f t="shared" si="306"/>
        <v/>
      </c>
      <c r="H598" s="435" t="str">
        <f t="shared" si="306"/>
        <v/>
      </c>
      <c r="I598" s="436" t="str">
        <f t="shared" si="306"/>
        <v/>
      </c>
      <c r="J598" s="437">
        <f>SUMIFS(PRODUCTION[KG],PRODUCTION[GRADE],"3X50",PRODUCTION[DATE],B598,PRODUCTION[BATCH],C598,PRODUCTION[SHIFT],D598)</f>
        <v>0</v>
      </c>
      <c r="K598" s="438" t="s">
        <v>1414</v>
      </c>
      <c r="L598" s="443"/>
      <c r="M598" s="440"/>
      <c r="N598" s="441"/>
      <c r="O598" s="441"/>
      <c r="P598" s="442"/>
      <c r="Q598" s="443"/>
      <c r="R598" s="440"/>
      <c r="S598" s="440"/>
      <c r="T598" s="440"/>
      <c r="U598" s="440"/>
      <c r="V598" s="440"/>
      <c r="W598" s="440"/>
      <c r="X598" s="440"/>
      <c r="Y598" s="444">
        <f t="shared" si="17"/>
        <v>0</v>
      </c>
      <c r="Z598" s="445"/>
      <c r="AA598" s="446">
        <f t="shared" ref="AA598:AE598" si="307">$J598*E598</f>
        <v>0</v>
      </c>
      <c r="AB598" s="447">
        <f t="shared" si="307"/>
        <v>0</v>
      </c>
      <c r="AC598" s="447">
        <f t="shared" si="307"/>
        <v>0</v>
      </c>
      <c r="AD598" s="447">
        <f t="shared" si="307"/>
        <v>0</v>
      </c>
      <c r="AE598" s="448">
        <f t="shared" si="307"/>
        <v>0</v>
      </c>
      <c r="AF598" s="449"/>
      <c r="AG598" s="449"/>
      <c r="AH598" s="449"/>
    </row>
    <row r="599" ht="11.25" customHeight="1">
      <c r="A599" s="450"/>
      <c r="B599" s="451"/>
      <c r="C599" s="452"/>
      <c r="D599" s="452"/>
      <c r="E599" s="453"/>
      <c r="F599" s="453"/>
      <c r="G599" s="454"/>
      <c r="H599" s="454"/>
      <c r="I599" s="455"/>
      <c r="J599" s="456"/>
      <c r="K599" s="457" t="s">
        <v>1416</v>
      </c>
      <c r="L599" s="458"/>
      <c r="M599" s="459"/>
      <c r="N599" s="460"/>
      <c r="O599" s="460"/>
      <c r="P599" s="461"/>
      <c r="Q599" s="458"/>
      <c r="R599" s="459"/>
      <c r="S599" s="459"/>
      <c r="T599" s="459"/>
      <c r="U599" s="459"/>
      <c r="V599" s="459"/>
      <c r="W599" s="459"/>
      <c r="X599" s="459"/>
      <c r="Y599" s="462">
        <f t="shared" si="17"/>
        <v>0</v>
      </c>
      <c r="Z599" s="463"/>
      <c r="AA599" s="464"/>
      <c r="AB599" s="465"/>
      <c r="AC599" s="465"/>
      <c r="AD599" s="465"/>
      <c r="AE599" s="466"/>
      <c r="AF599" s="449"/>
      <c r="AG599" s="449"/>
      <c r="AH599" s="449"/>
    </row>
    <row r="600" ht="11.25" customHeight="1">
      <c r="A600" s="450"/>
      <c r="B600" s="451"/>
      <c r="C600" s="452"/>
      <c r="D600" s="452"/>
      <c r="E600" s="453"/>
      <c r="F600" s="453"/>
      <c r="G600" s="454"/>
      <c r="H600" s="454"/>
      <c r="I600" s="455"/>
      <c r="J600" s="456"/>
      <c r="K600" s="467" t="s">
        <v>1417</v>
      </c>
      <c r="L600" s="468"/>
      <c r="M600" s="469"/>
      <c r="N600" s="470"/>
      <c r="O600" s="470"/>
      <c r="P600" s="471"/>
      <c r="Q600" s="468"/>
      <c r="R600" s="469"/>
      <c r="S600" s="469"/>
      <c r="T600" s="469"/>
      <c r="U600" s="469"/>
      <c r="V600" s="469"/>
      <c r="W600" s="469"/>
      <c r="X600" s="469"/>
      <c r="Y600" s="462">
        <f t="shared" si="17"/>
        <v>0</v>
      </c>
      <c r="Z600" s="463"/>
      <c r="AA600" s="464"/>
      <c r="AB600" s="465"/>
      <c r="AC600" s="465"/>
      <c r="AD600" s="465"/>
      <c r="AE600" s="466"/>
      <c r="AF600" s="449"/>
      <c r="AG600" s="449"/>
      <c r="AH600" s="449"/>
    </row>
    <row r="601" ht="11.25" customHeight="1">
      <c r="A601" s="450"/>
      <c r="B601" s="472"/>
      <c r="C601" s="473"/>
      <c r="D601" s="473"/>
      <c r="E601" s="474"/>
      <c r="F601" s="474"/>
      <c r="G601" s="475"/>
      <c r="H601" s="475"/>
      <c r="I601" s="476"/>
      <c r="J601" s="477"/>
      <c r="K601" s="478" t="s">
        <v>1418</v>
      </c>
      <c r="L601" s="479"/>
      <c r="M601" s="480"/>
      <c r="N601" s="481"/>
      <c r="O601" s="481"/>
      <c r="P601" s="482"/>
      <c r="Q601" s="479"/>
      <c r="R601" s="480"/>
      <c r="S601" s="480"/>
      <c r="T601" s="480"/>
      <c r="U601" s="480"/>
      <c r="V601" s="480"/>
      <c r="W601" s="480"/>
      <c r="X601" s="480"/>
      <c r="Y601" s="483">
        <f t="shared" si="17"/>
        <v>0</v>
      </c>
      <c r="Z601" s="484"/>
      <c r="AA601" s="485"/>
      <c r="AB601" s="486"/>
      <c r="AC601" s="486"/>
      <c r="AD601" s="486"/>
      <c r="AE601" s="487"/>
      <c r="AF601" s="449"/>
      <c r="AG601" s="449"/>
      <c r="AH601" s="449"/>
    </row>
    <row r="602" ht="11.25" customHeight="1">
      <c r="A602" s="431" t="str">
        <f>IF(B602="","", YEAR(B602))</f>
        <v/>
      </c>
      <c r="B602" s="432"/>
      <c r="C602" s="433"/>
      <c r="D602" s="433"/>
      <c r="E602" s="434" t="str">
        <f t="shared" ref="E602:I602" si="308">IFERROR(AVERAGE(L602:L605),"")</f>
        <v/>
      </c>
      <c r="F602" s="434" t="str">
        <f t="shared" si="308"/>
        <v/>
      </c>
      <c r="G602" s="435" t="str">
        <f t="shared" si="308"/>
        <v/>
      </c>
      <c r="H602" s="435" t="str">
        <f t="shared" si="308"/>
        <v/>
      </c>
      <c r="I602" s="436" t="str">
        <f t="shared" si="308"/>
        <v/>
      </c>
      <c r="J602" s="437">
        <f>SUMIFS(PRODUCTION[KG],PRODUCTION[GRADE],"3X50",PRODUCTION[DATE],B602,PRODUCTION[BATCH],C602,PRODUCTION[SHIFT],D602)</f>
        <v>0</v>
      </c>
      <c r="K602" s="438" t="s">
        <v>1414</v>
      </c>
      <c r="L602" s="443"/>
      <c r="M602" s="440"/>
      <c r="N602" s="441"/>
      <c r="O602" s="441"/>
      <c r="P602" s="442"/>
      <c r="Q602" s="443"/>
      <c r="R602" s="440"/>
      <c r="S602" s="440"/>
      <c r="T602" s="440"/>
      <c r="U602" s="440"/>
      <c r="V602" s="440"/>
      <c r="W602" s="440"/>
      <c r="X602" s="440"/>
      <c r="Y602" s="444">
        <f t="shared" si="17"/>
        <v>0</v>
      </c>
      <c r="Z602" s="445"/>
      <c r="AA602" s="446">
        <f t="shared" ref="AA602:AE602" si="309">$J602*E602</f>
        <v>0</v>
      </c>
      <c r="AB602" s="447">
        <f t="shared" si="309"/>
        <v>0</v>
      </c>
      <c r="AC602" s="447">
        <f t="shared" si="309"/>
        <v>0</v>
      </c>
      <c r="AD602" s="447">
        <f t="shared" si="309"/>
        <v>0</v>
      </c>
      <c r="AE602" s="448">
        <f t="shared" si="309"/>
        <v>0</v>
      </c>
      <c r="AF602" s="449"/>
      <c r="AG602" s="449"/>
      <c r="AH602" s="449"/>
    </row>
    <row r="603" ht="11.25" customHeight="1">
      <c r="A603" s="450"/>
      <c r="B603" s="451"/>
      <c r="C603" s="452"/>
      <c r="D603" s="452"/>
      <c r="E603" s="453"/>
      <c r="F603" s="453"/>
      <c r="G603" s="454"/>
      <c r="H603" s="454"/>
      <c r="I603" s="455"/>
      <c r="J603" s="456"/>
      <c r="K603" s="457" t="s">
        <v>1416</v>
      </c>
      <c r="L603" s="458"/>
      <c r="M603" s="459"/>
      <c r="N603" s="460"/>
      <c r="O603" s="460"/>
      <c r="P603" s="461"/>
      <c r="Q603" s="458"/>
      <c r="R603" s="459"/>
      <c r="S603" s="459"/>
      <c r="T603" s="459"/>
      <c r="U603" s="459"/>
      <c r="V603" s="459"/>
      <c r="W603" s="459"/>
      <c r="X603" s="459"/>
      <c r="Y603" s="462">
        <f t="shared" si="17"/>
        <v>0</v>
      </c>
      <c r="Z603" s="463"/>
      <c r="AA603" s="464"/>
      <c r="AB603" s="465"/>
      <c r="AC603" s="465"/>
      <c r="AD603" s="465"/>
      <c r="AE603" s="466"/>
      <c r="AF603" s="449"/>
      <c r="AG603" s="449"/>
      <c r="AH603" s="449"/>
    </row>
    <row r="604" ht="11.25" customHeight="1">
      <c r="A604" s="450"/>
      <c r="B604" s="451"/>
      <c r="C604" s="452"/>
      <c r="D604" s="452"/>
      <c r="E604" s="453"/>
      <c r="F604" s="453"/>
      <c r="G604" s="454"/>
      <c r="H604" s="454"/>
      <c r="I604" s="455"/>
      <c r="J604" s="456"/>
      <c r="K604" s="467" t="s">
        <v>1417</v>
      </c>
      <c r="L604" s="468"/>
      <c r="M604" s="469"/>
      <c r="N604" s="470"/>
      <c r="O604" s="470"/>
      <c r="P604" s="471"/>
      <c r="Q604" s="468"/>
      <c r="R604" s="469"/>
      <c r="S604" s="469"/>
      <c r="T604" s="469"/>
      <c r="U604" s="469"/>
      <c r="V604" s="469"/>
      <c r="W604" s="469"/>
      <c r="X604" s="469"/>
      <c r="Y604" s="462">
        <f t="shared" si="17"/>
        <v>0</v>
      </c>
      <c r="Z604" s="463"/>
      <c r="AA604" s="464"/>
      <c r="AB604" s="465"/>
      <c r="AC604" s="465"/>
      <c r="AD604" s="465"/>
      <c r="AE604" s="466"/>
      <c r="AF604" s="449"/>
      <c r="AG604" s="449"/>
      <c r="AH604" s="449"/>
    </row>
    <row r="605" ht="11.25" customHeight="1">
      <c r="A605" s="450"/>
      <c r="B605" s="472"/>
      <c r="C605" s="473"/>
      <c r="D605" s="473"/>
      <c r="E605" s="474"/>
      <c r="F605" s="474"/>
      <c r="G605" s="475"/>
      <c r="H605" s="475"/>
      <c r="I605" s="476"/>
      <c r="J605" s="477"/>
      <c r="K605" s="478" t="s">
        <v>1418</v>
      </c>
      <c r="L605" s="479"/>
      <c r="M605" s="480"/>
      <c r="N605" s="481"/>
      <c r="O605" s="481"/>
      <c r="P605" s="482"/>
      <c r="Q605" s="479"/>
      <c r="R605" s="480"/>
      <c r="S605" s="480"/>
      <c r="T605" s="480"/>
      <c r="U605" s="480"/>
      <c r="V605" s="480"/>
      <c r="W605" s="480"/>
      <c r="X605" s="480"/>
      <c r="Y605" s="483">
        <f t="shared" si="17"/>
        <v>0</v>
      </c>
      <c r="Z605" s="484"/>
      <c r="AA605" s="485"/>
      <c r="AB605" s="486"/>
      <c r="AC605" s="486"/>
      <c r="AD605" s="486"/>
      <c r="AE605" s="487"/>
      <c r="AF605" s="449"/>
      <c r="AG605" s="449"/>
      <c r="AH605" s="449"/>
    </row>
    <row r="606" ht="11.25" customHeight="1">
      <c r="A606" s="431" t="str">
        <f>IF(B606="","", YEAR(B606))</f>
        <v/>
      </c>
      <c r="B606" s="432"/>
      <c r="C606" s="433"/>
      <c r="D606" s="433"/>
      <c r="E606" s="434" t="str">
        <f t="shared" ref="E606:I606" si="310">IFERROR(AVERAGE(L606:L609),"")</f>
        <v/>
      </c>
      <c r="F606" s="434" t="str">
        <f t="shared" si="310"/>
        <v/>
      </c>
      <c r="G606" s="435" t="str">
        <f t="shared" si="310"/>
        <v/>
      </c>
      <c r="H606" s="435" t="str">
        <f t="shared" si="310"/>
        <v/>
      </c>
      <c r="I606" s="436" t="str">
        <f t="shared" si="310"/>
        <v/>
      </c>
      <c r="J606" s="437">
        <f>SUMIFS(PRODUCTION[KG],PRODUCTION[GRADE],"3X50",PRODUCTION[DATE],B606,PRODUCTION[BATCH],C606,PRODUCTION[SHIFT],D606)</f>
        <v>0</v>
      </c>
      <c r="K606" s="438" t="s">
        <v>1414</v>
      </c>
      <c r="L606" s="443"/>
      <c r="M606" s="440"/>
      <c r="N606" s="441"/>
      <c r="O606" s="441"/>
      <c r="P606" s="442"/>
      <c r="Q606" s="443"/>
      <c r="R606" s="440"/>
      <c r="S606" s="440"/>
      <c r="T606" s="440"/>
      <c r="U606" s="440"/>
      <c r="V606" s="440"/>
      <c r="W606" s="440"/>
      <c r="X606" s="440"/>
      <c r="Y606" s="444">
        <f t="shared" si="17"/>
        <v>0</v>
      </c>
      <c r="Z606" s="445"/>
      <c r="AA606" s="446">
        <f t="shared" ref="AA606:AE606" si="311">$J606*E606</f>
        <v>0</v>
      </c>
      <c r="AB606" s="447">
        <f t="shared" si="311"/>
        <v>0</v>
      </c>
      <c r="AC606" s="447">
        <f t="shared" si="311"/>
        <v>0</v>
      </c>
      <c r="AD606" s="447">
        <f t="shared" si="311"/>
        <v>0</v>
      </c>
      <c r="AE606" s="448">
        <f t="shared" si="311"/>
        <v>0</v>
      </c>
      <c r="AF606" s="449"/>
      <c r="AG606" s="449"/>
      <c r="AH606" s="449"/>
    </row>
    <row r="607" ht="11.25" customHeight="1">
      <c r="A607" s="450"/>
      <c r="B607" s="451"/>
      <c r="C607" s="452"/>
      <c r="D607" s="452"/>
      <c r="E607" s="453"/>
      <c r="F607" s="453"/>
      <c r="G607" s="454"/>
      <c r="H607" s="454"/>
      <c r="I607" s="455"/>
      <c r="J607" s="456"/>
      <c r="K607" s="457" t="s">
        <v>1416</v>
      </c>
      <c r="L607" s="458"/>
      <c r="M607" s="459"/>
      <c r="N607" s="460"/>
      <c r="O607" s="460"/>
      <c r="P607" s="461"/>
      <c r="Q607" s="458"/>
      <c r="R607" s="459"/>
      <c r="S607" s="459"/>
      <c r="T607" s="459"/>
      <c r="U607" s="459"/>
      <c r="V607" s="459"/>
      <c r="W607" s="459"/>
      <c r="X607" s="459"/>
      <c r="Y607" s="462">
        <f t="shared" si="17"/>
        <v>0</v>
      </c>
      <c r="Z607" s="463"/>
      <c r="AA607" s="464"/>
      <c r="AB607" s="465"/>
      <c r="AC607" s="465"/>
      <c r="AD607" s="465"/>
      <c r="AE607" s="466"/>
      <c r="AF607" s="449"/>
      <c r="AG607" s="449"/>
      <c r="AH607" s="449"/>
    </row>
    <row r="608" ht="11.25" customHeight="1">
      <c r="A608" s="450"/>
      <c r="B608" s="451"/>
      <c r="C608" s="452"/>
      <c r="D608" s="452"/>
      <c r="E608" s="453"/>
      <c r="F608" s="453"/>
      <c r="G608" s="454"/>
      <c r="H608" s="454"/>
      <c r="I608" s="455"/>
      <c r="J608" s="456"/>
      <c r="K608" s="467" t="s">
        <v>1417</v>
      </c>
      <c r="L608" s="468"/>
      <c r="M608" s="469"/>
      <c r="N608" s="470"/>
      <c r="O608" s="470"/>
      <c r="P608" s="471"/>
      <c r="Q608" s="468"/>
      <c r="R608" s="469"/>
      <c r="S608" s="469"/>
      <c r="T608" s="469"/>
      <c r="U608" s="469"/>
      <c r="V608" s="469"/>
      <c r="W608" s="469"/>
      <c r="X608" s="469"/>
      <c r="Y608" s="462">
        <f t="shared" si="17"/>
        <v>0</v>
      </c>
      <c r="Z608" s="463"/>
      <c r="AA608" s="464"/>
      <c r="AB608" s="465"/>
      <c r="AC608" s="465"/>
      <c r="AD608" s="465"/>
      <c r="AE608" s="466"/>
      <c r="AF608" s="449"/>
      <c r="AG608" s="449"/>
      <c r="AH608" s="449"/>
    </row>
    <row r="609" ht="11.25" customHeight="1">
      <c r="A609" s="450"/>
      <c r="B609" s="472"/>
      <c r="C609" s="473"/>
      <c r="D609" s="473"/>
      <c r="E609" s="474"/>
      <c r="F609" s="474"/>
      <c r="G609" s="475"/>
      <c r="H609" s="475"/>
      <c r="I609" s="476"/>
      <c r="J609" s="477"/>
      <c r="K609" s="478" t="s">
        <v>1418</v>
      </c>
      <c r="L609" s="479"/>
      <c r="M609" s="480"/>
      <c r="N609" s="481"/>
      <c r="O609" s="481"/>
      <c r="P609" s="482"/>
      <c r="Q609" s="479"/>
      <c r="R609" s="480"/>
      <c r="S609" s="480"/>
      <c r="T609" s="480"/>
      <c r="U609" s="480"/>
      <c r="V609" s="480"/>
      <c r="W609" s="480"/>
      <c r="X609" s="480"/>
      <c r="Y609" s="483">
        <f t="shared" si="17"/>
        <v>0</v>
      </c>
      <c r="Z609" s="484"/>
      <c r="AA609" s="485"/>
      <c r="AB609" s="486"/>
      <c r="AC609" s="486"/>
      <c r="AD609" s="486"/>
      <c r="AE609" s="487"/>
      <c r="AF609" s="449"/>
      <c r="AG609" s="449"/>
      <c r="AH609" s="449"/>
    </row>
    <row r="610" ht="11.25" customHeight="1">
      <c r="A610" s="431" t="str">
        <f>IF(B610="","", YEAR(B610))</f>
        <v/>
      </c>
      <c r="B610" s="432"/>
      <c r="C610" s="433"/>
      <c r="D610" s="433"/>
      <c r="E610" s="434" t="str">
        <f t="shared" ref="E610:I610" si="312">IFERROR(AVERAGE(L610:L613),"")</f>
        <v/>
      </c>
      <c r="F610" s="434" t="str">
        <f t="shared" si="312"/>
        <v/>
      </c>
      <c r="G610" s="435" t="str">
        <f t="shared" si="312"/>
        <v/>
      </c>
      <c r="H610" s="435" t="str">
        <f t="shared" si="312"/>
        <v/>
      </c>
      <c r="I610" s="436" t="str">
        <f t="shared" si="312"/>
        <v/>
      </c>
      <c r="J610" s="437">
        <f>SUMIFS(PRODUCTION[KG],PRODUCTION[GRADE],"3X50",PRODUCTION[DATE],B610,PRODUCTION[BATCH],C610,PRODUCTION[SHIFT],D610)</f>
        <v>0</v>
      </c>
      <c r="K610" s="438" t="s">
        <v>1414</v>
      </c>
      <c r="L610" s="443"/>
      <c r="M610" s="440"/>
      <c r="N610" s="441"/>
      <c r="O610" s="441"/>
      <c r="P610" s="442"/>
      <c r="Q610" s="443"/>
      <c r="R610" s="440"/>
      <c r="S610" s="440"/>
      <c r="T610" s="440"/>
      <c r="U610" s="440"/>
      <c r="V610" s="440"/>
      <c r="W610" s="440"/>
      <c r="X610" s="440"/>
      <c r="Y610" s="444">
        <f t="shared" si="17"/>
        <v>0</v>
      </c>
      <c r="Z610" s="445"/>
      <c r="AA610" s="446">
        <f t="shared" ref="AA610:AE610" si="313">$J610*E610</f>
        <v>0</v>
      </c>
      <c r="AB610" s="447">
        <f t="shared" si="313"/>
        <v>0</v>
      </c>
      <c r="AC610" s="447">
        <f t="shared" si="313"/>
        <v>0</v>
      </c>
      <c r="AD610" s="447">
        <f t="shared" si="313"/>
        <v>0</v>
      </c>
      <c r="AE610" s="448">
        <f t="shared" si="313"/>
        <v>0</v>
      </c>
      <c r="AF610" s="449"/>
      <c r="AG610" s="449"/>
      <c r="AH610" s="449"/>
    </row>
    <row r="611" ht="11.25" customHeight="1">
      <c r="A611" s="450"/>
      <c r="B611" s="451"/>
      <c r="C611" s="452"/>
      <c r="D611" s="452"/>
      <c r="E611" s="453"/>
      <c r="F611" s="453"/>
      <c r="G611" s="454"/>
      <c r="H611" s="454"/>
      <c r="I611" s="455"/>
      <c r="J611" s="456"/>
      <c r="K611" s="457" t="s">
        <v>1416</v>
      </c>
      <c r="L611" s="458"/>
      <c r="M611" s="459"/>
      <c r="N611" s="460"/>
      <c r="O611" s="460"/>
      <c r="P611" s="461"/>
      <c r="Q611" s="458"/>
      <c r="R611" s="459"/>
      <c r="S611" s="459"/>
      <c r="T611" s="459"/>
      <c r="U611" s="459"/>
      <c r="V611" s="459"/>
      <c r="W611" s="459"/>
      <c r="X611" s="459"/>
      <c r="Y611" s="462">
        <f t="shared" si="17"/>
        <v>0</v>
      </c>
      <c r="Z611" s="463"/>
      <c r="AA611" s="464"/>
      <c r="AB611" s="465"/>
      <c r="AC611" s="465"/>
      <c r="AD611" s="465"/>
      <c r="AE611" s="466"/>
      <c r="AF611" s="449"/>
      <c r="AG611" s="449"/>
      <c r="AH611" s="449"/>
    </row>
    <row r="612" ht="11.25" customHeight="1">
      <c r="A612" s="450"/>
      <c r="B612" s="451"/>
      <c r="C612" s="452"/>
      <c r="D612" s="452"/>
      <c r="E612" s="453"/>
      <c r="F612" s="453"/>
      <c r="G612" s="454"/>
      <c r="H612" s="454"/>
      <c r="I612" s="455"/>
      <c r="J612" s="456"/>
      <c r="K612" s="467" t="s">
        <v>1417</v>
      </c>
      <c r="L612" s="468"/>
      <c r="M612" s="469"/>
      <c r="N612" s="470"/>
      <c r="O612" s="470"/>
      <c r="P612" s="471"/>
      <c r="Q612" s="468"/>
      <c r="R612" s="469"/>
      <c r="S612" s="469"/>
      <c r="T612" s="469"/>
      <c r="U612" s="469"/>
      <c r="V612" s="469"/>
      <c r="W612" s="469"/>
      <c r="X612" s="469"/>
      <c r="Y612" s="462">
        <f t="shared" si="17"/>
        <v>0</v>
      </c>
      <c r="Z612" s="463"/>
      <c r="AA612" s="464"/>
      <c r="AB612" s="465"/>
      <c r="AC612" s="465"/>
      <c r="AD612" s="465"/>
      <c r="AE612" s="466"/>
      <c r="AF612" s="449"/>
      <c r="AG612" s="449"/>
      <c r="AH612" s="449"/>
    </row>
    <row r="613" ht="11.25" customHeight="1">
      <c r="A613" s="450"/>
      <c r="B613" s="472"/>
      <c r="C613" s="473"/>
      <c r="D613" s="473"/>
      <c r="E613" s="474"/>
      <c r="F613" s="474"/>
      <c r="G613" s="475"/>
      <c r="H613" s="475"/>
      <c r="I613" s="476"/>
      <c r="J613" s="477"/>
      <c r="K613" s="478" t="s">
        <v>1418</v>
      </c>
      <c r="L613" s="479"/>
      <c r="M613" s="480"/>
      <c r="N613" s="481"/>
      <c r="O613" s="481"/>
      <c r="P613" s="482"/>
      <c r="Q613" s="479"/>
      <c r="R613" s="480"/>
      <c r="S613" s="480"/>
      <c r="T613" s="480"/>
      <c r="U613" s="480"/>
      <c r="V613" s="480"/>
      <c r="W613" s="480"/>
      <c r="X613" s="480"/>
      <c r="Y613" s="483">
        <f t="shared" si="17"/>
        <v>0</v>
      </c>
      <c r="Z613" s="484"/>
      <c r="AA613" s="485"/>
      <c r="AB613" s="486"/>
      <c r="AC613" s="486"/>
      <c r="AD613" s="486"/>
      <c r="AE613" s="487"/>
      <c r="AF613" s="449"/>
      <c r="AG613" s="449"/>
      <c r="AH613" s="449"/>
    </row>
    <row r="614" ht="11.25" customHeight="1">
      <c r="A614" s="431" t="str">
        <f>IF(B614="","", YEAR(B614))</f>
        <v/>
      </c>
      <c r="B614" s="432"/>
      <c r="C614" s="433"/>
      <c r="D614" s="433"/>
      <c r="E614" s="434" t="str">
        <f t="shared" ref="E614:I614" si="314">IFERROR(AVERAGE(L614:L617),"")</f>
        <v/>
      </c>
      <c r="F614" s="434" t="str">
        <f t="shared" si="314"/>
        <v/>
      </c>
      <c r="G614" s="435" t="str">
        <f t="shared" si="314"/>
        <v/>
      </c>
      <c r="H614" s="435" t="str">
        <f t="shared" si="314"/>
        <v/>
      </c>
      <c r="I614" s="436" t="str">
        <f t="shared" si="314"/>
        <v/>
      </c>
      <c r="J614" s="437">
        <f>SUMIFS(PRODUCTION[KG],PRODUCTION[GRADE],"3X50",PRODUCTION[DATE],B614,PRODUCTION[BATCH],C614,PRODUCTION[SHIFT],D614)</f>
        <v>0</v>
      </c>
      <c r="K614" s="438" t="s">
        <v>1414</v>
      </c>
      <c r="L614" s="443"/>
      <c r="M614" s="440"/>
      <c r="N614" s="441"/>
      <c r="O614" s="441"/>
      <c r="P614" s="442"/>
      <c r="Q614" s="443"/>
      <c r="R614" s="440"/>
      <c r="S614" s="440"/>
      <c r="T614" s="440"/>
      <c r="U614" s="440"/>
      <c r="V614" s="440"/>
      <c r="W614" s="440"/>
      <c r="X614" s="440"/>
      <c r="Y614" s="444">
        <f t="shared" si="17"/>
        <v>0</v>
      </c>
      <c r="Z614" s="445"/>
      <c r="AA614" s="446">
        <f t="shared" ref="AA614:AE614" si="315">$J614*E614</f>
        <v>0</v>
      </c>
      <c r="AB614" s="447">
        <f t="shared" si="315"/>
        <v>0</v>
      </c>
      <c r="AC614" s="447">
        <f t="shared" si="315"/>
        <v>0</v>
      </c>
      <c r="AD614" s="447">
        <f t="shared" si="315"/>
        <v>0</v>
      </c>
      <c r="AE614" s="448">
        <f t="shared" si="315"/>
        <v>0</v>
      </c>
      <c r="AF614" s="449"/>
      <c r="AG614" s="449"/>
      <c r="AH614" s="449"/>
    </row>
    <row r="615" ht="11.25" customHeight="1">
      <c r="A615" s="450"/>
      <c r="B615" s="451"/>
      <c r="C615" s="452"/>
      <c r="D615" s="452"/>
      <c r="E615" s="453"/>
      <c r="F615" s="453"/>
      <c r="G615" s="454"/>
      <c r="H615" s="454"/>
      <c r="I615" s="455"/>
      <c r="J615" s="456"/>
      <c r="K615" s="457" t="s">
        <v>1416</v>
      </c>
      <c r="L615" s="458"/>
      <c r="M615" s="459"/>
      <c r="N615" s="460"/>
      <c r="O615" s="460"/>
      <c r="P615" s="461"/>
      <c r="Q615" s="458"/>
      <c r="R615" s="459"/>
      <c r="S615" s="459"/>
      <c r="T615" s="459"/>
      <c r="U615" s="459"/>
      <c r="V615" s="459"/>
      <c r="W615" s="459"/>
      <c r="X615" s="459"/>
      <c r="Y615" s="462">
        <f t="shared" si="17"/>
        <v>0</v>
      </c>
      <c r="Z615" s="463"/>
      <c r="AA615" s="464"/>
      <c r="AB615" s="465"/>
      <c r="AC615" s="465"/>
      <c r="AD615" s="465"/>
      <c r="AE615" s="466"/>
      <c r="AF615" s="449"/>
      <c r="AG615" s="449"/>
      <c r="AH615" s="449"/>
    </row>
    <row r="616" ht="11.25" customHeight="1">
      <c r="A616" s="450"/>
      <c r="B616" s="451"/>
      <c r="C616" s="452"/>
      <c r="D616" s="452"/>
      <c r="E616" s="453"/>
      <c r="F616" s="453"/>
      <c r="G616" s="454"/>
      <c r="H616" s="454"/>
      <c r="I616" s="455"/>
      <c r="J616" s="456"/>
      <c r="K616" s="467" t="s">
        <v>1417</v>
      </c>
      <c r="L616" s="468"/>
      <c r="M616" s="469"/>
      <c r="N616" s="470"/>
      <c r="O616" s="470"/>
      <c r="P616" s="471"/>
      <c r="Q616" s="468"/>
      <c r="R616" s="469"/>
      <c r="S616" s="469"/>
      <c r="T616" s="469"/>
      <c r="U616" s="469"/>
      <c r="V616" s="469"/>
      <c r="W616" s="469"/>
      <c r="X616" s="469"/>
      <c r="Y616" s="462">
        <f t="shared" si="17"/>
        <v>0</v>
      </c>
      <c r="Z616" s="463"/>
      <c r="AA616" s="464"/>
      <c r="AB616" s="465"/>
      <c r="AC616" s="465"/>
      <c r="AD616" s="465"/>
      <c r="AE616" s="466"/>
      <c r="AF616" s="449"/>
      <c r="AG616" s="449"/>
      <c r="AH616" s="449"/>
    </row>
    <row r="617" ht="11.25" customHeight="1">
      <c r="A617" s="450"/>
      <c r="B617" s="472"/>
      <c r="C617" s="473"/>
      <c r="D617" s="473"/>
      <c r="E617" s="474"/>
      <c r="F617" s="474"/>
      <c r="G617" s="475"/>
      <c r="H617" s="475"/>
      <c r="I617" s="476"/>
      <c r="J617" s="477"/>
      <c r="K617" s="478" t="s">
        <v>1418</v>
      </c>
      <c r="L617" s="479"/>
      <c r="M617" s="480"/>
      <c r="N617" s="481"/>
      <c r="O617" s="481"/>
      <c r="P617" s="482"/>
      <c r="Q617" s="479"/>
      <c r="R617" s="480"/>
      <c r="S617" s="480"/>
      <c r="T617" s="480"/>
      <c r="U617" s="480"/>
      <c r="V617" s="480"/>
      <c r="W617" s="480"/>
      <c r="X617" s="480"/>
      <c r="Y617" s="483">
        <f t="shared" si="17"/>
        <v>0</v>
      </c>
      <c r="Z617" s="484"/>
      <c r="AA617" s="485"/>
      <c r="AB617" s="486"/>
      <c r="AC617" s="486"/>
      <c r="AD617" s="486"/>
      <c r="AE617" s="487"/>
      <c r="AF617" s="449"/>
      <c r="AG617" s="449"/>
      <c r="AH617" s="449"/>
    </row>
    <row r="618" ht="11.25" customHeight="1">
      <c r="A618" s="431" t="str">
        <f>IF(B618="","", YEAR(B618))</f>
        <v/>
      </c>
      <c r="B618" s="432"/>
      <c r="C618" s="433"/>
      <c r="D618" s="433"/>
      <c r="E618" s="434" t="str">
        <f t="shared" ref="E618:I618" si="316">IFERROR(AVERAGE(L618:L621),"")</f>
        <v/>
      </c>
      <c r="F618" s="434" t="str">
        <f t="shared" si="316"/>
        <v/>
      </c>
      <c r="G618" s="435" t="str">
        <f t="shared" si="316"/>
        <v/>
      </c>
      <c r="H618" s="435" t="str">
        <f t="shared" si="316"/>
        <v/>
      </c>
      <c r="I618" s="436" t="str">
        <f t="shared" si="316"/>
        <v/>
      </c>
      <c r="J618" s="437">
        <f>SUMIFS(PRODUCTION[KG],PRODUCTION[GRADE],"3X50",PRODUCTION[DATE],B618,PRODUCTION[BATCH],C618,PRODUCTION[SHIFT],D618)</f>
        <v>0</v>
      </c>
      <c r="K618" s="438" t="s">
        <v>1414</v>
      </c>
      <c r="L618" s="443"/>
      <c r="M618" s="440"/>
      <c r="N618" s="441"/>
      <c r="O618" s="441"/>
      <c r="P618" s="442"/>
      <c r="Q618" s="443"/>
      <c r="R618" s="440"/>
      <c r="S618" s="440"/>
      <c r="T618" s="440"/>
      <c r="U618" s="440"/>
      <c r="V618" s="440"/>
      <c r="W618" s="440"/>
      <c r="X618" s="440"/>
      <c r="Y618" s="444">
        <f t="shared" si="17"/>
        <v>0</v>
      </c>
      <c r="Z618" s="445"/>
      <c r="AA618" s="446">
        <f t="shared" ref="AA618:AE618" si="317">$J618*E618</f>
        <v>0</v>
      </c>
      <c r="AB618" s="447">
        <f t="shared" si="317"/>
        <v>0</v>
      </c>
      <c r="AC618" s="447">
        <f t="shared" si="317"/>
        <v>0</v>
      </c>
      <c r="AD618" s="447">
        <f t="shared" si="317"/>
        <v>0</v>
      </c>
      <c r="AE618" s="448">
        <f t="shared" si="317"/>
        <v>0</v>
      </c>
      <c r="AF618" s="449"/>
      <c r="AG618" s="449"/>
      <c r="AH618" s="449"/>
    </row>
    <row r="619" ht="11.25" customHeight="1">
      <c r="A619" s="450"/>
      <c r="B619" s="451"/>
      <c r="C619" s="452"/>
      <c r="D619" s="452"/>
      <c r="E619" s="453"/>
      <c r="F619" s="453"/>
      <c r="G619" s="454"/>
      <c r="H619" s="454"/>
      <c r="I619" s="455"/>
      <c r="J619" s="456"/>
      <c r="K619" s="457" t="s">
        <v>1416</v>
      </c>
      <c r="L619" s="458"/>
      <c r="M619" s="459"/>
      <c r="N619" s="460"/>
      <c r="O619" s="460"/>
      <c r="P619" s="461"/>
      <c r="Q619" s="458"/>
      <c r="R619" s="459"/>
      <c r="S619" s="459"/>
      <c r="T619" s="459"/>
      <c r="U619" s="459"/>
      <c r="V619" s="459"/>
      <c r="W619" s="459"/>
      <c r="X619" s="459"/>
      <c r="Y619" s="462">
        <f t="shared" si="17"/>
        <v>0</v>
      </c>
      <c r="Z619" s="463"/>
      <c r="AA619" s="464"/>
      <c r="AB619" s="465"/>
      <c r="AC619" s="465"/>
      <c r="AD619" s="465"/>
      <c r="AE619" s="466"/>
      <c r="AF619" s="449"/>
      <c r="AG619" s="449"/>
      <c r="AH619" s="449"/>
    </row>
    <row r="620" ht="11.25" customHeight="1">
      <c r="A620" s="450"/>
      <c r="B620" s="451"/>
      <c r="C620" s="452"/>
      <c r="D620" s="452"/>
      <c r="E620" s="453"/>
      <c r="F620" s="453"/>
      <c r="G620" s="454"/>
      <c r="H620" s="454"/>
      <c r="I620" s="455"/>
      <c r="J620" s="456"/>
      <c r="K620" s="467" t="s">
        <v>1417</v>
      </c>
      <c r="L620" s="468"/>
      <c r="M620" s="469"/>
      <c r="N620" s="470"/>
      <c r="O620" s="470"/>
      <c r="P620" s="471"/>
      <c r="Q620" s="468"/>
      <c r="R620" s="469"/>
      <c r="S620" s="469"/>
      <c r="T620" s="469"/>
      <c r="U620" s="469"/>
      <c r="V620" s="469"/>
      <c r="W620" s="469"/>
      <c r="X620" s="469"/>
      <c r="Y620" s="462">
        <f t="shared" si="17"/>
        <v>0</v>
      </c>
      <c r="Z620" s="463"/>
      <c r="AA620" s="464"/>
      <c r="AB620" s="465"/>
      <c r="AC620" s="465"/>
      <c r="AD620" s="465"/>
      <c r="AE620" s="466"/>
      <c r="AF620" s="449"/>
      <c r="AG620" s="449"/>
      <c r="AH620" s="449"/>
    </row>
    <row r="621" ht="11.25" customHeight="1">
      <c r="A621" s="450"/>
      <c r="B621" s="472"/>
      <c r="C621" s="473"/>
      <c r="D621" s="473"/>
      <c r="E621" s="474"/>
      <c r="F621" s="474"/>
      <c r="G621" s="475"/>
      <c r="H621" s="475"/>
      <c r="I621" s="476"/>
      <c r="J621" s="477"/>
      <c r="K621" s="478" t="s">
        <v>1418</v>
      </c>
      <c r="L621" s="479"/>
      <c r="M621" s="480"/>
      <c r="N621" s="481"/>
      <c r="O621" s="481"/>
      <c r="P621" s="482"/>
      <c r="Q621" s="479"/>
      <c r="R621" s="480"/>
      <c r="S621" s="480"/>
      <c r="T621" s="480"/>
      <c r="U621" s="480"/>
      <c r="V621" s="480"/>
      <c r="W621" s="480"/>
      <c r="X621" s="480"/>
      <c r="Y621" s="483">
        <f t="shared" si="17"/>
        <v>0</v>
      </c>
      <c r="Z621" s="484"/>
      <c r="AA621" s="485"/>
      <c r="AB621" s="486"/>
      <c r="AC621" s="486"/>
      <c r="AD621" s="486"/>
      <c r="AE621" s="487"/>
      <c r="AF621" s="449"/>
      <c r="AG621" s="449"/>
      <c r="AH621" s="449"/>
    </row>
    <row r="622" ht="11.25" customHeight="1">
      <c r="A622" s="431" t="str">
        <f>IF(B622="","", YEAR(B622))</f>
        <v/>
      </c>
      <c r="B622" s="432"/>
      <c r="C622" s="433"/>
      <c r="D622" s="433"/>
      <c r="E622" s="434" t="str">
        <f t="shared" ref="E622:I622" si="318">IFERROR(AVERAGE(L622:L625),"")</f>
        <v/>
      </c>
      <c r="F622" s="434" t="str">
        <f t="shared" si="318"/>
        <v/>
      </c>
      <c r="G622" s="435" t="str">
        <f t="shared" si="318"/>
        <v/>
      </c>
      <c r="H622" s="435" t="str">
        <f t="shared" si="318"/>
        <v/>
      </c>
      <c r="I622" s="436" t="str">
        <f t="shared" si="318"/>
        <v/>
      </c>
      <c r="J622" s="437">
        <f>SUMIFS(PRODUCTION[KG],PRODUCTION[GRADE],"3X50",PRODUCTION[DATE],B622,PRODUCTION[BATCH],C622,PRODUCTION[SHIFT],D622)</f>
        <v>0</v>
      </c>
      <c r="K622" s="438" t="s">
        <v>1414</v>
      </c>
      <c r="L622" s="443"/>
      <c r="M622" s="440"/>
      <c r="N622" s="441"/>
      <c r="O622" s="441"/>
      <c r="P622" s="442"/>
      <c r="Q622" s="443"/>
      <c r="R622" s="440"/>
      <c r="S622" s="440"/>
      <c r="T622" s="440"/>
      <c r="U622" s="440"/>
      <c r="V622" s="440"/>
      <c r="W622" s="440"/>
      <c r="X622" s="440"/>
      <c r="Y622" s="444">
        <f t="shared" si="17"/>
        <v>0</v>
      </c>
      <c r="Z622" s="445"/>
      <c r="AA622" s="446">
        <f t="shared" ref="AA622:AE622" si="319">$J622*E622</f>
        <v>0</v>
      </c>
      <c r="AB622" s="447">
        <f t="shared" si="319"/>
        <v>0</v>
      </c>
      <c r="AC622" s="447">
        <f t="shared" si="319"/>
        <v>0</v>
      </c>
      <c r="AD622" s="447">
        <f t="shared" si="319"/>
        <v>0</v>
      </c>
      <c r="AE622" s="448">
        <f t="shared" si="319"/>
        <v>0</v>
      </c>
      <c r="AF622" s="449"/>
      <c r="AG622" s="449"/>
      <c r="AH622" s="449"/>
    </row>
    <row r="623" ht="11.25" customHeight="1">
      <c r="A623" s="450"/>
      <c r="B623" s="451"/>
      <c r="C623" s="452"/>
      <c r="D623" s="452"/>
      <c r="E623" s="453"/>
      <c r="F623" s="453"/>
      <c r="G623" s="454"/>
      <c r="H623" s="454"/>
      <c r="I623" s="455"/>
      <c r="J623" s="456"/>
      <c r="K623" s="457" t="s">
        <v>1416</v>
      </c>
      <c r="L623" s="458"/>
      <c r="M623" s="459"/>
      <c r="N623" s="460"/>
      <c r="O623" s="460"/>
      <c r="P623" s="461"/>
      <c r="Q623" s="458"/>
      <c r="R623" s="459"/>
      <c r="S623" s="459"/>
      <c r="T623" s="459"/>
      <c r="U623" s="459"/>
      <c r="V623" s="459"/>
      <c r="W623" s="459"/>
      <c r="X623" s="459"/>
      <c r="Y623" s="462">
        <f t="shared" si="17"/>
        <v>0</v>
      </c>
      <c r="Z623" s="463"/>
      <c r="AA623" s="464"/>
      <c r="AB623" s="465"/>
      <c r="AC623" s="465"/>
      <c r="AD623" s="465"/>
      <c r="AE623" s="466"/>
      <c r="AF623" s="449"/>
      <c r="AG623" s="449"/>
      <c r="AH623" s="449"/>
    </row>
    <row r="624" ht="11.25" customHeight="1">
      <c r="A624" s="450"/>
      <c r="B624" s="451"/>
      <c r="C624" s="452"/>
      <c r="D624" s="452"/>
      <c r="E624" s="453"/>
      <c r="F624" s="453"/>
      <c r="G624" s="454"/>
      <c r="H624" s="454"/>
      <c r="I624" s="455"/>
      <c r="J624" s="456"/>
      <c r="K624" s="467" t="s">
        <v>1417</v>
      </c>
      <c r="L624" s="468"/>
      <c r="M624" s="469"/>
      <c r="N624" s="470"/>
      <c r="O624" s="470"/>
      <c r="P624" s="471"/>
      <c r="Q624" s="468"/>
      <c r="R624" s="469"/>
      <c r="S624" s="469"/>
      <c r="T624" s="469"/>
      <c r="U624" s="469"/>
      <c r="V624" s="469"/>
      <c r="W624" s="469"/>
      <c r="X624" s="469"/>
      <c r="Y624" s="462">
        <f t="shared" si="17"/>
        <v>0</v>
      </c>
      <c r="Z624" s="463"/>
      <c r="AA624" s="464"/>
      <c r="AB624" s="465"/>
      <c r="AC624" s="465"/>
      <c r="AD624" s="465"/>
      <c r="AE624" s="466"/>
      <c r="AF624" s="449"/>
      <c r="AG624" s="449"/>
      <c r="AH624" s="449"/>
    </row>
    <row r="625" ht="11.25" customHeight="1">
      <c r="A625" s="450"/>
      <c r="B625" s="472"/>
      <c r="C625" s="473"/>
      <c r="D625" s="473"/>
      <c r="E625" s="474"/>
      <c r="F625" s="474"/>
      <c r="G625" s="475"/>
      <c r="H625" s="475"/>
      <c r="I625" s="476"/>
      <c r="J625" s="477"/>
      <c r="K625" s="478" t="s">
        <v>1418</v>
      </c>
      <c r="L625" s="479"/>
      <c r="M625" s="480"/>
      <c r="N625" s="481"/>
      <c r="O625" s="481"/>
      <c r="P625" s="482"/>
      <c r="Q625" s="479"/>
      <c r="R625" s="480"/>
      <c r="S625" s="480"/>
      <c r="T625" s="480"/>
      <c r="U625" s="480"/>
      <c r="V625" s="480"/>
      <c r="W625" s="480"/>
      <c r="X625" s="480"/>
      <c r="Y625" s="483">
        <f t="shared" si="17"/>
        <v>0</v>
      </c>
      <c r="Z625" s="484"/>
      <c r="AA625" s="485"/>
      <c r="AB625" s="486"/>
      <c r="AC625" s="486"/>
      <c r="AD625" s="486"/>
      <c r="AE625" s="487"/>
      <c r="AF625" s="449"/>
      <c r="AG625" s="449"/>
      <c r="AH625" s="449"/>
    </row>
    <row r="626" ht="11.25" customHeight="1">
      <c r="A626" s="431" t="str">
        <f>IF(B626="","", YEAR(B626))</f>
        <v/>
      </c>
      <c r="B626" s="432"/>
      <c r="C626" s="433"/>
      <c r="D626" s="433"/>
      <c r="E626" s="434" t="str">
        <f t="shared" ref="E626:I626" si="320">IFERROR(AVERAGE(L626:L629),"")</f>
        <v/>
      </c>
      <c r="F626" s="434" t="str">
        <f t="shared" si="320"/>
        <v/>
      </c>
      <c r="G626" s="435" t="str">
        <f t="shared" si="320"/>
        <v/>
      </c>
      <c r="H626" s="435" t="str">
        <f t="shared" si="320"/>
        <v/>
      </c>
      <c r="I626" s="436" t="str">
        <f t="shared" si="320"/>
        <v/>
      </c>
      <c r="J626" s="437">
        <f>SUMIFS(PRODUCTION[KG],PRODUCTION[GRADE],"3X50",PRODUCTION[DATE],B626,PRODUCTION[BATCH],C626,PRODUCTION[SHIFT],D626)</f>
        <v>0</v>
      </c>
      <c r="K626" s="438" t="s">
        <v>1414</v>
      </c>
      <c r="L626" s="443"/>
      <c r="M626" s="440"/>
      <c r="N626" s="441"/>
      <c r="O626" s="441"/>
      <c r="P626" s="442"/>
      <c r="Q626" s="443"/>
      <c r="R626" s="440"/>
      <c r="S626" s="440"/>
      <c r="T626" s="440"/>
      <c r="U626" s="440"/>
      <c r="V626" s="440"/>
      <c r="W626" s="440"/>
      <c r="X626" s="440"/>
      <c r="Y626" s="444">
        <f t="shared" si="17"/>
        <v>0</v>
      </c>
      <c r="Z626" s="445"/>
      <c r="AA626" s="446">
        <f t="shared" ref="AA626:AE626" si="321">$J626*E626</f>
        <v>0</v>
      </c>
      <c r="AB626" s="447">
        <f t="shared" si="321"/>
        <v>0</v>
      </c>
      <c r="AC626" s="447">
        <f t="shared" si="321"/>
        <v>0</v>
      </c>
      <c r="AD626" s="447">
        <f t="shared" si="321"/>
        <v>0</v>
      </c>
      <c r="AE626" s="448">
        <f t="shared" si="321"/>
        <v>0</v>
      </c>
      <c r="AF626" s="449"/>
      <c r="AG626" s="449"/>
      <c r="AH626" s="449"/>
    </row>
    <row r="627" ht="11.25" customHeight="1">
      <c r="A627" s="450"/>
      <c r="B627" s="451"/>
      <c r="C627" s="452"/>
      <c r="D627" s="452"/>
      <c r="E627" s="453"/>
      <c r="F627" s="453"/>
      <c r="G627" s="454"/>
      <c r="H627" s="454"/>
      <c r="I627" s="455"/>
      <c r="J627" s="456"/>
      <c r="K627" s="457" t="s">
        <v>1416</v>
      </c>
      <c r="L627" s="458"/>
      <c r="M627" s="459"/>
      <c r="N627" s="460"/>
      <c r="O627" s="460"/>
      <c r="P627" s="461"/>
      <c r="Q627" s="458"/>
      <c r="R627" s="459"/>
      <c r="S627" s="459"/>
      <c r="T627" s="459"/>
      <c r="U627" s="459"/>
      <c r="V627" s="459"/>
      <c r="W627" s="459"/>
      <c r="X627" s="459"/>
      <c r="Y627" s="462">
        <f t="shared" si="17"/>
        <v>0</v>
      </c>
      <c r="Z627" s="463"/>
      <c r="AA627" s="464"/>
      <c r="AB627" s="465"/>
      <c r="AC627" s="465"/>
      <c r="AD627" s="465"/>
      <c r="AE627" s="466"/>
      <c r="AF627" s="449"/>
      <c r="AG627" s="449"/>
      <c r="AH627" s="449"/>
    </row>
    <row r="628" ht="11.25" customHeight="1">
      <c r="A628" s="450"/>
      <c r="B628" s="451"/>
      <c r="C628" s="452"/>
      <c r="D628" s="452"/>
      <c r="E628" s="453"/>
      <c r="F628" s="453"/>
      <c r="G628" s="454"/>
      <c r="H628" s="454"/>
      <c r="I628" s="455"/>
      <c r="J628" s="456"/>
      <c r="K628" s="467" t="s">
        <v>1417</v>
      </c>
      <c r="L628" s="468"/>
      <c r="M628" s="469"/>
      <c r="N628" s="470"/>
      <c r="O628" s="470"/>
      <c r="P628" s="471"/>
      <c r="Q628" s="468"/>
      <c r="R628" s="469"/>
      <c r="S628" s="469"/>
      <c r="T628" s="469"/>
      <c r="U628" s="469"/>
      <c r="V628" s="469"/>
      <c r="W628" s="469"/>
      <c r="X628" s="469"/>
      <c r="Y628" s="462">
        <f t="shared" si="17"/>
        <v>0</v>
      </c>
      <c r="Z628" s="463"/>
      <c r="AA628" s="464"/>
      <c r="AB628" s="465"/>
      <c r="AC628" s="465"/>
      <c r="AD628" s="465"/>
      <c r="AE628" s="466"/>
      <c r="AF628" s="449"/>
      <c r="AG628" s="449"/>
      <c r="AH628" s="449"/>
    </row>
    <row r="629" ht="11.25" customHeight="1">
      <c r="A629" s="450"/>
      <c r="B629" s="472"/>
      <c r="C629" s="473"/>
      <c r="D629" s="473"/>
      <c r="E629" s="474"/>
      <c r="F629" s="474"/>
      <c r="G629" s="475"/>
      <c r="H629" s="475"/>
      <c r="I629" s="476"/>
      <c r="J629" s="477"/>
      <c r="K629" s="478" t="s">
        <v>1418</v>
      </c>
      <c r="L629" s="479"/>
      <c r="M629" s="480"/>
      <c r="N629" s="481"/>
      <c r="O629" s="481"/>
      <c r="P629" s="482"/>
      <c r="Q629" s="479"/>
      <c r="R629" s="480"/>
      <c r="S629" s="480"/>
      <c r="T629" s="480"/>
      <c r="U629" s="480"/>
      <c r="V629" s="480"/>
      <c r="W629" s="480"/>
      <c r="X629" s="480"/>
      <c r="Y629" s="483">
        <f t="shared" si="17"/>
        <v>0</v>
      </c>
      <c r="Z629" s="484"/>
      <c r="AA629" s="485"/>
      <c r="AB629" s="486"/>
      <c r="AC629" s="486"/>
      <c r="AD629" s="486"/>
      <c r="AE629" s="487"/>
      <c r="AF629" s="449"/>
      <c r="AG629" s="449"/>
      <c r="AH629" s="449"/>
    </row>
    <row r="630" ht="11.25" customHeight="1">
      <c r="A630" s="431" t="str">
        <f>IF(B630="","", YEAR(B630))</f>
        <v/>
      </c>
      <c r="B630" s="432"/>
      <c r="C630" s="433"/>
      <c r="D630" s="433"/>
      <c r="E630" s="434" t="str">
        <f t="shared" ref="E630:I630" si="322">IFERROR(AVERAGE(L630:L633),"")</f>
        <v/>
      </c>
      <c r="F630" s="434" t="str">
        <f t="shared" si="322"/>
        <v/>
      </c>
      <c r="G630" s="435" t="str">
        <f t="shared" si="322"/>
        <v/>
      </c>
      <c r="H630" s="435" t="str">
        <f t="shared" si="322"/>
        <v/>
      </c>
      <c r="I630" s="436" t="str">
        <f t="shared" si="322"/>
        <v/>
      </c>
      <c r="J630" s="437">
        <f>SUMIFS(PRODUCTION[KG],PRODUCTION[GRADE],"3X50",PRODUCTION[DATE],B630,PRODUCTION[BATCH],C630,PRODUCTION[SHIFT],D630)</f>
        <v>0</v>
      </c>
      <c r="K630" s="438" t="s">
        <v>1414</v>
      </c>
      <c r="L630" s="443"/>
      <c r="M630" s="440"/>
      <c r="N630" s="441"/>
      <c r="O630" s="441"/>
      <c r="P630" s="442"/>
      <c r="Q630" s="443"/>
      <c r="R630" s="440"/>
      <c r="S630" s="440"/>
      <c r="T630" s="440"/>
      <c r="U630" s="440"/>
      <c r="V630" s="440"/>
      <c r="W630" s="440"/>
      <c r="X630" s="440"/>
      <c r="Y630" s="444">
        <f t="shared" si="17"/>
        <v>0</v>
      </c>
      <c r="Z630" s="445"/>
      <c r="AA630" s="446">
        <f t="shared" ref="AA630:AE630" si="323">$J630*E630</f>
        <v>0</v>
      </c>
      <c r="AB630" s="447">
        <f t="shared" si="323"/>
        <v>0</v>
      </c>
      <c r="AC630" s="447">
        <f t="shared" si="323"/>
        <v>0</v>
      </c>
      <c r="AD630" s="447">
        <f t="shared" si="323"/>
        <v>0</v>
      </c>
      <c r="AE630" s="448">
        <f t="shared" si="323"/>
        <v>0</v>
      </c>
      <c r="AF630" s="449"/>
      <c r="AG630" s="449"/>
      <c r="AH630" s="449"/>
    </row>
    <row r="631" ht="11.25" customHeight="1">
      <c r="A631" s="450"/>
      <c r="B631" s="451"/>
      <c r="C631" s="452"/>
      <c r="D631" s="452"/>
      <c r="E631" s="453"/>
      <c r="F631" s="453"/>
      <c r="G631" s="454"/>
      <c r="H631" s="454"/>
      <c r="I631" s="455"/>
      <c r="J631" s="456"/>
      <c r="K631" s="457" t="s">
        <v>1416</v>
      </c>
      <c r="L631" s="458"/>
      <c r="M631" s="459"/>
      <c r="N631" s="460"/>
      <c r="O631" s="460"/>
      <c r="P631" s="461"/>
      <c r="Q631" s="458"/>
      <c r="R631" s="459"/>
      <c r="S631" s="459"/>
      <c r="T631" s="459"/>
      <c r="U631" s="459"/>
      <c r="V631" s="459"/>
      <c r="W631" s="459"/>
      <c r="X631" s="459"/>
      <c r="Y631" s="462">
        <f t="shared" si="17"/>
        <v>0</v>
      </c>
      <c r="Z631" s="463"/>
      <c r="AA631" s="464"/>
      <c r="AB631" s="465"/>
      <c r="AC631" s="465"/>
      <c r="AD631" s="465"/>
      <c r="AE631" s="466"/>
      <c r="AF631" s="449"/>
      <c r="AG631" s="449"/>
      <c r="AH631" s="449"/>
    </row>
    <row r="632" ht="11.25" customHeight="1">
      <c r="A632" s="450"/>
      <c r="B632" s="451"/>
      <c r="C632" s="452"/>
      <c r="D632" s="452"/>
      <c r="E632" s="453"/>
      <c r="F632" s="453"/>
      <c r="G632" s="454"/>
      <c r="H632" s="454"/>
      <c r="I632" s="455"/>
      <c r="J632" s="456"/>
      <c r="K632" s="467" t="s">
        <v>1417</v>
      </c>
      <c r="L632" s="468"/>
      <c r="M632" s="469"/>
      <c r="N632" s="470"/>
      <c r="O632" s="470"/>
      <c r="P632" s="471"/>
      <c r="Q632" s="468"/>
      <c r="R632" s="469"/>
      <c r="S632" s="469"/>
      <c r="T632" s="469"/>
      <c r="U632" s="469"/>
      <c r="V632" s="469"/>
      <c r="W632" s="469"/>
      <c r="X632" s="469"/>
      <c r="Y632" s="462">
        <f t="shared" si="17"/>
        <v>0</v>
      </c>
      <c r="Z632" s="463"/>
      <c r="AA632" s="464"/>
      <c r="AB632" s="465"/>
      <c r="AC632" s="465"/>
      <c r="AD632" s="465"/>
      <c r="AE632" s="466"/>
      <c r="AF632" s="449"/>
      <c r="AG632" s="449"/>
      <c r="AH632" s="449"/>
    </row>
    <row r="633" ht="11.25" customHeight="1">
      <c r="A633" s="450"/>
      <c r="B633" s="472"/>
      <c r="C633" s="473"/>
      <c r="D633" s="473"/>
      <c r="E633" s="474"/>
      <c r="F633" s="474"/>
      <c r="G633" s="475"/>
      <c r="H633" s="475"/>
      <c r="I633" s="476"/>
      <c r="J633" s="477"/>
      <c r="K633" s="478" t="s">
        <v>1418</v>
      </c>
      <c r="L633" s="479"/>
      <c r="M633" s="480"/>
      <c r="N633" s="481"/>
      <c r="O633" s="481"/>
      <c r="P633" s="482"/>
      <c r="Q633" s="479"/>
      <c r="R633" s="480"/>
      <c r="S633" s="480"/>
      <c r="T633" s="480"/>
      <c r="U633" s="480"/>
      <c r="V633" s="480"/>
      <c r="W633" s="480"/>
      <c r="X633" s="480"/>
      <c r="Y633" s="483">
        <f t="shared" si="17"/>
        <v>0</v>
      </c>
      <c r="Z633" s="484"/>
      <c r="AA633" s="485"/>
      <c r="AB633" s="486"/>
      <c r="AC633" s="486"/>
      <c r="AD633" s="486"/>
      <c r="AE633" s="487"/>
      <c r="AF633" s="449"/>
      <c r="AG633" s="449"/>
      <c r="AH633" s="449"/>
    </row>
    <row r="634" ht="11.25" customHeight="1">
      <c r="A634" s="431" t="str">
        <f>IF(B634="","", YEAR(B634))</f>
        <v/>
      </c>
      <c r="B634" s="432"/>
      <c r="C634" s="433"/>
      <c r="D634" s="433"/>
      <c r="E634" s="434" t="str">
        <f t="shared" ref="E634:I634" si="324">IFERROR(AVERAGE(L634:L637),"")</f>
        <v/>
      </c>
      <c r="F634" s="434" t="str">
        <f t="shared" si="324"/>
        <v/>
      </c>
      <c r="G634" s="435" t="str">
        <f t="shared" si="324"/>
        <v/>
      </c>
      <c r="H634" s="435" t="str">
        <f t="shared" si="324"/>
        <v/>
      </c>
      <c r="I634" s="436" t="str">
        <f t="shared" si="324"/>
        <v/>
      </c>
      <c r="J634" s="437">
        <f>SUMIFS(PRODUCTION[KG],PRODUCTION[GRADE],"3X50",PRODUCTION[DATE],B634,PRODUCTION[BATCH],C634,PRODUCTION[SHIFT],D634)</f>
        <v>0</v>
      </c>
      <c r="K634" s="438" t="s">
        <v>1414</v>
      </c>
      <c r="L634" s="443"/>
      <c r="M634" s="440"/>
      <c r="N634" s="441"/>
      <c r="O634" s="441"/>
      <c r="P634" s="442"/>
      <c r="Q634" s="443"/>
      <c r="R634" s="440"/>
      <c r="S634" s="440"/>
      <c r="T634" s="440"/>
      <c r="U634" s="440"/>
      <c r="V634" s="440"/>
      <c r="W634" s="440"/>
      <c r="X634" s="440"/>
      <c r="Y634" s="444">
        <f t="shared" si="17"/>
        <v>0</v>
      </c>
      <c r="Z634" s="445"/>
      <c r="AA634" s="446">
        <f t="shared" ref="AA634:AE634" si="325">$J634*E634</f>
        <v>0</v>
      </c>
      <c r="AB634" s="447">
        <f t="shared" si="325"/>
        <v>0</v>
      </c>
      <c r="AC634" s="447">
        <f t="shared" si="325"/>
        <v>0</v>
      </c>
      <c r="AD634" s="447">
        <f t="shared" si="325"/>
        <v>0</v>
      </c>
      <c r="AE634" s="448">
        <f t="shared" si="325"/>
        <v>0</v>
      </c>
      <c r="AF634" s="449"/>
      <c r="AG634" s="449"/>
      <c r="AH634" s="449"/>
    </row>
    <row r="635" ht="11.25" customHeight="1">
      <c r="A635" s="450"/>
      <c r="B635" s="451"/>
      <c r="C635" s="452"/>
      <c r="D635" s="452"/>
      <c r="E635" s="453"/>
      <c r="F635" s="453"/>
      <c r="G635" s="454"/>
      <c r="H635" s="454"/>
      <c r="I635" s="455"/>
      <c r="J635" s="456"/>
      <c r="K635" s="457" t="s">
        <v>1416</v>
      </c>
      <c r="L635" s="458"/>
      <c r="M635" s="459"/>
      <c r="N635" s="460"/>
      <c r="O635" s="460"/>
      <c r="P635" s="461"/>
      <c r="Q635" s="458"/>
      <c r="R635" s="459"/>
      <c r="S635" s="459"/>
      <c r="T635" s="459"/>
      <c r="U635" s="459"/>
      <c r="V635" s="459"/>
      <c r="W635" s="459"/>
      <c r="X635" s="459"/>
      <c r="Y635" s="462">
        <f t="shared" si="17"/>
        <v>0</v>
      </c>
      <c r="Z635" s="463"/>
      <c r="AA635" s="464"/>
      <c r="AB635" s="465"/>
      <c r="AC635" s="465"/>
      <c r="AD635" s="465"/>
      <c r="AE635" s="466"/>
      <c r="AF635" s="449"/>
      <c r="AG635" s="449"/>
      <c r="AH635" s="449"/>
    </row>
    <row r="636" ht="11.25" customHeight="1">
      <c r="A636" s="450"/>
      <c r="B636" s="451"/>
      <c r="C636" s="452"/>
      <c r="D636" s="452"/>
      <c r="E636" s="453"/>
      <c r="F636" s="453"/>
      <c r="G636" s="454"/>
      <c r="H636" s="454"/>
      <c r="I636" s="455"/>
      <c r="J636" s="456"/>
      <c r="K636" s="467" t="s">
        <v>1417</v>
      </c>
      <c r="L636" s="468"/>
      <c r="M636" s="469"/>
      <c r="N636" s="470"/>
      <c r="O636" s="470"/>
      <c r="P636" s="471"/>
      <c r="Q636" s="468"/>
      <c r="R636" s="469"/>
      <c r="S636" s="469"/>
      <c r="T636" s="469"/>
      <c r="U636" s="469"/>
      <c r="V636" s="469"/>
      <c r="W636" s="469"/>
      <c r="X636" s="469"/>
      <c r="Y636" s="462">
        <f t="shared" si="17"/>
        <v>0</v>
      </c>
      <c r="Z636" s="463"/>
      <c r="AA636" s="464"/>
      <c r="AB636" s="465"/>
      <c r="AC636" s="465"/>
      <c r="AD636" s="465"/>
      <c r="AE636" s="466"/>
      <c r="AF636" s="449"/>
      <c r="AG636" s="449"/>
      <c r="AH636" s="449"/>
    </row>
    <row r="637" ht="11.25" customHeight="1">
      <c r="A637" s="450"/>
      <c r="B637" s="472"/>
      <c r="C637" s="473"/>
      <c r="D637" s="473"/>
      <c r="E637" s="474"/>
      <c r="F637" s="474"/>
      <c r="G637" s="475"/>
      <c r="H637" s="475"/>
      <c r="I637" s="476"/>
      <c r="J637" s="477"/>
      <c r="K637" s="478" t="s">
        <v>1418</v>
      </c>
      <c r="L637" s="479"/>
      <c r="M637" s="480"/>
      <c r="N637" s="481"/>
      <c r="O637" s="481"/>
      <c r="P637" s="482"/>
      <c r="Q637" s="479"/>
      <c r="R637" s="480"/>
      <c r="S637" s="480"/>
      <c r="T637" s="480"/>
      <c r="U637" s="480"/>
      <c r="V637" s="480"/>
      <c r="W637" s="480"/>
      <c r="X637" s="480"/>
      <c r="Y637" s="483">
        <f t="shared" si="17"/>
        <v>0</v>
      </c>
      <c r="Z637" s="484"/>
      <c r="AA637" s="485"/>
      <c r="AB637" s="486"/>
      <c r="AC637" s="486"/>
      <c r="AD637" s="486"/>
      <c r="AE637" s="487"/>
      <c r="AF637" s="449"/>
      <c r="AG637" s="449"/>
      <c r="AH637" s="449"/>
    </row>
    <row r="638" ht="11.25" customHeight="1">
      <c r="A638" s="431" t="str">
        <f>IF(B638="","", YEAR(B638))</f>
        <v/>
      </c>
      <c r="B638" s="432"/>
      <c r="C638" s="433"/>
      <c r="D638" s="433"/>
      <c r="E638" s="434" t="str">
        <f t="shared" ref="E638:I638" si="326">IFERROR(AVERAGE(L638:L641),"")</f>
        <v/>
      </c>
      <c r="F638" s="434" t="str">
        <f t="shared" si="326"/>
        <v/>
      </c>
      <c r="G638" s="435" t="str">
        <f t="shared" si="326"/>
        <v/>
      </c>
      <c r="H638" s="435" t="str">
        <f t="shared" si="326"/>
        <v/>
      </c>
      <c r="I638" s="436" t="str">
        <f t="shared" si="326"/>
        <v/>
      </c>
      <c r="J638" s="437">
        <f>SUMIFS(PRODUCTION[KG],PRODUCTION[GRADE],"3X50",PRODUCTION[DATE],B638,PRODUCTION[BATCH],C638,PRODUCTION[SHIFT],D638)</f>
        <v>0</v>
      </c>
      <c r="K638" s="438" t="s">
        <v>1414</v>
      </c>
      <c r="L638" s="443"/>
      <c r="M638" s="440"/>
      <c r="N638" s="441"/>
      <c r="O638" s="441"/>
      <c r="P638" s="442"/>
      <c r="Q638" s="443"/>
      <c r="R638" s="440"/>
      <c r="S638" s="440"/>
      <c r="T638" s="440"/>
      <c r="U638" s="440"/>
      <c r="V638" s="440"/>
      <c r="W638" s="440"/>
      <c r="X638" s="440"/>
      <c r="Y638" s="444">
        <f t="shared" si="17"/>
        <v>0</v>
      </c>
      <c r="Z638" s="445"/>
      <c r="AA638" s="446">
        <f t="shared" ref="AA638:AE638" si="327">$J638*E638</f>
        <v>0</v>
      </c>
      <c r="AB638" s="447">
        <f t="shared" si="327"/>
        <v>0</v>
      </c>
      <c r="AC638" s="447">
        <f t="shared" si="327"/>
        <v>0</v>
      </c>
      <c r="AD638" s="447">
        <f t="shared" si="327"/>
        <v>0</v>
      </c>
      <c r="AE638" s="448">
        <f t="shared" si="327"/>
        <v>0</v>
      </c>
      <c r="AF638" s="449"/>
      <c r="AG638" s="449"/>
      <c r="AH638" s="449"/>
    </row>
    <row r="639" ht="11.25" customHeight="1">
      <c r="A639" s="450"/>
      <c r="B639" s="451"/>
      <c r="C639" s="452"/>
      <c r="D639" s="452"/>
      <c r="E639" s="453"/>
      <c r="F639" s="453"/>
      <c r="G639" s="454"/>
      <c r="H639" s="454"/>
      <c r="I639" s="455"/>
      <c r="J639" s="456"/>
      <c r="K639" s="457" t="s">
        <v>1416</v>
      </c>
      <c r="L639" s="458"/>
      <c r="M639" s="459"/>
      <c r="N639" s="460"/>
      <c r="O639" s="460"/>
      <c r="P639" s="461"/>
      <c r="Q639" s="458"/>
      <c r="R639" s="459"/>
      <c r="S639" s="459"/>
      <c r="T639" s="459"/>
      <c r="U639" s="459"/>
      <c r="V639" s="459"/>
      <c r="W639" s="459"/>
      <c r="X639" s="459"/>
      <c r="Y639" s="462">
        <f t="shared" si="17"/>
        <v>0</v>
      </c>
      <c r="Z639" s="463"/>
      <c r="AA639" s="464"/>
      <c r="AB639" s="465"/>
      <c r="AC639" s="465"/>
      <c r="AD639" s="465"/>
      <c r="AE639" s="466"/>
      <c r="AF639" s="449"/>
      <c r="AG639" s="449"/>
      <c r="AH639" s="449"/>
    </row>
    <row r="640" ht="11.25" customHeight="1">
      <c r="A640" s="450"/>
      <c r="B640" s="451"/>
      <c r="C640" s="452"/>
      <c r="D640" s="452"/>
      <c r="E640" s="453"/>
      <c r="F640" s="453"/>
      <c r="G640" s="454"/>
      <c r="H640" s="454"/>
      <c r="I640" s="455"/>
      <c r="J640" s="456"/>
      <c r="K640" s="467" t="s">
        <v>1417</v>
      </c>
      <c r="L640" s="468"/>
      <c r="M640" s="469"/>
      <c r="N640" s="470"/>
      <c r="O640" s="470"/>
      <c r="P640" s="471"/>
      <c r="Q640" s="468"/>
      <c r="R640" s="469"/>
      <c r="S640" s="469"/>
      <c r="T640" s="469"/>
      <c r="U640" s="469"/>
      <c r="V640" s="469"/>
      <c r="W640" s="469"/>
      <c r="X640" s="469"/>
      <c r="Y640" s="462">
        <f t="shared" si="17"/>
        <v>0</v>
      </c>
      <c r="Z640" s="463"/>
      <c r="AA640" s="464"/>
      <c r="AB640" s="465"/>
      <c r="AC640" s="465"/>
      <c r="AD640" s="465"/>
      <c r="AE640" s="466"/>
      <c r="AF640" s="449"/>
      <c r="AG640" s="449"/>
      <c r="AH640" s="449"/>
    </row>
    <row r="641" ht="11.25" customHeight="1">
      <c r="A641" s="450"/>
      <c r="B641" s="472"/>
      <c r="C641" s="473"/>
      <c r="D641" s="473"/>
      <c r="E641" s="474"/>
      <c r="F641" s="474"/>
      <c r="G641" s="475"/>
      <c r="H641" s="475"/>
      <c r="I641" s="476"/>
      <c r="J641" s="477"/>
      <c r="K641" s="478" t="s">
        <v>1418</v>
      </c>
      <c r="L641" s="479"/>
      <c r="M641" s="480"/>
      <c r="N641" s="481"/>
      <c r="O641" s="481"/>
      <c r="P641" s="482"/>
      <c r="Q641" s="479"/>
      <c r="R641" s="480"/>
      <c r="S641" s="480"/>
      <c r="T641" s="480"/>
      <c r="U641" s="480"/>
      <c r="V641" s="480"/>
      <c r="W641" s="480"/>
      <c r="X641" s="480"/>
      <c r="Y641" s="483">
        <f t="shared" si="17"/>
        <v>0</v>
      </c>
      <c r="Z641" s="484"/>
      <c r="AA641" s="485"/>
      <c r="AB641" s="486"/>
      <c r="AC641" s="486"/>
      <c r="AD641" s="486"/>
      <c r="AE641" s="487"/>
      <c r="AF641" s="449"/>
      <c r="AG641" s="449"/>
      <c r="AH641" s="449"/>
    </row>
    <row r="642" ht="11.25" customHeight="1">
      <c r="A642" s="431" t="str">
        <f>IF(B642="","", YEAR(B642))</f>
        <v/>
      </c>
      <c r="B642" s="432"/>
      <c r="C642" s="433"/>
      <c r="D642" s="433"/>
      <c r="E642" s="434" t="str">
        <f t="shared" ref="E642:I642" si="328">IFERROR(AVERAGE(L642:L645),"")</f>
        <v/>
      </c>
      <c r="F642" s="434" t="str">
        <f t="shared" si="328"/>
        <v/>
      </c>
      <c r="G642" s="435" t="str">
        <f t="shared" si="328"/>
        <v/>
      </c>
      <c r="H642" s="435" t="str">
        <f t="shared" si="328"/>
        <v/>
      </c>
      <c r="I642" s="436" t="str">
        <f t="shared" si="328"/>
        <v/>
      </c>
      <c r="J642" s="437">
        <f>SUMIFS(PRODUCTION[KG],PRODUCTION[GRADE],"3X50",PRODUCTION[DATE],B642,PRODUCTION[BATCH],C642,PRODUCTION[SHIFT],D642)</f>
        <v>0</v>
      </c>
      <c r="K642" s="438" t="s">
        <v>1414</v>
      </c>
      <c r="L642" s="443"/>
      <c r="M642" s="440"/>
      <c r="N642" s="441"/>
      <c r="O642" s="441"/>
      <c r="P642" s="442"/>
      <c r="Q642" s="443"/>
      <c r="R642" s="440"/>
      <c r="S642" s="440"/>
      <c r="T642" s="440"/>
      <c r="U642" s="440"/>
      <c r="V642" s="440"/>
      <c r="W642" s="440"/>
      <c r="X642" s="440"/>
      <c r="Y642" s="444">
        <f t="shared" si="17"/>
        <v>0</v>
      </c>
      <c r="Z642" s="445"/>
      <c r="AA642" s="446">
        <f t="shared" ref="AA642:AE642" si="329">$J642*E642</f>
        <v>0</v>
      </c>
      <c r="AB642" s="447">
        <f t="shared" si="329"/>
        <v>0</v>
      </c>
      <c r="AC642" s="447">
        <f t="shared" si="329"/>
        <v>0</v>
      </c>
      <c r="AD642" s="447">
        <f t="shared" si="329"/>
        <v>0</v>
      </c>
      <c r="AE642" s="448">
        <f t="shared" si="329"/>
        <v>0</v>
      </c>
      <c r="AF642" s="449"/>
      <c r="AG642" s="449"/>
      <c r="AH642" s="449"/>
    </row>
    <row r="643" ht="11.25" customHeight="1">
      <c r="A643" s="450"/>
      <c r="B643" s="451"/>
      <c r="C643" s="452"/>
      <c r="D643" s="452"/>
      <c r="E643" s="453"/>
      <c r="F643" s="453"/>
      <c r="G643" s="454"/>
      <c r="H643" s="454"/>
      <c r="I643" s="455"/>
      <c r="J643" s="456"/>
      <c r="K643" s="457" t="s">
        <v>1416</v>
      </c>
      <c r="L643" s="458"/>
      <c r="M643" s="459"/>
      <c r="N643" s="460"/>
      <c r="O643" s="460"/>
      <c r="P643" s="461"/>
      <c r="Q643" s="458"/>
      <c r="R643" s="459"/>
      <c r="S643" s="459"/>
      <c r="T643" s="459"/>
      <c r="U643" s="459"/>
      <c r="V643" s="459"/>
      <c r="W643" s="459"/>
      <c r="X643" s="459"/>
      <c r="Y643" s="462">
        <f t="shared" si="17"/>
        <v>0</v>
      </c>
      <c r="Z643" s="463"/>
      <c r="AA643" s="464"/>
      <c r="AB643" s="465"/>
      <c r="AC643" s="465"/>
      <c r="AD643" s="465"/>
      <c r="AE643" s="466"/>
      <c r="AF643" s="449"/>
      <c r="AG643" s="449"/>
      <c r="AH643" s="449"/>
    </row>
    <row r="644" ht="11.25" customHeight="1">
      <c r="A644" s="450"/>
      <c r="B644" s="451"/>
      <c r="C644" s="452"/>
      <c r="D644" s="452"/>
      <c r="E644" s="453"/>
      <c r="F644" s="453"/>
      <c r="G644" s="454"/>
      <c r="H644" s="454"/>
      <c r="I644" s="455"/>
      <c r="J644" s="456"/>
      <c r="K644" s="467" t="s">
        <v>1417</v>
      </c>
      <c r="L644" s="468"/>
      <c r="M644" s="469"/>
      <c r="N644" s="470"/>
      <c r="O644" s="470"/>
      <c r="P644" s="471"/>
      <c r="Q644" s="468"/>
      <c r="R644" s="469"/>
      <c r="S644" s="469"/>
      <c r="T644" s="469"/>
      <c r="U644" s="469"/>
      <c r="V644" s="469"/>
      <c r="W644" s="469"/>
      <c r="X644" s="469"/>
      <c r="Y644" s="462">
        <f t="shared" si="17"/>
        <v>0</v>
      </c>
      <c r="Z644" s="463"/>
      <c r="AA644" s="464"/>
      <c r="AB644" s="465"/>
      <c r="AC644" s="465"/>
      <c r="AD644" s="465"/>
      <c r="AE644" s="466"/>
      <c r="AF644" s="449"/>
      <c r="AG644" s="449"/>
      <c r="AH644" s="449"/>
    </row>
    <row r="645" ht="11.25" customHeight="1">
      <c r="A645" s="450"/>
      <c r="B645" s="472"/>
      <c r="C645" s="473"/>
      <c r="D645" s="473"/>
      <c r="E645" s="474"/>
      <c r="F645" s="474"/>
      <c r="G645" s="475"/>
      <c r="H645" s="475"/>
      <c r="I645" s="476"/>
      <c r="J645" s="477"/>
      <c r="K645" s="478" t="s">
        <v>1418</v>
      </c>
      <c r="L645" s="479"/>
      <c r="M645" s="480"/>
      <c r="N645" s="481"/>
      <c r="O645" s="481"/>
      <c r="P645" s="482"/>
      <c r="Q645" s="479"/>
      <c r="R645" s="480"/>
      <c r="S645" s="480"/>
      <c r="T645" s="480"/>
      <c r="U645" s="480"/>
      <c r="V645" s="480"/>
      <c r="W645" s="480"/>
      <c r="X645" s="480"/>
      <c r="Y645" s="483">
        <f t="shared" si="17"/>
        <v>0</v>
      </c>
      <c r="Z645" s="484"/>
      <c r="AA645" s="485"/>
      <c r="AB645" s="486"/>
      <c r="AC645" s="486"/>
      <c r="AD645" s="486"/>
      <c r="AE645" s="487"/>
      <c r="AF645" s="449"/>
      <c r="AG645" s="449"/>
      <c r="AH645" s="449"/>
    </row>
    <row r="646" ht="11.25" customHeight="1">
      <c r="A646" s="431" t="str">
        <f>IF(B646="","", YEAR(B646))</f>
        <v/>
      </c>
      <c r="B646" s="432"/>
      <c r="C646" s="433"/>
      <c r="D646" s="433"/>
      <c r="E646" s="434" t="str">
        <f t="shared" ref="E646:I646" si="330">IFERROR(AVERAGE(L646:L649),"")</f>
        <v/>
      </c>
      <c r="F646" s="434" t="str">
        <f t="shared" si="330"/>
        <v/>
      </c>
      <c r="G646" s="435" t="str">
        <f t="shared" si="330"/>
        <v/>
      </c>
      <c r="H646" s="435" t="str">
        <f t="shared" si="330"/>
        <v/>
      </c>
      <c r="I646" s="436" t="str">
        <f t="shared" si="330"/>
        <v/>
      </c>
      <c r="J646" s="437">
        <f>SUMIFS(PRODUCTION[KG],PRODUCTION[GRADE],"3X50",PRODUCTION[DATE],B646,PRODUCTION[BATCH],C646,PRODUCTION[SHIFT],D646)</f>
        <v>0</v>
      </c>
      <c r="K646" s="438" t="s">
        <v>1414</v>
      </c>
      <c r="L646" s="443"/>
      <c r="M646" s="440"/>
      <c r="N646" s="441"/>
      <c r="O646" s="441"/>
      <c r="P646" s="442"/>
      <c r="Q646" s="443"/>
      <c r="R646" s="440"/>
      <c r="S646" s="440"/>
      <c r="T646" s="440"/>
      <c r="U646" s="440"/>
      <c r="V646" s="440"/>
      <c r="W646" s="440"/>
      <c r="X646" s="440"/>
      <c r="Y646" s="444">
        <f t="shared" si="17"/>
        <v>0</v>
      </c>
      <c r="Z646" s="445"/>
      <c r="AA646" s="446">
        <f t="shared" ref="AA646:AE646" si="331">$J646*E646</f>
        <v>0</v>
      </c>
      <c r="AB646" s="447">
        <f t="shared" si="331"/>
        <v>0</v>
      </c>
      <c r="AC646" s="447">
        <f t="shared" si="331"/>
        <v>0</v>
      </c>
      <c r="AD646" s="447">
        <f t="shared" si="331"/>
        <v>0</v>
      </c>
      <c r="AE646" s="448">
        <f t="shared" si="331"/>
        <v>0</v>
      </c>
      <c r="AF646" s="449"/>
      <c r="AG646" s="449"/>
      <c r="AH646" s="449"/>
    </row>
    <row r="647" ht="11.25" customHeight="1">
      <c r="A647" s="450"/>
      <c r="B647" s="451"/>
      <c r="C647" s="452"/>
      <c r="D647" s="452"/>
      <c r="E647" s="453"/>
      <c r="F647" s="453"/>
      <c r="G647" s="454"/>
      <c r="H647" s="454"/>
      <c r="I647" s="455"/>
      <c r="J647" s="456"/>
      <c r="K647" s="457" t="s">
        <v>1416</v>
      </c>
      <c r="L647" s="458"/>
      <c r="M647" s="459"/>
      <c r="N647" s="460"/>
      <c r="O647" s="460"/>
      <c r="P647" s="461"/>
      <c r="Q647" s="458"/>
      <c r="R647" s="459"/>
      <c r="S647" s="459"/>
      <c r="T647" s="459"/>
      <c r="U647" s="459"/>
      <c r="V647" s="459"/>
      <c r="W647" s="459"/>
      <c r="X647" s="459"/>
      <c r="Y647" s="462">
        <f t="shared" si="17"/>
        <v>0</v>
      </c>
      <c r="Z647" s="463"/>
      <c r="AA647" s="464"/>
      <c r="AB647" s="465"/>
      <c r="AC647" s="465"/>
      <c r="AD647" s="465"/>
      <c r="AE647" s="466"/>
      <c r="AF647" s="449"/>
      <c r="AG647" s="449"/>
      <c r="AH647" s="449"/>
    </row>
    <row r="648" ht="11.25" customHeight="1">
      <c r="A648" s="450"/>
      <c r="B648" s="451"/>
      <c r="C648" s="452"/>
      <c r="D648" s="452"/>
      <c r="E648" s="453"/>
      <c r="F648" s="453"/>
      <c r="G648" s="454"/>
      <c r="H648" s="454"/>
      <c r="I648" s="455"/>
      <c r="J648" s="456"/>
      <c r="K648" s="467" t="s">
        <v>1417</v>
      </c>
      <c r="L648" s="468"/>
      <c r="M648" s="469"/>
      <c r="N648" s="470"/>
      <c r="O648" s="470"/>
      <c r="P648" s="471"/>
      <c r="Q648" s="468"/>
      <c r="R648" s="469"/>
      <c r="S648" s="469"/>
      <c r="T648" s="469"/>
      <c r="U648" s="469"/>
      <c r="V648" s="469"/>
      <c r="W648" s="469"/>
      <c r="X648" s="469"/>
      <c r="Y648" s="462">
        <f t="shared" si="17"/>
        <v>0</v>
      </c>
      <c r="Z648" s="463"/>
      <c r="AA648" s="464"/>
      <c r="AB648" s="465"/>
      <c r="AC648" s="465"/>
      <c r="AD648" s="465"/>
      <c r="AE648" s="466"/>
      <c r="AF648" s="449"/>
      <c r="AG648" s="449"/>
      <c r="AH648" s="449"/>
    </row>
    <row r="649" ht="11.25" customHeight="1">
      <c r="A649" s="450"/>
      <c r="B649" s="472"/>
      <c r="C649" s="473"/>
      <c r="D649" s="473"/>
      <c r="E649" s="474"/>
      <c r="F649" s="474"/>
      <c r="G649" s="475"/>
      <c r="H649" s="475"/>
      <c r="I649" s="476"/>
      <c r="J649" s="477"/>
      <c r="K649" s="478" t="s">
        <v>1418</v>
      </c>
      <c r="L649" s="479"/>
      <c r="M649" s="480"/>
      <c r="N649" s="481"/>
      <c r="O649" s="481"/>
      <c r="P649" s="482"/>
      <c r="Q649" s="479"/>
      <c r="R649" s="480"/>
      <c r="S649" s="480"/>
      <c r="T649" s="480"/>
      <c r="U649" s="480"/>
      <c r="V649" s="480"/>
      <c r="W649" s="480"/>
      <c r="X649" s="480"/>
      <c r="Y649" s="483">
        <f t="shared" si="17"/>
        <v>0</v>
      </c>
      <c r="Z649" s="484"/>
      <c r="AA649" s="485"/>
      <c r="AB649" s="486"/>
      <c r="AC649" s="486"/>
      <c r="AD649" s="486"/>
      <c r="AE649" s="487"/>
      <c r="AF649" s="449"/>
      <c r="AG649" s="449"/>
      <c r="AH649" s="449"/>
    </row>
    <row r="650" ht="11.25" customHeight="1">
      <c r="A650" s="431" t="str">
        <f>IF(B650="","", YEAR(B650))</f>
        <v/>
      </c>
      <c r="B650" s="432"/>
      <c r="C650" s="433"/>
      <c r="D650" s="433"/>
      <c r="E650" s="434" t="str">
        <f t="shared" ref="E650:I650" si="332">IFERROR(AVERAGE(L650:L653),"")</f>
        <v/>
      </c>
      <c r="F650" s="434" t="str">
        <f t="shared" si="332"/>
        <v/>
      </c>
      <c r="G650" s="435" t="str">
        <f t="shared" si="332"/>
        <v/>
      </c>
      <c r="H650" s="435" t="str">
        <f t="shared" si="332"/>
        <v/>
      </c>
      <c r="I650" s="436" t="str">
        <f t="shared" si="332"/>
        <v/>
      </c>
      <c r="J650" s="437">
        <f>SUMIFS(PRODUCTION[KG],PRODUCTION[GRADE],"3X50",PRODUCTION[DATE],B650,PRODUCTION[BATCH],C650,PRODUCTION[SHIFT],D650)</f>
        <v>0</v>
      </c>
      <c r="K650" s="438" t="s">
        <v>1414</v>
      </c>
      <c r="L650" s="443"/>
      <c r="M650" s="440"/>
      <c r="N650" s="441"/>
      <c r="O650" s="441"/>
      <c r="P650" s="442"/>
      <c r="Q650" s="443"/>
      <c r="R650" s="440"/>
      <c r="S650" s="440"/>
      <c r="T650" s="440"/>
      <c r="U650" s="440"/>
      <c r="V650" s="440"/>
      <c r="W650" s="440"/>
      <c r="X650" s="440"/>
      <c r="Y650" s="444">
        <f t="shared" si="17"/>
        <v>0</v>
      </c>
      <c r="Z650" s="445"/>
      <c r="AA650" s="446">
        <f t="shared" ref="AA650:AE650" si="333">$J650*E650</f>
        <v>0</v>
      </c>
      <c r="AB650" s="447">
        <f t="shared" si="333"/>
        <v>0</v>
      </c>
      <c r="AC650" s="447">
        <f t="shared" si="333"/>
        <v>0</v>
      </c>
      <c r="AD650" s="447">
        <f t="shared" si="333"/>
        <v>0</v>
      </c>
      <c r="AE650" s="448">
        <f t="shared" si="333"/>
        <v>0</v>
      </c>
      <c r="AF650" s="449"/>
      <c r="AG650" s="449"/>
      <c r="AH650" s="449"/>
    </row>
    <row r="651" ht="11.25" customHeight="1">
      <c r="A651" s="450"/>
      <c r="B651" s="451"/>
      <c r="C651" s="452"/>
      <c r="D651" s="452"/>
      <c r="E651" s="453"/>
      <c r="F651" s="453"/>
      <c r="G651" s="454"/>
      <c r="H651" s="454"/>
      <c r="I651" s="455"/>
      <c r="J651" s="456"/>
      <c r="K651" s="457" t="s">
        <v>1416</v>
      </c>
      <c r="L651" s="458"/>
      <c r="M651" s="459"/>
      <c r="N651" s="460"/>
      <c r="O651" s="460"/>
      <c r="P651" s="461"/>
      <c r="Q651" s="458"/>
      <c r="R651" s="459"/>
      <c r="S651" s="459"/>
      <c r="T651" s="459"/>
      <c r="U651" s="459"/>
      <c r="V651" s="459"/>
      <c r="W651" s="459"/>
      <c r="X651" s="459"/>
      <c r="Y651" s="462">
        <f t="shared" si="17"/>
        <v>0</v>
      </c>
      <c r="Z651" s="463"/>
      <c r="AA651" s="464"/>
      <c r="AB651" s="465"/>
      <c r="AC651" s="465"/>
      <c r="AD651" s="465"/>
      <c r="AE651" s="466"/>
      <c r="AF651" s="449"/>
      <c r="AG651" s="449"/>
      <c r="AH651" s="449"/>
    </row>
    <row r="652" ht="11.25" customHeight="1">
      <c r="A652" s="450"/>
      <c r="B652" s="451"/>
      <c r="C652" s="452"/>
      <c r="D652" s="452"/>
      <c r="E652" s="453"/>
      <c r="F652" s="453"/>
      <c r="G652" s="454"/>
      <c r="H652" s="454"/>
      <c r="I652" s="455"/>
      <c r="J652" s="456"/>
      <c r="K652" s="467" t="s">
        <v>1417</v>
      </c>
      <c r="L652" s="468"/>
      <c r="M652" s="469"/>
      <c r="N652" s="470"/>
      <c r="O652" s="470"/>
      <c r="P652" s="471"/>
      <c r="Q652" s="468"/>
      <c r="R652" s="469"/>
      <c r="S652" s="469"/>
      <c r="T652" s="469"/>
      <c r="U652" s="469"/>
      <c r="V652" s="469"/>
      <c r="W652" s="469"/>
      <c r="X652" s="469"/>
      <c r="Y652" s="462">
        <f t="shared" si="17"/>
        <v>0</v>
      </c>
      <c r="Z652" s="463"/>
      <c r="AA652" s="464"/>
      <c r="AB652" s="465"/>
      <c r="AC652" s="465"/>
      <c r="AD652" s="465"/>
      <c r="AE652" s="466"/>
      <c r="AF652" s="449"/>
      <c r="AG652" s="449"/>
      <c r="AH652" s="449"/>
    </row>
    <row r="653" ht="11.25" customHeight="1">
      <c r="A653" s="450"/>
      <c r="B653" s="472"/>
      <c r="C653" s="473"/>
      <c r="D653" s="473"/>
      <c r="E653" s="474"/>
      <c r="F653" s="474"/>
      <c r="G653" s="475"/>
      <c r="H653" s="475"/>
      <c r="I653" s="476"/>
      <c r="J653" s="477"/>
      <c r="K653" s="478" t="s">
        <v>1418</v>
      </c>
      <c r="L653" s="479"/>
      <c r="M653" s="480"/>
      <c r="N653" s="481"/>
      <c r="O653" s="481"/>
      <c r="P653" s="482"/>
      <c r="Q653" s="479"/>
      <c r="R653" s="480"/>
      <c r="S653" s="480"/>
      <c r="T653" s="480"/>
      <c r="U653" s="480"/>
      <c r="V653" s="480"/>
      <c r="W653" s="480"/>
      <c r="X653" s="480"/>
      <c r="Y653" s="483">
        <f t="shared" si="17"/>
        <v>0</v>
      </c>
      <c r="Z653" s="484"/>
      <c r="AA653" s="485"/>
      <c r="AB653" s="486"/>
      <c r="AC653" s="486"/>
      <c r="AD653" s="486"/>
      <c r="AE653" s="487"/>
      <c r="AF653" s="449"/>
      <c r="AG653" s="449"/>
      <c r="AH653" s="449"/>
    </row>
    <row r="654" ht="11.25" customHeight="1">
      <c r="A654" s="431" t="str">
        <f>IF(B654="","", YEAR(B654))</f>
        <v/>
      </c>
      <c r="B654" s="432"/>
      <c r="C654" s="433"/>
      <c r="D654" s="433"/>
      <c r="E654" s="434" t="str">
        <f t="shared" ref="E654:I654" si="334">IFERROR(AVERAGE(L654:L657),"")</f>
        <v/>
      </c>
      <c r="F654" s="434" t="str">
        <f t="shared" si="334"/>
        <v/>
      </c>
      <c r="G654" s="435" t="str">
        <f t="shared" si="334"/>
        <v/>
      </c>
      <c r="H654" s="435" t="str">
        <f t="shared" si="334"/>
        <v/>
      </c>
      <c r="I654" s="436" t="str">
        <f t="shared" si="334"/>
        <v/>
      </c>
      <c r="J654" s="437">
        <f>SUMIFS(PRODUCTION[KG],PRODUCTION[GRADE],"3X50",PRODUCTION[DATE],B654,PRODUCTION[BATCH],C654,PRODUCTION[SHIFT],D654)</f>
        <v>0</v>
      </c>
      <c r="K654" s="438" t="s">
        <v>1414</v>
      </c>
      <c r="L654" s="443"/>
      <c r="M654" s="440"/>
      <c r="N654" s="441"/>
      <c r="O654" s="441"/>
      <c r="P654" s="442"/>
      <c r="Q654" s="443"/>
      <c r="R654" s="440"/>
      <c r="S654" s="440"/>
      <c r="T654" s="440"/>
      <c r="U654" s="440"/>
      <c r="V654" s="440"/>
      <c r="W654" s="440"/>
      <c r="X654" s="440"/>
      <c r="Y654" s="444">
        <f t="shared" si="17"/>
        <v>0</v>
      </c>
      <c r="Z654" s="445"/>
      <c r="AA654" s="446">
        <f t="shared" ref="AA654:AE654" si="335">$J654*E654</f>
        <v>0</v>
      </c>
      <c r="AB654" s="447">
        <f t="shared" si="335"/>
        <v>0</v>
      </c>
      <c r="AC654" s="447">
        <f t="shared" si="335"/>
        <v>0</v>
      </c>
      <c r="AD654" s="447">
        <f t="shared" si="335"/>
        <v>0</v>
      </c>
      <c r="AE654" s="448">
        <f t="shared" si="335"/>
        <v>0</v>
      </c>
      <c r="AF654" s="449"/>
      <c r="AG654" s="449"/>
      <c r="AH654" s="449"/>
    </row>
    <row r="655" ht="11.25" customHeight="1">
      <c r="A655" s="450"/>
      <c r="B655" s="451"/>
      <c r="C655" s="452"/>
      <c r="D655" s="452"/>
      <c r="E655" s="453"/>
      <c r="F655" s="453"/>
      <c r="G655" s="454"/>
      <c r="H655" s="454"/>
      <c r="I655" s="455"/>
      <c r="J655" s="456"/>
      <c r="K655" s="457" t="s">
        <v>1416</v>
      </c>
      <c r="L655" s="458"/>
      <c r="M655" s="459"/>
      <c r="N655" s="460"/>
      <c r="O655" s="460"/>
      <c r="P655" s="461"/>
      <c r="Q655" s="458"/>
      <c r="R655" s="459"/>
      <c r="S655" s="459"/>
      <c r="T655" s="459"/>
      <c r="U655" s="459"/>
      <c r="V655" s="459"/>
      <c r="W655" s="459"/>
      <c r="X655" s="459"/>
      <c r="Y655" s="462">
        <f t="shared" si="17"/>
        <v>0</v>
      </c>
      <c r="Z655" s="463"/>
      <c r="AA655" s="464"/>
      <c r="AB655" s="465"/>
      <c r="AC655" s="465"/>
      <c r="AD655" s="465"/>
      <c r="AE655" s="466"/>
      <c r="AF655" s="449"/>
      <c r="AG655" s="449"/>
      <c r="AH655" s="449"/>
    </row>
    <row r="656" ht="11.25" customHeight="1">
      <c r="A656" s="450"/>
      <c r="B656" s="451"/>
      <c r="C656" s="452"/>
      <c r="D656" s="452"/>
      <c r="E656" s="453"/>
      <c r="F656" s="453"/>
      <c r="G656" s="454"/>
      <c r="H656" s="454"/>
      <c r="I656" s="455"/>
      <c r="J656" s="456"/>
      <c r="K656" s="467" t="s">
        <v>1417</v>
      </c>
      <c r="L656" s="468"/>
      <c r="M656" s="469"/>
      <c r="N656" s="470"/>
      <c r="O656" s="470"/>
      <c r="P656" s="471"/>
      <c r="Q656" s="468"/>
      <c r="R656" s="469"/>
      <c r="S656" s="469"/>
      <c r="T656" s="469"/>
      <c r="U656" s="469"/>
      <c r="V656" s="469"/>
      <c r="W656" s="469"/>
      <c r="X656" s="469"/>
      <c r="Y656" s="462">
        <f t="shared" si="17"/>
        <v>0</v>
      </c>
      <c r="Z656" s="463"/>
      <c r="AA656" s="464"/>
      <c r="AB656" s="465"/>
      <c r="AC656" s="465"/>
      <c r="AD656" s="465"/>
      <c r="AE656" s="466"/>
      <c r="AF656" s="449"/>
      <c r="AG656" s="449"/>
      <c r="AH656" s="449"/>
    </row>
    <row r="657" ht="11.25" customHeight="1">
      <c r="A657" s="450"/>
      <c r="B657" s="472"/>
      <c r="C657" s="473"/>
      <c r="D657" s="473"/>
      <c r="E657" s="474"/>
      <c r="F657" s="474"/>
      <c r="G657" s="475"/>
      <c r="H657" s="475"/>
      <c r="I657" s="476"/>
      <c r="J657" s="477"/>
      <c r="K657" s="478" t="s">
        <v>1418</v>
      </c>
      <c r="L657" s="479"/>
      <c r="M657" s="480"/>
      <c r="N657" s="481"/>
      <c r="O657" s="481"/>
      <c r="P657" s="482"/>
      <c r="Q657" s="479"/>
      <c r="R657" s="480"/>
      <c r="S657" s="480"/>
      <c r="T657" s="480"/>
      <c r="U657" s="480"/>
      <c r="V657" s="480"/>
      <c r="W657" s="480"/>
      <c r="X657" s="480"/>
      <c r="Y657" s="483">
        <f t="shared" si="17"/>
        <v>0</v>
      </c>
      <c r="Z657" s="484"/>
      <c r="AA657" s="485"/>
      <c r="AB657" s="486"/>
      <c r="AC657" s="486"/>
      <c r="AD657" s="486"/>
      <c r="AE657" s="487"/>
      <c r="AF657" s="449"/>
      <c r="AG657" s="449"/>
      <c r="AH657" s="449"/>
    </row>
    <row r="658" ht="11.25" customHeight="1">
      <c r="A658" s="431" t="str">
        <f>IF(B658="","", YEAR(B658))</f>
        <v/>
      </c>
      <c r="B658" s="432"/>
      <c r="C658" s="433"/>
      <c r="D658" s="433"/>
      <c r="E658" s="434" t="str">
        <f t="shared" ref="E658:I658" si="336">IFERROR(AVERAGE(L658:L661),"")</f>
        <v/>
      </c>
      <c r="F658" s="434" t="str">
        <f t="shared" si="336"/>
        <v/>
      </c>
      <c r="G658" s="435" t="str">
        <f t="shared" si="336"/>
        <v/>
      </c>
      <c r="H658" s="435" t="str">
        <f t="shared" si="336"/>
        <v/>
      </c>
      <c r="I658" s="436" t="str">
        <f t="shared" si="336"/>
        <v/>
      </c>
      <c r="J658" s="437">
        <f>SUMIFS(PRODUCTION[KG],PRODUCTION[GRADE],"3X50",PRODUCTION[DATE],B658,PRODUCTION[BATCH],C658,PRODUCTION[SHIFT],D658)</f>
        <v>0</v>
      </c>
      <c r="K658" s="438" t="s">
        <v>1414</v>
      </c>
      <c r="L658" s="443"/>
      <c r="M658" s="440"/>
      <c r="N658" s="441"/>
      <c r="O658" s="441"/>
      <c r="P658" s="442"/>
      <c r="Q658" s="443"/>
      <c r="R658" s="440"/>
      <c r="S658" s="440"/>
      <c r="T658" s="440"/>
      <c r="U658" s="440"/>
      <c r="V658" s="440"/>
      <c r="W658" s="440"/>
      <c r="X658" s="440"/>
      <c r="Y658" s="444">
        <f t="shared" si="17"/>
        <v>0</v>
      </c>
      <c r="Z658" s="445"/>
      <c r="AA658" s="446">
        <f t="shared" ref="AA658:AE658" si="337">$J658*E658</f>
        <v>0</v>
      </c>
      <c r="AB658" s="447">
        <f t="shared" si="337"/>
        <v>0</v>
      </c>
      <c r="AC658" s="447">
        <f t="shared" si="337"/>
        <v>0</v>
      </c>
      <c r="AD658" s="447">
        <f t="shared" si="337"/>
        <v>0</v>
      </c>
      <c r="AE658" s="448">
        <f t="shared" si="337"/>
        <v>0</v>
      </c>
      <c r="AF658" s="449"/>
      <c r="AG658" s="449"/>
      <c r="AH658" s="449"/>
    </row>
    <row r="659" ht="11.25" customHeight="1">
      <c r="A659" s="450"/>
      <c r="B659" s="451"/>
      <c r="C659" s="452"/>
      <c r="D659" s="452"/>
      <c r="E659" s="453"/>
      <c r="F659" s="453"/>
      <c r="G659" s="454"/>
      <c r="H659" s="454"/>
      <c r="I659" s="455"/>
      <c r="J659" s="456"/>
      <c r="K659" s="457" t="s">
        <v>1416</v>
      </c>
      <c r="L659" s="458"/>
      <c r="M659" s="459"/>
      <c r="N659" s="460"/>
      <c r="O659" s="460"/>
      <c r="P659" s="461"/>
      <c r="Q659" s="458"/>
      <c r="R659" s="459"/>
      <c r="S659" s="459"/>
      <c r="T659" s="459"/>
      <c r="U659" s="459"/>
      <c r="V659" s="459"/>
      <c r="W659" s="459"/>
      <c r="X659" s="459"/>
      <c r="Y659" s="462">
        <f t="shared" si="17"/>
        <v>0</v>
      </c>
      <c r="Z659" s="463"/>
      <c r="AA659" s="464"/>
      <c r="AB659" s="465"/>
      <c r="AC659" s="465"/>
      <c r="AD659" s="465"/>
      <c r="AE659" s="466"/>
      <c r="AF659" s="449"/>
      <c r="AG659" s="449"/>
      <c r="AH659" s="449"/>
    </row>
    <row r="660" ht="11.25" customHeight="1">
      <c r="A660" s="450"/>
      <c r="B660" s="451"/>
      <c r="C660" s="452"/>
      <c r="D660" s="452"/>
      <c r="E660" s="453"/>
      <c r="F660" s="453"/>
      <c r="G660" s="454"/>
      <c r="H660" s="454"/>
      <c r="I660" s="455"/>
      <c r="J660" s="456"/>
      <c r="K660" s="467" t="s">
        <v>1417</v>
      </c>
      <c r="L660" s="468"/>
      <c r="M660" s="469"/>
      <c r="N660" s="470"/>
      <c r="O660" s="470"/>
      <c r="P660" s="471"/>
      <c r="Q660" s="468"/>
      <c r="R660" s="469"/>
      <c r="S660" s="469"/>
      <c r="T660" s="469"/>
      <c r="U660" s="469"/>
      <c r="V660" s="469"/>
      <c r="W660" s="469"/>
      <c r="X660" s="469"/>
      <c r="Y660" s="462">
        <f t="shared" si="17"/>
        <v>0</v>
      </c>
      <c r="Z660" s="463"/>
      <c r="AA660" s="464"/>
      <c r="AB660" s="465"/>
      <c r="AC660" s="465"/>
      <c r="AD660" s="465"/>
      <c r="AE660" s="466"/>
      <c r="AF660" s="449"/>
      <c r="AG660" s="449"/>
      <c r="AH660" s="449"/>
    </row>
    <row r="661" ht="11.25" customHeight="1">
      <c r="A661" s="450"/>
      <c r="B661" s="472"/>
      <c r="C661" s="473"/>
      <c r="D661" s="473"/>
      <c r="E661" s="474"/>
      <c r="F661" s="474"/>
      <c r="G661" s="475"/>
      <c r="H661" s="475"/>
      <c r="I661" s="476"/>
      <c r="J661" s="477"/>
      <c r="K661" s="478" t="s">
        <v>1418</v>
      </c>
      <c r="L661" s="479"/>
      <c r="M661" s="480"/>
      <c r="N661" s="481"/>
      <c r="O661" s="481"/>
      <c r="P661" s="482"/>
      <c r="Q661" s="479"/>
      <c r="R661" s="480"/>
      <c r="S661" s="480"/>
      <c r="T661" s="480"/>
      <c r="U661" s="480"/>
      <c r="V661" s="480"/>
      <c r="W661" s="480"/>
      <c r="X661" s="480"/>
      <c r="Y661" s="483">
        <f t="shared" si="17"/>
        <v>0</v>
      </c>
      <c r="Z661" s="484"/>
      <c r="AA661" s="485"/>
      <c r="AB661" s="486"/>
      <c r="AC661" s="486"/>
      <c r="AD661" s="486"/>
      <c r="AE661" s="487"/>
      <c r="AF661" s="449"/>
      <c r="AG661" s="449"/>
      <c r="AH661" s="449"/>
    </row>
    <row r="662" ht="11.25" customHeight="1">
      <c r="A662" s="431" t="str">
        <f>IF(B662="","", YEAR(B662))</f>
        <v/>
      </c>
      <c r="B662" s="432"/>
      <c r="C662" s="433"/>
      <c r="D662" s="433"/>
      <c r="E662" s="434" t="str">
        <f t="shared" ref="E662:I662" si="338">IFERROR(AVERAGE(L662:L665),"")</f>
        <v/>
      </c>
      <c r="F662" s="434" t="str">
        <f t="shared" si="338"/>
        <v/>
      </c>
      <c r="G662" s="435" t="str">
        <f t="shared" si="338"/>
        <v/>
      </c>
      <c r="H662" s="435" t="str">
        <f t="shared" si="338"/>
        <v/>
      </c>
      <c r="I662" s="436" t="str">
        <f t="shared" si="338"/>
        <v/>
      </c>
      <c r="J662" s="437">
        <f>SUMIFS(PRODUCTION[KG],PRODUCTION[GRADE],"3X50",PRODUCTION[DATE],B662,PRODUCTION[BATCH],C662,PRODUCTION[SHIFT],D662)</f>
        <v>0</v>
      </c>
      <c r="K662" s="438" t="s">
        <v>1414</v>
      </c>
      <c r="L662" s="443"/>
      <c r="M662" s="440"/>
      <c r="N662" s="441"/>
      <c r="O662" s="441"/>
      <c r="P662" s="442"/>
      <c r="Q662" s="443"/>
      <c r="R662" s="440"/>
      <c r="S662" s="440"/>
      <c r="T662" s="440"/>
      <c r="U662" s="440"/>
      <c r="V662" s="440"/>
      <c r="W662" s="440"/>
      <c r="X662" s="440"/>
      <c r="Y662" s="444">
        <f t="shared" si="17"/>
        <v>0</v>
      </c>
      <c r="Z662" s="445"/>
      <c r="AA662" s="446">
        <f t="shared" ref="AA662:AE662" si="339">$J662*E662</f>
        <v>0</v>
      </c>
      <c r="AB662" s="447">
        <f t="shared" si="339"/>
        <v>0</v>
      </c>
      <c r="AC662" s="447">
        <f t="shared" si="339"/>
        <v>0</v>
      </c>
      <c r="AD662" s="447">
        <f t="shared" si="339"/>
        <v>0</v>
      </c>
      <c r="AE662" s="448">
        <f t="shared" si="339"/>
        <v>0</v>
      </c>
      <c r="AF662" s="449"/>
      <c r="AG662" s="449"/>
      <c r="AH662" s="449"/>
    </row>
    <row r="663" ht="11.25" customHeight="1">
      <c r="A663" s="450"/>
      <c r="B663" s="451"/>
      <c r="C663" s="452"/>
      <c r="D663" s="452"/>
      <c r="E663" s="453"/>
      <c r="F663" s="453"/>
      <c r="G663" s="454"/>
      <c r="H663" s="454"/>
      <c r="I663" s="455"/>
      <c r="J663" s="456"/>
      <c r="K663" s="457" t="s">
        <v>1416</v>
      </c>
      <c r="L663" s="458"/>
      <c r="M663" s="459"/>
      <c r="N663" s="460"/>
      <c r="O663" s="460"/>
      <c r="P663" s="461"/>
      <c r="Q663" s="458"/>
      <c r="R663" s="459"/>
      <c r="S663" s="459"/>
      <c r="T663" s="459"/>
      <c r="U663" s="459"/>
      <c r="V663" s="459"/>
      <c r="W663" s="459"/>
      <c r="X663" s="459"/>
      <c r="Y663" s="462">
        <f t="shared" si="17"/>
        <v>0</v>
      </c>
      <c r="Z663" s="463"/>
      <c r="AA663" s="464"/>
      <c r="AB663" s="465"/>
      <c r="AC663" s="465"/>
      <c r="AD663" s="465"/>
      <c r="AE663" s="466"/>
      <c r="AF663" s="449"/>
      <c r="AG663" s="449"/>
      <c r="AH663" s="449"/>
    </row>
    <row r="664" ht="11.25" customHeight="1">
      <c r="A664" s="450"/>
      <c r="B664" s="451"/>
      <c r="C664" s="452"/>
      <c r="D664" s="452"/>
      <c r="E664" s="453"/>
      <c r="F664" s="453"/>
      <c r="G664" s="454"/>
      <c r="H664" s="454"/>
      <c r="I664" s="455"/>
      <c r="J664" s="456"/>
      <c r="K664" s="467" t="s">
        <v>1417</v>
      </c>
      <c r="L664" s="468"/>
      <c r="M664" s="469"/>
      <c r="N664" s="470"/>
      <c r="O664" s="470"/>
      <c r="P664" s="471"/>
      <c r="Q664" s="468"/>
      <c r="R664" s="469"/>
      <c r="S664" s="469"/>
      <c r="T664" s="469"/>
      <c r="U664" s="469"/>
      <c r="V664" s="469"/>
      <c r="W664" s="469"/>
      <c r="X664" s="469"/>
      <c r="Y664" s="462">
        <f t="shared" si="17"/>
        <v>0</v>
      </c>
      <c r="Z664" s="463"/>
      <c r="AA664" s="464"/>
      <c r="AB664" s="465"/>
      <c r="AC664" s="465"/>
      <c r="AD664" s="465"/>
      <c r="AE664" s="466"/>
      <c r="AF664" s="449"/>
      <c r="AG664" s="449"/>
      <c r="AH664" s="449"/>
    </row>
    <row r="665" ht="11.25" customHeight="1">
      <c r="A665" s="450"/>
      <c r="B665" s="472"/>
      <c r="C665" s="473"/>
      <c r="D665" s="473"/>
      <c r="E665" s="474"/>
      <c r="F665" s="474"/>
      <c r="G665" s="475"/>
      <c r="H665" s="475"/>
      <c r="I665" s="476"/>
      <c r="J665" s="477"/>
      <c r="K665" s="478" t="s">
        <v>1418</v>
      </c>
      <c r="L665" s="479"/>
      <c r="M665" s="480"/>
      <c r="N665" s="481"/>
      <c r="O665" s="481"/>
      <c r="P665" s="482"/>
      <c r="Q665" s="479"/>
      <c r="R665" s="480"/>
      <c r="S665" s="480"/>
      <c r="T665" s="480"/>
      <c r="U665" s="480"/>
      <c r="V665" s="480"/>
      <c r="W665" s="480"/>
      <c r="X665" s="480"/>
      <c r="Y665" s="483">
        <f t="shared" si="17"/>
        <v>0</v>
      </c>
      <c r="Z665" s="484"/>
      <c r="AA665" s="485"/>
      <c r="AB665" s="486"/>
      <c r="AC665" s="486"/>
      <c r="AD665" s="486"/>
      <c r="AE665" s="487"/>
      <c r="AF665" s="449"/>
      <c r="AG665" s="449"/>
      <c r="AH665" s="449"/>
    </row>
    <row r="666" ht="11.25" customHeight="1">
      <c r="A666" s="431" t="str">
        <f>IF(B666="","", YEAR(B666))</f>
        <v/>
      </c>
      <c r="B666" s="432"/>
      <c r="C666" s="433"/>
      <c r="D666" s="433"/>
      <c r="E666" s="434" t="str">
        <f t="shared" ref="E666:I666" si="340">IFERROR(AVERAGE(L666:L669),"")</f>
        <v/>
      </c>
      <c r="F666" s="434" t="str">
        <f t="shared" si="340"/>
        <v/>
      </c>
      <c r="G666" s="435" t="str">
        <f t="shared" si="340"/>
        <v/>
      </c>
      <c r="H666" s="435" t="str">
        <f t="shared" si="340"/>
        <v/>
      </c>
      <c r="I666" s="436" t="str">
        <f t="shared" si="340"/>
        <v/>
      </c>
      <c r="J666" s="437">
        <f>SUMIFS(PRODUCTION[KG],PRODUCTION[GRADE],"3X50",PRODUCTION[DATE],B666,PRODUCTION[BATCH],C666,PRODUCTION[SHIFT],D666)</f>
        <v>0</v>
      </c>
      <c r="K666" s="438" t="s">
        <v>1414</v>
      </c>
      <c r="L666" s="443"/>
      <c r="M666" s="440"/>
      <c r="N666" s="441"/>
      <c r="O666" s="441"/>
      <c r="P666" s="442"/>
      <c r="Q666" s="443"/>
      <c r="R666" s="440"/>
      <c r="S666" s="440"/>
      <c r="T666" s="440"/>
      <c r="U666" s="440"/>
      <c r="V666" s="440"/>
      <c r="W666" s="440"/>
      <c r="X666" s="440"/>
      <c r="Y666" s="444">
        <f t="shared" si="17"/>
        <v>0</v>
      </c>
      <c r="Z666" s="445"/>
      <c r="AA666" s="446">
        <f t="shared" ref="AA666:AE666" si="341">$J666*E666</f>
        <v>0</v>
      </c>
      <c r="AB666" s="447">
        <f t="shared" si="341"/>
        <v>0</v>
      </c>
      <c r="AC666" s="447">
        <f t="shared" si="341"/>
        <v>0</v>
      </c>
      <c r="AD666" s="447">
        <f t="shared" si="341"/>
        <v>0</v>
      </c>
      <c r="AE666" s="448">
        <f t="shared" si="341"/>
        <v>0</v>
      </c>
      <c r="AF666" s="449"/>
      <c r="AG666" s="449"/>
      <c r="AH666" s="449"/>
    </row>
    <row r="667" ht="11.25" customHeight="1">
      <c r="A667" s="450"/>
      <c r="B667" s="451"/>
      <c r="C667" s="452"/>
      <c r="D667" s="452"/>
      <c r="E667" s="453"/>
      <c r="F667" s="453"/>
      <c r="G667" s="454"/>
      <c r="H667" s="454"/>
      <c r="I667" s="455"/>
      <c r="J667" s="456"/>
      <c r="K667" s="457" t="s">
        <v>1416</v>
      </c>
      <c r="L667" s="458"/>
      <c r="M667" s="459"/>
      <c r="N667" s="460"/>
      <c r="O667" s="460"/>
      <c r="P667" s="461"/>
      <c r="Q667" s="458"/>
      <c r="R667" s="459"/>
      <c r="S667" s="459"/>
      <c r="T667" s="459"/>
      <c r="U667" s="459"/>
      <c r="V667" s="459"/>
      <c r="W667" s="459"/>
      <c r="X667" s="459"/>
      <c r="Y667" s="462">
        <f t="shared" si="17"/>
        <v>0</v>
      </c>
      <c r="Z667" s="463"/>
      <c r="AA667" s="464"/>
      <c r="AB667" s="465"/>
      <c r="AC667" s="465"/>
      <c r="AD667" s="465"/>
      <c r="AE667" s="466"/>
      <c r="AF667" s="449"/>
      <c r="AG667" s="449"/>
      <c r="AH667" s="449"/>
    </row>
    <row r="668" ht="11.25" customHeight="1">
      <c r="A668" s="450"/>
      <c r="B668" s="451"/>
      <c r="C668" s="452"/>
      <c r="D668" s="452"/>
      <c r="E668" s="453"/>
      <c r="F668" s="453"/>
      <c r="G668" s="454"/>
      <c r="H668" s="454"/>
      <c r="I668" s="455"/>
      <c r="J668" s="456"/>
      <c r="K668" s="467" t="s">
        <v>1417</v>
      </c>
      <c r="L668" s="468"/>
      <c r="M668" s="469"/>
      <c r="N668" s="470"/>
      <c r="O668" s="470"/>
      <c r="P668" s="471"/>
      <c r="Q668" s="468"/>
      <c r="R668" s="469"/>
      <c r="S668" s="469"/>
      <c r="T668" s="469"/>
      <c r="U668" s="469"/>
      <c r="V668" s="469"/>
      <c r="W668" s="469"/>
      <c r="X668" s="469"/>
      <c r="Y668" s="462">
        <f t="shared" si="17"/>
        <v>0</v>
      </c>
      <c r="Z668" s="463"/>
      <c r="AA668" s="464"/>
      <c r="AB668" s="465"/>
      <c r="AC668" s="465"/>
      <c r="AD668" s="465"/>
      <c r="AE668" s="466"/>
      <c r="AF668" s="449"/>
      <c r="AG668" s="449"/>
      <c r="AH668" s="449"/>
    </row>
    <row r="669" ht="11.25" customHeight="1">
      <c r="A669" s="450"/>
      <c r="B669" s="472"/>
      <c r="C669" s="473"/>
      <c r="D669" s="473"/>
      <c r="E669" s="474"/>
      <c r="F669" s="474"/>
      <c r="G669" s="475"/>
      <c r="H669" s="475"/>
      <c r="I669" s="476"/>
      <c r="J669" s="477"/>
      <c r="K669" s="478" t="s">
        <v>1418</v>
      </c>
      <c r="L669" s="479"/>
      <c r="M669" s="480"/>
      <c r="N669" s="481"/>
      <c r="O669" s="481"/>
      <c r="P669" s="482"/>
      <c r="Q669" s="479"/>
      <c r="R669" s="480"/>
      <c r="S669" s="480"/>
      <c r="T669" s="480"/>
      <c r="U669" s="480"/>
      <c r="V669" s="480"/>
      <c r="W669" s="480"/>
      <c r="X669" s="480"/>
      <c r="Y669" s="483">
        <f t="shared" si="17"/>
        <v>0</v>
      </c>
      <c r="Z669" s="484"/>
      <c r="AA669" s="485"/>
      <c r="AB669" s="486"/>
      <c r="AC669" s="486"/>
      <c r="AD669" s="486"/>
      <c r="AE669" s="487"/>
      <c r="AF669" s="449"/>
      <c r="AG669" s="449"/>
      <c r="AH669" s="449"/>
    </row>
    <row r="670" ht="11.25" customHeight="1">
      <c r="A670" s="431" t="str">
        <f>IF(B670="","", YEAR(B670))</f>
        <v/>
      </c>
      <c r="B670" s="432"/>
      <c r="C670" s="433"/>
      <c r="D670" s="433"/>
      <c r="E670" s="434" t="str">
        <f t="shared" ref="E670:I670" si="342">IFERROR(AVERAGE(L670:L673),"")</f>
        <v/>
      </c>
      <c r="F670" s="434" t="str">
        <f t="shared" si="342"/>
        <v/>
      </c>
      <c r="G670" s="435" t="str">
        <f t="shared" si="342"/>
        <v/>
      </c>
      <c r="H670" s="435" t="str">
        <f t="shared" si="342"/>
        <v/>
      </c>
      <c r="I670" s="436" t="str">
        <f t="shared" si="342"/>
        <v/>
      </c>
      <c r="J670" s="437">
        <f>SUMIFS(PRODUCTION[KG],PRODUCTION[GRADE],"3X50",PRODUCTION[DATE],B670,PRODUCTION[BATCH],C670,PRODUCTION[SHIFT],D670)</f>
        <v>0</v>
      </c>
      <c r="K670" s="438" t="s">
        <v>1414</v>
      </c>
      <c r="L670" s="443"/>
      <c r="M670" s="440"/>
      <c r="N670" s="441"/>
      <c r="O670" s="441"/>
      <c r="P670" s="442"/>
      <c r="Q670" s="443"/>
      <c r="R670" s="440"/>
      <c r="S670" s="440"/>
      <c r="T670" s="440"/>
      <c r="U670" s="440"/>
      <c r="V670" s="440"/>
      <c r="W670" s="440"/>
      <c r="X670" s="440"/>
      <c r="Y670" s="444">
        <f t="shared" si="17"/>
        <v>0</v>
      </c>
      <c r="Z670" s="445"/>
      <c r="AA670" s="446">
        <f t="shared" ref="AA670:AE670" si="343">$J670*E670</f>
        <v>0</v>
      </c>
      <c r="AB670" s="447">
        <f t="shared" si="343"/>
        <v>0</v>
      </c>
      <c r="AC670" s="447">
        <f t="shared" si="343"/>
        <v>0</v>
      </c>
      <c r="AD670" s="447">
        <f t="shared" si="343"/>
        <v>0</v>
      </c>
      <c r="AE670" s="448">
        <f t="shared" si="343"/>
        <v>0</v>
      </c>
      <c r="AF670" s="449"/>
      <c r="AG670" s="449"/>
      <c r="AH670" s="449"/>
    </row>
    <row r="671" ht="11.25" customHeight="1">
      <c r="A671" s="450"/>
      <c r="B671" s="451"/>
      <c r="C671" s="452"/>
      <c r="D671" s="452"/>
      <c r="E671" s="453"/>
      <c r="F671" s="453"/>
      <c r="G671" s="454"/>
      <c r="H671" s="454"/>
      <c r="I671" s="455"/>
      <c r="J671" s="456"/>
      <c r="K671" s="457" t="s">
        <v>1416</v>
      </c>
      <c r="L671" s="458"/>
      <c r="M671" s="459"/>
      <c r="N671" s="460"/>
      <c r="O671" s="460"/>
      <c r="P671" s="461"/>
      <c r="Q671" s="458"/>
      <c r="R671" s="459"/>
      <c r="S671" s="459"/>
      <c r="T671" s="459"/>
      <c r="U671" s="459"/>
      <c r="V671" s="459"/>
      <c r="W671" s="459"/>
      <c r="X671" s="459"/>
      <c r="Y671" s="462">
        <f t="shared" si="17"/>
        <v>0</v>
      </c>
      <c r="Z671" s="463"/>
      <c r="AA671" s="464"/>
      <c r="AB671" s="465"/>
      <c r="AC671" s="465"/>
      <c r="AD671" s="465"/>
      <c r="AE671" s="466"/>
      <c r="AF671" s="449"/>
      <c r="AG671" s="449"/>
      <c r="AH671" s="449"/>
    </row>
    <row r="672" ht="11.25" customHeight="1">
      <c r="A672" s="450"/>
      <c r="B672" s="451"/>
      <c r="C672" s="452"/>
      <c r="D672" s="452"/>
      <c r="E672" s="453"/>
      <c r="F672" s="453"/>
      <c r="G672" s="454"/>
      <c r="H672" s="454"/>
      <c r="I672" s="455"/>
      <c r="J672" s="456"/>
      <c r="K672" s="467" t="s">
        <v>1417</v>
      </c>
      <c r="L672" s="468"/>
      <c r="M672" s="469"/>
      <c r="N672" s="470"/>
      <c r="O672" s="470"/>
      <c r="P672" s="471"/>
      <c r="Q672" s="468"/>
      <c r="R672" s="469"/>
      <c r="S672" s="469"/>
      <c r="T672" s="469"/>
      <c r="U672" s="469"/>
      <c r="V672" s="469"/>
      <c r="W672" s="469"/>
      <c r="X672" s="469"/>
      <c r="Y672" s="462">
        <f t="shared" si="17"/>
        <v>0</v>
      </c>
      <c r="Z672" s="463"/>
      <c r="AA672" s="464"/>
      <c r="AB672" s="465"/>
      <c r="AC672" s="465"/>
      <c r="AD672" s="465"/>
      <c r="AE672" s="466"/>
      <c r="AF672" s="449"/>
      <c r="AG672" s="449"/>
      <c r="AH672" s="449"/>
    </row>
    <row r="673" ht="11.25" customHeight="1">
      <c r="A673" s="450"/>
      <c r="B673" s="472"/>
      <c r="C673" s="473"/>
      <c r="D673" s="473"/>
      <c r="E673" s="474"/>
      <c r="F673" s="474"/>
      <c r="G673" s="475"/>
      <c r="H673" s="475"/>
      <c r="I673" s="476"/>
      <c r="J673" s="477"/>
      <c r="K673" s="478" t="s">
        <v>1418</v>
      </c>
      <c r="L673" s="479"/>
      <c r="M673" s="480"/>
      <c r="N673" s="481"/>
      <c r="O673" s="481"/>
      <c r="P673" s="482"/>
      <c r="Q673" s="479"/>
      <c r="R673" s="480"/>
      <c r="S673" s="480"/>
      <c r="T673" s="480"/>
      <c r="U673" s="480"/>
      <c r="V673" s="480"/>
      <c r="W673" s="480"/>
      <c r="X673" s="480"/>
      <c r="Y673" s="483">
        <f t="shared" si="17"/>
        <v>0</v>
      </c>
      <c r="Z673" s="484"/>
      <c r="AA673" s="485"/>
      <c r="AB673" s="486"/>
      <c r="AC673" s="486"/>
      <c r="AD673" s="486"/>
      <c r="AE673" s="487"/>
      <c r="AF673" s="449"/>
      <c r="AG673" s="449"/>
      <c r="AH673" s="449"/>
    </row>
    <row r="674" ht="11.25" customHeight="1">
      <c r="A674" s="431" t="str">
        <f>IF(B674="","", YEAR(B674))</f>
        <v/>
      </c>
      <c r="B674" s="432"/>
      <c r="C674" s="433"/>
      <c r="D674" s="433"/>
      <c r="E674" s="434" t="str">
        <f t="shared" ref="E674:I674" si="344">IFERROR(AVERAGE(L674:L677),"")</f>
        <v/>
      </c>
      <c r="F674" s="434" t="str">
        <f t="shared" si="344"/>
        <v/>
      </c>
      <c r="G674" s="435" t="str">
        <f t="shared" si="344"/>
        <v/>
      </c>
      <c r="H674" s="435" t="str">
        <f t="shared" si="344"/>
        <v/>
      </c>
      <c r="I674" s="436" t="str">
        <f t="shared" si="344"/>
        <v/>
      </c>
      <c r="J674" s="437">
        <f>SUMIFS(PRODUCTION[KG],PRODUCTION[GRADE],"3X50",PRODUCTION[DATE],B674,PRODUCTION[BATCH],C674,PRODUCTION[SHIFT],D674)</f>
        <v>0</v>
      </c>
      <c r="K674" s="438" t="s">
        <v>1414</v>
      </c>
      <c r="L674" s="443"/>
      <c r="M674" s="440"/>
      <c r="N674" s="441"/>
      <c r="O674" s="441"/>
      <c r="P674" s="442"/>
      <c r="Q674" s="443"/>
      <c r="R674" s="440"/>
      <c r="S674" s="440"/>
      <c r="T674" s="440"/>
      <c r="U674" s="440"/>
      <c r="V674" s="440"/>
      <c r="W674" s="440"/>
      <c r="X674" s="440"/>
      <c r="Y674" s="444">
        <f t="shared" si="17"/>
        <v>0</v>
      </c>
      <c r="Z674" s="445"/>
      <c r="AA674" s="446">
        <f t="shared" ref="AA674:AE674" si="345">$J674*E674</f>
        <v>0</v>
      </c>
      <c r="AB674" s="447">
        <f t="shared" si="345"/>
        <v>0</v>
      </c>
      <c r="AC674" s="447">
        <f t="shared" si="345"/>
        <v>0</v>
      </c>
      <c r="AD674" s="447">
        <f t="shared" si="345"/>
        <v>0</v>
      </c>
      <c r="AE674" s="448">
        <f t="shared" si="345"/>
        <v>0</v>
      </c>
      <c r="AF674" s="449"/>
      <c r="AG674" s="449"/>
      <c r="AH674" s="449"/>
    </row>
    <row r="675" ht="11.25" customHeight="1">
      <c r="A675" s="450"/>
      <c r="B675" s="451"/>
      <c r="C675" s="452"/>
      <c r="D675" s="452"/>
      <c r="E675" s="453"/>
      <c r="F675" s="453"/>
      <c r="G675" s="454"/>
      <c r="H675" s="454"/>
      <c r="I675" s="455"/>
      <c r="J675" s="456"/>
      <c r="K675" s="457" t="s">
        <v>1416</v>
      </c>
      <c r="L675" s="458"/>
      <c r="M675" s="459"/>
      <c r="N675" s="460"/>
      <c r="O675" s="460"/>
      <c r="P675" s="461"/>
      <c r="Q675" s="458"/>
      <c r="R675" s="459"/>
      <c r="S675" s="459"/>
      <c r="T675" s="459"/>
      <c r="U675" s="459"/>
      <c r="V675" s="459"/>
      <c r="W675" s="459"/>
      <c r="X675" s="459"/>
      <c r="Y675" s="462">
        <f t="shared" si="17"/>
        <v>0</v>
      </c>
      <c r="Z675" s="463"/>
      <c r="AA675" s="464"/>
      <c r="AB675" s="465"/>
      <c r="AC675" s="465"/>
      <c r="AD675" s="465"/>
      <c r="AE675" s="466"/>
      <c r="AF675" s="449"/>
      <c r="AG675" s="449"/>
      <c r="AH675" s="449"/>
    </row>
    <row r="676" ht="11.25" customHeight="1">
      <c r="A676" s="450"/>
      <c r="B676" s="451"/>
      <c r="C676" s="452"/>
      <c r="D676" s="452"/>
      <c r="E676" s="453"/>
      <c r="F676" s="453"/>
      <c r="G676" s="454"/>
      <c r="H676" s="454"/>
      <c r="I676" s="455"/>
      <c r="J676" s="456"/>
      <c r="K676" s="467" t="s">
        <v>1417</v>
      </c>
      <c r="L676" s="468"/>
      <c r="M676" s="469"/>
      <c r="N676" s="470"/>
      <c r="O676" s="470"/>
      <c r="P676" s="471"/>
      <c r="Q676" s="468"/>
      <c r="R676" s="469"/>
      <c r="S676" s="469"/>
      <c r="T676" s="469"/>
      <c r="U676" s="469"/>
      <c r="V676" s="469"/>
      <c r="W676" s="469"/>
      <c r="X676" s="469"/>
      <c r="Y676" s="462">
        <f t="shared" si="17"/>
        <v>0</v>
      </c>
      <c r="Z676" s="463"/>
      <c r="AA676" s="464"/>
      <c r="AB676" s="465"/>
      <c r="AC676" s="465"/>
      <c r="AD676" s="465"/>
      <c r="AE676" s="466"/>
      <c r="AF676" s="449"/>
      <c r="AG676" s="449"/>
      <c r="AH676" s="449"/>
    </row>
    <row r="677" ht="11.25" customHeight="1">
      <c r="A677" s="450"/>
      <c r="B677" s="472"/>
      <c r="C677" s="473"/>
      <c r="D677" s="473"/>
      <c r="E677" s="474"/>
      <c r="F677" s="474"/>
      <c r="G677" s="475"/>
      <c r="H677" s="475"/>
      <c r="I677" s="476"/>
      <c r="J677" s="477"/>
      <c r="K677" s="478" t="s">
        <v>1418</v>
      </c>
      <c r="L677" s="479"/>
      <c r="M677" s="480"/>
      <c r="N677" s="481"/>
      <c r="O677" s="481"/>
      <c r="P677" s="482"/>
      <c r="Q677" s="479"/>
      <c r="R677" s="480"/>
      <c r="S677" s="480"/>
      <c r="T677" s="480"/>
      <c r="U677" s="480"/>
      <c r="V677" s="480"/>
      <c r="W677" s="480"/>
      <c r="X677" s="480"/>
      <c r="Y677" s="483">
        <f t="shared" si="17"/>
        <v>0</v>
      </c>
      <c r="Z677" s="484"/>
      <c r="AA677" s="485"/>
      <c r="AB677" s="486"/>
      <c r="AC677" s="486"/>
      <c r="AD677" s="486"/>
      <c r="AE677" s="487"/>
      <c r="AF677" s="449"/>
      <c r="AG677" s="449"/>
      <c r="AH677" s="449"/>
    </row>
    <row r="678" ht="11.25" customHeight="1">
      <c r="A678" s="431" t="str">
        <f>IF(B678="","", YEAR(B678))</f>
        <v/>
      </c>
      <c r="B678" s="432"/>
      <c r="C678" s="433"/>
      <c r="D678" s="433"/>
      <c r="E678" s="434" t="str">
        <f t="shared" ref="E678:I678" si="346">IFERROR(AVERAGE(L678:L681),"")</f>
        <v/>
      </c>
      <c r="F678" s="434" t="str">
        <f t="shared" si="346"/>
        <v/>
      </c>
      <c r="G678" s="435" t="str">
        <f t="shared" si="346"/>
        <v/>
      </c>
      <c r="H678" s="435" t="str">
        <f t="shared" si="346"/>
        <v/>
      </c>
      <c r="I678" s="436" t="str">
        <f t="shared" si="346"/>
        <v/>
      </c>
      <c r="J678" s="437">
        <f>SUMIFS(PRODUCTION[KG],PRODUCTION[GRADE],"3X50",PRODUCTION[DATE],B678,PRODUCTION[BATCH],C678,PRODUCTION[SHIFT],D678)</f>
        <v>0</v>
      </c>
      <c r="K678" s="438" t="s">
        <v>1414</v>
      </c>
      <c r="L678" s="443"/>
      <c r="M678" s="440"/>
      <c r="N678" s="441"/>
      <c r="O678" s="441"/>
      <c r="P678" s="442"/>
      <c r="Q678" s="443"/>
      <c r="R678" s="440"/>
      <c r="S678" s="440"/>
      <c r="T678" s="440"/>
      <c r="U678" s="440"/>
      <c r="V678" s="440"/>
      <c r="W678" s="440"/>
      <c r="X678" s="440"/>
      <c r="Y678" s="444">
        <f t="shared" si="17"/>
        <v>0</v>
      </c>
      <c r="Z678" s="445"/>
      <c r="AA678" s="446">
        <f t="shared" ref="AA678:AE678" si="347">$J678*E678</f>
        <v>0</v>
      </c>
      <c r="AB678" s="447">
        <f t="shared" si="347"/>
        <v>0</v>
      </c>
      <c r="AC678" s="447">
        <f t="shared" si="347"/>
        <v>0</v>
      </c>
      <c r="AD678" s="447">
        <f t="shared" si="347"/>
        <v>0</v>
      </c>
      <c r="AE678" s="448">
        <f t="shared" si="347"/>
        <v>0</v>
      </c>
      <c r="AF678" s="449"/>
      <c r="AG678" s="449"/>
      <c r="AH678" s="449"/>
    </row>
    <row r="679" ht="11.25" customHeight="1">
      <c r="A679" s="450"/>
      <c r="B679" s="451"/>
      <c r="C679" s="452"/>
      <c r="D679" s="452"/>
      <c r="E679" s="453"/>
      <c r="F679" s="453"/>
      <c r="G679" s="454"/>
      <c r="H679" s="454"/>
      <c r="I679" s="455"/>
      <c r="J679" s="456"/>
      <c r="K679" s="457" t="s">
        <v>1416</v>
      </c>
      <c r="L679" s="458"/>
      <c r="M679" s="459"/>
      <c r="N679" s="460"/>
      <c r="O679" s="460"/>
      <c r="P679" s="461"/>
      <c r="Q679" s="458"/>
      <c r="R679" s="459"/>
      <c r="S679" s="459"/>
      <c r="T679" s="459"/>
      <c r="U679" s="459"/>
      <c r="V679" s="459"/>
      <c r="W679" s="459"/>
      <c r="X679" s="459"/>
      <c r="Y679" s="462">
        <f t="shared" si="17"/>
        <v>0</v>
      </c>
      <c r="Z679" s="463"/>
      <c r="AA679" s="464"/>
      <c r="AB679" s="465"/>
      <c r="AC679" s="465"/>
      <c r="AD679" s="465"/>
      <c r="AE679" s="466"/>
      <c r="AF679" s="449"/>
      <c r="AG679" s="449"/>
      <c r="AH679" s="449"/>
    </row>
    <row r="680" ht="11.25" customHeight="1">
      <c r="A680" s="450"/>
      <c r="B680" s="451"/>
      <c r="C680" s="452"/>
      <c r="D680" s="452"/>
      <c r="E680" s="453"/>
      <c r="F680" s="453"/>
      <c r="G680" s="454"/>
      <c r="H680" s="454"/>
      <c r="I680" s="455"/>
      <c r="J680" s="456"/>
      <c r="K680" s="467" t="s">
        <v>1417</v>
      </c>
      <c r="L680" s="468"/>
      <c r="M680" s="469"/>
      <c r="N680" s="470"/>
      <c r="O680" s="470"/>
      <c r="P680" s="471"/>
      <c r="Q680" s="468"/>
      <c r="R680" s="469"/>
      <c r="S680" s="469"/>
      <c r="T680" s="469"/>
      <c r="U680" s="469"/>
      <c r="V680" s="469"/>
      <c r="W680" s="469"/>
      <c r="X680" s="469"/>
      <c r="Y680" s="462">
        <f t="shared" si="17"/>
        <v>0</v>
      </c>
      <c r="Z680" s="463"/>
      <c r="AA680" s="464"/>
      <c r="AB680" s="465"/>
      <c r="AC680" s="465"/>
      <c r="AD680" s="465"/>
      <c r="AE680" s="466"/>
      <c r="AF680" s="449"/>
      <c r="AG680" s="449"/>
      <c r="AH680" s="449"/>
    </row>
    <row r="681" ht="11.25" customHeight="1">
      <c r="A681" s="450"/>
      <c r="B681" s="472"/>
      <c r="C681" s="473"/>
      <c r="D681" s="473"/>
      <c r="E681" s="474"/>
      <c r="F681" s="474"/>
      <c r="G681" s="475"/>
      <c r="H681" s="475"/>
      <c r="I681" s="476"/>
      <c r="J681" s="477"/>
      <c r="K681" s="478" t="s">
        <v>1418</v>
      </c>
      <c r="L681" s="479"/>
      <c r="M681" s="480"/>
      <c r="N681" s="481"/>
      <c r="O681" s="481"/>
      <c r="P681" s="482"/>
      <c r="Q681" s="479"/>
      <c r="R681" s="480"/>
      <c r="S681" s="480"/>
      <c r="T681" s="480"/>
      <c r="U681" s="480"/>
      <c r="V681" s="480"/>
      <c r="W681" s="480"/>
      <c r="X681" s="480"/>
      <c r="Y681" s="483">
        <f t="shared" si="17"/>
        <v>0</v>
      </c>
      <c r="Z681" s="484"/>
      <c r="AA681" s="485"/>
      <c r="AB681" s="486"/>
      <c r="AC681" s="486"/>
      <c r="AD681" s="486"/>
      <c r="AE681" s="487"/>
      <c r="AF681" s="449"/>
      <c r="AG681" s="449"/>
      <c r="AH681" s="449"/>
    </row>
    <row r="682" ht="11.25" customHeight="1">
      <c r="A682" s="431" t="str">
        <f>IF(B682="","", YEAR(B682))</f>
        <v/>
      </c>
      <c r="B682" s="432"/>
      <c r="C682" s="433"/>
      <c r="D682" s="433"/>
      <c r="E682" s="434" t="str">
        <f t="shared" ref="E682:I682" si="348">IFERROR(AVERAGE(L682:L685),"")</f>
        <v/>
      </c>
      <c r="F682" s="434" t="str">
        <f t="shared" si="348"/>
        <v/>
      </c>
      <c r="G682" s="435" t="str">
        <f t="shared" si="348"/>
        <v/>
      </c>
      <c r="H682" s="435" t="str">
        <f t="shared" si="348"/>
        <v/>
      </c>
      <c r="I682" s="436" t="str">
        <f t="shared" si="348"/>
        <v/>
      </c>
      <c r="J682" s="437">
        <f>SUMIFS(PRODUCTION[KG],PRODUCTION[GRADE],"3X50",PRODUCTION[DATE],B682,PRODUCTION[BATCH],C682,PRODUCTION[SHIFT],D682)</f>
        <v>0</v>
      </c>
      <c r="K682" s="438" t="s">
        <v>1414</v>
      </c>
      <c r="L682" s="443"/>
      <c r="M682" s="440"/>
      <c r="N682" s="441"/>
      <c r="O682" s="441"/>
      <c r="P682" s="442"/>
      <c r="Q682" s="443"/>
      <c r="R682" s="440"/>
      <c r="S682" s="440"/>
      <c r="T682" s="440"/>
      <c r="U682" s="440"/>
      <c r="V682" s="440"/>
      <c r="W682" s="440"/>
      <c r="X682" s="440"/>
      <c r="Y682" s="444">
        <f t="shared" si="17"/>
        <v>0</v>
      </c>
      <c r="Z682" s="445"/>
      <c r="AA682" s="446">
        <f t="shared" ref="AA682:AE682" si="349">$J682*E682</f>
        <v>0</v>
      </c>
      <c r="AB682" s="447">
        <f t="shared" si="349"/>
        <v>0</v>
      </c>
      <c r="AC682" s="447">
        <f t="shared" si="349"/>
        <v>0</v>
      </c>
      <c r="AD682" s="447">
        <f t="shared" si="349"/>
        <v>0</v>
      </c>
      <c r="AE682" s="448">
        <f t="shared" si="349"/>
        <v>0</v>
      </c>
      <c r="AF682" s="449"/>
      <c r="AG682" s="449"/>
      <c r="AH682" s="449"/>
    </row>
    <row r="683" ht="11.25" customHeight="1">
      <c r="A683" s="450"/>
      <c r="B683" s="451"/>
      <c r="C683" s="452"/>
      <c r="D683" s="452"/>
      <c r="E683" s="453"/>
      <c r="F683" s="453"/>
      <c r="G683" s="454"/>
      <c r="H683" s="454"/>
      <c r="I683" s="455"/>
      <c r="J683" s="456"/>
      <c r="K683" s="457" t="s">
        <v>1416</v>
      </c>
      <c r="L683" s="458"/>
      <c r="M683" s="459"/>
      <c r="N683" s="460"/>
      <c r="O683" s="460"/>
      <c r="P683" s="461"/>
      <c r="Q683" s="458"/>
      <c r="R683" s="459"/>
      <c r="S683" s="459"/>
      <c r="T683" s="459"/>
      <c r="U683" s="459"/>
      <c r="V683" s="459"/>
      <c r="W683" s="459"/>
      <c r="X683" s="459"/>
      <c r="Y683" s="462">
        <f t="shared" si="17"/>
        <v>0</v>
      </c>
      <c r="Z683" s="463"/>
      <c r="AA683" s="464"/>
      <c r="AB683" s="465"/>
      <c r="AC683" s="465"/>
      <c r="AD683" s="465"/>
      <c r="AE683" s="466"/>
      <c r="AF683" s="449"/>
      <c r="AG683" s="449"/>
      <c r="AH683" s="449"/>
    </row>
    <row r="684" ht="11.25" customHeight="1">
      <c r="A684" s="450"/>
      <c r="B684" s="451"/>
      <c r="C684" s="452"/>
      <c r="D684" s="452"/>
      <c r="E684" s="453"/>
      <c r="F684" s="453"/>
      <c r="G684" s="454"/>
      <c r="H684" s="454"/>
      <c r="I684" s="455"/>
      <c r="J684" s="456"/>
      <c r="K684" s="467" t="s">
        <v>1417</v>
      </c>
      <c r="L684" s="468"/>
      <c r="M684" s="469"/>
      <c r="N684" s="470"/>
      <c r="O684" s="470"/>
      <c r="P684" s="471"/>
      <c r="Q684" s="468"/>
      <c r="R684" s="469"/>
      <c r="S684" s="469"/>
      <c r="T684" s="469"/>
      <c r="U684" s="469"/>
      <c r="V684" s="469"/>
      <c r="W684" s="469"/>
      <c r="X684" s="469"/>
      <c r="Y684" s="462">
        <f t="shared" si="17"/>
        <v>0</v>
      </c>
      <c r="Z684" s="463"/>
      <c r="AA684" s="464"/>
      <c r="AB684" s="465"/>
      <c r="AC684" s="465"/>
      <c r="AD684" s="465"/>
      <c r="AE684" s="466"/>
      <c r="AF684" s="449"/>
      <c r="AG684" s="449"/>
      <c r="AH684" s="449"/>
    </row>
    <row r="685" ht="11.25" customHeight="1">
      <c r="A685" s="450"/>
      <c r="B685" s="472"/>
      <c r="C685" s="473"/>
      <c r="D685" s="473"/>
      <c r="E685" s="474"/>
      <c r="F685" s="474"/>
      <c r="G685" s="475"/>
      <c r="H685" s="475"/>
      <c r="I685" s="476"/>
      <c r="J685" s="477"/>
      <c r="K685" s="478" t="s">
        <v>1418</v>
      </c>
      <c r="L685" s="479"/>
      <c r="M685" s="480"/>
      <c r="N685" s="481"/>
      <c r="O685" s="481"/>
      <c r="P685" s="482"/>
      <c r="Q685" s="479"/>
      <c r="R685" s="480"/>
      <c r="S685" s="480"/>
      <c r="T685" s="480"/>
      <c r="U685" s="480"/>
      <c r="V685" s="480"/>
      <c r="W685" s="480"/>
      <c r="X685" s="480"/>
      <c r="Y685" s="483">
        <f t="shared" si="17"/>
        <v>0</v>
      </c>
      <c r="Z685" s="484"/>
      <c r="AA685" s="485"/>
      <c r="AB685" s="486"/>
      <c r="AC685" s="486"/>
      <c r="AD685" s="486"/>
      <c r="AE685" s="487"/>
      <c r="AF685" s="449"/>
      <c r="AG685" s="449"/>
      <c r="AH685" s="449"/>
    </row>
    <row r="686" ht="11.25" customHeight="1">
      <c r="A686" s="431" t="str">
        <f>IF(B686="","", YEAR(B686))</f>
        <v/>
      </c>
      <c r="B686" s="432"/>
      <c r="C686" s="433"/>
      <c r="D686" s="433"/>
      <c r="E686" s="434" t="str">
        <f t="shared" ref="E686:I686" si="350">IFERROR(AVERAGE(L686:L689),"")</f>
        <v/>
      </c>
      <c r="F686" s="434" t="str">
        <f t="shared" si="350"/>
        <v/>
      </c>
      <c r="G686" s="435" t="str">
        <f t="shared" si="350"/>
        <v/>
      </c>
      <c r="H686" s="435" t="str">
        <f t="shared" si="350"/>
        <v/>
      </c>
      <c r="I686" s="436" t="str">
        <f t="shared" si="350"/>
        <v/>
      </c>
      <c r="J686" s="437">
        <f>SUMIFS(PRODUCTION[KG],PRODUCTION[GRADE],"3X50",PRODUCTION[DATE],B686,PRODUCTION[BATCH],C686,PRODUCTION[SHIFT],D686)</f>
        <v>0</v>
      </c>
      <c r="K686" s="438" t="s">
        <v>1414</v>
      </c>
      <c r="L686" s="443"/>
      <c r="M686" s="440"/>
      <c r="N686" s="441"/>
      <c r="O686" s="441"/>
      <c r="P686" s="442"/>
      <c r="Q686" s="443"/>
      <c r="R686" s="440"/>
      <c r="S686" s="440"/>
      <c r="T686" s="440"/>
      <c r="U686" s="440"/>
      <c r="V686" s="440"/>
      <c r="W686" s="440"/>
      <c r="X686" s="440"/>
      <c r="Y686" s="444">
        <f t="shared" si="17"/>
        <v>0</v>
      </c>
      <c r="Z686" s="445"/>
      <c r="AA686" s="446">
        <f t="shared" ref="AA686:AE686" si="351">$J686*E686</f>
        <v>0</v>
      </c>
      <c r="AB686" s="447">
        <f t="shared" si="351"/>
        <v>0</v>
      </c>
      <c r="AC686" s="447">
        <f t="shared" si="351"/>
        <v>0</v>
      </c>
      <c r="AD686" s="447">
        <f t="shared" si="351"/>
        <v>0</v>
      </c>
      <c r="AE686" s="448">
        <f t="shared" si="351"/>
        <v>0</v>
      </c>
      <c r="AF686" s="449"/>
      <c r="AG686" s="449"/>
      <c r="AH686" s="449"/>
    </row>
    <row r="687" ht="11.25" customHeight="1">
      <c r="A687" s="450"/>
      <c r="B687" s="451"/>
      <c r="C687" s="452"/>
      <c r="D687" s="452"/>
      <c r="E687" s="453"/>
      <c r="F687" s="453"/>
      <c r="G687" s="454"/>
      <c r="H687" s="454"/>
      <c r="I687" s="455"/>
      <c r="J687" s="456"/>
      <c r="K687" s="457" t="s">
        <v>1416</v>
      </c>
      <c r="L687" s="458"/>
      <c r="M687" s="459"/>
      <c r="N687" s="460"/>
      <c r="O687" s="460"/>
      <c r="P687" s="461"/>
      <c r="Q687" s="458"/>
      <c r="R687" s="459"/>
      <c r="S687" s="459"/>
      <c r="T687" s="459"/>
      <c r="U687" s="459"/>
      <c r="V687" s="459"/>
      <c r="W687" s="459"/>
      <c r="X687" s="459"/>
      <c r="Y687" s="462">
        <f t="shared" si="17"/>
        <v>0</v>
      </c>
      <c r="Z687" s="463"/>
      <c r="AA687" s="464"/>
      <c r="AB687" s="465"/>
      <c r="AC687" s="465"/>
      <c r="AD687" s="465"/>
      <c r="AE687" s="466"/>
      <c r="AF687" s="449"/>
      <c r="AG687" s="449"/>
      <c r="AH687" s="449"/>
    </row>
    <row r="688" ht="11.25" customHeight="1">
      <c r="A688" s="450"/>
      <c r="B688" s="451"/>
      <c r="C688" s="452"/>
      <c r="D688" s="452"/>
      <c r="E688" s="453"/>
      <c r="F688" s="453"/>
      <c r="G688" s="454"/>
      <c r="H688" s="454"/>
      <c r="I688" s="455"/>
      <c r="J688" s="456"/>
      <c r="K688" s="467" t="s">
        <v>1417</v>
      </c>
      <c r="L688" s="468"/>
      <c r="M688" s="469"/>
      <c r="N688" s="470"/>
      <c r="O688" s="470"/>
      <c r="P688" s="471"/>
      <c r="Q688" s="468"/>
      <c r="R688" s="469"/>
      <c r="S688" s="469"/>
      <c r="T688" s="469"/>
      <c r="U688" s="469"/>
      <c r="V688" s="469"/>
      <c r="W688" s="469"/>
      <c r="X688" s="469"/>
      <c r="Y688" s="462">
        <f t="shared" si="17"/>
        <v>0</v>
      </c>
      <c r="Z688" s="463"/>
      <c r="AA688" s="464"/>
      <c r="AB688" s="465"/>
      <c r="AC688" s="465"/>
      <c r="AD688" s="465"/>
      <c r="AE688" s="466"/>
      <c r="AF688" s="449"/>
      <c r="AG688" s="449"/>
      <c r="AH688" s="449"/>
    </row>
    <row r="689" ht="11.25" customHeight="1">
      <c r="A689" s="450"/>
      <c r="B689" s="472"/>
      <c r="C689" s="473"/>
      <c r="D689" s="473"/>
      <c r="E689" s="474"/>
      <c r="F689" s="474"/>
      <c r="G689" s="475"/>
      <c r="H689" s="475"/>
      <c r="I689" s="476"/>
      <c r="J689" s="477"/>
      <c r="K689" s="478" t="s">
        <v>1418</v>
      </c>
      <c r="L689" s="479"/>
      <c r="M689" s="480"/>
      <c r="N689" s="481"/>
      <c r="O689" s="481"/>
      <c r="P689" s="482"/>
      <c r="Q689" s="479"/>
      <c r="R689" s="480"/>
      <c r="S689" s="480"/>
      <c r="T689" s="480"/>
      <c r="U689" s="480"/>
      <c r="V689" s="480"/>
      <c r="W689" s="480"/>
      <c r="X689" s="480"/>
      <c r="Y689" s="483">
        <f t="shared" si="17"/>
        <v>0</v>
      </c>
      <c r="Z689" s="484"/>
      <c r="AA689" s="485"/>
      <c r="AB689" s="486"/>
      <c r="AC689" s="486"/>
      <c r="AD689" s="486"/>
      <c r="AE689" s="487"/>
      <c r="AF689" s="449"/>
      <c r="AG689" s="449"/>
      <c r="AH689" s="449"/>
    </row>
    <row r="690" ht="11.25" customHeight="1">
      <c r="A690" s="431" t="str">
        <f>IF(B690="","", YEAR(B690))</f>
        <v/>
      </c>
      <c r="B690" s="432"/>
      <c r="C690" s="433"/>
      <c r="D690" s="433"/>
      <c r="E690" s="434" t="str">
        <f t="shared" ref="E690:I690" si="352">IFERROR(AVERAGE(L690:L693),"")</f>
        <v/>
      </c>
      <c r="F690" s="434" t="str">
        <f t="shared" si="352"/>
        <v/>
      </c>
      <c r="G690" s="435" t="str">
        <f t="shared" si="352"/>
        <v/>
      </c>
      <c r="H690" s="435" t="str">
        <f t="shared" si="352"/>
        <v/>
      </c>
      <c r="I690" s="436" t="str">
        <f t="shared" si="352"/>
        <v/>
      </c>
      <c r="J690" s="437">
        <f>SUMIFS(PRODUCTION[KG],PRODUCTION[GRADE],"3X50",PRODUCTION[DATE],B690,PRODUCTION[BATCH],C690,PRODUCTION[SHIFT],D690)</f>
        <v>0</v>
      </c>
      <c r="K690" s="438" t="s">
        <v>1414</v>
      </c>
      <c r="L690" s="443"/>
      <c r="M690" s="440"/>
      <c r="N690" s="441"/>
      <c r="O690" s="441"/>
      <c r="P690" s="442"/>
      <c r="Q690" s="443"/>
      <c r="R690" s="440"/>
      <c r="S690" s="440"/>
      <c r="T690" s="440"/>
      <c r="U690" s="440"/>
      <c r="V690" s="440"/>
      <c r="W690" s="440"/>
      <c r="X690" s="440"/>
      <c r="Y690" s="444">
        <f t="shared" si="17"/>
        <v>0</v>
      </c>
      <c r="Z690" s="445"/>
      <c r="AA690" s="446">
        <f t="shared" ref="AA690:AE690" si="353">$J690*E690</f>
        <v>0</v>
      </c>
      <c r="AB690" s="447">
        <f t="shared" si="353"/>
        <v>0</v>
      </c>
      <c r="AC690" s="447">
        <f t="shared" si="353"/>
        <v>0</v>
      </c>
      <c r="AD690" s="447">
        <f t="shared" si="353"/>
        <v>0</v>
      </c>
      <c r="AE690" s="448">
        <f t="shared" si="353"/>
        <v>0</v>
      </c>
      <c r="AF690" s="449"/>
      <c r="AG690" s="449"/>
      <c r="AH690" s="449"/>
    </row>
    <row r="691" ht="11.25" customHeight="1">
      <c r="A691" s="450"/>
      <c r="B691" s="451"/>
      <c r="C691" s="452"/>
      <c r="D691" s="452"/>
      <c r="E691" s="453"/>
      <c r="F691" s="453"/>
      <c r="G691" s="454"/>
      <c r="H691" s="454"/>
      <c r="I691" s="455"/>
      <c r="J691" s="456"/>
      <c r="K691" s="457" t="s">
        <v>1416</v>
      </c>
      <c r="L691" s="458"/>
      <c r="M691" s="459"/>
      <c r="N691" s="460"/>
      <c r="O691" s="460"/>
      <c r="P691" s="461"/>
      <c r="Q691" s="458"/>
      <c r="R691" s="459"/>
      <c r="S691" s="459"/>
      <c r="T691" s="459"/>
      <c r="U691" s="459"/>
      <c r="V691" s="459"/>
      <c r="W691" s="459"/>
      <c r="X691" s="459"/>
      <c r="Y691" s="462">
        <f t="shared" si="17"/>
        <v>0</v>
      </c>
      <c r="Z691" s="463"/>
      <c r="AA691" s="464"/>
      <c r="AB691" s="465"/>
      <c r="AC691" s="465"/>
      <c r="AD691" s="465"/>
      <c r="AE691" s="466"/>
      <c r="AF691" s="449"/>
      <c r="AG691" s="449"/>
      <c r="AH691" s="449"/>
    </row>
    <row r="692" ht="11.25" customHeight="1">
      <c r="A692" s="450"/>
      <c r="B692" s="451"/>
      <c r="C692" s="452"/>
      <c r="D692" s="452"/>
      <c r="E692" s="453"/>
      <c r="F692" s="453"/>
      <c r="G692" s="454"/>
      <c r="H692" s="454"/>
      <c r="I692" s="455"/>
      <c r="J692" s="456"/>
      <c r="K692" s="467" t="s">
        <v>1417</v>
      </c>
      <c r="L692" s="468"/>
      <c r="M692" s="469"/>
      <c r="N692" s="470"/>
      <c r="O692" s="470"/>
      <c r="P692" s="471"/>
      <c r="Q692" s="468"/>
      <c r="R692" s="469"/>
      <c r="S692" s="469"/>
      <c r="T692" s="469"/>
      <c r="U692" s="469"/>
      <c r="V692" s="469"/>
      <c r="W692" s="469"/>
      <c r="X692" s="469"/>
      <c r="Y692" s="462">
        <f t="shared" si="17"/>
        <v>0</v>
      </c>
      <c r="Z692" s="463"/>
      <c r="AA692" s="464"/>
      <c r="AB692" s="465"/>
      <c r="AC692" s="465"/>
      <c r="AD692" s="465"/>
      <c r="AE692" s="466"/>
      <c r="AF692" s="449"/>
      <c r="AG692" s="449"/>
      <c r="AH692" s="449"/>
    </row>
    <row r="693" ht="11.25" customHeight="1">
      <c r="A693" s="450"/>
      <c r="B693" s="472"/>
      <c r="C693" s="473"/>
      <c r="D693" s="473"/>
      <c r="E693" s="474"/>
      <c r="F693" s="474"/>
      <c r="G693" s="475"/>
      <c r="H693" s="475"/>
      <c r="I693" s="476"/>
      <c r="J693" s="477"/>
      <c r="K693" s="478" t="s">
        <v>1418</v>
      </c>
      <c r="L693" s="479"/>
      <c r="M693" s="480"/>
      <c r="N693" s="481"/>
      <c r="O693" s="481"/>
      <c r="P693" s="482"/>
      <c r="Q693" s="479"/>
      <c r="R693" s="480"/>
      <c r="S693" s="480"/>
      <c r="T693" s="480"/>
      <c r="U693" s="480"/>
      <c r="V693" s="480"/>
      <c r="W693" s="480"/>
      <c r="X693" s="480"/>
      <c r="Y693" s="483">
        <f t="shared" si="17"/>
        <v>0</v>
      </c>
      <c r="Z693" s="484"/>
      <c r="AA693" s="485"/>
      <c r="AB693" s="486"/>
      <c r="AC693" s="486"/>
      <c r="AD693" s="486"/>
      <c r="AE693" s="487"/>
      <c r="AF693" s="449"/>
      <c r="AG693" s="449"/>
      <c r="AH693" s="449"/>
    </row>
    <row r="694" ht="11.25" customHeight="1">
      <c r="A694" s="431" t="str">
        <f>IF(B694="","", YEAR(B694))</f>
        <v/>
      </c>
      <c r="B694" s="432"/>
      <c r="C694" s="433"/>
      <c r="D694" s="433"/>
      <c r="E694" s="434" t="str">
        <f t="shared" ref="E694:I694" si="354">IFERROR(AVERAGE(L694:L697),"")</f>
        <v/>
      </c>
      <c r="F694" s="434" t="str">
        <f t="shared" si="354"/>
        <v/>
      </c>
      <c r="G694" s="435" t="str">
        <f t="shared" si="354"/>
        <v/>
      </c>
      <c r="H694" s="435" t="str">
        <f t="shared" si="354"/>
        <v/>
      </c>
      <c r="I694" s="436" t="str">
        <f t="shared" si="354"/>
        <v/>
      </c>
      <c r="J694" s="437">
        <f>SUMIFS(PRODUCTION[KG],PRODUCTION[GRADE],"3X50",PRODUCTION[DATE],B694,PRODUCTION[BATCH],C694,PRODUCTION[SHIFT],D694)</f>
        <v>0</v>
      </c>
      <c r="K694" s="438" t="s">
        <v>1414</v>
      </c>
      <c r="L694" s="443"/>
      <c r="M694" s="440"/>
      <c r="N694" s="441"/>
      <c r="O694" s="441"/>
      <c r="P694" s="442"/>
      <c r="Q694" s="443"/>
      <c r="R694" s="440"/>
      <c r="S694" s="440"/>
      <c r="T694" s="440"/>
      <c r="U694" s="440"/>
      <c r="V694" s="440"/>
      <c r="W694" s="440"/>
      <c r="X694" s="440"/>
      <c r="Y694" s="444">
        <f t="shared" si="17"/>
        <v>0</v>
      </c>
      <c r="Z694" s="445"/>
      <c r="AA694" s="446">
        <f t="shared" ref="AA694:AE694" si="355">$J694*E694</f>
        <v>0</v>
      </c>
      <c r="AB694" s="447">
        <f t="shared" si="355"/>
        <v>0</v>
      </c>
      <c r="AC694" s="447">
        <f t="shared" si="355"/>
        <v>0</v>
      </c>
      <c r="AD694" s="447">
        <f t="shared" si="355"/>
        <v>0</v>
      </c>
      <c r="AE694" s="448">
        <f t="shared" si="355"/>
        <v>0</v>
      </c>
      <c r="AF694" s="449"/>
      <c r="AG694" s="449"/>
      <c r="AH694" s="449"/>
    </row>
    <row r="695" ht="11.25" customHeight="1">
      <c r="A695" s="450"/>
      <c r="B695" s="451"/>
      <c r="C695" s="452"/>
      <c r="D695" s="452"/>
      <c r="E695" s="453"/>
      <c r="F695" s="453"/>
      <c r="G695" s="454"/>
      <c r="H695" s="454"/>
      <c r="I695" s="455"/>
      <c r="J695" s="456"/>
      <c r="K695" s="457" t="s">
        <v>1416</v>
      </c>
      <c r="L695" s="458"/>
      <c r="M695" s="459"/>
      <c r="N695" s="460"/>
      <c r="O695" s="460"/>
      <c r="P695" s="461"/>
      <c r="Q695" s="458"/>
      <c r="R695" s="459"/>
      <c r="S695" s="459"/>
      <c r="T695" s="459"/>
      <c r="U695" s="459"/>
      <c r="V695" s="459"/>
      <c r="W695" s="459"/>
      <c r="X695" s="459"/>
      <c r="Y695" s="462">
        <f t="shared" si="17"/>
        <v>0</v>
      </c>
      <c r="Z695" s="463"/>
      <c r="AA695" s="464"/>
      <c r="AB695" s="465"/>
      <c r="AC695" s="465"/>
      <c r="AD695" s="465"/>
      <c r="AE695" s="466"/>
      <c r="AF695" s="449"/>
      <c r="AG695" s="449"/>
      <c r="AH695" s="449"/>
    </row>
    <row r="696" ht="11.25" customHeight="1">
      <c r="A696" s="450"/>
      <c r="B696" s="451"/>
      <c r="C696" s="452"/>
      <c r="D696" s="452"/>
      <c r="E696" s="453"/>
      <c r="F696" s="453"/>
      <c r="G696" s="454"/>
      <c r="H696" s="454"/>
      <c r="I696" s="455"/>
      <c r="J696" s="456"/>
      <c r="K696" s="467" t="s">
        <v>1417</v>
      </c>
      <c r="L696" s="468"/>
      <c r="M696" s="469"/>
      <c r="N696" s="470"/>
      <c r="O696" s="470"/>
      <c r="P696" s="471"/>
      <c r="Q696" s="468"/>
      <c r="R696" s="469"/>
      <c r="S696" s="469"/>
      <c r="T696" s="469"/>
      <c r="U696" s="469"/>
      <c r="V696" s="469"/>
      <c r="W696" s="469"/>
      <c r="X696" s="469"/>
      <c r="Y696" s="462">
        <f t="shared" si="17"/>
        <v>0</v>
      </c>
      <c r="Z696" s="463"/>
      <c r="AA696" s="464"/>
      <c r="AB696" s="465"/>
      <c r="AC696" s="465"/>
      <c r="AD696" s="465"/>
      <c r="AE696" s="466"/>
      <c r="AF696" s="449"/>
      <c r="AG696" s="449"/>
      <c r="AH696" s="449"/>
    </row>
    <row r="697" ht="11.25" customHeight="1">
      <c r="A697" s="450"/>
      <c r="B697" s="472"/>
      <c r="C697" s="473"/>
      <c r="D697" s="473"/>
      <c r="E697" s="474"/>
      <c r="F697" s="474"/>
      <c r="G697" s="475"/>
      <c r="H697" s="475"/>
      <c r="I697" s="476"/>
      <c r="J697" s="477"/>
      <c r="K697" s="478" t="s">
        <v>1418</v>
      </c>
      <c r="L697" s="479"/>
      <c r="M697" s="480"/>
      <c r="N697" s="481"/>
      <c r="O697" s="481"/>
      <c r="P697" s="482"/>
      <c r="Q697" s="479"/>
      <c r="R697" s="480"/>
      <c r="S697" s="480"/>
      <c r="T697" s="480"/>
      <c r="U697" s="480"/>
      <c r="V697" s="480"/>
      <c r="W697" s="480"/>
      <c r="X697" s="480"/>
      <c r="Y697" s="483">
        <f t="shared" si="17"/>
        <v>0</v>
      </c>
      <c r="Z697" s="484"/>
      <c r="AA697" s="485"/>
      <c r="AB697" s="486"/>
      <c r="AC697" s="486"/>
      <c r="AD697" s="486"/>
      <c r="AE697" s="487"/>
      <c r="AF697" s="449"/>
      <c r="AG697" s="449"/>
      <c r="AH697" s="449"/>
    </row>
    <row r="698" ht="11.25" customHeight="1">
      <c r="A698" s="431" t="str">
        <f>IF(B698="","", YEAR(B698))</f>
        <v/>
      </c>
      <c r="B698" s="432"/>
      <c r="C698" s="433"/>
      <c r="D698" s="433"/>
      <c r="E698" s="434" t="str">
        <f t="shared" ref="E698:I698" si="356">IFERROR(AVERAGE(L698:L701),"")</f>
        <v/>
      </c>
      <c r="F698" s="434" t="str">
        <f t="shared" si="356"/>
        <v/>
      </c>
      <c r="G698" s="435" t="str">
        <f t="shared" si="356"/>
        <v/>
      </c>
      <c r="H698" s="435" t="str">
        <f t="shared" si="356"/>
        <v/>
      </c>
      <c r="I698" s="436" t="str">
        <f t="shared" si="356"/>
        <v/>
      </c>
      <c r="J698" s="437">
        <f>SUMIFS(PRODUCTION[KG],PRODUCTION[GRADE],"3X50",PRODUCTION[DATE],B698,PRODUCTION[BATCH],C698,PRODUCTION[SHIFT],D698)</f>
        <v>0</v>
      </c>
      <c r="K698" s="438" t="s">
        <v>1414</v>
      </c>
      <c r="L698" s="443"/>
      <c r="M698" s="440"/>
      <c r="N698" s="441"/>
      <c r="O698" s="441"/>
      <c r="P698" s="442"/>
      <c r="Q698" s="443"/>
      <c r="R698" s="440"/>
      <c r="S698" s="440"/>
      <c r="T698" s="440"/>
      <c r="U698" s="440"/>
      <c r="V698" s="440"/>
      <c r="W698" s="440"/>
      <c r="X698" s="440"/>
      <c r="Y698" s="444">
        <f t="shared" si="17"/>
        <v>0</v>
      </c>
      <c r="Z698" s="445"/>
      <c r="AA698" s="446">
        <f t="shared" ref="AA698:AE698" si="357">$J698*E698</f>
        <v>0</v>
      </c>
      <c r="AB698" s="447">
        <f t="shared" si="357"/>
        <v>0</v>
      </c>
      <c r="AC698" s="447">
        <f t="shared" si="357"/>
        <v>0</v>
      </c>
      <c r="AD698" s="447">
        <f t="shared" si="357"/>
        <v>0</v>
      </c>
      <c r="AE698" s="448">
        <f t="shared" si="357"/>
        <v>0</v>
      </c>
      <c r="AF698" s="449"/>
      <c r="AG698" s="449"/>
      <c r="AH698" s="449"/>
    </row>
    <row r="699" ht="11.25" customHeight="1">
      <c r="A699" s="450"/>
      <c r="B699" s="451"/>
      <c r="C699" s="452"/>
      <c r="D699" s="452"/>
      <c r="E699" s="453"/>
      <c r="F699" s="453"/>
      <c r="G699" s="454"/>
      <c r="H699" s="454"/>
      <c r="I699" s="455"/>
      <c r="J699" s="456"/>
      <c r="K699" s="457" t="s">
        <v>1416</v>
      </c>
      <c r="L699" s="458"/>
      <c r="M699" s="459"/>
      <c r="N699" s="460"/>
      <c r="O699" s="460"/>
      <c r="P699" s="461"/>
      <c r="Q699" s="458"/>
      <c r="R699" s="459"/>
      <c r="S699" s="459"/>
      <c r="T699" s="459"/>
      <c r="U699" s="459"/>
      <c r="V699" s="459"/>
      <c r="W699" s="459"/>
      <c r="X699" s="459"/>
      <c r="Y699" s="462">
        <f t="shared" si="17"/>
        <v>0</v>
      </c>
      <c r="Z699" s="463"/>
      <c r="AA699" s="464"/>
      <c r="AB699" s="465"/>
      <c r="AC699" s="465"/>
      <c r="AD699" s="465"/>
      <c r="AE699" s="466"/>
      <c r="AF699" s="449"/>
      <c r="AG699" s="449"/>
      <c r="AH699" s="449"/>
    </row>
    <row r="700" ht="11.25" customHeight="1">
      <c r="A700" s="450"/>
      <c r="B700" s="451"/>
      <c r="C700" s="452"/>
      <c r="D700" s="452"/>
      <c r="E700" s="453"/>
      <c r="F700" s="453"/>
      <c r="G700" s="454"/>
      <c r="H700" s="454"/>
      <c r="I700" s="455"/>
      <c r="J700" s="456"/>
      <c r="K700" s="467" t="s">
        <v>1417</v>
      </c>
      <c r="L700" s="468"/>
      <c r="M700" s="469"/>
      <c r="N700" s="470"/>
      <c r="O700" s="470"/>
      <c r="P700" s="471"/>
      <c r="Q700" s="468"/>
      <c r="R700" s="469"/>
      <c r="S700" s="469"/>
      <c r="T700" s="469"/>
      <c r="U700" s="469"/>
      <c r="V700" s="469"/>
      <c r="W700" s="469"/>
      <c r="X700" s="469"/>
      <c r="Y700" s="462">
        <f t="shared" si="17"/>
        <v>0</v>
      </c>
      <c r="Z700" s="463"/>
      <c r="AA700" s="464"/>
      <c r="AB700" s="465"/>
      <c r="AC700" s="465"/>
      <c r="AD700" s="465"/>
      <c r="AE700" s="466"/>
      <c r="AF700" s="449"/>
      <c r="AG700" s="449"/>
      <c r="AH700" s="449"/>
    </row>
    <row r="701" ht="11.25" customHeight="1">
      <c r="A701" s="450"/>
      <c r="B701" s="472"/>
      <c r="C701" s="473"/>
      <c r="D701" s="473"/>
      <c r="E701" s="474"/>
      <c r="F701" s="474"/>
      <c r="G701" s="475"/>
      <c r="H701" s="475"/>
      <c r="I701" s="476"/>
      <c r="J701" s="477"/>
      <c r="K701" s="478" t="s">
        <v>1418</v>
      </c>
      <c r="L701" s="479"/>
      <c r="M701" s="480"/>
      <c r="N701" s="481"/>
      <c r="O701" s="481"/>
      <c r="P701" s="482"/>
      <c r="Q701" s="479"/>
      <c r="R701" s="480"/>
      <c r="S701" s="480"/>
      <c r="T701" s="480"/>
      <c r="U701" s="480"/>
      <c r="V701" s="480"/>
      <c r="W701" s="480"/>
      <c r="X701" s="480"/>
      <c r="Y701" s="483">
        <f t="shared" si="17"/>
        <v>0</v>
      </c>
      <c r="Z701" s="484"/>
      <c r="AA701" s="485"/>
      <c r="AB701" s="486"/>
      <c r="AC701" s="486"/>
      <c r="AD701" s="486"/>
      <c r="AE701" s="487"/>
      <c r="AF701" s="449"/>
      <c r="AG701" s="449"/>
      <c r="AH701" s="449"/>
    </row>
    <row r="702" ht="11.25" customHeight="1">
      <c r="A702" s="431" t="str">
        <f>IF(B702="","", YEAR(B702))</f>
        <v/>
      </c>
      <c r="B702" s="432"/>
      <c r="C702" s="433"/>
      <c r="D702" s="433"/>
      <c r="E702" s="434" t="str">
        <f t="shared" ref="E702:I702" si="358">IFERROR(AVERAGE(L702:L705),"")</f>
        <v/>
      </c>
      <c r="F702" s="434" t="str">
        <f t="shared" si="358"/>
        <v/>
      </c>
      <c r="G702" s="435" t="str">
        <f t="shared" si="358"/>
        <v/>
      </c>
      <c r="H702" s="435" t="str">
        <f t="shared" si="358"/>
        <v/>
      </c>
      <c r="I702" s="436" t="str">
        <f t="shared" si="358"/>
        <v/>
      </c>
      <c r="J702" s="437">
        <f>SUMIFS(PRODUCTION[KG],PRODUCTION[GRADE],"3X50",PRODUCTION[DATE],B702,PRODUCTION[BATCH],C702,PRODUCTION[SHIFT],D702)</f>
        <v>0</v>
      </c>
      <c r="K702" s="438" t="s">
        <v>1414</v>
      </c>
      <c r="L702" s="443"/>
      <c r="M702" s="440"/>
      <c r="N702" s="441"/>
      <c r="O702" s="441"/>
      <c r="P702" s="442"/>
      <c r="Q702" s="443"/>
      <c r="R702" s="440"/>
      <c r="S702" s="440"/>
      <c r="T702" s="440"/>
      <c r="U702" s="440"/>
      <c r="V702" s="440"/>
      <c r="W702" s="440"/>
      <c r="X702" s="440"/>
      <c r="Y702" s="444">
        <f t="shared" si="17"/>
        <v>0</v>
      </c>
      <c r="Z702" s="445"/>
      <c r="AA702" s="446">
        <f t="shared" ref="AA702:AE702" si="359">$J702*E702</f>
        <v>0</v>
      </c>
      <c r="AB702" s="447">
        <f t="shared" si="359"/>
        <v>0</v>
      </c>
      <c r="AC702" s="447">
        <f t="shared" si="359"/>
        <v>0</v>
      </c>
      <c r="AD702" s="447">
        <f t="shared" si="359"/>
        <v>0</v>
      </c>
      <c r="AE702" s="448">
        <f t="shared" si="359"/>
        <v>0</v>
      </c>
      <c r="AF702" s="449"/>
      <c r="AG702" s="449"/>
      <c r="AH702" s="449"/>
    </row>
    <row r="703" ht="11.25" customHeight="1">
      <c r="A703" s="450"/>
      <c r="B703" s="451"/>
      <c r="C703" s="452"/>
      <c r="D703" s="452"/>
      <c r="E703" s="453"/>
      <c r="F703" s="453"/>
      <c r="G703" s="454"/>
      <c r="H703" s="454"/>
      <c r="I703" s="455"/>
      <c r="J703" s="456"/>
      <c r="K703" s="457" t="s">
        <v>1416</v>
      </c>
      <c r="L703" s="458"/>
      <c r="M703" s="459"/>
      <c r="N703" s="460"/>
      <c r="O703" s="460"/>
      <c r="P703" s="461"/>
      <c r="Q703" s="458"/>
      <c r="R703" s="459"/>
      <c r="S703" s="459"/>
      <c r="T703" s="459"/>
      <c r="U703" s="459"/>
      <c r="V703" s="459"/>
      <c r="W703" s="459"/>
      <c r="X703" s="459"/>
      <c r="Y703" s="462">
        <f t="shared" si="17"/>
        <v>0</v>
      </c>
      <c r="Z703" s="463"/>
      <c r="AA703" s="464"/>
      <c r="AB703" s="465"/>
      <c r="AC703" s="465"/>
      <c r="AD703" s="465"/>
      <c r="AE703" s="466"/>
      <c r="AF703" s="449"/>
      <c r="AG703" s="449"/>
      <c r="AH703" s="449"/>
    </row>
    <row r="704" ht="11.25" customHeight="1">
      <c r="A704" s="450"/>
      <c r="B704" s="451"/>
      <c r="C704" s="452"/>
      <c r="D704" s="452"/>
      <c r="E704" s="453"/>
      <c r="F704" s="453"/>
      <c r="G704" s="454"/>
      <c r="H704" s="454"/>
      <c r="I704" s="455"/>
      <c r="J704" s="456"/>
      <c r="K704" s="467" t="s">
        <v>1417</v>
      </c>
      <c r="L704" s="468"/>
      <c r="M704" s="469"/>
      <c r="N704" s="470"/>
      <c r="O704" s="470"/>
      <c r="P704" s="471"/>
      <c r="Q704" s="468"/>
      <c r="R704" s="469"/>
      <c r="S704" s="469"/>
      <c r="T704" s="469"/>
      <c r="U704" s="469"/>
      <c r="V704" s="469"/>
      <c r="W704" s="469"/>
      <c r="X704" s="469"/>
      <c r="Y704" s="462">
        <f t="shared" si="17"/>
        <v>0</v>
      </c>
      <c r="Z704" s="463"/>
      <c r="AA704" s="464"/>
      <c r="AB704" s="465"/>
      <c r="AC704" s="465"/>
      <c r="AD704" s="465"/>
      <c r="AE704" s="466"/>
      <c r="AF704" s="449"/>
      <c r="AG704" s="449"/>
      <c r="AH704" s="449"/>
    </row>
    <row r="705" ht="11.25" customHeight="1">
      <c r="A705" s="450"/>
      <c r="B705" s="472"/>
      <c r="C705" s="473"/>
      <c r="D705" s="473"/>
      <c r="E705" s="474"/>
      <c r="F705" s="474"/>
      <c r="G705" s="475"/>
      <c r="H705" s="475"/>
      <c r="I705" s="476"/>
      <c r="J705" s="477"/>
      <c r="K705" s="478" t="s">
        <v>1418</v>
      </c>
      <c r="L705" s="479"/>
      <c r="M705" s="480"/>
      <c r="N705" s="481"/>
      <c r="O705" s="481"/>
      <c r="P705" s="482"/>
      <c r="Q705" s="479"/>
      <c r="R705" s="480"/>
      <c r="S705" s="480"/>
      <c r="T705" s="480"/>
      <c r="U705" s="480"/>
      <c r="V705" s="480"/>
      <c r="W705" s="480"/>
      <c r="X705" s="480"/>
      <c r="Y705" s="483">
        <f t="shared" si="17"/>
        <v>0</v>
      </c>
      <c r="Z705" s="484"/>
      <c r="AA705" s="485"/>
      <c r="AB705" s="486"/>
      <c r="AC705" s="486"/>
      <c r="AD705" s="486"/>
      <c r="AE705" s="487"/>
      <c r="AF705" s="449"/>
      <c r="AG705" s="449"/>
      <c r="AH705" s="449"/>
    </row>
    <row r="706" ht="11.25" customHeight="1">
      <c r="A706" s="431" t="str">
        <f>IF(B706="","", YEAR(B706))</f>
        <v/>
      </c>
      <c r="B706" s="432"/>
      <c r="C706" s="433"/>
      <c r="D706" s="433"/>
      <c r="E706" s="434" t="str">
        <f t="shared" ref="E706:I706" si="360">IFERROR(AVERAGE(L706:L709),"")</f>
        <v/>
      </c>
      <c r="F706" s="434" t="str">
        <f t="shared" si="360"/>
        <v/>
      </c>
      <c r="G706" s="435" t="str">
        <f t="shared" si="360"/>
        <v/>
      </c>
      <c r="H706" s="435" t="str">
        <f t="shared" si="360"/>
        <v/>
      </c>
      <c r="I706" s="436" t="str">
        <f t="shared" si="360"/>
        <v/>
      </c>
      <c r="J706" s="437">
        <f>SUMIFS(PRODUCTION[KG],PRODUCTION[GRADE],"3X50",PRODUCTION[DATE],B706,PRODUCTION[BATCH],C706,PRODUCTION[SHIFT],D706)</f>
        <v>0</v>
      </c>
      <c r="K706" s="438" t="s">
        <v>1414</v>
      </c>
      <c r="L706" s="443"/>
      <c r="M706" s="440"/>
      <c r="N706" s="441"/>
      <c r="O706" s="441"/>
      <c r="P706" s="442"/>
      <c r="Q706" s="443"/>
      <c r="R706" s="440"/>
      <c r="S706" s="440"/>
      <c r="T706" s="440"/>
      <c r="U706" s="440"/>
      <c r="V706" s="440"/>
      <c r="W706" s="440"/>
      <c r="X706" s="440"/>
      <c r="Y706" s="444">
        <f t="shared" si="17"/>
        <v>0</v>
      </c>
      <c r="Z706" s="445"/>
      <c r="AA706" s="446">
        <f t="shared" ref="AA706:AE706" si="361">$J706*E706</f>
        <v>0</v>
      </c>
      <c r="AB706" s="447">
        <f t="shared" si="361"/>
        <v>0</v>
      </c>
      <c r="AC706" s="447">
        <f t="shared" si="361"/>
        <v>0</v>
      </c>
      <c r="AD706" s="447">
        <f t="shared" si="361"/>
        <v>0</v>
      </c>
      <c r="AE706" s="448">
        <f t="shared" si="361"/>
        <v>0</v>
      </c>
      <c r="AF706" s="449"/>
      <c r="AG706" s="449"/>
      <c r="AH706" s="449"/>
    </row>
    <row r="707" ht="11.25" customHeight="1">
      <c r="A707" s="450"/>
      <c r="B707" s="451"/>
      <c r="C707" s="452"/>
      <c r="D707" s="452"/>
      <c r="E707" s="453"/>
      <c r="F707" s="453"/>
      <c r="G707" s="454"/>
      <c r="H707" s="454"/>
      <c r="I707" s="455"/>
      <c r="J707" s="456"/>
      <c r="K707" s="457" t="s">
        <v>1416</v>
      </c>
      <c r="L707" s="458"/>
      <c r="M707" s="459"/>
      <c r="N707" s="460"/>
      <c r="O707" s="460"/>
      <c r="P707" s="461"/>
      <c r="Q707" s="458"/>
      <c r="R707" s="459"/>
      <c r="S707" s="459"/>
      <c r="T707" s="459"/>
      <c r="U707" s="459"/>
      <c r="V707" s="459"/>
      <c r="W707" s="459"/>
      <c r="X707" s="459"/>
      <c r="Y707" s="462">
        <f t="shared" si="17"/>
        <v>0</v>
      </c>
      <c r="Z707" s="463"/>
      <c r="AA707" s="464"/>
      <c r="AB707" s="465"/>
      <c r="AC707" s="465"/>
      <c r="AD707" s="465"/>
      <c r="AE707" s="466"/>
      <c r="AF707" s="449"/>
      <c r="AG707" s="449"/>
      <c r="AH707" s="449"/>
    </row>
    <row r="708" ht="11.25" customHeight="1">
      <c r="A708" s="450"/>
      <c r="B708" s="451"/>
      <c r="C708" s="452"/>
      <c r="D708" s="452"/>
      <c r="E708" s="453"/>
      <c r="F708" s="453"/>
      <c r="G708" s="454"/>
      <c r="H708" s="454"/>
      <c r="I708" s="455"/>
      <c r="J708" s="456"/>
      <c r="K708" s="467" t="s">
        <v>1417</v>
      </c>
      <c r="L708" s="468"/>
      <c r="M708" s="469"/>
      <c r="N708" s="470"/>
      <c r="O708" s="470"/>
      <c r="P708" s="471"/>
      <c r="Q708" s="468"/>
      <c r="R708" s="469"/>
      <c r="S708" s="469"/>
      <c r="T708" s="469"/>
      <c r="U708" s="469"/>
      <c r="V708" s="469"/>
      <c r="W708" s="469"/>
      <c r="X708" s="469"/>
      <c r="Y708" s="462">
        <f t="shared" si="17"/>
        <v>0</v>
      </c>
      <c r="Z708" s="463"/>
      <c r="AA708" s="464"/>
      <c r="AB708" s="465"/>
      <c r="AC708" s="465"/>
      <c r="AD708" s="465"/>
      <c r="AE708" s="466"/>
      <c r="AF708" s="449"/>
      <c r="AG708" s="449"/>
      <c r="AH708" s="449"/>
    </row>
    <row r="709" ht="11.25" customHeight="1">
      <c r="A709" s="450"/>
      <c r="B709" s="472"/>
      <c r="C709" s="473"/>
      <c r="D709" s="473"/>
      <c r="E709" s="474"/>
      <c r="F709" s="474"/>
      <c r="G709" s="475"/>
      <c r="H709" s="475"/>
      <c r="I709" s="476"/>
      <c r="J709" s="477"/>
      <c r="K709" s="478" t="s">
        <v>1418</v>
      </c>
      <c r="L709" s="479"/>
      <c r="M709" s="480"/>
      <c r="N709" s="481"/>
      <c r="O709" s="481"/>
      <c r="P709" s="482"/>
      <c r="Q709" s="479"/>
      <c r="R709" s="480"/>
      <c r="S709" s="480"/>
      <c r="T709" s="480"/>
      <c r="U709" s="480"/>
      <c r="V709" s="480"/>
      <c r="W709" s="480"/>
      <c r="X709" s="480"/>
      <c r="Y709" s="483">
        <f t="shared" si="17"/>
        <v>0</v>
      </c>
      <c r="Z709" s="484"/>
      <c r="AA709" s="485"/>
      <c r="AB709" s="486"/>
      <c r="AC709" s="486"/>
      <c r="AD709" s="486"/>
      <c r="AE709" s="487"/>
      <c r="AF709" s="449"/>
      <c r="AG709" s="449"/>
      <c r="AH709" s="449"/>
    </row>
    <row r="710" ht="11.25" customHeight="1">
      <c r="A710" s="431" t="str">
        <f>IF(B710="","", YEAR(B710))</f>
        <v/>
      </c>
      <c r="B710" s="432"/>
      <c r="C710" s="433"/>
      <c r="D710" s="433"/>
      <c r="E710" s="434" t="str">
        <f t="shared" ref="E710:I710" si="362">IFERROR(AVERAGE(L710:L713),"")</f>
        <v/>
      </c>
      <c r="F710" s="434" t="str">
        <f t="shared" si="362"/>
        <v/>
      </c>
      <c r="G710" s="435" t="str">
        <f t="shared" si="362"/>
        <v/>
      </c>
      <c r="H710" s="435" t="str">
        <f t="shared" si="362"/>
        <v/>
      </c>
      <c r="I710" s="436" t="str">
        <f t="shared" si="362"/>
        <v/>
      </c>
      <c r="J710" s="437">
        <f>SUMIFS(PRODUCTION[KG],PRODUCTION[GRADE],"3X50",PRODUCTION[DATE],B710,PRODUCTION[BATCH],C710,PRODUCTION[SHIFT],D710)</f>
        <v>0</v>
      </c>
      <c r="K710" s="438" t="s">
        <v>1414</v>
      </c>
      <c r="L710" s="443"/>
      <c r="M710" s="440"/>
      <c r="N710" s="441"/>
      <c r="O710" s="441"/>
      <c r="P710" s="442"/>
      <c r="Q710" s="443"/>
      <c r="R710" s="440"/>
      <c r="S710" s="440"/>
      <c r="T710" s="440"/>
      <c r="U710" s="440"/>
      <c r="V710" s="440"/>
      <c r="W710" s="440"/>
      <c r="X710" s="440"/>
      <c r="Y710" s="444">
        <f t="shared" si="17"/>
        <v>0</v>
      </c>
      <c r="Z710" s="445"/>
      <c r="AA710" s="446">
        <f t="shared" ref="AA710:AE710" si="363">$J710*E710</f>
        <v>0</v>
      </c>
      <c r="AB710" s="447">
        <f t="shared" si="363"/>
        <v>0</v>
      </c>
      <c r="AC710" s="447">
        <f t="shared" si="363"/>
        <v>0</v>
      </c>
      <c r="AD710" s="447">
        <f t="shared" si="363"/>
        <v>0</v>
      </c>
      <c r="AE710" s="448">
        <f t="shared" si="363"/>
        <v>0</v>
      </c>
      <c r="AF710" s="449"/>
      <c r="AG710" s="449"/>
      <c r="AH710" s="449"/>
    </row>
    <row r="711" ht="11.25" customHeight="1">
      <c r="A711" s="450"/>
      <c r="B711" s="451"/>
      <c r="C711" s="452"/>
      <c r="D711" s="452"/>
      <c r="E711" s="453"/>
      <c r="F711" s="453"/>
      <c r="G711" s="454"/>
      <c r="H711" s="454"/>
      <c r="I711" s="455"/>
      <c r="J711" s="456"/>
      <c r="K711" s="457" t="s">
        <v>1416</v>
      </c>
      <c r="L711" s="458"/>
      <c r="M711" s="459"/>
      <c r="N711" s="460"/>
      <c r="O711" s="460"/>
      <c r="P711" s="461"/>
      <c r="Q711" s="458"/>
      <c r="R711" s="459"/>
      <c r="S711" s="459"/>
      <c r="T711" s="459"/>
      <c r="U711" s="459"/>
      <c r="V711" s="459"/>
      <c r="W711" s="459"/>
      <c r="X711" s="459"/>
      <c r="Y711" s="462">
        <f t="shared" si="17"/>
        <v>0</v>
      </c>
      <c r="Z711" s="463"/>
      <c r="AA711" s="464"/>
      <c r="AB711" s="465"/>
      <c r="AC711" s="465"/>
      <c r="AD711" s="465"/>
      <c r="AE711" s="466"/>
      <c r="AF711" s="449"/>
      <c r="AG711" s="449"/>
      <c r="AH711" s="449"/>
    </row>
    <row r="712" ht="11.25" customHeight="1">
      <c r="A712" s="450"/>
      <c r="B712" s="451"/>
      <c r="C712" s="452"/>
      <c r="D712" s="452"/>
      <c r="E712" s="453"/>
      <c r="F712" s="453"/>
      <c r="G712" s="454"/>
      <c r="H712" s="454"/>
      <c r="I712" s="455"/>
      <c r="J712" s="456"/>
      <c r="K712" s="467" t="s">
        <v>1417</v>
      </c>
      <c r="L712" s="468"/>
      <c r="M712" s="469"/>
      <c r="N712" s="470"/>
      <c r="O712" s="470"/>
      <c r="P712" s="471"/>
      <c r="Q712" s="468"/>
      <c r="R712" s="469"/>
      <c r="S712" s="469"/>
      <c r="T712" s="469"/>
      <c r="U712" s="469"/>
      <c r="V712" s="469"/>
      <c r="W712" s="469"/>
      <c r="X712" s="469"/>
      <c r="Y712" s="462">
        <f t="shared" si="17"/>
        <v>0</v>
      </c>
      <c r="Z712" s="463"/>
      <c r="AA712" s="464"/>
      <c r="AB712" s="465"/>
      <c r="AC712" s="465"/>
      <c r="AD712" s="465"/>
      <c r="AE712" s="466"/>
      <c r="AF712" s="449"/>
      <c r="AG712" s="449"/>
      <c r="AH712" s="449"/>
    </row>
    <row r="713" ht="11.25" customHeight="1">
      <c r="A713" s="450"/>
      <c r="B713" s="472"/>
      <c r="C713" s="473"/>
      <c r="D713" s="473"/>
      <c r="E713" s="474"/>
      <c r="F713" s="474"/>
      <c r="G713" s="475"/>
      <c r="H713" s="475"/>
      <c r="I713" s="476"/>
      <c r="J713" s="477"/>
      <c r="K713" s="478" t="s">
        <v>1418</v>
      </c>
      <c r="L713" s="479"/>
      <c r="M713" s="480"/>
      <c r="N713" s="481"/>
      <c r="O713" s="481"/>
      <c r="P713" s="482"/>
      <c r="Q713" s="479"/>
      <c r="R713" s="480"/>
      <c r="S713" s="480"/>
      <c r="T713" s="480"/>
      <c r="U713" s="480"/>
      <c r="V713" s="480"/>
      <c r="W713" s="480"/>
      <c r="X713" s="480"/>
      <c r="Y713" s="483">
        <f t="shared" si="17"/>
        <v>0</v>
      </c>
      <c r="Z713" s="484"/>
      <c r="AA713" s="485"/>
      <c r="AB713" s="486"/>
      <c r="AC713" s="486"/>
      <c r="AD713" s="486"/>
      <c r="AE713" s="487"/>
      <c r="AF713" s="449"/>
      <c r="AG713" s="449"/>
      <c r="AH713" s="449"/>
    </row>
    <row r="714" ht="11.25" customHeight="1">
      <c r="A714" s="431" t="str">
        <f>IF(B714="","", YEAR(B714))</f>
        <v/>
      </c>
      <c r="B714" s="432"/>
      <c r="C714" s="433"/>
      <c r="D714" s="433"/>
      <c r="E714" s="434" t="str">
        <f t="shared" ref="E714:I714" si="364">IFERROR(AVERAGE(L714:L717),"")</f>
        <v/>
      </c>
      <c r="F714" s="434" t="str">
        <f t="shared" si="364"/>
        <v/>
      </c>
      <c r="G714" s="435" t="str">
        <f t="shared" si="364"/>
        <v/>
      </c>
      <c r="H714" s="435" t="str">
        <f t="shared" si="364"/>
        <v/>
      </c>
      <c r="I714" s="436" t="str">
        <f t="shared" si="364"/>
        <v/>
      </c>
      <c r="J714" s="437">
        <f>SUMIFS(PRODUCTION[KG],PRODUCTION[GRADE],"3X50",PRODUCTION[DATE],B714,PRODUCTION[BATCH],C714,PRODUCTION[SHIFT],D714)</f>
        <v>0</v>
      </c>
      <c r="K714" s="438" t="s">
        <v>1414</v>
      </c>
      <c r="L714" s="443"/>
      <c r="M714" s="440"/>
      <c r="N714" s="441"/>
      <c r="O714" s="441"/>
      <c r="P714" s="442"/>
      <c r="Q714" s="443"/>
      <c r="R714" s="440"/>
      <c r="S714" s="440"/>
      <c r="T714" s="440"/>
      <c r="U714" s="440"/>
      <c r="V714" s="440"/>
      <c r="W714" s="440"/>
      <c r="X714" s="440"/>
      <c r="Y714" s="444">
        <f t="shared" si="17"/>
        <v>0</v>
      </c>
      <c r="Z714" s="445"/>
      <c r="AA714" s="446">
        <f t="shared" ref="AA714:AE714" si="365">$J714*E714</f>
        <v>0</v>
      </c>
      <c r="AB714" s="447">
        <f t="shared" si="365"/>
        <v>0</v>
      </c>
      <c r="AC714" s="447">
        <f t="shared" si="365"/>
        <v>0</v>
      </c>
      <c r="AD714" s="447">
        <f t="shared" si="365"/>
        <v>0</v>
      </c>
      <c r="AE714" s="448">
        <f t="shared" si="365"/>
        <v>0</v>
      </c>
      <c r="AF714" s="449"/>
      <c r="AG714" s="449"/>
      <c r="AH714" s="449"/>
    </row>
    <row r="715" ht="11.25" customHeight="1">
      <c r="A715" s="450"/>
      <c r="B715" s="451"/>
      <c r="C715" s="452"/>
      <c r="D715" s="452"/>
      <c r="E715" s="453"/>
      <c r="F715" s="453"/>
      <c r="G715" s="454"/>
      <c r="H715" s="454"/>
      <c r="I715" s="455"/>
      <c r="J715" s="456"/>
      <c r="K715" s="457" t="s">
        <v>1416</v>
      </c>
      <c r="L715" s="458"/>
      <c r="M715" s="459"/>
      <c r="N715" s="460"/>
      <c r="O715" s="460"/>
      <c r="P715" s="461"/>
      <c r="Q715" s="458"/>
      <c r="R715" s="459"/>
      <c r="S715" s="459"/>
      <c r="T715" s="459"/>
      <c r="U715" s="459"/>
      <c r="V715" s="459"/>
      <c r="W715" s="459"/>
      <c r="X715" s="459"/>
      <c r="Y715" s="462">
        <f t="shared" si="17"/>
        <v>0</v>
      </c>
      <c r="Z715" s="463"/>
      <c r="AA715" s="464"/>
      <c r="AB715" s="465"/>
      <c r="AC715" s="465"/>
      <c r="AD715" s="465"/>
      <c r="AE715" s="466"/>
      <c r="AF715" s="449"/>
      <c r="AG715" s="449"/>
      <c r="AH715" s="449"/>
    </row>
    <row r="716" ht="11.25" customHeight="1">
      <c r="A716" s="450"/>
      <c r="B716" s="451"/>
      <c r="C716" s="452"/>
      <c r="D716" s="452"/>
      <c r="E716" s="453"/>
      <c r="F716" s="453"/>
      <c r="G716" s="454"/>
      <c r="H716" s="454"/>
      <c r="I716" s="455"/>
      <c r="J716" s="456"/>
      <c r="K716" s="467" t="s">
        <v>1417</v>
      </c>
      <c r="L716" s="468"/>
      <c r="M716" s="469"/>
      <c r="N716" s="470"/>
      <c r="O716" s="470"/>
      <c r="P716" s="471"/>
      <c r="Q716" s="468"/>
      <c r="R716" s="469"/>
      <c r="S716" s="469"/>
      <c r="T716" s="469"/>
      <c r="U716" s="469"/>
      <c r="V716" s="469"/>
      <c r="W716" s="469"/>
      <c r="X716" s="469"/>
      <c r="Y716" s="462">
        <f t="shared" si="17"/>
        <v>0</v>
      </c>
      <c r="Z716" s="463"/>
      <c r="AA716" s="464"/>
      <c r="AB716" s="465"/>
      <c r="AC716" s="465"/>
      <c r="AD716" s="465"/>
      <c r="AE716" s="466"/>
      <c r="AF716" s="449"/>
      <c r="AG716" s="449"/>
      <c r="AH716" s="449"/>
    </row>
    <row r="717" ht="11.25" customHeight="1">
      <c r="A717" s="450"/>
      <c r="B717" s="472"/>
      <c r="C717" s="473"/>
      <c r="D717" s="473"/>
      <c r="E717" s="474"/>
      <c r="F717" s="474"/>
      <c r="G717" s="475"/>
      <c r="H717" s="475"/>
      <c r="I717" s="476"/>
      <c r="J717" s="477"/>
      <c r="K717" s="478" t="s">
        <v>1418</v>
      </c>
      <c r="L717" s="479"/>
      <c r="M717" s="480"/>
      <c r="N717" s="481"/>
      <c r="O717" s="481"/>
      <c r="P717" s="482"/>
      <c r="Q717" s="479"/>
      <c r="R717" s="480"/>
      <c r="S717" s="480"/>
      <c r="T717" s="480"/>
      <c r="U717" s="480"/>
      <c r="V717" s="480"/>
      <c r="W717" s="480"/>
      <c r="X717" s="480"/>
      <c r="Y717" s="483">
        <f t="shared" si="17"/>
        <v>0</v>
      </c>
      <c r="Z717" s="484"/>
      <c r="AA717" s="485"/>
      <c r="AB717" s="486"/>
      <c r="AC717" s="486"/>
      <c r="AD717" s="486"/>
      <c r="AE717" s="487"/>
      <c r="AF717" s="449"/>
      <c r="AG717" s="449"/>
      <c r="AH717" s="449"/>
    </row>
    <row r="718" ht="11.25" customHeight="1">
      <c r="A718" s="431" t="str">
        <f>IF(B718="","", YEAR(B718))</f>
        <v/>
      </c>
      <c r="B718" s="432"/>
      <c r="C718" s="433"/>
      <c r="D718" s="433"/>
      <c r="E718" s="434" t="str">
        <f t="shared" ref="E718:I718" si="366">IFERROR(AVERAGE(L718:L721),"")</f>
        <v/>
      </c>
      <c r="F718" s="434" t="str">
        <f t="shared" si="366"/>
        <v/>
      </c>
      <c r="G718" s="435" t="str">
        <f t="shared" si="366"/>
        <v/>
      </c>
      <c r="H718" s="435" t="str">
        <f t="shared" si="366"/>
        <v/>
      </c>
      <c r="I718" s="436" t="str">
        <f t="shared" si="366"/>
        <v/>
      </c>
      <c r="J718" s="437">
        <f>SUMIFS(PRODUCTION[KG],PRODUCTION[GRADE],"3X50",PRODUCTION[DATE],B718,PRODUCTION[BATCH],C718,PRODUCTION[SHIFT],D718)</f>
        <v>0</v>
      </c>
      <c r="K718" s="438" t="s">
        <v>1414</v>
      </c>
      <c r="L718" s="443"/>
      <c r="M718" s="440"/>
      <c r="N718" s="441"/>
      <c r="O718" s="441"/>
      <c r="P718" s="442"/>
      <c r="Q718" s="443"/>
      <c r="R718" s="440"/>
      <c r="S718" s="440"/>
      <c r="T718" s="440"/>
      <c r="U718" s="440"/>
      <c r="V718" s="440"/>
      <c r="W718" s="440"/>
      <c r="X718" s="440"/>
      <c r="Y718" s="444">
        <f t="shared" si="17"/>
        <v>0</v>
      </c>
      <c r="Z718" s="445"/>
      <c r="AA718" s="446">
        <f t="shared" ref="AA718:AE718" si="367">$J718*E718</f>
        <v>0</v>
      </c>
      <c r="AB718" s="447">
        <f t="shared" si="367"/>
        <v>0</v>
      </c>
      <c r="AC718" s="447">
        <f t="shared" si="367"/>
        <v>0</v>
      </c>
      <c r="AD718" s="447">
        <f t="shared" si="367"/>
        <v>0</v>
      </c>
      <c r="AE718" s="448">
        <f t="shared" si="367"/>
        <v>0</v>
      </c>
      <c r="AF718" s="449"/>
      <c r="AG718" s="449"/>
      <c r="AH718" s="449"/>
    </row>
    <row r="719" ht="11.25" customHeight="1">
      <c r="A719" s="450"/>
      <c r="B719" s="451"/>
      <c r="C719" s="452"/>
      <c r="D719" s="452"/>
      <c r="E719" s="453"/>
      <c r="F719" s="453"/>
      <c r="G719" s="454"/>
      <c r="H719" s="454"/>
      <c r="I719" s="455"/>
      <c r="J719" s="456"/>
      <c r="K719" s="457" t="s">
        <v>1416</v>
      </c>
      <c r="L719" s="458"/>
      <c r="M719" s="459"/>
      <c r="N719" s="460"/>
      <c r="O719" s="460"/>
      <c r="P719" s="461"/>
      <c r="Q719" s="458"/>
      <c r="R719" s="459"/>
      <c r="S719" s="459"/>
      <c r="T719" s="459"/>
      <c r="U719" s="459"/>
      <c r="V719" s="459"/>
      <c r="W719" s="459"/>
      <c r="X719" s="459"/>
      <c r="Y719" s="462">
        <f t="shared" si="17"/>
        <v>0</v>
      </c>
      <c r="Z719" s="463"/>
      <c r="AA719" s="464"/>
      <c r="AB719" s="465"/>
      <c r="AC719" s="465"/>
      <c r="AD719" s="465"/>
      <c r="AE719" s="466"/>
      <c r="AF719" s="449"/>
      <c r="AG719" s="449"/>
      <c r="AH719" s="449"/>
    </row>
    <row r="720" ht="11.25" customHeight="1">
      <c r="A720" s="450"/>
      <c r="B720" s="451"/>
      <c r="C720" s="452"/>
      <c r="D720" s="452"/>
      <c r="E720" s="453"/>
      <c r="F720" s="453"/>
      <c r="G720" s="454"/>
      <c r="H720" s="454"/>
      <c r="I720" s="455"/>
      <c r="J720" s="456"/>
      <c r="K720" s="467" t="s">
        <v>1417</v>
      </c>
      <c r="L720" s="468"/>
      <c r="M720" s="469"/>
      <c r="N720" s="470"/>
      <c r="O720" s="470"/>
      <c r="P720" s="471"/>
      <c r="Q720" s="468"/>
      <c r="R720" s="469"/>
      <c r="S720" s="469"/>
      <c r="T720" s="469"/>
      <c r="U720" s="469"/>
      <c r="V720" s="469"/>
      <c r="W720" s="469"/>
      <c r="X720" s="469"/>
      <c r="Y720" s="462">
        <f t="shared" si="17"/>
        <v>0</v>
      </c>
      <c r="Z720" s="463"/>
      <c r="AA720" s="464"/>
      <c r="AB720" s="465"/>
      <c r="AC720" s="465"/>
      <c r="AD720" s="465"/>
      <c r="AE720" s="466"/>
      <c r="AF720" s="449"/>
      <c r="AG720" s="449"/>
      <c r="AH720" s="449"/>
    </row>
    <row r="721" ht="11.25" customHeight="1">
      <c r="A721" s="450"/>
      <c r="B721" s="472"/>
      <c r="C721" s="473"/>
      <c r="D721" s="473"/>
      <c r="E721" s="474"/>
      <c r="F721" s="474"/>
      <c r="G721" s="475"/>
      <c r="H721" s="475"/>
      <c r="I721" s="476"/>
      <c r="J721" s="477"/>
      <c r="K721" s="478" t="s">
        <v>1418</v>
      </c>
      <c r="L721" s="479"/>
      <c r="M721" s="480"/>
      <c r="N721" s="481"/>
      <c r="O721" s="481"/>
      <c r="P721" s="482"/>
      <c r="Q721" s="479"/>
      <c r="R721" s="480"/>
      <c r="S721" s="480"/>
      <c r="T721" s="480"/>
      <c r="U721" s="480"/>
      <c r="V721" s="480"/>
      <c r="W721" s="480"/>
      <c r="X721" s="480"/>
      <c r="Y721" s="483">
        <f t="shared" si="17"/>
        <v>0</v>
      </c>
      <c r="Z721" s="484"/>
      <c r="AA721" s="485"/>
      <c r="AB721" s="486"/>
      <c r="AC721" s="486"/>
      <c r="AD721" s="486"/>
      <c r="AE721" s="487"/>
      <c r="AF721" s="449"/>
      <c r="AG721" s="449"/>
      <c r="AH721" s="449"/>
    </row>
    <row r="722" ht="11.25" customHeight="1">
      <c r="A722" s="431" t="str">
        <f>IF(B722="","", YEAR(B722))</f>
        <v/>
      </c>
      <c r="B722" s="432"/>
      <c r="C722" s="433"/>
      <c r="D722" s="433"/>
      <c r="E722" s="434" t="str">
        <f t="shared" ref="E722:I722" si="368">IFERROR(AVERAGE(L722:L725),"")</f>
        <v/>
      </c>
      <c r="F722" s="434" t="str">
        <f t="shared" si="368"/>
        <v/>
      </c>
      <c r="G722" s="435" t="str">
        <f t="shared" si="368"/>
        <v/>
      </c>
      <c r="H722" s="435" t="str">
        <f t="shared" si="368"/>
        <v/>
      </c>
      <c r="I722" s="436" t="str">
        <f t="shared" si="368"/>
        <v/>
      </c>
      <c r="J722" s="437">
        <f>SUMIFS(PRODUCTION[KG],PRODUCTION[GRADE],"3X50",PRODUCTION[DATE],B722,PRODUCTION[BATCH],C722,PRODUCTION[SHIFT],D722)</f>
        <v>0</v>
      </c>
      <c r="K722" s="438" t="s">
        <v>1414</v>
      </c>
      <c r="L722" s="443"/>
      <c r="M722" s="440"/>
      <c r="N722" s="441"/>
      <c r="O722" s="441"/>
      <c r="P722" s="442"/>
      <c r="Q722" s="443"/>
      <c r="R722" s="440"/>
      <c r="S722" s="440"/>
      <c r="T722" s="440"/>
      <c r="U722" s="440"/>
      <c r="V722" s="440"/>
      <c r="W722" s="440"/>
      <c r="X722" s="440"/>
      <c r="Y722" s="444">
        <f t="shared" si="17"/>
        <v>0</v>
      </c>
      <c r="Z722" s="445"/>
      <c r="AA722" s="446">
        <f t="shared" ref="AA722:AE722" si="369">$J722*E722</f>
        <v>0</v>
      </c>
      <c r="AB722" s="447">
        <f t="shared" si="369"/>
        <v>0</v>
      </c>
      <c r="AC722" s="447">
        <f t="shared" si="369"/>
        <v>0</v>
      </c>
      <c r="AD722" s="447">
        <f t="shared" si="369"/>
        <v>0</v>
      </c>
      <c r="AE722" s="448">
        <f t="shared" si="369"/>
        <v>0</v>
      </c>
      <c r="AF722" s="449"/>
      <c r="AG722" s="449"/>
      <c r="AH722" s="449"/>
    </row>
    <row r="723" ht="11.25" customHeight="1">
      <c r="A723" s="450"/>
      <c r="B723" s="451"/>
      <c r="C723" s="452"/>
      <c r="D723" s="452"/>
      <c r="E723" s="453"/>
      <c r="F723" s="453"/>
      <c r="G723" s="454"/>
      <c r="H723" s="454"/>
      <c r="I723" s="455"/>
      <c r="J723" s="456"/>
      <c r="K723" s="457" t="s">
        <v>1416</v>
      </c>
      <c r="L723" s="458"/>
      <c r="M723" s="459"/>
      <c r="N723" s="460"/>
      <c r="O723" s="460"/>
      <c r="P723" s="461"/>
      <c r="Q723" s="458"/>
      <c r="R723" s="459"/>
      <c r="S723" s="459"/>
      <c r="T723" s="459"/>
      <c r="U723" s="459"/>
      <c r="V723" s="459"/>
      <c r="W723" s="459"/>
      <c r="X723" s="459"/>
      <c r="Y723" s="462">
        <f t="shared" si="17"/>
        <v>0</v>
      </c>
      <c r="Z723" s="463"/>
      <c r="AA723" s="464"/>
      <c r="AB723" s="465"/>
      <c r="AC723" s="465"/>
      <c r="AD723" s="465"/>
      <c r="AE723" s="466"/>
      <c r="AF723" s="449"/>
      <c r="AG723" s="449"/>
      <c r="AH723" s="449"/>
    </row>
    <row r="724" ht="11.25" customHeight="1">
      <c r="A724" s="450"/>
      <c r="B724" s="451"/>
      <c r="C724" s="452"/>
      <c r="D724" s="452"/>
      <c r="E724" s="453"/>
      <c r="F724" s="453"/>
      <c r="G724" s="454"/>
      <c r="H724" s="454"/>
      <c r="I724" s="455"/>
      <c r="J724" s="456"/>
      <c r="K724" s="467" t="s">
        <v>1417</v>
      </c>
      <c r="L724" s="468"/>
      <c r="M724" s="469"/>
      <c r="N724" s="470"/>
      <c r="O724" s="470"/>
      <c r="P724" s="471"/>
      <c r="Q724" s="468"/>
      <c r="R724" s="469"/>
      <c r="S724" s="469"/>
      <c r="T724" s="469"/>
      <c r="U724" s="469"/>
      <c r="V724" s="469"/>
      <c r="W724" s="469"/>
      <c r="X724" s="469"/>
      <c r="Y724" s="462">
        <f t="shared" si="17"/>
        <v>0</v>
      </c>
      <c r="Z724" s="463"/>
      <c r="AA724" s="464"/>
      <c r="AB724" s="465"/>
      <c r="AC724" s="465"/>
      <c r="AD724" s="465"/>
      <c r="AE724" s="466"/>
      <c r="AF724" s="449"/>
      <c r="AG724" s="449"/>
      <c r="AH724" s="449"/>
    </row>
    <row r="725" ht="11.25" customHeight="1">
      <c r="A725" s="450"/>
      <c r="B725" s="472"/>
      <c r="C725" s="473"/>
      <c r="D725" s="473"/>
      <c r="E725" s="474"/>
      <c r="F725" s="474"/>
      <c r="G725" s="475"/>
      <c r="H725" s="475"/>
      <c r="I725" s="476"/>
      <c r="J725" s="477"/>
      <c r="K725" s="478" t="s">
        <v>1418</v>
      </c>
      <c r="L725" s="479"/>
      <c r="M725" s="480"/>
      <c r="N725" s="481"/>
      <c r="O725" s="481"/>
      <c r="P725" s="482"/>
      <c r="Q725" s="479"/>
      <c r="R725" s="480"/>
      <c r="S725" s="480"/>
      <c r="T725" s="480"/>
      <c r="U725" s="480"/>
      <c r="V725" s="480"/>
      <c r="W725" s="480"/>
      <c r="X725" s="480"/>
      <c r="Y725" s="483">
        <f t="shared" si="17"/>
        <v>0</v>
      </c>
      <c r="Z725" s="484"/>
      <c r="AA725" s="485"/>
      <c r="AB725" s="486"/>
      <c r="AC725" s="486"/>
      <c r="AD725" s="486"/>
      <c r="AE725" s="487"/>
      <c r="AF725" s="449"/>
      <c r="AG725" s="449"/>
      <c r="AH725" s="449"/>
    </row>
    <row r="726" ht="11.25" customHeight="1">
      <c r="A726" s="431" t="str">
        <f>IF(B726="","", YEAR(B726))</f>
        <v/>
      </c>
      <c r="B726" s="432"/>
      <c r="C726" s="433"/>
      <c r="D726" s="433"/>
      <c r="E726" s="434" t="str">
        <f t="shared" ref="E726:I726" si="370">IFERROR(AVERAGE(L726:L729),"")</f>
        <v/>
      </c>
      <c r="F726" s="434" t="str">
        <f t="shared" si="370"/>
        <v/>
      </c>
      <c r="G726" s="435" t="str">
        <f t="shared" si="370"/>
        <v/>
      </c>
      <c r="H726" s="435" t="str">
        <f t="shared" si="370"/>
        <v/>
      </c>
      <c r="I726" s="436" t="str">
        <f t="shared" si="370"/>
        <v/>
      </c>
      <c r="J726" s="437">
        <f>SUMIFS(PRODUCTION[KG],PRODUCTION[GRADE],"3X50",PRODUCTION[DATE],B726,PRODUCTION[BATCH],C726,PRODUCTION[SHIFT],D726)</f>
        <v>0</v>
      </c>
      <c r="K726" s="438" t="s">
        <v>1414</v>
      </c>
      <c r="L726" s="443"/>
      <c r="M726" s="440"/>
      <c r="N726" s="441"/>
      <c r="O726" s="441"/>
      <c r="P726" s="442"/>
      <c r="Q726" s="443"/>
      <c r="R726" s="440"/>
      <c r="S726" s="440"/>
      <c r="T726" s="440"/>
      <c r="U726" s="440"/>
      <c r="V726" s="440"/>
      <c r="W726" s="440"/>
      <c r="X726" s="440"/>
      <c r="Y726" s="444">
        <f t="shared" si="17"/>
        <v>0</v>
      </c>
      <c r="Z726" s="445"/>
      <c r="AA726" s="446">
        <f t="shared" ref="AA726:AE726" si="371">$J726*E726</f>
        <v>0</v>
      </c>
      <c r="AB726" s="447">
        <f t="shared" si="371"/>
        <v>0</v>
      </c>
      <c r="AC726" s="447">
        <f t="shared" si="371"/>
        <v>0</v>
      </c>
      <c r="AD726" s="447">
        <f t="shared" si="371"/>
        <v>0</v>
      </c>
      <c r="AE726" s="448">
        <f t="shared" si="371"/>
        <v>0</v>
      </c>
      <c r="AF726" s="449"/>
      <c r="AG726" s="449"/>
      <c r="AH726" s="449"/>
    </row>
    <row r="727" ht="11.25" customHeight="1">
      <c r="A727" s="450"/>
      <c r="B727" s="451"/>
      <c r="C727" s="452"/>
      <c r="D727" s="452"/>
      <c r="E727" s="453"/>
      <c r="F727" s="453"/>
      <c r="G727" s="454"/>
      <c r="H727" s="454"/>
      <c r="I727" s="455"/>
      <c r="J727" s="456"/>
      <c r="K727" s="457" t="s">
        <v>1416</v>
      </c>
      <c r="L727" s="458"/>
      <c r="M727" s="459"/>
      <c r="N727" s="460"/>
      <c r="O727" s="460"/>
      <c r="P727" s="461"/>
      <c r="Q727" s="458"/>
      <c r="R727" s="459"/>
      <c r="S727" s="459"/>
      <c r="T727" s="459"/>
      <c r="U727" s="459"/>
      <c r="V727" s="459"/>
      <c r="W727" s="459"/>
      <c r="X727" s="459"/>
      <c r="Y727" s="462">
        <f t="shared" si="17"/>
        <v>0</v>
      </c>
      <c r="Z727" s="463"/>
      <c r="AA727" s="464"/>
      <c r="AB727" s="465"/>
      <c r="AC727" s="465"/>
      <c r="AD727" s="465"/>
      <c r="AE727" s="466"/>
      <c r="AF727" s="449"/>
      <c r="AG727" s="449"/>
      <c r="AH727" s="449"/>
    </row>
    <row r="728" ht="11.25" customHeight="1">
      <c r="A728" s="450"/>
      <c r="B728" s="451"/>
      <c r="C728" s="452"/>
      <c r="D728" s="452"/>
      <c r="E728" s="453"/>
      <c r="F728" s="453"/>
      <c r="G728" s="454"/>
      <c r="H728" s="454"/>
      <c r="I728" s="455"/>
      <c r="J728" s="456"/>
      <c r="K728" s="467" t="s">
        <v>1417</v>
      </c>
      <c r="L728" s="468"/>
      <c r="M728" s="469"/>
      <c r="N728" s="470"/>
      <c r="O728" s="470"/>
      <c r="P728" s="471"/>
      <c r="Q728" s="468"/>
      <c r="R728" s="469"/>
      <c r="S728" s="469"/>
      <c r="T728" s="469"/>
      <c r="U728" s="469"/>
      <c r="V728" s="469"/>
      <c r="W728" s="469"/>
      <c r="X728" s="469"/>
      <c r="Y728" s="462">
        <f t="shared" si="17"/>
        <v>0</v>
      </c>
      <c r="Z728" s="463"/>
      <c r="AA728" s="464"/>
      <c r="AB728" s="465"/>
      <c r="AC728" s="465"/>
      <c r="AD728" s="465"/>
      <c r="AE728" s="466"/>
      <c r="AF728" s="449"/>
      <c r="AG728" s="449"/>
      <c r="AH728" s="449"/>
    </row>
    <row r="729" ht="11.25" customHeight="1">
      <c r="A729" s="450"/>
      <c r="B729" s="472"/>
      <c r="C729" s="473"/>
      <c r="D729" s="473"/>
      <c r="E729" s="474"/>
      <c r="F729" s="474"/>
      <c r="G729" s="475"/>
      <c r="H729" s="475"/>
      <c r="I729" s="476"/>
      <c r="J729" s="477"/>
      <c r="K729" s="478" t="s">
        <v>1418</v>
      </c>
      <c r="L729" s="479"/>
      <c r="M729" s="480"/>
      <c r="N729" s="481"/>
      <c r="O729" s="481"/>
      <c r="P729" s="482"/>
      <c r="Q729" s="479"/>
      <c r="R729" s="480"/>
      <c r="S729" s="480"/>
      <c r="T729" s="480"/>
      <c r="U729" s="480"/>
      <c r="V729" s="480"/>
      <c r="W729" s="480"/>
      <c r="X729" s="480"/>
      <c r="Y729" s="483">
        <f t="shared" si="17"/>
        <v>0</v>
      </c>
      <c r="Z729" s="484"/>
      <c r="AA729" s="485"/>
      <c r="AB729" s="486"/>
      <c r="AC729" s="486"/>
      <c r="AD729" s="486"/>
      <c r="AE729" s="487"/>
      <c r="AF729" s="449"/>
      <c r="AG729" s="449"/>
      <c r="AH729" s="449"/>
    </row>
    <row r="730" ht="11.25" customHeight="1">
      <c r="A730" s="431" t="str">
        <f>IF(B730="","", YEAR(B730))</f>
        <v/>
      </c>
      <c r="B730" s="432"/>
      <c r="C730" s="433"/>
      <c r="D730" s="433"/>
      <c r="E730" s="434" t="str">
        <f t="shared" ref="E730:I730" si="372">IFERROR(AVERAGE(L730:L733),"")</f>
        <v/>
      </c>
      <c r="F730" s="434" t="str">
        <f t="shared" si="372"/>
        <v/>
      </c>
      <c r="G730" s="435" t="str">
        <f t="shared" si="372"/>
        <v/>
      </c>
      <c r="H730" s="435" t="str">
        <f t="shared" si="372"/>
        <v/>
      </c>
      <c r="I730" s="436" t="str">
        <f t="shared" si="372"/>
        <v/>
      </c>
      <c r="J730" s="437">
        <f>SUMIFS(PRODUCTION[KG],PRODUCTION[GRADE],"3X50",PRODUCTION[DATE],B730,PRODUCTION[BATCH],C730,PRODUCTION[SHIFT],D730)</f>
        <v>0</v>
      </c>
      <c r="K730" s="438" t="s">
        <v>1414</v>
      </c>
      <c r="L730" s="443"/>
      <c r="M730" s="440"/>
      <c r="N730" s="441"/>
      <c r="O730" s="441"/>
      <c r="P730" s="442"/>
      <c r="Q730" s="443"/>
      <c r="R730" s="440"/>
      <c r="S730" s="440"/>
      <c r="T730" s="440"/>
      <c r="U730" s="440"/>
      <c r="V730" s="440"/>
      <c r="W730" s="440"/>
      <c r="X730" s="440"/>
      <c r="Y730" s="444">
        <f t="shared" si="17"/>
        <v>0</v>
      </c>
      <c r="Z730" s="445"/>
      <c r="AA730" s="446">
        <f t="shared" ref="AA730:AE730" si="373">$J730*E730</f>
        <v>0</v>
      </c>
      <c r="AB730" s="447">
        <f t="shared" si="373"/>
        <v>0</v>
      </c>
      <c r="AC730" s="447">
        <f t="shared" si="373"/>
        <v>0</v>
      </c>
      <c r="AD730" s="447">
        <f t="shared" si="373"/>
        <v>0</v>
      </c>
      <c r="AE730" s="448">
        <f t="shared" si="373"/>
        <v>0</v>
      </c>
      <c r="AF730" s="449"/>
      <c r="AG730" s="449"/>
      <c r="AH730" s="449"/>
    </row>
    <row r="731" ht="11.25" customHeight="1">
      <c r="A731" s="450"/>
      <c r="B731" s="451"/>
      <c r="C731" s="452"/>
      <c r="D731" s="452"/>
      <c r="E731" s="453"/>
      <c r="F731" s="453"/>
      <c r="G731" s="454"/>
      <c r="H731" s="454"/>
      <c r="I731" s="455"/>
      <c r="J731" s="456"/>
      <c r="K731" s="457" t="s">
        <v>1416</v>
      </c>
      <c r="L731" s="458"/>
      <c r="M731" s="459"/>
      <c r="N731" s="460"/>
      <c r="O731" s="460"/>
      <c r="P731" s="461"/>
      <c r="Q731" s="458"/>
      <c r="R731" s="459"/>
      <c r="S731" s="459"/>
      <c r="T731" s="459"/>
      <c r="U731" s="459"/>
      <c r="V731" s="459"/>
      <c r="W731" s="459"/>
      <c r="X731" s="459"/>
      <c r="Y731" s="462">
        <f t="shared" si="17"/>
        <v>0</v>
      </c>
      <c r="Z731" s="463"/>
      <c r="AA731" s="464"/>
      <c r="AB731" s="465"/>
      <c r="AC731" s="465"/>
      <c r="AD731" s="465"/>
      <c r="AE731" s="466"/>
      <c r="AF731" s="449"/>
      <c r="AG731" s="449"/>
      <c r="AH731" s="449"/>
    </row>
    <row r="732" ht="11.25" customHeight="1">
      <c r="A732" s="450"/>
      <c r="B732" s="451"/>
      <c r="C732" s="452"/>
      <c r="D732" s="452"/>
      <c r="E732" s="453"/>
      <c r="F732" s="453"/>
      <c r="G732" s="454"/>
      <c r="H732" s="454"/>
      <c r="I732" s="455"/>
      <c r="J732" s="456"/>
      <c r="K732" s="467" t="s">
        <v>1417</v>
      </c>
      <c r="L732" s="468"/>
      <c r="M732" s="469"/>
      <c r="N732" s="470"/>
      <c r="O732" s="470"/>
      <c r="P732" s="471"/>
      <c r="Q732" s="468"/>
      <c r="R732" s="469"/>
      <c r="S732" s="469"/>
      <c r="T732" s="469"/>
      <c r="U732" s="469"/>
      <c r="V732" s="469"/>
      <c r="W732" s="469"/>
      <c r="X732" s="469"/>
      <c r="Y732" s="462">
        <f t="shared" si="17"/>
        <v>0</v>
      </c>
      <c r="Z732" s="463"/>
      <c r="AA732" s="464"/>
      <c r="AB732" s="465"/>
      <c r="AC732" s="465"/>
      <c r="AD732" s="465"/>
      <c r="AE732" s="466"/>
      <c r="AF732" s="449"/>
      <c r="AG732" s="449"/>
      <c r="AH732" s="449"/>
    </row>
    <row r="733" ht="11.25" customHeight="1">
      <c r="A733" s="450"/>
      <c r="B733" s="472"/>
      <c r="C733" s="473"/>
      <c r="D733" s="473"/>
      <c r="E733" s="474"/>
      <c r="F733" s="474"/>
      <c r="G733" s="475"/>
      <c r="H733" s="475"/>
      <c r="I733" s="476"/>
      <c r="J733" s="477"/>
      <c r="K733" s="478" t="s">
        <v>1418</v>
      </c>
      <c r="L733" s="479"/>
      <c r="M733" s="480"/>
      <c r="N733" s="481"/>
      <c r="O733" s="481"/>
      <c r="P733" s="482"/>
      <c r="Q733" s="479"/>
      <c r="R733" s="480"/>
      <c r="S733" s="480"/>
      <c r="T733" s="480"/>
      <c r="U733" s="480"/>
      <c r="V733" s="480"/>
      <c r="W733" s="480"/>
      <c r="X733" s="480"/>
      <c r="Y733" s="483">
        <f t="shared" si="17"/>
        <v>0</v>
      </c>
      <c r="Z733" s="484"/>
      <c r="AA733" s="485"/>
      <c r="AB733" s="486"/>
      <c r="AC733" s="486"/>
      <c r="AD733" s="486"/>
      <c r="AE733" s="487"/>
      <c r="AF733" s="449"/>
      <c r="AG733" s="449"/>
      <c r="AH733" s="449"/>
    </row>
    <row r="734" ht="11.25" customHeight="1">
      <c r="A734" s="431" t="str">
        <f>IF(B734="","", YEAR(B734))</f>
        <v/>
      </c>
      <c r="B734" s="432"/>
      <c r="C734" s="433"/>
      <c r="D734" s="433"/>
      <c r="E734" s="434" t="str">
        <f t="shared" ref="E734:I734" si="374">IFERROR(AVERAGE(L734:L737),"")</f>
        <v/>
      </c>
      <c r="F734" s="434" t="str">
        <f t="shared" si="374"/>
        <v/>
      </c>
      <c r="G734" s="435" t="str">
        <f t="shared" si="374"/>
        <v/>
      </c>
      <c r="H734" s="435" t="str">
        <f t="shared" si="374"/>
        <v/>
      </c>
      <c r="I734" s="436" t="str">
        <f t="shared" si="374"/>
        <v/>
      </c>
      <c r="J734" s="437">
        <f>SUMIFS(PRODUCTION[KG],PRODUCTION[GRADE],"3X50",PRODUCTION[DATE],B734,PRODUCTION[BATCH],C734,PRODUCTION[SHIFT],D734)</f>
        <v>0</v>
      </c>
      <c r="K734" s="438" t="s">
        <v>1414</v>
      </c>
      <c r="L734" s="443"/>
      <c r="M734" s="440"/>
      <c r="N734" s="441"/>
      <c r="O734" s="441"/>
      <c r="P734" s="442"/>
      <c r="Q734" s="443"/>
      <c r="R734" s="440"/>
      <c r="S734" s="440"/>
      <c r="T734" s="440"/>
      <c r="U734" s="440"/>
      <c r="V734" s="440"/>
      <c r="W734" s="440"/>
      <c r="X734" s="440"/>
      <c r="Y734" s="444">
        <f t="shared" si="17"/>
        <v>0</v>
      </c>
      <c r="Z734" s="445"/>
      <c r="AA734" s="446">
        <f t="shared" ref="AA734:AE734" si="375">$J734*E734</f>
        <v>0</v>
      </c>
      <c r="AB734" s="447">
        <f t="shared" si="375"/>
        <v>0</v>
      </c>
      <c r="AC734" s="447">
        <f t="shared" si="375"/>
        <v>0</v>
      </c>
      <c r="AD734" s="447">
        <f t="shared" si="375"/>
        <v>0</v>
      </c>
      <c r="AE734" s="448">
        <f t="shared" si="375"/>
        <v>0</v>
      </c>
      <c r="AF734" s="449"/>
      <c r="AG734" s="449"/>
      <c r="AH734" s="449"/>
    </row>
    <row r="735" ht="11.25" customHeight="1">
      <c r="A735" s="450"/>
      <c r="B735" s="451"/>
      <c r="C735" s="452"/>
      <c r="D735" s="452"/>
      <c r="E735" s="453"/>
      <c r="F735" s="453"/>
      <c r="G735" s="454"/>
      <c r="H735" s="454"/>
      <c r="I735" s="455"/>
      <c r="J735" s="456"/>
      <c r="K735" s="457" t="s">
        <v>1416</v>
      </c>
      <c r="L735" s="458"/>
      <c r="M735" s="459"/>
      <c r="N735" s="460"/>
      <c r="O735" s="460"/>
      <c r="P735" s="461"/>
      <c r="Q735" s="458"/>
      <c r="R735" s="459"/>
      <c r="S735" s="459"/>
      <c r="T735" s="459"/>
      <c r="U735" s="459"/>
      <c r="V735" s="459"/>
      <c r="W735" s="459"/>
      <c r="X735" s="459"/>
      <c r="Y735" s="462">
        <f t="shared" si="17"/>
        <v>0</v>
      </c>
      <c r="Z735" s="463"/>
      <c r="AA735" s="464"/>
      <c r="AB735" s="465"/>
      <c r="AC735" s="465"/>
      <c r="AD735" s="465"/>
      <c r="AE735" s="466"/>
      <c r="AF735" s="449"/>
      <c r="AG735" s="449"/>
      <c r="AH735" s="449"/>
    </row>
    <row r="736" ht="11.25" customHeight="1">
      <c r="A736" s="450"/>
      <c r="B736" s="451"/>
      <c r="C736" s="452"/>
      <c r="D736" s="452"/>
      <c r="E736" s="453"/>
      <c r="F736" s="453"/>
      <c r="G736" s="454"/>
      <c r="H736" s="454"/>
      <c r="I736" s="455"/>
      <c r="J736" s="456"/>
      <c r="K736" s="467" t="s">
        <v>1417</v>
      </c>
      <c r="L736" s="468"/>
      <c r="M736" s="469"/>
      <c r="N736" s="470"/>
      <c r="O736" s="470"/>
      <c r="P736" s="471"/>
      <c r="Q736" s="468"/>
      <c r="R736" s="469"/>
      <c r="S736" s="469"/>
      <c r="T736" s="469"/>
      <c r="U736" s="469"/>
      <c r="V736" s="469"/>
      <c r="W736" s="469"/>
      <c r="X736" s="469"/>
      <c r="Y736" s="462">
        <f t="shared" si="17"/>
        <v>0</v>
      </c>
      <c r="Z736" s="463"/>
      <c r="AA736" s="464"/>
      <c r="AB736" s="465"/>
      <c r="AC736" s="465"/>
      <c r="AD736" s="465"/>
      <c r="AE736" s="466"/>
      <c r="AF736" s="449"/>
      <c r="AG736" s="449"/>
      <c r="AH736" s="449"/>
    </row>
    <row r="737" ht="11.25" customHeight="1">
      <c r="A737" s="450"/>
      <c r="B737" s="472"/>
      <c r="C737" s="473"/>
      <c r="D737" s="473"/>
      <c r="E737" s="474"/>
      <c r="F737" s="474"/>
      <c r="G737" s="475"/>
      <c r="H737" s="475"/>
      <c r="I737" s="476"/>
      <c r="J737" s="477"/>
      <c r="K737" s="478" t="s">
        <v>1418</v>
      </c>
      <c r="L737" s="479"/>
      <c r="M737" s="480"/>
      <c r="N737" s="481"/>
      <c r="O737" s="481"/>
      <c r="P737" s="482"/>
      <c r="Q737" s="479"/>
      <c r="R737" s="480"/>
      <c r="S737" s="480"/>
      <c r="T737" s="480"/>
      <c r="U737" s="480"/>
      <c r="V737" s="480"/>
      <c r="W737" s="480"/>
      <c r="X737" s="480"/>
      <c r="Y737" s="483">
        <f t="shared" si="17"/>
        <v>0</v>
      </c>
      <c r="Z737" s="484"/>
      <c r="AA737" s="485"/>
      <c r="AB737" s="486"/>
      <c r="AC737" s="486"/>
      <c r="AD737" s="486"/>
      <c r="AE737" s="487"/>
      <c r="AF737" s="449"/>
      <c r="AG737" s="449"/>
      <c r="AH737" s="449"/>
    </row>
    <row r="738" ht="11.25" customHeight="1">
      <c r="A738" s="431" t="str">
        <f>IF(B738="","", YEAR(B738))</f>
        <v/>
      </c>
      <c r="B738" s="432"/>
      <c r="C738" s="433"/>
      <c r="D738" s="433"/>
      <c r="E738" s="434" t="str">
        <f t="shared" ref="E738:I738" si="376">IFERROR(AVERAGE(L738:L741),"")</f>
        <v/>
      </c>
      <c r="F738" s="434" t="str">
        <f t="shared" si="376"/>
        <v/>
      </c>
      <c r="G738" s="435" t="str">
        <f t="shared" si="376"/>
        <v/>
      </c>
      <c r="H738" s="435" t="str">
        <f t="shared" si="376"/>
        <v/>
      </c>
      <c r="I738" s="436" t="str">
        <f t="shared" si="376"/>
        <v/>
      </c>
      <c r="J738" s="437">
        <f>SUMIFS(PRODUCTION[KG],PRODUCTION[GRADE],"3X50",PRODUCTION[DATE],B738,PRODUCTION[BATCH],C738,PRODUCTION[SHIFT],D738)</f>
        <v>0</v>
      </c>
      <c r="K738" s="438" t="s">
        <v>1414</v>
      </c>
      <c r="L738" s="443"/>
      <c r="M738" s="440"/>
      <c r="N738" s="441"/>
      <c r="O738" s="441"/>
      <c r="P738" s="442"/>
      <c r="Q738" s="443"/>
      <c r="R738" s="440"/>
      <c r="S738" s="440"/>
      <c r="T738" s="440"/>
      <c r="U738" s="440"/>
      <c r="V738" s="440"/>
      <c r="W738" s="440"/>
      <c r="X738" s="440"/>
      <c r="Y738" s="444">
        <f t="shared" si="17"/>
        <v>0</v>
      </c>
      <c r="Z738" s="445"/>
      <c r="AA738" s="446">
        <f t="shared" ref="AA738:AE738" si="377">$J738*E738</f>
        <v>0</v>
      </c>
      <c r="AB738" s="447">
        <f t="shared" si="377"/>
        <v>0</v>
      </c>
      <c r="AC738" s="447">
        <f t="shared" si="377"/>
        <v>0</v>
      </c>
      <c r="AD738" s="447">
        <f t="shared" si="377"/>
        <v>0</v>
      </c>
      <c r="AE738" s="448">
        <f t="shared" si="377"/>
        <v>0</v>
      </c>
      <c r="AF738" s="449"/>
      <c r="AG738" s="449"/>
      <c r="AH738" s="449"/>
    </row>
    <row r="739" ht="11.25" customHeight="1">
      <c r="A739" s="450"/>
      <c r="B739" s="451"/>
      <c r="C739" s="452"/>
      <c r="D739" s="452"/>
      <c r="E739" s="453"/>
      <c r="F739" s="453"/>
      <c r="G739" s="454"/>
      <c r="H739" s="454"/>
      <c r="I739" s="455"/>
      <c r="J739" s="456"/>
      <c r="K739" s="457" t="s">
        <v>1416</v>
      </c>
      <c r="L739" s="458"/>
      <c r="M739" s="459"/>
      <c r="N739" s="460"/>
      <c r="O739" s="460"/>
      <c r="P739" s="461"/>
      <c r="Q739" s="458"/>
      <c r="R739" s="459"/>
      <c r="S739" s="459"/>
      <c r="T739" s="459"/>
      <c r="U739" s="459"/>
      <c r="V739" s="459"/>
      <c r="W739" s="459"/>
      <c r="X739" s="459"/>
      <c r="Y739" s="462">
        <f t="shared" si="17"/>
        <v>0</v>
      </c>
      <c r="Z739" s="463"/>
      <c r="AA739" s="464"/>
      <c r="AB739" s="465"/>
      <c r="AC739" s="465"/>
      <c r="AD739" s="465"/>
      <c r="AE739" s="466"/>
      <c r="AF739" s="449"/>
      <c r="AG739" s="449"/>
      <c r="AH739" s="449"/>
    </row>
    <row r="740" ht="11.25" customHeight="1">
      <c r="A740" s="450"/>
      <c r="B740" s="451"/>
      <c r="C740" s="452"/>
      <c r="D740" s="452"/>
      <c r="E740" s="453"/>
      <c r="F740" s="453"/>
      <c r="G740" s="454"/>
      <c r="H740" s="454"/>
      <c r="I740" s="455"/>
      <c r="J740" s="456"/>
      <c r="K740" s="467" t="s">
        <v>1417</v>
      </c>
      <c r="L740" s="468"/>
      <c r="M740" s="469"/>
      <c r="N740" s="470"/>
      <c r="O740" s="470"/>
      <c r="P740" s="471"/>
      <c r="Q740" s="468"/>
      <c r="R740" s="469"/>
      <c r="S740" s="469"/>
      <c r="T740" s="469"/>
      <c r="U740" s="469"/>
      <c r="V740" s="469"/>
      <c r="W740" s="469"/>
      <c r="X740" s="469"/>
      <c r="Y740" s="462">
        <f t="shared" si="17"/>
        <v>0</v>
      </c>
      <c r="Z740" s="463"/>
      <c r="AA740" s="464"/>
      <c r="AB740" s="465"/>
      <c r="AC740" s="465"/>
      <c r="AD740" s="465"/>
      <c r="AE740" s="466"/>
      <c r="AF740" s="449"/>
      <c r="AG740" s="449"/>
      <c r="AH740" s="449"/>
    </row>
    <row r="741" ht="11.25" customHeight="1">
      <c r="A741" s="450"/>
      <c r="B741" s="472"/>
      <c r="C741" s="473"/>
      <c r="D741" s="473"/>
      <c r="E741" s="474"/>
      <c r="F741" s="474"/>
      <c r="G741" s="475"/>
      <c r="H741" s="475"/>
      <c r="I741" s="476"/>
      <c r="J741" s="477"/>
      <c r="K741" s="478" t="s">
        <v>1418</v>
      </c>
      <c r="L741" s="479"/>
      <c r="M741" s="480"/>
      <c r="N741" s="481"/>
      <c r="O741" s="481"/>
      <c r="P741" s="482"/>
      <c r="Q741" s="479"/>
      <c r="R741" s="480"/>
      <c r="S741" s="480"/>
      <c r="T741" s="480"/>
      <c r="U741" s="480"/>
      <c r="V741" s="480"/>
      <c r="W741" s="480"/>
      <c r="X741" s="480"/>
      <c r="Y741" s="483">
        <f t="shared" si="17"/>
        <v>0</v>
      </c>
      <c r="Z741" s="484"/>
      <c r="AA741" s="485"/>
      <c r="AB741" s="486"/>
      <c r="AC741" s="486"/>
      <c r="AD741" s="486"/>
      <c r="AE741" s="487"/>
      <c r="AF741" s="449"/>
      <c r="AG741" s="449"/>
      <c r="AH741" s="449"/>
    </row>
    <row r="742" ht="11.25" customHeight="1">
      <c r="A742" s="431" t="str">
        <f>IF(B742="","", YEAR(B742))</f>
        <v/>
      </c>
      <c r="B742" s="432"/>
      <c r="C742" s="433"/>
      <c r="D742" s="433"/>
      <c r="E742" s="434" t="str">
        <f t="shared" ref="E742:I742" si="378">IFERROR(AVERAGE(L742:L745),"")</f>
        <v/>
      </c>
      <c r="F742" s="434" t="str">
        <f t="shared" si="378"/>
        <v/>
      </c>
      <c r="G742" s="435" t="str">
        <f t="shared" si="378"/>
        <v/>
      </c>
      <c r="H742" s="435" t="str">
        <f t="shared" si="378"/>
        <v/>
      </c>
      <c r="I742" s="436" t="str">
        <f t="shared" si="378"/>
        <v/>
      </c>
      <c r="J742" s="437">
        <f>SUMIFS(PRODUCTION[KG],PRODUCTION[GRADE],"3X50",PRODUCTION[DATE],B742,PRODUCTION[BATCH],C742,PRODUCTION[SHIFT],D742)</f>
        <v>0</v>
      </c>
      <c r="K742" s="438" t="s">
        <v>1414</v>
      </c>
      <c r="L742" s="443"/>
      <c r="M742" s="440"/>
      <c r="N742" s="441"/>
      <c r="O742" s="441"/>
      <c r="P742" s="442"/>
      <c r="Q742" s="443"/>
      <c r="R742" s="440"/>
      <c r="S742" s="440"/>
      <c r="T742" s="440"/>
      <c r="U742" s="440"/>
      <c r="V742" s="440"/>
      <c r="W742" s="440"/>
      <c r="X742" s="440"/>
      <c r="Y742" s="444">
        <f t="shared" si="17"/>
        <v>0</v>
      </c>
      <c r="Z742" s="445"/>
      <c r="AA742" s="446">
        <f t="shared" ref="AA742:AE742" si="379">$J742*E742</f>
        <v>0</v>
      </c>
      <c r="AB742" s="447">
        <f t="shared" si="379"/>
        <v>0</v>
      </c>
      <c r="AC742" s="447">
        <f t="shared" si="379"/>
        <v>0</v>
      </c>
      <c r="AD742" s="447">
        <f t="shared" si="379"/>
        <v>0</v>
      </c>
      <c r="AE742" s="448">
        <f t="shared" si="379"/>
        <v>0</v>
      </c>
      <c r="AF742" s="449"/>
      <c r="AG742" s="449"/>
      <c r="AH742" s="449"/>
    </row>
    <row r="743" ht="11.25" customHeight="1">
      <c r="A743" s="450"/>
      <c r="B743" s="451"/>
      <c r="C743" s="452"/>
      <c r="D743" s="452"/>
      <c r="E743" s="453"/>
      <c r="F743" s="453"/>
      <c r="G743" s="454"/>
      <c r="H743" s="454"/>
      <c r="I743" s="455"/>
      <c r="J743" s="456"/>
      <c r="K743" s="457" t="s">
        <v>1416</v>
      </c>
      <c r="L743" s="458"/>
      <c r="M743" s="459"/>
      <c r="N743" s="460"/>
      <c r="O743" s="460"/>
      <c r="P743" s="461"/>
      <c r="Q743" s="458"/>
      <c r="R743" s="459"/>
      <c r="S743" s="459"/>
      <c r="T743" s="459"/>
      <c r="U743" s="459"/>
      <c r="V743" s="459"/>
      <c r="W743" s="459"/>
      <c r="X743" s="459"/>
      <c r="Y743" s="462">
        <f t="shared" si="17"/>
        <v>0</v>
      </c>
      <c r="Z743" s="463"/>
      <c r="AA743" s="464"/>
      <c r="AB743" s="465"/>
      <c r="AC743" s="465"/>
      <c r="AD743" s="465"/>
      <c r="AE743" s="466"/>
      <c r="AF743" s="449"/>
      <c r="AG743" s="449"/>
      <c r="AH743" s="449"/>
    </row>
    <row r="744" ht="11.25" customHeight="1">
      <c r="A744" s="450"/>
      <c r="B744" s="451"/>
      <c r="C744" s="452"/>
      <c r="D744" s="452"/>
      <c r="E744" s="453"/>
      <c r="F744" s="453"/>
      <c r="G744" s="454"/>
      <c r="H744" s="454"/>
      <c r="I744" s="455"/>
      <c r="J744" s="456"/>
      <c r="K744" s="467" t="s">
        <v>1417</v>
      </c>
      <c r="L744" s="468"/>
      <c r="M744" s="469"/>
      <c r="N744" s="470"/>
      <c r="O744" s="470"/>
      <c r="P744" s="471"/>
      <c r="Q744" s="468"/>
      <c r="R744" s="469"/>
      <c r="S744" s="469"/>
      <c r="T744" s="469"/>
      <c r="U744" s="469"/>
      <c r="V744" s="469"/>
      <c r="W744" s="469"/>
      <c r="X744" s="469"/>
      <c r="Y744" s="462">
        <f t="shared" si="17"/>
        <v>0</v>
      </c>
      <c r="Z744" s="463"/>
      <c r="AA744" s="464"/>
      <c r="AB744" s="465"/>
      <c r="AC744" s="465"/>
      <c r="AD744" s="465"/>
      <c r="AE744" s="466"/>
      <c r="AF744" s="449"/>
      <c r="AG744" s="449"/>
      <c r="AH744" s="449"/>
    </row>
    <row r="745" ht="11.25" customHeight="1">
      <c r="A745" s="450"/>
      <c r="B745" s="472"/>
      <c r="C745" s="473"/>
      <c r="D745" s="473"/>
      <c r="E745" s="474"/>
      <c r="F745" s="474"/>
      <c r="G745" s="475"/>
      <c r="H745" s="475"/>
      <c r="I745" s="476"/>
      <c r="J745" s="477"/>
      <c r="K745" s="478" t="s">
        <v>1418</v>
      </c>
      <c r="L745" s="479"/>
      <c r="M745" s="480"/>
      <c r="N745" s="481"/>
      <c r="O745" s="481"/>
      <c r="P745" s="482"/>
      <c r="Q745" s="479"/>
      <c r="R745" s="480"/>
      <c r="S745" s="480"/>
      <c r="T745" s="480"/>
      <c r="U745" s="480"/>
      <c r="V745" s="480"/>
      <c r="W745" s="480"/>
      <c r="X745" s="480"/>
      <c r="Y745" s="483">
        <f t="shared" si="17"/>
        <v>0</v>
      </c>
      <c r="Z745" s="484"/>
      <c r="AA745" s="485"/>
      <c r="AB745" s="486"/>
      <c r="AC745" s="486"/>
      <c r="AD745" s="486"/>
      <c r="AE745" s="487"/>
      <c r="AF745" s="449"/>
      <c r="AG745" s="449"/>
      <c r="AH745" s="449"/>
    </row>
    <row r="746" ht="11.25" customHeight="1">
      <c r="A746" s="431" t="str">
        <f>IF(B746="","", YEAR(B746))</f>
        <v/>
      </c>
      <c r="B746" s="432"/>
      <c r="C746" s="433"/>
      <c r="D746" s="433"/>
      <c r="E746" s="434" t="str">
        <f t="shared" ref="E746:I746" si="380">IFERROR(AVERAGE(L746:L749),"")</f>
        <v/>
      </c>
      <c r="F746" s="434" t="str">
        <f t="shared" si="380"/>
        <v/>
      </c>
      <c r="G746" s="435" t="str">
        <f t="shared" si="380"/>
        <v/>
      </c>
      <c r="H746" s="435" t="str">
        <f t="shared" si="380"/>
        <v/>
      </c>
      <c r="I746" s="436" t="str">
        <f t="shared" si="380"/>
        <v/>
      </c>
      <c r="J746" s="437">
        <f>SUMIFS(PRODUCTION[KG],PRODUCTION[GRADE],"3X50",PRODUCTION[DATE],B746,PRODUCTION[BATCH],C746,PRODUCTION[SHIFT],D746)</f>
        <v>0</v>
      </c>
      <c r="K746" s="438" t="s">
        <v>1414</v>
      </c>
      <c r="L746" s="443"/>
      <c r="M746" s="440"/>
      <c r="N746" s="441"/>
      <c r="O746" s="441"/>
      <c r="P746" s="442"/>
      <c r="Q746" s="443"/>
      <c r="R746" s="440"/>
      <c r="S746" s="440"/>
      <c r="T746" s="440"/>
      <c r="U746" s="440"/>
      <c r="V746" s="440"/>
      <c r="W746" s="440"/>
      <c r="X746" s="440"/>
      <c r="Y746" s="444">
        <f t="shared" si="17"/>
        <v>0</v>
      </c>
      <c r="Z746" s="445"/>
      <c r="AA746" s="446">
        <f t="shared" ref="AA746:AE746" si="381">$J746*E746</f>
        <v>0</v>
      </c>
      <c r="AB746" s="447">
        <f t="shared" si="381"/>
        <v>0</v>
      </c>
      <c r="AC746" s="447">
        <f t="shared" si="381"/>
        <v>0</v>
      </c>
      <c r="AD746" s="447">
        <f t="shared" si="381"/>
        <v>0</v>
      </c>
      <c r="AE746" s="448">
        <f t="shared" si="381"/>
        <v>0</v>
      </c>
      <c r="AF746" s="449"/>
      <c r="AG746" s="449"/>
      <c r="AH746" s="449"/>
    </row>
    <row r="747" ht="11.25" customHeight="1">
      <c r="A747" s="450"/>
      <c r="B747" s="451"/>
      <c r="C747" s="452"/>
      <c r="D747" s="452"/>
      <c r="E747" s="453"/>
      <c r="F747" s="453"/>
      <c r="G747" s="454"/>
      <c r="H747" s="454"/>
      <c r="I747" s="455"/>
      <c r="J747" s="456"/>
      <c r="K747" s="457" t="s">
        <v>1416</v>
      </c>
      <c r="L747" s="458"/>
      <c r="M747" s="459"/>
      <c r="N747" s="460"/>
      <c r="O747" s="460"/>
      <c r="P747" s="461"/>
      <c r="Q747" s="458"/>
      <c r="R747" s="459"/>
      <c r="S747" s="459"/>
      <c r="T747" s="459"/>
      <c r="U747" s="459"/>
      <c r="V747" s="459"/>
      <c r="W747" s="459"/>
      <c r="X747" s="459"/>
      <c r="Y747" s="462">
        <f t="shared" si="17"/>
        <v>0</v>
      </c>
      <c r="Z747" s="463"/>
      <c r="AA747" s="464"/>
      <c r="AB747" s="465"/>
      <c r="AC747" s="465"/>
      <c r="AD747" s="465"/>
      <c r="AE747" s="466"/>
      <c r="AF747" s="449"/>
      <c r="AG747" s="449"/>
      <c r="AH747" s="449"/>
    </row>
    <row r="748" ht="11.25" customHeight="1">
      <c r="A748" s="450"/>
      <c r="B748" s="451"/>
      <c r="C748" s="452"/>
      <c r="D748" s="452"/>
      <c r="E748" s="453"/>
      <c r="F748" s="453"/>
      <c r="G748" s="454"/>
      <c r="H748" s="454"/>
      <c r="I748" s="455"/>
      <c r="J748" s="456"/>
      <c r="K748" s="467" t="s">
        <v>1417</v>
      </c>
      <c r="L748" s="468"/>
      <c r="M748" s="469"/>
      <c r="N748" s="470"/>
      <c r="O748" s="470"/>
      <c r="P748" s="471"/>
      <c r="Q748" s="468"/>
      <c r="R748" s="469"/>
      <c r="S748" s="469"/>
      <c r="T748" s="469"/>
      <c r="U748" s="469"/>
      <c r="V748" s="469"/>
      <c r="W748" s="469"/>
      <c r="X748" s="469"/>
      <c r="Y748" s="462">
        <f t="shared" si="17"/>
        <v>0</v>
      </c>
      <c r="Z748" s="463"/>
      <c r="AA748" s="464"/>
      <c r="AB748" s="465"/>
      <c r="AC748" s="465"/>
      <c r="AD748" s="465"/>
      <c r="AE748" s="466"/>
      <c r="AF748" s="449"/>
      <c r="AG748" s="449"/>
      <c r="AH748" s="449"/>
    </row>
    <row r="749" ht="11.25" customHeight="1">
      <c r="A749" s="450"/>
      <c r="B749" s="472"/>
      <c r="C749" s="473"/>
      <c r="D749" s="473"/>
      <c r="E749" s="474"/>
      <c r="F749" s="474"/>
      <c r="G749" s="475"/>
      <c r="H749" s="475"/>
      <c r="I749" s="476"/>
      <c r="J749" s="477"/>
      <c r="K749" s="478" t="s">
        <v>1418</v>
      </c>
      <c r="L749" s="479"/>
      <c r="M749" s="480"/>
      <c r="N749" s="481"/>
      <c r="O749" s="481"/>
      <c r="P749" s="482"/>
      <c r="Q749" s="479"/>
      <c r="R749" s="480"/>
      <c r="S749" s="480"/>
      <c r="T749" s="480"/>
      <c r="U749" s="480"/>
      <c r="V749" s="480"/>
      <c r="W749" s="480"/>
      <c r="X749" s="480"/>
      <c r="Y749" s="483">
        <f t="shared" si="17"/>
        <v>0</v>
      </c>
      <c r="Z749" s="484"/>
      <c r="AA749" s="485"/>
      <c r="AB749" s="486"/>
      <c r="AC749" s="486"/>
      <c r="AD749" s="486"/>
      <c r="AE749" s="487"/>
      <c r="AF749" s="449"/>
      <c r="AG749" s="449"/>
      <c r="AH749" s="449"/>
    </row>
    <row r="750" ht="11.25" customHeight="1">
      <c r="A750" s="431" t="str">
        <f>IF(B750="","", YEAR(B750))</f>
        <v/>
      </c>
      <c r="B750" s="432"/>
      <c r="C750" s="433"/>
      <c r="D750" s="433"/>
      <c r="E750" s="434" t="str">
        <f t="shared" ref="E750:I750" si="382">IFERROR(AVERAGE(L750:L753),"")</f>
        <v/>
      </c>
      <c r="F750" s="434" t="str">
        <f t="shared" si="382"/>
        <v/>
      </c>
      <c r="G750" s="435" t="str">
        <f t="shared" si="382"/>
        <v/>
      </c>
      <c r="H750" s="435" t="str">
        <f t="shared" si="382"/>
        <v/>
      </c>
      <c r="I750" s="436" t="str">
        <f t="shared" si="382"/>
        <v/>
      </c>
      <c r="J750" s="437">
        <f>SUMIFS(PRODUCTION[KG],PRODUCTION[GRADE],"3X50",PRODUCTION[DATE],B750,PRODUCTION[BATCH],C750,PRODUCTION[SHIFT],D750)</f>
        <v>0</v>
      </c>
      <c r="K750" s="438" t="s">
        <v>1414</v>
      </c>
      <c r="L750" s="443"/>
      <c r="M750" s="440"/>
      <c r="N750" s="441"/>
      <c r="O750" s="441"/>
      <c r="P750" s="442"/>
      <c r="Q750" s="443"/>
      <c r="R750" s="440"/>
      <c r="S750" s="440"/>
      <c r="T750" s="440"/>
      <c r="U750" s="440"/>
      <c r="V750" s="440"/>
      <c r="W750" s="440"/>
      <c r="X750" s="440"/>
      <c r="Y750" s="444">
        <f t="shared" si="17"/>
        <v>0</v>
      </c>
      <c r="Z750" s="445"/>
      <c r="AA750" s="446">
        <f t="shared" ref="AA750:AE750" si="383">$J750*E750</f>
        <v>0</v>
      </c>
      <c r="AB750" s="447">
        <f t="shared" si="383"/>
        <v>0</v>
      </c>
      <c r="AC750" s="447">
        <f t="shared" si="383"/>
        <v>0</v>
      </c>
      <c r="AD750" s="447">
        <f t="shared" si="383"/>
        <v>0</v>
      </c>
      <c r="AE750" s="448">
        <f t="shared" si="383"/>
        <v>0</v>
      </c>
      <c r="AF750" s="449"/>
      <c r="AG750" s="449"/>
      <c r="AH750" s="449"/>
    </row>
    <row r="751" ht="11.25" customHeight="1">
      <c r="A751" s="450"/>
      <c r="B751" s="451"/>
      <c r="C751" s="452"/>
      <c r="D751" s="452"/>
      <c r="E751" s="453"/>
      <c r="F751" s="453"/>
      <c r="G751" s="454"/>
      <c r="H751" s="454"/>
      <c r="I751" s="455"/>
      <c r="J751" s="456"/>
      <c r="K751" s="457" t="s">
        <v>1416</v>
      </c>
      <c r="L751" s="458"/>
      <c r="M751" s="459"/>
      <c r="N751" s="460"/>
      <c r="O751" s="460"/>
      <c r="P751" s="461"/>
      <c r="Q751" s="458"/>
      <c r="R751" s="459"/>
      <c r="S751" s="459"/>
      <c r="T751" s="459"/>
      <c r="U751" s="459"/>
      <c r="V751" s="459"/>
      <c r="W751" s="459"/>
      <c r="X751" s="459"/>
      <c r="Y751" s="462">
        <f t="shared" si="17"/>
        <v>0</v>
      </c>
      <c r="Z751" s="463"/>
      <c r="AA751" s="464"/>
      <c r="AB751" s="465"/>
      <c r="AC751" s="465"/>
      <c r="AD751" s="465"/>
      <c r="AE751" s="466"/>
      <c r="AF751" s="449"/>
      <c r="AG751" s="449"/>
      <c r="AH751" s="449"/>
    </row>
    <row r="752" ht="11.25" customHeight="1">
      <c r="A752" s="450"/>
      <c r="B752" s="451"/>
      <c r="C752" s="452"/>
      <c r="D752" s="452"/>
      <c r="E752" s="453"/>
      <c r="F752" s="453"/>
      <c r="G752" s="454"/>
      <c r="H752" s="454"/>
      <c r="I752" s="455"/>
      <c r="J752" s="456"/>
      <c r="K752" s="467" t="s">
        <v>1417</v>
      </c>
      <c r="L752" s="468"/>
      <c r="M752" s="469"/>
      <c r="N752" s="470"/>
      <c r="O752" s="470"/>
      <c r="P752" s="471"/>
      <c r="Q752" s="468"/>
      <c r="R752" s="469"/>
      <c r="S752" s="469"/>
      <c r="T752" s="469"/>
      <c r="U752" s="469"/>
      <c r="V752" s="469"/>
      <c r="W752" s="469"/>
      <c r="X752" s="469"/>
      <c r="Y752" s="462">
        <f t="shared" si="17"/>
        <v>0</v>
      </c>
      <c r="Z752" s="463"/>
      <c r="AA752" s="464"/>
      <c r="AB752" s="465"/>
      <c r="AC752" s="465"/>
      <c r="AD752" s="465"/>
      <c r="AE752" s="466"/>
      <c r="AF752" s="449"/>
      <c r="AG752" s="449"/>
      <c r="AH752" s="449"/>
    </row>
    <row r="753" ht="11.25" customHeight="1">
      <c r="A753" s="450"/>
      <c r="B753" s="472"/>
      <c r="C753" s="473"/>
      <c r="D753" s="473"/>
      <c r="E753" s="474"/>
      <c r="F753" s="474"/>
      <c r="G753" s="475"/>
      <c r="H753" s="475"/>
      <c r="I753" s="476"/>
      <c r="J753" s="477"/>
      <c r="K753" s="478" t="s">
        <v>1418</v>
      </c>
      <c r="L753" s="479"/>
      <c r="M753" s="480"/>
      <c r="N753" s="481"/>
      <c r="O753" s="481"/>
      <c r="P753" s="482"/>
      <c r="Q753" s="479"/>
      <c r="R753" s="480"/>
      <c r="S753" s="480"/>
      <c r="T753" s="480"/>
      <c r="U753" s="480"/>
      <c r="V753" s="480"/>
      <c r="W753" s="480"/>
      <c r="X753" s="480"/>
      <c r="Y753" s="483">
        <f t="shared" si="17"/>
        <v>0</v>
      </c>
      <c r="Z753" s="484"/>
      <c r="AA753" s="485"/>
      <c r="AB753" s="486"/>
      <c r="AC753" s="486"/>
      <c r="AD753" s="486"/>
      <c r="AE753" s="487"/>
      <c r="AF753" s="449"/>
      <c r="AG753" s="449"/>
      <c r="AH753" s="449"/>
    </row>
    <row r="754" ht="11.25" customHeight="1">
      <c r="A754" s="431" t="str">
        <f>IF(B754="","", YEAR(B754))</f>
        <v/>
      </c>
      <c r="B754" s="432"/>
      <c r="C754" s="433"/>
      <c r="D754" s="433"/>
      <c r="E754" s="434" t="str">
        <f t="shared" ref="E754:I754" si="384">IFERROR(AVERAGE(L754:L757),"")</f>
        <v/>
      </c>
      <c r="F754" s="434" t="str">
        <f t="shared" si="384"/>
        <v/>
      </c>
      <c r="G754" s="435" t="str">
        <f t="shared" si="384"/>
        <v/>
      </c>
      <c r="H754" s="435" t="str">
        <f t="shared" si="384"/>
        <v/>
      </c>
      <c r="I754" s="436" t="str">
        <f t="shared" si="384"/>
        <v/>
      </c>
      <c r="J754" s="437">
        <f>SUMIFS(PRODUCTION[KG],PRODUCTION[GRADE],"3X50",PRODUCTION[DATE],B754,PRODUCTION[BATCH],C754,PRODUCTION[SHIFT],D754)</f>
        <v>0</v>
      </c>
      <c r="K754" s="438" t="s">
        <v>1414</v>
      </c>
      <c r="L754" s="443"/>
      <c r="M754" s="440"/>
      <c r="N754" s="441"/>
      <c r="O754" s="441"/>
      <c r="P754" s="442"/>
      <c r="Q754" s="443"/>
      <c r="R754" s="440"/>
      <c r="S754" s="440"/>
      <c r="T754" s="440"/>
      <c r="U754" s="440"/>
      <c r="V754" s="440"/>
      <c r="W754" s="440"/>
      <c r="X754" s="440"/>
      <c r="Y754" s="444">
        <f t="shared" si="17"/>
        <v>0</v>
      </c>
      <c r="Z754" s="445"/>
      <c r="AA754" s="446">
        <f t="shared" ref="AA754:AE754" si="385">$J754*E754</f>
        <v>0</v>
      </c>
      <c r="AB754" s="447">
        <f t="shared" si="385"/>
        <v>0</v>
      </c>
      <c r="AC754" s="447">
        <f t="shared" si="385"/>
        <v>0</v>
      </c>
      <c r="AD754" s="447">
        <f t="shared" si="385"/>
        <v>0</v>
      </c>
      <c r="AE754" s="448">
        <f t="shared" si="385"/>
        <v>0</v>
      </c>
      <c r="AF754" s="449"/>
      <c r="AG754" s="449"/>
      <c r="AH754" s="449"/>
    </row>
    <row r="755" ht="11.25" customHeight="1">
      <c r="A755" s="450"/>
      <c r="B755" s="451"/>
      <c r="C755" s="452"/>
      <c r="D755" s="452"/>
      <c r="E755" s="453"/>
      <c r="F755" s="453"/>
      <c r="G755" s="454"/>
      <c r="H755" s="454"/>
      <c r="I755" s="455"/>
      <c r="J755" s="456"/>
      <c r="K755" s="457" t="s">
        <v>1416</v>
      </c>
      <c r="L755" s="458"/>
      <c r="M755" s="459"/>
      <c r="N755" s="460"/>
      <c r="O755" s="460"/>
      <c r="P755" s="461"/>
      <c r="Q755" s="458"/>
      <c r="R755" s="459"/>
      <c r="S755" s="459"/>
      <c r="T755" s="459"/>
      <c r="U755" s="459"/>
      <c r="V755" s="459"/>
      <c r="W755" s="459"/>
      <c r="X755" s="459"/>
      <c r="Y755" s="462">
        <f t="shared" si="17"/>
        <v>0</v>
      </c>
      <c r="Z755" s="463"/>
      <c r="AA755" s="464"/>
      <c r="AB755" s="465"/>
      <c r="AC755" s="465"/>
      <c r="AD755" s="465"/>
      <c r="AE755" s="466"/>
      <c r="AF755" s="449"/>
      <c r="AG755" s="449"/>
      <c r="AH755" s="449"/>
    </row>
    <row r="756" ht="11.25" customHeight="1">
      <c r="A756" s="450"/>
      <c r="B756" s="451"/>
      <c r="C756" s="452"/>
      <c r="D756" s="452"/>
      <c r="E756" s="453"/>
      <c r="F756" s="453"/>
      <c r="G756" s="454"/>
      <c r="H756" s="454"/>
      <c r="I756" s="455"/>
      <c r="J756" s="456"/>
      <c r="K756" s="467" t="s">
        <v>1417</v>
      </c>
      <c r="L756" s="468"/>
      <c r="M756" s="469"/>
      <c r="N756" s="470"/>
      <c r="O756" s="470"/>
      <c r="P756" s="471"/>
      <c r="Q756" s="468"/>
      <c r="R756" s="469"/>
      <c r="S756" s="469"/>
      <c r="T756" s="469"/>
      <c r="U756" s="469"/>
      <c r="V756" s="469"/>
      <c r="W756" s="469"/>
      <c r="X756" s="469"/>
      <c r="Y756" s="462">
        <f t="shared" si="17"/>
        <v>0</v>
      </c>
      <c r="Z756" s="463"/>
      <c r="AA756" s="464"/>
      <c r="AB756" s="465"/>
      <c r="AC756" s="465"/>
      <c r="AD756" s="465"/>
      <c r="AE756" s="466"/>
      <c r="AF756" s="449"/>
      <c r="AG756" s="449"/>
      <c r="AH756" s="449"/>
    </row>
    <row r="757" ht="11.25" customHeight="1">
      <c r="A757" s="450"/>
      <c r="B757" s="472"/>
      <c r="C757" s="473"/>
      <c r="D757" s="473"/>
      <c r="E757" s="474"/>
      <c r="F757" s="474"/>
      <c r="G757" s="475"/>
      <c r="H757" s="475"/>
      <c r="I757" s="476"/>
      <c r="J757" s="477"/>
      <c r="K757" s="478" t="s">
        <v>1418</v>
      </c>
      <c r="L757" s="479"/>
      <c r="M757" s="480"/>
      <c r="N757" s="481"/>
      <c r="O757" s="481"/>
      <c r="P757" s="482"/>
      <c r="Q757" s="479"/>
      <c r="R757" s="480"/>
      <c r="S757" s="480"/>
      <c r="T757" s="480"/>
      <c r="U757" s="480"/>
      <c r="V757" s="480"/>
      <c r="W757" s="480"/>
      <c r="X757" s="480"/>
      <c r="Y757" s="483">
        <f t="shared" si="17"/>
        <v>0</v>
      </c>
      <c r="Z757" s="484"/>
      <c r="AA757" s="485"/>
      <c r="AB757" s="486"/>
      <c r="AC757" s="486"/>
      <c r="AD757" s="486"/>
      <c r="AE757" s="487"/>
      <c r="AF757" s="449"/>
      <c r="AG757" s="449"/>
      <c r="AH757" s="449"/>
    </row>
    <row r="758" ht="11.25" customHeight="1">
      <c r="A758" s="431" t="str">
        <f>IF(B758="","", YEAR(B758))</f>
        <v/>
      </c>
      <c r="B758" s="432"/>
      <c r="C758" s="433"/>
      <c r="D758" s="433"/>
      <c r="E758" s="434" t="str">
        <f t="shared" ref="E758:I758" si="386">IFERROR(AVERAGE(L758:L761),"")</f>
        <v/>
      </c>
      <c r="F758" s="434" t="str">
        <f t="shared" si="386"/>
        <v/>
      </c>
      <c r="G758" s="435" t="str">
        <f t="shared" si="386"/>
        <v/>
      </c>
      <c r="H758" s="435" t="str">
        <f t="shared" si="386"/>
        <v/>
      </c>
      <c r="I758" s="436" t="str">
        <f t="shared" si="386"/>
        <v/>
      </c>
      <c r="J758" s="437">
        <f>SUMIFS(PRODUCTION[KG],PRODUCTION[GRADE],"3X50",PRODUCTION[DATE],B758,PRODUCTION[BATCH],C758,PRODUCTION[SHIFT],D758)</f>
        <v>0</v>
      </c>
      <c r="K758" s="438" t="s">
        <v>1414</v>
      </c>
      <c r="L758" s="443"/>
      <c r="M758" s="440"/>
      <c r="N758" s="441"/>
      <c r="O758" s="441"/>
      <c r="P758" s="442"/>
      <c r="Q758" s="443"/>
      <c r="R758" s="440"/>
      <c r="S758" s="440"/>
      <c r="T758" s="440"/>
      <c r="U758" s="440"/>
      <c r="V758" s="440"/>
      <c r="W758" s="440"/>
      <c r="X758" s="440"/>
      <c r="Y758" s="444">
        <f t="shared" si="17"/>
        <v>0</v>
      </c>
      <c r="Z758" s="445"/>
      <c r="AA758" s="446">
        <f t="shared" ref="AA758:AE758" si="387">$J758*E758</f>
        <v>0</v>
      </c>
      <c r="AB758" s="447">
        <f t="shared" si="387"/>
        <v>0</v>
      </c>
      <c r="AC758" s="447">
        <f t="shared" si="387"/>
        <v>0</v>
      </c>
      <c r="AD758" s="447">
        <f t="shared" si="387"/>
        <v>0</v>
      </c>
      <c r="AE758" s="448">
        <f t="shared" si="387"/>
        <v>0</v>
      </c>
      <c r="AF758" s="449"/>
      <c r="AG758" s="449"/>
      <c r="AH758" s="449"/>
    </row>
    <row r="759" ht="11.25" customHeight="1">
      <c r="A759" s="450"/>
      <c r="B759" s="451"/>
      <c r="C759" s="452"/>
      <c r="D759" s="452"/>
      <c r="E759" s="453"/>
      <c r="F759" s="453"/>
      <c r="G759" s="454"/>
      <c r="H759" s="454"/>
      <c r="I759" s="455"/>
      <c r="J759" s="456"/>
      <c r="K759" s="457" t="s">
        <v>1416</v>
      </c>
      <c r="L759" s="458"/>
      <c r="M759" s="459"/>
      <c r="N759" s="460"/>
      <c r="O759" s="460"/>
      <c r="P759" s="461"/>
      <c r="Q759" s="458"/>
      <c r="R759" s="459"/>
      <c r="S759" s="459"/>
      <c r="T759" s="459"/>
      <c r="U759" s="459"/>
      <c r="V759" s="459"/>
      <c r="W759" s="459"/>
      <c r="X759" s="459"/>
      <c r="Y759" s="462">
        <f t="shared" si="17"/>
        <v>0</v>
      </c>
      <c r="Z759" s="463"/>
      <c r="AA759" s="464"/>
      <c r="AB759" s="465"/>
      <c r="AC759" s="465"/>
      <c r="AD759" s="465"/>
      <c r="AE759" s="466"/>
      <c r="AF759" s="449"/>
      <c r="AG759" s="449"/>
      <c r="AH759" s="449"/>
    </row>
    <row r="760" ht="11.25" customHeight="1">
      <c r="A760" s="450"/>
      <c r="B760" s="451"/>
      <c r="C760" s="452"/>
      <c r="D760" s="452"/>
      <c r="E760" s="453"/>
      <c r="F760" s="453"/>
      <c r="G760" s="454"/>
      <c r="H760" s="454"/>
      <c r="I760" s="455"/>
      <c r="J760" s="456"/>
      <c r="K760" s="467" t="s">
        <v>1417</v>
      </c>
      <c r="L760" s="468"/>
      <c r="M760" s="469"/>
      <c r="N760" s="470"/>
      <c r="O760" s="470"/>
      <c r="P760" s="471"/>
      <c r="Q760" s="468"/>
      <c r="R760" s="469"/>
      <c r="S760" s="469"/>
      <c r="T760" s="469"/>
      <c r="U760" s="469"/>
      <c r="V760" s="469"/>
      <c r="W760" s="469"/>
      <c r="X760" s="469"/>
      <c r="Y760" s="462">
        <f t="shared" si="17"/>
        <v>0</v>
      </c>
      <c r="Z760" s="463"/>
      <c r="AA760" s="464"/>
      <c r="AB760" s="465"/>
      <c r="AC760" s="465"/>
      <c r="AD760" s="465"/>
      <c r="AE760" s="466"/>
      <c r="AF760" s="449"/>
      <c r="AG760" s="449"/>
      <c r="AH760" s="449"/>
    </row>
    <row r="761" ht="11.25" customHeight="1">
      <c r="A761" s="450"/>
      <c r="B761" s="472"/>
      <c r="C761" s="473"/>
      <c r="D761" s="473"/>
      <c r="E761" s="474"/>
      <c r="F761" s="474"/>
      <c r="G761" s="475"/>
      <c r="H761" s="475"/>
      <c r="I761" s="476"/>
      <c r="J761" s="477"/>
      <c r="K761" s="478" t="s">
        <v>1418</v>
      </c>
      <c r="L761" s="479"/>
      <c r="M761" s="480"/>
      <c r="N761" s="481"/>
      <c r="O761" s="481"/>
      <c r="P761" s="482"/>
      <c r="Q761" s="479"/>
      <c r="R761" s="480"/>
      <c r="S761" s="480"/>
      <c r="T761" s="480"/>
      <c r="U761" s="480"/>
      <c r="V761" s="480"/>
      <c r="W761" s="480"/>
      <c r="X761" s="480"/>
      <c r="Y761" s="483">
        <f t="shared" si="17"/>
        <v>0</v>
      </c>
      <c r="Z761" s="484"/>
      <c r="AA761" s="485"/>
      <c r="AB761" s="486"/>
      <c r="AC761" s="486"/>
      <c r="AD761" s="486"/>
      <c r="AE761" s="487"/>
      <c r="AF761" s="449"/>
      <c r="AG761" s="449"/>
      <c r="AH761" s="449"/>
    </row>
    <row r="762" ht="11.25" customHeight="1">
      <c r="A762" s="431" t="str">
        <f>IF(B762="","", YEAR(B762))</f>
        <v/>
      </c>
      <c r="B762" s="432"/>
      <c r="C762" s="433"/>
      <c r="D762" s="433"/>
      <c r="E762" s="434" t="str">
        <f t="shared" ref="E762:I762" si="388">IFERROR(AVERAGE(L762:L765),"")</f>
        <v/>
      </c>
      <c r="F762" s="434" t="str">
        <f t="shared" si="388"/>
        <v/>
      </c>
      <c r="G762" s="435" t="str">
        <f t="shared" si="388"/>
        <v/>
      </c>
      <c r="H762" s="435" t="str">
        <f t="shared" si="388"/>
        <v/>
      </c>
      <c r="I762" s="436" t="str">
        <f t="shared" si="388"/>
        <v/>
      </c>
      <c r="J762" s="437">
        <f>SUMIFS(PRODUCTION[KG],PRODUCTION[GRADE],"3X50",PRODUCTION[DATE],B762,PRODUCTION[BATCH],C762,PRODUCTION[SHIFT],D762)</f>
        <v>0</v>
      </c>
      <c r="K762" s="438" t="s">
        <v>1414</v>
      </c>
      <c r="L762" s="443"/>
      <c r="M762" s="440"/>
      <c r="N762" s="441"/>
      <c r="O762" s="441"/>
      <c r="P762" s="442"/>
      <c r="Q762" s="443"/>
      <c r="R762" s="440"/>
      <c r="S762" s="440"/>
      <c r="T762" s="440"/>
      <c r="U762" s="440"/>
      <c r="V762" s="440"/>
      <c r="W762" s="440"/>
      <c r="X762" s="440"/>
      <c r="Y762" s="444">
        <f t="shared" si="17"/>
        <v>0</v>
      </c>
      <c r="Z762" s="445"/>
      <c r="AA762" s="446">
        <f t="shared" ref="AA762:AE762" si="389">$J762*E762</f>
        <v>0</v>
      </c>
      <c r="AB762" s="447">
        <f t="shared" si="389"/>
        <v>0</v>
      </c>
      <c r="AC762" s="447">
        <f t="shared" si="389"/>
        <v>0</v>
      </c>
      <c r="AD762" s="447">
        <f t="shared" si="389"/>
        <v>0</v>
      </c>
      <c r="AE762" s="448">
        <f t="shared" si="389"/>
        <v>0</v>
      </c>
      <c r="AF762" s="449"/>
      <c r="AG762" s="449"/>
      <c r="AH762" s="449"/>
    </row>
    <row r="763" ht="11.25" customHeight="1">
      <c r="A763" s="450"/>
      <c r="B763" s="451"/>
      <c r="C763" s="452"/>
      <c r="D763" s="452"/>
      <c r="E763" s="453"/>
      <c r="F763" s="453"/>
      <c r="G763" s="454"/>
      <c r="H763" s="454"/>
      <c r="I763" s="455"/>
      <c r="J763" s="456"/>
      <c r="K763" s="457" t="s">
        <v>1416</v>
      </c>
      <c r="L763" s="458"/>
      <c r="M763" s="459"/>
      <c r="N763" s="460"/>
      <c r="O763" s="460"/>
      <c r="P763" s="461"/>
      <c r="Q763" s="458"/>
      <c r="R763" s="459"/>
      <c r="S763" s="459"/>
      <c r="T763" s="459"/>
      <c r="U763" s="459"/>
      <c r="V763" s="459"/>
      <c r="W763" s="459"/>
      <c r="X763" s="459"/>
      <c r="Y763" s="462">
        <f t="shared" si="17"/>
        <v>0</v>
      </c>
      <c r="Z763" s="463"/>
      <c r="AA763" s="464"/>
      <c r="AB763" s="465"/>
      <c r="AC763" s="465"/>
      <c r="AD763" s="465"/>
      <c r="AE763" s="466"/>
      <c r="AF763" s="449"/>
      <c r="AG763" s="449"/>
      <c r="AH763" s="449"/>
    </row>
    <row r="764" ht="11.25" customHeight="1">
      <c r="A764" s="450"/>
      <c r="B764" s="451"/>
      <c r="C764" s="452"/>
      <c r="D764" s="452"/>
      <c r="E764" s="453"/>
      <c r="F764" s="453"/>
      <c r="G764" s="454"/>
      <c r="H764" s="454"/>
      <c r="I764" s="455"/>
      <c r="J764" s="456"/>
      <c r="K764" s="467" t="s">
        <v>1417</v>
      </c>
      <c r="L764" s="468"/>
      <c r="M764" s="469"/>
      <c r="N764" s="470"/>
      <c r="O764" s="470"/>
      <c r="P764" s="471"/>
      <c r="Q764" s="468"/>
      <c r="R764" s="469"/>
      <c r="S764" s="469"/>
      <c r="T764" s="469"/>
      <c r="U764" s="469"/>
      <c r="V764" s="469"/>
      <c r="W764" s="469"/>
      <c r="X764" s="469"/>
      <c r="Y764" s="462">
        <f t="shared" si="17"/>
        <v>0</v>
      </c>
      <c r="Z764" s="463"/>
      <c r="AA764" s="464"/>
      <c r="AB764" s="465"/>
      <c r="AC764" s="465"/>
      <c r="AD764" s="465"/>
      <c r="AE764" s="466"/>
      <c r="AF764" s="449"/>
      <c r="AG764" s="449"/>
      <c r="AH764" s="449"/>
    </row>
    <row r="765" ht="11.25" customHeight="1">
      <c r="A765" s="450"/>
      <c r="B765" s="472"/>
      <c r="C765" s="473"/>
      <c r="D765" s="473"/>
      <c r="E765" s="474"/>
      <c r="F765" s="474"/>
      <c r="G765" s="475"/>
      <c r="H765" s="475"/>
      <c r="I765" s="476"/>
      <c r="J765" s="477"/>
      <c r="K765" s="478" t="s">
        <v>1418</v>
      </c>
      <c r="L765" s="479"/>
      <c r="M765" s="480"/>
      <c r="N765" s="481"/>
      <c r="O765" s="481"/>
      <c r="P765" s="482"/>
      <c r="Q765" s="479"/>
      <c r="R765" s="480"/>
      <c r="S765" s="480"/>
      <c r="T765" s="480"/>
      <c r="U765" s="480"/>
      <c r="V765" s="480"/>
      <c r="W765" s="480"/>
      <c r="X765" s="480"/>
      <c r="Y765" s="483">
        <f t="shared" si="17"/>
        <v>0</v>
      </c>
      <c r="Z765" s="484"/>
      <c r="AA765" s="485"/>
      <c r="AB765" s="486"/>
      <c r="AC765" s="486"/>
      <c r="AD765" s="486"/>
      <c r="AE765" s="487"/>
      <c r="AF765" s="449"/>
      <c r="AG765" s="449"/>
      <c r="AH765" s="449"/>
    </row>
    <row r="766" ht="11.25" customHeight="1">
      <c r="A766" s="431" t="str">
        <f>IF(B766="","", YEAR(B766))</f>
        <v/>
      </c>
      <c r="B766" s="432"/>
      <c r="C766" s="433"/>
      <c r="D766" s="433"/>
      <c r="E766" s="434" t="str">
        <f t="shared" ref="E766:I766" si="390">IFERROR(AVERAGE(L766:L769),"")</f>
        <v/>
      </c>
      <c r="F766" s="434" t="str">
        <f t="shared" si="390"/>
        <v/>
      </c>
      <c r="G766" s="435" t="str">
        <f t="shared" si="390"/>
        <v/>
      </c>
      <c r="H766" s="435" t="str">
        <f t="shared" si="390"/>
        <v/>
      </c>
      <c r="I766" s="436" t="str">
        <f t="shared" si="390"/>
        <v/>
      </c>
      <c r="J766" s="437">
        <f>SUMIFS(PRODUCTION[KG],PRODUCTION[GRADE],"3X50",PRODUCTION[DATE],B766,PRODUCTION[BATCH],C766,PRODUCTION[SHIFT],D766)</f>
        <v>0</v>
      </c>
      <c r="K766" s="438" t="s">
        <v>1414</v>
      </c>
      <c r="L766" s="443"/>
      <c r="M766" s="440"/>
      <c r="N766" s="441"/>
      <c r="O766" s="441"/>
      <c r="P766" s="442"/>
      <c r="Q766" s="443"/>
      <c r="R766" s="440"/>
      <c r="S766" s="440"/>
      <c r="T766" s="440"/>
      <c r="U766" s="440"/>
      <c r="V766" s="440"/>
      <c r="W766" s="440"/>
      <c r="X766" s="440"/>
      <c r="Y766" s="444">
        <f t="shared" si="17"/>
        <v>0</v>
      </c>
      <c r="Z766" s="445"/>
      <c r="AA766" s="446">
        <f t="shared" ref="AA766:AE766" si="391">$J766*E766</f>
        <v>0</v>
      </c>
      <c r="AB766" s="447">
        <f t="shared" si="391"/>
        <v>0</v>
      </c>
      <c r="AC766" s="447">
        <f t="shared" si="391"/>
        <v>0</v>
      </c>
      <c r="AD766" s="447">
        <f t="shared" si="391"/>
        <v>0</v>
      </c>
      <c r="AE766" s="448">
        <f t="shared" si="391"/>
        <v>0</v>
      </c>
      <c r="AF766" s="449"/>
      <c r="AG766" s="449"/>
      <c r="AH766" s="449"/>
    </row>
    <row r="767" ht="11.25" customHeight="1">
      <c r="A767" s="450"/>
      <c r="B767" s="451"/>
      <c r="C767" s="452"/>
      <c r="D767" s="452"/>
      <c r="E767" s="453"/>
      <c r="F767" s="453"/>
      <c r="G767" s="454"/>
      <c r="H767" s="454"/>
      <c r="I767" s="455"/>
      <c r="J767" s="456"/>
      <c r="K767" s="457" t="s">
        <v>1416</v>
      </c>
      <c r="L767" s="458"/>
      <c r="M767" s="459"/>
      <c r="N767" s="460"/>
      <c r="O767" s="460"/>
      <c r="P767" s="461"/>
      <c r="Q767" s="458"/>
      <c r="R767" s="459"/>
      <c r="S767" s="459"/>
      <c r="T767" s="459"/>
      <c r="U767" s="459"/>
      <c r="V767" s="459"/>
      <c r="W767" s="459"/>
      <c r="X767" s="459"/>
      <c r="Y767" s="462">
        <f t="shared" si="17"/>
        <v>0</v>
      </c>
      <c r="Z767" s="463"/>
      <c r="AA767" s="464"/>
      <c r="AB767" s="465"/>
      <c r="AC767" s="465"/>
      <c r="AD767" s="465"/>
      <c r="AE767" s="466"/>
      <c r="AF767" s="449"/>
      <c r="AG767" s="449"/>
      <c r="AH767" s="449"/>
    </row>
    <row r="768" ht="11.25" customHeight="1">
      <c r="A768" s="450"/>
      <c r="B768" s="451"/>
      <c r="C768" s="452"/>
      <c r="D768" s="452"/>
      <c r="E768" s="453"/>
      <c r="F768" s="453"/>
      <c r="G768" s="454"/>
      <c r="H768" s="454"/>
      <c r="I768" s="455"/>
      <c r="J768" s="456"/>
      <c r="K768" s="467" t="s">
        <v>1417</v>
      </c>
      <c r="L768" s="468"/>
      <c r="M768" s="469"/>
      <c r="N768" s="470"/>
      <c r="O768" s="470"/>
      <c r="P768" s="471"/>
      <c r="Q768" s="468"/>
      <c r="R768" s="469"/>
      <c r="S768" s="469"/>
      <c r="T768" s="469"/>
      <c r="U768" s="469"/>
      <c r="V768" s="469"/>
      <c r="W768" s="469"/>
      <c r="X768" s="469"/>
      <c r="Y768" s="462">
        <f t="shared" si="17"/>
        <v>0</v>
      </c>
      <c r="Z768" s="463"/>
      <c r="AA768" s="464"/>
      <c r="AB768" s="465"/>
      <c r="AC768" s="465"/>
      <c r="AD768" s="465"/>
      <c r="AE768" s="466"/>
      <c r="AF768" s="449"/>
      <c r="AG768" s="449"/>
      <c r="AH768" s="449"/>
    </row>
    <row r="769" ht="11.25" customHeight="1">
      <c r="A769" s="450"/>
      <c r="B769" s="472"/>
      <c r="C769" s="473"/>
      <c r="D769" s="473"/>
      <c r="E769" s="474"/>
      <c r="F769" s="474"/>
      <c r="G769" s="475"/>
      <c r="H769" s="475"/>
      <c r="I769" s="476"/>
      <c r="J769" s="477"/>
      <c r="K769" s="478" t="s">
        <v>1418</v>
      </c>
      <c r="L769" s="479"/>
      <c r="M769" s="480"/>
      <c r="N769" s="481"/>
      <c r="O769" s="481"/>
      <c r="P769" s="482"/>
      <c r="Q769" s="479"/>
      <c r="R769" s="480"/>
      <c r="S769" s="480"/>
      <c r="T769" s="480"/>
      <c r="U769" s="480"/>
      <c r="V769" s="480"/>
      <c r="W769" s="480"/>
      <c r="X769" s="480"/>
      <c r="Y769" s="483">
        <f t="shared" si="17"/>
        <v>0</v>
      </c>
      <c r="Z769" s="484"/>
      <c r="AA769" s="485"/>
      <c r="AB769" s="486"/>
      <c r="AC769" s="486"/>
      <c r="AD769" s="486"/>
      <c r="AE769" s="487"/>
      <c r="AF769" s="449"/>
      <c r="AG769" s="449"/>
      <c r="AH769" s="449"/>
    </row>
    <row r="770" ht="11.25" customHeight="1">
      <c r="A770" s="431" t="str">
        <f>IF(B770="","", YEAR(B770))</f>
        <v/>
      </c>
      <c r="B770" s="432"/>
      <c r="C770" s="433"/>
      <c r="D770" s="433"/>
      <c r="E770" s="434" t="str">
        <f t="shared" ref="E770:I770" si="392">IFERROR(AVERAGE(L770:L773),"")</f>
        <v/>
      </c>
      <c r="F770" s="434" t="str">
        <f t="shared" si="392"/>
        <v/>
      </c>
      <c r="G770" s="435" t="str">
        <f t="shared" si="392"/>
        <v/>
      </c>
      <c r="H770" s="435" t="str">
        <f t="shared" si="392"/>
        <v/>
      </c>
      <c r="I770" s="436" t="str">
        <f t="shared" si="392"/>
        <v/>
      </c>
      <c r="J770" s="437">
        <f>SUMIFS(PRODUCTION[KG],PRODUCTION[GRADE],"3X50",PRODUCTION[DATE],B770,PRODUCTION[BATCH],C770,PRODUCTION[SHIFT],D770)</f>
        <v>0</v>
      </c>
      <c r="K770" s="438" t="s">
        <v>1414</v>
      </c>
      <c r="L770" s="443"/>
      <c r="M770" s="440"/>
      <c r="N770" s="441"/>
      <c r="O770" s="441"/>
      <c r="P770" s="442"/>
      <c r="Q770" s="443"/>
      <c r="R770" s="440"/>
      <c r="S770" s="440"/>
      <c r="T770" s="440"/>
      <c r="U770" s="440"/>
      <c r="V770" s="440"/>
      <c r="W770" s="440"/>
      <c r="X770" s="440"/>
      <c r="Y770" s="444">
        <f t="shared" si="17"/>
        <v>0</v>
      </c>
      <c r="Z770" s="445"/>
      <c r="AA770" s="446">
        <f t="shared" ref="AA770:AE770" si="393">$J770*E770</f>
        <v>0</v>
      </c>
      <c r="AB770" s="447">
        <f t="shared" si="393"/>
        <v>0</v>
      </c>
      <c r="AC770" s="447">
        <f t="shared" si="393"/>
        <v>0</v>
      </c>
      <c r="AD770" s="447">
        <f t="shared" si="393"/>
        <v>0</v>
      </c>
      <c r="AE770" s="448">
        <f t="shared" si="393"/>
        <v>0</v>
      </c>
      <c r="AF770" s="449"/>
      <c r="AG770" s="449"/>
      <c r="AH770" s="449"/>
    </row>
    <row r="771" ht="11.25" customHeight="1">
      <c r="A771" s="450"/>
      <c r="B771" s="451"/>
      <c r="C771" s="452"/>
      <c r="D771" s="452"/>
      <c r="E771" s="453"/>
      <c r="F771" s="453"/>
      <c r="G771" s="454"/>
      <c r="H771" s="454"/>
      <c r="I771" s="455"/>
      <c r="J771" s="456"/>
      <c r="K771" s="457" t="s">
        <v>1416</v>
      </c>
      <c r="L771" s="458"/>
      <c r="M771" s="459"/>
      <c r="N771" s="460"/>
      <c r="O771" s="460"/>
      <c r="P771" s="461"/>
      <c r="Q771" s="458"/>
      <c r="R771" s="459"/>
      <c r="S771" s="459"/>
      <c r="T771" s="459"/>
      <c r="U771" s="459"/>
      <c r="V771" s="459"/>
      <c r="W771" s="459"/>
      <c r="X771" s="459"/>
      <c r="Y771" s="462">
        <f t="shared" si="17"/>
        <v>0</v>
      </c>
      <c r="Z771" s="463"/>
      <c r="AA771" s="464"/>
      <c r="AB771" s="465"/>
      <c r="AC771" s="465"/>
      <c r="AD771" s="465"/>
      <c r="AE771" s="466"/>
      <c r="AF771" s="449"/>
      <c r="AG771" s="449"/>
      <c r="AH771" s="449"/>
    </row>
    <row r="772" ht="11.25" customHeight="1">
      <c r="A772" s="450"/>
      <c r="B772" s="451"/>
      <c r="C772" s="452"/>
      <c r="D772" s="452"/>
      <c r="E772" s="453"/>
      <c r="F772" s="453"/>
      <c r="G772" s="454"/>
      <c r="H772" s="454"/>
      <c r="I772" s="455"/>
      <c r="J772" s="456"/>
      <c r="K772" s="467" t="s">
        <v>1417</v>
      </c>
      <c r="L772" s="468"/>
      <c r="M772" s="469"/>
      <c r="N772" s="470"/>
      <c r="O772" s="470"/>
      <c r="P772" s="471"/>
      <c r="Q772" s="468"/>
      <c r="R772" s="469"/>
      <c r="S772" s="469"/>
      <c r="T772" s="469"/>
      <c r="U772" s="469"/>
      <c r="V772" s="469"/>
      <c r="W772" s="469"/>
      <c r="X772" s="469"/>
      <c r="Y772" s="462">
        <f t="shared" si="17"/>
        <v>0</v>
      </c>
      <c r="Z772" s="463"/>
      <c r="AA772" s="464"/>
      <c r="AB772" s="465"/>
      <c r="AC772" s="465"/>
      <c r="AD772" s="465"/>
      <c r="AE772" s="466"/>
      <c r="AF772" s="449"/>
      <c r="AG772" s="449"/>
      <c r="AH772" s="449"/>
    </row>
    <row r="773" ht="11.25" customHeight="1">
      <c r="A773" s="450"/>
      <c r="B773" s="472"/>
      <c r="C773" s="473"/>
      <c r="D773" s="473"/>
      <c r="E773" s="474"/>
      <c r="F773" s="474"/>
      <c r="G773" s="475"/>
      <c r="H773" s="475"/>
      <c r="I773" s="476"/>
      <c r="J773" s="477"/>
      <c r="K773" s="478" t="s">
        <v>1418</v>
      </c>
      <c r="L773" s="479"/>
      <c r="M773" s="480"/>
      <c r="N773" s="481"/>
      <c r="O773" s="481"/>
      <c r="P773" s="482"/>
      <c r="Q773" s="479"/>
      <c r="R773" s="480"/>
      <c r="S773" s="480"/>
      <c r="T773" s="480"/>
      <c r="U773" s="480"/>
      <c r="V773" s="480"/>
      <c r="W773" s="480"/>
      <c r="X773" s="480"/>
      <c r="Y773" s="483">
        <f t="shared" si="17"/>
        <v>0</v>
      </c>
      <c r="Z773" s="484"/>
      <c r="AA773" s="485"/>
      <c r="AB773" s="486"/>
      <c r="AC773" s="486"/>
      <c r="AD773" s="486"/>
      <c r="AE773" s="487"/>
      <c r="AF773" s="449"/>
      <c r="AG773" s="449"/>
      <c r="AH773" s="449"/>
    </row>
    <row r="774" ht="11.25" customHeight="1">
      <c r="A774" s="431" t="str">
        <f>IF(B774="","", YEAR(B774))</f>
        <v/>
      </c>
      <c r="B774" s="432"/>
      <c r="C774" s="433"/>
      <c r="D774" s="433"/>
      <c r="E774" s="434" t="str">
        <f t="shared" ref="E774:I774" si="394">IFERROR(AVERAGE(L774:L777),"")</f>
        <v/>
      </c>
      <c r="F774" s="434" t="str">
        <f t="shared" si="394"/>
        <v/>
      </c>
      <c r="G774" s="435" t="str">
        <f t="shared" si="394"/>
        <v/>
      </c>
      <c r="H774" s="435" t="str">
        <f t="shared" si="394"/>
        <v/>
      </c>
      <c r="I774" s="436" t="str">
        <f t="shared" si="394"/>
        <v/>
      </c>
      <c r="J774" s="437">
        <f>SUMIFS(PRODUCTION[KG],PRODUCTION[GRADE],"3X50",PRODUCTION[DATE],B774,PRODUCTION[BATCH],C774,PRODUCTION[SHIFT],D774)</f>
        <v>0</v>
      </c>
      <c r="K774" s="438" t="s">
        <v>1414</v>
      </c>
      <c r="L774" s="443"/>
      <c r="M774" s="440"/>
      <c r="N774" s="441"/>
      <c r="O774" s="441"/>
      <c r="P774" s="442"/>
      <c r="Q774" s="443"/>
      <c r="R774" s="440"/>
      <c r="S774" s="440"/>
      <c r="T774" s="440"/>
      <c r="U774" s="440"/>
      <c r="V774" s="440"/>
      <c r="W774" s="440"/>
      <c r="X774" s="440"/>
      <c r="Y774" s="444">
        <f t="shared" si="17"/>
        <v>0</v>
      </c>
      <c r="Z774" s="445"/>
      <c r="AA774" s="446">
        <f t="shared" ref="AA774:AE774" si="395">$J774*E774</f>
        <v>0</v>
      </c>
      <c r="AB774" s="447">
        <f t="shared" si="395"/>
        <v>0</v>
      </c>
      <c r="AC774" s="447">
        <f t="shared" si="395"/>
        <v>0</v>
      </c>
      <c r="AD774" s="447">
        <f t="shared" si="395"/>
        <v>0</v>
      </c>
      <c r="AE774" s="448">
        <f t="shared" si="395"/>
        <v>0</v>
      </c>
      <c r="AF774" s="449"/>
      <c r="AG774" s="449"/>
      <c r="AH774" s="449"/>
    </row>
    <row r="775" ht="11.25" customHeight="1">
      <c r="A775" s="450"/>
      <c r="B775" s="451"/>
      <c r="C775" s="452"/>
      <c r="D775" s="452"/>
      <c r="E775" s="453"/>
      <c r="F775" s="453"/>
      <c r="G775" s="454"/>
      <c r="H775" s="454"/>
      <c r="I775" s="455"/>
      <c r="J775" s="456"/>
      <c r="K775" s="457" t="s">
        <v>1416</v>
      </c>
      <c r="L775" s="458"/>
      <c r="M775" s="459"/>
      <c r="N775" s="460"/>
      <c r="O775" s="460"/>
      <c r="P775" s="461"/>
      <c r="Q775" s="458"/>
      <c r="R775" s="459"/>
      <c r="S775" s="459"/>
      <c r="T775" s="459"/>
      <c r="U775" s="459"/>
      <c r="V775" s="459"/>
      <c r="W775" s="459"/>
      <c r="X775" s="459"/>
      <c r="Y775" s="462">
        <f t="shared" si="17"/>
        <v>0</v>
      </c>
      <c r="Z775" s="463"/>
      <c r="AA775" s="464"/>
      <c r="AB775" s="465"/>
      <c r="AC775" s="465"/>
      <c r="AD775" s="465"/>
      <c r="AE775" s="466"/>
      <c r="AF775" s="449"/>
      <c r="AG775" s="449"/>
      <c r="AH775" s="449"/>
    </row>
    <row r="776" ht="11.25" customHeight="1">
      <c r="A776" s="450"/>
      <c r="B776" s="451"/>
      <c r="C776" s="452"/>
      <c r="D776" s="452"/>
      <c r="E776" s="453"/>
      <c r="F776" s="453"/>
      <c r="G776" s="454"/>
      <c r="H776" s="454"/>
      <c r="I776" s="455"/>
      <c r="J776" s="456"/>
      <c r="K776" s="467" t="s">
        <v>1417</v>
      </c>
      <c r="L776" s="468"/>
      <c r="M776" s="469"/>
      <c r="N776" s="470"/>
      <c r="O776" s="470"/>
      <c r="P776" s="471"/>
      <c r="Q776" s="468"/>
      <c r="R776" s="469"/>
      <c r="S776" s="469"/>
      <c r="T776" s="469"/>
      <c r="U776" s="469"/>
      <c r="V776" s="469"/>
      <c r="W776" s="469"/>
      <c r="X776" s="469"/>
      <c r="Y776" s="462">
        <f t="shared" si="17"/>
        <v>0</v>
      </c>
      <c r="Z776" s="463"/>
      <c r="AA776" s="464"/>
      <c r="AB776" s="465"/>
      <c r="AC776" s="465"/>
      <c r="AD776" s="465"/>
      <c r="AE776" s="466"/>
      <c r="AF776" s="449"/>
      <c r="AG776" s="449"/>
      <c r="AH776" s="449"/>
    </row>
    <row r="777" ht="11.25" customHeight="1">
      <c r="A777" s="450"/>
      <c r="B777" s="472"/>
      <c r="C777" s="473"/>
      <c r="D777" s="473"/>
      <c r="E777" s="474"/>
      <c r="F777" s="474"/>
      <c r="G777" s="475"/>
      <c r="H777" s="475"/>
      <c r="I777" s="476"/>
      <c r="J777" s="477"/>
      <c r="K777" s="478" t="s">
        <v>1418</v>
      </c>
      <c r="L777" s="479"/>
      <c r="M777" s="480"/>
      <c r="N777" s="481"/>
      <c r="O777" s="481"/>
      <c r="P777" s="482"/>
      <c r="Q777" s="479"/>
      <c r="R777" s="480"/>
      <c r="S777" s="480"/>
      <c r="T777" s="480"/>
      <c r="U777" s="480"/>
      <c r="V777" s="480"/>
      <c r="W777" s="480"/>
      <c r="X777" s="480"/>
      <c r="Y777" s="483">
        <f t="shared" si="17"/>
        <v>0</v>
      </c>
      <c r="Z777" s="484"/>
      <c r="AA777" s="485"/>
      <c r="AB777" s="486"/>
      <c r="AC777" s="486"/>
      <c r="AD777" s="486"/>
      <c r="AE777" s="487"/>
      <c r="AF777" s="449"/>
      <c r="AG777" s="449"/>
      <c r="AH777" s="449"/>
    </row>
    <row r="778" ht="11.25" customHeight="1">
      <c r="A778" s="431" t="str">
        <f>IF(B778="","", YEAR(B778))</f>
        <v/>
      </c>
      <c r="B778" s="432"/>
      <c r="C778" s="433"/>
      <c r="D778" s="433"/>
      <c r="E778" s="434" t="str">
        <f t="shared" ref="E778:I778" si="396">IFERROR(AVERAGE(L778:L781),"")</f>
        <v/>
      </c>
      <c r="F778" s="434" t="str">
        <f t="shared" si="396"/>
        <v/>
      </c>
      <c r="G778" s="435" t="str">
        <f t="shared" si="396"/>
        <v/>
      </c>
      <c r="H778" s="435" t="str">
        <f t="shared" si="396"/>
        <v/>
      </c>
      <c r="I778" s="436" t="str">
        <f t="shared" si="396"/>
        <v/>
      </c>
      <c r="J778" s="437">
        <f>SUMIFS(PRODUCTION[KG],PRODUCTION[GRADE],"3X50",PRODUCTION[DATE],B778,PRODUCTION[BATCH],C778,PRODUCTION[SHIFT],D778)</f>
        <v>0</v>
      </c>
      <c r="K778" s="438" t="s">
        <v>1414</v>
      </c>
      <c r="L778" s="443"/>
      <c r="M778" s="440"/>
      <c r="N778" s="441"/>
      <c r="O778" s="441"/>
      <c r="P778" s="442"/>
      <c r="Q778" s="443"/>
      <c r="R778" s="440"/>
      <c r="S778" s="440"/>
      <c r="T778" s="440"/>
      <c r="U778" s="440"/>
      <c r="V778" s="440"/>
      <c r="W778" s="440"/>
      <c r="X778" s="440"/>
      <c r="Y778" s="444">
        <f t="shared" si="17"/>
        <v>0</v>
      </c>
      <c r="Z778" s="445"/>
      <c r="AA778" s="446">
        <f t="shared" ref="AA778:AE778" si="397">$J778*E778</f>
        <v>0</v>
      </c>
      <c r="AB778" s="447">
        <f t="shared" si="397"/>
        <v>0</v>
      </c>
      <c r="AC778" s="447">
        <f t="shared" si="397"/>
        <v>0</v>
      </c>
      <c r="AD778" s="447">
        <f t="shared" si="397"/>
        <v>0</v>
      </c>
      <c r="AE778" s="448">
        <f t="shared" si="397"/>
        <v>0</v>
      </c>
      <c r="AF778" s="449"/>
      <c r="AG778" s="449"/>
      <c r="AH778" s="449"/>
    </row>
    <row r="779" ht="11.25" customHeight="1">
      <c r="A779" s="450"/>
      <c r="B779" s="451"/>
      <c r="C779" s="452"/>
      <c r="D779" s="452"/>
      <c r="E779" s="453"/>
      <c r="F779" s="453"/>
      <c r="G779" s="454"/>
      <c r="H779" s="454"/>
      <c r="I779" s="455"/>
      <c r="J779" s="456"/>
      <c r="K779" s="457" t="s">
        <v>1416</v>
      </c>
      <c r="L779" s="458"/>
      <c r="M779" s="459"/>
      <c r="N779" s="460"/>
      <c r="O779" s="460"/>
      <c r="P779" s="461"/>
      <c r="Q779" s="458"/>
      <c r="R779" s="459"/>
      <c r="S779" s="459"/>
      <c r="T779" s="459"/>
      <c r="U779" s="459"/>
      <c r="V779" s="459"/>
      <c r="W779" s="459"/>
      <c r="X779" s="459"/>
      <c r="Y779" s="462">
        <f t="shared" si="17"/>
        <v>0</v>
      </c>
      <c r="Z779" s="463"/>
      <c r="AA779" s="464"/>
      <c r="AB779" s="465"/>
      <c r="AC779" s="465"/>
      <c r="AD779" s="465"/>
      <c r="AE779" s="466"/>
      <c r="AF779" s="449"/>
      <c r="AG779" s="449"/>
      <c r="AH779" s="449"/>
    </row>
    <row r="780" ht="11.25" customHeight="1">
      <c r="A780" s="450"/>
      <c r="B780" s="451"/>
      <c r="C780" s="452"/>
      <c r="D780" s="452"/>
      <c r="E780" s="453"/>
      <c r="F780" s="453"/>
      <c r="G780" s="454"/>
      <c r="H780" s="454"/>
      <c r="I780" s="455"/>
      <c r="J780" s="456"/>
      <c r="K780" s="467" t="s">
        <v>1417</v>
      </c>
      <c r="L780" s="468"/>
      <c r="M780" s="469"/>
      <c r="N780" s="470"/>
      <c r="O780" s="470"/>
      <c r="P780" s="471"/>
      <c r="Q780" s="468"/>
      <c r="R780" s="469"/>
      <c r="S780" s="469"/>
      <c r="T780" s="469"/>
      <c r="U780" s="469"/>
      <c r="V780" s="469"/>
      <c r="W780" s="469"/>
      <c r="X780" s="469"/>
      <c r="Y780" s="462">
        <f t="shared" si="17"/>
        <v>0</v>
      </c>
      <c r="Z780" s="463"/>
      <c r="AA780" s="464"/>
      <c r="AB780" s="465"/>
      <c r="AC780" s="465"/>
      <c r="AD780" s="465"/>
      <c r="AE780" s="466"/>
      <c r="AF780" s="449"/>
      <c r="AG780" s="449"/>
      <c r="AH780" s="449"/>
    </row>
    <row r="781" ht="11.25" customHeight="1">
      <c r="A781" s="450"/>
      <c r="B781" s="472"/>
      <c r="C781" s="473"/>
      <c r="D781" s="473"/>
      <c r="E781" s="474"/>
      <c r="F781" s="474"/>
      <c r="G781" s="475"/>
      <c r="H781" s="475"/>
      <c r="I781" s="476"/>
      <c r="J781" s="477"/>
      <c r="K781" s="478" t="s">
        <v>1418</v>
      </c>
      <c r="L781" s="479"/>
      <c r="M781" s="480"/>
      <c r="N781" s="481"/>
      <c r="O781" s="481"/>
      <c r="P781" s="482"/>
      <c r="Q781" s="479"/>
      <c r="R781" s="480"/>
      <c r="S781" s="480"/>
      <c r="T781" s="480"/>
      <c r="U781" s="480"/>
      <c r="V781" s="480"/>
      <c r="W781" s="480"/>
      <c r="X781" s="480"/>
      <c r="Y781" s="483">
        <f t="shared" si="17"/>
        <v>0</v>
      </c>
      <c r="Z781" s="484"/>
      <c r="AA781" s="485"/>
      <c r="AB781" s="486"/>
      <c r="AC781" s="486"/>
      <c r="AD781" s="486"/>
      <c r="AE781" s="487"/>
      <c r="AF781" s="449"/>
      <c r="AG781" s="449"/>
      <c r="AH781" s="449"/>
    </row>
    <row r="782" ht="11.25" customHeight="1">
      <c r="A782" s="431" t="str">
        <f>IF(B782="","", YEAR(B782))</f>
        <v/>
      </c>
      <c r="B782" s="432"/>
      <c r="C782" s="433"/>
      <c r="D782" s="433"/>
      <c r="E782" s="434" t="str">
        <f t="shared" ref="E782:I782" si="398">IFERROR(AVERAGE(L782:L785),"")</f>
        <v/>
      </c>
      <c r="F782" s="434" t="str">
        <f t="shared" si="398"/>
        <v/>
      </c>
      <c r="G782" s="435" t="str">
        <f t="shared" si="398"/>
        <v/>
      </c>
      <c r="H782" s="435" t="str">
        <f t="shared" si="398"/>
        <v/>
      </c>
      <c r="I782" s="436" t="str">
        <f t="shared" si="398"/>
        <v/>
      </c>
      <c r="J782" s="437">
        <f>SUMIFS(PRODUCTION[KG],PRODUCTION[GRADE],"3X50",PRODUCTION[DATE],B782,PRODUCTION[BATCH],C782,PRODUCTION[SHIFT],D782)</f>
        <v>0</v>
      </c>
      <c r="K782" s="438" t="s">
        <v>1414</v>
      </c>
      <c r="L782" s="443"/>
      <c r="M782" s="440"/>
      <c r="N782" s="441"/>
      <c r="O782" s="441"/>
      <c r="P782" s="442"/>
      <c r="Q782" s="443"/>
      <c r="R782" s="440"/>
      <c r="S782" s="440"/>
      <c r="T782" s="440"/>
      <c r="U782" s="440"/>
      <c r="V782" s="440"/>
      <c r="W782" s="440"/>
      <c r="X782" s="440"/>
      <c r="Y782" s="444">
        <f t="shared" si="17"/>
        <v>0</v>
      </c>
      <c r="Z782" s="445"/>
      <c r="AA782" s="446">
        <f t="shared" ref="AA782:AE782" si="399">$J782*E782</f>
        <v>0</v>
      </c>
      <c r="AB782" s="447">
        <f t="shared" si="399"/>
        <v>0</v>
      </c>
      <c r="AC782" s="447">
        <f t="shared" si="399"/>
        <v>0</v>
      </c>
      <c r="AD782" s="447">
        <f t="shared" si="399"/>
        <v>0</v>
      </c>
      <c r="AE782" s="448">
        <f t="shared" si="399"/>
        <v>0</v>
      </c>
      <c r="AF782" s="449"/>
      <c r="AG782" s="449"/>
      <c r="AH782" s="449"/>
    </row>
    <row r="783" ht="11.25" customHeight="1">
      <c r="A783" s="450"/>
      <c r="B783" s="451"/>
      <c r="C783" s="452"/>
      <c r="D783" s="452"/>
      <c r="E783" s="453"/>
      <c r="F783" s="453"/>
      <c r="G783" s="454"/>
      <c r="H783" s="454"/>
      <c r="I783" s="455"/>
      <c r="J783" s="456"/>
      <c r="K783" s="457" t="s">
        <v>1416</v>
      </c>
      <c r="L783" s="458"/>
      <c r="M783" s="459"/>
      <c r="N783" s="460"/>
      <c r="O783" s="460"/>
      <c r="P783" s="461"/>
      <c r="Q783" s="458"/>
      <c r="R783" s="459"/>
      <c r="S783" s="459"/>
      <c r="T783" s="459"/>
      <c r="U783" s="459"/>
      <c r="V783" s="459"/>
      <c r="W783" s="459"/>
      <c r="X783" s="459"/>
      <c r="Y783" s="462">
        <f t="shared" si="17"/>
        <v>0</v>
      </c>
      <c r="Z783" s="463"/>
      <c r="AA783" s="464"/>
      <c r="AB783" s="465"/>
      <c r="AC783" s="465"/>
      <c r="AD783" s="465"/>
      <c r="AE783" s="466"/>
      <c r="AF783" s="449"/>
      <c r="AG783" s="449"/>
      <c r="AH783" s="449"/>
    </row>
    <row r="784" ht="11.25" customHeight="1">
      <c r="A784" s="450"/>
      <c r="B784" s="451"/>
      <c r="C784" s="452"/>
      <c r="D784" s="452"/>
      <c r="E784" s="453"/>
      <c r="F784" s="453"/>
      <c r="G784" s="454"/>
      <c r="H784" s="454"/>
      <c r="I784" s="455"/>
      <c r="J784" s="456"/>
      <c r="K784" s="467" t="s">
        <v>1417</v>
      </c>
      <c r="L784" s="468"/>
      <c r="M784" s="469"/>
      <c r="N784" s="470"/>
      <c r="O784" s="470"/>
      <c r="P784" s="471"/>
      <c r="Q784" s="468"/>
      <c r="R784" s="469"/>
      <c r="S784" s="469"/>
      <c r="T784" s="469"/>
      <c r="U784" s="469"/>
      <c r="V784" s="469"/>
      <c r="W784" s="469"/>
      <c r="X784" s="469"/>
      <c r="Y784" s="462">
        <f t="shared" si="17"/>
        <v>0</v>
      </c>
      <c r="Z784" s="463"/>
      <c r="AA784" s="464"/>
      <c r="AB784" s="465"/>
      <c r="AC784" s="465"/>
      <c r="AD784" s="465"/>
      <c r="AE784" s="466"/>
      <c r="AF784" s="449"/>
      <c r="AG784" s="449"/>
      <c r="AH784" s="449"/>
    </row>
    <row r="785" ht="11.25" customHeight="1">
      <c r="A785" s="450"/>
      <c r="B785" s="472"/>
      <c r="C785" s="473"/>
      <c r="D785" s="473"/>
      <c r="E785" s="474"/>
      <c r="F785" s="474"/>
      <c r="G785" s="475"/>
      <c r="H785" s="475"/>
      <c r="I785" s="476"/>
      <c r="J785" s="477"/>
      <c r="K785" s="478" t="s">
        <v>1418</v>
      </c>
      <c r="L785" s="479"/>
      <c r="M785" s="480"/>
      <c r="N785" s="481"/>
      <c r="O785" s="481"/>
      <c r="P785" s="482"/>
      <c r="Q785" s="479"/>
      <c r="R785" s="480"/>
      <c r="S785" s="480"/>
      <c r="T785" s="480"/>
      <c r="U785" s="480"/>
      <c r="V785" s="480"/>
      <c r="W785" s="480"/>
      <c r="X785" s="480"/>
      <c r="Y785" s="483">
        <f t="shared" si="17"/>
        <v>0</v>
      </c>
      <c r="Z785" s="484"/>
      <c r="AA785" s="485"/>
      <c r="AB785" s="486"/>
      <c r="AC785" s="486"/>
      <c r="AD785" s="486"/>
      <c r="AE785" s="487"/>
      <c r="AF785" s="449"/>
      <c r="AG785" s="449"/>
      <c r="AH785" s="449"/>
    </row>
    <row r="786" ht="11.25" customHeight="1">
      <c r="A786" s="431" t="str">
        <f>IF(B786="","", YEAR(B786))</f>
        <v/>
      </c>
      <c r="B786" s="432"/>
      <c r="C786" s="433"/>
      <c r="D786" s="433"/>
      <c r="E786" s="434" t="str">
        <f t="shared" ref="E786:I786" si="400">IFERROR(AVERAGE(L786:L789),"")</f>
        <v/>
      </c>
      <c r="F786" s="434" t="str">
        <f t="shared" si="400"/>
        <v/>
      </c>
      <c r="G786" s="435" t="str">
        <f t="shared" si="400"/>
        <v/>
      </c>
      <c r="H786" s="435" t="str">
        <f t="shared" si="400"/>
        <v/>
      </c>
      <c r="I786" s="436" t="str">
        <f t="shared" si="400"/>
        <v/>
      </c>
      <c r="J786" s="437">
        <f>SUMIFS(PRODUCTION[KG],PRODUCTION[GRADE],"3X50",PRODUCTION[DATE],B786,PRODUCTION[BATCH],C786,PRODUCTION[SHIFT],D786)</f>
        <v>0</v>
      </c>
      <c r="K786" s="438" t="s">
        <v>1414</v>
      </c>
      <c r="L786" s="443"/>
      <c r="M786" s="440"/>
      <c r="N786" s="441"/>
      <c r="O786" s="441"/>
      <c r="P786" s="442"/>
      <c r="Q786" s="443"/>
      <c r="R786" s="440"/>
      <c r="S786" s="440"/>
      <c r="T786" s="440"/>
      <c r="U786" s="440"/>
      <c r="V786" s="440"/>
      <c r="W786" s="440"/>
      <c r="X786" s="440"/>
      <c r="Y786" s="444">
        <f t="shared" si="17"/>
        <v>0</v>
      </c>
      <c r="Z786" s="445"/>
      <c r="AA786" s="446">
        <f t="shared" ref="AA786:AE786" si="401">$J786*E786</f>
        <v>0</v>
      </c>
      <c r="AB786" s="447">
        <f t="shared" si="401"/>
        <v>0</v>
      </c>
      <c r="AC786" s="447">
        <f t="shared" si="401"/>
        <v>0</v>
      </c>
      <c r="AD786" s="447">
        <f t="shared" si="401"/>
        <v>0</v>
      </c>
      <c r="AE786" s="448">
        <f t="shared" si="401"/>
        <v>0</v>
      </c>
      <c r="AF786" s="449"/>
      <c r="AG786" s="449"/>
      <c r="AH786" s="449"/>
    </row>
    <row r="787" ht="11.25" customHeight="1">
      <c r="A787" s="450"/>
      <c r="B787" s="451"/>
      <c r="C787" s="452"/>
      <c r="D787" s="452"/>
      <c r="E787" s="453"/>
      <c r="F787" s="453"/>
      <c r="G787" s="454"/>
      <c r="H787" s="454"/>
      <c r="I787" s="455"/>
      <c r="J787" s="456"/>
      <c r="K787" s="457" t="s">
        <v>1416</v>
      </c>
      <c r="L787" s="458"/>
      <c r="M787" s="459"/>
      <c r="N787" s="460"/>
      <c r="O787" s="460"/>
      <c r="P787" s="461"/>
      <c r="Q787" s="458"/>
      <c r="R787" s="459"/>
      <c r="S787" s="459"/>
      <c r="T787" s="459"/>
      <c r="U787" s="459"/>
      <c r="V787" s="459"/>
      <c r="W787" s="459"/>
      <c r="X787" s="459"/>
      <c r="Y787" s="462">
        <f t="shared" si="17"/>
        <v>0</v>
      </c>
      <c r="Z787" s="463"/>
      <c r="AA787" s="464"/>
      <c r="AB787" s="465"/>
      <c r="AC787" s="465"/>
      <c r="AD787" s="465"/>
      <c r="AE787" s="466"/>
      <c r="AF787" s="449"/>
      <c r="AG787" s="449"/>
      <c r="AH787" s="449"/>
    </row>
    <row r="788" ht="11.25" customHeight="1">
      <c r="A788" s="450"/>
      <c r="B788" s="451"/>
      <c r="C788" s="452"/>
      <c r="D788" s="452"/>
      <c r="E788" s="453"/>
      <c r="F788" s="453"/>
      <c r="G788" s="454"/>
      <c r="H788" s="454"/>
      <c r="I788" s="455"/>
      <c r="J788" s="456"/>
      <c r="K788" s="467" t="s">
        <v>1417</v>
      </c>
      <c r="L788" s="468"/>
      <c r="M788" s="469"/>
      <c r="N788" s="470"/>
      <c r="O788" s="470"/>
      <c r="P788" s="471"/>
      <c r="Q788" s="468"/>
      <c r="R788" s="469"/>
      <c r="S788" s="469"/>
      <c r="T788" s="469"/>
      <c r="U788" s="469"/>
      <c r="V788" s="469"/>
      <c r="W788" s="469"/>
      <c r="X788" s="469"/>
      <c r="Y788" s="462">
        <f t="shared" si="17"/>
        <v>0</v>
      </c>
      <c r="Z788" s="463"/>
      <c r="AA788" s="464"/>
      <c r="AB788" s="465"/>
      <c r="AC788" s="465"/>
      <c r="AD788" s="465"/>
      <c r="AE788" s="466"/>
      <c r="AF788" s="449"/>
      <c r="AG788" s="449"/>
      <c r="AH788" s="449"/>
    </row>
    <row r="789" ht="11.25" customHeight="1">
      <c r="A789" s="450"/>
      <c r="B789" s="472"/>
      <c r="C789" s="473"/>
      <c r="D789" s="473"/>
      <c r="E789" s="474"/>
      <c r="F789" s="474"/>
      <c r="G789" s="475"/>
      <c r="H789" s="475"/>
      <c r="I789" s="476"/>
      <c r="J789" s="477"/>
      <c r="K789" s="478" t="s">
        <v>1418</v>
      </c>
      <c r="L789" s="479"/>
      <c r="M789" s="480"/>
      <c r="N789" s="481"/>
      <c r="O789" s="481"/>
      <c r="P789" s="482"/>
      <c r="Q789" s="479"/>
      <c r="R789" s="480"/>
      <c r="S789" s="480"/>
      <c r="T789" s="480"/>
      <c r="U789" s="480"/>
      <c r="V789" s="480"/>
      <c r="W789" s="480"/>
      <c r="X789" s="480"/>
      <c r="Y789" s="483">
        <f t="shared" si="17"/>
        <v>0</v>
      </c>
      <c r="Z789" s="484"/>
      <c r="AA789" s="485"/>
      <c r="AB789" s="486"/>
      <c r="AC789" s="486"/>
      <c r="AD789" s="486"/>
      <c r="AE789" s="487"/>
      <c r="AF789" s="449"/>
      <c r="AG789" s="449"/>
      <c r="AH789" s="449"/>
    </row>
    <row r="790" ht="11.25" customHeight="1">
      <c r="A790" s="431" t="str">
        <f>IF(B790="","", YEAR(B790))</f>
        <v/>
      </c>
      <c r="B790" s="432"/>
      <c r="C790" s="433"/>
      <c r="D790" s="433"/>
      <c r="E790" s="434" t="str">
        <f t="shared" ref="E790:I790" si="402">IFERROR(AVERAGE(L790:L793),"")</f>
        <v/>
      </c>
      <c r="F790" s="434" t="str">
        <f t="shared" si="402"/>
        <v/>
      </c>
      <c r="G790" s="435" t="str">
        <f t="shared" si="402"/>
        <v/>
      </c>
      <c r="H790" s="435" t="str">
        <f t="shared" si="402"/>
        <v/>
      </c>
      <c r="I790" s="436" t="str">
        <f t="shared" si="402"/>
        <v/>
      </c>
      <c r="J790" s="437">
        <f>SUMIFS(PRODUCTION[KG],PRODUCTION[GRADE],"3X50",PRODUCTION[DATE],B790,PRODUCTION[BATCH],C790,PRODUCTION[SHIFT],D790)</f>
        <v>0</v>
      </c>
      <c r="K790" s="438" t="s">
        <v>1414</v>
      </c>
      <c r="L790" s="443"/>
      <c r="M790" s="440"/>
      <c r="N790" s="441"/>
      <c r="O790" s="441"/>
      <c r="P790" s="442"/>
      <c r="Q790" s="443"/>
      <c r="R790" s="440"/>
      <c r="S790" s="440"/>
      <c r="T790" s="440"/>
      <c r="U790" s="440"/>
      <c r="V790" s="440"/>
      <c r="W790" s="440"/>
      <c r="X790" s="440"/>
      <c r="Y790" s="444">
        <f t="shared" si="17"/>
        <v>0</v>
      </c>
      <c r="Z790" s="445"/>
      <c r="AA790" s="446">
        <f t="shared" ref="AA790:AE790" si="403">$J790*E790</f>
        <v>0</v>
      </c>
      <c r="AB790" s="447">
        <f t="shared" si="403"/>
        <v>0</v>
      </c>
      <c r="AC790" s="447">
        <f t="shared" si="403"/>
        <v>0</v>
      </c>
      <c r="AD790" s="447">
        <f t="shared" si="403"/>
        <v>0</v>
      </c>
      <c r="AE790" s="448">
        <f t="shared" si="403"/>
        <v>0</v>
      </c>
      <c r="AF790" s="449"/>
      <c r="AG790" s="449"/>
      <c r="AH790" s="449"/>
    </row>
    <row r="791" ht="11.25" customHeight="1">
      <c r="A791" s="450"/>
      <c r="B791" s="451"/>
      <c r="C791" s="452"/>
      <c r="D791" s="452"/>
      <c r="E791" s="453"/>
      <c r="F791" s="453"/>
      <c r="G791" s="454"/>
      <c r="H791" s="454"/>
      <c r="I791" s="455"/>
      <c r="J791" s="456"/>
      <c r="K791" s="457" t="s">
        <v>1416</v>
      </c>
      <c r="L791" s="458"/>
      <c r="M791" s="459"/>
      <c r="N791" s="460"/>
      <c r="O791" s="460"/>
      <c r="P791" s="461"/>
      <c r="Q791" s="458"/>
      <c r="R791" s="459"/>
      <c r="S791" s="459"/>
      <c r="T791" s="459"/>
      <c r="U791" s="459"/>
      <c r="V791" s="459"/>
      <c r="W791" s="459"/>
      <c r="X791" s="459"/>
      <c r="Y791" s="462">
        <f t="shared" si="17"/>
        <v>0</v>
      </c>
      <c r="Z791" s="463"/>
      <c r="AA791" s="464"/>
      <c r="AB791" s="465"/>
      <c r="AC791" s="465"/>
      <c r="AD791" s="465"/>
      <c r="AE791" s="466"/>
      <c r="AF791" s="449"/>
      <c r="AG791" s="449"/>
      <c r="AH791" s="449"/>
    </row>
    <row r="792" ht="11.25" customHeight="1">
      <c r="A792" s="450"/>
      <c r="B792" s="451"/>
      <c r="C792" s="452"/>
      <c r="D792" s="452"/>
      <c r="E792" s="453"/>
      <c r="F792" s="453"/>
      <c r="G792" s="454"/>
      <c r="H792" s="454"/>
      <c r="I792" s="455"/>
      <c r="J792" s="456"/>
      <c r="K792" s="467" t="s">
        <v>1417</v>
      </c>
      <c r="L792" s="468"/>
      <c r="M792" s="469"/>
      <c r="N792" s="470"/>
      <c r="O792" s="470"/>
      <c r="P792" s="471"/>
      <c r="Q792" s="468"/>
      <c r="R792" s="469"/>
      <c r="S792" s="469"/>
      <c r="T792" s="469"/>
      <c r="U792" s="469"/>
      <c r="V792" s="469"/>
      <c r="W792" s="469"/>
      <c r="X792" s="469"/>
      <c r="Y792" s="462">
        <f t="shared" si="17"/>
        <v>0</v>
      </c>
      <c r="Z792" s="463"/>
      <c r="AA792" s="464"/>
      <c r="AB792" s="465"/>
      <c r="AC792" s="465"/>
      <c r="AD792" s="465"/>
      <c r="AE792" s="466"/>
      <c r="AF792" s="449"/>
      <c r="AG792" s="449"/>
      <c r="AH792" s="449"/>
    </row>
    <row r="793" ht="11.25" customHeight="1">
      <c r="A793" s="450"/>
      <c r="B793" s="472"/>
      <c r="C793" s="473"/>
      <c r="D793" s="473"/>
      <c r="E793" s="474"/>
      <c r="F793" s="474"/>
      <c r="G793" s="475"/>
      <c r="H793" s="475"/>
      <c r="I793" s="476"/>
      <c r="J793" s="477"/>
      <c r="K793" s="478" t="s">
        <v>1418</v>
      </c>
      <c r="L793" s="479"/>
      <c r="M793" s="480"/>
      <c r="N793" s="481"/>
      <c r="O793" s="481"/>
      <c r="P793" s="482"/>
      <c r="Q793" s="479"/>
      <c r="R793" s="480"/>
      <c r="S793" s="480"/>
      <c r="T793" s="480"/>
      <c r="U793" s="480"/>
      <c r="V793" s="480"/>
      <c r="W793" s="480"/>
      <c r="X793" s="480"/>
      <c r="Y793" s="483">
        <f t="shared" si="17"/>
        <v>0</v>
      </c>
      <c r="Z793" s="484"/>
      <c r="AA793" s="485"/>
      <c r="AB793" s="486"/>
      <c r="AC793" s="486"/>
      <c r="AD793" s="486"/>
      <c r="AE793" s="487"/>
      <c r="AF793" s="449"/>
      <c r="AG793" s="449"/>
      <c r="AH793" s="449"/>
    </row>
    <row r="794" ht="11.25" customHeight="1">
      <c r="A794" s="431" t="str">
        <f>IF(B794="","", YEAR(B794))</f>
        <v/>
      </c>
      <c r="B794" s="432"/>
      <c r="C794" s="433"/>
      <c r="D794" s="433"/>
      <c r="E794" s="434" t="str">
        <f t="shared" ref="E794:I794" si="404">IFERROR(AVERAGE(L794:L797),"")</f>
        <v/>
      </c>
      <c r="F794" s="434" t="str">
        <f t="shared" si="404"/>
        <v/>
      </c>
      <c r="G794" s="435" t="str">
        <f t="shared" si="404"/>
        <v/>
      </c>
      <c r="H794" s="435" t="str">
        <f t="shared" si="404"/>
        <v/>
      </c>
      <c r="I794" s="436" t="str">
        <f t="shared" si="404"/>
        <v/>
      </c>
      <c r="J794" s="437">
        <f>SUMIFS(PRODUCTION[KG],PRODUCTION[GRADE],"3X50",PRODUCTION[DATE],B794,PRODUCTION[BATCH],C794,PRODUCTION[SHIFT],D794)</f>
        <v>0</v>
      </c>
      <c r="K794" s="438" t="s">
        <v>1414</v>
      </c>
      <c r="L794" s="443"/>
      <c r="M794" s="440"/>
      <c r="N794" s="441"/>
      <c r="O794" s="441"/>
      <c r="P794" s="442"/>
      <c r="Q794" s="443"/>
      <c r="R794" s="440"/>
      <c r="S794" s="440"/>
      <c r="T794" s="440"/>
      <c r="U794" s="440"/>
      <c r="V794" s="440"/>
      <c r="W794" s="440"/>
      <c r="X794" s="440"/>
      <c r="Y794" s="444">
        <f t="shared" si="17"/>
        <v>0</v>
      </c>
      <c r="Z794" s="445"/>
      <c r="AA794" s="446">
        <f t="shared" ref="AA794:AE794" si="405">$J794*E794</f>
        <v>0</v>
      </c>
      <c r="AB794" s="447">
        <f t="shared" si="405"/>
        <v>0</v>
      </c>
      <c r="AC794" s="447">
        <f t="shared" si="405"/>
        <v>0</v>
      </c>
      <c r="AD794" s="447">
        <f t="shared" si="405"/>
        <v>0</v>
      </c>
      <c r="AE794" s="448">
        <f t="shared" si="405"/>
        <v>0</v>
      </c>
      <c r="AF794" s="449"/>
      <c r="AG794" s="449"/>
      <c r="AH794" s="449"/>
    </row>
    <row r="795" ht="11.25" customHeight="1">
      <c r="A795" s="450"/>
      <c r="B795" s="451"/>
      <c r="C795" s="452"/>
      <c r="D795" s="452"/>
      <c r="E795" s="453"/>
      <c r="F795" s="453"/>
      <c r="G795" s="454"/>
      <c r="H795" s="454"/>
      <c r="I795" s="455"/>
      <c r="J795" s="456"/>
      <c r="K795" s="457" t="s">
        <v>1416</v>
      </c>
      <c r="L795" s="458"/>
      <c r="M795" s="459"/>
      <c r="N795" s="460"/>
      <c r="O795" s="460"/>
      <c r="P795" s="461"/>
      <c r="Q795" s="458"/>
      <c r="R795" s="459"/>
      <c r="S795" s="459"/>
      <c r="T795" s="459"/>
      <c r="U795" s="459"/>
      <c r="V795" s="459"/>
      <c r="W795" s="459"/>
      <c r="X795" s="459"/>
      <c r="Y795" s="462">
        <f t="shared" si="17"/>
        <v>0</v>
      </c>
      <c r="Z795" s="463"/>
      <c r="AA795" s="464"/>
      <c r="AB795" s="465"/>
      <c r="AC795" s="465"/>
      <c r="AD795" s="465"/>
      <c r="AE795" s="466"/>
      <c r="AF795" s="449"/>
      <c r="AG795" s="449"/>
      <c r="AH795" s="449"/>
    </row>
    <row r="796" ht="11.25" customHeight="1">
      <c r="A796" s="450"/>
      <c r="B796" s="451"/>
      <c r="C796" s="452"/>
      <c r="D796" s="452"/>
      <c r="E796" s="453"/>
      <c r="F796" s="453"/>
      <c r="G796" s="454"/>
      <c r="H796" s="454"/>
      <c r="I796" s="455"/>
      <c r="J796" s="456"/>
      <c r="K796" s="467" t="s">
        <v>1417</v>
      </c>
      <c r="L796" s="468"/>
      <c r="M796" s="469"/>
      <c r="N796" s="470"/>
      <c r="O796" s="470"/>
      <c r="P796" s="471"/>
      <c r="Q796" s="468"/>
      <c r="R796" s="469"/>
      <c r="S796" s="469"/>
      <c r="T796" s="469"/>
      <c r="U796" s="469"/>
      <c r="V796" s="469"/>
      <c r="W796" s="469"/>
      <c r="X796" s="469"/>
      <c r="Y796" s="462">
        <f t="shared" si="17"/>
        <v>0</v>
      </c>
      <c r="Z796" s="463"/>
      <c r="AA796" s="464"/>
      <c r="AB796" s="465"/>
      <c r="AC796" s="465"/>
      <c r="AD796" s="465"/>
      <c r="AE796" s="466"/>
      <c r="AF796" s="449"/>
      <c r="AG796" s="449"/>
      <c r="AH796" s="449"/>
    </row>
    <row r="797" ht="11.25" customHeight="1">
      <c r="A797" s="450"/>
      <c r="B797" s="472"/>
      <c r="C797" s="473"/>
      <c r="D797" s="473"/>
      <c r="E797" s="474"/>
      <c r="F797" s="474"/>
      <c r="G797" s="475"/>
      <c r="H797" s="475"/>
      <c r="I797" s="476"/>
      <c r="J797" s="477"/>
      <c r="K797" s="478" t="s">
        <v>1418</v>
      </c>
      <c r="L797" s="479"/>
      <c r="M797" s="480"/>
      <c r="N797" s="481"/>
      <c r="O797" s="481"/>
      <c r="P797" s="482"/>
      <c r="Q797" s="479"/>
      <c r="R797" s="480"/>
      <c r="S797" s="480"/>
      <c r="T797" s="480"/>
      <c r="U797" s="480"/>
      <c r="V797" s="480"/>
      <c r="W797" s="480"/>
      <c r="X797" s="480"/>
      <c r="Y797" s="483">
        <f t="shared" si="17"/>
        <v>0</v>
      </c>
      <c r="Z797" s="484"/>
      <c r="AA797" s="485"/>
      <c r="AB797" s="486"/>
      <c r="AC797" s="486"/>
      <c r="AD797" s="486"/>
      <c r="AE797" s="487"/>
      <c r="AF797" s="449"/>
      <c r="AG797" s="449"/>
      <c r="AH797" s="449"/>
    </row>
    <row r="798" ht="11.25" customHeight="1">
      <c r="A798" s="431" t="str">
        <f>IF(B798="","", YEAR(B798))</f>
        <v/>
      </c>
      <c r="B798" s="432"/>
      <c r="C798" s="433"/>
      <c r="D798" s="433"/>
      <c r="E798" s="434" t="str">
        <f t="shared" ref="E798:I798" si="406">IFERROR(AVERAGE(L798:L801),"")</f>
        <v/>
      </c>
      <c r="F798" s="434" t="str">
        <f t="shared" si="406"/>
        <v/>
      </c>
      <c r="G798" s="435" t="str">
        <f t="shared" si="406"/>
        <v/>
      </c>
      <c r="H798" s="435" t="str">
        <f t="shared" si="406"/>
        <v/>
      </c>
      <c r="I798" s="436" t="str">
        <f t="shared" si="406"/>
        <v/>
      </c>
      <c r="J798" s="437">
        <f>SUMIFS(PRODUCTION[KG],PRODUCTION[GRADE],"3X50",PRODUCTION[DATE],B798,PRODUCTION[BATCH],C798,PRODUCTION[SHIFT],D798)</f>
        <v>0</v>
      </c>
      <c r="K798" s="438" t="s">
        <v>1414</v>
      </c>
      <c r="L798" s="443"/>
      <c r="M798" s="440"/>
      <c r="N798" s="441"/>
      <c r="O798" s="441"/>
      <c r="P798" s="442"/>
      <c r="Q798" s="443"/>
      <c r="R798" s="440"/>
      <c r="S798" s="440"/>
      <c r="T798" s="440"/>
      <c r="U798" s="440"/>
      <c r="V798" s="440"/>
      <c r="W798" s="440"/>
      <c r="X798" s="440"/>
      <c r="Y798" s="444">
        <f t="shared" si="17"/>
        <v>0</v>
      </c>
      <c r="Z798" s="445"/>
      <c r="AA798" s="446">
        <f t="shared" ref="AA798:AE798" si="407">$J798*E798</f>
        <v>0</v>
      </c>
      <c r="AB798" s="447">
        <f t="shared" si="407"/>
        <v>0</v>
      </c>
      <c r="AC798" s="447">
        <f t="shared" si="407"/>
        <v>0</v>
      </c>
      <c r="AD798" s="447">
        <f t="shared" si="407"/>
        <v>0</v>
      </c>
      <c r="AE798" s="448">
        <f t="shared" si="407"/>
        <v>0</v>
      </c>
      <c r="AF798" s="449"/>
      <c r="AG798" s="449"/>
      <c r="AH798" s="449"/>
    </row>
    <row r="799" ht="11.25" customHeight="1">
      <c r="A799" s="450"/>
      <c r="B799" s="451"/>
      <c r="C799" s="452"/>
      <c r="D799" s="452"/>
      <c r="E799" s="453"/>
      <c r="F799" s="453"/>
      <c r="G799" s="454"/>
      <c r="H799" s="454"/>
      <c r="I799" s="455"/>
      <c r="J799" s="456"/>
      <c r="K799" s="457" t="s">
        <v>1416</v>
      </c>
      <c r="L799" s="458"/>
      <c r="M799" s="459"/>
      <c r="N799" s="460"/>
      <c r="O799" s="460"/>
      <c r="P799" s="461"/>
      <c r="Q799" s="458"/>
      <c r="R799" s="459"/>
      <c r="S799" s="459"/>
      <c r="T799" s="459"/>
      <c r="U799" s="459"/>
      <c r="V799" s="459"/>
      <c r="W799" s="459"/>
      <c r="X799" s="459"/>
      <c r="Y799" s="462">
        <f t="shared" si="17"/>
        <v>0</v>
      </c>
      <c r="Z799" s="463"/>
      <c r="AA799" s="464"/>
      <c r="AB799" s="465"/>
      <c r="AC799" s="465"/>
      <c r="AD799" s="465"/>
      <c r="AE799" s="466"/>
      <c r="AF799" s="449"/>
      <c r="AG799" s="449"/>
      <c r="AH799" s="449"/>
    </row>
    <row r="800" ht="11.25" customHeight="1">
      <c r="A800" s="450"/>
      <c r="B800" s="451"/>
      <c r="C800" s="452"/>
      <c r="D800" s="452"/>
      <c r="E800" s="453"/>
      <c r="F800" s="453"/>
      <c r="G800" s="454"/>
      <c r="H800" s="454"/>
      <c r="I800" s="455"/>
      <c r="J800" s="456"/>
      <c r="K800" s="467" t="s">
        <v>1417</v>
      </c>
      <c r="L800" s="468"/>
      <c r="M800" s="469"/>
      <c r="N800" s="470"/>
      <c r="O800" s="470"/>
      <c r="P800" s="471"/>
      <c r="Q800" s="468"/>
      <c r="R800" s="469"/>
      <c r="S800" s="469"/>
      <c r="T800" s="469"/>
      <c r="U800" s="469"/>
      <c r="V800" s="469"/>
      <c r="W800" s="469"/>
      <c r="X800" s="469"/>
      <c r="Y800" s="462">
        <f t="shared" si="17"/>
        <v>0</v>
      </c>
      <c r="Z800" s="463"/>
      <c r="AA800" s="464"/>
      <c r="AB800" s="465"/>
      <c r="AC800" s="465"/>
      <c r="AD800" s="465"/>
      <c r="AE800" s="466"/>
      <c r="AF800" s="449"/>
      <c r="AG800" s="449"/>
      <c r="AH800" s="449"/>
    </row>
    <row r="801" ht="11.25" customHeight="1">
      <c r="A801" s="450"/>
      <c r="B801" s="472"/>
      <c r="C801" s="473"/>
      <c r="D801" s="473"/>
      <c r="E801" s="474"/>
      <c r="F801" s="474"/>
      <c r="G801" s="475"/>
      <c r="H801" s="475"/>
      <c r="I801" s="476"/>
      <c r="J801" s="477"/>
      <c r="K801" s="478" t="s">
        <v>1418</v>
      </c>
      <c r="L801" s="479"/>
      <c r="M801" s="480"/>
      <c r="N801" s="481"/>
      <c r="O801" s="481"/>
      <c r="P801" s="482"/>
      <c r="Q801" s="479"/>
      <c r="R801" s="480"/>
      <c r="S801" s="480"/>
      <c r="T801" s="480"/>
      <c r="U801" s="480"/>
      <c r="V801" s="480"/>
      <c r="W801" s="480"/>
      <c r="X801" s="480"/>
      <c r="Y801" s="483">
        <f t="shared" si="17"/>
        <v>0</v>
      </c>
      <c r="Z801" s="484"/>
      <c r="AA801" s="485"/>
      <c r="AB801" s="486"/>
      <c r="AC801" s="486"/>
      <c r="AD801" s="486"/>
      <c r="AE801" s="487"/>
      <c r="AF801" s="449"/>
      <c r="AG801" s="449"/>
      <c r="AH801" s="449"/>
    </row>
    <row r="802" ht="11.25" customHeight="1">
      <c r="A802" s="431" t="str">
        <f>IF(B802="","", YEAR(B802))</f>
        <v/>
      </c>
      <c r="B802" s="432"/>
      <c r="C802" s="433"/>
      <c r="D802" s="433"/>
      <c r="E802" s="434" t="str">
        <f t="shared" ref="E802:I802" si="408">IFERROR(AVERAGE(L802:L805),"")</f>
        <v/>
      </c>
      <c r="F802" s="434" t="str">
        <f t="shared" si="408"/>
        <v/>
      </c>
      <c r="G802" s="435" t="str">
        <f t="shared" si="408"/>
        <v/>
      </c>
      <c r="H802" s="435" t="str">
        <f t="shared" si="408"/>
        <v/>
      </c>
      <c r="I802" s="436" t="str">
        <f t="shared" si="408"/>
        <v/>
      </c>
      <c r="J802" s="437">
        <f>SUMIFS(PRODUCTION[KG],PRODUCTION[GRADE],"3X50",PRODUCTION[DATE],B802,PRODUCTION[BATCH],C802,PRODUCTION[SHIFT],D802)</f>
        <v>0</v>
      </c>
      <c r="K802" s="438" t="s">
        <v>1414</v>
      </c>
      <c r="L802" s="443"/>
      <c r="M802" s="440"/>
      <c r="N802" s="441"/>
      <c r="O802" s="441"/>
      <c r="P802" s="442"/>
      <c r="Q802" s="443"/>
      <c r="R802" s="440"/>
      <c r="S802" s="440"/>
      <c r="T802" s="440"/>
      <c r="U802" s="440"/>
      <c r="V802" s="440"/>
      <c r="W802" s="440"/>
      <c r="X802" s="440"/>
      <c r="Y802" s="444">
        <f t="shared" si="17"/>
        <v>0</v>
      </c>
      <c r="Z802" s="445"/>
      <c r="AA802" s="446">
        <f t="shared" ref="AA802:AE802" si="409">$J802*E802</f>
        <v>0</v>
      </c>
      <c r="AB802" s="447">
        <f t="shared" si="409"/>
        <v>0</v>
      </c>
      <c r="AC802" s="447">
        <f t="shared" si="409"/>
        <v>0</v>
      </c>
      <c r="AD802" s="447">
        <f t="shared" si="409"/>
        <v>0</v>
      </c>
      <c r="AE802" s="448">
        <f t="shared" si="409"/>
        <v>0</v>
      </c>
      <c r="AF802" s="449"/>
      <c r="AG802" s="449"/>
      <c r="AH802" s="449"/>
    </row>
    <row r="803" ht="11.25" customHeight="1">
      <c r="A803" s="450"/>
      <c r="B803" s="451"/>
      <c r="C803" s="452"/>
      <c r="D803" s="452"/>
      <c r="E803" s="453"/>
      <c r="F803" s="453"/>
      <c r="G803" s="454"/>
      <c r="H803" s="454"/>
      <c r="I803" s="455"/>
      <c r="J803" s="456"/>
      <c r="K803" s="457" t="s">
        <v>1416</v>
      </c>
      <c r="L803" s="458"/>
      <c r="M803" s="459"/>
      <c r="N803" s="460"/>
      <c r="O803" s="460"/>
      <c r="P803" s="461"/>
      <c r="Q803" s="458"/>
      <c r="R803" s="459"/>
      <c r="S803" s="459"/>
      <c r="T803" s="459"/>
      <c r="U803" s="459"/>
      <c r="V803" s="459"/>
      <c r="W803" s="459"/>
      <c r="X803" s="459"/>
      <c r="Y803" s="462">
        <f t="shared" si="17"/>
        <v>0</v>
      </c>
      <c r="Z803" s="463"/>
      <c r="AA803" s="464"/>
      <c r="AB803" s="465"/>
      <c r="AC803" s="465"/>
      <c r="AD803" s="465"/>
      <c r="AE803" s="466"/>
      <c r="AF803" s="449"/>
      <c r="AG803" s="449"/>
      <c r="AH803" s="449"/>
    </row>
    <row r="804" ht="11.25" customHeight="1">
      <c r="A804" s="450"/>
      <c r="B804" s="451"/>
      <c r="C804" s="452"/>
      <c r="D804" s="452"/>
      <c r="E804" s="453"/>
      <c r="F804" s="453"/>
      <c r="G804" s="454"/>
      <c r="H804" s="454"/>
      <c r="I804" s="455"/>
      <c r="J804" s="456"/>
      <c r="K804" s="467" t="s">
        <v>1417</v>
      </c>
      <c r="L804" s="468"/>
      <c r="M804" s="469"/>
      <c r="N804" s="470"/>
      <c r="O804" s="470"/>
      <c r="P804" s="471"/>
      <c r="Q804" s="468"/>
      <c r="R804" s="469"/>
      <c r="S804" s="469"/>
      <c r="T804" s="469"/>
      <c r="U804" s="469"/>
      <c r="V804" s="469"/>
      <c r="W804" s="469"/>
      <c r="X804" s="469"/>
      <c r="Y804" s="462">
        <f t="shared" si="17"/>
        <v>0</v>
      </c>
      <c r="Z804" s="463"/>
      <c r="AA804" s="464"/>
      <c r="AB804" s="465"/>
      <c r="AC804" s="465"/>
      <c r="AD804" s="465"/>
      <c r="AE804" s="466"/>
      <c r="AF804" s="449"/>
      <c r="AG804" s="449"/>
      <c r="AH804" s="449"/>
    </row>
    <row r="805" ht="11.25" customHeight="1">
      <c r="A805" s="450"/>
      <c r="B805" s="472"/>
      <c r="C805" s="473"/>
      <c r="D805" s="473"/>
      <c r="E805" s="474"/>
      <c r="F805" s="474"/>
      <c r="G805" s="475"/>
      <c r="H805" s="475"/>
      <c r="I805" s="476"/>
      <c r="J805" s="477"/>
      <c r="K805" s="478" t="s">
        <v>1418</v>
      </c>
      <c r="L805" s="479"/>
      <c r="M805" s="480"/>
      <c r="N805" s="481"/>
      <c r="O805" s="481"/>
      <c r="P805" s="482"/>
      <c r="Q805" s="479"/>
      <c r="R805" s="480"/>
      <c r="S805" s="480"/>
      <c r="T805" s="480"/>
      <c r="U805" s="480"/>
      <c r="V805" s="480"/>
      <c r="W805" s="480"/>
      <c r="X805" s="480"/>
      <c r="Y805" s="483">
        <f t="shared" si="17"/>
        <v>0</v>
      </c>
      <c r="Z805" s="484"/>
      <c r="AA805" s="485"/>
      <c r="AB805" s="486"/>
      <c r="AC805" s="486"/>
      <c r="AD805" s="486"/>
      <c r="AE805" s="487"/>
      <c r="AF805" s="449"/>
      <c r="AG805" s="449"/>
      <c r="AH805" s="449"/>
    </row>
    <row r="806" ht="11.25" customHeight="1">
      <c r="A806" s="431" t="str">
        <f>IF(B806="","", YEAR(B806))</f>
        <v/>
      </c>
      <c r="B806" s="432"/>
      <c r="C806" s="433"/>
      <c r="D806" s="433"/>
      <c r="E806" s="434" t="str">
        <f t="shared" ref="E806:I806" si="410">IFERROR(AVERAGE(L806:L809),"")</f>
        <v/>
      </c>
      <c r="F806" s="434" t="str">
        <f t="shared" si="410"/>
        <v/>
      </c>
      <c r="G806" s="435" t="str">
        <f t="shared" si="410"/>
        <v/>
      </c>
      <c r="H806" s="435" t="str">
        <f t="shared" si="410"/>
        <v/>
      </c>
      <c r="I806" s="436" t="str">
        <f t="shared" si="410"/>
        <v/>
      </c>
      <c r="J806" s="437">
        <f>SUMIFS(PRODUCTION[KG],PRODUCTION[GRADE],"3X50",PRODUCTION[DATE],B806,PRODUCTION[BATCH],C806,PRODUCTION[SHIFT],D806)</f>
        <v>0</v>
      </c>
      <c r="K806" s="438" t="s">
        <v>1414</v>
      </c>
      <c r="L806" s="443"/>
      <c r="M806" s="440"/>
      <c r="N806" s="441"/>
      <c r="O806" s="441"/>
      <c r="P806" s="442"/>
      <c r="Q806" s="443"/>
      <c r="R806" s="440"/>
      <c r="S806" s="440"/>
      <c r="T806" s="440"/>
      <c r="U806" s="440"/>
      <c r="V806" s="440"/>
      <c r="W806" s="440"/>
      <c r="X806" s="440"/>
      <c r="Y806" s="444">
        <f t="shared" si="17"/>
        <v>0</v>
      </c>
      <c r="Z806" s="445"/>
      <c r="AA806" s="446">
        <f t="shared" ref="AA806:AE806" si="411">$J806*E806</f>
        <v>0</v>
      </c>
      <c r="AB806" s="447">
        <f t="shared" si="411"/>
        <v>0</v>
      </c>
      <c r="AC806" s="447">
        <f t="shared" si="411"/>
        <v>0</v>
      </c>
      <c r="AD806" s="447">
        <f t="shared" si="411"/>
        <v>0</v>
      </c>
      <c r="AE806" s="448">
        <f t="shared" si="411"/>
        <v>0</v>
      </c>
      <c r="AF806" s="449"/>
      <c r="AG806" s="449"/>
      <c r="AH806" s="449"/>
    </row>
    <row r="807" ht="11.25" customHeight="1">
      <c r="A807" s="450"/>
      <c r="B807" s="451"/>
      <c r="C807" s="452"/>
      <c r="D807" s="452"/>
      <c r="E807" s="453"/>
      <c r="F807" s="453"/>
      <c r="G807" s="454"/>
      <c r="H807" s="454"/>
      <c r="I807" s="455"/>
      <c r="J807" s="456"/>
      <c r="K807" s="457" t="s">
        <v>1416</v>
      </c>
      <c r="L807" s="458"/>
      <c r="M807" s="459"/>
      <c r="N807" s="460"/>
      <c r="O807" s="460"/>
      <c r="P807" s="461"/>
      <c r="Q807" s="458"/>
      <c r="R807" s="459"/>
      <c r="S807" s="459"/>
      <c r="T807" s="459"/>
      <c r="U807" s="459"/>
      <c r="V807" s="459"/>
      <c r="W807" s="459"/>
      <c r="X807" s="459"/>
      <c r="Y807" s="462">
        <f t="shared" si="17"/>
        <v>0</v>
      </c>
      <c r="Z807" s="463"/>
      <c r="AA807" s="464"/>
      <c r="AB807" s="465"/>
      <c r="AC807" s="465"/>
      <c r="AD807" s="465"/>
      <c r="AE807" s="466"/>
      <c r="AF807" s="449"/>
      <c r="AG807" s="449"/>
      <c r="AH807" s="449"/>
    </row>
    <row r="808" ht="11.25" customHeight="1">
      <c r="A808" s="450"/>
      <c r="B808" s="451"/>
      <c r="C808" s="452"/>
      <c r="D808" s="452"/>
      <c r="E808" s="453"/>
      <c r="F808" s="453"/>
      <c r="G808" s="454"/>
      <c r="H808" s="454"/>
      <c r="I808" s="455"/>
      <c r="J808" s="456"/>
      <c r="K808" s="467" t="s">
        <v>1417</v>
      </c>
      <c r="L808" s="468"/>
      <c r="M808" s="469"/>
      <c r="N808" s="470"/>
      <c r="O808" s="470"/>
      <c r="P808" s="471"/>
      <c r="Q808" s="468"/>
      <c r="R808" s="469"/>
      <c r="S808" s="469"/>
      <c r="T808" s="469"/>
      <c r="U808" s="469"/>
      <c r="V808" s="469"/>
      <c r="W808" s="469"/>
      <c r="X808" s="469"/>
      <c r="Y808" s="462">
        <f t="shared" si="17"/>
        <v>0</v>
      </c>
      <c r="Z808" s="463"/>
      <c r="AA808" s="464"/>
      <c r="AB808" s="465"/>
      <c r="AC808" s="465"/>
      <c r="AD808" s="465"/>
      <c r="AE808" s="466"/>
      <c r="AF808" s="449"/>
      <c r="AG808" s="449"/>
      <c r="AH808" s="449"/>
    </row>
    <row r="809" ht="11.25" customHeight="1">
      <c r="A809" s="450"/>
      <c r="B809" s="472"/>
      <c r="C809" s="473"/>
      <c r="D809" s="473"/>
      <c r="E809" s="474"/>
      <c r="F809" s="474"/>
      <c r="G809" s="475"/>
      <c r="H809" s="475"/>
      <c r="I809" s="476"/>
      <c r="J809" s="477"/>
      <c r="K809" s="478" t="s">
        <v>1418</v>
      </c>
      <c r="L809" s="479"/>
      <c r="M809" s="480"/>
      <c r="N809" s="481"/>
      <c r="O809" s="481"/>
      <c r="P809" s="482"/>
      <c r="Q809" s="479"/>
      <c r="R809" s="480"/>
      <c r="S809" s="480"/>
      <c r="T809" s="480"/>
      <c r="U809" s="480"/>
      <c r="V809" s="480"/>
      <c r="W809" s="480"/>
      <c r="X809" s="480"/>
      <c r="Y809" s="483">
        <f t="shared" si="17"/>
        <v>0</v>
      </c>
      <c r="Z809" s="484"/>
      <c r="AA809" s="485"/>
      <c r="AB809" s="486"/>
      <c r="AC809" s="486"/>
      <c r="AD809" s="486"/>
      <c r="AE809" s="487"/>
      <c r="AF809" s="449"/>
      <c r="AG809" s="449"/>
      <c r="AH809" s="449"/>
    </row>
    <row r="810" ht="11.25" customHeight="1">
      <c r="A810" s="431" t="str">
        <f>IF(B810="","", YEAR(B810))</f>
        <v/>
      </c>
      <c r="B810" s="432"/>
      <c r="C810" s="433"/>
      <c r="D810" s="433"/>
      <c r="E810" s="434" t="str">
        <f t="shared" ref="E810:I810" si="412">IFERROR(AVERAGE(L810:L813),"")</f>
        <v/>
      </c>
      <c r="F810" s="434" t="str">
        <f t="shared" si="412"/>
        <v/>
      </c>
      <c r="G810" s="435" t="str">
        <f t="shared" si="412"/>
        <v/>
      </c>
      <c r="H810" s="435" t="str">
        <f t="shared" si="412"/>
        <v/>
      </c>
      <c r="I810" s="436" t="str">
        <f t="shared" si="412"/>
        <v/>
      </c>
      <c r="J810" s="437">
        <f>SUMIFS(PRODUCTION[KG],PRODUCTION[GRADE],"3X50",PRODUCTION[DATE],B810,PRODUCTION[BATCH],C810,PRODUCTION[SHIFT],D810)</f>
        <v>0</v>
      </c>
      <c r="K810" s="438" t="s">
        <v>1414</v>
      </c>
      <c r="L810" s="443"/>
      <c r="M810" s="440"/>
      <c r="N810" s="441"/>
      <c r="O810" s="441"/>
      <c r="P810" s="442"/>
      <c r="Q810" s="443"/>
      <c r="R810" s="440"/>
      <c r="S810" s="440"/>
      <c r="T810" s="440"/>
      <c r="U810" s="440"/>
      <c r="V810" s="440"/>
      <c r="W810" s="440"/>
      <c r="X810" s="440"/>
      <c r="Y810" s="444">
        <f t="shared" si="17"/>
        <v>0</v>
      </c>
      <c r="Z810" s="445"/>
      <c r="AA810" s="446">
        <f t="shared" ref="AA810:AE810" si="413">$J810*E810</f>
        <v>0</v>
      </c>
      <c r="AB810" s="447">
        <f t="shared" si="413"/>
        <v>0</v>
      </c>
      <c r="AC810" s="447">
        <f t="shared" si="413"/>
        <v>0</v>
      </c>
      <c r="AD810" s="447">
        <f t="shared" si="413"/>
        <v>0</v>
      </c>
      <c r="AE810" s="448">
        <f t="shared" si="413"/>
        <v>0</v>
      </c>
      <c r="AF810" s="449"/>
      <c r="AG810" s="449"/>
      <c r="AH810" s="449"/>
    </row>
    <row r="811" ht="11.25" customHeight="1">
      <c r="A811" s="450"/>
      <c r="B811" s="451"/>
      <c r="C811" s="452"/>
      <c r="D811" s="452"/>
      <c r="E811" s="453"/>
      <c r="F811" s="453"/>
      <c r="G811" s="454"/>
      <c r="H811" s="454"/>
      <c r="I811" s="455"/>
      <c r="J811" s="456"/>
      <c r="K811" s="457" t="s">
        <v>1416</v>
      </c>
      <c r="L811" s="458"/>
      <c r="M811" s="459"/>
      <c r="N811" s="460"/>
      <c r="O811" s="460"/>
      <c r="P811" s="461"/>
      <c r="Q811" s="458"/>
      <c r="R811" s="459"/>
      <c r="S811" s="459"/>
      <c r="T811" s="459"/>
      <c r="U811" s="459"/>
      <c r="V811" s="459"/>
      <c r="W811" s="459"/>
      <c r="X811" s="459"/>
      <c r="Y811" s="462">
        <f t="shared" si="17"/>
        <v>0</v>
      </c>
      <c r="Z811" s="463"/>
      <c r="AA811" s="464"/>
      <c r="AB811" s="465"/>
      <c r="AC811" s="465"/>
      <c r="AD811" s="465"/>
      <c r="AE811" s="466"/>
      <c r="AF811" s="449"/>
      <c r="AG811" s="449"/>
      <c r="AH811" s="449"/>
    </row>
    <row r="812" ht="11.25" customHeight="1">
      <c r="A812" s="450"/>
      <c r="B812" s="451"/>
      <c r="C812" s="452"/>
      <c r="D812" s="452"/>
      <c r="E812" s="453"/>
      <c r="F812" s="453"/>
      <c r="G812" s="454"/>
      <c r="H812" s="454"/>
      <c r="I812" s="455"/>
      <c r="J812" s="456"/>
      <c r="K812" s="467" t="s">
        <v>1417</v>
      </c>
      <c r="L812" s="468"/>
      <c r="M812" s="469"/>
      <c r="N812" s="470"/>
      <c r="O812" s="470"/>
      <c r="P812" s="471"/>
      <c r="Q812" s="468"/>
      <c r="R812" s="469"/>
      <c r="S812" s="469"/>
      <c r="T812" s="469"/>
      <c r="U812" s="469"/>
      <c r="V812" s="469"/>
      <c r="W812" s="469"/>
      <c r="X812" s="469"/>
      <c r="Y812" s="462">
        <f t="shared" si="17"/>
        <v>0</v>
      </c>
      <c r="Z812" s="463"/>
      <c r="AA812" s="464"/>
      <c r="AB812" s="465"/>
      <c r="AC812" s="465"/>
      <c r="AD812" s="465"/>
      <c r="AE812" s="466"/>
      <c r="AF812" s="449"/>
      <c r="AG812" s="449"/>
      <c r="AH812" s="449"/>
    </row>
    <row r="813" ht="11.25" customHeight="1">
      <c r="A813" s="450"/>
      <c r="B813" s="472"/>
      <c r="C813" s="473"/>
      <c r="D813" s="473"/>
      <c r="E813" s="474"/>
      <c r="F813" s="474"/>
      <c r="G813" s="475"/>
      <c r="H813" s="475"/>
      <c r="I813" s="476"/>
      <c r="J813" s="477"/>
      <c r="K813" s="478" t="s">
        <v>1418</v>
      </c>
      <c r="L813" s="479"/>
      <c r="M813" s="480"/>
      <c r="N813" s="481"/>
      <c r="O813" s="481"/>
      <c r="P813" s="482"/>
      <c r="Q813" s="479"/>
      <c r="R813" s="480"/>
      <c r="S813" s="480"/>
      <c r="T813" s="480"/>
      <c r="U813" s="480"/>
      <c r="V813" s="480"/>
      <c r="W813" s="480"/>
      <c r="X813" s="480"/>
      <c r="Y813" s="483">
        <f t="shared" si="17"/>
        <v>0</v>
      </c>
      <c r="Z813" s="484"/>
      <c r="AA813" s="485"/>
      <c r="AB813" s="486"/>
      <c r="AC813" s="486"/>
      <c r="AD813" s="486"/>
      <c r="AE813" s="487"/>
      <c r="AF813" s="449"/>
      <c r="AG813" s="449"/>
      <c r="AH813" s="449"/>
    </row>
    <row r="814" ht="11.25" customHeight="1">
      <c r="A814" s="431" t="str">
        <f>IF(B814="","", YEAR(B814))</f>
        <v/>
      </c>
      <c r="B814" s="432"/>
      <c r="C814" s="433"/>
      <c r="D814" s="433"/>
      <c r="E814" s="434" t="str">
        <f t="shared" ref="E814:I814" si="414">IFERROR(AVERAGE(L814:L817),"")</f>
        <v/>
      </c>
      <c r="F814" s="434" t="str">
        <f t="shared" si="414"/>
        <v/>
      </c>
      <c r="G814" s="435" t="str">
        <f t="shared" si="414"/>
        <v/>
      </c>
      <c r="H814" s="435" t="str">
        <f t="shared" si="414"/>
        <v/>
      </c>
      <c r="I814" s="436" t="str">
        <f t="shared" si="414"/>
        <v/>
      </c>
      <c r="J814" s="437">
        <f>SUMIFS(PRODUCTION[KG],PRODUCTION[GRADE],"3X50",PRODUCTION[DATE],B814,PRODUCTION[BATCH],C814,PRODUCTION[SHIFT],D814)</f>
        <v>0</v>
      </c>
      <c r="K814" s="438" t="s">
        <v>1414</v>
      </c>
      <c r="L814" s="443"/>
      <c r="M814" s="440"/>
      <c r="N814" s="441"/>
      <c r="O814" s="441"/>
      <c r="P814" s="442"/>
      <c r="Q814" s="443"/>
      <c r="R814" s="440"/>
      <c r="S814" s="440"/>
      <c r="T814" s="440"/>
      <c r="U814" s="440"/>
      <c r="V814" s="440"/>
      <c r="W814" s="440"/>
      <c r="X814" s="440"/>
      <c r="Y814" s="444">
        <f t="shared" si="17"/>
        <v>0</v>
      </c>
      <c r="Z814" s="445"/>
      <c r="AA814" s="446">
        <f t="shared" ref="AA814:AE814" si="415">$J814*E814</f>
        <v>0</v>
      </c>
      <c r="AB814" s="447">
        <f t="shared" si="415"/>
        <v>0</v>
      </c>
      <c r="AC814" s="447">
        <f t="shared" si="415"/>
        <v>0</v>
      </c>
      <c r="AD814" s="447">
        <f t="shared" si="415"/>
        <v>0</v>
      </c>
      <c r="AE814" s="448">
        <f t="shared" si="415"/>
        <v>0</v>
      </c>
      <c r="AF814" s="449"/>
      <c r="AG814" s="449"/>
      <c r="AH814" s="449"/>
    </row>
    <row r="815" ht="11.25" customHeight="1">
      <c r="A815" s="450"/>
      <c r="B815" s="451"/>
      <c r="C815" s="452"/>
      <c r="D815" s="452"/>
      <c r="E815" s="453"/>
      <c r="F815" s="453"/>
      <c r="G815" s="454"/>
      <c r="H815" s="454"/>
      <c r="I815" s="455"/>
      <c r="J815" s="456"/>
      <c r="K815" s="457" t="s">
        <v>1416</v>
      </c>
      <c r="L815" s="458"/>
      <c r="M815" s="459"/>
      <c r="N815" s="460"/>
      <c r="O815" s="460"/>
      <c r="P815" s="461"/>
      <c r="Q815" s="458"/>
      <c r="R815" s="459"/>
      <c r="S815" s="459"/>
      <c r="T815" s="459"/>
      <c r="U815" s="459"/>
      <c r="V815" s="459"/>
      <c r="W815" s="459"/>
      <c r="X815" s="459"/>
      <c r="Y815" s="462">
        <f t="shared" si="17"/>
        <v>0</v>
      </c>
      <c r="Z815" s="463"/>
      <c r="AA815" s="464"/>
      <c r="AB815" s="465"/>
      <c r="AC815" s="465"/>
      <c r="AD815" s="465"/>
      <c r="AE815" s="466"/>
      <c r="AF815" s="449"/>
      <c r="AG815" s="449"/>
      <c r="AH815" s="449"/>
    </row>
    <row r="816" ht="11.25" customHeight="1">
      <c r="A816" s="450"/>
      <c r="B816" s="451"/>
      <c r="C816" s="452"/>
      <c r="D816" s="452"/>
      <c r="E816" s="453"/>
      <c r="F816" s="453"/>
      <c r="G816" s="454"/>
      <c r="H816" s="454"/>
      <c r="I816" s="455"/>
      <c r="J816" s="456"/>
      <c r="K816" s="467" t="s">
        <v>1417</v>
      </c>
      <c r="L816" s="468"/>
      <c r="M816" s="469"/>
      <c r="N816" s="470"/>
      <c r="O816" s="470"/>
      <c r="P816" s="471"/>
      <c r="Q816" s="468"/>
      <c r="R816" s="469"/>
      <c r="S816" s="469"/>
      <c r="T816" s="469"/>
      <c r="U816" s="469"/>
      <c r="V816" s="469"/>
      <c r="W816" s="469"/>
      <c r="X816" s="469"/>
      <c r="Y816" s="462">
        <f t="shared" si="17"/>
        <v>0</v>
      </c>
      <c r="Z816" s="463"/>
      <c r="AA816" s="464"/>
      <c r="AB816" s="465"/>
      <c r="AC816" s="465"/>
      <c r="AD816" s="465"/>
      <c r="AE816" s="466"/>
      <c r="AF816" s="449"/>
      <c r="AG816" s="449"/>
      <c r="AH816" s="449"/>
    </row>
    <row r="817" ht="11.25" customHeight="1">
      <c r="A817" s="450"/>
      <c r="B817" s="472"/>
      <c r="C817" s="473"/>
      <c r="D817" s="473"/>
      <c r="E817" s="474"/>
      <c r="F817" s="474"/>
      <c r="G817" s="475"/>
      <c r="H817" s="475"/>
      <c r="I817" s="476"/>
      <c r="J817" s="477"/>
      <c r="K817" s="478" t="s">
        <v>1418</v>
      </c>
      <c r="L817" s="479"/>
      <c r="M817" s="480"/>
      <c r="N817" s="481"/>
      <c r="O817" s="481"/>
      <c r="P817" s="482"/>
      <c r="Q817" s="479"/>
      <c r="R817" s="480"/>
      <c r="S817" s="480"/>
      <c r="T817" s="480"/>
      <c r="U817" s="480"/>
      <c r="V817" s="480"/>
      <c r="W817" s="480"/>
      <c r="X817" s="480"/>
      <c r="Y817" s="483">
        <f t="shared" si="17"/>
        <v>0</v>
      </c>
      <c r="Z817" s="484"/>
      <c r="AA817" s="485"/>
      <c r="AB817" s="486"/>
      <c r="AC817" s="486"/>
      <c r="AD817" s="486"/>
      <c r="AE817" s="487"/>
      <c r="AF817" s="449"/>
      <c r="AG817" s="449"/>
      <c r="AH817" s="449"/>
    </row>
    <row r="818" ht="11.25" customHeight="1">
      <c r="A818" s="431" t="str">
        <f>IF(B818="","", YEAR(B818))</f>
        <v/>
      </c>
      <c r="B818" s="432"/>
      <c r="C818" s="433"/>
      <c r="D818" s="433"/>
      <c r="E818" s="434" t="str">
        <f t="shared" ref="E818:I818" si="416">IFERROR(AVERAGE(L818:L821),"")</f>
        <v/>
      </c>
      <c r="F818" s="434" t="str">
        <f t="shared" si="416"/>
        <v/>
      </c>
      <c r="G818" s="435" t="str">
        <f t="shared" si="416"/>
        <v/>
      </c>
      <c r="H818" s="435" t="str">
        <f t="shared" si="416"/>
        <v/>
      </c>
      <c r="I818" s="436" t="str">
        <f t="shared" si="416"/>
        <v/>
      </c>
      <c r="J818" s="437">
        <f>SUMIFS(PRODUCTION[KG],PRODUCTION[GRADE],"3X50",PRODUCTION[DATE],B818,PRODUCTION[BATCH],C818,PRODUCTION[SHIFT],D818)</f>
        <v>0</v>
      </c>
      <c r="K818" s="438" t="s">
        <v>1414</v>
      </c>
      <c r="L818" s="443"/>
      <c r="M818" s="440"/>
      <c r="N818" s="441"/>
      <c r="O818" s="441"/>
      <c r="P818" s="442"/>
      <c r="Q818" s="443"/>
      <c r="R818" s="440"/>
      <c r="S818" s="440"/>
      <c r="T818" s="440"/>
      <c r="U818" s="440"/>
      <c r="V818" s="440"/>
      <c r="W818" s="440"/>
      <c r="X818" s="440"/>
      <c r="Y818" s="444">
        <f t="shared" si="17"/>
        <v>0</v>
      </c>
      <c r="Z818" s="445"/>
      <c r="AA818" s="446">
        <f t="shared" ref="AA818:AE818" si="417">$J818*E818</f>
        <v>0</v>
      </c>
      <c r="AB818" s="447">
        <f t="shared" si="417"/>
        <v>0</v>
      </c>
      <c r="AC818" s="447">
        <f t="shared" si="417"/>
        <v>0</v>
      </c>
      <c r="AD818" s="447">
        <f t="shared" si="417"/>
        <v>0</v>
      </c>
      <c r="AE818" s="448">
        <f t="shared" si="417"/>
        <v>0</v>
      </c>
      <c r="AF818" s="449"/>
      <c r="AG818" s="449"/>
      <c r="AH818" s="449"/>
    </row>
    <row r="819" ht="11.25" customHeight="1">
      <c r="A819" s="450"/>
      <c r="B819" s="451"/>
      <c r="C819" s="452"/>
      <c r="D819" s="452"/>
      <c r="E819" s="453"/>
      <c r="F819" s="453"/>
      <c r="G819" s="454"/>
      <c r="H819" s="454"/>
      <c r="I819" s="455"/>
      <c r="J819" s="456"/>
      <c r="K819" s="457" t="s">
        <v>1416</v>
      </c>
      <c r="L819" s="458"/>
      <c r="M819" s="459"/>
      <c r="N819" s="460"/>
      <c r="O819" s="460"/>
      <c r="P819" s="461"/>
      <c r="Q819" s="458"/>
      <c r="R819" s="459"/>
      <c r="S819" s="459"/>
      <c r="T819" s="459"/>
      <c r="U819" s="459"/>
      <c r="V819" s="459"/>
      <c r="W819" s="459"/>
      <c r="X819" s="459"/>
      <c r="Y819" s="462">
        <f t="shared" si="17"/>
        <v>0</v>
      </c>
      <c r="Z819" s="463"/>
      <c r="AA819" s="464"/>
      <c r="AB819" s="465"/>
      <c r="AC819" s="465"/>
      <c r="AD819" s="465"/>
      <c r="AE819" s="466"/>
      <c r="AF819" s="449"/>
      <c r="AG819" s="449"/>
      <c r="AH819" s="449"/>
    </row>
    <row r="820" ht="11.25" customHeight="1">
      <c r="A820" s="450"/>
      <c r="B820" s="451"/>
      <c r="C820" s="452"/>
      <c r="D820" s="452"/>
      <c r="E820" s="453"/>
      <c r="F820" s="453"/>
      <c r="G820" s="454"/>
      <c r="H820" s="454"/>
      <c r="I820" s="455"/>
      <c r="J820" s="456"/>
      <c r="K820" s="467" t="s">
        <v>1417</v>
      </c>
      <c r="L820" s="468"/>
      <c r="M820" s="469"/>
      <c r="N820" s="470"/>
      <c r="O820" s="470"/>
      <c r="P820" s="471"/>
      <c r="Q820" s="468"/>
      <c r="R820" s="469"/>
      <c r="S820" s="469"/>
      <c r="T820" s="469"/>
      <c r="U820" s="469"/>
      <c r="V820" s="469"/>
      <c r="W820" s="469"/>
      <c r="X820" s="469"/>
      <c r="Y820" s="462">
        <f t="shared" si="17"/>
        <v>0</v>
      </c>
      <c r="Z820" s="463"/>
      <c r="AA820" s="464"/>
      <c r="AB820" s="465"/>
      <c r="AC820" s="465"/>
      <c r="AD820" s="465"/>
      <c r="AE820" s="466"/>
      <c r="AF820" s="449"/>
      <c r="AG820" s="449"/>
      <c r="AH820" s="449"/>
    </row>
    <row r="821" ht="11.25" customHeight="1">
      <c r="A821" s="450"/>
      <c r="B821" s="472"/>
      <c r="C821" s="473"/>
      <c r="D821" s="473"/>
      <c r="E821" s="474"/>
      <c r="F821" s="474"/>
      <c r="G821" s="475"/>
      <c r="H821" s="475"/>
      <c r="I821" s="476"/>
      <c r="J821" s="477"/>
      <c r="K821" s="478" t="s">
        <v>1418</v>
      </c>
      <c r="L821" s="479"/>
      <c r="M821" s="480"/>
      <c r="N821" s="481"/>
      <c r="O821" s="481"/>
      <c r="P821" s="482"/>
      <c r="Q821" s="479"/>
      <c r="R821" s="480"/>
      <c r="S821" s="480"/>
      <c r="T821" s="480"/>
      <c r="U821" s="480"/>
      <c r="V821" s="480"/>
      <c r="W821" s="480"/>
      <c r="X821" s="480"/>
      <c r="Y821" s="483">
        <f t="shared" si="17"/>
        <v>0</v>
      </c>
      <c r="Z821" s="484"/>
      <c r="AA821" s="485"/>
      <c r="AB821" s="486"/>
      <c r="AC821" s="486"/>
      <c r="AD821" s="486"/>
      <c r="AE821" s="487"/>
      <c r="AF821" s="449"/>
      <c r="AG821" s="449"/>
      <c r="AH821" s="449"/>
    </row>
    <row r="822" ht="11.25" customHeight="1">
      <c r="A822" s="431" t="str">
        <f>IF(B822="","", YEAR(B822))</f>
        <v/>
      </c>
      <c r="B822" s="432"/>
      <c r="C822" s="433"/>
      <c r="D822" s="433"/>
      <c r="E822" s="434" t="str">
        <f t="shared" ref="E822:I822" si="418">IFERROR(AVERAGE(L822:L825),"")</f>
        <v/>
      </c>
      <c r="F822" s="434" t="str">
        <f t="shared" si="418"/>
        <v/>
      </c>
      <c r="G822" s="435" t="str">
        <f t="shared" si="418"/>
        <v/>
      </c>
      <c r="H822" s="435" t="str">
        <f t="shared" si="418"/>
        <v/>
      </c>
      <c r="I822" s="436" t="str">
        <f t="shared" si="418"/>
        <v/>
      </c>
      <c r="J822" s="437">
        <f>SUMIFS(PRODUCTION[KG],PRODUCTION[GRADE],"3X50",PRODUCTION[DATE],B822,PRODUCTION[BATCH],C822,PRODUCTION[SHIFT],D822)</f>
        <v>0</v>
      </c>
      <c r="K822" s="438" t="s">
        <v>1414</v>
      </c>
      <c r="L822" s="443"/>
      <c r="M822" s="440"/>
      <c r="N822" s="441"/>
      <c r="O822" s="441"/>
      <c r="P822" s="442"/>
      <c r="Q822" s="443"/>
      <c r="R822" s="440"/>
      <c r="S822" s="440"/>
      <c r="T822" s="440"/>
      <c r="U822" s="440"/>
      <c r="V822" s="440"/>
      <c r="W822" s="440"/>
      <c r="X822" s="440"/>
      <c r="Y822" s="444">
        <f t="shared" si="17"/>
        <v>0</v>
      </c>
      <c r="Z822" s="445"/>
      <c r="AA822" s="446">
        <f t="shared" ref="AA822:AE822" si="419">$J822*E822</f>
        <v>0</v>
      </c>
      <c r="AB822" s="447">
        <f t="shared" si="419"/>
        <v>0</v>
      </c>
      <c r="AC822" s="447">
        <f t="shared" si="419"/>
        <v>0</v>
      </c>
      <c r="AD822" s="447">
        <f t="shared" si="419"/>
        <v>0</v>
      </c>
      <c r="AE822" s="448">
        <f t="shared" si="419"/>
        <v>0</v>
      </c>
      <c r="AF822" s="449"/>
      <c r="AG822" s="449"/>
      <c r="AH822" s="449"/>
    </row>
    <row r="823" ht="11.25" customHeight="1">
      <c r="A823" s="450"/>
      <c r="B823" s="451"/>
      <c r="C823" s="452"/>
      <c r="D823" s="452"/>
      <c r="E823" s="453"/>
      <c r="F823" s="453"/>
      <c r="G823" s="454"/>
      <c r="H823" s="454"/>
      <c r="I823" s="455"/>
      <c r="J823" s="456"/>
      <c r="K823" s="457" t="s">
        <v>1416</v>
      </c>
      <c r="L823" s="458"/>
      <c r="M823" s="459"/>
      <c r="N823" s="460"/>
      <c r="O823" s="460"/>
      <c r="P823" s="461"/>
      <c r="Q823" s="458"/>
      <c r="R823" s="459"/>
      <c r="S823" s="459"/>
      <c r="T823" s="459"/>
      <c r="U823" s="459"/>
      <c r="V823" s="459"/>
      <c r="W823" s="459"/>
      <c r="X823" s="459"/>
      <c r="Y823" s="462">
        <f t="shared" si="17"/>
        <v>0</v>
      </c>
      <c r="Z823" s="463"/>
      <c r="AA823" s="464"/>
      <c r="AB823" s="465"/>
      <c r="AC823" s="465"/>
      <c r="AD823" s="465"/>
      <c r="AE823" s="466"/>
      <c r="AF823" s="449"/>
      <c r="AG823" s="449"/>
      <c r="AH823" s="449"/>
    </row>
    <row r="824" ht="11.25" customHeight="1">
      <c r="A824" s="450"/>
      <c r="B824" s="451"/>
      <c r="C824" s="452"/>
      <c r="D824" s="452"/>
      <c r="E824" s="453"/>
      <c r="F824" s="453"/>
      <c r="G824" s="454"/>
      <c r="H824" s="454"/>
      <c r="I824" s="455"/>
      <c r="J824" s="456"/>
      <c r="K824" s="467" t="s">
        <v>1417</v>
      </c>
      <c r="L824" s="468"/>
      <c r="M824" s="469"/>
      <c r="N824" s="470"/>
      <c r="O824" s="470"/>
      <c r="P824" s="471"/>
      <c r="Q824" s="468"/>
      <c r="R824" s="469"/>
      <c r="S824" s="469"/>
      <c r="T824" s="469"/>
      <c r="U824" s="469"/>
      <c r="V824" s="469"/>
      <c r="W824" s="469"/>
      <c r="X824" s="469"/>
      <c r="Y824" s="462">
        <f t="shared" si="17"/>
        <v>0</v>
      </c>
      <c r="Z824" s="463"/>
      <c r="AA824" s="464"/>
      <c r="AB824" s="465"/>
      <c r="AC824" s="465"/>
      <c r="AD824" s="465"/>
      <c r="AE824" s="466"/>
      <c r="AF824" s="449"/>
      <c r="AG824" s="449"/>
      <c r="AH824" s="449"/>
    </row>
    <row r="825" ht="11.25" customHeight="1">
      <c r="A825" s="450"/>
      <c r="B825" s="472"/>
      <c r="C825" s="473"/>
      <c r="D825" s="473"/>
      <c r="E825" s="474"/>
      <c r="F825" s="474"/>
      <c r="G825" s="475"/>
      <c r="H825" s="475"/>
      <c r="I825" s="476"/>
      <c r="J825" s="477"/>
      <c r="K825" s="478" t="s">
        <v>1418</v>
      </c>
      <c r="L825" s="479"/>
      <c r="M825" s="480"/>
      <c r="N825" s="481"/>
      <c r="O825" s="481"/>
      <c r="P825" s="482"/>
      <c r="Q825" s="479"/>
      <c r="R825" s="480"/>
      <c r="S825" s="480"/>
      <c r="T825" s="480"/>
      <c r="U825" s="480"/>
      <c r="V825" s="480"/>
      <c r="W825" s="480"/>
      <c r="X825" s="480"/>
      <c r="Y825" s="483">
        <f t="shared" si="17"/>
        <v>0</v>
      </c>
      <c r="Z825" s="484"/>
      <c r="AA825" s="485"/>
      <c r="AB825" s="486"/>
      <c r="AC825" s="486"/>
      <c r="AD825" s="486"/>
      <c r="AE825" s="487"/>
      <c r="AF825" s="449"/>
      <c r="AG825" s="449"/>
      <c r="AH825" s="449"/>
    </row>
    <row r="826" ht="11.25" customHeight="1">
      <c r="A826" s="431" t="str">
        <f>IF(B826="","", YEAR(B826))</f>
        <v/>
      </c>
      <c r="B826" s="432"/>
      <c r="C826" s="433"/>
      <c r="D826" s="433"/>
      <c r="E826" s="434" t="str">
        <f t="shared" ref="E826:I826" si="420">IFERROR(AVERAGE(L826:L829),"")</f>
        <v/>
      </c>
      <c r="F826" s="434" t="str">
        <f t="shared" si="420"/>
        <v/>
      </c>
      <c r="G826" s="435" t="str">
        <f t="shared" si="420"/>
        <v/>
      </c>
      <c r="H826" s="435" t="str">
        <f t="shared" si="420"/>
        <v/>
      </c>
      <c r="I826" s="436" t="str">
        <f t="shared" si="420"/>
        <v/>
      </c>
      <c r="J826" s="437">
        <f>SUMIFS(PRODUCTION[KG],PRODUCTION[GRADE],"3X50",PRODUCTION[DATE],B826,PRODUCTION[BATCH],C826,PRODUCTION[SHIFT],D826)</f>
        <v>0</v>
      </c>
      <c r="K826" s="438" t="s">
        <v>1414</v>
      </c>
      <c r="L826" s="443"/>
      <c r="M826" s="440"/>
      <c r="N826" s="441"/>
      <c r="O826" s="441"/>
      <c r="P826" s="442"/>
      <c r="Q826" s="443"/>
      <c r="R826" s="440"/>
      <c r="S826" s="440"/>
      <c r="T826" s="440"/>
      <c r="U826" s="440"/>
      <c r="V826" s="440"/>
      <c r="W826" s="440"/>
      <c r="X826" s="440"/>
      <c r="Y826" s="444">
        <f t="shared" si="17"/>
        <v>0</v>
      </c>
      <c r="Z826" s="445"/>
      <c r="AA826" s="446">
        <f t="shared" ref="AA826:AE826" si="421">$J826*E826</f>
        <v>0</v>
      </c>
      <c r="AB826" s="447">
        <f t="shared" si="421"/>
        <v>0</v>
      </c>
      <c r="AC826" s="447">
        <f t="shared" si="421"/>
        <v>0</v>
      </c>
      <c r="AD826" s="447">
        <f t="shared" si="421"/>
        <v>0</v>
      </c>
      <c r="AE826" s="448">
        <f t="shared" si="421"/>
        <v>0</v>
      </c>
      <c r="AF826" s="449"/>
      <c r="AG826" s="449"/>
      <c r="AH826" s="449"/>
    </row>
    <row r="827" ht="11.25" customHeight="1">
      <c r="A827" s="450"/>
      <c r="B827" s="451"/>
      <c r="C827" s="452"/>
      <c r="D827" s="452"/>
      <c r="E827" s="453"/>
      <c r="F827" s="453"/>
      <c r="G827" s="454"/>
      <c r="H827" s="454"/>
      <c r="I827" s="455"/>
      <c r="J827" s="456"/>
      <c r="K827" s="457" t="s">
        <v>1416</v>
      </c>
      <c r="L827" s="458"/>
      <c r="M827" s="459"/>
      <c r="N827" s="460"/>
      <c r="O827" s="460"/>
      <c r="P827" s="461"/>
      <c r="Q827" s="458"/>
      <c r="R827" s="459"/>
      <c r="S827" s="459"/>
      <c r="T827" s="459"/>
      <c r="U827" s="459"/>
      <c r="V827" s="459"/>
      <c r="W827" s="459"/>
      <c r="X827" s="459"/>
      <c r="Y827" s="462">
        <f t="shared" si="17"/>
        <v>0</v>
      </c>
      <c r="Z827" s="463"/>
      <c r="AA827" s="464"/>
      <c r="AB827" s="465"/>
      <c r="AC827" s="465"/>
      <c r="AD827" s="465"/>
      <c r="AE827" s="466"/>
      <c r="AF827" s="449"/>
      <c r="AG827" s="449"/>
      <c r="AH827" s="449"/>
    </row>
    <row r="828" ht="11.25" customHeight="1">
      <c r="A828" s="450"/>
      <c r="B828" s="451"/>
      <c r="C828" s="452"/>
      <c r="D828" s="452"/>
      <c r="E828" s="453"/>
      <c r="F828" s="453"/>
      <c r="G828" s="454"/>
      <c r="H828" s="454"/>
      <c r="I828" s="455"/>
      <c r="J828" s="456"/>
      <c r="K828" s="467" t="s">
        <v>1417</v>
      </c>
      <c r="L828" s="468"/>
      <c r="M828" s="469"/>
      <c r="N828" s="470"/>
      <c r="O828" s="470"/>
      <c r="P828" s="471"/>
      <c r="Q828" s="468"/>
      <c r="R828" s="469"/>
      <c r="S828" s="469"/>
      <c r="T828" s="469"/>
      <c r="U828" s="469"/>
      <c r="V828" s="469"/>
      <c r="W828" s="469"/>
      <c r="X828" s="469"/>
      <c r="Y828" s="462">
        <f t="shared" si="17"/>
        <v>0</v>
      </c>
      <c r="Z828" s="463"/>
      <c r="AA828" s="464"/>
      <c r="AB828" s="465"/>
      <c r="AC828" s="465"/>
      <c r="AD828" s="465"/>
      <c r="AE828" s="466"/>
      <c r="AF828" s="449"/>
      <c r="AG828" s="449"/>
      <c r="AH828" s="449"/>
    </row>
    <row r="829" ht="11.25" customHeight="1">
      <c r="A829" s="450"/>
      <c r="B829" s="472"/>
      <c r="C829" s="473"/>
      <c r="D829" s="473"/>
      <c r="E829" s="474"/>
      <c r="F829" s="474"/>
      <c r="G829" s="475"/>
      <c r="H829" s="475"/>
      <c r="I829" s="476"/>
      <c r="J829" s="477"/>
      <c r="K829" s="478" t="s">
        <v>1418</v>
      </c>
      <c r="L829" s="479"/>
      <c r="M829" s="480"/>
      <c r="N829" s="481"/>
      <c r="O829" s="481"/>
      <c r="P829" s="482"/>
      <c r="Q829" s="479"/>
      <c r="R829" s="480"/>
      <c r="S829" s="480"/>
      <c r="T829" s="480"/>
      <c r="U829" s="480"/>
      <c r="V829" s="480"/>
      <c r="W829" s="480"/>
      <c r="X829" s="480"/>
      <c r="Y829" s="483">
        <f t="shared" si="17"/>
        <v>0</v>
      </c>
      <c r="Z829" s="484"/>
      <c r="AA829" s="485"/>
      <c r="AB829" s="486"/>
      <c r="AC829" s="486"/>
      <c r="AD829" s="486"/>
      <c r="AE829" s="487"/>
      <c r="AF829" s="449"/>
      <c r="AG829" s="449"/>
      <c r="AH829" s="449"/>
    </row>
    <row r="830" ht="11.25" customHeight="1">
      <c r="A830" s="431" t="str">
        <f>IF(B830="","", YEAR(B830))</f>
        <v/>
      </c>
      <c r="B830" s="432"/>
      <c r="C830" s="433"/>
      <c r="D830" s="433"/>
      <c r="E830" s="434" t="str">
        <f t="shared" ref="E830:I830" si="422">IFERROR(AVERAGE(L830:L833),"")</f>
        <v/>
      </c>
      <c r="F830" s="434" t="str">
        <f t="shared" si="422"/>
        <v/>
      </c>
      <c r="G830" s="435" t="str">
        <f t="shared" si="422"/>
        <v/>
      </c>
      <c r="H830" s="435" t="str">
        <f t="shared" si="422"/>
        <v/>
      </c>
      <c r="I830" s="436" t="str">
        <f t="shared" si="422"/>
        <v/>
      </c>
      <c r="J830" s="437">
        <f>SUMIFS(PRODUCTION[KG],PRODUCTION[GRADE],"3X50",PRODUCTION[DATE],B830,PRODUCTION[BATCH],C830,PRODUCTION[SHIFT],D830)</f>
        <v>0</v>
      </c>
      <c r="K830" s="438" t="s">
        <v>1414</v>
      </c>
      <c r="L830" s="443"/>
      <c r="M830" s="440"/>
      <c r="N830" s="441"/>
      <c r="O830" s="441"/>
      <c r="P830" s="442"/>
      <c r="Q830" s="443"/>
      <c r="R830" s="440"/>
      <c r="S830" s="440"/>
      <c r="T830" s="440"/>
      <c r="U830" s="440"/>
      <c r="V830" s="440"/>
      <c r="W830" s="440"/>
      <c r="X830" s="440"/>
      <c r="Y830" s="444">
        <f t="shared" si="17"/>
        <v>0</v>
      </c>
      <c r="Z830" s="445"/>
      <c r="AA830" s="446">
        <f t="shared" ref="AA830:AE830" si="423">$J830*E830</f>
        <v>0</v>
      </c>
      <c r="AB830" s="447">
        <f t="shared" si="423"/>
        <v>0</v>
      </c>
      <c r="AC830" s="447">
        <f t="shared" si="423"/>
        <v>0</v>
      </c>
      <c r="AD830" s="447">
        <f t="shared" si="423"/>
        <v>0</v>
      </c>
      <c r="AE830" s="448">
        <f t="shared" si="423"/>
        <v>0</v>
      </c>
      <c r="AF830" s="449"/>
      <c r="AG830" s="449"/>
      <c r="AH830" s="449"/>
    </row>
    <row r="831" ht="11.25" customHeight="1">
      <c r="A831" s="450"/>
      <c r="B831" s="451"/>
      <c r="C831" s="452"/>
      <c r="D831" s="452"/>
      <c r="E831" s="453"/>
      <c r="F831" s="453"/>
      <c r="G831" s="454"/>
      <c r="H831" s="454"/>
      <c r="I831" s="455"/>
      <c r="J831" s="456"/>
      <c r="K831" s="457" t="s">
        <v>1416</v>
      </c>
      <c r="L831" s="458"/>
      <c r="M831" s="459"/>
      <c r="N831" s="460"/>
      <c r="O831" s="460"/>
      <c r="P831" s="461"/>
      <c r="Q831" s="458"/>
      <c r="R831" s="459"/>
      <c r="S831" s="459"/>
      <c r="T831" s="459"/>
      <c r="U831" s="459"/>
      <c r="V831" s="459"/>
      <c r="W831" s="459"/>
      <c r="X831" s="459"/>
      <c r="Y831" s="462">
        <f t="shared" si="17"/>
        <v>0</v>
      </c>
      <c r="Z831" s="463"/>
      <c r="AA831" s="464"/>
      <c r="AB831" s="465"/>
      <c r="AC831" s="465"/>
      <c r="AD831" s="465"/>
      <c r="AE831" s="466"/>
      <c r="AF831" s="449"/>
      <c r="AG831" s="449"/>
      <c r="AH831" s="449"/>
    </row>
    <row r="832" ht="11.25" customHeight="1">
      <c r="A832" s="450"/>
      <c r="B832" s="451"/>
      <c r="C832" s="452"/>
      <c r="D832" s="452"/>
      <c r="E832" s="453"/>
      <c r="F832" s="453"/>
      <c r="G832" s="454"/>
      <c r="H832" s="454"/>
      <c r="I832" s="455"/>
      <c r="J832" s="456"/>
      <c r="K832" s="467" t="s">
        <v>1417</v>
      </c>
      <c r="L832" s="468"/>
      <c r="M832" s="469"/>
      <c r="N832" s="470"/>
      <c r="O832" s="470"/>
      <c r="P832" s="471"/>
      <c r="Q832" s="468"/>
      <c r="R832" s="469"/>
      <c r="S832" s="469"/>
      <c r="T832" s="469"/>
      <c r="U832" s="469"/>
      <c r="V832" s="469"/>
      <c r="W832" s="469"/>
      <c r="X832" s="469"/>
      <c r="Y832" s="462">
        <f t="shared" si="17"/>
        <v>0</v>
      </c>
      <c r="Z832" s="463"/>
      <c r="AA832" s="464"/>
      <c r="AB832" s="465"/>
      <c r="AC832" s="465"/>
      <c r="AD832" s="465"/>
      <c r="AE832" s="466"/>
      <c r="AF832" s="449"/>
      <c r="AG832" s="449"/>
      <c r="AH832" s="449"/>
    </row>
    <row r="833" ht="11.25" customHeight="1">
      <c r="A833" s="450"/>
      <c r="B833" s="472"/>
      <c r="C833" s="473"/>
      <c r="D833" s="473"/>
      <c r="E833" s="474"/>
      <c r="F833" s="474"/>
      <c r="G833" s="475"/>
      <c r="H833" s="475"/>
      <c r="I833" s="476"/>
      <c r="J833" s="477"/>
      <c r="K833" s="478" t="s">
        <v>1418</v>
      </c>
      <c r="L833" s="479"/>
      <c r="M833" s="480"/>
      <c r="N833" s="481"/>
      <c r="O833" s="481"/>
      <c r="P833" s="482"/>
      <c r="Q833" s="479"/>
      <c r="R833" s="480"/>
      <c r="S833" s="480"/>
      <c r="T833" s="480"/>
      <c r="U833" s="480"/>
      <c r="V833" s="480"/>
      <c r="W833" s="480"/>
      <c r="X833" s="480"/>
      <c r="Y833" s="483">
        <f t="shared" si="17"/>
        <v>0</v>
      </c>
      <c r="Z833" s="484"/>
      <c r="AA833" s="485"/>
      <c r="AB833" s="486"/>
      <c r="AC833" s="486"/>
      <c r="AD833" s="486"/>
      <c r="AE833" s="487"/>
      <c r="AF833" s="449"/>
      <c r="AG833" s="449"/>
      <c r="AH833" s="449"/>
    </row>
    <row r="834" ht="11.25" customHeight="1">
      <c r="A834" s="431" t="str">
        <f>IF(B834="","", YEAR(B834))</f>
        <v/>
      </c>
      <c r="B834" s="432"/>
      <c r="C834" s="433"/>
      <c r="D834" s="433"/>
      <c r="E834" s="434" t="str">
        <f t="shared" ref="E834:I834" si="424">IFERROR(AVERAGE(L834:L837),"")</f>
        <v/>
      </c>
      <c r="F834" s="434" t="str">
        <f t="shared" si="424"/>
        <v/>
      </c>
      <c r="G834" s="435" t="str">
        <f t="shared" si="424"/>
        <v/>
      </c>
      <c r="H834" s="435" t="str">
        <f t="shared" si="424"/>
        <v/>
      </c>
      <c r="I834" s="436" t="str">
        <f t="shared" si="424"/>
        <v/>
      </c>
      <c r="J834" s="437">
        <f>SUMIFS(PRODUCTION[KG],PRODUCTION[GRADE],"3X50",PRODUCTION[DATE],B834,PRODUCTION[BATCH],C834,PRODUCTION[SHIFT],D834)</f>
        <v>0</v>
      </c>
      <c r="K834" s="438" t="s">
        <v>1414</v>
      </c>
      <c r="L834" s="443"/>
      <c r="M834" s="440"/>
      <c r="N834" s="441"/>
      <c r="O834" s="441"/>
      <c r="P834" s="442"/>
      <c r="Q834" s="443"/>
      <c r="R834" s="440"/>
      <c r="S834" s="440"/>
      <c r="T834" s="440"/>
      <c r="U834" s="440"/>
      <c r="V834" s="440"/>
      <c r="W834" s="440"/>
      <c r="X834" s="440"/>
      <c r="Y834" s="444">
        <f t="shared" si="17"/>
        <v>0</v>
      </c>
      <c r="Z834" s="445"/>
      <c r="AA834" s="446">
        <f t="shared" ref="AA834:AE834" si="425">$J834*E834</f>
        <v>0</v>
      </c>
      <c r="AB834" s="447">
        <f t="shared" si="425"/>
        <v>0</v>
      </c>
      <c r="AC834" s="447">
        <f t="shared" si="425"/>
        <v>0</v>
      </c>
      <c r="AD834" s="447">
        <f t="shared" si="425"/>
        <v>0</v>
      </c>
      <c r="AE834" s="448">
        <f t="shared" si="425"/>
        <v>0</v>
      </c>
      <c r="AF834" s="449"/>
      <c r="AG834" s="449"/>
      <c r="AH834" s="449"/>
    </row>
    <row r="835" ht="11.25" customHeight="1">
      <c r="A835" s="450"/>
      <c r="B835" s="451"/>
      <c r="C835" s="452"/>
      <c r="D835" s="452"/>
      <c r="E835" s="453"/>
      <c r="F835" s="453"/>
      <c r="G835" s="454"/>
      <c r="H835" s="454"/>
      <c r="I835" s="455"/>
      <c r="J835" s="456"/>
      <c r="K835" s="457" t="s">
        <v>1416</v>
      </c>
      <c r="L835" s="458"/>
      <c r="M835" s="459"/>
      <c r="N835" s="460"/>
      <c r="O835" s="460"/>
      <c r="P835" s="461"/>
      <c r="Q835" s="458"/>
      <c r="R835" s="459"/>
      <c r="S835" s="459"/>
      <c r="T835" s="459"/>
      <c r="U835" s="459"/>
      <c r="V835" s="459"/>
      <c r="W835" s="459"/>
      <c r="X835" s="459"/>
      <c r="Y835" s="462">
        <f t="shared" si="17"/>
        <v>0</v>
      </c>
      <c r="Z835" s="463"/>
      <c r="AA835" s="464"/>
      <c r="AB835" s="465"/>
      <c r="AC835" s="465"/>
      <c r="AD835" s="465"/>
      <c r="AE835" s="466"/>
      <c r="AF835" s="449"/>
      <c r="AG835" s="449"/>
      <c r="AH835" s="449"/>
    </row>
    <row r="836" ht="11.25" customHeight="1">
      <c r="A836" s="450"/>
      <c r="B836" s="451"/>
      <c r="C836" s="452"/>
      <c r="D836" s="452"/>
      <c r="E836" s="453"/>
      <c r="F836" s="453"/>
      <c r="G836" s="454"/>
      <c r="H836" s="454"/>
      <c r="I836" s="455"/>
      <c r="J836" s="456"/>
      <c r="K836" s="467" t="s">
        <v>1417</v>
      </c>
      <c r="L836" s="468"/>
      <c r="M836" s="469"/>
      <c r="N836" s="470"/>
      <c r="O836" s="470"/>
      <c r="P836" s="471"/>
      <c r="Q836" s="468"/>
      <c r="R836" s="469"/>
      <c r="S836" s="469"/>
      <c r="T836" s="469"/>
      <c r="U836" s="469"/>
      <c r="V836" s="469"/>
      <c r="W836" s="469"/>
      <c r="X836" s="469"/>
      <c r="Y836" s="462">
        <f t="shared" si="17"/>
        <v>0</v>
      </c>
      <c r="Z836" s="463"/>
      <c r="AA836" s="464"/>
      <c r="AB836" s="465"/>
      <c r="AC836" s="465"/>
      <c r="AD836" s="465"/>
      <c r="AE836" s="466"/>
      <c r="AF836" s="449"/>
      <c r="AG836" s="449"/>
      <c r="AH836" s="449"/>
    </row>
    <row r="837" ht="11.25" customHeight="1">
      <c r="A837" s="450"/>
      <c r="B837" s="472"/>
      <c r="C837" s="473"/>
      <c r="D837" s="473"/>
      <c r="E837" s="474"/>
      <c r="F837" s="474"/>
      <c r="G837" s="475"/>
      <c r="H837" s="475"/>
      <c r="I837" s="476"/>
      <c r="J837" s="477"/>
      <c r="K837" s="478" t="s">
        <v>1418</v>
      </c>
      <c r="L837" s="479"/>
      <c r="M837" s="480"/>
      <c r="N837" s="481"/>
      <c r="O837" s="481"/>
      <c r="P837" s="482"/>
      <c r="Q837" s="479"/>
      <c r="R837" s="480"/>
      <c r="S837" s="480"/>
      <c r="T837" s="480"/>
      <c r="U837" s="480"/>
      <c r="V837" s="480"/>
      <c r="W837" s="480"/>
      <c r="X837" s="480"/>
      <c r="Y837" s="483">
        <f t="shared" si="17"/>
        <v>0</v>
      </c>
      <c r="Z837" s="484"/>
      <c r="AA837" s="485"/>
      <c r="AB837" s="486"/>
      <c r="AC837" s="486"/>
      <c r="AD837" s="486"/>
      <c r="AE837" s="487"/>
      <c r="AF837" s="449"/>
      <c r="AG837" s="449"/>
      <c r="AH837" s="449"/>
    </row>
    <row r="838" ht="11.25" customHeight="1">
      <c r="A838" s="431" t="str">
        <f>IF(B838="","", YEAR(B838))</f>
        <v/>
      </c>
      <c r="B838" s="432"/>
      <c r="C838" s="433"/>
      <c r="D838" s="433"/>
      <c r="E838" s="434" t="str">
        <f t="shared" ref="E838:I838" si="426">IFERROR(AVERAGE(L838:L841),"")</f>
        <v/>
      </c>
      <c r="F838" s="434" t="str">
        <f t="shared" si="426"/>
        <v/>
      </c>
      <c r="G838" s="435" t="str">
        <f t="shared" si="426"/>
        <v/>
      </c>
      <c r="H838" s="435" t="str">
        <f t="shared" si="426"/>
        <v/>
      </c>
      <c r="I838" s="436" t="str">
        <f t="shared" si="426"/>
        <v/>
      </c>
      <c r="J838" s="437">
        <f>SUMIFS(PRODUCTION[KG],PRODUCTION[GRADE],"3X50",PRODUCTION[DATE],B838,PRODUCTION[BATCH],C838,PRODUCTION[SHIFT],D838)</f>
        <v>0</v>
      </c>
      <c r="K838" s="438" t="s">
        <v>1414</v>
      </c>
      <c r="L838" s="443"/>
      <c r="M838" s="440"/>
      <c r="N838" s="441"/>
      <c r="O838" s="441"/>
      <c r="P838" s="442"/>
      <c r="Q838" s="443"/>
      <c r="R838" s="440"/>
      <c r="S838" s="440"/>
      <c r="T838" s="440"/>
      <c r="U838" s="440"/>
      <c r="V838" s="440"/>
      <c r="W838" s="440"/>
      <c r="X838" s="440"/>
      <c r="Y838" s="444">
        <f t="shared" si="17"/>
        <v>0</v>
      </c>
      <c r="Z838" s="445"/>
      <c r="AA838" s="446">
        <f t="shared" ref="AA838:AE838" si="427">$J838*E838</f>
        <v>0</v>
      </c>
      <c r="AB838" s="447">
        <f t="shared" si="427"/>
        <v>0</v>
      </c>
      <c r="AC838" s="447">
        <f t="shared" si="427"/>
        <v>0</v>
      </c>
      <c r="AD838" s="447">
        <f t="shared" si="427"/>
        <v>0</v>
      </c>
      <c r="AE838" s="448">
        <f t="shared" si="427"/>
        <v>0</v>
      </c>
      <c r="AF838" s="449"/>
      <c r="AG838" s="449"/>
      <c r="AH838" s="449"/>
    </row>
    <row r="839" ht="11.25" customHeight="1">
      <c r="A839" s="450"/>
      <c r="B839" s="451"/>
      <c r="C839" s="452"/>
      <c r="D839" s="452"/>
      <c r="E839" s="453"/>
      <c r="F839" s="453"/>
      <c r="G839" s="454"/>
      <c r="H839" s="454"/>
      <c r="I839" s="455"/>
      <c r="J839" s="456"/>
      <c r="K839" s="457" t="s">
        <v>1416</v>
      </c>
      <c r="L839" s="458"/>
      <c r="M839" s="459"/>
      <c r="N839" s="460"/>
      <c r="O839" s="460"/>
      <c r="P839" s="461"/>
      <c r="Q839" s="458"/>
      <c r="R839" s="459"/>
      <c r="S839" s="459"/>
      <c r="T839" s="459"/>
      <c r="U839" s="459"/>
      <c r="V839" s="459"/>
      <c r="W839" s="459"/>
      <c r="X839" s="459"/>
      <c r="Y839" s="462">
        <f t="shared" si="17"/>
        <v>0</v>
      </c>
      <c r="Z839" s="463"/>
      <c r="AA839" s="464"/>
      <c r="AB839" s="465"/>
      <c r="AC839" s="465"/>
      <c r="AD839" s="465"/>
      <c r="AE839" s="466"/>
      <c r="AF839" s="449"/>
      <c r="AG839" s="449"/>
      <c r="AH839" s="449"/>
    </row>
    <row r="840" ht="11.25" customHeight="1">
      <c r="A840" s="450"/>
      <c r="B840" s="451"/>
      <c r="C840" s="452"/>
      <c r="D840" s="452"/>
      <c r="E840" s="453"/>
      <c r="F840" s="453"/>
      <c r="G840" s="454"/>
      <c r="H840" s="454"/>
      <c r="I840" s="455"/>
      <c r="J840" s="456"/>
      <c r="K840" s="467" t="s">
        <v>1417</v>
      </c>
      <c r="L840" s="468"/>
      <c r="M840" s="469"/>
      <c r="N840" s="470"/>
      <c r="O840" s="470"/>
      <c r="P840" s="471"/>
      <c r="Q840" s="468"/>
      <c r="R840" s="469"/>
      <c r="S840" s="469"/>
      <c r="T840" s="469"/>
      <c r="U840" s="469"/>
      <c r="V840" s="469"/>
      <c r="W840" s="469"/>
      <c r="X840" s="469"/>
      <c r="Y840" s="462">
        <f t="shared" si="17"/>
        <v>0</v>
      </c>
      <c r="Z840" s="463"/>
      <c r="AA840" s="464"/>
      <c r="AB840" s="465"/>
      <c r="AC840" s="465"/>
      <c r="AD840" s="465"/>
      <c r="AE840" s="466"/>
      <c r="AF840" s="449"/>
      <c r="AG840" s="449"/>
      <c r="AH840" s="449"/>
    </row>
    <row r="841" ht="11.25" customHeight="1">
      <c r="A841" s="450"/>
      <c r="B841" s="472"/>
      <c r="C841" s="473"/>
      <c r="D841" s="473"/>
      <c r="E841" s="474"/>
      <c r="F841" s="474"/>
      <c r="G841" s="475"/>
      <c r="H841" s="475"/>
      <c r="I841" s="476"/>
      <c r="J841" s="477"/>
      <c r="K841" s="478" t="s">
        <v>1418</v>
      </c>
      <c r="L841" s="479"/>
      <c r="M841" s="480"/>
      <c r="N841" s="481"/>
      <c r="O841" s="481"/>
      <c r="P841" s="482"/>
      <c r="Q841" s="479"/>
      <c r="R841" s="480"/>
      <c r="S841" s="480"/>
      <c r="T841" s="480"/>
      <c r="U841" s="480"/>
      <c r="V841" s="480"/>
      <c r="W841" s="480"/>
      <c r="X841" s="480"/>
      <c r="Y841" s="483">
        <f t="shared" si="17"/>
        <v>0</v>
      </c>
      <c r="Z841" s="484"/>
      <c r="AA841" s="485"/>
      <c r="AB841" s="486"/>
      <c r="AC841" s="486"/>
      <c r="AD841" s="486"/>
      <c r="AE841" s="487"/>
      <c r="AF841" s="449"/>
      <c r="AG841" s="449"/>
      <c r="AH841" s="449"/>
    </row>
    <row r="842" ht="11.25" customHeight="1">
      <c r="A842" s="431" t="str">
        <f>IF(B842="","", YEAR(B842))</f>
        <v/>
      </c>
      <c r="B842" s="432"/>
      <c r="C842" s="433"/>
      <c r="D842" s="433"/>
      <c r="E842" s="434" t="str">
        <f t="shared" ref="E842:I842" si="428">IFERROR(AVERAGE(L842:L845),"")</f>
        <v/>
      </c>
      <c r="F842" s="434" t="str">
        <f t="shared" si="428"/>
        <v/>
      </c>
      <c r="G842" s="435" t="str">
        <f t="shared" si="428"/>
        <v/>
      </c>
      <c r="H842" s="435" t="str">
        <f t="shared" si="428"/>
        <v/>
      </c>
      <c r="I842" s="436" t="str">
        <f t="shared" si="428"/>
        <v/>
      </c>
      <c r="J842" s="437">
        <f>SUMIFS(PRODUCTION[KG],PRODUCTION[GRADE],"3X50",PRODUCTION[DATE],B842,PRODUCTION[BATCH],C842,PRODUCTION[SHIFT],D842)</f>
        <v>0</v>
      </c>
      <c r="K842" s="438" t="s">
        <v>1414</v>
      </c>
      <c r="L842" s="443"/>
      <c r="M842" s="440"/>
      <c r="N842" s="441"/>
      <c r="O842" s="441"/>
      <c r="P842" s="442"/>
      <c r="Q842" s="443"/>
      <c r="R842" s="440"/>
      <c r="S842" s="440"/>
      <c r="T842" s="440"/>
      <c r="U842" s="440"/>
      <c r="V842" s="440"/>
      <c r="W842" s="440"/>
      <c r="X842" s="440"/>
      <c r="Y842" s="444">
        <f t="shared" si="17"/>
        <v>0</v>
      </c>
      <c r="Z842" s="445"/>
      <c r="AA842" s="446">
        <f t="shared" ref="AA842:AE842" si="429">$J842*E842</f>
        <v>0</v>
      </c>
      <c r="AB842" s="447">
        <f t="shared" si="429"/>
        <v>0</v>
      </c>
      <c r="AC842" s="447">
        <f t="shared" si="429"/>
        <v>0</v>
      </c>
      <c r="AD842" s="447">
        <f t="shared" si="429"/>
        <v>0</v>
      </c>
      <c r="AE842" s="448">
        <f t="shared" si="429"/>
        <v>0</v>
      </c>
      <c r="AF842" s="449"/>
      <c r="AG842" s="449"/>
      <c r="AH842" s="449"/>
    </row>
    <row r="843" ht="11.25" customHeight="1">
      <c r="A843" s="450"/>
      <c r="B843" s="451"/>
      <c r="C843" s="452"/>
      <c r="D843" s="452"/>
      <c r="E843" s="453"/>
      <c r="F843" s="453"/>
      <c r="G843" s="454"/>
      <c r="H843" s="454"/>
      <c r="I843" s="455"/>
      <c r="J843" s="456"/>
      <c r="K843" s="457" t="s">
        <v>1416</v>
      </c>
      <c r="L843" s="458"/>
      <c r="M843" s="459"/>
      <c r="N843" s="460"/>
      <c r="O843" s="460"/>
      <c r="P843" s="461"/>
      <c r="Q843" s="458"/>
      <c r="R843" s="459"/>
      <c r="S843" s="459"/>
      <c r="T843" s="459"/>
      <c r="U843" s="459"/>
      <c r="V843" s="459"/>
      <c r="W843" s="459"/>
      <c r="X843" s="459"/>
      <c r="Y843" s="462">
        <f t="shared" si="17"/>
        <v>0</v>
      </c>
      <c r="Z843" s="463"/>
      <c r="AA843" s="464"/>
      <c r="AB843" s="465"/>
      <c r="AC843" s="465"/>
      <c r="AD843" s="465"/>
      <c r="AE843" s="466"/>
      <c r="AF843" s="449"/>
      <c r="AG843" s="449"/>
      <c r="AH843" s="449"/>
    </row>
    <row r="844" ht="11.25" customHeight="1">
      <c r="A844" s="450"/>
      <c r="B844" s="451"/>
      <c r="C844" s="452"/>
      <c r="D844" s="452"/>
      <c r="E844" s="453"/>
      <c r="F844" s="453"/>
      <c r="G844" s="454"/>
      <c r="H844" s="454"/>
      <c r="I844" s="455"/>
      <c r="J844" s="456"/>
      <c r="K844" s="467" t="s">
        <v>1417</v>
      </c>
      <c r="L844" s="468"/>
      <c r="M844" s="469"/>
      <c r="N844" s="470"/>
      <c r="O844" s="470"/>
      <c r="P844" s="471"/>
      <c r="Q844" s="468"/>
      <c r="R844" s="469"/>
      <c r="S844" s="469"/>
      <c r="T844" s="469"/>
      <c r="U844" s="469"/>
      <c r="V844" s="469"/>
      <c r="W844" s="469"/>
      <c r="X844" s="469"/>
      <c r="Y844" s="462">
        <f t="shared" si="17"/>
        <v>0</v>
      </c>
      <c r="Z844" s="463"/>
      <c r="AA844" s="464"/>
      <c r="AB844" s="465"/>
      <c r="AC844" s="465"/>
      <c r="AD844" s="465"/>
      <c r="AE844" s="466"/>
      <c r="AF844" s="449"/>
      <c r="AG844" s="449"/>
      <c r="AH844" s="449"/>
    </row>
    <row r="845" ht="11.25" customHeight="1">
      <c r="A845" s="450"/>
      <c r="B845" s="472"/>
      <c r="C845" s="473"/>
      <c r="D845" s="473"/>
      <c r="E845" s="474"/>
      <c r="F845" s="474"/>
      <c r="G845" s="475"/>
      <c r="H845" s="475"/>
      <c r="I845" s="476"/>
      <c r="J845" s="477"/>
      <c r="K845" s="478" t="s">
        <v>1418</v>
      </c>
      <c r="L845" s="479"/>
      <c r="M845" s="480"/>
      <c r="N845" s="481"/>
      <c r="O845" s="481"/>
      <c r="P845" s="482"/>
      <c r="Q845" s="479"/>
      <c r="R845" s="480"/>
      <c r="S845" s="480"/>
      <c r="T845" s="480"/>
      <c r="U845" s="480"/>
      <c r="V845" s="480"/>
      <c r="W845" s="480"/>
      <c r="X845" s="480"/>
      <c r="Y845" s="483">
        <f t="shared" si="17"/>
        <v>0</v>
      </c>
      <c r="Z845" s="484"/>
      <c r="AA845" s="485"/>
      <c r="AB845" s="486"/>
      <c r="AC845" s="486"/>
      <c r="AD845" s="486"/>
      <c r="AE845" s="487"/>
      <c r="AF845" s="449"/>
      <c r="AG845" s="449"/>
      <c r="AH845" s="449"/>
    </row>
    <row r="846" ht="11.25" customHeight="1">
      <c r="A846" s="431" t="str">
        <f>IF(B846="","", YEAR(B846))</f>
        <v/>
      </c>
      <c r="B846" s="432"/>
      <c r="C846" s="433"/>
      <c r="D846" s="433"/>
      <c r="E846" s="434" t="str">
        <f t="shared" ref="E846:I846" si="430">IFERROR(AVERAGE(L846:L849),"")</f>
        <v/>
      </c>
      <c r="F846" s="434" t="str">
        <f t="shared" si="430"/>
        <v/>
      </c>
      <c r="G846" s="435" t="str">
        <f t="shared" si="430"/>
        <v/>
      </c>
      <c r="H846" s="435" t="str">
        <f t="shared" si="430"/>
        <v/>
      </c>
      <c r="I846" s="436" t="str">
        <f t="shared" si="430"/>
        <v/>
      </c>
      <c r="J846" s="437">
        <f>SUMIFS(PRODUCTION[KG],PRODUCTION[GRADE],"3X50",PRODUCTION[DATE],B846,PRODUCTION[BATCH],C846,PRODUCTION[SHIFT],D846)</f>
        <v>0</v>
      </c>
      <c r="K846" s="438" t="s">
        <v>1414</v>
      </c>
      <c r="L846" s="443"/>
      <c r="M846" s="440"/>
      <c r="N846" s="441"/>
      <c r="O846" s="441"/>
      <c r="P846" s="442"/>
      <c r="Q846" s="443"/>
      <c r="R846" s="440"/>
      <c r="S846" s="440"/>
      <c r="T846" s="440"/>
      <c r="U846" s="440"/>
      <c r="V846" s="440"/>
      <c r="W846" s="440"/>
      <c r="X846" s="440"/>
      <c r="Y846" s="444">
        <f t="shared" si="17"/>
        <v>0</v>
      </c>
      <c r="Z846" s="445"/>
      <c r="AA846" s="446">
        <f t="shared" ref="AA846:AE846" si="431">$J846*E846</f>
        <v>0</v>
      </c>
      <c r="AB846" s="447">
        <f t="shared" si="431"/>
        <v>0</v>
      </c>
      <c r="AC846" s="447">
        <f t="shared" si="431"/>
        <v>0</v>
      </c>
      <c r="AD846" s="447">
        <f t="shared" si="431"/>
        <v>0</v>
      </c>
      <c r="AE846" s="448">
        <f t="shared" si="431"/>
        <v>0</v>
      </c>
      <c r="AF846" s="449"/>
      <c r="AG846" s="449"/>
      <c r="AH846" s="449"/>
    </row>
    <row r="847" ht="11.25" customHeight="1">
      <c r="A847" s="450"/>
      <c r="B847" s="451"/>
      <c r="C847" s="452"/>
      <c r="D847" s="452"/>
      <c r="E847" s="453"/>
      <c r="F847" s="453"/>
      <c r="G847" s="454"/>
      <c r="H847" s="454"/>
      <c r="I847" s="455"/>
      <c r="J847" s="456"/>
      <c r="K847" s="457" t="s">
        <v>1416</v>
      </c>
      <c r="L847" s="458"/>
      <c r="M847" s="459"/>
      <c r="N847" s="460"/>
      <c r="O847" s="460"/>
      <c r="P847" s="461"/>
      <c r="Q847" s="458"/>
      <c r="R847" s="459"/>
      <c r="S847" s="459"/>
      <c r="T847" s="459"/>
      <c r="U847" s="459"/>
      <c r="V847" s="459"/>
      <c r="W847" s="459"/>
      <c r="X847" s="459"/>
      <c r="Y847" s="462">
        <f t="shared" si="17"/>
        <v>0</v>
      </c>
      <c r="Z847" s="463"/>
      <c r="AA847" s="464"/>
      <c r="AB847" s="465"/>
      <c r="AC847" s="465"/>
      <c r="AD847" s="465"/>
      <c r="AE847" s="466"/>
      <c r="AF847" s="449"/>
      <c r="AG847" s="449"/>
      <c r="AH847" s="449"/>
    </row>
    <row r="848" ht="11.25" customHeight="1">
      <c r="A848" s="450"/>
      <c r="B848" s="451"/>
      <c r="C848" s="452"/>
      <c r="D848" s="452"/>
      <c r="E848" s="453"/>
      <c r="F848" s="453"/>
      <c r="G848" s="454"/>
      <c r="H848" s="454"/>
      <c r="I848" s="455"/>
      <c r="J848" s="456"/>
      <c r="K848" s="467" t="s">
        <v>1417</v>
      </c>
      <c r="L848" s="468"/>
      <c r="M848" s="469"/>
      <c r="N848" s="470"/>
      <c r="O848" s="470"/>
      <c r="P848" s="471"/>
      <c r="Q848" s="468"/>
      <c r="R848" s="469"/>
      <c r="S848" s="469"/>
      <c r="T848" s="469"/>
      <c r="U848" s="469"/>
      <c r="V848" s="469"/>
      <c r="W848" s="469"/>
      <c r="X848" s="469"/>
      <c r="Y848" s="462">
        <f t="shared" si="17"/>
        <v>0</v>
      </c>
      <c r="Z848" s="463"/>
      <c r="AA848" s="464"/>
      <c r="AB848" s="465"/>
      <c r="AC848" s="465"/>
      <c r="AD848" s="465"/>
      <c r="AE848" s="466"/>
      <c r="AF848" s="449"/>
      <c r="AG848" s="449"/>
      <c r="AH848" s="449"/>
    </row>
    <row r="849" ht="11.25" customHeight="1">
      <c r="A849" s="450"/>
      <c r="B849" s="472"/>
      <c r="C849" s="473"/>
      <c r="D849" s="473"/>
      <c r="E849" s="474"/>
      <c r="F849" s="474"/>
      <c r="G849" s="475"/>
      <c r="H849" s="475"/>
      <c r="I849" s="476"/>
      <c r="J849" s="477"/>
      <c r="K849" s="478" t="s">
        <v>1418</v>
      </c>
      <c r="L849" s="479"/>
      <c r="M849" s="480"/>
      <c r="N849" s="481"/>
      <c r="O849" s="481"/>
      <c r="P849" s="482"/>
      <c r="Q849" s="479"/>
      <c r="R849" s="480"/>
      <c r="S849" s="480"/>
      <c r="T849" s="480"/>
      <c r="U849" s="480"/>
      <c r="V849" s="480"/>
      <c r="W849" s="480"/>
      <c r="X849" s="480"/>
      <c r="Y849" s="483">
        <f t="shared" si="17"/>
        <v>0</v>
      </c>
      <c r="Z849" s="484"/>
      <c r="AA849" s="485"/>
      <c r="AB849" s="486"/>
      <c r="AC849" s="486"/>
      <c r="AD849" s="486"/>
      <c r="AE849" s="487"/>
      <c r="AF849" s="449"/>
      <c r="AG849" s="449"/>
      <c r="AH849" s="449"/>
    </row>
    <row r="850" ht="11.25" customHeight="1">
      <c r="A850" s="431" t="str">
        <f>IF(B850="","", YEAR(B850))</f>
        <v/>
      </c>
      <c r="B850" s="432"/>
      <c r="C850" s="433"/>
      <c r="D850" s="433"/>
      <c r="E850" s="434" t="str">
        <f t="shared" ref="E850:I850" si="432">IFERROR(AVERAGE(L850:L853),"")</f>
        <v/>
      </c>
      <c r="F850" s="434" t="str">
        <f t="shared" si="432"/>
        <v/>
      </c>
      <c r="G850" s="435" t="str">
        <f t="shared" si="432"/>
        <v/>
      </c>
      <c r="H850" s="435" t="str">
        <f t="shared" si="432"/>
        <v/>
      </c>
      <c r="I850" s="436" t="str">
        <f t="shared" si="432"/>
        <v/>
      </c>
      <c r="J850" s="437">
        <f>SUMIFS(PRODUCTION[KG],PRODUCTION[GRADE],"3X50",PRODUCTION[DATE],B850,PRODUCTION[BATCH],C850,PRODUCTION[SHIFT],D850)</f>
        <v>0</v>
      </c>
      <c r="K850" s="438" t="s">
        <v>1414</v>
      </c>
      <c r="L850" s="443"/>
      <c r="M850" s="440"/>
      <c r="N850" s="441"/>
      <c r="O850" s="441"/>
      <c r="P850" s="442"/>
      <c r="Q850" s="443"/>
      <c r="R850" s="440"/>
      <c r="S850" s="440"/>
      <c r="T850" s="440"/>
      <c r="U850" s="440"/>
      <c r="V850" s="440"/>
      <c r="W850" s="440"/>
      <c r="X850" s="440"/>
      <c r="Y850" s="444">
        <f t="shared" si="17"/>
        <v>0</v>
      </c>
      <c r="Z850" s="445"/>
      <c r="AA850" s="446">
        <f t="shared" ref="AA850:AE850" si="433">$J850*E850</f>
        <v>0</v>
      </c>
      <c r="AB850" s="447">
        <f t="shared" si="433"/>
        <v>0</v>
      </c>
      <c r="AC850" s="447">
        <f t="shared" si="433"/>
        <v>0</v>
      </c>
      <c r="AD850" s="447">
        <f t="shared" si="433"/>
        <v>0</v>
      </c>
      <c r="AE850" s="448">
        <f t="shared" si="433"/>
        <v>0</v>
      </c>
      <c r="AF850" s="449"/>
      <c r="AG850" s="449"/>
      <c r="AH850" s="449"/>
    </row>
    <row r="851" ht="11.25" customHeight="1">
      <c r="A851" s="450"/>
      <c r="B851" s="451"/>
      <c r="C851" s="452"/>
      <c r="D851" s="452"/>
      <c r="E851" s="453"/>
      <c r="F851" s="453"/>
      <c r="G851" s="454"/>
      <c r="H851" s="454"/>
      <c r="I851" s="455"/>
      <c r="J851" s="456"/>
      <c r="K851" s="457" t="s">
        <v>1416</v>
      </c>
      <c r="L851" s="458"/>
      <c r="M851" s="459"/>
      <c r="N851" s="460"/>
      <c r="O851" s="460"/>
      <c r="P851" s="461"/>
      <c r="Q851" s="458"/>
      <c r="R851" s="459"/>
      <c r="S851" s="459"/>
      <c r="T851" s="459"/>
      <c r="U851" s="459"/>
      <c r="V851" s="459"/>
      <c r="W851" s="459"/>
      <c r="X851" s="459"/>
      <c r="Y851" s="462">
        <f t="shared" si="17"/>
        <v>0</v>
      </c>
      <c r="Z851" s="463"/>
      <c r="AA851" s="464"/>
      <c r="AB851" s="465"/>
      <c r="AC851" s="465"/>
      <c r="AD851" s="465"/>
      <c r="AE851" s="466"/>
      <c r="AF851" s="449"/>
      <c r="AG851" s="449"/>
      <c r="AH851" s="449"/>
    </row>
    <row r="852" ht="11.25" customHeight="1">
      <c r="A852" s="450"/>
      <c r="B852" s="451"/>
      <c r="C852" s="452"/>
      <c r="D852" s="452"/>
      <c r="E852" s="453"/>
      <c r="F852" s="453"/>
      <c r="G852" s="454"/>
      <c r="H852" s="454"/>
      <c r="I852" s="455"/>
      <c r="J852" s="456"/>
      <c r="K852" s="467" t="s">
        <v>1417</v>
      </c>
      <c r="L852" s="468"/>
      <c r="M852" s="469"/>
      <c r="N852" s="470"/>
      <c r="O852" s="470"/>
      <c r="P852" s="471"/>
      <c r="Q852" s="468"/>
      <c r="R852" s="469"/>
      <c r="S852" s="469"/>
      <c r="T852" s="469"/>
      <c r="U852" s="469"/>
      <c r="V852" s="469"/>
      <c r="W852" s="469"/>
      <c r="X852" s="469"/>
      <c r="Y852" s="462">
        <f t="shared" si="17"/>
        <v>0</v>
      </c>
      <c r="Z852" s="463"/>
      <c r="AA852" s="464"/>
      <c r="AB852" s="465"/>
      <c r="AC852" s="465"/>
      <c r="AD852" s="465"/>
      <c r="AE852" s="466"/>
      <c r="AF852" s="449"/>
      <c r="AG852" s="449"/>
      <c r="AH852" s="449"/>
    </row>
    <row r="853" ht="11.25" customHeight="1">
      <c r="A853" s="450"/>
      <c r="B853" s="472"/>
      <c r="C853" s="473"/>
      <c r="D853" s="473"/>
      <c r="E853" s="474"/>
      <c r="F853" s="474"/>
      <c r="G853" s="475"/>
      <c r="H853" s="475"/>
      <c r="I853" s="476"/>
      <c r="J853" s="477"/>
      <c r="K853" s="478" t="s">
        <v>1418</v>
      </c>
      <c r="L853" s="479"/>
      <c r="M853" s="480"/>
      <c r="N853" s="481"/>
      <c r="O853" s="481"/>
      <c r="P853" s="482"/>
      <c r="Q853" s="479"/>
      <c r="R853" s="480"/>
      <c r="S853" s="480"/>
      <c r="T853" s="480"/>
      <c r="U853" s="480"/>
      <c r="V853" s="480"/>
      <c r="W853" s="480"/>
      <c r="X853" s="480"/>
      <c r="Y853" s="483">
        <f t="shared" si="17"/>
        <v>0</v>
      </c>
      <c r="Z853" s="484"/>
      <c r="AA853" s="485"/>
      <c r="AB853" s="486"/>
      <c r="AC853" s="486"/>
      <c r="AD853" s="486"/>
      <c r="AE853" s="487"/>
      <c r="AF853" s="449"/>
      <c r="AG853" s="449"/>
      <c r="AH853" s="449"/>
    </row>
    <row r="854" ht="11.25" customHeight="1">
      <c r="A854" s="431" t="str">
        <f>IF(B854="","", YEAR(B854))</f>
        <v/>
      </c>
      <c r="B854" s="432"/>
      <c r="C854" s="433"/>
      <c r="D854" s="433"/>
      <c r="E854" s="434" t="str">
        <f t="shared" ref="E854:I854" si="434">IFERROR(AVERAGE(L854:L857),"")</f>
        <v/>
      </c>
      <c r="F854" s="434" t="str">
        <f t="shared" si="434"/>
        <v/>
      </c>
      <c r="G854" s="435" t="str">
        <f t="shared" si="434"/>
        <v/>
      </c>
      <c r="H854" s="435" t="str">
        <f t="shared" si="434"/>
        <v/>
      </c>
      <c r="I854" s="436" t="str">
        <f t="shared" si="434"/>
        <v/>
      </c>
      <c r="J854" s="437">
        <f>SUMIFS(PRODUCTION[KG],PRODUCTION[GRADE],"3X50",PRODUCTION[DATE],B854,PRODUCTION[BATCH],C854,PRODUCTION[SHIFT],D854)</f>
        <v>0</v>
      </c>
      <c r="K854" s="438" t="s">
        <v>1414</v>
      </c>
      <c r="L854" s="443"/>
      <c r="M854" s="440"/>
      <c r="N854" s="441"/>
      <c r="O854" s="441"/>
      <c r="P854" s="442"/>
      <c r="Q854" s="443"/>
      <c r="R854" s="440"/>
      <c r="S854" s="440"/>
      <c r="T854" s="440"/>
      <c r="U854" s="440"/>
      <c r="V854" s="440"/>
      <c r="W854" s="440"/>
      <c r="X854" s="440"/>
      <c r="Y854" s="444">
        <f t="shared" si="17"/>
        <v>0</v>
      </c>
      <c r="Z854" s="445"/>
      <c r="AA854" s="446">
        <f t="shared" ref="AA854:AE854" si="435">$J854*E854</f>
        <v>0</v>
      </c>
      <c r="AB854" s="447">
        <f t="shared" si="435"/>
        <v>0</v>
      </c>
      <c r="AC854" s="447">
        <f t="shared" si="435"/>
        <v>0</v>
      </c>
      <c r="AD854" s="447">
        <f t="shared" si="435"/>
        <v>0</v>
      </c>
      <c r="AE854" s="448">
        <f t="shared" si="435"/>
        <v>0</v>
      </c>
      <c r="AF854" s="449"/>
      <c r="AG854" s="449"/>
      <c r="AH854" s="449"/>
    </row>
    <row r="855" ht="11.25" customHeight="1">
      <c r="A855" s="450"/>
      <c r="B855" s="451"/>
      <c r="C855" s="452"/>
      <c r="D855" s="452"/>
      <c r="E855" s="453"/>
      <c r="F855" s="453"/>
      <c r="G855" s="454"/>
      <c r="H855" s="454"/>
      <c r="I855" s="455"/>
      <c r="J855" s="456"/>
      <c r="K855" s="457" t="s">
        <v>1416</v>
      </c>
      <c r="L855" s="458"/>
      <c r="M855" s="459"/>
      <c r="N855" s="460"/>
      <c r="O855" s="460"/>
      <c r="P855" s="461"/>
      <c r="Q855" s="458"/>
      <c r="R855" s="459"/>
      <c r="S855" s="459"/>
      <c r="T855" s="459"/>
      <c r="U855" s="459"/>
      <c r="V855" s="459"/>
      <c r="W855" s="459"/>
      <c r="X855" s="459"/>
      <c r="Y855" s="462">
        <f t="shared" si="17"/>
        <v>0</v>
      </c>
      <c r="Z855" s="463"/>
      <c r="AA855" s="464"/>
      <c r="AB855" s="465"/>
      <c r="AC855" s="465"/>
      <c r="AD855" s="465"/>
      <c r="AE855" s="466"/>
      <c r="AF855" s="449"/>
      <c r="AG855" s="449"/>
      <c r="AH855" s="449"/>
    </row>
    <row r="856" ht="11.25" customHeight="1">
      <c r="A856" s="450"/>
      <c r="B856" s="451"/>
      <c r="C856" s="452"/>
      <c r="D856" s="452"/>
      <c r="E856" s="453"/>
      <c r="F856" s="453"/>
      <c r="G856" s="454"/>
      <c r="H856" s="454"/>
      <c r="I856" s="455"/>
      <c r="J856" s="456"/>
      <c r="K856" s="467" t="s">
        <v>1417</v>
      </c>
      <c r="L856" s="468"/>
      <c r="M856" s="469"/>
      <c r="N856" s="470"/>
      <c r="O856" s="470"/>
      <c r="P856" s="471"/>
      <c r="Q856" s="468"/>
      <c r="R856" s="469"/>
      <c r="S856" s="469"/>
      <c r="T856" s="469"/>
      <c r="U856" s="469"/>
      <c r="V856" s="469"/>
      <c r="W856" s="469"/>
      <c r="X856" s="469"/>
      <c r="Y856" s="462">
        <f t="shared" si="17"/>
        <v>0</v>
      </c>
      <c r="Z856" s="463"/>
      <c r="AA856" s="464"/>
      <c r="AB856" s="465"/>
      <c r="AC856" s="465"/>
      <c r="AD856" s="465"/>
      <c r="AE856" s="466"/>
      <c r="AF856" s="449"/>
      <c r="AG856" s="449"/>
      <c r="AH856" s="449"/>
    </row>
    <row r="857" ht="11.25" customHeight="1">
      <c r="A857" s="450"/>
      <c r="B857" s="472"/>
      <c r="C857" s="473"/>
      <c r="D857" s="473"/>
      <c r="E857" s="474"/>
      <c r="F857" s="474"/>
      <c r="G857" s="475"/>
      <c r="H857" s="475"/>
      <c r="I857" s="476"/>
      <c r="J857" s="477"/>
      <c r="K857" s="478" t="s">
        <v>1418</v>
      </c>
      <c r="L857" s="479"/>
      <c r="M857" s="480"/>
      <c r="N857" s="481"/>
      <c r="O857" s="481"/>
      <c r="P857" s="482"/>
      <c r="Q857" s="479"/>
      <c r="R857" s="480"/>
      <c r="S857" s="480"/>
      <c r="T857" s="480"/>
      <c r="U857" s="480"/>
      <c r="V857" s="480"/>
      <c r="W857" s="480"/>
      <c r="X857" s="480"/>
      <c r="Y857" s="483">
        <f t="shared" si="17"/>
        <v>0</v>
      </c>
      <c r="Z857" s="484"/>
      <c r="AA857" s="485"/>
      <c r="AB857" s="486"/>
      <c r="AC857" s="486"/>
      <c r="AD857" s="486"/>
      <c r="AE857" s="487"/>
      <c r="AF857" s="449"/>
      <c r="AG857" s="449"/>
      <c r="AH857" s="449"/>
    </row>
    <row r="858" ht="11.25" customHeight="1">
      <c r="A858" s="431" t="str">
        <f>IF(B858="","", YEAR(B858))</f>
        <v/>
      </c>
      <c r="B858" s="432"/>
      <c r="C858" s="433"/>
      <c r="D858" s="433"/>
      <c r="E858" s="434" t="str">
        <f t="shared" ref="E858:I858" si="436">IFERROR(AVERAGE(L858:L861),"")</f>
        <v/>
      </c>
      <c r="F858" s="434" t="str">
        <f t="shared" si="436"/>
        <v/>
      </c>
      <c r="G858" s="435" t="str">
        <f t="shared" si="436"/>
        <v/>
      </c>
      <c r="H858" s="435" t="str">
        <f t="shared" si="436"/>
        <v/>
      </c>
      <c r="I858" s="436" t="str">
        <f t="shared" si="436"/>
        <v/>
      </c>
      <c r="J858" s="437">
        <f>SUMIFS(PRODUCTION[KG],PRODUCTION[GRADE],"3X50",PRODUCTION[DATE],B858,PRODUCTION[BATCH],C858,PRODUCTION[SHIFT],D858)</f>
        <v>0</v>
      </c>
      <c r="K858" s="438" t="s">
        <v>1414</v>
      </c>
      <c r="L858" s="443"/>
      <c r="M858" s="440"/>
      <c r="N858" s="441"/>
      <c r="O858" s="441"/>
      <c r="P858" s="442"/>
      <c r="Q858" s="443"/>
      <c r="R858" s="440"/>
      <c r="S858" s="440"/>
      <c r="T858" s="440"/>
      <c r="U858" s="440"/>
      <c r="V858" s="440"/>
      <c r="W858" s="440"/>
      <c r="X858" s="440"/>
      <c r="Y858" s="444">
        <f t="shared" si="17"/>
        <v>0</v>
      </c>
      <c r="Z858" s="445"/>
      <c r="AA858" s="446">
        <f t="shared" ref="AA858:AE858" si="437">$J858*E858</f>
        <v>0</v>
      </c>
      <c r="AB858" s="447">
        <f t="shared" si="437"/>
        <v>0</v>
      </c>
      <c r="AC858" s="447">
        <f t="shared" si="437"/>
        <v>0</v>
      </c>
      <c r="AD858" s="447">
        <f t="shared" si="437"/>
        <v>0</v>
      </c>
      <c r="AE858" s="448">
        <f t="shared" si="437"/>
        <v>0</v>
      </c>
      <c r="AF858" s="449"/>
      <c r="AG858" s="449"/>
      <c r="AH858" s="449"/>
    </row>
    <row r="859" ht="11.25" customHeight="1">
      <c r="A859" s="450"/>
      <c r="B859" s="451"/>
      <c r="C859" s="452"/>
      <c r="D859" s="452"/>
      <c r="E859" s="453"/>
      <c r="F859" s="453"/>
      <c r="G859" s="454"/>
      <c r="H859" s="454"/>
      <c r="I859" s="455"/>
      <c r="J859" s="456"/>
      <c r="K859" s="457" t="s">
        <v>1416</v>
      </c>
      <c r="L859" s="458"/>
      <c r="M859" s="459"/>
      <c r="N859" s="460"/>
      <c r="O859" s="460"/>
      <c r="P859" s="461"/>
      <c r="Q859" s="458"/>
      <c r="R859" s="459"/>
      <c r="S859" s="459"/>
      <c r="T859" s="459"/>
      <c r="U859" s="459"/>
      <c r="V859" s="459"/>
      <c r="W859" s="459"/>
      <c r="X859" s="459"/>
      <c r="Y859" s="462">
        <f t="shared" si="17"/>
        <v>0</v>
      </c>
      <c r="Z859" s="463"/>
      <c r="AA859" s="464"/>
      <c r="AB859" s="465"/>
      <c r="AC859" s="465"/>
      <c r="AD859" s="465"/>
      <c r="AE859" s="466"/>
      <c r="AF859" s="449"/>
      <c r="AG859" s="449"/>
      <c r="AH859" s="449"/>
    </row>
    <row r="860" ht="11.25" customHeight="1">
      <c r="A860" s="450"/>
      <c r="B860" s="451"/>
      <c r="C860" s="452"/>
      <c r="D860" s="452"/>
      <c r="E860" s="453"/>
      <c r="F860" s="453"/>
      <c r="G860" s="454"/>
      <c r="H860" s="454"/>
      <c r="I860" s="455"/>
      <c r="J860" s="456"/>
      <c r="K860" s="467" t="s">
        <v>1417</v>
      </c>
      <c r="L860" s="468"/>
      <c r="M860" s="469"/>
      <c r="N860" s="470"/>
      <c r="O860" s="470"/>
      <c r="P860" s="471"/>
      <c r="Q860" s="468"/>
      <c r="R860" s="469"/>
      <c r="S860" s="469"/>
      <c r="T860" s="469"/>
      <c r="U860" s="469"/>
      <c r="V860" s="469"/>
      <c r="W860" s="469"/>
      <c r="X860" s="469"/>
      <c r="Y860" s="462">
        <f t="shared" si="17"/>
        <v>0</v>
      </c>
      <c r="Z860" s="463"/>
      <c r="AA860" s="464"/>
      <c r="AB860" s="465"/>
      <c r="AC860" s="465"/>
      <c r="AD860" s="465"/>
      <c r="AE860" s="466"/>
      <c r="AF860" s="449"/>
      <c r="AG860" s="449"/>
      <c r="AH860" s="449"/>
    </row>
    <row r="861" ht="11.25" customHeight="1">
      <c r="A861" s="450"/>
      <c r="B861" s="472"/>
      <c r="C861" s="473"/>
      <c r="D861" s="473"/>
      <c r="E861" s="474"/>
      <c r="F861" s="474"/>
      <c r="G861" s="475"/>
      <c r="H861" s="475"/>
      <c r="I861" s="476"/>
      <c r="J861" s="477"/>
      <c r="K861" s="478" t="s">
        <v>1418</v>
      </c>
      <c r="L861" s="479"/>
      <c r="M861" s="480"/>
      <c r="N861" s="481"/>
      <c r="O861" s="481"/>
      <c r="P861" s="482"/>
      <c r="Q861" s="479"/>
      <c r="R861" s="480"/>
      <c r="S861" s="480"/>
      <c r="T861" s="480"/>
      <c r="U861" s="480"/>
      <c r="V861" s="480"/>
      <c r="W861" s="480"/>
      <c r="X861" s="480"/>
      <c r="Y861" s="483">
        <f t="shared" si="17"/>
        <v>0</v>
      </c>
      <c r="Z861" s="484"/>
      <c r="AA861" s="485"/>
      <c r="AB861" s="486"/>
      <c r="AC861" s="486"/>
      <c r="AD861" s="486"/>
      <c r="AE861" s="487"/>
      <c r="AF861" s="449"/>
      <c r="AG861" s="449"/>
      <c r="AH861" s="449"/>
    </row>
    <row r="862" ht="11.25" customHeight="1">
      <c r="A862" s="431" t="str">
        <f>IF(B862="","", YEAR(B862))</f>
        <v/>
      </c>
      <c r="B862" s="432"/>
      <c r="C862" s="433"/>
      <c r="D862" s="433"/>
      <c r="E862" s="434" t="str">
        <f t="shared" ref="E862:I862" si="438">IFERROR(AVERAGE(L862:L865),"")</f>
        <v/>
      </c>
      <c r="F862" s="434" t="str">
        <f t="shared" si="438"/>
        <v/>
      </c>
      <c r="G862" s="435" t="str">
        <f t="shared" si="438"/>
        <v/>
      </c>
      <c r="H862" s="435" t="str">
        <f t="shared" si="438"/>
        <v/>
      </c>
      <c r="I862" s="436" t="str">
        <f t="shared" si="438"/>
        <v/>
      </c>
      <c r="J862" s="437">
        <f>SUMIFS(PRODUCTION[KG],PRODUCTION[GRADE],"3X50",PRODUCTION[DATE],B862,PRODUCTION[BATCH],C862,PRODUCTION[SHIFT],D862)</f>
        <v>0</v>
      </c>
      <c r="K862" s="438" t="s">
        <v>1414</v>
      </c>
      <c r="L862" s="443"/>
      <c r="M862" s="440"/>
      <c r="N862" s="441"/>
      <c r="O862" s="441"/>
      <c r="P862" s="442"/>
      <c r="Q862" s="443"/>
      <c r="R862" s="440"/>
      <c r="S862" s="440"/>
      <c r="T862" s="440"/>
      <c r="U862" s="440"/>
      <c r="V862" s="440"/>
      <c r="W862" s="440"/>
      <c r="X862" s="440"/>
      <c r="Y862" s="444">
        <f t="shared" si="17"/>
        <v>0</v>
      </c>
      <c r="Z862" s="445"/>
      <c r="AA862" s="446">
        <f t="shared" ref="AA862:AE862" si="439">$J862*E862</f>
        <v>0</v>
      </c>
      <c r="AB862" s="447">
        <f t="shared" si="439"/>
        <v>0</v>
      </c>
      <c r="AC862" s="447">
        <f t="shared" si="439"/>
        <v>0</v>
      </c>
      <c r="AD862" s="447">
        <f t="shared" si="439"/>
        <v>0</v>
      </c>
      <c r="AE862" s="448">
        <f t="shared" si="439"/>
        <v>0</v>
      </c>
      <c r="AF862" s="449"/>
      <c r="AG862" s="449"/>
      <c r="AH862" s="449"/>
    </row>
    <row r="863" ht="11.25" customHeight="1">
      <c r="A863" s="450"/>
      <c r="B863" s="451"/>
      <c r="C863" s="452"/>
      <c r="D863" s="452"/>
      <c r="E863" s="453"/>
      <c r="F863" s="453"/>
      <c r="G863" s="454"/>
      <c r="H863" s="454"/>
      <c r="I863" s="455"/>
      <c r="J863" s="456"/>
      <c r="K863" s="457" t="s">
        <v>1416</v>
      </c>
      <c r="L863" s="458"/>
      <c r="M863" s="459"/>
      <c r="N863" s="460"/>
      <c r="O863" s="460"/>
      <c r="P863" s="461"/>
      <c r="Q863" s="458"/>
      <c r="R863" s="459"/>
      <c r="S863" s="459"/>
      <c r="T863" s="459"/>
      <c r="U863" s="459"/>
      <c r="V863" s="459"/>
      <c r="W863" s="459"/>
      <c r="X863" s="459"/>
      <c r="Y863" s="462">
        <f t="shared" si="17"/>
        <v>0</v>
      </c>
      <c r="Z863" s="463"/>
      <c r="AA863" s="464"/>
      <c r="AB863" s="465"/>
      <c r="AC863" s="465"/>
      <c r="AD863" s="465"/>
      <c r="AE863" s="466"/>
      <c r="AF863" s="449"/>
      <c r="AG863" s="449"/>
      <c r="AH863" s="449"/>
    </row>
    <row r="864" ht="11.25" customHeight="1">
      <c r="A864" s="450"/>
      <c r="B864" s="451"/>
      <c r="C864" s="452"/>
      <c r="D864" s="452"/>
      <c r="E864" s="453"/>
      <c r="F864" s="453"/>
      <c r="G864" s="454"/>
      <c r="H864" s="454"/>
      <c r="I864" s="455"/>
      <c r="J864" s="456"/>
      <c r="K864" s="467" t="s">
        <v>1417</v>
      </c>
      <c r="L864" s="468"/>
      <c r="M864" s="469"/>
      <c r="N864" s="470"/>
      <c r="O864" s="470"/>
      <c r="P864" s="471"/>
      <c r="Q864" s="468"/>
      <c r="R864" s="469"/>
      <c r="S864" s="469"/>
      <c r="T864" s="469"/>
      <c r="U864" s="469"/>
      <c r="V864" s="469"/>
      <c r="W864" s="469"/>
      <c r="X864" s="469"/>
      <c r="Y864" s="462">
        <f t="shared" si="17"/>
        <v>0</v>
      </c>
      <c r="Z864" s="463"/>
      <c r="AA864" s="464"/>
      <c r="AB864" s="465"/>
      <c r="AC864" s="465"/>
      <c r="AD864" s="465"/>
      <c r="AE864" s="466"/>
      <c r="AF864" s="449"/>
      <c r="AG864" s="449"/>
      <c r="AH864" s="449"/>
    </row>
    <row r="865" ht="11.25" customHeight="1">
      <c r="A865" s="450"/>
      <c r="B865" s="472"/>
      <c r="C865" s="473"/>
      <c r="D865" s="473"/>
      <c r="E865" s="474"/>
      <c r="F865" s="474"/>
      <c r="G865" s="475"/>
      <c r="H865" s="475"/>
      <c r="I865" s="476"/>
      <c r="J865" s="477"/>
      <c r="K865" s="478" t="s">
        <v>1418</v>
      </c>
      <c r="L865" s="479"/>
      <c r="M865" s="480"/>
      <c r="N865" s="481"/>
      <c r="O865" s="481"/>
      <c r="P865" s="482"/>
      <c r="Q865" s="479"/>
      <c r="R865" s="480"/>
      <c r="S865" s="480"/>
      <c r="T865" s="480"/>
      <c r="U865" s="480"/>
      <c r="V865" s="480"/>
      <c r="W865" s="480"/>
      <c r="X865" s="480"/>
      <c r="Y865" s="483">
        <f t="shared" si="17"/>
        <v>0</v>
      </c>
      <c r="Z865" s="484"/>
      <c r="AA865" s="485"/>
      <c r="AB865" s="486"/>
      <c r="AC865" s="486"/>
      <c r="AD865" s="486"/>
      <c r="AE865" s="487"/>
      <c r="AF865" s="449"/>
      <c r="AG865" s="449"/>
      <c r="AH865" s="449"/>
    </row>
    <row r="866" ht="11.25" customHeight="1">
      <c r="A866" s="431" t="str">
        <f>IF(B866="","", YEAR(B866))</f>
        <v/>
      </c>
      <c r="B866" s="432"/>
      <c r="C866" s="433"/>
      <c r="D866" s="433"/>
      <c r="E866" s="434" t="str">
        <f t="shared" ref="E866:I866" si="440">IFERROR(AVERAGE(L866:L869),"")</f>
        <v/>
      </c>
      <c r="F866" s="434" t="str">
        <f t="shared" si="440"/>
        <v/>
      </c>
      <c r="G866" s="435" t="str">
        <f t="shared" si="440"/>
        <v/>
      </c>
      <c r="H866" s="435" t="str">
        <f t="shared" si="440"/>
        <v/>
      </c>
      <c r="I866" s="436" t="str">
        <f t="shared" si="440"/>
        <v/>
      </c>
      <c r="J866" s="437">
        <f>SUMIFS(PRODUCTION[KG],PRODUCTION[GRADE],"3X50",PRODUCTION[DATE],B866,PRODUCTION[BATCH],C866,PRODUCTION[SHIFT],D866)</f>
        <v>0</v>
      </c>
      <c r="K866" s="438" t="s">
        <v>1414</v>
      </c>
      <c r="L866" s="443"/>
      <c r="M866" s="440"/>
      <c r="N866" s="441"/>
      <c r="O866" s="441"/>
      <c r="P866" s="442"/>
      <c r="Q866" s="443"/>
      <c r="R866" s="440"/>
      <c r="S866" s="440"/>
      <c r="T866" s="440"/>
      <c r="U866" s="440"/>
      <c r="V866" s="440"/>
      <c r="W866" s="440"/>
      <c r="X866" s="440"/>
      <c r="Y866" s="444">
        <f t="shared" si="17"/>
        <v>0</v>
      </c>
      <c r="Z866" s="445"/>
      <c r="AA866" s="446">
        <f t="shared" ref="AA866:AE866" si="441">$J866*E866</f>
        <v>0</v>
      </c>
      <c r="AB866" s="447">
        <f t="shared" si="441"/>
        <v>0</v>
      </c>
      <c r="AC866" s="447">
        <f t="shared" si="441"/>
        <v>0</v>
      </c>
      <c r="AD866" s="447">
        <f t="shared" si="441"/>
        <v>0</v>
      </c>
      <c r="AE866" s="448">
        <f t="shared" si="441"/>
        <v>0</v>
      </c>
      <c r="AF866" s="449"/>
      <c r="AG866" s="449"/>
      <c r="AH866" s="449"/>
    </row>
    <row r="867" ht="11.25" customHeight="1">
      <c r="A867" s="450"/>
      <c r="B867" s="451"/>
      <c r="C867" s="452"/>
      <c r="D867" s="452"/>
      <c r="E867" s="453"/>
      <c r="F867" s="453"/>
      <c r="G867" s="454"/>
      <c r="H867" s="454"/>
      <c r="I867" s="455"/>
      <c r="J867" s="456"/>
      <c r="K867" s="457" t="s">
        <v>1416</v>
      </c>
      <c r="L867" s="458"/>
      <c r="M867" s="459"/>
      <c r="N867" s="460"/>
      <c r="O867" s="460"/>
      <c r="P867" s="461"/>
      <c r="Q867" s="458"/>
      <c r="R867" s="459"/>
      <c r="S867" s="459"/>
      <c r="T867" s="459"/>
      <c r="U867" s="459"/>
      <c r="V867" s="459"/>
      <c r="W867" s="459"/>
      <c r="X867" s="459"/>
      <c r="Y867" s="462">
        <f t="shared" si="17"/>
        <v>0</v>
      </c>
      <c r="Z867" s="463"/>
      <c r="AA867" s="464"/>
      <c r="AB867" s="465"/>
      <c r="AC867" s="465"/>
      <c r="AD867" s="465"/>
      <c r="AE867" s="466"/>
      <c r="AF867" s="449"/>
      <c r="AG867" s="449"/>
      <c r="AH867" s="449"/>
    </row>
    <row r="868" ht="11.25" customHeight="1">
      <c r="A868" s="450"/>
      <c r="B868" s="451"/>
      <c r="C868" s="452"/>
      <c r="D868" s="452"/>
      <c r="E868" s="453"/>
      <c r="F868" s="453"/>
      <c r="G868" s="454"/>
      <c r="H868" s="454"/>
      <c r="I868" s="455"/>
      <c r="J868" s="456"/>
      <c r="K868" s="467" t="s">
        <v>1417</v>
      </c>
      <c r="L868" s="468"/>
      <c r="M868" s="469"/>
      <c r="N868" s="470"/>
      <c r="O868" s="470"/>
      <c r="P868" s="471"/>
      <c r="Q868" s="468"/>
      <c r="R868" s="469"/>
      <c r="S868" s="469"/>
      <c r="T868" s="469"/>
      <c r="U868" s="469"/>
      <c r="V868" s="469"/>
      <c r="W868" s="469"/>
      <c r="X868" s="469"/>
      <c r="Y868" s="462">
        <f t="shared" si="17"/>
        <v>0</v>
      </c>
      <c r="Z868" s="463"/>
      <c r="AA868" s="464"/>
      <c r="AB868" s="465"/>
      <c r="AC868" s="465"/>
      <c r="AD868" s="465"/>
      <c r="AE868" s="466"/>
      <c r="AF868" s="449"/>
      <c r="AG868" s="449"/>
      <c r="AH868" s="449"/>
    </row>
    <row r="869" ht="11.25" customHeight="1">
      <c r="A869" s="450"/>
      <c r="B869" s="472"/>
      <c r="C869" s="473"/>
      <c r="D869" s="473"/>
      <c r="E869" s="474"/>
      <c r="F869" s="474"/>
      <c r="G869" s="475"/>
      <c r="H869" s="475"/>
      <c r="I869" s="476"/>
      <c r="J869" s="477"/>
      <c r="K869" s="478" t="s">
        <v>1418</v>
      </c>
      <c r="L869" s="479"/>
      <c r="M869" s="480"/>
      <c r="N869" s="481"/>
      <c r="O869" s="481"/>
      <c r="P869" s="482"/>
      <c r="Q869" s="479"/>
      <c r="R869" s="480"/>
      <c r="S869" s="480"/>
      <c r="T869" s="480"/>
      <c r="U869" s="480"/>
      <c r="V869" s="480"/>
      <c r="W869" s="480"/>
      <c r="X869" s="480"/>
      <c r="Y869" s="483">
        <f t="shared" si="17"/>
        <v>0</v>
      </c>
      <c r="Z869" s="484"/>
      <c r="AA869" s="485"/>
      <c r="AB869" s="486"/>
      <c r="AC869" s="486"/>
      <c r="AD869" s="486"/>
      <c r="AE869" s="487"/>
      <c r="AF869" s="449"/>
      <c r="AG869" s="449"/>
      <c r="AH869" s="449"/>
    </row>
    <row r="870" ht="11.25" customHeight="1">
      <c r="A870" s="431" t="str">
        <f>IF(B870="","", YEAR(B870))</f>
        <v/>
      </c>
      <c r="B870" s="432"/>
      <c r="C870" s="433"/>
      <c r="D870" s="433"/>
      <c r="E870" s="434" t="str">
        <f t="shared" ref="E870:I870" si="442">IFERROR(AVERAGE(L870:L873),"")</f>
        <v/>
      </c>
      <c r="F870" s="434" t="str">
        <f t="shared" si="442"/>
        <v/>
      </c>
      <c r="G870" s="435" t="str">
        <f t="shared" si="442"/>
        <v/>
      </c>
      <c r="H870" s="435" t="str">
        <f t="shared" si="442"/>
        <v/>
      </c>
      <c r="I870" s="436" t="str">
        <f t="shared" si="442"/>
        <v/>
      </c>
      <c r="J870" s="437">
        <f>SUMIFS(PRODUCTION[KG],PRODUCTION[GRADE],"3X50",PRODUCTION[DATE],B870,PRODUCTION[BATCH],C870,PRODUCTION[SHIFT],D870)</f>
        <v>0</v>
      </c>
      <c r="K870" s="438" t="s">
        <v>1414</v>
      </c>
      <c r="L870" s="443"/>
      <c r="M870" s="440"/>
      <c r="N870" s="441"/>
      <c r="O870" s="441"/>
      <c r="P870" s="442"/>
      <c r="Q870" s="443"/>
      <c r="R870" s="440"/>
      <c r="S870" s="440"/>
      <c r="T870" s="440"/>
      <c r="U870" s="440"/>
      <c r="V870" s="440"/>
      <c r="W870" s="440"/>
      <c r="X870" s="440"/>
      <c r="Y870" s="444">
        <f t="shared" si="17"/>
        <v>0</v>
      </c>
      <c r="Z870" s="445"/>
      <c r="AA870" s="446">
        <f t="shared" ref="AA870:AE870" si="443">$J870*E870</f>
        <v>0</v>
      </c>
      <c r="AB870" s="447">
        <f t="shared" si="443"/>
        <v>0</v>
      </c>
      <c r="AC870" s="447">
        <f t="shared" si="443"/>
        <v>0</v>
      </c>
      <c r="AD870" s="447">
        <f t="shared" si="443"/>
        <v>0</v>
      </c>
      <c r="AE870" s="448">
        <f t="shared" si="443"/>
        <v>0</v>
      </c>
      <c r="AF870" s="449"/>
      <c r="AG870" s="449"/>
      <c r="AH870" s="449"/>
    </row>
    <row r="871" ht="11.25" customHeight="1">
      <c r="A871" s="450"/>
      <c r="B871" s="451"/>
      <c r="C871" s="452"/>
      <c r="D871" s="452"/>
      <c r="E871" s="453"/>
      <c r="F871" s="453"/>
      <c r="G871" s="454"/>
      <c r="H871" s="454"/>
      <c r="I871" s="455"/>
      <c r="J871" s="456"/>
      <c r="K871" s="457" t="s">
        <v>1416</v>
      </c>
      <c r="L871" s="458"/>
      <c r="M871" s="459"/>
      <c r="N871" s="460"/>
      <c r="O871" s="460"/>
      <c r="P871" s="461"/>
      <c r="Q871" s="458"/>
      <c r="R871" s="459"/>
      <c r="S871" s="459"/>
      <c r="T871" s="459"/>
      <c r="U871" s="459"/>
      <c r="V871" s="459"/>
      <c r="W871" s="459"/>
      <c r="X871" s="459"/>
      <c r="Y871" s="462">
        <f t="shared" si="17"/>
        <v>0</v>
      </c>
      <c r="Z871" s="463"/>
      <c r="AA871" s="464"/>
      <c r="AB871" s="465"/>
      <c r="AC871" s="465"/>
      <c r="AD871" s="465"/>
      <c r="AE871" s="466"/>
      <c r="AF871" s="449"/>
      <c r="AG871" s="449"/>
      <c r="AH871" s="449"/>
    </row>
    <row r="872" ht="11.25" customHeight="1">
      <c r="A872" s="450"/>
      <c r="B872" s="451"/>
      <c r="C872" s="452"/>
      <c r="D872" s="452"/>
      <c r="E872" s="453"/>
      <c r="F872" s="453"/>
      <c r="G872" s="454"/>
      <c r="H872" s="454"/>
      <c r="I872" s="455"/>
      <c r="J872" s="456"/>
      <c r="K872" s="467" t="s">
        <v>1417</v>
      </c>
      <c r="L872" s="468"/>
      <c r="M872" s="469"/>
      <c r="N872" s="470"/>
      <c r="O872" s="470"/>
      <c r="P872" s="471"/>
      <c r="Q872" s="468"/>
      <c r="R872" s="469"/>
      <c r="S872" s="469"/>
      <c r="T872" s="469"/>
      <c r="U872" s="469"/>
      <c r="V872" s="469"/>
      <c r="W872" s="469"/>
      <c r="X872" s="469"/>
      <c r="Y872" s="462">
        <f t="shared" si="17"/>
        <v>0</v>
      </c>
      <c r="Z872" s="463"/>
      <c r="AA872" s="464"/>
      <c r="AB872" s="465"/>
      <c r="AC872" s="465"/>
      <c r="AD872" s="465"/>
      <c r="AE872" s="466"/>
      <c r="AF872" s="449"/>
      <c r="AG872" s="449"/>
      <c r="AH872" s="449"/>
    </row>
    <row r="873" ht="11.25" customHeight="1">
      <c r="A873" s="450"/>
      <c r="B873" s="472"/>
      <c r="C873" s="473"/>
      <c r="D873" s="473"/>
      <c r="E873" s="474"/>
      <c r="F873" s="474"/>
      <c r="G873" s="475"/>
      <c r="H873" s="475"/>
      <c r="I873" s="476"/>
      <c r="J873" s="477"/>
      <c r="K873" s="478" t="s">
        <v>1418</v>
      </c>
      <c r="L873" s="479"/>
      <c r="M873" s="480"/>
      <c r="N873" s="481"/>
      <c r="O873" s="481"/>
      <c r="P873" s="482"/>
      <c r="Q873" s="479"/>
      <c r="R873" s="480"/>
      <c r="S873" s="480"/>
      <c r="T873" s="480"/>
      <c r="U873" s="480"/>
      <c r="V873" s="480"/>
      <c r="W873" s="480"/>
      <c r="X873" s="480"/>
      <c r="Y873" s="483">
        <f t="shared" si="17"/>
        <v>0</v>
      </c>
      <c r="Z873" s="484"/>
      <c r="AA873" s="485"/>
      <c r="AB873" s="486"/>
      <c r="AC873" s="486"/>
      <c r="AD873" s="486"/>
      <c r="AE873" s="487"/>
      <c r="AF873" s="449"/>
      <c r="AG873" s="449"/>
      <c r="AH873" s="449"/>
    </row>
    <row r="874" ht="11.25" customHeight="1">
      <c r="A874" s="431" t="str">
        <f>IF(B874="","", YEAR(B874))</f>
        <v/>
      </c>
      <c r="B874" s="432"/>
      <c r="C874" s="433"/>
      <c r="D874" s="433"/>
      <c r="E874" s="434" t="str">
        <f t="shared" ref="E874:I874" si="444">IFERROR(AVERAGE(L874:L877),"")</f>
        <v/>
      </c>
      <c r="F874" s="434" t="str">
        <f t="shared" si="444"/>
        <v/>
      </c>
      <c r="G874" s="435" t="str">
        <f t="shared" si="444"/>
        <v/>
      </c>
      <c r="H874" s="435" t="str">
        <f t="shared" si="444"/>
        <v/>
      </c>
      <c r="I874" s="436" t="str">
        <f t="shared" si="444"/>
        <v/>
      </c>
      <c r="J874" s="437">
        <f>SUMIFS(PRODUCTION[KG],PRODUCTION[GRADE],"3X50",PRODUCTION[DATE],B874,PRODUCTION[BATCH],C874,PRODUCTION[SHIFT],D874)</f>
        <v>0</v>
      </c>
      <c r="K874" s="438" t="s">
        <v>1414</v>
      </c>
      <c r="L874" s="443"/>
      <c r="M874" s="440"/>
      <c r="N874" s="441"/>
      <c r="O874" s="441"/>
      <c r="P874" s="442"/>
      <c r="Q874" s="443"/>
      <c r="R874" s="440"/>
      <c r="S874" s="440"/>
      <c r="T874" s="440"/>
      <c r="U874" s="440"/>
      <c r="V874" s="440"/>
      <c r="W874" s="440"/>
      <c r="X874" s="440"/>
      <c r="Y874" s="444">
        <f t="shared" si="17"/>
        <v>0</v>
      </c>
      <c r="Z874" s="445"/>
      <c r="AA874" s="446">
        <f t="shared" ref="AA874:AE874" si="445">$J874*E874</f>
        <v>0</v>
      </c>
      <c r="AB874" s="447">
        <f t="shared" si="445"/>
        <v>0</v>
      </c>
      <c r="AC874" s="447">
        <f t="shared" si="445"/>
        <v>0</v>
      </c>
      <c r="AD874" s="447">
        <f t="shared" si="445"/>
        <v>0</v>
      </c>
      <c r="AE874" s="448">
        <f t="shared" si="445"/>
        <v>0</v>
      </c>
      <c r="AF874" s="449"/>
      <c r="AG874" s="449"/>
      <c r="AH874" s="449"/>
    </row>
    <row r="875" ht="11.25" customHeight="1">
      <c r="A875" s="450"/>
      <c r="B875" s="451"/>
      <c r="C875" s="452"/>
      <c r="D875" s="452"/>
      <c r="E875" s="453"/>
      <c r="F875" s="453"/>
      <c r="G875" s="454"/>
      <c r="H875" s="454"/>
      <c r="I875" s="455"/>
      <c r="J875" s="456"/>
      <c r="K875" s="457" t="s">
        <v>1416</v>
      </c>
      <c r="L875" s="458"/>
      <c r="M875" s="459"/>
      <c r="N875" s="460"/>
      <c r="O875" s="460"/>
      <c r="P875" s="461"/>
      <c r="Q875" s="458"/>
      <c r="R875" s="459"/>
      <c r="S875" s="459"/>
      <c r="T875" s="459"/>
      <c r="U875" s="459"/>
      <c r="V875" s="459"/>
      <c r="W875" s="459"/>
      <c r="X875" s="459"/>
      <c r="Y875" s="462">
        <f t="shared" si="17"/>
        <v>0</v>
      </c>
      <c r="Z875" s="463"/>
      <c r="AA875" s="464"/>
      <c r="AB875" s="465"/>
      <c r="AC875" s="465"/>
      <c r="AD875" s="465"/>
      <c r="AE875" s="466"/>
      <c r="AF875" s="449"/>
      <c r="AG875" s="449"/>
      <c r="AH875" s="449"/>
    </row>
    <row r="876" ht="11.25" customHeight="1">
      <c r="A876" s="450"/>
      <c r="B876" s="451"/>
      <c r="C876" s="452"/>
      <c r="D876" s="452"/>
      <c r="E876" s="453"/>
      <c r="F876" s="453"/>
      <c r="G876" s="454"/>
      <c r="H876" s="454"/>
      <c r="I876" s="455"/>
      <c r="J876" s="456"/>
      <c r="K876" s="467" t="s">
        <v>1417</v>
      </c>
      <c r="L876" s="468"/>
      <c r="M876" s="469"/>
      <c r="N876" s="470"/>
      <c r="O876" s="470"/>
      <c r="P876" s="471"/>
      <c r="Q876" s="468"/>
      <c r="R876" s="469"/>
      <c r="S876" s="469"/>
      <c r="T876" s="469"/>
      <c r="U876" s="469"/>
      <c r="V876" s="469"/>
      <c r="W876" s="469"/>
      <c r="X876" s="469"/>
      <c r="Y876" s="462">
        <f t="shared" si="17"/>
        <v>0</v>
      </c>
      <c r="Z876" s="463"/>
      <c r="AA876" s="464"/>
      <c r="AB876" s="465"/>
      <c r="AC876" s="465"/>
      <c r="AD876" s="465"/>
      <c r="AE876" s="466"/>
      <c r="AF876" s="449"/>
      <c r="AG876" s="449"/>
      <c r="AH876" s="449"/>
    </row>
    <row r="877" ht="11.25" customHeight="1">
      <c r="A877" s="450"/>
      <c r="B877" s="472"/>
      <c r="C877" s="473"/>
      <c r="D877" s="473"/>
      <c r="E877" s="474"/>
      <c r="F877" s="474"/>
      <c r="G877" s="475"/>
      <c r="H877" s="475"/>
      <c r="I877" s="476"/>
      <c r="J877" s="477"/>
      <c r="K877" s="478" t="s">
        <v>1418</v>
      </c>
      <c r="L877" s="479"/>
      <c r="M877" s="480"/>
      <c r="N877" s="481"/>
      <c r="O877" s="481"/>
      <c r="P877" s="482"/>
      <c r="Q877" s="479"/>
      <c r="R877" s="480"/>
      <c r="S877" s="480"/>
      <c r="T877" s="480"/>
      <c r="U877" s="480"/>
      <c r="V877" s="480"/>
      <c r="W877" s="480"/>
      <c r="X877" s="480"/>
      <c r="Y877" s="483">
        <f t="shared" si="17"/>
        <v>0</v>
      </c>
      <c r="Z877" s="484"/>
      <c r="AA877" s="485"/>
      <c r="AB877" s="486"/>
      <c r="AC877" s="486"/>
      <c r="AD877" s="486"/>
      <c r="AE877" s="487"/>
      <c r="AF877" s="449"/>
      <c r="AG877" s="449"/>
      <c r="AH877" s="449"/>
    </row>
    <row r="878" ht="11.25" customHeight="1">
      <c r="A878" s="431" t="str">
        <f>IF(B878="","", YEAR(B878))</f>
        <v/>
      </c>
      <c r="B878" s="432"/>
      <c r="C878" s="433"/>
      <c r="D878" s="433"/>
      <c r="E878" s="434" t="str">
        <f t="shared" ref="E878:I878" si="446">IFERROR(AVERAGE(L878:L881),"")</f>
        <v/>
      </c>
      <c r="F878" s="434" t="str">
        <f t="shared" si="446"/>
        <v/>
      </c>
      <c r="G878" s="435" t="str">
        <f t="shared" si="446"/>
        <v/>
      </c>
      <c r="H878" s="435" t="str">
        <f t="shared" si="446"/>
        <v/>
      </c>
      <c r="I878" s="436" t="str">
        <f t="shared" si="446"/>
        <v/>
      </c>
      <c r="J878" s="437">
        <f>SUMIFS(PRODUCTION[KG],PRODUCTION[GRADE],"3X50",PRODUCTION[DATE],B878,PRODUCTION[BATCH],C878,PRODUCTION[SHIFT],D878)</f>
        <v>0</v>
      </c>
      <c r="K878" s="438" t="s">
        <v>1414</v>
      </c>
      <c r="L878" s="443"/>
      <c r="M878" s="440"/>
      <c r="N878" s="441"/>
      <c r="O878" s="441"/>
      <c r="P878" s="442"/>
      <c r="Q878" s="443"/>
      <c r="R878" s="440"/>
      <c r="S878" s="440"/>
      <c r="T878" s="440"/>
      <c r="U878" s="440"/>
      <c r="V878" s="440"/>
      <c r="W878" s="440"/>
      <c r="X878" s="440"/>
      <c r="Y878" s="444">
        <f t="shared" si="17"/>
        <v>0</v>
      </c>
      <c r="Z878" s="445"/>
      <c r="AA878" s="446">
        <f t="shared" ref="AA878:AE878" si="447">$J878*E878</f>
        <v>0</v>
      </c>
      <c r="AB878" s="447">
        <f t="shared" si="447"/>
        <v>0</v>
      </c>
      <c r="AC878" s="447">
        <f t="shared" si="447"/>
        <v>0</v>
      </c>
      <c r="AD878" s="447">
        <f t="shared" si="447"/>
        <v>0</v>
      </c>
      <c r="AE878" s="448">
        <f t="shared" si="447"/>
        <v>0</v>
      </c>
      <c r="AF878" s="449"/>
      <c r="AG878" s="449"/>
      <c r="AH878" s="449"/>
    </row>
    <row r="879" ht="11.25" customHeight="1">
      <c r="A879" s="450"/>
      <c r="B879" s="451"/>
      <c r="C879" s="452"/>
      <c r="D879" s="452"/>
      <c r="E879" s="453"/>
      <c r="F879" s="453"/>
      <c r="G879" s="454"/>
      <c r="H879" s="454"/>
      <c r="I879" s="455"/>
      <c r="J879" s="456"/>
      <c r="K879" s="457" t="s">
        <v>1416</v>
      </c>
      <c r="L879" s="458"/>
      <c r="M879" s="459"/>
      <c r="N879" s="460"/>
      <c r="O879" s="460"/>
      <c r="P879" s="461"/>
      <c r="Q879" s="458"/>
      <c r="R879" s="459"/>
      <c r="S879" s="459"/>
      <c r="T879" s="459"/>
      <c r="U879" s="459"/>
      <c r="V879" s="459"/>
      <c r="W879" s="459"/>
      <c r="X879" s="459"/>
      <c r="Y879" s="462">
        <f t="shared" si="17"/>
        <v>0</v>
      </c>
      <c r="Z879" s="463"/>
      <c r="AA879" s="464"/>
      <c r="AB879" s="465"/>
      <c r="AC879" s="465"/>
      <c r="AD879" s="465"/>
      <c r="AE879" s="466"/>
      <c r="AF879" s="449"/>
      <c r="AG879" s="449"/>
      <c r="AH879" s="449"/>
    </row>
    <row r="880" ht="11.25" customHeight="1">
      <c r="A880" s="450"/>
      <c r="B880" s="451"/>
      <c r="C880" s="452"/>
      <c r="D880" s="452"/>
      <c r="E880" s="453"/>
      <c r="F880" s="453"/>
      <c r="G880" s="454"/>
      <c r="H880" s="454"/>
      <c r="I880" s="455"/>
      <c r="J880" s="456"/>
      <c r="K880" s="467" t="s">
        <v>1417</v>
      </c>
      <c r="L880" s="468"/>
      <c r="M880" s="469"/>
      <c r="N880" s="470"/>
      <c r="O880" s="470"/>
      <c r="P880" s="471"/>
      <c r="Q880" s="468"/>
      <c r="R880" s="469"/>
      <c r="S880" s="469"/>
      <c r="T880" s="469"/>
      <c r="U880" s="469"/>
      <c r="V880" s="469"/>
      <c r="W880" s="469"/>
      <c r="X880" s="469"/>
      <c r="Y880" s="462">
        <f t="shared" si="17"/>
        <v>0</v>
      </c>
      <c r="Z880" s="463"/>
      <c r="AA880" s="464"/>
      <c r="AB880" s="465"/>
      <c r="AC880" s="465"/>
      <c r="AD880" s="465"/>
      <c r="AE880" s="466"/>
      <c r="AF880" s="449"/>
      <c r="AG880" s="449"/>
      <c r="AH880" s="449"/>
    </row>
    <row r="881" ht="11.25" customHeight="1">
      <c r="A881" s="450"/>
      <c r="B881" s="472"/>
      <c r="C881" s="473"/>
      <c r="D881" s="473"/>
      <c r="E881" s="474"/>
      <c r="F881" s="474"/>
      <c r="G881" s="475"/>
      <c r="H881" s="475"/>
      <c r="I881" s="476"/>
      <c r="J881" s="477"/>
      <c r="K881" s="478" t="s">
        <v>1418</v>
      </c>
      <c r="L881" s="479"/>
      <c r="M881" s="480"/>
      <c r="N881" s="481"/>
      <c r="O881" s="481"/>
      <c r="P881" s="482"/>
      <c r="Q881" s="479"/>
      <c r="R881" s="480"/>
      <c r="S881" s="480"/>
      <c r="T881" s="480"/>
      <c r="U881" s="480"/>
      <c r="V881" s="480"/>
      <c r="W881" s="480"/>
      <c r="X881" s="480"/>
      <c r="Y881" s="483">
        <f t="shared" si="17"/>
        <v>0</v>
      </c>
      <c r="Z881" s="484"/>
      <c r="AA881" s="485"/>
      <c r="AB881" s="486"/>
      <c r="AC881" s="486"/>
      <c r="AD881" s="486"/>
      <c r="AE881" s="487"/>
      <c r="AF881" s="449"/>
      <c r="AG881" s="449"/>
      <c r="AH881" s="449"/>
    </row>
    <row r="882" ht="11.25" customHeight="1">
      <c r="A882" s="431" t="str">
        <f>IF(B882="","", YEAR(B882))</f>
        <v/>
      </c>
      <c r="B882" s="432"/>
      <c r="C882" s="433"/>
      <c r="D882" s="433"/>
      <c r="E882" s="434" t="str">
        <f t="shared" ref="E882:I882" si="448">IFERROR(AVERAGE(L882:L885),"")</f>
        <v/>
      </c>
      <c r="F882" s="434" t="str">
        <f t="shared" si="448"/>
        <v/>
      </c>
      <c r="G882" s="435" t="str">
        <f t="shared" si="448"/>
        <v/>
      </c>
      <c r="H882" s="435" t="str">
        <f t="shared" si="448"/>
        <v/>
      </c>
      <c r="I882" s="436" t="str">
        <f t="shared" si="448"/>
        <v/>
      </c>
      <c r="J882" s="437">
        <f>SUMIFS(PRODUCTION[KG],PRODUCTION[GRADE],"3X50",PRODUCTION[DATE],B882,PRODUCTION[BATCH],C882,PRODUCTION[SHIFT],D882)</f>
        <v>0</v>
      </c>
      <c r="K882" s="438" t="s">
        <v>1414</v>
      </c>
      <c r="L882" s="443"/>
      <c r="M882" s="440"/>
      <c r="N882" s="441"/>
      <c r="O882" s="441"/>
      <c r="P882" s="442"/>
      <c r="Q882" s="443"/>
      <c r="R882" s="440"/>
      <c r="S882" s="440"/>
      <c r="T882" s="440"/>
      <c r="U882" s="440"/>
      <c r="V882" s="440"/>
      <c r="W882" s="440"/>
      <c r="X882" s="440"/>
      <c r="Y882" s="444">
        <f t="shared" si="17"/>
        <v>0</v>
      </c>
      <c r="Z882" s="445"/>
      <c r="AA882" s="446">
        <f t="shared" ref="AA882:AE882" si="449">$J882*E882</f>
        <v>0</v>
      </c>
      <c r="AB882" s="447">
        <f t="shared" si="449"/>
        <v>0</v>
      </c>
      <c r="AC882" s="447">
        <f t="shared" si="449"/>
        <v>0</v>
      </c>
      <c r="AD882" s="447">
        <f t="shared" si="449"/>
        <v>0</v>
      </c>
      <c r="AE882" s="448">
        <f t="shared" si="449"/>
        <v>0</v>
      </c>
      <c r="AF882" s="449"/>
      <c r="AG882" s="449"/>
      <c r="AH882" s="449"/>
    </row>
    <row r="883" ht="11.25" customHeight="1">
      <c r="A883" s="450"/>
      <c r="B883" s="451"/>
      <c r="C883" s="452"/>
      <c r="D883" s="452"/>
      <c r="E883" s="453"/>
      <c r="F883" s="453"/>
      <c r="G883" s="454"/>
      <c r="H883" s="454"/>
      <c r="I883" s="455"/>
      <c r="J883" s="456"/>
      <c r="K883" s="457" t="s">
        <v>1416</v>
      </c>
      <c r="L883" s="458"/>
      <c r="M883" s="459"/>
      <c r="N883" s="460"/>
      <c r="O883" s="460"/>
      <c r="P883" s="461"/>
      <c r="Q883" s="458"/>
      <c r="R883" s="459"/>
      <c r="S883" s="459"/>
      <c r="T883" s="459"/>
      <c r="U883" s="459"/>
      <c r="V883" s="459"/>
      <c r="W883" s="459"/>
      <c r="X883" s="459"/>
      <c r="Y883" s="462">
        <f t="shared" si="17"/>
        <v>0</v>
      </c>
      <c r="Z883" s="463"/>
      <c r="AA883" s="464"/>
      <c r="AB883" s="465"/>
      <c r="AC883" s="465"/>
      <c r="AD883" s="465"/>
      <c r="AE883" s="466"/>
      <c r="AF883" s="449"/>
      <c r="AG883" s="449"/>
      <c r="AH883" s="449"/>
    </row>
    <row r="884" ht="11.25" customHeight="1">
      <c r="A884" s="450"/>
      <c r="B884" s="451"/>
      <c r="C884" s="452"/>
      <c r="D884" s="452"/>
      <c r="E884" s="453"/>
      <c r="F884" s="453"/>
      <c r="G884" s="454"/>
      <c r="H884" s="454"/>
      <c r="I884" s="455"/>
      <c r="J884" s="456"/>
      <c r="K884" s="467" t="s">
        <v>1417</v>
      </c>
      <c r="L884" s="468"/>
      <c r="M884" s="469"/>
      <c r="N884" s="470"/>
      <c r="O884" s="470"/>
      <c r="P884" s="471"/>
      <c r="Q884" s="468"/>
      <c r="R884" s="469"/>
      <c r="S884" s="469"/>
      <c r="T884" s="469"/>
      <c r="U884" s="469"/>
      <c r="V884" s="469"/>
      <c r="W884" s="469"/>
      <c r="X884" s="469"/>
      <c r="Y884" s="462">
        <f t="shared" si="17"/>
        <v>0</v>
      </c>
      <c r="Z884" s="463"/>
      <c r="AA884" s="464"/>
      <c r="AB884" s="465"/>
      <c r="AC884" s="465"/>
      <c r="AD884" s="465"/>
      <c r="AE884" s="466"/>
      <c r="AF884" s="449"/>
      <c r="AG884" s="449"/>
      <c r="AH884" s="449"/>
    </row>
    <row r="885" ht="11.25" customHeight="1">
      <c r="A885" s="450"/>
      <c r="B885" s="472"/>
      <c r="C885" s="473"/>
      <c r="D885" s="473"/>
      <c r="E885" s="474"/>
      <c r="F885" s="474"/>
      <c r="G885" s="475"/>
      <c r="H885" s="475"/>
      <c r="I885" s="476"/>
      <c r="J885" s="477"/>
      <c r="K885" s="478" t="s">
        <v>1418</v>
      </c>
      <c r="L885" s="479"/>
      <c r="M885" s="480"/>
      <c r="N885" s="481"/>
      <c r="O885" s="481"/>
      <c r="P885" s="482"/>
      <c r="Q885" s="479"/>
      <c r="R885" s="480"/>
      <c r="S885" s="480"/>
      <c r="T885" s="480"/>
      <c r="U885" s="480"/>
      <c r="V885" s="480"/>
      <c r="W885" s="480"/>
      <c r="X885" s="480"/>
      <c r="Y885" s="483">
        <f t="shared" si="17"/>
        <v>0</v>
      </c>
      <c r="Z885" s="484"/>
      <c r="AA885" s="485"/>
      <c r="AB885" s="486"/>
      <c r="AC885" s="486"/>
      <c r="AD885" s="486"/>
      <c r="AE885" s="487"/>
      <c r="AF885" s="449"/>
      <c r="AG885" s="449"/>
      <c r="AH885" s="449"/>
    </row>
    <row r="886" ht="11.25" customHeight="1">
      <c r="A886" s="431" t="str">
        <f>IF(B886="","", YEAR(B886))</f>
        <v/>
      </c>
      <c r="B886" s="432"/>
      <c r="C886" s="433"/>
      <c r="D886" s="433"/>
      <c r="E886" s="434" t="str">
        <f t="shared" ref="E886:I886" si="450">IFERROR(AVERAGE(L886:L889),"")</f>
        <v/>
      </c>
      <c r="F886" s="434" t="str">
        <f t="shared" si="450"/>
        <v/>
      </c>
      <c r="G886" s="435" t="str">
        <f t="shared" si="450"/>
        <v/>
      </c>
      <c r="H886" s="435" t="str">
        <f t="shared" si="450"/>
        <v/>
      </c>
      <c r="I886" s="436" t="str">
        <f t="shared" si="450"/>
        <v/>
      </c>
      <c r="J886" s="437">
        <f>SUMIFS(PRODUCTION[KG],PRODUCTION[GRADE],"3X50",PRODUCTION[DATE],B886,PRODUCTION[BATCH],C886,PRODUCTION[SHIFT],D886)</f>
        <v>0</v>
      </c>
      <c r="K886" s="438" t="s">
        <v>1414</v>
      </c>
      <c r="L886" s="443"/>
      <c r="M886" s="440"/>
      <c r="N886" s="441"/>
      <c r="O886" s="441"/>
      <c r="P886" s="442"/>
      <c r="Q886" s="443"/>
      <c r="R886" s="440"/>
      <c r="S886" s="440"/>
      <c r="T886" s="440"/>
      <c r="U886" s="440"/>
      <c r="V886" s="440"/>
      <c r="W886" s="440"/>
      <c r="X886" s="440"/>
      <c r="Y886" s="444">
        <f t="shared" si="17"/>
        <v>0</v>
      </c>
      <c r="Z886" s="445"/>
      <c r="AA886" s="446">
        <f t="shared" ref="AA886:AE886" si="451">$J886*E886</f>
        <v>0</v>
      </c>
      <c r="AB886" s="447">
        <f t="shared" si="451"/>
        <v>0</v>
      </c>
      <c r="AC886" s="447">
        <f t="shared" si="451"/>
        <v>0</v>
      </c>
      <c r="AD886" s="447">
        <f t="shared" si="451"/>
        <v>0</v>
      </c>
      <c r="AE886" s="448">
        <f t="shared" si="451"/>
        <v>0</v>
      </c>
      <c r="AF886" s="449"/>
      <c r="AG886" s="449"/>
      <c r="AH886" s="449"/>
    </row>
    <row r="887" ht="11.25" customHeight="1">
      <c r="A887" s="450"/>
      <c r="B887" s="451"/>
      <c r="C887" s="452"/>
      <c r="D887" s="452"/>
      <c r="E887" s="453"/>
      <c r="F887" s="453"/>
      <c r="G887" s="454"/>
      <c r="H887" s="454"/>
      <c r="I887" s="455"/>
      <c r="J887" s="456"/>
      <c r="K887" s="457" t="s">
        <v>1416</v>
      </c>
      <c r="L887" s="458"/>
      <c r="M887" s="459"/>
      <c r="N887" s="460"/>
      <c r="O887" s="460"/>
      <c r="P887" s="461"/>
      <c r="Q887" s="458"/>
      <c r="R887" s="459"/>
      <c r="S887" s="459"/>
      <c r="T887" s="459"/>
      <c r="U887" s="459"/>
      <c r="V887" s="459"/>
      <c r="W887" s="459"/>
      <c r="X887" s="459"/>
      <c r="Y887" s="462">
        <f t="shared" si="17"/>
        <v>0</v>
      </c>
      <c r="Z887" s="463"/>
      <c r="AA887" s="464"/>
      <c r="AB887" s="465"/>
      <c r="AC887" s="465"/>
      <c r="AD887" s="465"/>
      <c r="AE887" s="466"/>
      <c r="AF887" s="449"/>
      <c r="AG887" s="449"/>
      <c r="AH887" s="449"/>
    </row>
    <row r="888" ht="11.25" customHeight="1">
      <c r="A888" s="450"/>
      <c r="B888" s="451"/>
      <c r="C888" s="452"/>
      <c r="D888" s="452"/>
      <c r="E888" s="453"/>
      <c r="F888" s="453"/>
      <c r="G888" s="454"/>
      <c r="H888" s="454"/>
      <c r="I888" s="455"/>
      <c r="J888" s="456"/>
      <c r="K888" s="467" t="s">
        <v>1417</v>
      </c>
      <c r="L888" s="468"/>
      <c r="M888" s="469"/>
      <c r="N888" s="470"/>
      <c r="O888" s="470"/>
      <c r="P888" s="471"/>
      <c r="Q888" s="468"/>
      <c r="R888" s="469"/>
      <c r="S888" s="469"/>
      <c r="T888" s="469"/>
      <c r="U888" s="469"/>
      <c r="V888" s="469"/>
      <c r="W888" s="469"/>
      <c r="X888" s="469"/>
      <c r="Y888" s="462">
        <f t="shared" si="17"/>
        <v>0</v>
      </c>
      <c r="Z888" s="463"/>
      <c r="AA888" s="464"/>
      <c r="AB888" s="465"/>
      <c r="AC888" s="465"/>
      <c r="AD888" s="465"/>
      <c r="AE888" s="466"/>
      <c r="AF888" s="449"/>
      <c r="AG888" s="449"/>
      <c r="AH888" s="449"/>
    </row>
    <row r="889" ht="11.25" customHeight="1">
      <c r="A889" s="450"/>
      <c r="B889" s="472"/>
      <c r="C889" s="473"/>
      <c r="D889" s="473"/>
      <c r="E889" s="474"/>
      <c r="F889" s="474"/>
      <c r="G889" s="475"/>
      <c r="H889" s="475"/>
      <c r="I889" s="476"/>
      <c r="J889" s="477"/>
      <c r="K889" s="478" t="s">
        <v>1418</v>
      </c>
      <c r="L889" s="479"/>
      <c r="M889" s="480"/>
      <c r="N889" s="481"/>
      <c r="O889" s="481"/>
      <c r="P889" s="482"/>
      <c r="Q889" s="479"/>
      <c r="R889" s="480"/>
      <c r="S889" s="480"/>
      <c r="T889" s="480"/>
      <c r="U889" s="480"/>
      <c r="V889" s="480"/>
      <c r="W889" s="480"/>
      <c r="X889" s="480"/>
      <c r="Y889" s="483">
        <f t="shared" si="17"/>
        <v>0</v>
      </c>
      <c r="Z889" s="484"/>
      <c r="AA889" s="485"/>
      <c r="AB889" s="486"/>
      <c r="AC889" s="486"/>
      <c r="AD889" s="486"/>
      <c r="AE889" s="487"/>
      <c r="AF889" s="449"/>
      <c r="AG889" s="449"/>
      <c r="AH889" s="449"/>
    </row>
    <row r="890" ht="11.25" customHeight="1">
      <c r="A890" s="431" t="str">
        <f>IF(B890="","", YEAR(B890))</f>
        <v/>
      </c>
      <c r="B890" s="432"/>
      <c r="C890" s="433"/>
      <c r="D890" s="433"/>
      <c r="E890" s="434" t="str">
        <f t="shared" ref="E890:I890" si="452">IFERROR(AVERAGE(L890:L893),"")</f>
        <v/>
      </c>
      <c r="F890" s="434" t="str">
        <f t="shared" si="452"/>
        <v/>
      </c>
      <c r="G890" s="435" t="str">
        <f t="shared" si="452"/>
        <v/>
      </c>
      <c r="H890" s="435" t="str">
        <f t="shared" si="452"/>
        <v/>
      </c>
      <c r="I890" s="436" t="str">
        <f t="shared" si="452"/>
        <v/>
      </c>
      <c r="J890" s="437">
        <f>SUMIFS(PRODUCTION[KG],PRODUCTION[GRADE],"3X50",PRODUCTION[DATE],B890,PRODUCTION[BATCH],C890,PRODUCTION[SHIFT],D890)</f>
        <v>0</v>
      </c>
      <c r="K890" s="438" t="s">
        <v>1414</v>
      </c>
      <c r="L890" s="443"/>
      <c r="M890" s="440"/>
      <c r="N890" s="441"/>
      <c r="O890" s="441"/>
      <c r="P890" s="442"/>
      <c r="Q890" s="443"/>
      <c r="R890" s="440"/>
      <c r="S890" s="440"/>
      <c r="T890" s="440"/>
      <c r="U890" s="440"/>
      <c r="V890" s="440"/>
      <c r="W890" s="440"/>
      <c r="X890" s="440"/>
      <c r="Y890" s="444">
        <f t="shared" si="17"/>
        <v>0</v>
      </c>
      <c r="Z890" s="445"/>
      <c r="AA890" s="446">
        <f t="shared" ref="AA890:AE890" si="453">$J890*E890</f>
        <v>0</v>
      </c>
      <c r="AB890" s="447">
        <f t="shared" si="453"/>
        <v>0</v>
      </c>
      <c r="AC890" s="447">
        <f t="shared" si="453"/>
        <v>0</v>
      </c>
      <c r="AD890" s="447">
        <f t="shared" si="453"/>
        <v>0</v>
      </c>
      <c r="AE890" s="448">
        <f t="shared" si="453"/>
        <v>0</v>
      </c>
      <c r="AF890" s="449"/>
      <c r="AG890" s="449"/>
      <c r="AH890" s="449"/>
    </row>
    <row r="891" ht="11.25" customHeight="1">
      <c r="A891" s="450"/>
      <c r="B891" s="451"/>
      <c r="C891" s="452"/>
      <c r="D891" s="452"/>
      <c r="E891" s="453"/>
      <c r="F891" s="453"/>
      <c r="G891" s="454"/>
      <c r="H891" s="454"/>
      <c r="I891" s="455"/>
      <c r="J891" s="456"/>
      <c r="K891" s="457" t="s">
        <v>1416</v>
      </c>
      <c r="L891" s="458"/>
      <c r="M891" s="459"/>
      <c r="N891" s="460"/>
      <c r="O891" s="460"/>
      <c r="P891" s="461"/>
      <c r="Q891" s="458"/>
      <c r="R891" s="459"/>
      <c r="S891" s="459"/>
      <c r="T891" s="459"/>
      <c r="U891" s="459"/>
      <c r="V891" s="459"/>
      <c r="W891" s="459"/>
      <c r="X891" s="459"/>
      <c r="Y891" s="462">
        <f t="shared" si="17"/>
        <v>0</v>
      </c>
      <c r="Z891" s="463"/>
      <c r="AA891" s="464"/>
      <c r="AB891" s="465"/>
      <c r="AC891" s="465"/>
      <c r="AD891" s="465"/>
      <c r="AE891" s="466"/>
      <c r="AF891" s="449"/>
      <c r="AG891" s="449"/>
      <c r="AH891" s="449"/>
    </row>
    <row r="892" ht="11.25" customHeight="1">
      <c r="A892" s="450"/>
      <c r="B892" s="451"/>
      <c r="C892" s="452"/>
      <c r="D892" s="452"/>
      <c r="E892" s="453"/>
      <c r="F892" s="453"/>
      <c r="G892" s="454"/>
      <c r="H892" s="454"/>
      <c r="I892" s="455"/>
      <c r="J892" s="456"/>
      <c r="K892" s="467" t="s">
        <v>1417</v>
      </c>
      <c r="L892" s="468"/>
      <c r="M892" s="469"/>
      <c r="N892" s="470"/>
      <c r="O892" s="470"/>
      <c r="P892" s="471"/>
      <c r="Q892" s="468"/>
      <c r="R892" s="469"/>
      <c r="S892" s="469"/>
      <c r="T892" s="469"/>
      <c r="U892" s="469"/>
      <c r="V892" s="469"/>
      <c r="W892" s="469"/>
      <c r="X892" s="469"/>
      <c r="Y892" s="462">
        <f t="shared" si="17"/>
        <v>0</v>
      </c>
      <c r="Z892" s="463"/>
      <c r="AA892" s="464"/>
      <c r="AB892" s="465"/>
      <c r="AC892" s="465"/>
      <c r="AD892" s="465"/>
      <c r="AE892" s="466"/>
      <c r="AF892" s="449"/>
      <c r="AG892" s="449"/>
      <c r="AH892" s="449"/>
    </row>
    <row r="893" ht="11.25" customHeight="1">
      <c r="A893" s="450"/>
      <c r="B893" s="472"/>
      <c r="C893" s="473"/>
      <c r="D893" s="473"/>
      <c r="E893" s="474"/>
      <c r="F893" s="474"/>
      <c r="G893" s="475"/>
      <c r="H893" s="475"/>
      <c r="I893" s="476"/>
      <c r="J893" s="477"/>
      <c r="K893" s="478" t="s">
        <v>1418</v>
      </c>
      <c r="L893" s="479"/>
      <c r="M893" s="480"/>
      <c r="N893" s="481"/>
      <c r="O893" s="481"/>
      <c r="P893" s="482"/>
      <c r="Q893" s="479"/>
      <c r="R893" s="480"/>
      <c r="S893" s="480"/>
      <c r="T893" s="480"/>
      <c r="U893" s="480"/>
      <c r="V893" s="480"/>
      <c r="W893" s="480"/>
      <c r="X893" s="480"/>
      <c r="Y893" s="483">
        <f t="shared" si="17"/>
        <v>0</v>
      </c>
      <c r="Z893" s="484"/>
      <c r="AA893" s="485"/>
      <c r="AB893" s="486"/>
      <c r="AC893" s="486"/>
      <c r="AD893" s="486"/>
      <c r="AE893" s="487"/>
      <c r="AF893" s="449"/>
      <c r="AG893" s="449"/>
      <c r="AH893" s="449"/>
    </row>
    <row r="894" ht="11.25" customHeight="1">
      <c r="A894" s="431" t="str">
        <f>IF(B894="","", YEAR(B894))</f>
        <v/>
      </c>
      <c r="B894" s="432"/>
      <c r="C894" s="433"/>
      <c r="D894" s="433"/>
      <c r="E894" s="434" t="str">
        <f t="shared" ref="E894:I894" si="454">IFERROR(AVERAGE(L894:L897),"")</f>
        <v/>
      </c>
      <c r="F894" s="434" t="str">
        <f t="shared" si="454"/>
        <v/>
      </c>
      <c r="G894" s="435" t="str">
        <f t="shared" si="454"/>
        <v/>
      </c>
      <c r="H894" s="435" t="str">
        <f t="shared" si="454"/>
        <v/>
      </c>
      <c r="I894" s="436" t="str">
        <f t="shared" si="454"/>
        <v/>
      </c>
      <c r="J894" s="437">
        <f>SUMIFS(PRODUCTION[KG],PRODUCTION[GRADE],"3X50",PRODUCTION[DATE],B894,PRODUCTION[BATCH],C894,PRODUCTION[SHIFT],D894)</f>
        <v>0</v>
      </c>
      <c r="K894" s="438" t="s">
        <v>1414</v>
      </c>
      <c r="L894" s="443"/>
      <c r="M894" s="440"/>
      <c r="N894" s="441"/>
      <c r="O894" s="441"/>
      <c r="P894" s="442"/>
      <c r="Q894" s="443"/>
      <c r="R894" s="440"/>
      <c r="S894" s="440"/>
      <c r="T894" s="440"/>
      <c r="U894" s="440"/>
      <c r="V894" s="440"/>
      <c r="W894" s="440"/>
      <c r="X894" s="440"/>
      <c r="Y894" s="444">
        <f t="shared" si="17"/>
        <v>0</v>
      </c>
      <c r="Z894" s="445"/>
      <c r="AA894" s="446">
        <f t="shared" ref="AA894:AE894" si="455">$J894*E894</f>
        <v>0</v>
      </c>
      <c r="AB894" s="447">
        <f t="shared" si="455"/>
        <v>0</v>
      </c>
      <c r="AC894" s="447">
        <f t="shared" si="455"/>
        <v>0</v>
      </c>
      <c r="AD894" s="447">
        <f t="shared" si="455"/>
        <v>0</v>
      </c>
      <c r="AE894" s="448">
        <f t="shared" si="455"/>
        <v>0</v>
      </c>
      <c r="AF894" s="449"/>
      <c r="AG894" s="449"/>
      <c r="AH894" s="449"/>
    </row>
    <row r="895" ht="11.25" customHeight="1">
      <c r="A895" s="450"/>
      <c r="B895" s="451"/>
      <c r="C895" s="452"/>
      <c r="D895" s="452"/>
      <c r="E895" s="453"/>
      <c r="F895" s="453"/>
      <c r="G895" s="454"/>
      <c r="H895" s="454"/>
      <c r="I895" s="455"/>
      <c r="J895" s="456"/>
      <c r="K895" s="457" t="s">
        <v>1416</v>
      </c>
      <c r="L895" s="458"/>
      <c r="M895" s="459"/>
      <c r="N895" s="460"/>
      <c r="O895" s="460"/>
      <c r="P895" s="461"/>
      <c r="Q895" s="458"/>
      <c r="R895" s="459"/>
      <c r="S895" s="459"/>
      <c r="T895" s="459"/>
      <c r="U895" s="459"/>
      <c r="V895" s="459"/>
      <c r="W895" s="459"/>
      <c r="X895" s="459"/>
      <c r="Y895" s="462">
        <f t="shared" si="17"/>
        <v>0</v>
      </c>
      <c r="Z895" s="463"/>
      <c r="AA895" s="464"/>
      <c r="AB895" s="465"/>
      <c r="AC895" s="465"/>
      <c r="AD895" s="465"/>
      <c r="AE895" s="466"/>
      <c r="AF895" s="449"/>
      <c r="AG895" s="449"/>
      <c r="AH895" s="449"/>
    </row>
    <row r="896" ht="11.25" customHeight="1">
      <c r="A896" s="450"/>
      <c r="B896" s="451"/>
      <c r="C896" s="452"/>
      <c r="D896" s="452"/>
      <c r="E896" s="453"/>
      <c r="F896" s="453"/>
      <c r="G896" s="454"/>
      <c r="H896" s="454"/>
      <c r="I896" s="455"/>
      <c r="J896" s="456"/>
      <c r="K896" s="467" t="s">
        <v>1417</v>
      </c>
      <c r="L896" s="468"/>
      <c r="M896" s="469"/>
      <c r="N896" s="470"/>
      <c r="O896" s="470"/>
      <c r="P896" s="471"/>
      <c r="Q896" s="468"/>
      <c r="R896" s="469"/>
      <c r="S896" s="469"/>
      <c r="T896" s="469"/>
      <c r="U896" s="469"/>
      <c r="V896" s="469"/>
      <c r="W896" s="469"/>
      <c r="X896" s="469"/>
      <c r="Y896" s="462">
        <f t="shared" si="17"/>
        <v>0</v>
      </c>
      <c r="Z896" s="463"/>
      <c r="AA896" s="464"/>
      <c r="AB896" s="465"/>
      <c r="AC896" s="465"/>
      <c r="AD896" s="465"/>
      <c r="AE896" s="466"/>
      <c r="AF896" s="449"/>
      <c r="AG896" s="449"/>
      <c r="AH896" s="449"/>
    </row>
    <row r="897" ht="11.25" customHeight="1">
      <c r="A897" s="450"/>
      <c r="B897" s="472"/>
      <c r="C897" s="473"/>
      <c r="D897" s="473"/>
      <c r="E897" s="474"/>
      <c r="F897" s="474"/>
      <c r="G897" s="475"/>
      <c r="H897" s="475"/>
      <c r="I897" s="476"/>
      <c r="J897" s="477"/>
      <c r="K897" s="478" t="s">
        <v>1418</v>
      </c>
      <c r="L897" s="479"/>
      <c r="M897" s="480"/>
      <c r="N897" s="481"/>
      <c r="O897" s="481"/>
      <c r="P897" s="482"/>
      <c r="Q897" s="479"/>
      <c r="R897" s="480"/>
      <c r="S897" s="480"/>
      <c r="T897" s="480"/>
      <c r="U897" s="480"/>
      <c r="V897" s="480"/>
      <c r="W897" s="480"/>
      <c r="X897" s="480"/>
      <c r="Y897" s="483">
        <f t="shared" si="17"/>
        <v>0</v>
      </c>
      <c r="Z897" s="484"/>
      <c r="AA897" s="485"/>
      <c r="AB897" s="486"/>
      <c r="AC897" s="486"/>
      <c r="AD897" s="486"/>
      <c r="AE897" s="487"/>
      <c r="AF897" s="449"/>
      <c r="AG897" s="449"/>
      <c r="AH897" s="449"/>
    </row>
    <row r="898" ht="11.25" customHeight="1">
      <c r="A898" s="431" t="str">
        <f>IF(B898="","", YEAR(B898))</f>
        <v/>
      </c>
      <c r="B898" s="432"/>
      <c r="C898" s="433"/>
      <c r="D898" s="433"/>
      <c r="E898" s="434" t="str">
        <f t="shared" ref="E898:I898" si="456">IFERROR(AVERAGE(L898:L901),"")</f>
        <v/>
      </c>
      <c r="F898" s="434" t="str">
        <f t="shared" si="456"/>
        <v/>
      </c>
      <c r="G898" s="435" t="str">
        <f t="shared" si="456"/>
        <v/>
      </c>
      <c r="H898" s="435" t="str">
        <f t="shared" si="456"/>
        <v/>
      </c>
      <c r="I898" s="436" t="str">
        <f t="shared" si="456"/>
        <v/>
      </c>
      <c r="J898" s="437">
        <f>SUMIFS(PRODUCTION[KG],PRODUCTION[GRADE],"3X50",PRODUCTION[DATE],B898,PRODUCTION[BATCH],C898,PRODUCTION[SHIFT],D898)</f>
        <v>0</v>
      </c>
      <c r="K898" s="438" t="s">
        <v>1414</v>
      </c>
      <c r="L898" s="443"/>
      <c r="M898" s="440"/>
      <c r="N898" s="441"/>
      <c r="O898" s="441"/>
      <c r="P898" s="442"/>
      <c r="Q898" s="443"/>
      <c r="R898" s="440"/>
      <c r="S898" s="440"/>
      <c r="T898" s="440"/>
      <c r="U898" s="440"/>
      <c r="V898" s="440"/>
      <c r="W898" s="440"/>
      <c r="X898" s="440"/>
      <c r="Y898" s="444">
        <f t="shared" si="17"/>
        <v>0</v>
      </c>
      <c r="Z898" s="445"/>
      <c r="AA898" s="446">
        <f t="shared" ref="AA898:AE898" si="457">$J898*E898</f>
        <v>0</v>
      </c>
      <c r="AB898" s="447">
        <f t="shared" si="457"/>
        <v>0</v>
      </c>
      <c r="AC898" s="447">
        <f t="shared" si="457"/>
        <v>0</v>
      </c>
      <c r="AD898" s="447">
        <f t="shared" si="457"/>
        <v>0</v>
      </c>
      <c r="AE898" s="448">
        <f t="shared" si="457"/>
        <v>0</v>
      </c>
      <c r="AF898" s="449"/>
      <c r="AG898" s="449"/>
      <c r="AH898" s="449"/>
    </row>
    <row r="899" ht="11.25" customHeight="1">
      <c r="A899" s="450"/>
      <c r="B899" s="451"/>
      <c r="C899" s="452"/>
      <c r="D899" s="452"/>
      <c r="E899" s="453"/>
      <c r="F899" s="453"/>
      <c r="G899" s="454"/>
      <c r="H899" s="454"/>
      <c r="I899" s="455"/>
      <c r="J899" s="456"/>
      <c r="K899" s="457" t="s">
        <v>1416</v>
      </c>
      <c r="L899" s="458"/>
      <c r="M899" s="459"/>
      <c r="N899" s="460"/>
      <c r="O899" s="460"/>
      <c r="P899" s="461"/>
      <c r="Q899" s="458"/>
      <c r="R899" s="459"/>
      <c r="S899" s="459"/>
      <c r="T899" s="459"/>
      <c r="U899" s="459"/>
      <c r="V899" s="459"/>
      <c r="W899" s="459"/>
      <c r="X899" s="459"/>
      <c r="Y899" s="462">
        <f t="shared" si="17"/>
        <v>0</v>
      </c>
      <c r="Z899" s="463"/>
      <c r="AA899" s="464"/>
      <c r="AB899" s="465"/>
      <c r="AC899" s="465"/>
      <c r="AD899" s="465"/>
      <c r="AE899" s="466"/>
      <c r="AF899" s="449"/>
      <c r="AG899" s="449"/>
      <c r="AH899" s="449"/>
    </row>
    <row r="900" ht="11.25" customHeight="1">
      <c r="A900" s="450"/>
      <c r="B900" s="451"/>
      <c r="C900" s="452"/>
      <c r="D900" s="452"/>
      <c r="E900" s="453"/>
      <c r="F900" s="453"/>
      <c r="G900" s="454"/>
      <c r="H900" s="454"/>
      <c r="I900" s="455"/>
      <c r="J900" s="456"/>
      <c r="K900" s="467" t="s">
        <v>1417</v>
      </c>
      <c r="L900" s="468"/>
      <c r="M900" s="469"/>
      <c r="N900" s="470"/>
      <c r="O900" s="470"/>
      <c r="P900" s="471"/>
      <c r="Q900" s="468"/>
      <c r="R900" s="469"/>
      <c r="S900" s="469"/>
      <c r="T900" s="469"/>
      <c r="U900" s="469"/>
      <c r="V900" s="469"/>
      <c r="W900" s="469"/>
      <c r="X900" s="469"/>
      <c r="Y900" s="462">
        <f t="shared" si="17"/>
        <v>0</v>
      </c>
      <c r="Z900" s="463"/>
      <c r="AA900" s="464"/>
      <c r="AB900" s="465"/>
      <c r="AC900" s="465"/>
      <c r="AD900" s="465"/>
      <c r="AE900" s="466"/>
      <c r="AF900" s="449"/>
      <c r="AG900" s="449"/>
      <c r="AH900" s="449"/>
    </row>
    <row r="901" ht="11.25" customHeight="1">
      <c r="A901" s="450"/>
      <c r="B901" s="472"/>
      <c r="C901" s="473"/>
      <c r="D901" s="473"/>
      <c r="E901" s="474"/>
      <c r="F901" s="474"/>
      <c r="G901" s="475"/>
      <c r="H901" s="475"/>
      <c r="I901" s="476"/>
      <c r="J901" s="477"/>
      <c r="K901" s="478" t="s">
        <v>1418</v>
      </c>
      <c r="L901" s="479"/>
      <c r="M901" s="480"/>
      <c r="N901" s="481"/>
      <c r="O901" s="481"/>
      <c r="P901" s="482"/>
      <c r="Q901" s="479"/>
      <c r="R901" s="480"/>
      <c r="S901" s="480"/>
      <c r="T901" s="480"/>
      <c r="U901" s="480"/>
      <c r="V901" s="480"/>
      <c r="W901" s="480"/>
      <c r="X901" s="480"/>
      <c r="Y901" s="483">
        <f t="shared" si="17"/>
        <v>0</v>
      </c>
      <c r="Z901" s="484"/>
      <c r="AA901" s="485"/>
      <c r="AB901" s="486"/>
      <c r="AC901" s="486"/>
      <c r="AD901" s="486"/>
      <c r="AE901" s="487"/>
      <c r="AF901" s="449"/>
      <c r="AG901" s="449"/>
      <c r="AH901" s="449"/>
    </row>
    <row r="902" ht="11.25" customHeight="1">
      <c r="A902" s="431" t="str">
        <f>IF(B902="","", YEAR(B902))</f>
        <v/>
      </c>
      <c r="B902" s="432"/>
      <c r="C902" s="433"/>
      <c r="D902" s="433"/>
      <c r="E902" s="434" t="str">
        <f t="shared" ref="E902:I902" si="458">IFERROR(AVERAGE(L902:L905),"")</f>
        <v/>
      </c>
      <c r="F902" s="434" t="str">
        <f t="shared" si="458"/>
        <v/>
      </c>
      <c r="G902" s="435" t="str">
        <f t="shared" si="458"/>
        <v/>
      </c>
      <c r="H902" s="435" t="str">
        <f t="shared" si="458"/>
        <v/>
      </c>
      <c r="I902" s="436" t="str">
        <f t="shared" si="458"/>
        <v/>
      </c>
      <c r="J902" s="437">
        <f>SUMIFS(PRODUCTION[KG],PRODUCTION[GRADE],"3X50",PRODUCTION[DATE],B902,PRODUCTION[BATCH],C902,PRODUCTION[SHIFT],D902)</f>
        <v>0</v>
      </c>
      <c r="K902" s="438" t="s">
        <v>1414</v>
      </c>
      <c r="L902" s="443"/>
      <c r="M902" s="440"/>
      <c r="N902" s="441"/>
      <c r="O902" s="441"/>
      <c r="P902" s="442"/>
      <c r="Q902" s="443"/>
      <c r="R902" s="440"/>
      <c r="S902" s="440"/>
      <c r="T902" s="440"/>
      <c r="U902" s="440"/>
      <c r="V902" s="440"/>
      <c r="W902" s="440"/>
      <c r="X902" s="440"/>
      <c r="Y902" s="444">
        <f t="shared" si="17"/>
        <v>0</v>
      </c>
      <c r="Z902" s="445"/>
      <c r="AA902" s="446">
        <f t="shared" ref="AA902:AE902" si="459">$J902*E902</f>
        <v>0</v>
      </c>
      <c r="AB902" s="447">
        <f t="shared" si="459"/>
        <v>0</v>
      </c>
      <c r="AC902" s="447">
        <f t="shared" si="459"/>
        <v>0</v>
      </c>
      <c r="AD902" s="447">
        <f t="shared" si="459"/>
        <v>0</v>
      </c>
      <c r="AE902" s="448">
        <f t="shared" si="459"/>
        <v>0</v>
      </c>
      <c r="AF902" s="449"/>
      <c r="AG902" s="449"/>
      <c r="AH902" s="449"/>
    </row>
    <row r="903" ht="11.25" customHeight="1">
      <c r="A903" s="450"/>
      <c r="B903" s="451"/>
      <c r="C903" s="452"/>
      <c r="D903" s="452"/>
      <c r="E903" s="453"/>
      <c r="F903" s="453"/>
      <c r="G903" s="454"/>
      <c r="H903" s="454"/>
      <c r="I903" s="455"/>
      <c r="J903" s="456"/>
      <c r="K903" s="457" t="s">
        <v>1416</v>
      </c>
      <c r="L903" s="458"/>
      <c r="M903" s="459"/>
      <c r="N903" s="460"/>
      <c r="O903" s="460"/>
      <c r="P903" s="461"/>
      <c r="Q903" s="458"/>
      <c r="R903" s="459"/>
      <c r="S903" s="459"/>
      <c r="T903" s="459"/>
      <c r="U903" s="459"/>
      <c r="V903" s="459"/>
      <c r="W903" s="459"/>
      <c r="X903" s="459"/>
      <c r="Y903" s="462">
        <f t="shared" si="17"/>
        <v>0</v>
      </c>
      <c r="Z903" s="463"/>
      <c r="AA903" s="464"/>
      <c r="AB903" s="465"/>
      <c r="AC903" s="465"/>
      <c r="AD903" s="465"/>
      <c r="AE903" s="466"/>
      <c r="AF903" s="449"/>
      <c r="AG903" s="449"/>
      <c r="AH903" s="449"/>
    </row>
    <row r="904" ht="11.25" customHeight="1">
      <c r="A904" s="450"/>
      <c r="B904" s="451"/>
      <c r="C904" s="452"/>
      <c r="D904" s="452"/>
      <c r="E904" s="453"/>
      <c r="F904" s="453"/>
      <c r="G904" s="454"/>
      <c r="H904" s="454"/>
      <c r="I904" s="455"/>
      <c r="J904" s="456"/>
      <c r="K904" s="467" t="s">
        <v>1417</v>
      </c>
      <c r="L904" s="468"/>
      <c r="M904" s="469"/>
      <c r="N904" s="470"/>
      <c r="O904" s="470"/>
      <c r="P904" s="471"/>
      <c r="Q904" s="468"/>
      <c r="R904" s="469"/>
      <c r="S904" s="469"/>
      <c r="T904" s="469"/>
      <c r="U904" s="469"/>
      <c r="V904" s="469"/>
      <c r="W904" s="469"/>
      <c r="X904" s="469"/>
      <c r="Y904" s="462">
        <f t="shared" si="17"/>
        <v>0</v>
      </c>
      <c r="Z904" s="463"/>
      <c r="AA904" s="464"/>
      <c r="AB904" s="465"/>
      <c r="AC904" s="465"/>
      <c r="AD904" s="465"/>
      <c r="AE904" s="466"/>
      <c r="AF904" s="449"/>
      <c r="AG904" s="449"/>
      <c r="AH904" s="449"/>
    </row>
    <row r="905" ht="11.25" customHeight="1">
      <c r="A905" s="450"/>
      <c r="B905" s="472"/>
      <c r="C905" s="473"/>
      <c r="D905" s="473"/>
      <c r="E905" s="474"/>
      <c r="F905" s="474"/>
      <c r="G905" s="475"/>
      <c r="H905" s="475"/>
      <c r="I905" s="476"/>
      <c r="J905" s="477"/>
      <c r="K905" s="478" t="s">
        <v>1418</v>
      </c>
      <c r="L905" s="479"/>
      <c r="M905" s="480"/>
      <c r="N905" s="481"/>
      <c r="O905" s="481"/>
      <c r="P905" s="482"/>
      <c r="Q905" s="479"/>
      <c r="R905" s="480"/>
      <c r="S905" s="480"/>
      <c r="T905" s="480"/>
      <c r="U905" s="480"/>
      <c r="V905" s="480"/>
      <c r="W905" s="480"/>
      <c r="X905" s="480"/>
      <c r="Y905" s="483">
        <f t="shared" si="17"/>
        <v>0</v>
      </c>
      <c r="Z905" s="484"/>
      <c r="AA905" s="485"/>
      <c r="AB905" s="486"/>
      <c r="AC905" s="486"/>
      <c r="AD905" s="486"/>
      <c r="AE905" s="487"/>
      <c r="AF905" s="449"/>
      <c r="AG905" s="449"/>
      <c r="AH905" s="449"/>
    </row>
    <row r="906" ht="11.25" customHeight="1">
      <c r="A906" s="431" t="str">
        <f>IF(B906="","", YEAR(B906))</f>
        <v/>
      </c>
      <c r="B906" s="432"/>
      <c r="C906" s="433"/>
      <c r="D906" s="433"/>
      <c r="E906" s="434" t="str">
        <f t="shared" ref="E906:I906" si="460">IFERROR(AVERAGE(L906:L909),"")</f>
        <v/>
      </c>
      <c r="F906" s="434" t="str">
        <f t="shared" si="460"/>
        <v/>
      </c>
      <c r="G906" s="435" t="str">
        <f t="shared" si="460"/>
        <v/>
      </c>
      <c r="H906" s="435" t="str">
        <f t="shared" si="460"/>
        <v/>
      </c>
      <c r="I906" s="436" t="str">
        <f t="shared" si="460"/>
        <v/>
      </c>
      <c r="J906" s="437">
        <f>SUMIFS(PRODUCTION[KG],PRODUCTION[GRADE],"3X50",PRODUCTION[DATE],B906,PRODUCTION[BATCH],C906,PRODUCTION[SHIFT],D906)</f>
        <v>0</v>
      </c>
      <c r="K906" s="438" t="s">
        <v>1414</v>
      </c>
      <c r="L906" s="443"/>
      <c r="M906" s="440"/>
      <c r="N906" s="441"/>
      <c r="O906" s="441"/>
      <c r="P906" s="442"/>
      <c r="Q906" s="443"/>
      <c r="R906" s="440"/>
      <c r="S906" s="440"/>
      <c r="T906" s="440"/>
      <c r="U906" s="440"/>
      <c r="V906" s="440"/>
      <c r="W906" s="440"/>
      <c r="X906" s="440"/>
      <c r="Y906" s="444">
        <f t="shared" si="17"/>
        <v>0</v>
      </c>
      <c r="Z906" s="445"/>
      <c r="AA906" s="446">
        <f t="shared" ref="AA906:AE906" si="461">$J906*E906</f>
        <v>0</v>
      </c>
      <c r="AB906" s="447">
        <f t="shared" si="461"/>
        <v>0</v>
      </c>
      <c r="AC906" s="447">
        <f t="shared" si="461"/>
        <v>0</v>
      </c>
      <c r="AD906" s="447">
        <f t="shared" si="461"/>
        <v>0</v>
      </c>
      <c r="AE906" s="448">
        <f t="shared" si="461"/>
        <v>0</v>
      </c>
      <c r="AF906" s="449"/>
      <c r="AG906" s="449"/>
      <c r="AH906" s="449"/>
    </row>
    <row r="907" ht="11.25" customHeight="1">
      <c r="A907" s="450"/>
      <c r="B907" s="451"/>
      <c r="C907" s="452"/>
      <c r="D907" s="452"/>
      <c r="E907" s="453"/>
      <c r="F907" s="453"/>
      <c r="G907" s="454"/>
      <c r="H907" s="454"/>
      <c r="I907" s="455"/>
      <c r="J907" s="456"/>
      <c r="K907" s="457" t="s">
        <v>1416</v>
      </c>
      <c r="L907" s="458"/>
      <c r="M907" s="459"/>
      <c r="N907" s="460"/>
      <c r="O907" s="460"/>
      <c r="P907" s="461"/>
      <c r="Q907" s="458"/>
      <c r="R907" s="459"/>
      <c r="S907" s="459"/>
      <c r="T907" s="459"/>
      <c r="U907" s="459"/>
      <c r="V907" s="459"/>
      <c r="W907" s="459"/>
      <c r="X907" s="459"/>
      <c r="Y907" s="462">
        <f t="shared" si="17"/>
        <v>0</v>
      </c>
      <c r="Z907" s="463"/>
      <c r="AA907" s="464"/>
      <c r="AB907" s="465"/>
      <c r="AC907" s="465"/>
      <c r="AD907" s="465"/>
      <c r="AE907" s="466"/>
      <c r="AF907" s="449"/>
      <c r="AG907" s="449"/>
      <c r="AH907" s="449"/>
    </row>
    <row r="908" ht="11.25" customHeight="1">
      <c r="A908" s="450"/>
      <c r="B908" s="451"/>
      <c r="C908" s="452"/>
      <c r="D908" s="452"/>
      <c r="E908" s="453"/>
      <c r="F908" s="453"/>
      <c r="G908" s="454"/>
      <c r="H908" s="454"/>
      <c r="I908" s="455"/>
      <c r="J908" s="456"/>
      <c r="K908" s="467" t="s">
        <v>1417</v>
      </c>
      <c r="L908" s="468"/>
      <c r="M908" s="469"/>
      <c r="N908" s="470"/>
      <c r="O908" s="470"/>
      <c r="P908" s="471"/>
      <c r="Q908" s="468"/>
      <c r="R908" s="469"/>
      <c r="S908" s="469"/>
      <c r="T908" s="469"/>
      <c r="U908" s="469"/>
      <c r="V908" s="469"/>
      <c r="W908" s="469"/>
      <c r="X908" s="469"/>
      <c r="Y908" s="462">
        <f t="shared" si="17"/>
        <v>0</v>
      </c>
      <c r="Z908" s="463"/>
      <c r="AA908" s="464"/>
      <c r="AB908" s="465"/>
      <c r="AC908" s="465"/>
      <c r="AD908" s="465"/>
      <c r="AE908" s="466"/>
      <c r="AF908" s="449"/>
      <c r="AG908" s="449"/>
      <c r="AH908" s="449"/>
    </row>
    <row r="909" ht="11.25" customHeight="1">
      <c r="A909" s="450"/>
      <c r="B909" s="472"/>
      <c r="C909" s="473"/>
      <c r="D909" s="473"/>
      <c r="E909" s="474"/>
      <c r="F909" s="474"/>
      <c r="G909" s="475"/>
      <c r="H909" s="475"/>
      <c r="I909" s="476"/>
      <c r="J909" s="477"/>
      <c r="K909" s="478" t="s">
        <v>1418</v>
      </c>
      <c r="L909" s="479"/>
      <c r="M909" s="480"/>
      <c r="N909" s="481"/>
      <c r="O909" s="481"/>
      <c r="P909" s="482"/>
      <c r="Q909" s="479"/>
      <c r="R909" s="480"/>
      <c r="S909" s="480"/>
      <c r="T909" s="480"/>
      <c r="U909" s="480"/>
      <c r="V909" s="480"/>
      <c r="W909" s="480"/>
      <c r="X909" s="480"/>
      <c r="Y909" s="483">
        <f t="shared" si="17"/>
        <v>0</v>
      </c>
      <c r="Z909" s="484"/>
      <c r="AA909" s="485"/>
      <c r="AB909" s="486"/>
      <c r="AC909" s="486"/>
      <c r="AD909" s="486"/>
      <c r="AE909" s="487"/>
      <c r="AF909" s="449"/>
      <c r="AG909" s="449"/>
      <c r="AH909" s="449"/>
    </row>
    <row r="910" ht="11.25" customHeight="1">
      <c r="A910" s="431" t="str">
        <f>IF(B910="","", YEAR(B910))</f>
        <v/>
      </c>
      <c r="B910" s="432"/>
      <c r="C910" s="433"/>
      <c r="D910" s="433"/>
      <c r="E910" s="434" t="str">
        <f t="shared" ref="E910:I910" si="462">IFERROR(AVERAGE(L910:L913),"")</f>
        <v/>
      </c>
      <c r="F910" s="434" t="str">
        <f t="shared" si="462"/>
        <v/>
      </c>
      <c r="G910" s="435" t="str">
        <f t="shared" si="462"/>
        <v/>
      </c>
      <c r="H910" s="435" t="str">
        <f t="shared" si="462"/>
        <v/>
      </c>
      <c r="I910" s="436" t="str">
        <f t="shared" si="462"/>
        <v/>
      </c>
      <c r="J910" s="437">
        <f>SUMIFS(PRODUCTION[KG],PRODUCTION[GRADE],"3X50",PRODUCTION[DATE],B910,PRODUCTION[BATCH],C910,PRODUCTION[SHIFT],D910)</f>
        <v>0</v>
      </c>
      <c r="K910" s="438" t="s">
        <v>1414</v>
      </c>
      <c r="L910" s="443"/>
      <c r="M910" s="440"/>
      <c r="N910" s="441"/>
      <c r="O910" s="441"/>
      <c r="P910" s="442"/>
      <c r="Q910" s="443"/>
      <c r="R910" s="440"/>
      <c r="S910" s="440"/>
      <c r="T910" s="440"/>
      <c r="U910" s="440"/>
      <c r="V910" s="440"/>
      <c r="W910" s="440"/>
      <c r="X910" s="440"/>
      <c r="Y910" s="444">
        <f t="shared" si="17"/>
        <v>0</v>
      </c>
      <c r="Z910" s="445"/>
      <c r="AA910" s="446">
        <f t="shared" ref="AA910:AE910" si="463">$J910*E910</f>
        <v>0</v>
      </c>
      <c r="AB910" s="447">
        <f t="shared" si="463"/>
        <v>0</v>
      </c>
      <c r="AC910" s="447">
        <f t="shared" si="463"/>
        <v>0</v>
      </c>
      <c r="AD910" s="447">
        <f t="shared" si="463"/>
        <v>0</v>
      </c>
      <c r="AE910" s="448">
        <f t="shared" si="463"/>
        <v>0</v>
      </c>
      <c r="AF910" s="449"/>
      <c r="AG910" s="449"/>
      <c r="AH910" s="449"/>
    </row>
    <row r="911" ht="11.25" customHeight="1">
      <c r="A911" s="450"/>
      <c r="B911" s="451"/>
      <c r="C911" s="452"/>
      <c r="D911" s="452"/>
      <c r="E911" s="453"/>
      <c r="F911" s="453"/>
      <c r="G911" s="454"/>
      <c r="H911" s="454"/>
      <c r="I911" s="455"/>
      <c r="J911" s="456"/>
      <c r="K911" s="457" t="s">
        <v>1416</v>
      </c>
      <c r="L911" s="458"/>
      <c r="M911" s="459"/>
      <c r="N911" s="460"/>
      <c r="O911" s="460"/>
      <c r="P911" s="461"/>
      <c r="Q911" s="458"/>
      <c r="R911" s="459"/>
      <c r="S911" s="459"/>
      <c r="T911" s="459"/>
      <c r="U911" s="459"/>
      <c r="V911" s="459"/>
      <c r="W911" s="459"/>
      <c r="X911" s="459"/>
      <c r="Y911" s="462">
        <f t="shared" si="17"/>
        <v>0</v>
      </c>
      <c r="Z911" s="463"/>
      <c r="AA911" s="464"/>
      <c r="AB911" s="465"/>
      <c r="AC911" s="465"/>
      <c r="AD911" s="465"/>
      <c r="AE911" s="466"/>
      <c r="AF911" s="449"/>
      <c r="AG911" s="449"/>
      <c r="AH911" s="449"/>
    </row>
    <row r="912" ht="11.25" customHeight="1">
      <c r="A912" s="450"/>
      <c r="B912" s="451"/>
      <c r="C912" s="452"/>
      <c r="D912" s="452"/>
      <c r="E912" s="453"/>
      <c r="F912" s="453"/>
      <c r="G912" s="454"/>
      <c r="H912" s="454"/>
      <c r="I912" s="455"/>
      <c r="J912" s="456"/>
      <c r="K912" s="467" t="s">
        <v>1417</v>
      </c>
      <c r="L912" s="468"/>
      <c r="M912" s="469"/>
      <c r="N912" s="470"/>
      <c r="O912" s="470"/>
      <c r="P912" s="471"/>
      <c r="Q912" s="468"/>
      <c r="R912" s="469"/>
      <c r="S912" s="469"/>
      <c r="T912" s="469"/>
      <c r="U912" s="469"/>
      <c r="V912" s="469"/>
      <c r="W912" s="469"/>
      <c r="X912" s="469"/>
      <c r="Y912" s="462">
        <f t="shared" si="17"/>
        <v>0</v>
      </c>
      <c r="Z912" s="463"/>
      <c r="AA912" s="464"/>
      <c r="AB912" s="465"/>
      <c r="AC912" s="465"/>
      <c r="AD912" s="465"/>
      <c r="AE912" s="466"/>
      <c r="AF912" s="449"/>
      <c r="AG912" s="449"/>
      <c r="AH912" s="449"/>
    </row>
    <row r="913" ht="11.25" customHeight="1">
      <c r="A913" s="450"/>
      <c r="B913" s="472"/>
      <c r="C913" s="473"/>
      <c r="D913" s="473"/>
      <c r="E913" s="474"/>
      <c r="F913" s="474"/>
      <c r="G913" s="475"/>
      <c r="H913" s="475"/>
      <c r="I913" s="476"/>
      <c r="J913" s="477"/>
      <c r="K913" s="478" t="s">
        <v>1418</v>
      </c>
      <c r="L913" s="479"/>
      <c r="M913" s="480"/>
      <c r="N913" s="481"/>
      <c r="O913" s="481"/>
      <c r="P913" s="482"/>
      <c r="Q913" s="479"/>
      <c r="R913" s="480"/>
      <c r="S913" s="480"/>
      <c r="T913" s="480"/>
      <c r="U913" s="480"/>
      <c r="V913" s="480"/>
      <c r="W913" s="480"/>
      <c r="X913" s="480"/>
      <c r="Y913" s="483">
        <f t="shared" si="17"/>
        <v>0</v>
      </c>
      <c r="Z913" s="484"/>
      <c r="AA913" s="485"/>
      <c r="AB913" s="486"/>
      <c r="AC913" s="486"/>
      <c r="AD913" s="486"/>
      <c r="AE913" s="487"/>
      <c r="AF913" s="449"/>
      <c r="AG913" s="449"/>
      <c r="AH913" s="449"/>
    </row>
    <row r="914" ht="11.25" customHeight="1">
      <c r="A914" s="431" t="str">
        <f>IF(B914="","", YEAR(B914))</f>
        <v/>
      </c>
      <c r="B914" s="432"/>
      <c r="C914" s="433"/>
      <c r="D914" s="433"/>
      <c r="E914" s="434" t="str">
        <f t="shared" ref="E914:I914" si="464">IFERROR(AVERAGE(L914:L917),"")</f>
        <v/>
      </c>
      <c r="F914" s="434" t="str">
        <f t="shared" si="464"/>
        <v/>
      </c>
      <c r="G914" s="435" t="str">
        <f t="shared" si="464"/>
        <v/>
      </c>
      <c r="H914" s="435" t="str">
        <f t="shared" si="464"/>
        <v/>
      </c>
      <c r="I914" s="436" t="str">
        <f t="shared" si="464"/>
        <v/>
      </c>
      <c r="J914" s="437">
        <f>SUMIFS(PRODUCTION[KG],PRODUCTION[GRADE],"3X50",PRODUCTION[DATE],B914,PRODUCTION[BATCH],C914,PRODUCTION[SHIFT],D914)</f>
        <v>0</v>
      </c>
      <c r="K914" s="438" t="s">
        <v>1414</v>
      </c>
      <c r="L914" s="443"/>
      <c r="M914" s="440"/>
      <c r="N914" s="441"/>
      <c r="O914" s="441"/>
      <c r="P914" s="442"/>
      <c r="Q914" s="443"/>
      <c r="R914" s="440"/>
      <c r="S914" s="440"/>
      <c r="T914" s="440"/>
      <c r="U914" s="440"/>
      <c r="V914" s="440"/>
      <c r="W914" s="440"/>
      <c r="X914" s="440"/>
      <c r="Y914" s="444">
        <f t="shared" si="17"/>
        <v>0</v>
      </c>
      <c r="Z914" s="445"/>
      <c r="AA914" s="446">
        <f t="shared" ref="AA914:AE914" si="465">$J914*E914</f>
        <v>0</v>
      </c>
      <c r="AB914" s="447">
        <f t="shared" si="465"/>
        <v>0</v>
      </c>
      <c r="AC914" s="447">
        <f t="shared" si="465"/>
        <v>0</v>
      </c>
      <c r="AD914" s="447">
        <f t="shared" si="465"/>
        <v>0</v>
      </c>
      <c r="AE914" s="448">
        <f t="shared" si="465"/>
        <v>0</v>
      </c>
      <c r="AF914" s="449"/>
      <c r="AG914" s="449"/>
      <c r="AH914" s="449"/>
    </row>
    <row r="915" ht="11.25" customHeight="1">
      <c r="A915" s="450"/>
      <c r="B915" s="451"/>
      <c r="C915" s="452"/>
      <c r="D915" s="452"/>
      <c r="E915" s="453"/>
      <c r="F915" s="453"/>
      <c r="G915" s="454"/>
      <c r="H915" s="454"/>
      <c r="I915" s="455"/>
      <c r="J915" s="456"/>
      <c r="K915" s="457" t="s">
        <v>1416</v>
      </c>
      <c r="L915" s="458"/>
      <c r="M915" s="459"/>
      <c r="N915" s="460"/>
      <c r="O915" s="460"/>
      <c r="P915" s="461"/>
      <c r="Q915" s="458"/>
      <c r="R915" s="459"/>
      <c r="S915" s="459"/>
      <c r="T915" s="459"/>
      <c r="U915" s="459"/>
      <c r="V915" s="459"/>
      <c r="W915" s="459"/>
      <c r="X915" s="459"/>
      <c r="Y915" s="462">
        <f t="shared" si="17"/>
        <v>0</v>
      </c>
      <c r="Z915" s="463"/>
      <c r="AA915" s="464"/>
      <c r="AB915" s="465"/>
      <c r="AC915" s="465"/>
      <c r="AD915" s="465"/>
      <c r="AE915" s="466"/>
      <c r="AF915" s="449"/>
      <c r="AG915" s="449"/>
      <c r="AH915" s="449"/>
    </row>
    <row r="916" ht="11.25" customHeight="1">
      <c r="A916" s="450"/>
      <c r="B916" s="451"/>
      <c r="C916" s="452"/>
      <c r="D916" s="452"/>
      <c r="E916" s="453"/>
      <c r="F916" s="453"/>
      <c r="G916" s="454"/>
      <c r="H916" s="454"/>
      <c r="I916" s="455"/>
      <c r="J916" s="456"/>
      <c r="K916" s="467" t="s">
        <v>1417</v>
      </c>
      <c r="L916" s="468"/>
      <c r="M916" s="469"/>
      <c r="N916" s="470"/>
      <c r="O916" s="470"/>
      <c r="P916" s="471"/>
      <c r="Q916" s="468"/>
      <c r="R916" s="469"/>
      <c r="S916" s="469"/>
      <c r="T916" s="469"/>
      <c r="U916" s="469"/>
      <c r="V916" s="469"/>
      <c r="W916" s="469"/>
      <c r="X916" s="469"/>
      <c r="Y916" s="462">
        <f t="shared" si="17"/>
        <v>0</v>
      </c>
      <c r="Z916" s="463"/>
      <c r="AA916" s="464"/>
      <c r="AB916" s="465"/>
      <c r="AC916" s="465"/>
      <c r="AD916" s="465"/>
      <c r="AE916" s="466"/>
      <c r="AF916" s="449"/>
      <c r="AG916" s="449"/>
      <c r="AH916" s="449"/>
    </row>
    <row r="917" ht="11.25" customHeight="1">
      <c r="A917" s="450"/>
      <c r="B917" s="472"/>
      <c r="C917" s="473"/>
      <c r="D917" s="473"/>
      <c r="E917" s="474"/>
      <c r="F917" s="474"/>
      <c r="G917" s="475"/>
      <c r="H917" s="475"/>
      <c r="I917" s="476"/>
      <c r="J917" s="477"/>
      <c r="K917" s="478" t="s">
        <v>1418</v>
      </c>
      <c r="L917" s="479"/>
      <c r="M917" s="480"/>
      <c r="N917" s="481"/>
      <c r="O917" s="481"/>
      <c r="P917" s="482"/>
      <c r="Q917" s="479"/>
      <c r="R917" s="480"/>
      <c r="S917" s="480"/>
      <c r="T917" s="480"/>
      <c r="U917" s="480"/>
      <c r="V917" s="480"/>
      <c r="W917" s="480"/>
      <c r="X917" s="480"/>
      <c r="Y917" s="483">
        <f t="shared" si="17"/>
        <v>0</v>
      </c>
      <c r="Z917" s="484"/>
      <c r="AA917" s="485"/>
      <c r="AB917" s="486"/>
      <c r="AC917" s="486"/>
      <c r="AD917" s="486"/>
      <c r="AE917" s="487"/>
      <c r="AF917" s="449"/>
      <c r="AG917" s="449"/>
      <c r="AH917" s="449"/>
    </row>
    <row r="918" ht="11.25" customHeight="1">
      <c r="A918" s="431" t="str">
        <f>IF(B918="","", YEAR(B918))</f>
        <v/>
      </c>
      <c r="B918" s="432"/>
      <c r="C918" s="433"/>
      <c r="D918" s="433"/>
      <c r="E918" s="434" t="str">
        <f t="shared" ref="E918:I918" si="466">IFERROR(AVERAGE(L918:L921),"")</f>
        <v/>
      </c>
      <c r="F918" s="434" t="str">
        <f t="shared" si="466"/>
        <v/>
      </c>
      <c r="G918" s="435" t="str">
        <f t="shared" si="466"/>
        <v/>
      </c>
      <c r="H918" s="435" t="str">
        <f t="shared" si="466"/>
        <v/>
      </c>
      <c r="I918" s="436" t="str">
        <f t="shared" si="466"/>
        <v/>
      </c>
      <c r="J918" s="437">
        <f>SUMIFS(PRODUCTION[KG],PRODUCTION[GRADE],"3X50",PRODUCTION[DATE],B918,PRODUCTION[BATCH],C918,PRODUCTION[SHIFT],D918)</f>
        <v>0</v>
      </c>
      <c r="K918" s="438" t="s">
        <v>1414</v>
      </c>
      <c r="L918" s="443"/>
      <c r="M918" s="440"/>
      <c r="N918" s="441"/>
      <c r="O918" s="441"/>
      <c r="P918" s="442"/>
      <c r="Q918" s="443"/>
      <c r="R918" s="440"/>
      <c r="S918" s="440"/>
      <c r="T918" s="440"/>
      <c r="U918" s="440"/>
      <c r="V918" s="440"/>
      <c r="W918" s="440"/>
      <c r="X918" s="440"/>
      <c r="Y918" s="444">
        <f t="shared" si="17"/>
        <v>0</v>
      </c>
      <c r="Z918" s="445"/>
      <c r="AA918" s="446">
        <f t="shared" ref="AA918:AE918" si="467">$J918*E918</f>
        <v>0</v>
      </c>
      <c r="AB918" s="447">
        <f t="shared" si="467"/>
        <v>0</v>
      </c>
      <c r="AC918" s="447">
        <f t="shared" si="467"/>
        <v>0</v>
      </c>
      <c r="AD918" s="447">
        <f t="shared" si="467"/>
        <v>0</v>
      </c>
      <c r="AE918" s="448">
        <f t="shared" si="467"/>
        <v>0</v>
      </c>
      <c r="AF918" s="449"/>
      <c r="AG918" s="449"/>
      <c r="AH918" s="449"/>
    </row>
    <row r="919" ht="11.25" customHeight="1">
      <c r="A919" s="450"/>
      <c r="B919" s="451"/>
      <c r="C919" s="452"/>
      <c r="D919" s="452"/>
      <c r="E919" s="453"/>
      <c r="F919" s="453"/>
      <c r="G919" s="454"/>
      <c r="H919" s="454"/>
      <c r="I919" s="455"/>
      <c r="J919" s="456"/>
      <c r="K919" s="457" t="s">
        <v>1416</v>
      </c>
      <c r="L919" s="458"/>
      <c r="M919" s="459"/>
      <c r="N919" s="460"/>
      <c r="O919" s="460"/>
      <c r="P919" s="461"/>
      <c r="Q919" s="458"/>
      <c r="R919" s="459"/>
      <c r="S919" s="459"/>
      <c r="T919" s="459"/>
      <c r="U919" s="459"/>
      <c r="V919" s="459"/>
      <c r="W919" s="459"/>
      <c r="X919" s="459"/>
      <c r="Y919" s="462">
        <f t="shared" si="17"/>
        <v>0</v>
      </c>
      <c r="Z919" s="463"/>
      <c r="AA919" s="464"/>
      <c r="AB919" s="465"/>
      <c r="AC919" s="465"/>
      <c r="AD919" s="465"/>
      <c r="AE919" s="466"/>
      <c r="AF919" s="449"/>
      <c r="AG919" s="449"/>
      <c r="AH919" s="449"/>
    </row>
    <row r="920" ht="11.25" customHeight="1">
      <c r="A920" s="450"/>
      <c r="B920" s="451"/>
      <c r="C920" s="452"/>
      <c r="D920" s="452"/>
      <c r="E920" s="453"/>
      <c r="F920" s="453"/>
      <c r="G920" s="454"/>
      <c r="H920" s="454"/>
      <c r="I920" s="455"/>
      <c r="J920" s="456"/>
      <c r="K920" s="467" t="s">
        <v>1417</v>
      </c>
      <c r="L920" s="468"/>
      <c r="M920" s="469"/>
      <c r="N920" s="470"/>
      <c r="O920" s="470"/>
      <c r="P920" s="471"/>
      <c r="Q920" s="468"/>
      <c r="R920" s="469"/>
      <c r="S920" s="469"/>
      <c r="T920" s="469"/>
      <c r="U920" s="469"/>
      <c r="V920" s="469"/>
      <c r="W920" s="469"/>
      <c r="X920" s="469"/>
      <c r="Y920" s="462">
        <f t="shared" si="17"/>
        <v>0</v>
      </c>
      <c r="Z920" s="463"/>
      <c r="AA920" s="464"/>
      <c r="AB920" s="465"/>
      <c r="AC920" s="465"/>
      <c r="AD920" s="465"/>
      <c r="AE920" s="466"/>
      <c r="AF920" s="449"/>
      <c r="AG920" s="449"/>
      <c r="AH920" s="449"/>
    </row>
    <row r="921" ht="11.25" customHeight="1">
      <c r="A921" s="450"/>
      <c r="B921" s="472"/>
      <c r="C921" s="473"/>
      <c r="D921" s="473"/>
      <c r="E921" s="474"/>
      <c r="F921" s="474"/>
      <c r="G921" s="475"/>
      <c r="H921" s="475"/>
      <c r="I921" s="476"/>
      <c r="J921" s="477"/>
      <c r="K921" s="478" t="s">
        <v>1418</v>
      </c>
      <c r="L921" s="479"/>
      <c r="M921" s="480"/>
      <c r="N921" s="481"/>
      <c r="O921" s="481"/>
      <c r="P921" s="482"/>
      <c r="Q921" s="479"/>
      <c r="R921" s="480"/>
      <c r="S921" s="480"/>
      <c r="T921" s="480"/>
      <c r="U921" s="480"/>
      <c r="V921" s="480"/>
      <c r="W921" s="480"/>
      <c r="X921" s="480"/>
      <c r="Y921" s="483">
        <f t="shared" si="17"/>
        <v>0</v>
      </c>
      <c r="Z921" s="484"/>
      <c r="AA921" s="485"/>
      <c r="AB921" s="486"/>
      <c r="AC921" s="486"/>
      <c r="AD921" s="486"/>
      <c r="AE921" s="487"/>
      <c r="AF921" s="449"/>
      <c r="AG921" s="449"/>
      <c r="AH921" s="449"/>
    </row>
    <row r="922" ht="11.25" customHeight="1">
      <c r="A922" s="431" t="str">
        <f>IF(B922="","", YEAR(B922))</f>
        <v/>
      </c>
      <c r="B922" s="432"/>
      <c r="C922" s="433"/>
      <c r="D922" s="433"/>
      <c r="E922" s="434" t="str">
        <f t="shared" ref="E922:I922" si="468">IFERROR(AVERAGE(L922:L925),"")</f>
        <v/>
      </c>
      <c r="F922" s="434" t="str">
        <f t="shared" si="468"/>
        <v/>
      </c>
      <c r="G922" s="435" t="str">
        <f t="shared" si="468"/>
        <v/>
      </c>
      <c r="H922" s="435" t="str">
        <f t="shared" si="468"/>
        <v/>
      </c>
      <c r="I922" s="436" t="str">
        <f t="shared" si="468"/>
        <v/>
      </c>
      <c r="J922" s="437">
        <f>SUMIFS(PRODUCTION[KG],PRODUCTION[GRADE],"3X50",PRODUCTION[DATE],B922,PRODUCTION[BATCH],C922,PRODUCTION[SHIFT],D922)</f>
        <v>0</v>
      </c>
      <c r="K922" s="438" t="s">
        <v>1414</v>
      </c>
      <c r="L922" s="443"/>
      <c r="M922" s="440"/>
      <c r="N922" s="441"/>
      <c r="O922" s="441"/>
      <c r="P922" s="442"/>
      <c r="Q922" s="443"/>
      <c r="R922" s="440"/>
      <c r="S922" s="440"/>
      <c r="T922" s="440"/>
      <c r="U922" s="440"/>
      <c r="V922" s="440"/>
      <c r="W922" s="440"/>
      <c r="X922" s="440"/>
      <c r="Y922" s="444">
        <f t="shared" si="17"/>
        <v>0</v>
      </c>
      <c r="Z922" s="445"/>
      <c r="AA922" s="446">
        <f t="shared" ref="AA922:AE922" si="469">$J922*E922</f>
        <v>0</v>
      </c>
      <c r="AB922" s="447">
        <f t="shared" si="469"/>
        <v>0</v>
      </c>
      <c r="AC922" s="447">
        <f t="shared" si="469"/>
        <v>0</v>
      </c>
      <c r="AD922" s="447">
        <f t="shared" si="469"/>
        <v>0</v>
      </c>
      <c r="AE922" s="448">
        <f t="shared" si="469"/>
        <v>0</v>
      </c>
      <c r="AF922" s="449"/>
      <c r="AG922" s="449"/>
      <c r="AH922" s="449"/>
    </row>
    <row r="923" ht="11.25" customHeight="1">
      <c r="A923" s="450"/>
      <c r="B923" s="451"/>
      <c r="C923" s="452"/>
      <c r="D923" s="452"/>
      <c r="E923" s="453"/>
      <c r="F923" s="453"/>
      <c r="G923" s="454"/>
      <c r="H923" s="454"/>
      <c r="I923" s="455"/>
      <c r="J923" s="456"/>
      <c r="K923" s="457" t="s">
        <v>1416</v>
      </c>
      <c r="L923" s="458"/>
      <c r="M923" s="459"/>
      <c r="N923" s="460"/>
      <c r="O923" s="460"/>
      <c r="P923" s="461"/>
      <c r="Q923" s="458"/>
      <c r="R923" s="459"/>
      <c r="S923" s="459"/>
      <c r="T923" s="459"/>
      <c r="U923" s="459"/>
      <c r="V923" s="459"/>
      <c r="W923" s="459"/>
      <c r="X923" s="459"/>
      <c r="Y923" s="462">
        <f t="shared" si="17"/>
        <v>0</v>
      </c>
      <c r="Z923" s="463"/>
      <c r="AA923" s="464"/>
      <c r="AB923" s="465"/>
      <c r="AC923" s="465"/>
      <c r="AD923" s="465"/>
      <c r="AE923" s="466"/>
      <c r="AF923" s="449"/>
      <c r="AG923" s="449"/>
      <c r="AH923" s="449"/>
    </row>
    <row r="924" ht="11.25" customHeight="1">
      <c r="A924" s="450"/>
      <c r="B924" s="451"/>
      <c r="C924" s="452"/>
      <c r="D924" s="452"/>
      <c r="E924" s="453"/>
      <c r="F924" s="453"/>
      <c r="G924" s="454"/>
      <c r="H924" s="454"/>
      <c r="I924" s="455"/>
      <c r="J924" s="456"/>
      <c r="K924" s="467" t="s">
        <v>1417</v>
      </c>
      <c r="L924" s="468"/>
      <c r="M924" s="469"/>
      <c r="N924" s="470"/>
      <c r="O924" s="470"/>
      <c r="P924" s="471"/>
      <c r="Q924" s="468"/>
      <c r="R924" s="469"/>
      <c r="S924" s="469"/>
      <c r="T924" s="469"/>
      <c r="U924" s="469"/>
      <c r="V924" s="469"/>
      <c r="W924" s="469"/>
      <c r="X924" s="469"/>
      <c r="Y924" s="462">
        <f t="shared" si="17"/>
        <v>0</v>
      </c>
      <c r="Z924" s="463"/>
      <c r="AA924" s="464"/>
      <c r="AB924" s="465"/>
      <c r="AC924" s="465"/>
      <c r="AD924" s="465"/>
      <c r="AE924" s="466"/>
      <c r="AF924" s="449"/>
      <c r="AG924" s="449"/>
      <c r="AH924" s="449"/>
    </row>
    <row r="925" ht="11.25" customHeight="1">
      <c r="A925" s="450"/>
      <c r="B925" s="472"/>
      <c r="C925" s="473"/>
      <c r="D925" s="473"/>
      <c r="E925" s="474"/>
      <c r="F925" s="474"/>
      <c r="G925" s="475"/>
      <c r="H925" s="475"/>
      <c r="I925" s="476"/>
      <c r="J925" s="477"/>
      <c r="K925" s="478" t="s">
        <v>1418</v>
      </c>
      <c r="L925" s="479"/>
      <c r="M925" s="480"/>
      <c r="N925" s="481"/>
      <c r="O925" s="481"/>
      <c r="P925" s="482"/>
      <c r="Q925" s="479"/>
      <c r="R925" s="480"/>
      <c r="S925" s="480"/>
      <c r="T925" s="480"/>
      <c r="U925" s="480"/>
      <c r="V925" s="480"/>
      <c r="W925" s="480"/>
      <c r="X925" s="480"/>
      <c r="Y925" s="483">
        <f t="shared" si="17"/>
        <v>0</v>
      </c>
      <c r="Z925" s="484"/>
      <c r="AA925" s="485"/>
      <c r="AB925" s="486"/>
      <c r="AC925" s="486"/>
      <c r="AD925" s="486"/>
      <c r="AE925" s="487"/>
      <c r="AF925" s="449"/>
      <c r="AG925" s="449"/>
      <c r="AH925" s="449"/>
    </row>
    <row r="926" ht="11.25" customHeight="1">
      <c r="A926" s="431" t="str">
        <f>IF(B926="","", YEAR(B926))</f>
        <v/>
      </c>
      <c r="B926" s="432"/>
      <c r="C926" s="433"/>
      <c r="D926" s="433"/>
      <c r="E926" s="434" t="str">
        <f t="shared" ref="E926:I926" si="470">IFERROR(AVERAGE(L926:L929),"")</f>
        <v/>
      </c>
      <c r="F926" s="434" t="str">
        <f t="shared" si="470"/>
        <v/>
      </c>
      <c r="G926" s="435" t="str">
        <f t="shared" si="470"/>
        <v/>
      </c>
      <c r="H926" s="435" t="str">
        <f t="shared" si="470"/>
        <v/>
      </c>
      <c r="I926" s="436" t="str">
        <f t="shared" si="470"/>
        <v/>
      </c>
      <c r="J926" s="437">
        <f>SUMIFS(PRODUCTION[KG],PRODUCTION[GRADE],"3X50",PRODUCTION[DATE],B926,PRODUCTION[BATCH],C926,PRODUCTION[SHIFT],D926)</f>
        <v>0</v>
      </c>
      <c r="K926" s="438" t="s">
        <v>1414</v>
      </c>
      <c r="L926" s="443"/>
      <c r="M926" s="440"/>
      <c r="N926" s="441"/>
      <c r="O926" s="441"/>
      <c r="P926" s="442"/>
      <c r="Q926" s="443"/>
      <c r="R926" s="440"/>
      <c r="S926" s="440"/>
      <c r="T926" s="440"/>
      <c r="U926" s="440"/>
      <c r="V926" s="440"/>
      <c r="W926" s="440"/>
      <c r="X926" s="440"/>
      <c r="Y926" s="444">
        <f t="shared" si="17"/>
        <v>0</v>
      </c>
      <c r="Z926" s="445"/>
      <c r="AA926" s="446">
        <f t="shared" ref="AA926:AE926" si="471">$J926*E926</f>
        <v>0</v>
      </c>
      <c r="AB926" s="447">
        <f t="shared" si="471"/>
        <v>0</v>
      </c>
      <c r="AC926" s="447">
        <f t="shared" si="471"/>
        <v>0</v>
      </c>
      <c r="AD926" s="447">
        <f t="shared" si="471"/>
        <v>0</v>
      </c>
      <c r="AE926" s="448">
        <f t="shared" si="471"/>
        <v>0</v>
      </c>
      <c r="AF926" s="449"/>
      <c r="AG926" s="449"/>
      <c r="AH926" s="449"/>
    </row>
    <row r="927" ht="11.25" customHeight="1">
      <c r="A927" s="450"/>
      <c r="B927" s="451"/>
      <c r="C927" s="452"/>
      <c r="D927" s="452"/>
      <c r="E927" s="453"/>
      <c r="F927" s="453"/>
      <c r="G927" s="454"/>
      <c r="H927" s="454"/>
      <c r="I927" s="455"/>
      <c r="J927" s="456"/>
      <c r="K927" s="457" t="s">
        <v>1416</v>
      </c>
      <c r="L927" s="458"/>
      <c r="M927" s="459"/>
      <c r="N927" s="460"/>
      <c r="O927" s="460"/>
      <c r="P927" s="461"/>
      <c r="Q927" s="458"/>
      <c r="R927" s="459"/>
      <c r="S927" s="459"/>
      <c r="T927" s="459"/>
      <c r="U927" s="459"/>
      <c r="V927" s="459"/>
      <c r="W927" s="459"/>
      <c r="X927" s="459"/>
      <c r="Y927" s="462">
        <f t="shared" si="17"/>
        <v>0</v>
      </c>
      <c r="Z927" s="463"/>
      <c r="AA927" s="464"/>
      <c r="AB927" s="465"/>
      <c r="AC927" s="465"/>
      <c r="AD927" s="465"/>
      <c r="AE927" s="466"/>
      <c r="AF927" s="449"/>
      <c r="AG927" s="449"/>
      <c r="AH927" s="449"/>
    </row>
    <row r="928" ht="11.25" customHeight="1">
      <c r="A928" s="450"/>
      <c r="B928" s="451"/>
      <c r="C928" s="452"/>
      <c r="D928" s="452"/>
      <c r="E928" s="453"/>
      <c r="F928" s="453"/>
      <c r="G928" s="454"/>
      <c r="H928" s="454"/>
      <c r="I928" s="455"/>
      <c r="J928" s="456"/>
      <c r="K928" s="467" t="s">
        <v>1417</v>
      </c>
      <c r="L928" s="468"/>
      <c r="M928" s="469"/>
      <c r="N928" s="470"/>
      <c r="O928" s="470"/>
      <c r="P928" s="471"/>
      <c r="Q928" s="468"/>
      <c r="R928" s="469"/>
      <c r="S928" s="469"/>
      <c r="T928" s="469"/>
      <c r="U928" s="469"/>
      <c r="V928" s="469"/>
      <c r="W928" s="469"/>
      <c r="X928" s="469"/>
      <c r="Y928" s="462">
        <f t="shared" si="17"/>
        <v>0</v>
      </c>
      <c r="Z928" s="463"/>
      <c r="AA928" s="464"/>
      <c r="AB928" s="465"/>
      <c r="AC928" s="465"/>
      <c r="AD928" s="465"/>
      <c r="AE928" s="466"/>
      <c r="AF928" s="449"/>
      <c r="AG928" s="449"/>
      <c r="AH928" s="449"/>
    </row>
    <row r="929" ht="11.25" customHeight="1">
      <c r="A929" s="450"/>
      <c r="B929" s="472"/>
      <c r="C929" s="473"/>
      <c r="D929" s="473"/>
      <c r="E929" s="474"/>
      <c r="F929" s="474"/>
      <c r="G929" s="475"/>
      <c r="H929" s="475"/>
      <c r="I929" s="476"/>
      <c r="J929" s="477"/>
      <c r="K929" s="478" t="s">
        <v>1418</v>
      </c>
      <c r="L929" s="479"/>
      <c r="M929" s="480"/>
      <c r="N929" s="481"/>
      <c r="O929" s="481"/>
      <c r="P929" s="482"/>
      <c r="Q929" s="479"/>
      <c r="R929" s="480"/>
      <c r="S929" s="480"/>
      <c r="T929" s="480"/>
      <c r="U929" s="480"/>
      <c r="V929" s="480"/>
      <c r="W929" s="480"/>
      <c r="X929" s="480"/>
      <c r="Y929" s="483">
        <f t="shared" si="17"/>
        <v>0</v>
      </c>
      <c r="Z929" s="484"/>
      <c r="AA929" s="485"/>
      <c r="AB929" s="486"/>
      <c r="AC929" s="486"/>
      <c r="AD929" s="486"/>
      <c r="AE929" s="487"/>
      <c r="AF929" s="449"/>
      <c r="AG929" s="449"/>
      <c r="AH929" s="449"/>
    </row>
    <row r="930" ht="11.25" customHeight="1">
      <c r="A930" s="431" t="str">
        <f>IF(B930="","", YEAR(B930))</f>
        <v/>
      </c>
      <c r="B930" s="432"/>
      <c r="C930" s="433"/>
      <c r="D930" s="433"/>
      <c r="E930" s="434" t="str">
        <f t="shared" ref="E930:I930" si="472">IFERROR(AVERAGE(L930:L933),"")</f>
        <v/>
      </c>
      <c r="F930" s="434" t="str">
        <f t="shared" si="472"/>
        <v/>
      </c>
      <c r="G930" s="435" t="str">
        <f t="shared" si="472"/>
        <v/>
      </c>
      <c r="H930" s="435" t="str">
        <f t="shared" si="472"/>
        <v/>
      </c>
      <c r="I930" s="436" t="str">
        <f t="shared" si="472"/>
        <v/>
      </c>
      <c r="J930" s="437">
        <f>SUMIFS(PRODUCTION[KG],PRODUCTION[GRADE],"3X50",PRODUCTION[DATE],B930,PRODUCTION[BATCH],C930,PRODUCTION[SHIFT],D930)</f>
        <v>0</v>
      </c>
      <c r="K930" s="438" t="s">
        <v>1414</v>
      </c>
      <c r="L930" s="443"/>
      <c r="M930" s="440"/>
      <c r="N930" s="441"/>
      <c r="O930" s="441"/>
      <c r="P930" s="442"/>
      <c r="Q930" s="443"/>
      <c r="R930" s="440"/>
      <c r="S930" s="440"/>
      <c r="T930" s="440"/>
      <c r="U930" s="440"/>
      <c r="V930" s="440"/>
      <c r="W930" s="440"/>
      <c r="X930" s="440"/>
      <c r="Y930" s="444">
        <f t="shared" si="17"/>
        <v>0</v>
      </c>
      <c r="Z930" s="445"/>
      <c r="AA930" s="446">
        <f t="shared" ref="AA930:AE930" si="473">$J930*E930</f>
        <v>0</v>
      </c>
      <c r="AB930" s="447">
        <f t="shared" si="473"/>
        <v>0</v>
      </c>
      <c r="AC930" s="447">
        <f t="shared" si="473"/>
        <v>0</v>
      </c>
      <c r="AD930" s="447">
        <f t="shared" si="473"/>
        <v>0</v>
      </c>
      <c r="AE930" s="448">
        <f t="shared" si="473"/>
        <v>0</v>
      </c>
      <c r="AF930" s="449"/>
      <c r="AG930" s="449"/>
      <c r="AH930" s="449"/>
    </row>
    <row r="931" ht="11.25" customHeight="1">
      <c r="A931" s="450"/>
      <c r="B931" s="451"/>
      <c r="C931" s="452"/>
      <c r="D931" s="452"/>
      <c r="E931" s="453"/>
      <c r="F931" s="453"/>
      <c r="G931" s="454"/>
      <c r="H931" s="454"/>
      <c r="I931" s="455"/>
      <c r="J931" s="456"/>
      <c r="K931" s="457" t="s">
        <v>1416</v>
      </c>
      <c r="L931" s="458"/>
      <c r="M931" s="459"/>
      <c r="N931" s="460"/>
      <c r="O931" s="460"/>
      <c r="P931" s="461"/>
      <c r="Q931" s="458"/>
      <c r="R931" s="459"/>
      <c r="S931" s="459"/>
      <c r="T931" s="459"/>
      <c r="U931" s="459"/>
      <c r="V931" s="459"/>
      <c r="W931" s="459"/>
      <c r="X931" s="459"/>
      <c r="Y931" s="462">
        <f t="shared" si="17"/>
        <v>0</v>
      </c>
      <c r="Z931" s="463"/>
      <c r="AA931" s="464"/>
      <c r="AB931" s="465"/>
      <c r="AC931" s="465"/>
      <c r="AD931" s="465"/>
      <c r="AE931" s="466"/>
      <c r="AF931" s="449"/>
      <c r="AG931" s="449"/>
      <c r="AH931" s="449"/>
    </row>
    <row r="932" ht="11.25" customHeight="1">
      <c r="A932" s="450"/>
      <c r="B932" s="451"/>
      <c r="C932" s="452"/>
      <c r="D932" s="452"/>
      <c r="E932" s="453"/>
      <c r="F932" s="453"/>
      <c r="G932" s="454"/>
      <c r="H932" s="454"/>
      <c r="I932" s="455"/>
      <c r="J932" s="456"/>
      <c r="K932" s="467" t="s">
        <v>1417</v>
      </c>
      <c r="L932" s="468"/>
      <c r="M932" s="469"/>
      <c r="N932" s="470"/>
      <c r="O932" s="470"/>
      <c r="P932" s="471"/>
      <c r="Q932" s="468"/>
      <c r="R932" s="469"/>
      <c r="S932" s="469"/>
      <c r="T932" s="469"/>
      <c r="U932" s="469"/>
      <c r="V932" s="469"/>
      <c r="W932" s="469"/>
      <c r="X932" s="469"/>
      <c r="Y932" s="462">
        <f t="shared" si="17"/>
        <v>0</v>
      </c>
      <c r="Z932" s="463"/>
      <c r="AA932" s="464"/>
      <c r="AB932" s="465"/>
      <c r="AC932" s="465"/>
      <c r="AD932" s="465"/>
      <c r="AE932" s="466"/>
      <c r="AF932" s="449"/>
      <c r="AG932" s="449"/>
      <c r="AH932" s="449"/>
    </row>
    <row r="933" ht="11.25" customHeight="1">
      <c r="A933" s="450"/>
      <c r="B933" s="472"/>
      <c r="C933" s="473"/>
      <c r="D933" s="473"/>
      <c r="E933" s="474"/>
      <c r="F933" s="474"/>
      <c r="G933" s="475"/>
      <c r="H933" s="475"/>
      <c r="I933" s="476"/>
      <c r="J933" s="477"/>
      <c r="K933" s="478" t="s">
        <v>1418</v>
      </c>
      <c r="L933" s="479"/>
      <c r="M933" s="480"/>
      <c r="N933" s="481"/>
      <c r="O933" s="481"/>
      <c r="P933" s="482"/>
      <c r="Q933" s="479"/>
      <c r="R933" s="480"/>
      <c r="S933" s="480"/>
      <c r="T933" s="480"/>
      <c r="U933" s="480"/>
      <c r="V933" s="480"/>
      <c r="W933" s="480"/>
      <c r="X933" s="480"/>
      <c r="Y933" s="483">
        <f t="shared" si="17"/>
        <v>0</v>
      </c>
      <c r="Z933" s="484"/>
      <c r="AA933" s="485"/>
      <c r="AB933" s="486"/>
      <c r="AC933" s="486"/>
      <c r="AD933" s="486"/>
      <c r="AE933" s="487"/>
      <c r="AF933" s="449"/>
      <c r="AG933" s="449"/>
      <c r="AH933" s="449"/>
    </row>
    <row r="934" ht="11.25" customHeight="1">
      <c r="A934" s="431" t="str">
        <f>IF(B934="","", YEAR(B934))</f>
        <v/>
      </c>
      <c r="B934" s="432"/>
      <c r="C934" s="433"/>
      <c r="D934" s="433"/>
      <c r="E934" s="434" t="str">
        <f t="shared" ref="E934:I934" si="474">IFERROR(AVERAGE(L934:L937),"")</f>
        <v/>
      </c>
      <c r="F934" s="434" t="str">
        <f t="shared" si="474"/>
        <v/>
      </c>
      <c r="G934" s="435" t="str">
        <f t="shared" si="474"/>
        <v/>
      </c>
      <c r="H934" s="435" t="str">
        <f t="shared" si="474"/>
        <v/>
      </c>
      <c r="I934" s="436" t="str">
        <f t="shared" si="474"/>
        <v/>
      </c>
      <c r="J934" s="437">
        <f>SUMIFS(PRODUCTION[KG],PRODUCTION[GRADE],"3X50",PRODUCTION[DATE],B934,PRODUCTION[BATCH],C934,PRODUCTION[SHIFT],D934)</f>
        <v>0</v>
      </c>
      <c r="K934" s="438" t="s">
        <v>1414</v>
      </c>
      <c r="L934" s="443"/>
      <c r="M934" s="440"/>
      <c r="N934" s="441"/>
      <c r="O934" s="441"/>
      <c r="P934" s="442"/>
      <c r="Q934" s="443"/>
      <c r="R934" s="440"/>
      <c r="S934" s="440"/>
      <c r="T934" s="440"/>
      <c r="U934" s="440"/>
      <c r="V934" s="440"/>
      <c r="W934" s="440"/>
      <c r="X934" s="440"/>
      <c r="Y934" s="444">
        <f t="shared" si="17"/>
        <v>0</v>
      </c>
      <c r="Z934" s="445"/>
      <c r="AA934" s="446">
        <f t="shared" ref="AA934:AE934" si="475">$J934*E934</f>
        <v>0</v>
      </c>
      <c r="AB934" s="447">
        <f t="shared" si="475"/>
        <v>0</v>
      </c>
      <c r="AC934" s="447">
        <f t="shared" si="475"/>
        <v>0</v>
      </c>
      <c r="AD934" s="447">
        <f t="shared" si="475"/>
        <v>0</v>
      </c>
      <c r="AE934" s="448">
        <f t="shared" si="475"/>
        <v>0</v>
      </c>
      <c r="AF934" s="449"/>
      <c r="AG934" s="449"/>
      <c r="AH934" s="449"/>
    </row>
    <row r="935" ht="11.25" customHeight="1">
      <c r="A935" s="450"/>
      <c r="B935" s="451"/>
      <c r="C935" s="452"/>
      <c r="D935" s="452"/>
      <c r="E935" s="453"/>
      <c r="F935" s="453"/>
      <c r="G935" s="454"/>
      <c r="H935" s="454"/>
      <c r="I935" s="455"/>
      <c r="J935" s="456"/>
      <c r="K935" s="457" t="s">
        <v>1416</v>
      </c>
      <c r="L935" s="458"/>
      <c r="M935" s="459"/>
      <c r="N935" s="460"/>
      <c r="O935" s="460"/>
      <c r="P935" s="461"/>
      <c r="Q935" s="458"/>
      <c r="R935" s="459"/>
      <c r="S935" s="459"/>
      <c r="T935" s="459"/>
      <c r="U935" s="459"/>
      <c r="V935" s="459"/>
      <c r="W935" s="459"/>
      <c r="X935" s="459"/>
      <c r="Y935" s="462">
        <f t="shared" si="17"/>
        <v>0</v>
      </c>
      <c r="Z935" s="463"/>
      <c r="AA935" s="464"/>
      <c r="AB935" s="465"/>
      <c r="AC935" s="465"/>
      <c r="AD935" s="465"/>
      <c r="AE935" s="466"/>
      <c r="AF935" s="449"/>
      <c r="AG935" s="449"/>
      <c r="AH935" s="449"/>
    </row>
    <row r="936" ht="11.25" customHeight="1">
      <c r="A936" s="450"/>
      <c r="B936" s="451"/>
      <c r="C936" s="452"/>
      <c r="D936" s="452"/>
      <c r="E936" s="453"/>
      <c r="F936" s="453"/>
      <c r="G936" s="454"/>
      <c r="H936" s="454"/>
      <c r="I936" s="455"/>
      <c r="J936" s="456"/>
      <c r="K936" s="467" t="s">
        <v>1417</v>
      </c>
      <c r="L936" s="468"/>
      <c r="M936" s="469"/>
      <c r="N936" s="470"/>
      <c r="O936" s="470"/>
      <c r="P936" s="471"/>
      <c r="Q936" s="468"/>
      <c r="R936" s="469"/>
      <c r="S936" s="469"/>
      <c r="T936" s="469"/>
      <c r="U936" s="469"/>
      <c r="V936" s="469"/>
      <c r="W936" s="469"/>
      <c r="X936" s="469"/>
      <c r="Y936" s="462">
        <f t="shared" si="17"/>
        <v>0</v>
      </c>
      <c r="Z936" s="463"/>
      <c r="AA936" s="464"/>
      <c r="AB936" s="465"/>
      <c r="AC936" s="465"/>
      <c r="AD936" s="465"/>
      <c r="AE936" s="466"/>
      <c r="AF936" s="449"/>
      <c r="AG936" s="449"/>
      <c r="AH936" s="449"/>
    </row>
    <row r="937" ht="11.25" customHeight="1">
      <c r="A937" s="450"/>
      <c r="B937" s="472"/>
      <c r="C937" s="473"/>
      <c r="D937" s="473"/>
      <c r="E937" s="474"/>
      <c r="F937" s="474"/>
      <c r="G937" s="475"/>
      <c r="H937" s="475"/>
      <c r="I937" s="476"/>
      <c r="J937" s="477"/>
      <c r="K937" s="478" t="s">
        <v>1418</v>
      </c>
      <c r="L937" s="479"/>
      <c r="M937" s="480"/>
      <c r="N937" s="481"/>
      <c r="O937" s="481"/>
      <c r="P937" s="482"/>
      <c r="Q937" s="479"/>
      <c r="R937" s="480"/>
      <c r="S937" s="480"/>
      <c r="T937" s="480"/>
      <c r="U937" s="480"/>
      <c r="V937" s="480"/>
      <c r="W937" s="480"/>
      <c r="X937" s="480"/>
      <c r="Y937" s="483">
        <f t="shared" si="17"/>
        <v>0</v>
      </c>
      <c r="Z937" s="484"/>
      <c r="AA937" s="485"/>
      <c r="AB937" s="486"/>
      <c r="AC937" s="486"/>
      <c r="AD937" s="486"/>
      <c r="AE937" s="487"/>
      <c r="AF937" s="449"/>
      <c r="AG937" s="449"/>
      <c r="AH937" s="449"/>
    </row>
    <row r="938" ht="11.25" customHeight="1">
      <c r="A938" s="431" t="str">
        <f>IF(B938="","", YEAR(B938))</f>
        <v/>
      </c>
      <c r="B938" s="432"/>
      <c r="C938" s="433"/>
      <c r="D938" s="433"/>
      <c r="E938" s="434" t="str">
        <f t="shared" ref="E938:I938" si="476">IFERROR(AVERAGE(L938:L941),"")</f>
        <v/>
      </c>
      <c r="F938" s="434" t="str">
        <f t="shared" si="476"/>
        <v/>
      </c>
      <c r="G938" s="435" t="str">
        <f t="shared" si="476"/>
        <v/>
      </c>
      <c r="H938" s="435" t="str">
        <f t="shared" si="476"/>
        <v/>
      </c>
      <c r="I938" s="436" t="str">
        <f t="shared" si="476"/>
        <v/>
      </c>
      <c r="J938" s="437">
        <f>SUMIFS(PRODUCTION[KG],PRODUCTION[GRADE],"3X50",PRODUCTION[DATE],B938,PRODUCTION[BATCH],C938,PRODUCTION[SHIFT],D938)</f>
        <v>0</v>
      </c>
      <c r="K938" s="438" t="s">
        <v>1414</v>
      </c>
      <c r="L938" s="443"/>
      <c r="M938" s="440"/>
      <c r="N938" s="441"/>
      <c r="O938" s="441"/>
      <c r="P938" s="442"/>
      <c r="Q938" s="443"/>
      <c r="R938" s="440"/>
      <c r="S938" s="440"/>
      <c r="T938" s="440"/>
      <c r="U938" s="440"/>
      <c r="V938" s="440"/>
      <c r="W938" s="440"/>
      <c r="X938" s="440"/>
      <c r="Y938" s="444">
        <f t="shared" si="17"/>
        <v>0</v>
      </c>
      <c r="Z938" s="445"/>
      <c r="AA938" s="446">
        <f t="shared" ref="AA938:AE938" si="477">$J938*E938</f>
        <v>0</v>
      </c>
      <c r="AB938" s="447">
        <f t="shared" si="477"/>
        <v>0</v>
      </c>
      <c r="AC938" s="447">
        <f t="shared" si="477"/>
        <v>0</v>
      </c>
      <c r="AD938" s="447">
        <f t="shared" si="477"/>
        <v>0</v>
      </c>
      <c r="AE938" s="448">
        <f t="shared" si="477"/>
        <v>0</v>
      </c>
      <c r="AF938" s="449"/>
      <c r="AG938" s="449"/>
      <c r="AH938" s="449"/>
    </row>
    <row r="939" ht="11.25" customHeight="1">
      <c r="A939" s="450"/>
      <c r="B939" s="451"/>
      <c r="C939" s="452"/>
      <c r="D939" s="452"/>
      <c r="E939" s="453"/>
      <c r="F939" s="453"/>
      <c r="G939" s="454"/>
      <c r="H939" s="454"/>
      <c r="I939" s="455"/>
      <c r="J939" s="456"/>
      <c r="K939" s="457" t="s">
        <v>1416</v>
      </c>
      <c r="L939" s="458"/>
      <c r="M939" s="459"/>
      <c r="N939" s="460"/>
      <c r="O939" s="460"/>
      <c r="P939" s="461"/>
      <c r="Q939" s="458"/>
      <c r="R939" s="459"/>
      <c r="S939" s="459"/>
      <c r="T939" s="459"/>
      <c r="U939" s="459"/>
      <c r="V939" s="459"/>
      <c r="W939" s="459"/>
      <c r="X939" s="459"/>
      <c r="Y939" s="462">
        <f t="shared" si="17"/>
        <v>0</v>
      </c>
      <c r="Z939" s="463"/>
      <c r="AA939" s="464"/>
      <c r="AB939" s="465"/>
      <c r="AC939" s="465"/>
      <c r="AD939" s="465"/>
      <c r="AE939" s="466"/>
      <c r="AF939" s="449"/>
      <c r="AG939" s="449"/>
      <c r="AH939" s="449"/>
    </row>
    <row r="940" ht="11.25" customHeight="1">
      <c r="A940" s="450"/>
      <c r="B940" s="451"/>
      <c r="C940" s="452"/>
      <c r="D940" s="452"/>
      <c r="E940" s="453"/>
      <c r="F940" s="453"/>
      <c r="G940" s="454"/>
      <c r="H940" s="454"/>
      <c r="I940" s="455"/>
      <c r="J940" s="456"/>
      <c r="K940" s="467" t="s">
        <v>1417</v>
      </c>
      <c r="L940" s="468"/>
      <c r="M940" s="469"/>
      <c r="N940" s="470"/>
      <c r="O940" s="470"/>
      <c r="P940" s="471"/>
      <c r="Q940" s="468"/>
      <c r="R940" s="469"/>
      <c r="S940" s="469"/>
      <c r="T940" s="469"/>
      <c r="U940" s="469"/>
      <c r="V940" s="469"/>
      <c r="W940" s="469"/>
      <c r="X940" s="469"/>
      <c r="Y940" s="462">
        <f t="shared" si="17"/>
        <v>0</v>
      </c>
      <c r="Z940" s="463"/>
      <c r="AA940" s="464"/>
      <c r="AB940" s="465"/>
      <c r="AC940" s="465"/>
      <c r="AD940" s="465"/>
      <c r="AE940" s="466"/>
      <c r="AF940" s="449"/>
      <c r="AG940" s="449"/>
      <c r="AH940" s="449"/>
    </row>
    <row r="941" ht="11.25" customHeight="1">
      <c r="A941" s="450"/>
      <c r="B941" s="472"/>
      <c r="C941" s="473"/>
      <c r="D941" s="473"/>
      <c r="E941" s="474"/>
      <c r="F941" s="474"/>
      <c r="G941" s="475"/>
      <c r="H941" s="475"/>
      <c r="I941" s="476"/>
      <c r="J941" s="477"/>
      <c r="K941" s="478" t="s">
        <v>1418</v>
      </c>
      <c r="L941" s="479"/>
      <c r="M941" s="480"/>
      <c r="N941" s="481"/>
      <c r="O941" s="481"/>
      <c r="P941" s="482"/>
      <c r="Q941" s="479"/>
      <c r="R941" s="480"/>
      <c r="S941" s="480"/>
      <c r="T941" s="480"/>
      <c r="U941" s="480"/>
      <c r="V941" s="480"/>
      <c r="W941" s="480"/>
      <c r="X941" s="480"/>
      <c r="Y941" s="483">
        <f t="shared" si="17"/>
        <v>0</v>
      </c>
      <c r="Z941" s="484"/>
      <c r="AA941" s="485"/>
      <c r="AB941" s="486"/>
      <c r="AC941" s="486"/>
      <c r="AD941" s="486"/>
      <c r="AE941" s="487"/>
      <c r="AF941" s="449"/>
      <c r="AG941" s="449"/>
      <c r="AH941" s="449"/>
    </row>
    <row r="942" ht="11.25" customHeight="1">
      <c r="A942" s="431" t="str">
        <f>IF(B942="","", YEAR(B942))</f>
        <v/>
      </c>
      <c r="B942" s="432"/>
      <c r="C942" s="433"/>
      <c r="D942" s="433"/>
      <c r="E942" s="434" t="str">
        <f t="shared" ref="E942:I942" si="478">IFERROR(AVERAGE(L942:L945),"")</f>
        <v/>
      </c>
      <c r="F942" s="434" t="str">
        <f t="shared" si="478"/>
        <v/>
      </c>
      <c r="G942" s="435" t="str">
        <f t="shared" si="478"/>
        <v/>
      </c>
      <c r="H942" s="435" t="str">
        <f t="shared" si="478"/>
        <v/>
      </c>
      <c r="I942" s="436" t="str">
        <f t="shared" si="478"/>
        <v/>
      </c>
      <c r="J942" s="437">
        <f>SUMIFS(PRODUCTION[KG],PRODUCTION[GRADE],"3X50",PRODUCTION[DATE],B942,PRODUCTION[BATCH],C942,PRODUCTION[SHIFT],D942)</f>
        <v>0</v>
      </c>
      <c r="K942" s="438" t="s">
        <v>1414</v>
      </c>
      <c r="L942" s="443"/>
      <c r="M942" s="440"/>
      <c r="N942" s="441"/>
      <c r="O942" s="441"/>
      <c r="P942" s="442"/>
      <c r="Q942" s="443"/>
      <c r="R942" s="440"/>
      <c r="S942" s="440"/>
      <c r="T942" s="440"/>
      <c r="U942" s="440"/>
      <c r="V942" s="440"/>
      <c r="W942" s="440"/>
      <c r="X942" s="440"/>
      <c r="Y942" s="444">
        <f t="shared" si="17"/>
        <v>0</v>
      </c>
      <c r="Z942" s="445"/>
      <c r="AA942" s="446">
        <f t="shared" ref="AA942:AE942" si="479">$J942*E942</f>
        <v>0</v>
      </c>
      <c r="AB942" s="447">
        <f t="shared" si="479"/>
        <v>0</v>
      </c>
      <c r="AC942" s="447">
        <f t="shared" si="479"/>
        <v>0</v>
      </c>
      <c r="AD942" s="447">
        <f t="shared" si="479"/>
        <v>0</v>
      </c>
      <c r="AE942" s="448">
        <f t="shared" si="479"/>
        <v>0</v>
      </c>
      <c r="AF942" s="449"/>
      <c r="AG942" s="449"/>
      <c r="AH942" s="449"/>
    </row>
    <row r="943" ht="11.25" customHeight="1">
      <c r="A943" s="450"/>
      <c r="B943" s="451"/>
      <c r="C943" s="452"/>
      <c r="D943" s="452"/>
      <c r="E943" s="453"/>
      <c r="F943" s="453"/>
      <c r="G943" s="454"/>
      <c r="H943" s="454"/>
      <c r="I943" s="455"/>
      <c r="J943" s="456"/>
      <c r="K943" s="457" t="s">
        <v>1416</v>
      </c>
      <c r="L943" s="458"/>
      <c r="M943" s="459"/>
      <c r="N943" s="460"/>
      <c r="O943" s="460"/>
      <c r="P943" s="461"/>
      <c r="Q943" s="458"/>
      <c r="R943" s="459"/>
      <c r="S943" s="459"/>
      <c r="T943" s="459"/>
      <c r="U943" s="459"/>
      <c r="V943" s="459"/>
      <c r="W943" s="459"/>
      <c r="X943" s="459"/>
      <c r="Y943" s="462">
        <f t="shared" si="17"/>
        <v>0</v>
      </c>
      <c r="Z943" s="463"/>
      <c r="AA943" s="464"/>
      <c r="AB943" s="465"/>
      <c r="AC943" s="465"/>
      <c r="AD943" s="465"/>
      <c r="AE943" s="466"/>
      <c r="AF943" s="449"/>
      <c r="AG943" s="449"/>
      <c r="AH943" s="449"/>
    </row>
    <row r="944" ht="11.25" customHeight="1">
      <c r="A944" s="450"/>
      <c r="B944" s="451"/>
      <c r="C944" s="452"/>
      <c r="D944" s="452"/>
      <c r="E944" s="453"/>
      <c r="F944" s="453"/>
      <c r="G944" s="454"/>
      <c r="H944" s="454"/>
      <c r="I944" s="455"/>
      <c r="J944" s="456"/>
      <c r="K944" s="467" t="s">
        <v>1417</v>
      </c>
      <c r="L944" s="468"/>
      <c r="M944" s="469"/>
      <c r="N944" s="470"/>
      <c r="O944" s="470"/>
      <c r="P944" s="471"/>
      <c r="Q944" s="468"/>
      <c r="R944" s="469"/>
      <c r="S944" s="469"/>
      <c r="T944" s="469"/>
      <c r="U944" s="469"/>
      <c r="V944" s="469"/>
      <c r="W944" s="469"/>
      <c r="X944" s="469"/>
      <c r="Y944" s="462">
        <f t="shared" si="17"/>
        <v>0</v>
      </c>
      <c r="Z944" s="463"/>
      <c r="AA944" s="464"/>
      <c r="AB944" s="465"/>
      <c r="AC944" s="465"/>
      <c r="AD944" s="465"/>
      <c r="AE944" s="466"/>
      <c r="AF944" s="449"/>
      <c r="AG944" s="449"/>
      <c r="AH944" s="449"/>
    </row>
    <row r="945" ht="11.25" customHeight="1">
      <c r="A945" s="450"/>
      <c r="B945" s="472"/>
      <c r="C945" s="473"/>
      <c r="D945" s="473"/>
      <c r="E945" s="474"/>
      <c r="F945" s="474"/>
      <c r="G945" s="475"/>
      <c r="H945" s="475"/>
      <c r="I945" s="476"/>
      <c r="J945" s="477"/>
      <c r="K945" s="478" t="s">
        <v>1418</v>
      </c>
      <c r="L945" s="479"/>
      <c r="M945" s="480"/>
      <c r="N945" s="481"/>
      <c r="O945" s="481"/>
      <c r="P945" s="482"/>
      <c r="Q945" s="479"/>
      <c r="R945" s="480"/>
      <c r="S945" s="480"/>
      <c r="T945" s="480"/>
      <c r="U945" s="480"/>
      <c r="V945" s="480"/>
      <c r="W945" s="480"/>
      <c r="X945" s="480"/>
      <c r="Y945" s="483">
        <f t="shared" si="17"/>
        <v>0</v>
      </c>
      <c r="Z945" s="484"/>
      <c r="AA945" s="485"/>
      <c r="AB945" s="486"/>
      <c r="AC945" s="486"/>
      <c r="AD945" s="486"/>
      <c r="AE945" s="487"/>
      <c r="AF945" s="449"/>
      <c r="AG945" s="449"/>
      <c r="AH945" s="449"/>
    </row>
    <row r="946" ht="11.25" customHeight="1">
      <c r="A946" s="431" t="str">
        <f>IF(B946="","", YEAR(B946))</f>
        <v/>
      </c>
      <c r="B946" s="432"/>
      <c r="C946" s="433"/>
      <c r="D946" s="433"/>
      <c r="E946" s="434" t="str">
        <f t="shared" ref="E946:I946" si="480">IFERROR(AVERAGE(L946:L949),"")</f>
        <v/>
      </c>
      <c r="F946" s="434" t="str">
        <f t="shared" si="480"/>
        <v/>
      </c>
      <c r="G946" s="435" t="str">
        <f t="shared" si="480"/>
        <v/>
      </c>
      <c r="H946" s="435" t="str">
        <f t="shared" si="480"/>
        <v/>
      </c>
      <c r="I946" s="436" t="str">
        <f t="shared" si="480"/>
        <v/>
      </c>
      <c r="J946" s="437">
        <f>SUMIFS(PRODUCTION[KG],PRODUCTION[GRADE],"3X50",PRODUCTION[DATE],B946,PRODUCTION[BATCH],C946,PRODUCTION[SHIFT],D946)</f>
        <v>0</v>
      </c>
      <c r="K946" s="438" t="s">
        <v>1414</v>
      </c>
      <c r="L946" s="443"/>
      <c r="M946" s="440"/>
      <c r="N946" s="441"/>
      <c r="O946" s="441"/>
      <c r="P946" s="442"/>
      <c r="Q946" s="443"/>
      <c r="R946" s="440"/>
      <c r="S946" s="440"/>
      <c r="T946" s="440"/>
      <c r="U946" s="440"/>
      <c r="V946" s="440"/>
      <c r="W946" s="440"/>
      <c r="X946" s="440"/>
      <c r="Y946" s="444">
        <f t="shared" si="17"/>
        <v>0</v>
      </c>
      <c r="Z946" s="445"/>
      <c r="AA946" s="446">
        <f t="shared" ref="AA946:AE946" si="481">$J946*E946</f>
        <v>0</v>
      </c>
      <c r="AB946" s="447">
        <f t="shared" si="481"/>
        <v>0</v>
      </c>
      <c r="AC946" s="447">
        <f t="shared" si="481"/>
        <v>0</v>
      </c>
      <c r="AD946" s="447">
        <f t="shared" si="481"/>
        <v>0</v>
      </c>
      <c r="AE946" s="448">
        <f t="shared" si="481"/>
        <v>0</v>
      </c>
      <c r="AF946" s="449"/>
      <c r="AG946" s="449"/>
      <c r="AH946" s="449"/>
    </row>
    <row r="947" ht="11.25" customHeight="1">
      <c r="A947" s="450"/>
      <c r="B947" s="451"/>
      <c r="C947" s="452"/>
      <c r="D947" s="452"/>
      <c r="E947" s="453"/>
      <c r="F947" s="453"/>
      <c r="G947" s="454"/>
      <c r="H947" s="454"/>
      <c r="I947" s="455"/>
      <c r="J947" s="456"/>
      <c r="K947" s="457" t="s">
        <v>1416</v>
      </c>
      <c r="L947" s="458"/>
      <c r="M947" s="459"/>
      <c r="N947" s="460"/>
      <c r="O947" s="460"/>
      <c r="P947" s="461"/>
      <c r="Q947" s="458"/>
      <c r="R947" s="459"/>
      <c r="S947" s="459"/>
      <c r="T947" s="459"/>
      <c r="U947" s="459"/>
      <c r="V947" s="459"/>
      <c r="W947" s="459"/>
      <c r="X947" s="459"/>
      <c r="Y947" s="462">
        <f t="shared" si="17"/>
        <v>0</v>
      </c>
      <c r="Z947" s="463"/>
      <c r="AA947" s="464"/>
      <c r="AB947" s="465"/>
      <c r="AC947" s="465"/>
      <c r="AD947" s="465"/>
      <c r="AE947" s="466"/>
      <c r="AF947" s="449"/>
      <c r="AG947" s="449"/>
      <c r="AH947" s="449"/>
    </row>
    <row r="948" ht="11.25" customHeight="1">
      <c r="A948" s="450"/>
      <c r="B948" s="451"/>
      <c r="C948" s="452"/>
      <c r="D948" s="452"/>
      <c r="E948" s="453"/>
      <c r="F948" s="453"/>
      <c r="G948" s="454"/>
      <c r="H948" s="454"/>
      <c r="I948" s="455"/>
      <c r="J948" s="456"/>
      <c r="K948" s="467" t="s">
        <v>1417</v>
      </c>
      <c r="L948" s="468"/>
      <c r="M948" s="469"/>
      <c r="N948" s="470"/>
      <c r="O948" s="470"/>
      <c r="P948" s="471"/>
      <c r="Q948" s="468"/>
      <c r="R948" s="469"/>
      <c r="S948" s="469"/>
      <c r="T948" s="469"/>
      <c r="U948" s="469"/>
      <c r="V948" s="469"/>
      <c r="W948" s="469"/>
      <c r="X948" s="469"/>
      <c r="Y948" s="462">
        <f t="shared" si="17"/>
        <v>0</v>
      </c>
      <c r="Z948" s="463"/>
      <c r="AA948" s="464"/>
      <c r="AB948" s="465"/>
      <c r="AC948" s="465"/>
      <c r="AD948" s="465"/>
      <c r="AE948" s="466"/>
      <c r="AF948" s="449"/>
      <c r="AG948" s="449"/>
      <c r="AH948" s="449"/>
    </row>
    <row r="949" ht="11.25" customHeight="1">
      <c r="A949" s="450"/>
      <c r="B949" s="472"/>
      <c r="C949" s="473"/>
      <c r="D949" s="473"/>
      <c r="E949" s="474"/>
      <c r="F949" s="474"/>
      <c r="G949" s="475"/>
      <c r="H949" s="475"/>
      <c r="I949" s="476"/>
      <c r="J949" s="477"/>
      <c r="K949" s="478" t="s">
        <v>1418</v>
      </c>
      <c r="L949" s="479"/>
      <c r="M949" s="480"/>
      <c r="N949" s="481"/>
      <c r="O949" s="481"/>
      <c r="P949" s="482"/>
      <c r="Q949" s="479"/>
      <c r="R949" s="480"/>
      <c r="S949" s="480"/>
      <c r="T949" s="480"/>
      <c r="U949" s="480"/>
      <c r="V949" s="480"/>
      <c r="W949" s="480"/>
      <c r="X949" s="480"/>
      <c r="Y949" s="483">
        <f t="shared" si="17"/>
        <v>0</v>
      </c>
      <c r="Z949" s="484"/>
      <c r="AA949" s="485"/>
      <c r="AB949" s="486"/>
      <c r="AC949" s="486"/>
      <c r="AD949" s="486"/>
      <c r="AE949" s="487"/>
      <c r="AF949" s="449"/>
      <c r="AG949" s="449"/>
      <c r="AH949" s="449"/>
    </row>
    <row r="950" ht="11.25" customHeight="1">
      <c r="A950" s="431" t="str">
        <f>IF(B950="","", YEAR(B950))</f>
        <v/>
      </c>
      <c r="B950" s="432"/>
      <c r="C950" s="433"/>
      <c r="D950" s="433"/>
      <c r="E950" s="434" t="str">
        <f t="shared" ref="E950:I950" si="482">IFERROR(AVERAGE(L950:L953),"")</f>
        <v/>
      </c>
      <c r="F950" s="434" t="str">
        <f t="shared" si="482"/>
        <v/>
      </c>
      <c r="G950" s="435" t="str">
        <f t="shared" si="482"/>
        <v/>
      </c>
      <c r="H950" s="435" t="str">
        <f t="shared" si="482"/>
        <v/>
      </c>
      <c r="I950" s="436" t="str">
        <f t="shared" si="482"/>
        <v/>
      </c>
      <c r="J950" s="437">
        <f>SUMIFS(PRODUCTION[KG],PRODUCTION[GRADE],"3X50",PRODUCTION[DATE],B950,PRODUCTION[BATCH],C950,PRODUCTION[SHIFT],D950)</f>
        <v>0</v>
      </c>
      <c r="K950" s="438" t="s">
        <v>1414</v>
      </c>
      <c r="L950" s="443"/>
      <c r="M950" s="440"/>
      <c r="N950" s="441"/>
      <c r="O950" s="441"/>
      <c r="P950" s="442"/>
      <c r="Q950" s="443"/>
      <c r="R950" s="440"/>
      <c r="S950" s="440"/>
      <c r="T950" s="440"/>
      <c r="U950" s="440"/>
      <c r="V950" s="440"/>
      <c r="W950" s="440"/>
      <c r="X950" s="440"/>
      <c r="Y950" s="444">
        <f t="shared" si="17"/>
        <v>0</v>
      </c>
      <c r="Z950" s="445"/>
      <c r="AA950" s="446">
        <f t="shared" ref="AA950:AE950" si="483">$J950*E950</f>
        <v>0</v>
      </c>
      <c r="AB950" s="447">
        <f t="shared" si="483"/>
        <v>0</v>
      </c>
      <c r="AC950" s="447">
        <f t="shared" si="483"/>
        <v>0</v>
      </c>
      <c r="AD950" s="447">
        <f t="shared" si="483"/>
        <v>0</v>
      </c>
      <c r="AE950" s="448">
        <f t="shared" si="483"/>
        <v>0</v>
      </c>
      <c r="AF950" s="449"/>
      <c r="AG950" s="449"/>
      <c r="AH950" s="449"/>
    </row>
    <row r="951" ht="11.25" customHeight="1">
      <c r="A951" s="450"/>
      <c r="B951" s="451"/>
      <c r="C951" s="452"/>
      <c r="D951" s="452"/>
      <c r="E951" s="453"/>
      <c r="F951" s="453"/>
      <c r="G951" s="454"/>
      <c r="H951" s="454"/>
      <c r="I951" s="455"/>
      <c r="J951" s="456"/>
      <c r="K951" s="457" t="s">
        <v>1416</v>
      </c>
      <c r="L951" s="458"/>
      <c r="M951" s="459"/>
      <c r="N951" s="460"/>
      <c r="O951" s="460"/>
      <c r="P951" s="461"/>
      <c r="Q951" s="458"/>
      <c r="R951" s="459"/>
      <c r="S951" s="459"/>
      <c r="T951" s="459"/>
      <c r="U951" s="459"/>
      <c r="V951" s="459"/>
      <c r="W951" s="459"/>
      <c r="X951" s="459"/>
      <c r="Y951" s="462">
        <f t="shared" si="17"/>
        <v>0</v>
      </c>
      <c r="Z951" s="463"/>
      <c r="AA951" s="464"/>
      <c r="AB951" s="465"/>
      <c r="AC951" s="465"/>
      <c r="AD951" s="465"/>
      <c r="AE951" s="466"/>
      <c r="AF951" s="449"/>
      <c r="AG951" s="449"/>
      <c r="AH951" s="449"/>
    </row>
    <row r="952" ht="11.25" customHeight="1">
      <c r="A952" s="450"/>
      <c r="B952" s="451"/>
      <c r="C952" s="452"/>
      <c r="D952" s="452"/>
      <c r="E952" s="453"/>
      <c r="F952" s="453"/>
      <c r="G952" s="454"/>
      <c r="H952" s="454"/>
      <c r="I952" s="455"/>
      <c r="J952" s="456"/>
      <c r="K952" s="467" t="s">
        <v>1417</v>
      </c>
      <c r="L952" s="468"/>
      <c r="M952" s="469"/>
      <c r="N952" s="470"/>
      <c r="O952" s="470"/>
      <c r="P952" s="471"/>
      <c r="Q952" s="468"/>
      <c r="R952" s="469"/>
      <c r="S952" s="469"/>
      <c r="T952" s="469"/>
      <c r="U952" s="469"/>
      <c r="V952" s="469"/>
      <c r="W952" s="469"/>
      <c r="X952" s="469"/>
      <c r="Y952" s="462">
        <f t="shared" si="17"/>
        <v>0</v>
      </c>
      <c r="Z952" s="463"/>
      <c r="AA952" s="464"/>
      <c r="AB952" s="465"/>
      <c r="AC952" s="465"/>
      <c r="AD952" s="465"/>
      <c r="AE952" s="466"/>
      <c r="AF952" s="449"/>
      <c r="AG952" s="449"/>
      <c r="AH952" s="449"/>
    </row>
    <row r="953" ht="11.25" customHeight="1">
      <c r="A953" s="450"/>
      <c r="B953" s="472"/>
      <c r="C953" s="473"/>
      <c r="D953" s="473"/>
      <c r="E953" s="474"/>
      <c r="F953" s="474"/>
      <c r="G953" s="475"/>
      <c r="H953" s="475"/>
      <c r="I953" s="476"/>
      <c r="J953" s="477"/>
      <c r="K953" s="478" t="s">
        <v>1418</v>
      </c>
      <c r="L953" s="479"/>
      <c r="M953" s="480"/>
      <c r="N953" s="481"/>
      <c r="O953" s="481"/>
      <c r="P953" s="482"/>
      <c r="Q953" s="479"/>
      <c r="R953" s="480"/>
      <c r="S953" s="480"/>
      <c r="T953" s="480"/>
      <c r="U953" s="480"/>
      <c r="V953" s="480"/>
      <c r="W953" s="480"/>
      <c r="X953" s="480"/>
      <c r="Y953" s="483">
        <f t="shared" si="17"/>
        <v>0</v>
      </c>
      <c r="Z953" s="484"/>
      <c r="AA953" s="485"/>
      <c r="AB953" s="486"/>
      <c r="AC953" s="486"/>
      <c r="AD953" s="486"/>
      <c r="AE953" s="487"/>
      <c r="AF953" s="449"/>
      <c r="AG953" s="449"/>
      <c r="AH953" s="449"/>
    </row>
    <row r="954" ht="11.25" customHeight="1">
      <c r="A954" s="431" t="str">
        <f>IF(B954="","", YEAR(B954))</f>
        <v/>
      </c>
      <c r="B954" s="432"/>
      <c r="C954" s="433"/>
      <c r="D954" s="433"/>
      <c r="E954" s="434" t="str">
        <f t="shared" ref="E954:I954" si="484">IFERROR(AVERAGE(L954:L957),"")</f>
        <v/>
      </c>
      <c r="F954" s="434" t="str">
        <f t="shared" si="484"/>
        <v/>
      </c>
      <c r="G954" s="435" t="str">
        <f t="shared" si="484"/>
        <v/>
      </c>
      <c r="H954" s="435" t="str">
        <f t="shared" si="484"/>
        <v/>
      </c>
      <c r="I954" s="436" t="str">
        <f t="shared" si="484"/>
        <v/>
      </c>
      <c r="J954" s="437">
        <f>SUMIFS(PRODUCTION[KG],PRODUCTION[GRADE],"3X50",PRODUCTION[DATE],B954,PRODUCTION[BATCH],C954,PRODUCTION[SHIFT],D954)</f>
        <v>0</v>
      </c>
      <c r="K954" s="438" t="s">
        <v>1414</v>
      </c>
      <c r="L954" s="443"/>
      <c r="M954" s="440"/>
      <c r="N954" s="441"/>
      <c r="O954" s="441"/>
      <c r="P954" s="442"/>
      <c r="Q954" s="443"/>
      <c r="R954" s="440"/>
      <c r="S954" s="440"/>
      <c r="T954" s="440"/>
      <c r="U954" s="440"/>
      <c r="V954" s="440"/>
      <c r="W954" s="440"/>
      <c r="X954" s="440"/>
      <c r="Y954" s="444">
        <f t="shared" si="17"/>
        <v>0</v>
      </c>
      <c r="Z954" s="445"/>
      <c r="AA954" s="446">
        <f t="shared" ref="AA954:AE954" si="485">$J954*E954</f>
        <v>0</v>
      </c>
      <c r="AB954" s="447">
        <f t="shared" si="485"/>
        <v>0</v>
      </c>
      <c r="AC954" s="447">
        <f t="shared" si="485"/>
        <v>0</v>
      </c>
      <c r="AD954" s="447">
        <f t="shared" si="485"/>
        <v>0</v>
      </c>
      <c r="AE954" s="448">
        <f t="shared" si="485"/>
        <v>0</v>
      </c>
      <c r="AF954" s="449"/>
      <c r="AG954" s="449"/>
      <c r="AH954" s="449"/>
    </row>
    <row r="955" ht="11.25" customHeight="1">
      <c r="A955" s="450"/>
      <c r="B955" s="451"/>
      <c r="C955" s="452"/>
      <c r="D955" s="452"/>
      <c r="E955" s="453"/>
      <c r="F955" s="453"/>
      <c r="G955" s="454"/>
      <c r="H955" s="454"/>
      <c r="I955" s="455"/>
      <c r="J955" s="456"/>
      <c r="K955" s="457" t="s">
        <v>1416</v>
      </c>
      <c r="L955" s="458"/>
      <c r="M955" s="459"/>
      <c r="N955" s="460"/>
      <c r="O955" s="460"/>
      <c r="P955" s="461"/>
      <c r="Q955" s="458"/>
      <c r="R955" s="459"/>
      <c r="S955" s="459"/>
      <c r="T955" s="459"/>
      <c r="U955" s="459"/>
      <c r="V955" s="459"/>
      <c r="W955" s="459"/>
      <c r="X955" s="459"/>
      <c r="Y955" s="462">
        <f t="shared" si="17"/>
        <v>0</v>
      </c>
      <c r="Z955" s="463"/>
      <c r="AA955" s="464"/>
      <c r="AB955" s="465"/>
      <c r="AC955" s="465"/>
      <c r="AD955" s="465"/>
      <c r="AE955" s="466"/>
      <c r="AF955" s="449"/>
      <c r="AG955" s="449"/>
      <c r="AH955" s="449"/>
    </row>
    <row r="956" ht="11.25" customHeight="1">
      <c r="A956" s="450"/>
      <c r="B956" s="451"/>
      <c r="C956" s="452"/>
      <c r="D956" s="452"/>
      <c r="E956" s="453"/>
      <c r="F956" s="453"/>
      <c r="G956" s="454"/>
      <c r="H956" s="454"/>
      <c r="I956" s="455"/>
      <c r="J956" s="456"/>
      <c r="K956" s="467" t="s">
        <v>1417</v>
      </c>
      <c r="L956" s="468"/>
      <c r="M956" s="469"/>
      <c r="N956" s="470"/>
      <c r="O956" s="470"/>
      <c r="P956" s="471"/>
      <c r="Q956" s="468"/>
      <c r="R956" s="469"/>
      <c r="S956" s="469"/>
      <c r="T956" s="469"/>
      <c r="U956" s="469"/>
      <c r="V956" s="469"/>
      <c r="W956" s="469"/>
      <c r="X956" s="469"/>
      <c r="Y956" s="462">
        <f t="shared" si="17"/>
        <v>0</v>
      </c>
      <c r="Z956" s="463"/>
      <c r="AA956" s="464"/>
      <c r="AB956" s="465"/>
      <c r="AC956" s="465"/>
      <c r="AD956" s="465"/>
      <c r="AE956" s="466"/>
      <c r="AF956" s="449"/>
      <c r="AG956" s="449"/>
      <c r="AH956" s="449"/>
    </row>
    <row r="957" ht="11.25" customHeight="1">
      <c r="A957" s="450"/>
      <c r="B957" s="472"/>
      <c r="C957" s="473"/>
      <c r="D957" s="473"/>
      <c r="E957" s="474"/>
      <c r="F957" s="474"/>
      <c r="G957" s="475"/>
      <c r="H957" s="475"/>
      <c r="I957" s="476"/>
      <c r="J957" s="477"/>
      <c r="K957" s="478" t="s">
        <v>1418</v>
      </c>
      <c r="L957" s="479"/>
      <c r="M957" s="480"/>
      <c r="N957" s="481"/>
      <c r="O957" s="481"/>
      <c r="P957" s="482"/>
      <c r="Q957" s="479"/>
      <c r="R957" s="480"/>
      <c r="S957" s="480"/>
      <c r="T957" s="480"/>
      <c r="U957" s="480"/>
      <c r="V957" s="480"/>
      <c r="W957" s="480"/>
      <c r="X957" s="480"/>
      <c r="Y957" s="483">
        <f t="shared" si="17"/>
        <v>0</v>
      </c>
      <c r="Z957" s="484"/>
      <c r="AA957" s="485"/>
      <c r="AB957" s="486"/>
      <c r="AC957" s="486"/>
      <c r="AD957" s="486"/>
      <c r="AE957" s="487"/>
      <c r="AF957" s="449"/>
      <c r="AG957" s="449"/>
      <c r="AH957" s="449"/>
    </row>
    <row r="958" ht="11.25" customHeight="1">
      <c r="A958" s="431" t="str">
        <f>IF(B958="","", YEAR(B958))</f>
        <v/>
      </c>
      <c r="B958" s="432"/>
      <c r="C958" s="433"/>
      <c r="D958" s="433"/>
      <c r="E958" s="434" t="str">
        <f t="shared" ref="E958:I958" si="486">IFERROR(AVERAGE(L958:L961),"")</f>
        <v/>
      </c>
      <c r="F958" s="434" t="str">
        <f t="shared" si="486"/>
        <v/>
      </c>
      <c r="G958" s="435" t="str">
        <f t="shared" si="486"/>
        <v/>
      </c>
      <c r="H958" s="435" t="str">
        <f t="shared" si="486"/>
        <v/>
      </c>
      <c r="I958" s="436" t="str">
        <f t="shared" si="486"/>
        <v/>
      </c>
      <c r="J958" s="437">
        <f>SUMIFS(PRODUCTION[KG],PRODUCTION[GRADE],"3X50",PRODUCTION[DATE],B958,PRODUCTION[BATCH],C958,PRODUCTION[SHIFT],D958)</f>
        <v>0</v>
      </c>
      <c r="K958" s="438" t="s">
        <v>1414</v>
      </c>
      <c r="L958" s="443"/>
      <c r="M958" s="440"/>
      <c r="N958" s="441"/>
      <c r="O958" s="441"/>
      <c r="P958" s="442"/>
      <c r="Q958" s="443"/>
      <c r="R958" s="440"/>
      <c r="S958" s="440"/>
      <c r="T958" s="440"/>
      <c r="U958" s="440"/>
      <c r="V958" s="440"/>
      <c r="W958" s="440"/>
      <c r="X958" s="440"/>
      <c r="Y958" s="444">
        <f t="shared" si="17"/>
        <v>0</v>
      </c>
      <c r="Z958" s="445"/>
      <c r="AA958" s="446">
        <f t="shared" ref="AA958:AE958" si="487">$J958*E958</f>
        <v>0</v>
      </c>
      <c r="AB958" s="447">
        <f t="shared" si="487"/>
        <v>0</v>
      </c>
      <c r="AC958" s="447">
        <f t="shared" si="487"/>
        <v>0</v>
      </c>
      <c r="AD958" s="447">
        <f t="shared" si="487"/>
        <v>0</v>
      </c>
      <c r="AE958" s="448">
        <f t="shared" si="487"/>
        <v>0</v>
      </c>
      <c r="AF958" s="449"/>
      <c r="AG958" s="449"/>
      <c r="AH958" s="449"/>
    </row>
    <row r="959" ht="11.25" customHeight="1">
      <c r="A959" s="450"/>
      <c r="B959" s="451"/>
      <c r="C959" s="452"/>
      <c r="D959" s="452"/>
      <c r="E959" s="453"/>
      <c r="F959" s="453"/>
      <c r="G959" s="454"/>
      <c r="H959" s="454"/>
      <c r="I959" s="455"/>
      <c r="J959" s="456"/>
      <c r="K959" s="457" t="s">
        <v>1416</v>
      </c>
      <c r="L959" s="458"/>
      <c r="M959" s="459"/>
      <c r="N959" s="460"/>
      <c r="O959" s="460"/>
      <c r="P959" s="461"/>
      <c r="Q959" s="458"/>
      <c r="R959" s="459"/>
      <c r="S959" s="459"/>
      <c r="T959" s="459"/>
      <c r="U959" s="459"/>
      <c r="V959" s="459"/>
      <c r="W959" s="459"/>
      <c r="X959" s="459"/>
      <c r="Y959" s="462">
        <f t="shared" si="17"/>
        <v>0</v>
      </c>
      <c r="Z959" s="463"/>
      <c r="AA959" s="464"/>
      <c r="AB959" s="465"/>
      <c r="AC959" s="465"/>
      <c r="AD959" s="465"/>
      <c r="AE959" s="466"/>
      <c r="AF959" s="449"/>
      <c r="AG959" s="449"/>
      <c r="AH959" s="449"/>
    </row>
    <row r="960" ht="11.25" customHeight="1">
      <c r="A960" s="450"/>
      <c r="B960" s="451"/>
      <c r="C960" s="452"/>
      <c r="D960" s="452"/>
      <c r="E960" s="453"/>
      <c r="F960" s="453"/>
      <c r="G960" s="454"/>
      <c r="H960" s="454"/>
      <c r="I960" s="455"/>
      <c r="J960" s="456"/>
      <c r="K960" s="467" t="s">
        <v>1417</v>
      </c>
      <c r="L960" s="468"/>
      <c r="M960" s="469"/>
      <c r="N960" s="470"/>
      <c r="O960" s="470"/>
      <c r="P960" s="471"/>
      <c r="Q960" s="468"/>
      <c r="R960" s="469"/>
      <c r="S960" s="469"/>
      <c r="T960" s="469"/>
      <c r="U960" s="469"/>
      <c r="V960" s="469"/>
      <c r="W960" s="469"/>
      <c r="X960" s="469"/>
      <c r="Y960" s="462">
        <f t="shared" si="17"/>
        <v>0</v>
      </c>
      <c r="Z960" s="463"/>
      <c r="AA960" s="464"/>
      <c r="AB960" s="465"/>
      <c r="AC960" s="465"/>
      <c r="AD960" s="465"/>
      <c r="AE960" s="466"/>
      <c r="AF960" s="449"/>
      <c r="AG960" s="449"/>
      <c r="AH960" s="449"/>
    </row>
    <row r="961" ht="11.25" customHeight="1">
      <c r="A961" s="450"/>
      <c r="B961" s="472"/>
      <c r="C961" s="473"/>
      <c r="D961" s="473"/>
      <c r="E961" s="474"/>
      <c r="F961" s="474"/>
      <c r="G961" s="475"/>
      <c r="H961" s="475"/>
      <c r="I961" s="476"/>
      <c r="J961" s="477"/>
      <c r="K961" s="478" t="s">
        <v>1418</v>
      </c>
      <c r="L961" s="479"/>
      <c r="M961" s="480"/>
      <c r="N961" s="481"/>
      <c r="O961" s="481"/>
      <c r="P961" s="482"/>
      <c r="Q961" s="479"/>
      <c r="R961" s="480"/>
      <c r="S961" s="480"/>
      <c r="T961" s="480"/>
      <c r="U961" s="480"/>
      <c r="V961" s="480"/>
      <c r="W961" s="480"/>
      <c r="X961" s="480"/>
      <c r="Y961" s="483">
        <f t="shared" si="17"/>
        <v>0</v>
      </c>
      <c r="Z961" s="484"/>
      <c r="AA961" s="485"/>
      <c r="AB961" s="486"/>
      <c r="AC961" s="486"/>
      <c r="AD961" s="486"/>
      <c r="AE961" s="487"/>
      <c r="AF961" s="449"/>
      <c r="AG961" s="449"/>
      <c r="AH961" s="449"/>
    </row>
    <row r="962" ht="11.25" customHeight="1">
      <c r="A962" s="431" t="str">
        <f>IF(B962="","", YEAR(B962))</f>
        <v/>
      </c>
      <c r="B962" s="432"/>
      <c r="C962" s="433"/>
      <c r="D962" s="433"/>
      <c r="E962" s="434" t="str">
        <f t="shared" ref="E962:I962" si="488">IFERROR(AVERAGE(L962:L965),"")</f>
        <v/>
      </c>
      <c r="F962" s="434" t="str">
        <f t="shared" si="488"/>
        <v/>
      </c>
      <c r="G962" s="435" t="str">
        <f t="shared" si="488"/>
        <v/>
      </c>
      <c r="H962" s="435" t="str">
        <f t="shared" si="488"/>
        <v/>
      </c>
      <c r="I962" s="436" t="str">
        <f t="shared" si="488"/>
        <v/>
      </c>
      <c r="J962" s="437">
        <f>SUMIFS(PRODUCTION[KG],PRODUCTION[GRADE],"3X50",PRODUCTION[DATE],B962,PRODUCTION[BATCH],C962,PRODUCTION[SHIFT],D962)</f>
        <v>0</v>
      </c>
      <c r="K962" s="438" t="s">
        <v>1414</v>
      </c>
      <c r="L962" s="443"/>
      <c r="M962" s="440"/>
      <c r="N962" s="441"/>
      <c r="O962" s="441"/>
      <c r="P962" s="442"/>
      <c r="Q962" s="443"/>
      <c r="R962" s="440"/>
      <c r="S962" s="440"/>
      <c r="T962" s="440"/>
      <c r="U962" s="440"/>
      <c r="V962" s="440"/>
      <c r="W962" s="440"/>
      <c r="X962" s="440"/>
      <c r="Y962" s="444">
        <f t="shared" si="17"/>
        <v>0</v>
      </c>
      <c r="Z962" s="445"/>
      <c r="AA962" s="446">
        <f t="shared" ref="AA962:AE962" si="489">$J962*E962</f>
        <v>0</v>
      </c>
      <c r="AB962" s="447">
        <f t="shared" si="489"/>
        <v>0</v>
      </c>
      <c r="AC962" s="447">
        <f t="shared" si="489"/>
        <v>0</v>
      </c>
      <c r="AD962" s="447">
        <f t="shared" si="489"/>
        <v>0</v>
      </c>
      <c r="AE962" s="448">
        <f t="shared" si="489"/>
        <v>0</v>
      </c>
      <c r="AF962" s="449"/>
      <c r="AG962" s="449"/>
      <c r="AH962" s="449"/>
    </row>
    <row r="963" ht="11.25" customHeight="1">
      <c r="A963" s="450"/>
      <c r="B963" s="451"/>
      <c r="C963" s="452"/>
      <c r="D963" s="452"/>
      <c r="E963" s="453"/>
      <c r="F963" s="453"/>
      <c r="G963" s="454"/>
      <c r="H963" s="454"/>
      <c r="I963" s="455"/>
      <c r="J963" s="456"/>
      <c r="K963" s="457" t="s">
        <v>1416</v>
      </c>
      <c r="L963" s="458"/>
      <c r="M963" s="459"/>
      <c r="N963" s="460"/>
      <c r="O963" s="460"/>
      <c r="P963" s="461"/>
      <c r="Q963" s="458"/>
      <c r="R963" s="459"/>
      <c r="S963" s="459"/>
      <c r="T963" s="459"/>
      <c r="U963" s="459"/>
      <c r="V963" s="459"/>
      <c r="W963" s="459"/>
      <c r="X963" s="459"/>
      <c r="Y963" s="462">
        <f t="shared" si="17"/>
        <v>0</v>
      </c>
      <c r="Z963" s="463"/>
      <c r="AA963" s="464"/>
      <c r="AB963" s="465"/>
      <c r="AC963" s="465"/>
      <c r="AD963" s="465"/>
      <c r="AE963" s="466"/>
      <c r="AF963" s="449"/>
      <c r="AG963" s="449"/>
      <c r="AH963" s="449"/>
    </row>
    <row r="964" ht="11.25" customHeight="1">
      <c r="A964" s="450"/>
      <c r="B964" s="451"/>
      <c r="C964" s="452"/>
      <c r="D964" s="452"/>
      <c r="E964" s="453"/>
      <c r="F964" s="453"/>
      <c r="G964" s="454"/>
      <c r="H964" s="454"/>
      <c r="I964" s="455"/>
      <c r="J964" s="456"/>
      <c r="K964" s="467" t="s">
        <v>1417</v>
      </c>
      <c r="L964" s="468"/>
      <c r="M964" s="469"/>
      <c r="N964" s="470"/>
      <c r="O964" s="470"/>
      <c r="P964" s="471"/>
      <c r="Q964" s="468"/>
      <c r="R964" s="469"/>
      <c r="S964" s="469"/>
      <c r="T964" s="469"/>
      <c r="U964" s="469"/>
      <c r="V964" s="469"/>
      <c r="W964" s="469"/>
      <c r="X964" s="469"/>
      <c r="Y964" s="462">
        <f t="shared" si="17"/>
        <v>0</v>
      </c>
      <c r="Z964" s="463"/>
      <c r="AA964" s="464"/>
      <c r="AB964" s="465"/>
      <c r="AC964" s="465"/>
      <c r="AD964" s="465"/>
      <c r="AE964" s="466"/>
      <c r="AF964" s="449"/>
      <c r="AG964" s="449"/>
      <c r="AH964" s="449"/>
    </row>
    <row r="965" ht="11.25" customHeight="1">
      <c r="A965" s="450"/>
      <c r="B965" s="472"/>
      <c r="C965" s="473"/>
      <c r="D965" s="473"/>
      <c r="E965" s="474"/>
      <c r="F965" s="474"/>
      <c r="G965" s="475"/>
      <c r="H965" s="475"/>
      <c r="I965" s="476"/>
      <c r="J965" s="477"/>
      <c r="K965" s="478" t="s">
        <v>1418</v>
      </c>
      <c r="L965" s="479"/>
      <c r="M965" s="480"/>
      <c r="N965" s="481"/>
      <c r="O965" s="481"/>
      <c r="P965" s="482"/>
      <c r="Q965" s="479"/>
      <c r="R965" s="480"/>
      <c r="S965" s="480"/>
      <c r="T965" s="480"/>
      <c r="U965" s="480"/>
      <c r="V965" s="480"/>
      <c r="W965" s="480"/>
      <c r="X965" s="480"/>
      <c r="Y965" s="483">
        <f t="shared" si="17"/>
        <v>0</v>
      </c>
      <c r="Z965" s="484"/>
      <c r="AA965" s="485"/>
      <c r="AB965" s="486"/>
      <c r="AC965" s="486"/>
      <c r="AD965" s="486"/>
      <c r="AE965" s="487"/>
      <c r="AF965" s="449"/>
      <c r="AG965" s="449"/>
      <c r="AH965" s="449"/>
    </row>
    <row r="966" ht="11.25" customHeight="1">
      <c r="A966" s="431" t="str">
        <f>IF(B966="","", YEAR(B966))</f>
        <v/>
      </c>
      <c r="B966" s="432"/>
      <c r="C966" s="433"/>
      <c r="D966" s="433"/>
      <c r="E966" s="434" t="str">
        <f t="shared" ref="E966:I966" si="490">IFERROR(AVERAGE(L966:L969),"")</f>
        <v/>
      </c>
      <c r="F966" s="434" t="str">
        <f t="shared" si="490"/>
        <v/>
      </c>
      <c r="G966" s="435" t="str">
        <f t="shared" si="490"/>
        <v/>
      </c>
      <c r="H966" s="435" t="str">
        <f t="shared" si="490"/>
        <v/>
      </c>
      <c r="I966" s="436" t="str">
        <f t="shared" si="490"/>
        <v/>
      </c>
      <c r="J966" s="437">
        <f>SUMIFS(PRODUCTION[KG],PRODUCTION[GRADE],"3X50",PRODUCTION[DATE],B966,PRODUCTION[BATCH],C966,PRODUCTION[SHIFT],D966)</f>
        <v>0</v>
      </c>
      <c r="K966" s="438" t="s">
        <v>1414</v>
      </c>
      <c r="L966" s="443"/>
      <c r="M966" s="440"/>
      <c r="N966" s="441"/>
      <c r="O966" s="441"/>
      <c r="P966" s="442"/>
      <c r="Q966" s="443"/>
      <c r="R966" s="440"/>
      <c r="S966" s="440"/>
      <c r="T966" s="440"/>
      <c r="U966" s="440"/>
      <c r="V966" s="440"/>
      <c r="W966" s="440"/>
      <c r="X966" s="440"/>
      <c r="Y966" s="444">
        <f t="shared" si="17"/>
        <v>0</v>
      </c>
      <c r="Z966" s="445"/>
      <c r="AA966" s="446">
        <f t="shared" ref="AA966:AE966" si="491">$J966*E966</f>
        <v>0</v>
      </c>
      <c r="AB966" s="447">
        <f t="shared" si="491"/>
        <v>0</v>
      </c>
      <c r="AC966" s="447">
        <f t="shared" si="491"/>
        <v>0</v>
      </c>
      <c r="AD966" s="447">
        <f t="shared" si="491"/>
        <v>0</v>
      </c>
      <c r="AE966" s="448">
        <f t="shared" si="491"/>
        <v>0</v>
      </c>
      <c r="AF966" s="449"/>
      <c r="AG966" s="449"/>
      <c r="AH966" s="449"/>
    </row>
    <row r="967" ht="11.25" customHeight="1">
      <c r="A967" s="450"/>
      <c r="B967" s="451"/>
      <c r="C967" s="452"/>
      <c r="D967" s="452"/>
      <c r="E967" s="453"/>
      <c r="F967" s="453"/>
      <c r="G967" s="454"/>
      <c r="H967" s="454"/>
      <c r="I967" s="455"/>
      <c r="J967" s="456"/>
      <c r="K967" s="457" t="s">
        <v>1416</v>
      </c>
      <c r="L967" s="458"/>
      <c r="M967" s="459"/>
      <c r="N967" s="460"/>
      <c r="O967" s="460"/>
      <c r="P967" s="461"/>
      <c r="Q967" s="458"/>
      <c r="R967" s="459"/>
      <c r="S967" s="459"/>
      <c r="T967" s="459"/>
      <c r="U967" s="459"/>
      <c r="V967" s="459"/>
      <c r="W967" s="459"/>
      <c r="X967" s="459"/>
      <c r="Y967" s="462">
        <f t="shared" si="17"/>
        <v>0</v>
      </c>
      <c r="Z967" s="463"/>
      <c r="AA967" s="464"/>
      <c r="AB967" s="465"/>
      <c r="AC967" s="465"/>
      <c r="AD967" s="465"/>
      <c r="AE967" s="466"/>
      <c r="AF967" s="449"/>
      <c r="AG967" s="449"/>
      <c r="AH967" s="449"/>
    </row>
    <row r="968" ht="11.25" customHeight="1">
      <c r="A968" s="450"/>
      <c r="B968" s="451"/>
      <c r="C968" s="452"/>
      <c r="D968" s="452"/>
      <c r="E968" s="453"/>
      <c r="F968" s="453"/>
      <c r="G968" s="454"/>
      <c r="H968" s="454"/>
      <c r="I968" s="455"/>
      <c r="J968" s="456"/>
      <c r="K968" s="467" t="s">
        <v>1417</v>
      </c>
      <c r="L968" s="468"/>
      <c r="M968" s="469"/>
      <c r="N968" s="470"/>
      <c r="O968" s="470"/>
      <c r="P968" s="471"/>
      <c r="Q968" s="468"/>
      <c r="R968" s="469"/>
      <c r="S968" s="469"/>
      <c r="T968" s="469"/>
      <c r="U968" s="469"/>
      <c r="V968" s="469"/>
      <c r="W968" s="469"/>
      <c r="X968" s="469"/>
      <c r="Y968" s="462">
        <f t="shared" si="17"/>
        <v>0</v>
      </c>
      <c r="Z968" s="463"/>
      <c r="AA968" s="464"/>
      <c r="AB968" s="465"/>
      <c r="AC968" s="465"/>
      <c r="AD968" s="465"/>
      <c r="AE968" s="466"/>
      <c r="AF968" s="449"/>
      <c r="AG968" s="449"/>
      <c r="AH968" s="449"/>
    </row>
    <row r="969" ht="11.25" customHeight="1">
      <c r="A969" s="450"/>
      <c r="B969" s="472"/>
      <c r="C969" s="473"/>
      <c r="D969" s="473"/>
      <c r="E969" s="474"/>
      <c r="F969" s="474"/>
      <c r="G969" s="475"/>
      <c r="H969" s="475"/>
      <c r="I969" s="476"/>
      <c r="J969" s="477"/>
      <c r="K969" s="478" t="s">
        <v>1418</v>
      </c>
      <c r="L969" s="479"/>
      <c r="M969" s="480"/>
      <c r="N969" s="481"/>
      <c r="O969" s="481"/>
      <c r="P969" s="482"/>
      <c r="Q969" s="479"/>
      <c r="R969" s="480"/>
      <c r="S969" s="480"/>
      <c r="T969" s="480"/>
      <c r="U969" s="480"/>
      <c r="V969" s="480"/>
      <c r="W969" s="480"/>
      <c r="X969" s="480"/>
      <c r="Y969" s="483">
        <f t="shared" si="17"/>
        <v>0</v>
      </c>
      <c r="Z969" s="484"/>
      <c r="AA969" s="485"/>
      <c r="AB969" s="486"/>
      <c r="AC969" s="486"/>
      <c r="AD969" s="486"/>
      <c r="AE969" s="487"/>
      <c r="AF969" s="449"/>
      <c r="AG969" s="449"/>
      <c r="AH969" s="449"/>
    </row>
    <row r="970" ht="11.25" customHeight="1">
      <c r="A970" s="431" t="str">
        <f>IF(B970="","", YEAR(B970))</f>
        <v/>
      </c>
      <c r="B970" s="432"/>
      <c r="C970" s="433"/>
      <c r="D970" s="433"/>
      <c r="E970" s="434" t="str">
        <f t="shared" ref="E970:I970" si="492">IFERROR(AVERAGE(L970:L973),"")</f>
        <v/>
      </c>
      <c r="F970" s="434" t="str">
        <f t="shared" si="492"/>
        <v/>
      </c>
      <c r="G970" s="435" t="str">
        <f t="shared" si="492"/>
        <v/>
      </c>
      <c r="H970" s="435" t="str">
        <f t="shared" si="492"/>
        <v/>
      </c>
      <c r="I970" s="436" t="str">
        <f t="shared" si="492"/>
        <v/>
      </c>
      <c r="J970" s="437">
        <f>SUMIFS(PRODUCTION[KG],PRODUCTION[GRADE],"3X50",PRODUCTION[DATE],B970,PRODUCTION[BATCH],C970,PRODUCTION[SHIFT],D970)</f>
        <v>0</v>
      </c>
      <c r="K970" s="438" t="s">
        <v>1414</v>
      </c>
      <c r="L970" s="443"/>
      <c r="M970" s="440"/>
      <c r="N970" s="441"/>
      <c r="O970" s="441"/>
      <c r="P970" s="442"/>
      <c r="Q970" s="443"/>
      <c r="R970" s="440"/>
      <c r="S970" s="440"/>
      <c r="T970" s="440"/>
      <c r="U970" s="440"/>
      <c r="V970" s="440"/>
      <c r="W970" s="440"/>
      <c r="X970" s="440"/>
      <c r="Y970" s="444">
        <f t="shared" si="17"/>
        <v>0</v>
      </c>
      <c r="Z970" s="445"/>
      <c r="AA970" s="446">
        <f t="shared" ref="AA970:AE970" si="493">$J970*E970</f>
        <v>0</v>
      </c>
      <c r="AB970" s="447">
        <f t="shared" si="493"/>
        <v>0</v>
      </c>
      <c r="AC970" s="447">
        <f t="shared" si="493"/>
        <v>0</v>
      </c>
      <c r="AD970" s="447">
        <f t="shared" si="493"/>
        <v>0</v>
      </c>
      <c r="AE970" s="448">
        <f t="shared" si="493"/>
        <v>0</v>
      </c>
      <c r="AF970" s="449"/>
      <c r="AG970" s="449"/>
      <c r="AH970" s="449"/>
    </row>
    <row r="971" ht="11.25" customHeight="1">
      <c r="A971" s="450"/>
      <c r="B971" s="451"/>
      <c r="C971" s="452"/>
      <c r="D971" s="452"/>
      <c r="E971" s="453"/>
      <c r="F971" s="453"/>
      <c r="G971" s="454"/>
      <c r="H971" s="454"/>
      <c r="I971" s="455"/>
      <c r="J971" s="456"/>
      <c r="K971" s="457" t="s">
        <v>1416</v>
      </c>
      <c r="L971" s="458"/>
      <c r="M971" s="459"/>
      <c r="N971" s="460"/>
      <c r="O971" s="460"/>
      <c r="P971" s="461"/>
      <c r="Q971" s="458"/>
      <c r="R971" s="459"/>
      <c r="S971" s="459"/>
      <c r="T971" s="459"/>
      <c r="U971" s="459"/>
      <c r="V971" s="459"/>
      <c r="W971" s="459"/>
      <c r="X971" s="459"/>
      <c r="Y971" s="462">
        <f t="shared" si="17"/>
        <v>0</v>
      </c>
      <c r="Z971" s="463"/>
      <c r="AA971" s="464"/>
      <c r="AB971" s="465"/>
      <c r="AC971" s="465"/>
      <c r="AD971" s="465"/>
      <c r="AE971" s="466"/>
      <c r="AF971" s="449"/>
      <c r="AG971" s="449"/>
      <c r="AH971" s="449"/>
    </row>
    <row r="972" ht="11.25" customHeight="1">
      <c r="A972" s="450"/>
      <c r="B972" s="451"/>
      <c r="C972" s="452"/>
      <c r="D972" s="452"/>
      <c r="E972" s="453"/>
      <c r="F972" s="453"/>
      <c r="G972" s="454"/>
      <c r="H972" s="454"/>
      <c r="I972" s="455"/>
      <c r="J972" s="456"/>
      <c r="K972" s="467" t="s">
        <v>1417</v>
      </c>
      <c r="L972" s="468"/>
      <c r="M972" s="469"/>
      <c r="N972" s="470"/>
      <c r="O972" s="470"/>
      <c r="P972" s="471"/>
      <c r="Q972" s="468"/>
      <c r="R972" s="469"/>
      <c r="S972" s="469"/>
      <c r="T972" s="469"/>
      <c r="U972" s="469"/>
      <c r="V972" s="469"/>
      <c r="W972" s="469"/>
      <c r="X972" s="469"/>
      <c r="Y972" s="462">
        <f t="shared" si="17"/>
        <v>0</v>
      </c>
      <c r="Z972" s="463"/>
      <c r="AA972" s="464"/>
      <c r="AB972" s="465"/>
      <c r="AC972" s="465"/>
      <c r="AD972" s="465"/>
      <c r="AE972" s="466"/>
      <c r="AF972" s="449"/>
      <c r="AG972" s="449"/>
      <c r="AH972" s="449"/>
    </row>
    <row r="973" ht="11.25" customHeight="1">
      <c r="A973" s="450"/>
      <c r="B973" s="472"/>
      <c r="C973" s="473"/>
      <c r="D973" s="473"/>
      <c r="E973" s="474"/>
      <c r="F973" s="474"/>
      <c r="G973" s="475"/>
      <c r="H973" s="475"/>
      <c r="I973" s="476"/>
      <c r="J973" s="477"/>
      <c r="K973" s="478" t="s">
        <v>1418</v>
      </c>
      <c r="L973" s="479"/>
      <c r="M973" s="480"/>
      <c r="N973" s="481"/>
      <c r="O973" s="481"/>
      <c r="P973" s="482"/>
      <c r="Q973" s="479"/>
      <c r="R973" s="480"/>
      <c r="S973" s="480"/>
      <c r="T973" s="480"/>
      <c r="U973" s="480"/>
      <c r="V973" s="480"/>
      <c r="W973" s="480"/>
      <c r="X973" s="480"/>
      <c r="Y973" s="483">
        <f t="shared" si="17"/>
        <v>0</v>
      </c>
      <c r="Z973" s="484"/>
      <c r="AA973" s="485"/>
      <c r="AB973" s="486"/>
      <c r="AC973" s="486"/>
      <c r="AD973" s="486"/>
      <c r="AE973" s="487"/>
      <c r="AF973" s="449"/>
      <c r="AG973" s="449"/>
      <c r="AH973" s="449"/>
    </row>
    <row r="974" ht="11.25" customHeight="1">
      <c r="A974" s="431" t="str">
        <f>IF(B974="","", YEAR(B974))</f>
        <v/>
      </c>
      <c r="B974" s="432"/>
      <c r="C974" s="433"/>
      <c r="D974" s="433"/>
      <c r="E974" s="434" t="str">
        <f t="shared" ref="E974:I974" si="494">IFERROR(AVERAGE(L974:L977),"")</f>
        <v/>
      </c>
      <c r="F974" s="434" t="str">
        <f t="shared" si="494"/>
        <v/>
      </c>
      <c r="G974" s="435" t="str">
        <f t="shared" si="494"/>
        <v/>
      </c>
      <c r="H974" s="435" t="str">
        <f t="shared" si="494"/>
        <v/>
      </c>
      <c r="I974" s="436" t="str">
        <f t="shared" si="494"/>
        <v/>
      </c>
      <c r="J974" s="437">
        <f>SUMIFS(PRODUCTION[KG],PRODUCTION[GRADE],"3X50",PRODUCTION[DATE],B974,PRODUCTION[BATCH],C974,PRODUCTION[SHIFT],D974)</f>
        <v>0</v>
      </c>
      <c r="K974" s="438" t="s">
        <v>1414</v>
      </c>
      <c r="L974" s="443"/>
      <c r="M974" s="440"/>
      <c r="N974" s="441"/>
      <c r="O974" s="441"/>
      <c r="P974" s="442"/>
      <c r="Q974" s="443"/>
      <c r="R974" s="440"/>
      <c r="S974" s="440"/>
      <c r="T974" s="440"/>
      <c r="U974" s="440"/>
      <c r="V974" s="440"/>
      <c r="W974" s="440"/>
      <c r="X974" s="440"/>
      <c r="Y974" s="444">
        <f t="shared" si="17"/>
        <v>0</v>
      </c>
      <c r="Z974" s="445"/>
      <c r="AA974" s="446">
        <f t="shared" ref="AA974:AE974" si="495">$J974*E974</f>
        <v>0</v>
      </c>
      <c r="AB974" s="447">
        <f t="shared" si="495"/>
        <v>0</v>
      </c>
      <c r="AC974" s="447">
        <f t="shared" si="495"/>
        <v>0</v>
      </c>
      <c r="AD974" s="447">
        <f t="shared" si="495"/>
        <v>0</v>
      </c>
      <c r="AE974" s="448">
        <f t="shared" si="495"/>
        <v>0</v>
      </c>
      <c r="AF974" s="449"/>
      <c r="AG974" s="449"/>
      <c r="AH974" s="449"/>
    </row>
    <row r="975" ht="11.25" customHeight="1">
      <c r="A975" s="450"/>
      <c r="B975" s="451"/>
      <c r="C975" s="452"/>
      <c r="D975" s="452"/>
      <c r="E975" s="453"/>
      <c r="F975" s="453"/>
      <c r="G975" s="454"/>
      <c r="H975" s="454"/>
      <c r="I975" s="455"/>
      <c r="J975" s="456"/>
      <c r="K975" s="457" t="s">
        <v>1416</v>
      </c>
      <c r="L975" s="458"/>
      <c r="M975" s="459"/>
      <c r="N975" s="460"/>
      <c r="O975" s="460"/>
      <c r="P975" s="461"/>
      <c r="Q975" s="458"/>
      <c r="R975" s="459"/>
      <c r="S975" s="459"/>
      <c r="T975" s="459"/>
      <c r="U975" s="459"/>
      <c r="V975" s="459"/>
      <c r="W975" s="459"/>
      <c r="X975" s="459"/>
      <c r="Y975" s="462">
        <f t="shared" si="17"/>
        <v>0</v>
      </c>
      <c r="Z975" s="463"/>
      <c r="AA975" s="464"/>
      <c r="AB975" s="465"/>
      <c r="AC975" s="465"/>
      <c r="AD975" s="465"/>
      <c r="AE975" s="466"/>
      <c r="AF975" s="449"/>
      <c r="AG975" s="449"/>
      <c r="AH975" s="449"/>
    </row>
    <row r="976" ht="11.25" customHeight="1">
      <c r="A976" s="450"/>
      <c r="B976" s="451"/>
      <c r="C976" s="452"/>
      <c r="D976" s="452"/>
      <c r="E976" s="453"/>
      <c r="F976" s="453"/>
      <c r="G976" s="454"/>
      <c r="H976" s="454"/>
      <c r="I976" s="455"/>
      <c r="J976" s="456"/>
      <c r="K976" s="467" t="s">
        <v>1417</v>
      </c>
      <c r="L976" s="468"/>
      <c r="M976" s="469"/>
      <c r="N976" s="470"/>
      <c r="O976" s="470"/>
      <c r="P976" s="471"/>
      <c r="Q976" s="468"/>
      <c r="R976" s="469"/>
      <c r="S976" s="469"/>
      <c r="T976" s="469"/>
      <c r="U976" s="469"/>
      <c r="V976" s="469"/>
      <c r="W976" s="469"/>
      <c r="X976" s="469"/>
      <c r="Y976" s="462">
        <f t="shared" si="17"/>
        <v>0</v>
      </c>
      <c r="Z976" s="463"/>
      <c r="AA976" s="464"/>
      <c r="AB976" s="465"/>
      <c r="AC976" s="465"/>
      <c r="AD976" s="465"/>
      <c r="AE976" s="466"/>
      <c r="AF976" s="449"/>
      <c r="AG976" s="449"/>
      <c r="AH976" s="449"/>
    </row>
    <row r="977" ht="11.25" customHeight="1">
      <c r="A977" s="450"/>
      <c r="B977" s="472"/>
      <c r="C977" s="473"/>
      <c r="D977" s="473"/>
      <c r="E977" s="474"/>
      <c r="F977" s="474"/>
      <c r="G977" s="475"/>
      <c r="H977" s="475"/>
      <c r="I977" s="476"/>
      <c r="J977" s="477"/>
      <c r="K977" s="478" t="s">
        <v>1418</v>
      </c>
      <c r="L977" s="479"/>
      <c r="M977" s="480"/>
      <c r="N977" s="481"/>
      <c r="O977" s="481"/>
      <c r="P977" s="482"/>
      <c r="Q977" s="479"/>
      <c r="R977" s="480"/>
      <c r="S977" s="480"/>
      <c r="T977" s="480"/>
      <c r="U977" s="480"/>
      <c r="V977" s="480"/>
      <c r="W977" s="480"/>
      <c r="X977" s="480"/>
      <c r="Y977" s="483">
        <f t="shared" si="17"/>
        <v>0</v>
      </c>
      <c r="Z977" s="484"/>
      <c r="AA977" s="485"/>
      <c r="AB977" s="486"/>
      <c r="AC977" s="486"/>
      <c r="AD977" s="486"/>
      <c r="AE977" s="487"/>
      <c r="AF977" s="449"/>
      <c r="AG977" s="449"/>
      <c r="AH977" s="449"/>
    </row>
    <row r="978" ht="11.25" customHeight="1">
      <c r="A978" s="431" t="str">
        <f>IF(B978="","", YEAR(B978))</f>
        <v/>
      </c>
      <c r="B978" s="432"/>
      <c r="C978" s="433"/>
      <c r="D978" s="433"/>
      <c r="E978" s="434" t="str">
        <f t="shared" ref="E978:I978" si="496">IFERROR(AVERAGE(L978:L981),"")</f>
        <v/>
      </c>
      <c r="F978" s="434" t="str">
        <f t="shared" si="496"/>
        <v/>
      </c>
      <c r="G978" s="435" t="str">
        <f t="shared" si="496"/>
        <v/>
      </c>
      <c r="H978" s="435" t="str">
        <f t="shared" si="496"/>
        <v/>
      </c>
      <c r="I978" s="436" t="str">
        <f t="shared" si="496"/>
        <v/>
      </c>
      <c r="J978" s="437">
        <f>SUMIFS(PRODUCTION[KG],PRODUCTION[GRADE],"3X50",PRODUCTION[DATE],B978,PRODUCTION[BATCH],C978,PRODUCTION[SHIFT],D978)</f>
        <v>0</v>
      </c>
      <c r="K978" s="438" t="s">
        <v>1414</v>
      </c>
      <c r="L978" s="443"/>
      <c r="M978" s="440"/>
      <c r="N978" s="441"/>
      <c r="O978" s="441"/>
      <c r="P978" s="442"/>
      <c r="Q978" s="443"/>
      <c r="R978" s="440"/>
      <c r="S978" s="440"/>
      <c r="T978" s="440"/>
      <c r="U978" s="440"/>
      <c r="V978" s="440"/>
      <c r="W978" s="440"/>
      <c r="X978" s="440"/>
      <c r="Y978" s="444">
        <f t="shared" si="17"/>
        <v>0</v>
      </c>
      <c r="Z978" s="445"/>
      <c r="AA978" s="446">
        <f t="shared" ref="AA978:AE978" si="497">$J978*E978</f>
        <v>0</v>
      </c>
      <c r="AB978" s="447">
        <f t="shared" si="497"/>
        <v>0</v>
      </c>
      <c r="AC978" s="447">
        <f t="shared" si="497"/>
        <v>0</v>
      </c>
      <c r="AD978" s="447">
        <f t="shared" si="497"/>
        <v>0</v>
      </c>
      <c r="AE978" s="448">
        <f t="shared" si="497"/>
        <v>0</v>
      </c>
      <c r="AF978" s="449"/>
      <c r="AG978" s="449"/>
      <c r="AH978" s="449"/>
    </row>
    <row r="979" ht="11.25" customHeight="1">
      <c r="A979" s="450"/>
      <c r="B979" s="451"/>
      <c r="C979" s="452"/>
      <c r="D979" s="452"/>
      <c r="E979" s="453"/>
      <c r="F979" s="453"/>
      <c r="G979" s="454"/>
      <c r="H979" s="454"/>
      <c r="I979" s="455"/>
      <c r="J979" s="456"/>
      <c r="K979" s="457" t="s">
        <v>1416</v>
      </c>
      <c r="L979" s="458"/>
      <c r="M979" s="459"/>
      <c r="N979" s="460"/>
      <c r="O979" s="460"/>
      <c r="P979" s="461"/>
      <c r="Q979" s="458"/>
      <c r="R979" s="459"/>
      <c r="S979" s="459"/>
      <c r="T979" s="459"/>
      <c r="U979" s="459"/>
      <c r="V979" s="459"/>
      <c r="W979" s="459"/>
      <c r="X979" s="459"/>
      <c r="Y979" s="462">
        <f t="shared" si="17"/>
        <v>0</v>
      </c>
      <c r="Z979" s="463"/>
      <c r="AA979" s="464"/>
      <c r="AB979" s="465"/>
      <c r="AC979" s="465"/>
      <c r="AD979" s="465"/>
      <c r="AE979" s="466"/>
      <c r="AF979" s="449"/>
      <c r="AG979" s="449"/>
      <c r="AH979" s="449"/>
    </row>
    <row r="980" ht="11.25" customHeight="1">
      <c r="A980" s="450"/>
      <c r="B980" s="451"/>
      <c r="C980" s="452"/>
      <c r="D980" s="452"/>
      <c r="E980" s="453"/>
      <c r="F980" s="453"/>
      <c r="G980" s="454"/>
      <c r="H980" s="454"/>
      <c r="I980" s="455"/>
      <c r="J980" s="456"/>
      <c r="K980" s="467" t="s">
        <v>1417</v>
      </c>
      <c r="L980" s="468"/>
      <c r="M980" s="469"/>
      <c r="N980" s="470"/>
      <c r="O980" s="470"/>
      <c r="P980" s="471"/>
      <c r="Q980" s="468"/>
      <c r="R980" s="469"/>
      <c r="S980" s="469"/>
      <c r="T980" s="469"/>
      <c r="U980" s="469"/>
      <c r="V980" s="469"/>
      <c r="W980" s="469"/>
      <c r="X980" s="469"/>
      <c r="Y980" s="462">
        <f t="shared" si="17"/>
        <v>0</v>
      </c>
      <c r="Z980" s="463"/>
      <c r="AA980" s="464"/>
      <c r="AB980" s="465"/>
      <c r="AC980" s="465"/>
      <c r="AD980" s="465"/>
      <c r="AE980" s="466"/>
      <c r="AF980" s="449"/>
      <c r="AG980" s="449"/>
      <c r="AH980" s="449"/>
    </row>
    <row r="981" ht="11.25" customHeight="1">
      <c r="A981" s="450"/>
      <c r="B981" s="472"/>
      <c r="C981" s="473"/>
      <c r="D981" s="473"/>
      <c r="E981" s="474"/>
      <c r="F981" s="474"/>
      <c r="G981" s="475"/>
      <c r="H981" s="475"/>
      <c r="I981" s="476"/>
      <c r="J981" s="477"/>
      <c r="K981" s="478" t="s">
        <v>1418</v>
      </c>
      <c r="L981" s="479"/>
      <c r="M981" s="480"/>
      <c r="N981" s="481"/>
      <c r="O981" s="481"/>
      <c r="P981" s="482"/>
      <c r="Q981" s="479"/>
      <c r="R981" s="480"/>
      <c r="S981" s="480"/>
      <c r="T981" s="480"/>
      <c r="U981" s="480"/>
      <c r="V981" s="480"/>
      <c r="W981" s="480"/>
      <c r="X981" s="480"/>
      <c r="Y981" s="483">
        <f t="shared" si="17"/>
        <v>0</v>
      </c>
      <c r="Z981" s="484"/>
      <c r="AA981" s="485"/>
      <c r="AB981" s="486"/>
      <c r="AC981" s="486"/>
      <c r="AD981" s="486"/>
      <c r="AE981" s="487"/>
      <c r="AF981" s="449"/>
      <c r="AG981" s="449"/>
      <c r="AH981" s="449"/>
    </row>
    <row r="982" ht="11.25" customHeight="1">
      <c r="A982" s="431" t="str">
        <f>IF(B982="","", YEAR(B982))</f>
        <v/>
      </c>
      <c r="B982" s="432"/>
      <c r="C982" s="433"/>
      <c r="D982" s="433"/>
      <c r="E982" s="434" t="str">
        <f t="shared" ref="E982:I982" si="498">IFERROR(AVERAGE(L982:L985),"")</f>
        <v/>
      </c>
      <c r="F982" s="434" t="str">
        <f t="shared" si="498"/>
        <v/>
      </c>
      <c r="G982" s="435" t="str">
        <f t="shared" si="498"/>
        <v/>
      </c>
      <c r="H982" s="435" t="str">
        <f t="shared" si="498"/>
        <v/>
      </c>
      <c r="I982" s="436" t="str">
        <f t="shared" si="498"/>
        <v/>
      </c>
      <c r="J982" s="437">
        <f>SUMIFS(PRODUCTION[KG],PRODUCTION[GRADE],"3X50",PRODUCTION[DATE],B982,PRODUCTION[BATCH],C982,PRODUCTION[SHIFT],D982)</f>
        <v>0</v>
      </c>
      <c r="K982" s="438" t="s">
        <v>1414</v>
      </c>
      <c r="L982" s="443"/>
      <c r="M982" s="440"/>
      <c r="N982" s="441"/>
      <c r="O982" s="441"/>
      <c r="P982" s="442"/>
      <c r="Q982" s="443"/>
      <c r="R982" s="440"/>
      <c r="S982" s="440"/>
      <c r="T982" s="440"/>
      <c r="U982" s="440"/>
      <c r="V982" s="440"/>
      <c r="W982" s="440"/>
      <c r="X982" s="440"/>
      <c r="Y982" s="444">
        <f t="shared" si="17"/>
        <v>0</v>
      </c>
      <c r="Z982" s="445"/>
      <c r="AA982" s="446">
        <f t="shared" ref="AA982:AE982" si="499">$J982*E982</f>
        <v>0</v>
      </c>
      <c r="AB982" s="447">
        <f t="shared" si="499"/>
        <v>0</v>
      </c>
      <c r="AC982" s="447">
        <f t="shared" si="499"/>
        <v>0</v>
      </c>
      <c r="AD982" s="447">
        <f t="shared" si="499"/>
        <v>0</v>
      </c>
      <c r="AE982" s="448">
        <f t="shared" si="499"/>
        <v>0</v>
      </c>
      <c r="AF982" s="449"/>
      <c r="AG982" s="449"/>
      <c r="AH982" s="449"/>
    </row>
    <row r="983" ht="11.25" customHeight="1">
      <c r="A983" s="450"/>
      <c r="B983" s="451"/>
      <c r="C983" s="452"/>
      <c r="D983" s="452"/>
      <c r="E983" s="453"/>
      <c r="F983" s="453"/>
      <c r="G983" s="454"/>
      <c r="H983" s="454"/>
      <c r="I983" s="455"/>
      <c r="J983" s="456"/>
      <c r="K983" s="457" t="s">
        <v>1416</v>
      </c>
      <c r="L983" s="458"/>
      <c r="M983" s="459"/>
      <c r="N983" s="460"/>
      <c r="O983" s="460"/>
      <c r="P983" s="461"/>
      <c r="Q983" s="458"/>
      <c r="R983" s="459"/>
      <c r="S983" s="459"/>
      <c r="T983" s="459"/>
      <c r="U983" s="459"/>
      <c r="V983" s="459"/>
      <c r="W983" s="459"/>
      <c r="X983" s="459"/>
      <c r="Y983" s="462">
        <f t="shared" si="17"/>
        <v>0</v>
      </c>
      <c r="Z983" s="463"/>
      <c r="AA983" s="464"/>
      <c r="AB983" s="465"/>
      <c r="AC983" s="465"/>
      <c r="AD983" s="465"/>
      <c r="AE983" s="466"/>
      <c r="AF983" s="449"/>
      <c r="AG983" s="449"/>
      <c r="AH983" s="449"/>
    </row>
    <row r="984" ht="11.25" customHeight="1">
      <c r="A984" s="450"/>
      <c r="B984" s="451"/>
      <c r="C984" s="452"/>
      <c r="D984" s="452"/>
      <c r="E984" s="453"/>
      <c r="F984" s="453"/>
      <c r="G984" s="454"/>
      <c r="H984" s="454"/>
      <c r="I984" s="455"/>
      <c r="J984" s="456"/>
      <c r="K984" s="467" t="s">
        <v>1417</v>
      </c>
      <c r="L984" s="468"/>
      <c r="M984" s="469"/>
      <c r="N984" s="470"/>
      <c r="O984" s="470"/>
      <c r="P984" s="471"/>
      <c r="Q984" s="468"/>
      <c r="R984" s="469"/>
      <c r="S984" s="469"/>
      <c r="T984" s="469"/>
      <c r="U984" s="469"/>
      <c r="V984" s="469"/>
      <c r="W984" s="469"/>
      <c r="X984" s="469"/>
      <c r="Y984" s="462">
        <f t="shared" si="17"/>
        <v>0</v>
      </c>
      <c r="Z984" s="463"/>
      <c r="AA984" s="464"/>
      <c r="AB984" s="465"/>
      <c r="AC984" s="465"/>
      <c r="AD984" s="465"/>
      <c r="AE984" s="466"/>
      <c r="AF984" s="449"/>
      <c r="AG984" s="449"/>
      <c r="AH984" s="449"/>
    </row>
    <row r="985" ht="11.25" customHeight="1">
      <c r="A985" s="450"/>
      <c r="B985" s="472"/>
      <c r="C985" s="473"/>
      <c r="D985" s="473"/>
      <c r="E985" s="474"/>
      <c r="F985" s="474"/>
      <c r="G985" s="475"/>
      <c r="H985" s="475"/>
      <c r="I985" s="476"/>
      <c r="J985" s="477"/>
      <c r="K985" s="478" t="s">
        <v>1418</v>
      </c>
      <c r="L985" s="479"/>
      <c r="M985" s="480"/>
      <c r="N985" s="481"/>
      <c r="O985" s="481"/>
      <c r="P985" s="482"/>
      <c r="Q985" s="479"/>
      <c r="R985" s="480"/>
      <c r="S985" s="480"/>
      <c r="T985" s="480"/>
      <c r="U985" s="480"/>
      <c r="V985" s="480"/>
      <c r="W985" s="480"/>
      <c r="X985" s="480"/>
      <c r="Y985" s="483">
        <f t="shared" si="17"/>
        <v>0</v>
      </c>
      <c r="Z985" s="484"/>
      <c r="AA985" s="485"/>
      <c r="AB985" s="486"/>
      <c r="AC985" s="486"/>
      <c r="AD985" s="486"/>
      <c r="AE985" s="487"/>
      <c r="AF985" s="449"/>
      <c r="AG985" s="449"/>
      <c r="AH985" s="449"/>
    </row>
    <row r="986" ht="11.25" customHeight="1">
      <c r="A986" s="431" t="str">
        <f>IF(B986="","", YEAR(B986))</f>
        <v/>
      </c>
      <c r="B986" s="432"/>
      <c r="C986" s="433"/>
      <c r="D986" s="433"/>
      <c r="E986" s="434" t="str">
        <f t="shared" ref="E986:I986" si="500">IFERROR(AVERAGE(L986:L989),"")</f>
        <v/>
      </c>
      <c r="F986" s="434" t="str">
        <f t="shared" si="500"/>
        <v/>
      </c>
      <c r="G986" s="435" t="str">
        <f t="shared" si="500"/>
        <v/>
      </c>
      <c r="H986" s="435" t="str">
        <f t="shared" si="500"/>
        <v/>
      </c>
      <c r="I986" s="436" t="str">
        <f t="shared" si="500"/>
        <v/>
      </c>
      <c r="J986" s="437">
        <f>SUMIFS(PRODUCTION[KG],PRODUCTION[GRADE],"3X50",PRODUCTION[DATE],B986,PRODUCTION[BATCH],C986,PRODUCTION[SHIFT],D986)</f>
        <v>0</v>
      </c>
      <c r="K986" s="438" t="s">
        <v>1414</v>
      </c>
      <c r="L986" s="443"/>
      <c r="M986" s="440"/>
      <c r="N986" s="441"/>
      <c r="O986" s="441"/>
      <c r="P986" s="442"/>
      <c r="Q986" s="443"/>
      <c r="R986" s="440"/>
      <c r="S986" s="440"/>
      <c r="T986" s="440"/>
      <c r="U986" s="440"/>
      <c r="V986" s="440"/>
      <c r="W986" s="440"/>
      <c r="X986" s="440"/>
      <c r="Y986" s="444">
        <f t="shared" si="17"/>
        <v>0</v>
      </c>
      <c r="Z986" s="445"/>
      <c r="AA986" s="446">
        <f t="shared" ref="AA986:AE986" si="501">$J986*E986</f>
        <v>0</v>
      </c>
      <c r="AB986" s="447">
        <f t="shared" si="501"/>
        <v>0</v>
      </c>
      <c r="AC986" s="447">
        <f t="shared" si="501"/>
        <v>0</v>
      </c>
      <c r="AD986" s="447">
        <f t="shared" si="501"/>
        <v>0</v>
      </c>
      <c r="AE986" s="448">
        <f t="shared" si="501"/>
        <v>0</v>
      </c>
      <c r="AF986" s="449"/>
      <c r="AG986" s="449"/>
      <c r="AH986" s="449"/>
    </row>
    <row r="987" ht="11.25" customHeight="1">
      <c r="A987" s="450"/>
      <c r="B987" s="451"/>
      <c r="C987" s="452"/>
      <c r="D987" s="452"/>
      <c r="E987" s="453"/>
      <c r="F987" s="453"/>
      <c r="G987" s="454"/>
      <c r="H987" s="454"/>
      <c r="I987" s="455"/>
      <c r="J987" s="456"/>
      <c r="K987" s="457" t="s">
        <v>1416</v>
      </c>
      <c r="L987" s="458"/>
      <c r="M987" s="459"/>
      <c r="N987" s="460"/>
      <c r="O987" s="460"/>
      <c r="P987" s="461"/>
      <c r="Q987" s="458"/>
      <c r="R987" s="459"/>
      <c r="S987" s="459"/>
      <c r="T987" s="459"/>
      <c r="U987" s="459"/>
      <c r="V987" s="459"/>
      <c r="W987" s="459"/>
      <c r="X987" s="459"/>
      <c r="Y987" s="462">
        <f t="shared" si="17"/>
        <v>0</v>
      </c>
      <c r="Z987" s="463"/>
      <c r="AA987" s="464"/>
      <c r="AB987" s="465"/>
      <c r="AC987" s="465"/>
      <c r="AD987" s="465"/>
      <c r="AE987" s="466"/>
      <c r="AF987" s="449"/>
      <c r="AG987" s="449"/>
      <c r="AH987" s="449"/>
    </row>
    <row r="988" ht="11.25" customHeight="1">
      <c r="A988" s="450"/>
      <c r="B988" s="451"/>
      <c r="C988" s="452"/>
      <c r="D988" s="452"/>
      <c r="E988" s="453"/>
      <c r="F988" s="453"/>
      <c r="G988" s="454"/>
      <c r="H988" s="454"/>
      <c r="I988" s="455"/>
      <c r="J988" s="456"/>
      <c r="K988" s="467" t="s">
        <v>1417</v>
      </c>
      <c r="L988" s="468"/>
      <c r="M988" s="469"/>
      <c r="N988" s="470"/>
      <c r="O988" s="470"/>
      <c r="P988" s="471"/>
      <c r="Q988" s="468"/>
      <c r="R988" s="469"/>
      <c r="S988" s="469"/>
      <c r="T988" s="469"/>
      <c r="U988" s="469"/>
      <c r="V988" s="469"/>
      <c r="W988" s="469"/>
      <c r="X988" s="469"/>
      <c r="Y988" s="462">
        <f t="shared" si="17"/>
        <v>0</v>
      </c>
      <c r="Z988" s="463"/>
      <c r="AA988" s="464"/>
      <c r="AB988" s="465"/>
      <c r="AC988" s="465"/>
      <c r="AD988" s="465"/>
      <c r="AE988" s="466"/>
      <c r="AF988" s="449"/>
      <c r="AG988" s="449"/>
      <c r="AH988" s="449"/>
    </row>
    <row r="989" ht="11.25" customHeight="1">
      <c r="A989" s="450"/>
      <c r="B989" s="472"/>
      <c r="C989" s="473"/>
      <c r="D989" s="473"/>
      <c r="E989" s="474"/>
      <c r="F989" s="474"/>
      <c r="G989" s="475"/>
      <c r="H989" s="475"/>
      <c r="I989" s="476"/>
      <c r="J989" s="477"/>
      <c r="K989" s="478" t="s">
        <v>1418</v>
      </c>
      <c r="L989" s="479"/>
      <c r="M989" s="480"/>
      <c r="N989" s="481"/>
      <c r="O989" s="481"/>
      <c r="P989" s="482"/>
      <c r="Q989" s="479"/>
      <c r="R989" s="480"/>
      <c r="S989" s="480"/>
      <c r="T989" s="480"/>
      <c r="U989" s="480"/>
      <c r="V989" s="480"/>
      <c r="W989" s="480"/>
      <c r="X989" s="480"/>
      <c r="Y989" s="483">
        <f t="shared" si="17"/>
        <v>0</v>
      </c>
      <c r="Z989" s="484"/>
      <c r="AA989" s="485"/>
      <c r="AB989" s="486"/>
      <c r="AC989" s="486"/>
      <c r="AD989" s="486"/>
      <c r="AE989" s="487"/>
      <c r="AF989" s="449"/>
      <c r="AG989" s="449"/>
      <c r="AH989" s="449"/>
    </row>
    <row r="990" ht="11.25" customHeight="1">
      <c r="A990" s="431" t="str">
        <f>IF(B990="","", YEAR(B990))</f>
        <v/>
      </c>
      <c r="B990" s="432"/>
      <c r="C990" s="433"/>
      <c r="D990" s="433"/>
      <c r="E990" s="434" t="str">
        <f t="shared" ref="E990:I990" si="502">IFERROR(AVERAGE(L990:L993),"")</f>
        <v/>
      </c>
      <c r="F990" s="434" t="str">
        <f t="shared" si="502"/>
        <v/>
      </c>
      <c r="G990" s="435" t="str">
        <f t="shared" si="502"/>
        <v/>
      </c>
      <c r="H990" s="435" t="str">
        <f t="shared" si="502"/>
        <v/>
      </c>
      <c r="I990" s="436" t="str">
        <f t="shared" si="502"/>
        <v/>
      </c>
      <c r="J990" s="437">
        <f>SUMIFS(PRODUCTION[KG],PRODUCTION[GRADE],"3X50",PRODUCTION[DATE],B990,PRODUCTION[BATCH],C990,PRODUCTION[SHIFT],D990)</f>
        <v>0</v>
      </c>
      <c r="K990" s="438" t="s">
        <v>1414</v>
      </c>
      <c r="L990" s="443"/>
      <c r="M990" s="440"/>
      <c r="N990" s="441"/>
      <c r="O990" s="441"/>
      <c r="P990" s="442"/>
      <c r="Q990" s="443"/>
      <c r="R990" s="440"/>
      <c r="S990" s="440"/>
      <c r="T990" s="440"/>
      <c r="U990" s="440"/>
      <c r="V990" s="440"/>
      <c r="W990" s="440"/>
      <c r="X990" s="440"/>
      <c r="Y990" s="444">
        <f t="shared" si="17"/>
        <v>0</v>
      </c>
      <c r="Z990" s="445"/>
      <c r="AA990" s="446">
        <f t="shared" ref="AA990:AE990" si="503">$J990*E990</f>
        <v>0</v>
      </c>
      <c r="AB990" s="447">
        <f t="shared" si="503"/>
        <v>0</v>
      </c>
      <c r="AC990" s="447">
        <f t="shared" si="503"/>
        <v>0</v>
      </c>
      <c r="AD990" s="447">
        <f t="shared" si="503"/>
        <v>0</v>
      </c>
      <c r="AE990" s="448">
        <f t="shared" si="503"/>
        <v>0</v>
      </c>
      <c r="AF990" s="449"/>
      <c r="AG990" s="449"/>
      <c r="AH990" s="449"/>
    </row>
    <row r="991" ht="11.25" customHeight="1">
      <c r="A991" s="450"/>
      <c r="B991" s="451"/>
      <c r="C991" s="452"/>
      <c r="D991" s="452"/>
      <c r="E991" s="453"/>
      <c r="F991" s="453"/>
      <c r="G991" s="454"/>
      <c r="H991" s="454"/>
      <c r="I991" s="455"/>
      <c r="J991" s="456"/>
      <c r="K991" s="457" t="s">
        <v>1416</v>
      </c>
      <c r="L991" s="458"/>
      <c r="M991" s="459"/>
      <c r="N991" s="460"/>
      <c r="O991" s="460"/>
      <c r="P991" s="461"/>
      <c r="Q991" s="458"/>
      <c r="R991" s="459"/>
      <c r="S991" s="459"/>
      <c r="T991" s="459"/>
      <c r="U991" s="459"/>
      <c r="V991" s="459"/>
      <c r="W991" s="459"/>
      <c r="X991" s="459"/>
      <c r="Y991" s="462">
        <f t="shared" si="17"/>
        <v>0</v>
      </c>
      <c r="Z991" s="463"/>
      <c r="AA991" s="464"/>
      <c r="AB991" s="465"/>
      <c r="AC991" s="465"/>
      <c r="AD991" s="465"/>
      <c r="AE991" s="466"/>
      <c r="AF991" s="449"/>
      <c r="AG991" s="449"/>
      <c r="AH991" s="449"/>
    </row>
    <row r="992" ht="11.25" customHeight="1">
      <c r="A992" s="450"/>
      <c r="B992" s="451"/>
      <c r="C992" s="452"/>
      <c r="D992" s="452"/>
      <c r="E992" s="453"/>
      <c r="F992" s="453"/>
      <c r="G992" s="454"/>
      <c r="H992" s="454"/>
      <c r="I992" s="455"/>
      <c r="J992" s="456"/>
      <c r="K992" s="467" t="s">
        <v>1417</v>
      </c>
      <c r="L992" s="468"/>
      <c r="M992" s="469"/>
      <c r="N992" s="470"/>
      <c r="O992" s="470"/>
      <c r="P992" s="471"/>
      <c r="Q992" s="468"/>
      <c r="R992" s="469"/>
      <c r="S992" s="469"/>
      <c r="T992" s="469"/>
      <c r="U992" s="469"/>
      <c r="V992" s="469"/>
      <c r="W992" s="469"/>
      <c r="X992" s="469"/>
      <c r="Y992" s="462">
        <f t="shared" si="17"/>
        <v>0</v>
      </c>
      <c r="Z992" s="463"/>
      <c r="AA992" s="464"/>
      <c r="AB992" s="465"/>
      <c r="AC992" s="465"/>
      <c r="AD992" s="465"/>
      <c r="AE992" s="466"/>
      <c r="AF992" s="449"/>
      <c r="AG992" s="449"/>
      <c r="AH992" s="449"/>
    </row>
    <row r="993" ht="11.25" customHeight="1">
      <c r="A993" s="450"/>
      <c r="B993" s="472"/>
      <c r="C993" s="473"/>
      <c r="D993" s="473"/>
      <c r="E993" s="474"/>
      <c r="F993" s="474"/>
      <c r="G993" s="475"/>
      <c r="H993" s="475"/>
      <c r="I993" s="476"/>
      <c r="J993" s="477"/>
      <c r="K993" s="478" t="s">
        <v>1418</v>
      </c>
      <c r="L993" s="479"/>
      <c r="M993" s="480"/>
      <c r="N993" s="481"/>
      <c r="O993" s="481"/>
      <c r="P993" s="482"/>
      <c r="Q993" s="479"/>
      <c r="R993" s="480"/>
      <c r="S993" s="480"/>
      <c r="T993" s="480"/>
      <c r="U993" s="480"/>
      <c r="V993" s="480"/>
      <c r="W993" s="480"/>
      <c r="X993" s="480"/>
      <c r="Y993" s="483">
        <f t="shared" si="17"/>
        <v>0</v>
      </c>
      <c r="Z993" s="484"/>
      <c r="AA993" s="485"/>
      <c r="AB993" s="486"/>
      <c r="AC993" s="486"/>
      <c r="AD993" s="486"/>
      <c r="AE993" s="487"/>
      <c r="AF993" s="449"/>
      <c r="AG993" s="449"/>
      <c r="AH993" s="449"/>
    </row>
    <row r="994" ht="11.25" customHeight="1">
      <c r="A994" s="431" t="str">
        <f>IF(B994="","", YEAR(B994))</f>
        <v/>
      </c>
      <c r="B994" s="432"/>
      <c r="C994" s="433"/>
      <c r="D994" s="433"/>
      <c r="E994" s="434" t="str">
        <f t="shared" ref="E994:I994" si="504">IFERROR(AVERAGE(L994:L997),"")</f>
        <v/>
      </c>
      <c r="F994" s="434" t="str">
        <f t="shared" si="504"/>
        <v/>
      </c>
      <c r="G994" s="435" t="str">
        <f t="shared" si="504"/>
        <v/>
      </c>
      <c r="H994" s="435" t="str">
        <f t="shared" si="504"/>
        <v/>
      </c>
      <c r="I994" s="436" t="str">
        <f t="shared" si="504"/>
        <v/>
      </c>
      <c r="J994" s="437">
        <f>SUMIFS(PRODUCTION[KG],PRODUCTION[GRADE],"3X50",PRODUCTION[DATE],B994,PRODUCTION[BATCH],C994,PRODUCTION[SHIFT],D994)</f>
        <v>0</v>
      </c>
      <c r="K994" s="438" t="s">
        <v>1414</v>
      </c>
      <c r="L994" s="443"/>
      <c r="M994" s="440"/>
      <c r="N994" s="441"/>
      <c r="O994" s="441"/>
      <c r="P994" s="442"/>
      <c r="Q994" s="443"/>
      <c r="R994" s="440"/>
      <c r="S994" s="440"/>
      <c r="T994" s="440"/>
      <c r="U994" s="440"/>
      <c r="V994" s="440"/>
      <c r="W994" s="440"/>
      <c r="X994" s="440"/>
      <c r="Y994" s="444">
        <f t="shared" si="17"/>
        <v>0</v>
      </c>
      <c r="Z994" s="445"/>
      <c r="AA994" s="446">
        <f t="shared" ref="AA994:AE994" si="505">$J994*E994</f>
        <v>0</v>
      </c>
      <c r="AB994" s="447">
        <f t="shared" si="505"/>
        <v>0</v>
      </c>
      <c r="AC994" s="447">
        <f t="shared" si="505"/>
        <v>0</v>
      </c>
      <c r="AD994" s="447">
        <f t="shared" si="505"/>
        <v>0</v>
      </c>
      <c r="AE994" s="448">
        <f t="shared" si="505"/>
        <v>0</v>
      </c>
      <c r="AF994" s="449"/>
      <c r="AG994" s="449"/>
      <c r="AH994" s="449"/>
    </row>
    <row r="995" ht="11.25" customHeight="1">
      <c r="A995" s="450"/>
      <c r="B995" s="451"/>
      <c r="C995" s="452"/>
      <c r="D995" s="452"/>
      <c r="E995" s="453"/>
      <c r="F995" s="453"/>
      <c r="G995" s="454"/>
      <c r="H995" s="454"/>
      <c r="I995" s="455"/>
      <c r="J995" s="456"/>
      <c r="K995" s="457" t="s">
        <v>1416</v>
      </c>
      <c r="L995" s="458"/>
      <c r="M995" s="459"/>
      <c r="N995" s="460"/>
      <c r="O995" s="460"/>
      <c r="P995" s="461"/>
      <c r="Q995" s="458"/>
      <c r="R995" s="459"/>
      <c r="S995" s="459"/>
      <c r="T995" s="459"/>
      <c r="U995" s="459"/>
      <c r="V995" s="459"/>
      <c r="W995" s="459"/>
      <c r="X995" s="459"/>
      <c r="Y995" s="462">
        <f t="shared" si="17"/>
        <v>0</v>
      </c>
      <c r="Z995" s="463"/>
      <c r="AA995" s="464"/>
      <c r="AB995" s="465"/>
      <c r="AC995" s="465"/>
      <c r="AD995" s="465"/>
      <c r="AE995" s="466"/>
      <c r="AF995" s="449"/>
      <c r="AG995" s="449"/>
      <c r="AH995" s="449"/>
    </row>
    <row r="996" ht="11.25" customHeight="1">
      <c r="A996" s="450"/>
      <c r="B996" s="451"/>
      <c r="C996" s="452"/>
      <c r="D996" s="452"/>
      <c r="E996" s="453"/>
      <c r="F996" s="453"/>
      <c r="G996" s="454"/>
      <c r="H996" s="454"/>
      <c r="I996" s="455"/>
      <c r="J996" s="456"/>
      <c r="K996" s="467" t="s">
        <v>1417</v>
      </c>
      <c r="L996" s="468"/>
      <c r="M996" s="469"/>
      <c r="N996" s="470"/>
      <c r="O996" s="470"/>
      <c r="P996" s="471"/>
      <c r="Q996" s="468"/>
      <c r="R996" s="469"/>
      <c r="S996" s="469"/>
      <c r="T996" s="469"/>
      <c r="U996" s="469"/>
      <c r="V996" s="469"/>
      <c r="W996" s="469"/>
      <c r="X996" s="469"/>
      <c r="Y996" s="462">
        <f t="shared" si="17"/>
        <v>0</v>
      </c>
      <c r="Z996" s="463"/>
      <c r="AA996" s="464"/>
      <c r="AB996" s="465"/>
      <c r="AC996" s="465"/>
      <c r="AD996" s="465"/>
      <c r="AE996" s="466"/>
      <c r="AF996" s="449"/>
      <c r="AG996" s="449"/>
      <c r="AH996" s="449"/>
    </row>
    <row r="997" ht="11.25" customHeight="1">
      <c r="A997" s="450"/>
      <c r="B997" s="472"/>
      <c r="C997" s="473"/>
      <c r="D997" s="473"/>
      <c r="E997" s="474"/>
      <c r="F997" s="474"/>
      <c r="G997" s="475"/>
      <c r="H997" s="475"/>
      <c r="I997" s="476"/>
      <c r="J997" s="477"/>
      <c r="K997" s="478" t="s">
        <v>1418</v>
      </c>
      <c r="L997" s="479"/>
      <c r="M997" s="480"/>
      <c r="N997" s="481"/>
      <c r="O997" s="481"/>
      <c r="P997" s="482"/>
      <c r="Q997" s="479"/>
      <c r="R997" s="480"/>
      <c r="S997" s="480"/>
      <c r="T997" s="480"/>
      <c r="U997" s="480"/>
      <c r="V997" s="480"/>
      <c r="W997" s="480"/>
      <c r="X997" s="480"/>
      <c r="Y997" s="483">
        <f t="shared" si="17"/>
        <v>0</v>
      </c>
      <c r="Z997" s="484"/>
      <c r="AA997" s="485"/>
      <c r="AB997" s="486"/>
      <c r="AC997" s="486"/>
      <c r="AD997" s="486"/>
      <c r="AE997" s="487"/>
      <c r="AF997" s="449"/>
      <c r="AG997" s="449"/>
      <c r="AH997" s="449"/>
    </row>
    <row r="998" ht="11.25" customHeight="1">
      <c r="A998" s="431" t="str">
        <f>IF(B998="","", YEAR(B998))</f>
        <v/>
      </c>
      <c r="B998" s="432"/>
      <c r="C998" s="433"/>
      <c r="D998" s="433"/>
      <c r="E998" s="434" t="str">
        <f t="shared" ref="E998:I998" si="506">IFERROR(AVERAGE(L998:L1001),"")</f>
        <v/>
      </c>
      <c r="F998" s="434" t="str">
        <f t="shared" si="506"/>
        <v/>
      </c>
      <c r="G998" s="435" t="str">
        <f t="shared" si="506"/>
        <v/>
      </c>
      <c r="H998" s="435" t="str">
        <f t="shared" si="506"/>
        <v/>
      </c>
      <c r="I998" s="436" t="str">
        <f t="shared" si="506"/>
        <v/>
      </c>
      <c r="J998" s="437">
        <f>SUMIFS(PRODUCTION[KG],PRODUCTION[GRADE],"3X50",PRODUCTION[DATE],B998,PRODUCTION[BATCH],C998,PRODUCTION[SHIFT],D998)</f>
        <v>0</v>
      </c>
      <c r="K998" s="438" t="s">
        <v>1414</v>
      </c>
      <c r="L998" s="443"/>
      <c r="M998" s="440"/>
      <c r="N998" s="441"/>
      <c r="O998" s="441"/>
      <c r="P998" s="442"/>
      <c r="Q998" s="443"/>
      <c r="R998" s="440"/>
      <c r="S998" s="440"/>
      <c r="T998" s="440"/>
      <c r="U998" s="440"/>
      <c r="V998" s="440"/>
      <c r="W998" s="440"/>
      <c r="X998" s="440"/>
      <c r="Y998" s="444">
        <f t="shared" si="17"/>
        <v>0</v>
      </c>
      <c r="Z998" s="445"/>
      <c r="AA998" s="446">
        <f t="shared" ref="AA998:AE998" si="507">$J998*E998</f>
        <v>0</v>
      </c>
      <c r="AB998" s="447">
        <f t="shared" si="507"/>
        <v>0</v>
      </c>
      <c r="AC998" s="447">
        <f t="shared" si="507"/>
        <v>0</v>
      </c>
      <c r="AD998" s="447">
        <f t="shared" si="507"/>
        <v>0</v>
      </c>
      <c r="AE998" s="448">
        <f t="shared" si="507"/>
        <v>0</v>
      </c>
      <c r="AF998" s="449"/>
      <c r="AG998" s="449"/>
      <c r="AH998" s="449"/>
    </row>
    <row r="999" ht="11.25" customHeight="1">
      <c r="A999" s="450"/>
      <c r="B999" s="451"/>
      <c r="C999" s="452"/>
      <c r="D999" s="452"/>
      <c r="E999" s="453"/>
      <c r="F999" s="453"/>
      <c r="G999" s="454"/>
      <c r="H999" s="454"/>
      <c r="I999" s="455"/>
      <c r="J999" s="456"/>
      <c r="K999" s="457" t="s">
        <v>1416</v>
      </c>
      <c r="L999" s="458"/>
      <c r="M999" s="459"/>
      <c r="N999" s="460"/>
      <c r="O999" s="460"/>
      <c r="P999" s="461"/>
      <c r="Q999" s="458"/>
      <c r="R999" s="459"/>
      <c r="S999" s="459"/>
      <c r="T999" s="459"/>
      <c r="U999" s="459"/>
      <c r="V999" s="459"/>
      <c r="W999" s="459"/>
      <c r="X999" s="459"/>
      <c r="Y999" s="462">
        <f t="shared" si="17"/>
        <v>0</v>
      </c>
      <c r="Z999" s="463"/>
      <c r="AA999" s="464"/>
      <c r="AB999" s="465"/>
      <c r="AC999" s="465"/>
      <c r="AD999" s="465"/>
      <c r="AE999" s="466"/>
      <c r="AF999" s="449"/>
      <c r="AG999" s="449"/>
      <c r="AH999" s="449"/>
    </row>
    <row r="1000" ht="11.25" customHeight="1">
      <c r="A1000" s="450"/>
      <c r="B1000" s="451"/>
      <c r="C1000" s="452"/>
      <c r="D1000" s="452"/>
      <c r="E1000" s="453"/>
      <c r="F1000" s="453"/>
      <c r="G1000" s="454"/>
      <c r="H1000" s="454"/>
      <c r="I1000" s="455"/>
      <c r="J1000" s="456"/>
      <c r="K1000" s="467" t="s">
        <v>1417</v>
      </c>
      <c r="L1000" s="468"/>
      <c r="M1000" s="469"/>
      <c r="N1000" s="470"/>
      <c r="O1000" s="470"/>
      <c r="P1000" s="471"/>
      <c r="Q1000" s="468"/>
      <c r="R1000" s="469"/>
      <c r="S1000" s="469"/>
      <c r="T1000" s="469"/>
      <c r="U1000" s="469"/>
      <c r="V1000" s="469"/>
      <c r="W1000" s="469"/>
      <c r="X1000" s="469"/>
      <c r="Y1000" s="462">
        <f t="shared" si="17"/>
        <v>0</v>
      </c>
      <c r="Z1000" s="463"/>
      <c r="AA1000" s="464"/>
      <c r="AB1000" s="465"/>
      <c r="AC1000" s="465"/>
      <c r="AD1000" s="465"/>
      <c r="AE1000" s="466"/>
      <c r="AF1000" s="449"/>
      <c r="AG1000" s="449"/>
      <c r="AH1000" s="449"/>
    </row>
    <row r="1001" ht="11.25" customHeight="1">
      <c r="A1001" s="450"/>
      <c r="B1001" s="472"/>
      <c r="C1001" s="473"/>
      <c r="D1001" s="473"/>
      <c r="E1001" s="474"/>
      <c r="F1001" s="474"/>
      <c r="G1001" s="475"/>
      <c r="H1001" s="475"/>
      <c r="I1001" s="476"/>
      <c r="J1001" s="477"/>
      <c r="K1001" s="478" t="s">
        <v>1418</v>
      </c>
      <c r="L1001" s="479"/>
      <c r="M1001" s="480"/>
      <c r="N1001" s="481"/>
      <c r="O1001" s="481"/>
      <c r="P1001" s="482"/>
      <c r="Q1001" s="479"/>
      <c r="R1001" s="480"/>
      <c r="S1001" s="480"/>
      <c r="T1001" s="480"/>
      <c r="U1001" s="480"/>
      <c r="V1001" s="480"/>
      <c r="W1001" s="480"/>
      <c r="X1001" s="480"/>
      <c r="Y1001" s="483">
        <f t="shared" si="17"/>
        <v>0</v>
      </c>
      <c r="Z1001" s="484"/>
      <c r="AA1001" s="485"/>
      <c r="AB1001" s="486"/>
      <c r="AC1001" s="486"/>
      <c r="AD1001" s="486"/>
      <c r="AE1001" s="487"/>
      <c r="AF1001" s="449"/>
      <c r="AG1001" s="449"/>
      <c r="AH1001" s="449"/>
    </row>
    <row r="1002" ht="11.25" customHeight="1">
      <c r="A1002" s="431" t="str">
        <f>IF(B1002="","", YEAR(B1002))</f>
        <v/>
      </c>
      <c r="B1002" s="432"/>
      <c r="C1002" s="433"/>
      <c r="D1002" s="433"/>
      <c r="E1002" s="434" t="str">
        <f t="shared" ref="E1002:I1002" si="508">IFERROR(AVERAGE(L1002:L1005),"")</f>
        <v/>
      </c>
      <c r="F1002" s="434" t="str">
        <f t="shared" si="508"/>
        <v/>
      </c>
      <c r="G1002" s="435" t="str">
        <f t="shared" si="508"/>
        <v/>
      </c>
      <c r="H1002" s="435" t="str">
        <f t="shared" si="508"/>
        <v/>
      </c>
      <c r="I1002" s="436" t="str">
        <f t="shared" si="508"/>
        <v/>
      </c>
      <c r="J1002" s="437">
        <f>SUMIFS(PRODUCTION[KG],PRODUCTION[GRADE],"3X50",PRODUCTION[DATE],B1002,PRODUCTION[BATCH],C1002,PRODUCTION[SHIFT],D1002)</f>
        <v>0</v>
      </c>
      <c r="K1002" s="438" t="s">
        <v>1414</v>
      </c>
      <c r="L1002" s="443"/>
      <c r="M1002" s="440"/>
      <c r="N1002" s="441"/>
      <c r="O1002" s="441"/>
      <c r="P1002" s="442"/>
      <c r="Q1002" s="443"/>
      <c r="R1002" s="440"/>
      <c r="S1002" s="440"/>
      <c r="T1002" s="440"/>
      <c r="U1002" s="440"/>
      <c r="V1002" s="440"/>
      <c r="W1002" s="440"/>
      <c r="X1002" s="440"/>
      <c r="Y1002" s="444">
        <f t="shared" si="17"/>
        <v>0</v>
      </c>
      <c r="Z1002" s="445"/>
      <c r="AA1002" s="446">
        <f t="shared" ref="AA1002:AE1002" si="509">$J1002*E1002</f>
        <v>0</v>
      </c>
      <c r="AB1002" s="447">
        <f t="shared" si="509"/>
        <v>0</v>
      </c>
      <c r="AC1002" s="447">
        <f t="shared" si="509"/>
        <v>0</v>
      </c>
      <c r="AD1002" s="447">
        <f t="shared" si="509"/>
        <v>0</v>
      </c>
      <c r="AE1002" s="448">
        <f t="shared" si="509"/>
        <v>0</v>
      </c>
      <c r="AF1002" s="449"/>
      <c r="AG1002" s="449"/>
      <c r="AH1002" s="449"/>
    </row>
    <row r="1003" ht="11.25" customHeight="1">
      <c r="A1003" s="450"/>
      <c r="B1003" s="451"/>
      <c r="C1003" s="452"/>
      <c r="D1003" s="452"/>
      <c r="E1003" s="453"/>
      <c r="F1003" s="453"/>
      <c r="G1003" s="454"/>
      <c r="H1003" s="454"/>
      <c r="I1003" s="455"/>
      <c r="J1003" s="456"/>
      <c r="K1003" s="457" t="s">
        <v>1416</v>
      </c>
      <c r="L1003" s="458"/>
      <c r="M1003" s="459"/>
      <c r="N1003" s="460"/>
      <c r="O1003" s="460"/>
      <c r="P1003" s="461"/>
      <c r="Q1003" s="458"/>
      <c r="R1003" s="459"/>
      <c r="S1003" s="459"/>
      <c r="T1003" s="459"/>
      <c r="U1003" s="459"/>
      <c r="V1003" s="459"/>
      <c r="W1003" s="459"/>
      <c r="X1003" s="459"/>
      <c r="Y1003" s="462">
        <f t="shared" si="17"/>
        <v>0</v>
      </c>
      <c r="Z1003" s="463"/>
      <c r="AA1003" s="464"/>
      <c r="AB1003" s="465"/>
      <c r="AC1003" s="465"/>
      <c r="AD1003" s="465"/>
      <c r="AE1003" s="466"/>
      <c r="AF1003" s="449"/>
      <c r="AG1003" s="449"/>
      <c r="AH1003" s="449"/>
    </row>
    <row r="1004" ht="11.25" customHeight="1">
      <c r="A1004" s="450"/>
      <c r="B1004" s="451"/>
      <c r="C1004" s="452"/>
      <c r="D1004" s="452"/>
      <c r="E1004" s="453"/>
      <c r="F1004" s="453"/>
      <c r="G1004" s="454"/>
      <c r="H1004" s="454"/>
      <c r="I1004" s="455"/>
      <c r="J1004" s="456"/>
      <c r="K1004" s="467" t="s">
        <v>1417</v>
      </c>
      <c r="L1004" s="468"/>
      <c r="M1004" s="469"/>
      <c r="N1004" s="470"/>
      <c r="O1004" s="470"/>
      <c r="P1004" s="471"/>
      <c r="Q1004" s="468"/>
      <c r="R1004" s="469"/>
      <c r="S1004" s="469"/>
      <c r="T1004" s="469"/>
      <c r="U1004" s="469"/>
      <c r="V1004" s="469"/>
      <c r="W1004" s="469"/>
      <c r="X1004" s="469"/>
      <c r="Y1004" s="462">
        <f t="shared" si="17"/>
        <v>0</v>
      </c>
      <c r="Z1004" s="463"/>
      <c r="AA1004" s="464"/>
      <c r="AB1004" s="465"/>
      <c r="AC1004" s="465"/>
      <c r="AD1004" s="465"/>
      <c r="AE1004" s="466"/>
      <c r="AF1004" s="449"/>
      <c r="AG1004" s="449"/>
      <c r="AH1004" s="449"/>
    </row>
    <row r="1005" ht="11.25" customHeight="1">
      <c r="A1005" s="450"/>
      <c r="B1005" s="472"/>
      <c r="C1005" s="473"/>
      <c r="D1005" s="473"/>
      <c r="E1005" s="474"/>
      <c r="F1005" s="474"/>
      <c r="G1005" s="475"/>
      <c r="H1005" s="475"/>
      <c r="I1005" s="476"/>
      <c r="J1005" s="477"/>
      <c r="K1005" s="478" t="s">
        <v>1418</v>
      </c>
      <c r="L1005" s="479"/>
      <c r="M1005" s="480"/>
      <c r="N1005" s="481"/>
      <c r="O1005" s="481"/>
      <c r="P1005" s="482"/>
      <c r="Q1005" s="479"/>
      <c r="R1005" s="480"/>
      <c r="S1005" s="480"/>
      <c r="T1005" s="480"/>
      <c r="U1005" s="480"/>
      <c r="V1005" s="480"/>
      <c r="W1005" s="480"/>
      <c r="X1005" s="480"/>
      <c r="Y1005" s="483">
        <f t="shared" si="17"/>
        <v>0</v>
      </c>
      <c r="Z1005" s="484"/>
      <c r="AA1005" s="485"/>
      <c r="AB1005" s="486"/>
      <c r="AC1005" s="486"/>
      <c r="AD1005" s="486"/>
      <c r="AE1005" s="487"/>
      <c r="AF1005" s="449"/>
      <c r="AG1005" s="449"/>
      <c r="AH1005" s="449"/>
    </row>
    <row r="1006" ht="11.25" customHeight="1">
      <c r="A1006" s="431" t="str">
        <f>IF(B1006="","", YEAR(B1006))</f>
        <v/>
      </c>
      <c r="B1006" s="432"/>
      <c r="C1006" s="433"/>
      <c r="D1006" s="433"/>
      <c r="E1006" s="434" t="str">
        <f t="shared" ref="E1006:I1006" si="510">IFERROR(AVERAGE(L1006:L1009),"")</f>
        <v/>
      </c>
      <c r="F1006" s="434" t="str">
        <f t="shared" si="510"/>
        <v/>
      </c>
      <c r="G1006" s="435" t="str">
        <f t="shared" si="510"/>
        <v/>
      </c>
      <c r="H1006" s="435" t="str">
        <f t="shared" si="510"/>
        <v/>
      </c>
      <c r="I1006" s="436" t="str">
        <f t="shared" si="510"/>
        <v/>
      </c>
      <c r="J1006" s="437">
        <f>SUMIFS(PRODUCTION[KG],PRODUCTION[GRADE],"3X50",PRODUCTION[DATE],B1006,PRODUCTION[BATCH],C1006,PRODUCTION[SHIFT],D1006)</f>
        <v>0</v>
      </c>
      <c r="K1006" s="438" t="s">
        <v>1414</v>
      </c>
      <c r="L1006" s="443"/>
      <c r="M1006" s="440"/>
      <c r="N1006" s="441"/>
      <c r="O1006" s="441"/>
      <c r="P1006" s="442"/>
      <c r="Q1006" s="443"/>
      <c r="R1006" s="440"/>
      <c r="S1006" s="440"/>
      <c r="T1006" s="440"/>
      <c r="U1006" s="440"/>
      <c r="V1006" s="440"/>
      <c r="W1006" s="440"/>
      <c r="X1006" s="440"/>
      <c r="Y1006" s="444">
        <f t="shared" si="17"/>
        <v>0</v>
      </c>
      <c r="Z1006" s="445"/>
      <c r="AA1006" s="446">
        <f t="shared" ref="AA1006:AE1006" si="511">$J1006*E1006</f>
        <v>0</v>
      </c>
      <c r="AB1006" s="447">
        <f t="shared" si="511"/>
        <v>0</v>
      </c>
      <c r="AC1006" s="447">
        <f t="shared" si="511"/>
        <v>0</v>
      </c>
      <c r="AD1006" s="447">
        <f t="shared" si="511"/>
        <v>0</v>
      </c>
      <c r="AE1006" s="448">
        <f t="shared" si="511"/>
        <v>0</v>
      </c>
      <c r="AF1006" s="449"/>
      <c r="AG1006" s="449"/>
      <c r="AH1006" s="449"/>
    </row>
    <row r="1007" ht="11.25" customHeight="1">
      <c r="A1007" s="450"/>
      <c r="B1007" s="451"/>
      <c r="C1007" s="452"/>
      <c r="D1007" s="452"/>
      <c r="E1007" s="453"/>
      <c r="F1007" s="453"/>
      <c r="G1007" s="454"/>
      <c r="H1007" s="454"/>
      <c r="I1007" s="455"/>
      <c r="J1007" s="456"/>
      <c r="K1007" s="457" t="s">
        <v>1416</v>
      </c>
      <c r="L1007" s="458"/>
      <c r="M1007" s="459"/>
      <c r="N1007" s="460"/>
      <c r="O1007" s="460"/>
      <c r="P1007" s="461"/>
      <c r="Q1007" s="458"/>
      <c r="R1007" s="459"/>
      <c r="S1007" s="459"/>
      <c r="T1007" s="459"/>
      <c r="U1007" s="459"/>
      <c r="V1007" s="459"/>
      <c r="W1007" s="459"/>
      <c r="X1007" s="459"/>
      <c r="Y1007" s="462">
        <f t="shared" si="17"/>
        <v>0</v>
      </c>
      <c r="Z1007" s="463"/>
      <c r="AA1007" s="464"/>
      <c r="AB1007" s="465"/>
      <c r="AC1007" s="465"/>
      <c r="AD1007" s="465"/>
      <c r="AE1007" s="466"/>
      <c r="AF1007" s="449"/>
      <c r="AG1007" s="449"/>
      <c r="AH1007" s="449"/>
    </row>
    <row r="1008" ht="11.25" customHeight="1">
      <c r="A1008" s="450"/>
      <c r="B1008" s="451"/>
      <c r="C1008" s="452"/>
      <c r="D1008" s="452"/>
      <c r="E1008" s="453"/>
      <c r="F1008" s="453"/>
      <c r="G1008" s="454"/>
      <c r="H1008" s="454"/>
      <c r="I1008" s="455"/>
      <c r="J1008" s="456"/>
      <c r="K1008" s="467" t="s">
        <v>1417</v>
      </c>
      <c r="L1008" s="468"/>
      <c r="M1008" s="469"/>
      <c r="N1008" s="470"/>
      <c r="O1008" s="470"/>
      <c r="P1008" s="471"/>
      <c r="Q1008" s="468"/>
      <c r="R1008" s="469"/>
      <c r="S1008" s="469"/>
      <c r="T1008" s="469"/>
      <c r="U1008" s="469"/>
      <c r="V1008" s="469"/>
      <c r="W1008" s="469"/>
      <c r="X1008" s="469"/>
      <c r="Y1008" s="462">
        <f t="shared" si="17"/>
        <v>0</v>
      </c>
      <c r="Z1008" s="463"/>
      <c r="AA1008" s="464"/>
      <c r="AB1008" s="465"/>
      <c r="AC1008" s="465"/>
      <c r="AD1008" s="465"/>
      <c r="AE1008" s="466"/>
      <c r="AF1008" s="449"/>
      <c r="AG1008" s="449"/>
      <c r="AH1008" s="449"/>
    </row>
    <row r="1009" ht="11.25" customHeight="1">
      <c r="A1009" s="450"/>
      <c r="B1009" s="472"/>
      <c r="C1009" s="473"/>
      <c r="D1009" s="473"/>
      <c r="E1009" s="474"/>
      <c r="F1009" s="474"/>
      <c r="G1009" s="475"/>
      <c r="H1009" s="475"/>
      <c r="I1009" s="476"/>
      <c r="J1009" s="477"/>
      <c r="K1009" s="478" t="s">
        <v>1418</v>
      </c>
      <c r="L1009" s="479"/>
      <c r="M1009" s="480"/>
      <c r="N1009" s="481"/>
      <c r="O1009" s="481"/>
      <c r="P1009" s="482"/>
      <c r="Q1009" s="479"/>
      <c r="R1009" s="480"/>
      <c r="S1009" s="480"/>
      <c r="T1009" s="480"/>
      <c r="U1009" s="480"/>
      <c r="V1009" s="480"/>
      <c r="W1009" s="480"/>
      <c r="X1009" s="480"/>
      <c r="Y1009" s="483">
        <f t="shared" si="17"/>
        <v>0</v>
      </c>
      <c r="Z1009" s="484"/>
      <c r="AA1009" s="485"/>
      <c r="AB1009" s="486"/>
      <c r="AC1009" s="486"/>
      <c r="AD1009" s="486"/>
      <c r="AE1009" s="487"/>
      <c r="AF1009" s="449"/>
      <c r="AG1009" s="449"/>
      <c r="AH1009" s="449"/>
    </row>
    <row r="1010" ht="11.25" customHeight="1">
      <c r="A1010" s="431" t="str">
        <f>IF(B1010="","", YEAR(B1010))</f>
        <v/>
      </c>
      <c r="B1010" s="432"/>
      <c r="C1010" s="433"/>
      <c r="D1010" s="433"/>
      <c r="E1010" s="434" t="str">
        <f t="shared" ref="E1010:I1010" si="512">IFERROR(AVERAGE(L1010:L1013),"")</f>
        <v/>
      </c>
      <c r="F1010" s="434" t="str">
        <f t="shared" si="512"/>
        <v/>
      </c>
      <c r="G1010" s="435" t="str">
        <f t="shared" si="512"/>
        <v/>
      </c>
      <c r="H1010" s="435" t="str">
        <f t="shared" si="512"/>
        <v/>
      </c>
      <c r="I1010" s="436" t="str">
        <f t="shared" si="512"/>
        <v/>
      </c>
      <c r="J1010" s="437">
        <f>SUMIFS(PRODUCTION[KG],PRODUCTION[GRADE],"3X50",PRODUCTION[DATE],B1010,PRODUCTION[BATCH],C1010,PRODUCTION[SHIFT],D1010)</f>
        <v>0</v>
      </c>
      <c r="K1010" s="438" t="s">
        <v>1414</v>
      </c>
      <c r="L1010" s="443"/>
      <c r="M1010" s="440"/>
      <c r="N1010" s="441"/>
      <c r="O1010" s="441"/>
      <c r="P1010" s="442"/>
      <c r="Q1010" s="443"/>
      <c r="R1010" s="440"/>
      <c r="S1010" s="440"/>
      <c r="T1010" s="440"/>
      <c r="U1010" s="440"/>
      <c r="V1010" s="440"/>
      <c r="W1010" s="440"/>
      <c r="X1010" s="440"/>
      <c r="Y1010" s="444">
        <f t="shared" si="17"/>
        <v>0</v>
      </c>
      <c r="Z1010" s="445"/>
      <c r="AA1010" s="446">
        <f t="shared" ref="AA1010:AE1010" si="513">$J1010*E1010</f>
        <v>0</v>
      </c>
      <c r="AB1010" s="447">
        <f t="shared" si="513"/>
        <v>0</v>
      </c>
      <c r="AC1010" s="447">
        <f t="shared" si="513"/>
        <v>0</v>
      </c>
      <c r="AD1010" s="447">
        <f t="shared" si="513"/>
        <v>0</v>
      </c>
      <c r="AE1010" s="448">
        <f t="shared" si="513"/>
        <v>0</v>
      </c>
      <c r="AF1010" s="449"/>
      <c r="AG1010" s="449"/>
      <c r="AH1010" s="449"/>
    </row>
    <row r="1011" ht="11.25" customHeight="1">
      <c r="A1011" s="450"/>
      <c r="B1011" s="451"/>
      <c r="C1011" s="452"/>
      <c r="D1011" s="452"/>
      <c r="E1011" s="453"/>
      <c r="F1011" s="453"/>
      <c r="G1011" s="454"/>
      <c r="H1011" s="454"/>
      <c r="I1011" s="455"/>
      <c r="J1011" s="456"/>
      <c r="K1011" s="457" t="s">
        <v>1416</v>
      </c>
      <c r="L1011" s="458"/>
      <c r="M1011" s="459"/>
      <c r="N1011" s="460"/>
      <c r="O1011" s="460"/>
      <c r="P1011" s="461"/>
      <c r="Q1011" s="458"/>
      <c r="R1011" s="459"/>
      <c r="S1011" s="459"/>
      <c r="T1011" s="459"/>
      <c r="U1011" s="459"/>
      <c r="V1011" s="459"/>
      <c r="W1011" s="459"/>
      <c r="X1011" s="459"/>
      <c r="Y1011" s="462">
        <f t="shared" si="17"/>
        <v>0</v>
      </c>
      <c r="Z1011" s="463"/>
      <c r="AA1011" s="464"/>
      <c r="AB1011" s="465"/>
      <c r="AC1011" s="465"/>
      <c r="AD1011" s="465"/>
      <c r="AE1011" s="466"/>
      <c r="AF1011" s="449"/>
      <c r="AG1011" s="449"/>
      <c r="AH1011" s="449"/>
    </row>
    <row r="1012" ht="11.25" customHeight="1">
      <c r="A1012" s="450"/>
      <c r="B1012" s="451"/>
      <c r="C1012" s="452"/>
      <c r="D1012" s="452"/>
      <c r="E1012" s="453"/>
      <c r="F1012" s="453"/>
      <c r="G1012" s="454"/>
      <c r="H1012" s="454"/>
      <c r="I1012" s="455"/>
      <c r="J1012" s="456"/>
      <c r="K1012" s="467" t="s">
        <v>1417</v>
      </c>
      <c r="L1012" s="468"/>
      <c r="M1012" s="469"/>
      <c r="N1012" s="470"/>
      <c r="O1012" s="470"/>
      <c r="P1012" s="471"/>
      <c r="Q1012" s="468"/>
      <c r="R1012" s="469"/>
      <c r="S1012" s="469"/>
      <c r="T1012" s="469"/>
      <c r="U1012" s="469"/>
      <c r="V1012" s="469"/>
      <c r="W1012" s="469"/>
      <c r="X1012" s="469"/>
      <c r="Y1012" s="462">
        <f t="shared" si="17"/>
        <v>0</v>
      </c>
      <c r="Z1012" s="463"/>
      <c r="AA1012" s="464"/>
      <c r="AB1012" s="465"/>
      <c r="AC1012" s="465"/>
      <c r="AD1012" s="465"/>
      <c r="AE1012" s="466"/>
      <c r="AF1012" s="449"/>
      <c r="AG1012" s="449"/>
      <c r="AH1012" s="449"/>
    </row>
    <row r="1013" ht="11.25" customHeight="1">
      <c r="A1013" s="450"/>
      <c r="B1013" s="472"/>
      <c r="C1013" s="473"/>
      <c r="D1013" s="473"/>
      <c r="E1013" s="474"/>
      <c r="F1013" s="474"/>
      <c r="G1013" s="475"/>
      <c r="H1013" s="475"/>
      <c r="I1013" s="476"/>
      <c r="J1013" s="477"/>
      <c r="K1013" s="478" t="s">
        <v>1418</v>
      </c>
      <c r="L1013" s="479"/>
      <c r="M1013" s="480"/>
      <c r="N1013" s="481"/>
      <c r="O1013" s="481"/>
      <c r="P1013" s="482"/>
      <c r="Q1013" s="479"/>
      <c r="R1013" s="480"/>
      <c r="S1013" s="480"/>
      <c r="T1013" s="480"/>
      <c r="U1013" s="480"/>
      <c r="V1013" s="480"/>
      <c r="W1013" s="480"/>
      <c r="X1013" s="480"/>
      <c r="Y1013" s="483">
        <f t="shared" si="17"/>
        <v>0</v>
      </c>
      <c r="Z1013" s="484"/>
      <c r="AA1013" s="485"/>
      <c r="AB1013" s="486"/>
      <c r="AC1013" s="486"/>
      <c r="AD1013" s="486"/>
      <c r="AE1013" s="487"/>
      <c r="AF1013" s="449"/>
      <c r="AG1013" s="449"/>
      <c r="AH1013" s="449"/>
    </row>
    <row r="1014" ht="11.25" customHeight="1">
      <c r="A1014" s="431" t="str">
        <f>IF(B1014="","", YEAR(B1014))</f>
        <v/>
      </c>
      <c r="B1014" s="432"/>
      <c r="C1014" s="433"/>
      <c r="D1014" s="433"/>
      <c r="E1014" s="434" t="str">
        <f t="shared" ref="E1014:I1014" si="514">IFERROR(AVERAGE(L1014:L1017),"")</f>
        <v/>
      </c>
      <c r="F1014" s="434" t="str">
        <f t="shared" si="514"/>
        <v/>
      </c>
      <c r="G1014" s="435" t="str">
        <f t="shared" si="514"/>
        <v/>
      </c>
      <c r="H1014" s="435" t="str">
        <f t="shared" si="514"/>
        <v/>
      </c>
      <c r="I1014" s="436" t="str">
        <f t="shared" si="514"/>
        <v/>
      </c>
      <c r="J1014" s="437">
        <f>SUMIFS(PRODUCTION[KG],PRODUCTION[GRADE],"3X50",PRODUCTION[DATE],B1014,PRODUCTION[BATCH],C1014,PRODUCTION[SHIFT],D1014)</f>
        <v>0</v>
      </c>
      <c r="K1014" s="438" t="s">
        <v>1414</v>
      </c>
      <c r="L1014" s="443"/>
      <c r="M1014" s="440"/>
      <c r="N1014" s="441"/>
      <c r="O1014" s="441"/>
      <c r="P1014" s="442"/>
      <c r="Q1014" s="443"/>
      <c r="R1014" s="440"/>
      <c r="S1014" s="440"/>
      <c r="T1014" s="440"/>
      <c r="U1014" s="440"/>
      <c r="V1014" s="440"/>
      <c r="W1014" s="440"/>
      <c r="X1014" s="440"/>
      <c r="Y1014" s="444">
        <f t="shared" si="17"/>
        <v>0</v>
      </c>
      <c r="Z1014" s="445"/>
      <c r="AA1014" s="446">
        <f t="shared" ref="AA1014:AE1014" si="515">$J1014*E1014</f>
        <v>0</v>
      </c>
      <c r="AB1014" s="447">
        <f t="shared" si="515"/>
        <v>0</v>
      </c>
      <c r="AC1014" s="447">
        <f t="shared" si="515"/>
        <v>0</v>
      </c>
      <c r="AD1014" s="447">
        <f t="shared" si="515"/>
        <v>0</v>
      </c>
      <c r="AE1014" s="448">
        <f t="shared" si="515"/>
        <v>0</v>
      </c>
      <c r="AF1014" s="449"/>
      <c r="AG1014" s="449"/>
      <c r="AH1014" s="449"/>
    </row>
    <row r="1015" ht="11.25" customHeight="1">
      <c r="A1015" s="450"/>
      <c r="B1015" s="451"/>
      <c r="C1015" s="452"/>
      <c r="D1015" s="452"/>
      <c r="E1015" s="453"/>
      <c r="F1015" s="453"/>
      <c r="G1015" s="454"/>
      <c r="H1015" s="454"/>
      <c r="I1015" s="455"/>
      <c r="J1015" s="456"/>
      <c r="K1015" s="457" t="s">
        <v>1416</v>
      </c>
      <c r="L1015" s="458"/>
      <c r="M1015" s="459"/>
      <c r="N1015" s="460"/>
      <c r="O1015" s="460"/>
      <c r="P1015" s="461"/>
      <c r="Q1015" s="458"/>
      <c r="R1015" s="459"/>
      <c r="S1015" s="459"/>
      <c r="T1015" s="459"/>
      <c r="U1015" s="459"/>
      <c r="V1015" s="459"/>
      <c r="W1015" s="459"/>
      <c r="X1015" s="459"/>
      <c r="Y1015" s="462">
        <f t="shared" si="17"/>
        <v>0</v>
      </c>
      <c r="Z1015" s="463"/>
      <c r="AA1015" s="464"/>
      <c r="AB1015" s="465"/>
      <c r="AC1015" s="465"/>
      <c r="AD1015" s="465"/>
      <c r="AE1015" s="466"/>
      <c r="AF1015" s="449"/>
      <c r="AG1015" s="449"/>
      <c r="AH1015" s="449"/>
    </row>
    <row r="1016" ht="11.25" customHeight="1">
      <c r="A1016" s="450"/>
      <c r="B1016" s="451"/>
      <c r="C1016" s="452"/>
      <c r="D1016" s="452"/>
      <c r="E1016" s="453"/>
      <c r="F1016" s="453"/>
      <c r="G1016" s="454"/>
      <c r="H1016" s="454"/>
      <c r="I1016" s="455"/>
      <c r="J1016" s="456"/>
      <c r="K1016" s="467" t="s">
        <v>1417</v>
      </c>
      <c r="L1016" s="468"/>
      <c r="M1016" s="469"/>
      <c r="N1016" s="470"/>
      <c r="O1016" s="470"/>
      <c r="P1016" s="471"/>
      <c r="Q1016" s="468"/>
      <c r="R1016" s="469"/>
      <c r="S1016" s="469"/>
      <c r="T1016" s="469"/>
      <c r="U1016" s="469"/>
      <c r="V1016" s="469"/>
      <c r="W1016" s="469"/>
      <c r="X1016" s="469"/>
      <c r="Y1016" s="462">
        <f t="shared" si="17"/>
        <v>0</v>
      </c>
      <c r="Z1016" s="463"/>
      <c r="AA1016" s="464"/>
      <c r="AB1016" s="465"/>
      <c r="AC1016" s="465"/>
      <c r="AD1016" s="465"/>
      <c r="AE1016" s="466"/>
      <c r="AF1016" s="449"/>
      <c r="AG1016" s="449"/>
      <c r="AH1016" s="449"/>
    </row>
    <row r="1017" ht="11.25" customHeight="1">
      <c r="A1017" s="450"/>
      <c r="B1017" s="472"/>
      <c r="C1017" s="473"/>
      <c r="D1017" s="473"/>
      <c r="E1017" s="474"/>
      <c r="F1017" s="474"/>
      <c r="G1017" s="475"/>
      <c r="H1017" s="475"/>
      <c r="I1017" s="476"/>
      <c r="J1017" s="477"/>
      <c r="K1017" s="478" t="s">
        <v>1418</v>
      </c>
      <c r="L1017" s="479"/>
      <c r="M1017" s="480"/>
      <c r="N1017" s="481"/>
      <c r="O1017" s="481"/>
      <c r="P1017" s="482"/>
      <c r="Q1017" s="479"/>
      <c r="R1017" s="480"/>
      <c r="S1017" s="480"/>
      <c r="T1017" s="480"/>
      <c r="U1017" s="480"/>
      <c r="V1017" s="480"/>
      <c r="W1017" s="480"/>
      <c r="X1017" s="480"/>
      <c r="Y1017" s="483">
        <f t="shared" si="17"/>
        <v>0</v>
      </c>
      <c r="Z1017" s="484"/>
      <c r="AA1017" s="485"/>
      <c r="AB1017" s="486"/>
      <c r="AC1017" s="486"/>
      <c r="AD1017" s="486"/>
      <c r="AE1017" s="487"/>
      <c r="AF1017" s="449"/>
      <c r="AG1017" s="449"/>
      <c r="AH1017" s="449"/>
    </row>
    <row r="1018" ht="11.25" customHeight="1">
      <c r="A1018" s="431" t="str">
        <f>IF(B1018="","", YEAR(B1018))</f>
        <v/>
      </c>
      <c r="B1018" s="432"/>
      <c r="C1018" s="433"/>
      <c r="D1018" s="433"/>
      <c r="E1018" s="434" t="str">
        <f t="shared" ref="E1018:I1018" si="516">IFERROR(AVERAGE(L1018:L1021),"")</f>
        <v/>
      </c>
      <c r="F1018" s="434" t="str">
        <f t="shared" si="516"/>
        <v/>
      </c>
      <c r="G1018" s="435" t="str">
        <f t="shared" si="516"/>
        <v/>
      </c>
      <c r="H1018" s="435" t="str">
        <f t="shared" si="516"/>
        <v/>
      </c>
      <c r="I1018" s="436" t="str">
        <f t="shared" si="516"/>
        <v/>
      </c>
      <c r="J1018" s="437">
        <f>SUMIFS(PRODUCTION[KG],PRODUCTION[GRADE],"3X50",PRODUCTION[DATE],B1018,PRODUCTION[BATCH],C1018,PRODUCTION[SHIFT],D1018)</f>
        <v>0</v>
      </c>
      <c r="K1018" s="438" t="s">
        <v>1414</v>
      </c>
      <c r="L1018" s="443"/>
      <c r="M1018" s="440"/>
      <c r="N1018" s="441"/>
      <c r="O1018" s="441"/>
      <c r="P1018" s="442"/>
      <c r="Q1018" s="443"/>
      <c r="R1018" s="440"/>
      <c r="S1018" s="440"/>
      <c r="T1018" s="440"/>
      <c r="U1018" s="440"/>
      <c r="V1018" s="440"/>
      <c r="W1018" s="440"/>
      <c r="X1018" s="440"/>
      <c r="Y1018" s="444">
        <f t="shared" si="17"/>
        <v>0</v>
      </c>
      <c r="Z1018" s="445"/>
      <c r="AA1018" s="446">
        <f t="shared" ref="AA1018:AE1018" si="517">$J1018*E1018</f>
        <v>0</v>
      </c>
      <c r="AB1018" s="447">
        <f t="shared" si="517"/>
        <v>0</v>
      </c>
      <c r="AC1018" s="447">
        <f t="shared" si="517"/>
        <v>0</v>
      </c>
      <c r="AD1018" s="447">
        <f t="shared" si="517"/>
        <v>0</v>
      </c>
      <c r="AE1018" s="448">
        <f t="shared" si="517"/>
        <v>0</v>
      </c>
      <c r="AF1018" s="449"/>
      <c r="AG1018" s="449"/>
      <c r="AH1018" s="449"/>
    </row>
    <row r="1019" ht="11.25" customHeight="1">
      <c r="A1019" s="450"/>
      <c r="B1019" s="451"/>
      <c r="C1019" s="452"/>
      <c r="D1019" s="452"/>
      <c r="E1019" s="453"/>
      <c r="F1019" s="453"/>
      <c r="G1019" s="454"/>
      <c r="H1019" s="454"/>
      <c r="I1019" s="455"/>
      <c r="J1019" s="456"/>
      <c r="K1019" s="457" t="s">
        <v>1416</v>
      </c>
      <c r="L1019" s="458"/>
      <c r="M1019" s="459"/>
      <c r="N1019" s="460"/>
      <c r="O1019" s="460"/>
      <c r="P1019" s="461"/>
      <c r="Q1019" s="458"/>
      <c r="R1019" s="459"/>
      <c r="S1019" s="459"/>
      <c r="T1019" s="459"/>
      <c r="U1019" s="459"/>
      <c r="V1019" s="459"/>
      <c r="W1019" s="459"/>
      <c r="X1019" s="459"/>
      <c r="Y1019" s="462">
        <f t="shared" si="17"/>
        <v>0</v>
      </c>
      <c r="Z1019" s="463"/>
      <c r="AA1019" s="464"/>
      <c r="AB1019" s="465"/>
      <c r="AC1019" s="465"/>
      <c r="AD1019" s="465"/>
      <c r="AE1019" s="466"/>
      <c r="AF1019" s="449"/>
      <c r="AG1019" s="449"/>
      <c r="AH1019" s="449"/>
    </row>
    <row r="1020" ht="11.25" customHeight="1">
      <c r="A1020" s="450"/>
      <c r="B1020" s="451"/>
      <c r="C1020" s="452"/>
      <c r="D1020" s="452"/>
      <c r="E1020" s="453"/>
      <c r="F1020" s="453"/>
      <c r="G1020" s="454"/>
      <c r="H1020" s="454"/>
      <c r="I1020" s="455"/>
      <c r="J1020" s="456"/>
      <c r="K1020" s="467" t="s">
        <v>1417</v>
      </c>
      <c r="L1020" s="468"/>
      <c r="M1020" s="469"/>
      <c r="N1020" s="470"/>
      <c r="O1020" s="470"/>
      <c r="P1020" s="471"/>
      <c r="Q1020" s="468"/>
      <c r="R1020" s="469"/>
      <c r="S1020" s="469"/>
      <c r="T1020" s="469"/>
      <c r="U1020" s="469"/>
      <c r="V1020" s="469"/>
      <c r="W1020" s="469"/>
      <c r="X1020" s="469"/>
      <c r="Y1020" s="462">
        <f t="shared" si="17"/>
        <v>0</v>
      </c>
      <c r="Z1020" s="463"/>
      <c r="AA1020" s="464"/>
      <c r="AB1020" s="465"/>
      <c r="AC1020" s="465"/>
      <c r="AD1020" s="465"/>
      <c r="AE1020" s="466"/>
      <c r="AF1020" s="449"/>
      <c r="AG1020" s="449"/>
      <c r="AH1020" s="449"/>
    </row>
    <row r="1021" ht="11.25" customHeight="1">
      <c r="A1021" s="450"/>
      <c r="B1021" s="472"/>
      <c r="C1021" s="473"/>
      <c r="D1021" s="473"/>
      <c r="E1021" s="474"/>
      <c r="F1021" s="474"/>
      <c r="G1021" s="475"/>
      <c r="H1021" s="475"/>
      <c r="I1021" s="476"/>
      <c r="J1021" s="477"/>
      <c r="K1021" s="478" t="s">
        <v>1418</v>
      </c>
      <c r="L1021" s="479"/>
      <c r="M1021" s="480"/>
      <c r="N1021" s="481"/>
      <c r="O1021" s="481"/>
      <c r="P1021" s="482"/>
      <c r="Q1021" s="479"/>
      <c r="R1021" s="480"/>
      <c r="S1021" s="480"/>
      <c r="T1021" s="480"/>
      <c r="U1021" s="480"/>
      <c r="V1021" s="480"/>
      <c r="W1021" s="480"/>
      <c r="X1021" s="480"/>
      <c r="Y1021" s="483">
        <f t="shared" si="17"/>
        <v>0</v>
      </c>
      <c r="Z1021" s="484"/>
      <c r="AA1021" s="485"/>
      <c r="AB1021" s="486"/>
      <c r="AC1021" s="486"/>
      <c r="AD1021" s="486"/>
      <c r="AE1021" s="487"/>
      <c r="AF1021" s="449"/>
      <c r="AG1021" s="449"/>
      <c r="AH1021" s="449"/>
    </row>
    <row r="1022" ht="11.25" customHeight="1">
      <c r="A1022" s="431" t="str">
        <f>IF(B1022="","", YEAR(B1022))</f>
        <v/>
      </c>
      <c r="B1022" s="432"/>
      <c r="C1022" s="433"/>
      <c r="D1022" s="433"/>
      <c r="E1022" s="434" t="str">
        <f t="shared" ref="E1022:I1022" si="518">IFERROR(AVERAGE(L1022:L1025),"")</f>
        <v/>
      </c>
      <c r="F1022" s="434" t="str">
        <f t="shared" si="518"/>
        <v/>
      </c>
      <c r="G1022" s="435" t="str">
        <f t="shared" si="518"/>
        <v/>
      </c>
      <c r="H1022" s="435" t="str">
        <f t="shared" si="518"/>
        <v/>
      </c>
      <c r="I1022" s="436" t="str">
        <f t="shared" si="518"/>
        <v/>
      </c>
      <c r="J1022" s="437">
        <f>SUMIFS(PRODUCTION[KG],PRODUCTION[GRADE],"3X50",PRODUCTION[DATE],B1022,PRODUCTION[BATCH],C1022,PRODUCTION[SHIFT],D1022)</f>
        <v>0</v>
      </c>
      <c r="K1022" s="438" t="s">
        <v>1414</v>
      </c>
      <c r="L1022" s="443"/>
      <c r="M1022" s="440"/>
      <c r="N1022" s="441"/>
      <c r="O1022" s="441"/>
      <c r="P1022" s="442"/>
      <c r="Q1022" s="443"/>
      <c r="R1022" s="440"/>
      <c r="S1022" s="440"/>
      <c r="T1022" s="440"/>
      <c r="U1022" s="440"/>
      <c r="V1022" s="440"/>
      <c r="W1022" s="440"/>
      <c r="X1022" s="440"/>
      <c r="Y1022" s="444">
        <f t="shared" si="17"/>
        <v>0</v>
      </c>
      <c r="Z1022" s="445"/>
      <c r="AA1022" s="446">
        <f t="shared" ref="AA1022:AE1022" si="519">$J1022*E1022</f>
        <v>0</v>
      </c>
      <c r="AB1022" s="447">
        <f t="shared" si="519"/>
        <v>0</v>
      </c>
      <c r="AC1022" s="447">
        <f t="shared" si="519"/>
        <v>0</v>
      </c>
      <c r="AD1022" s="447">
        <f t="shared" si="519"/>
        <v>0</v>
      </c>
      <c r="AE1022" s="448">
        <f t="shared" si="519"/>
        <v>0</v>
      </c>
      <c r="AF1022" s="449"/>
      <c r="AG1022" s="449"/>
      <c r="AH1022" s="449"/>
    </row>
    <row r="1023" ht="11.25" customHeight="1">
      <c r="A1023" s="450"/>
      <c r="B1023" s="451"/>
      <c r="C1023" s="452"/>
      <c r="D1023" s="452"/>
      <c r="E1023" s="453"/>
      <c r="F1023" s="453"/>
      <c r="G1023" s="454"/>
      <c r="H1023" s="454"/>
      <c r="I1023" s="455"/>
      <c r="J1023" s="456"/>
      <c r="K1023" s="457" t="s">
        <v>1416</v>
      </c>
      <c r="L1023" s="458"/>
      <c r="M1023" s="459"/>
      <c r="N1023" s="460"/>
      <c r="O1023" s="460"/>
      <c r="P1023" s="461"/>
      <c r="Q1023" s="458"/>
      <c r="R1023" s="459"/>
      <c r="S1023" s="459"/>
      <c r="T1023" s="459"/>
      <c r="U1023" s="459"/>
      <c r="V1023" s="459"/>
      <c r="W1023" s="459"/>
      <c r="X1023" s="459"/>
      <c r="Y1023" s="462">
        <f t="shared" si="17"/>
        <v>0</v>
      </c>
      <c r="Z1023" s="463"/>
      <c r="AA1023" s="464"/>
      <c r="AB1023" s="465"/>
      <c r="AC1023" s="465"/>
      <c r="AD1023" s="465"/>
      <c r="AE1023" s="466"/>
      <c r="AF1023" s="449"/>
      <c r="AG1023" s="449"/>
      <c r="AH1023" s="449"/>
    </row>
    <row r="1024" ht="11.25" customHeight="1">
      <c r="A1024" s="450"/>
      <c r="B1024" s="451"/>
      <c r="C1024" s="452"/>
      <c r="D1024" s="452"/>
      <c r="E1024" s="453"/>
      <c r="F1024" s="453"/>
      <c r="G1024" s="454"/>
      <c r="H1024" s="454"/>
      <c r="I1024" s="455"/>
      <c r="J1024" s="456"/>
      <c r="K1024" s="467" t="s">
        <v>1417</v>
      </c>
      <c r="L1024" s="468"/>
      <c r="M1024" s="469"/>
      <c r="N1024" s="470"/>
      <c r="O1024" s="470"/>
      <c r="P1024" s="471"/>
      <c r="Q1024" s="468"/>
      <c r="R1024" s="469"/>
      <c r="S1024" s="469"/>
      <c r="T1024" s="469"/>
      <c r="U1024" s="469"/>
      <c r="V1024" s="469"/>
      <c r="W1024" s="469"/>
      <c r="X1024" s="469"/>
      <c r="Y1024" s="462">
        <f t="shared" si="17"/>
        <v>0</v>
      </c>
      <c r="Z1024" s="463"/>
      <c r="AA1024" s="464"/>
      <c r="AB1024" s="465"/>
      <c r="AC1024" s="465"/>
      <c r="AD1024" s="465"/>
      <c r="AE1024" s="466"/>
      <c r="AF1024" s="449"/>
      <c r="AG1024" s="449"/>
      <c r="AH1024" s="449"/>
    </row>
    <row r="1025" ht="11.25" customHeight="1">
      <c r="A1025" s="450"/>
      <c r="B1025" s="472"/>
      <c r="C1025" s="473"/>
      <c r="D1025" s="473"/>
      <c r="E1025" s="474"/>
      <c r="F1025" s="474"/>
      <c r="G1025" s="475"/>
      <c r="H1025" s="475"/>
      <c r="I1025" s="476"/>
      <c r="J1025" s="477"/>
      <c r="K1025" s="478" t="s">
        <v>1418</v>
      </c>
      <c r="L1025" s="479"/>
      <c r="M1025" s="480"/>
      <c r="N1025" s="481"/>
      <c r="O1025" s="481"/>
      <c r="P1025" s="482"/>
      <c r="Q1025" s="479"/>
      <c r="R1025" s="480"/>
      <c r="S1025" s="480"/>
      <c r="T1025" s="480"/>
      <c r="U1025" s="480"/>
      <c r="V1025" s="480"/>
      <c r="W1025" s="480"/>
      <c r="X1025" s="480"/>
      <c r="Y1025" s="483">
        <f t="shared" si="17"/>
        <v>0</v>
      </c>
      <c r="Z1025" s="484"/>
      <c r="AA1025" s="485"/>
      <c r="AB1025" s="486"/>
      <c r="AC1025" s="486"/>
      <c r="AD1025" s="486"/>
      <c r="AE1025" s="487"/>
      <c r="AF1025" s="449"/>
      <c r="AG1025" s="449"/>
      <c r="AH1025" s="449"/>
    </row>
    <row r="1026" ht="11.25" customHeight="1">
      <c r="A1026" s="431" t="str">
        <f>IF(B1026="","", YEAR(B1026))</f>
        <v/>
      </c>
      <c r="B1026" s="432"/>
      <c r="C1026" s="433"/>
      <c r="D1026" s="433"/>
      <c r="E1026" s="434" t="str">
        <f t="shared" ref="E1026:I1026" si="520">IFERROR(AVERAGE(L1026:L1029),"")</f>
        <v/>
      </c>
      <c r="F1026" s="434" t="str">
        <f t="shared" si="520"/>
        <v/>
      </c>
      <c r="G1026" s="435" t="str">
        <f t="shared" si="520"/>
        <v/>
      </c>
      <c r="H1026" s="435" t="str">
        <f t="shared" si="520"/>
        <v/>
      </c>
      <c r="I1026" s="436" t="str">
        <f t="shared" si="520"/>
        <v/>
      </c>
      <c r="J1026" s="437">
        <f>SUMIFS(PRODUCTION[KG],PRODUCTION[GRADE],"3X50",PRODUCTION[DATE],B1026,PRODUCTION[BATCH],C1026,PRODUCTION[SHIFT],D1026)</f>
        <v>0</v>
      </c>
      <c r="K1026" s="438" t="s">
        <v>1414</v>
      </c>
      <c r="L1026" s="443"/>
      <c r="M1026" s="440"/>
      <c r="N1026" s="441"/>
      <c r="O1026" s="441"/>
      <c r="P1026" s="442"/>
      <c r="Q1026" s="443"/>
      <c r="R1026" s="440"/>
      <c r="S1026" s="440"/>
      <c r="T1026" s="440"/>
      <c r="U1026" s="440"/>
      <c r="V1026" s="440"/>
      <c r="W1026" s="440"/>
      <c r="X1026" s="440"/>
      <c r="Y1026" s="444">
        <f t="shared" si="17"/>
        <v>0</v>
      </c>
      <c r="Z1026" s="445"/>
      <c r="AA1026" s="446">
        <f t="shared" ref="AA1026:AE1026" si="521">$J1026*E1026</f>
        <v>0</v>
      </c>
      <c r="AB1026" s="447">
        <f t="shared" si="521"/>
        <v>0</v>
      </c>
      <c r="AC1026" s="447">
        <f t="shared" si="521"/>
        <v>0</v>
      </c>
      <c r="AD1026" s="447">
        <f t="shared" si="521"/>
        <v>0</v>
      </c>
      <c r="AE1026" s="448">
        <f t="shared" si="521"/>
        <v>0</v>
      </c>
      <c r="AF1026" s="449"/>
      <c r="AG1026" s="449"/>
      <c r="AH1026" s="449"/>
    </row>
    <row r="1027" ht="11.25" customHeight="1">
      <c r="A1027" s="450"/>
      <c r="B1027" s="451"/>
      <c r="C1027" s="452"/>
      <c r="D1027" s="452"/>
      <c r="E1027" s="453"/>
      <c r="F1027" s="453"/>
      <c r="G1027" s="454"/>
      <c r="H1027" s="454"/>
      <c r="I1027" s="455"/>
      <c r="J1027" s="456"/>
      <c r="K1027" s="457" t="s">
        <v>1416</v>
      </c>
      <c r="L1027" s="458"/>
      <c r="M1027" s="459"/>
      <c r="N1027" s="460"/>
      <c r="O1027" s="460"/>
      <c r="P1027" s="461"/>
      <c r="Q1027" s="458"/>
      <c r="R1027" s="459"/>
      <c r="S1027" s="459"/>
      <c r="T1027" s="459"/>
      <c r="U1027" s="459"/>
      <c r="V1027" s="459"/>
      <c r="W1027" s="459"/>
      <c r="X1027" s="459"/>
      <c r="Y1027" s="462">
        <f t="shared" si="17"/>
        <v>0</v>
      </c>
      <c r="Z1027" s="463"/>
      <c r="AA1027" s="464"/>
      <c r="AB1027" s="465"/>
      <c r="AC1027" s="465"/>
      <c r="AD1027" s="465"/>
      <c r="AE1027" s="466"/>
      <c r="AF1027" s="449"/>
      <c r="AG1027" s="449"/>
      <c r="AH1027" s="449"/>
    </row>
    <row r="1028" ht="11.25" customHeight="1">
      <c r="A1028" s="450"/>
      <c r="B1028" s="451"/>
      <c r="C1028" s="452"/>
      <c r="D1028" s="452"/>
      <c r="E1028" s="453"/>
      <c r="F1028" s="453"/>
      <c r="G1028" s="454"/>
      <c r="H1028" s="454"/>
      <c r="I1028" s="455"/>
      <c r="J1028" s="456"/>
      <c r="K1028" s="467" t="s">
        <v>1417</v>
      </c>
      <c r="L1028" s="468"/>
      <c r="M1028" s="469"/>
      <c r="N1028" s="470"/>
      <c r="O1028" s="470"/>
      <c r="P1028" s="471"/>
      <c r="Q1028" s="468"/>
      <c r="R1028" s="469"/>
      <c r="S1028" s="469"/>
      <c r="T1028" s="469"/>
      <c r="U1028" s="469"/>
      <c r="V1028" s="469"/>
      <c r="W1028" s="469"/>
      <c r="X1028" s="469"/>
      <c r="Y1028" s="462">
        <f t="shared" si="17"/>
        <v>0</v>
      </c>
      <c r="Z1028" s="463"/>
      <c r="AA1028" s="464"/>
      <c r="AB1028" s="465"/>
      <c r="AC1028" s="465"/>
      <c r="AD1028" s="465"/>
      <c r="AE1028" s="466"/>
      <c r="AF1028" s="449"/>
      <c r="AG1028" s="449"/>
      <c r="AH1028" s="449"/>
    </row>
    <row r="1029" ht="11.25" customHeight="1">
      <c r="A1029" s="450"/>
      <c r="B1029" s="472"/>
      <c r="C1029" s="473"/>
      <c r="D1029" s="473"/>
      <c r="E1029" s="474"/>
      <c r="F1029" s="474"/>
      <c r="G1029" s="475"/>
      <c r="H1029" s="475"/>
      <c r="I1029" s="476"/>
      <c r="J1029" s="477"/>
      <c r="K1029" s="478" t="s">
        <v>1418</v>
      </c>
      <c r="L1029" s="479"/>
      <c r="M1029" s="480"/>
      <c r="N1029" s="481"/>
      <c r="O1029" s="481"/>
      <c r="P1029" s="482"/>
      <c r="Q1029" s="479"/>
      <c r="R1029" s="480"/>
      <c r="S1029" s="480"/>
      <c r="T1029" s="480"/>
      <c r="U1029" s="480"/>
      <c r="V1029" s="480"/>
      <c r="W1029" s="480"/>
      <c r="X1029" s="480"/>
      <c r="Y1029" s="483">
        <f t="shared" si="17"/>
        <v>0</v>
      </c>
      <c r="Z1029" s="484"/>
      <c r="AA1029" s="485"/>
      <c r="AB1029" s="486"/>
      <c r="AC1029" s="486"/>
      <c r="AD1029" s="486"/>
      <c r="AE1029" s="487"/>
      <c r="AF1029" s="449"/>
      <c r="AG1029" s="449"/>
      <c r="AH1029" s="449"/>
    </row>
    <row r="1030" ht="11.25" customHeight="1">
      <c r="A1030" s="431" t="str">
        <f>IF(B1030="","", YEAR(B1030))</f>
        <v/>
      </c>
      <c r="B1030" s="432"/>
      <c r="C1030" s="433"/>
      <c r="D1030" s="433"/>
      <c r="E1030" s="434" t="str">
        <f t="shared" ref="E1030:I1030" si="522">IFERROR(AVERAGE(L1030:L1033),"")</f>
        <v/>
      </c>
      <c r="F1030" s="434" t="str">
        <f t="shared" si="522"/>
        <v/>
      </c>
      <c r="G1030" s="435" t="str">
        <f t="shared" si="522"/>
        <v/>
      </c>
      <c r="H1030" s="435" t="str">
        <f t="shared" si="522"/>
        <v/>
      </c>
      <c r="I1030" s="436" t="str">
        <f t="shared" si="522"/>
        <v/>
      </c>
      <c r="J1030" s="437">
        <f>SUMIFS(PRODUCTION[KG],PRODUCTION[GRADE],"3X50",PRODUCTION[DATE],B1030,PRODUCTION[BATCH],C1030,PRODUCTION[SHIFT],D1030)</f>
        <v>0</v>
      </c>
      <c r="K1030" s="438" t="s">
        <v>1414</v>
      </c>
      <c r="L1030" s="443"/>
      <c r="M1030" s="440"/>
      <c r="N1030" s="441"/>
      <c r="O1030" s="441"/>
      <c r="P1030" s="442"/>
      <c r="Q1030" s="443"/>
      <c r="R1030" s="440"/>
      <c r="S1030" s="440"/>
      <c r="T1030" s="440"/>
      <c r="U1030" s="440"/>
      <c r="V1030" s="440"/>
      <c r="W1030" s="440"/>
      <c r="X1030" s="440"/>
      <c r="Y1030" s="444">
        <f t="shared" si="17"/>
        <v>0</v>
      </c>
      <c r="Z1030" s="445"/>
      <c r="AA1030" s="446">
        <f t="shared" ref="AA1030:AE1030" si="523">$J1030*E1030</f>
        <v>0</v>
      </c>
      <c r="AB1030" s="447">
        <f t="shared" si="523"/>
        <v>0</v>
      </c>
      <c r="AC1030" s="447">
        <f t="shared" si="523"/>
        <v>0</v>
      </c>
      <c r="AD1030" s="447">
        <f t="shared" si="523"/>
        <v>0</v>
      </c>
      <c r="AE1030" s="448">
        <f t="shared" si="523"/>
        <v>0</v>
      </c>
      <c r="AF1030" s="449"/>
      <c r="AG1030" s="449"/>
      <c r="AH1030" s="449"/>
    </row>
    <row r="1031" ht="11.25" customHeight="1">
      <c r="A1031" s="450"/>
      <c r="B1031" s="451"/>
      <c r="C1031" s="452"/>
      <c r="D1031" s="452"/>
      <c r="E1031" s="453"/>
      <c r="F1031" s="453"/>
      <c r="G1031" s="454"/>
      <c r="H1031" s="454"/>
      <c r="I1031" s="455"/>
      <c r="J1031" s="456"/>
      <c r="K1031" s="457" t="s">
        <v>1416</v>
      </c>
      <c r="L1031" s="458"/>
      <c r="M1031" s="459"/>
      <c r="N1031" s="460"/>
      <c r="O1031" s="460"/>
      <c r="P1031" s="461"/>
      <c r="Q1031" s="458"/>
      <c r="R1031" s="459"/>
      <c r="S1031" s="459"/>
      <c r="T1031" s="459"/>
      <c r="U1031" s="459"/>
      <c r="V1031" s="459"/>
      <c r="W1031" s="459"/>
      <c r="X1031" s="459"/>
      <c r="Y1031" s="462">
        <f t="shared" si="17"/>
        <v>0</v>
      </c>
      <c r="Z1031" s="463"/>
      <c r="AA1031" s="464"/>
      <c r="AB1031" s="465"/>
      <c r="AC1031" s="465"/>
      <c r="AD1031" s="465"/>
      <c r="AE1031" s="466"/>
      <c r="AF1031" s="449"/>
      <c r="AG1031" s="449"/>
      <c r="AH1031" s="449"/>
    </row>
    <row r="1032" ht="11.25" customHeight="1">
      <c r="A1032" s="450"/>
      <c r="B1032" s="451"/>
      <c r="C1032" s="452"/>
      <c r="D1032" s="452"/>
      <c r="E1032" s="453"/>
      <c r="F1032" s="453"/>
      <c r="G1032" s="454"/>
      <c r="H1032" s="454"/>
      <c r="I1032" s="455"/>
      <c r="J1032" s="456"/>
      <c r="K1032" s="467" t="s">
        <v>1417</v>
      </c>
      <c r="L1032" s="468"/>
      <c r="M1032" s="469"/>
      <c r="N1032" s="470"/>
      <c r="O1032" s="470"/>
      <c r="P1032" s="471"/>
      <c r="Q1032" s="468"/>
      <c r="R1032" s="469"/>
      <c r="S1032" s="469"/>
      <c r="T1032" s="469"/>
      <c r="U1032" s="469"/>
      <c r="V1032" s="469"/>
      <c r="W1032" s="469"/>
      <c r="X1032" s="469"/>
      <c r="Y1032" s="462">
        <f t="shared" si="17"/>
        <v>0</v>
      </c>
      <c r="Z1032" s="463"/>
      <c r="AA1032" s="464"/>
      <c r="AB1032" s="465"/>
      <c r="AC1032" s="465"/>
      <c r="AD1032" s="465"/>
      <c r="AE1032" s="466"/>
      <c r="AF1032" s="449"/>
      <c r="AG1032" s="449"/>
      <c r="AH1032" s="449"/>
    </row>
    <row r="1033" ht="11.25" customHeight="1">
      <c r="A1033" s="450"/>
      <c r="B1033" s="472"/>
      <c r="C1033" s="473"/>
      <c r="D1033" s="473"/>
      <c r="E1033" s="474"/>
      <c r="F1033" s="474"/>
      <c r="G1033" s="475"/>
      <c r="H1033" s="475"/>
      <c r="I1033" s="476"/>
      <c r="J1033" s="477"/>
      <c r="K1033" s="478" t="s">
        <v>1418</v>
      </c>
      <c r="L1033" s="479"/>
      <c r="M1033" s="480"/>
      <c r="N1033" s="481"/>
      <c r="O1033" s="481"/>
      <c r="P1033" s="482"/>
      <c r="Q1033" s="479"/>
      <c r="R1033" s="480"/>
      <c r="S1033" s="480"/>
      <c r="T1033" s="480"/>
      <c r="U1033" s="480"/>
      <c r="V1033" s="480"/>
      <c r="W1033" s="480"/>
      <c r="X1033" s="480"/>
      <c r="Y1033" s="483">
        <f t="shared" si="17"/>
        <v>0</v>
      </c>
      <c r="Z1033" s="484"/>
      <c r="AA1033" s="485"/>
      <c r="AB1033" s="486"/>
      <c r="AC1033" s="486"/>
      <c r="AD1033" s="486"/>
      <c r="AE1033" s="487"/>
      <c r="AF1033" s="449"/>
      <c r="AG1033" s="449"/>
      <c r="AH1033" s="449"/>
    </row>
    <row r="1034" ht="11.25" customHeight="1">
      <c r="A1034" s="431" t="str">
        <f>IF(B1034="","", YEAR(B1034))</f>
        <v/>
      </c>
      <c r="B1034" s="432"/>
      <c r="C1034" s="433"/>
      <c r="D1034" s="433"/>
      <c r="E1034" s="434" t="str">
        <f t="shared" ref="E1034:I1034" si="524">IFERROR(AVERAGE(L1034:L1037),"")</f>
        <v/>
      </c>
      <c r="F1034" s="434" t="str">
        <f t="shared" si="524"/>
        <v/>
      </c>
      <c r="G1034" s="435" t="str">
        <f t="shared" si="524"/>
        <v/>
      </c>
      <c r="H1034" s="435" t="str">
        <f t="shared" si="524"/>
        <v/>
      </c>
      <c r="I1034" s="436" t="str">
        <f t="shared" si="524"/>
        <v/>
      </c>
      <c r="J1034" s="437">
        <f>SUMIFS(PRODUCTION[KG],PRODUCTION[GRADE],"3X50",PRODUCTION[DATE],B1034,PRODUCTION[BATCH],C1034,PRODUCTION[SHIFT],D1034)</f>
        <v>0</v>
      </c>
      <c r="K1034" s="438" t="s">
        <v>1414</v>
      </c>
      <c r="L1034" s="443"/>
      <c r="M1034" s="440"/>
      <c r="N1034" s="441"/>
      <c r="O1034" s="441"/>
      <c r="P1034" s="442"/>
      <c r="Q1034" s="443"/>
      <c r="R1034" s="440"/>
      <c r="S1034" s="440"/>
      <c r="T1034" s="440"/>
      <c r="U1034" s="440"/>
      <c r="V1034" s="440"/>
      <c r="W1034" s="440"/>
      <c r="X1034" s="440"/>
      <c r="Y1034" s="444">
        <f t="shared" si="17"/>
        <v>0</v>
      </c>
      <c r="Z1034" s="445"/>
      <c r="AA1034" s="446">
        <f t="shared" ref="AA1034:AE1034" si="525">$J1034*E1034</f>
        <v>0</v>
      </c>
      <c r="AB1034" s="447">
        <f t="shared" si="525"/>
        <v>0</v>
      </c>
      <c r="AC1034" s="447">
        <f t="shared" si="525"/>
        <v>0</v>
      </c>
      <c r="AD1034" s="447">
        <f t="shared" si="525"/>
        <v>0</v>
      </c>
      <c r="AE1034" s="448">
        <f t="shared" si="525"/>
        <v>0</v>
      </c>
      <c r="AF1034" s="449"/>
      <c r="AG1034" s="449"/>
      <c r="AH1034" s="449"/>
    </row>
    <row r="1035" ht="11.25" customHeight="1">
      <c r="A1035" s="450"/>
      <c r="B1035" s="451"/>
      <c r="C1035" s="452"/>
      <c r="D1035" s="452"/>
      <c r="E1035" s="453"/>
      <c r="F1035" s="453"/>
      <c r="G1035" s="454"/>
      <c r="H1035" s="454"/>
      <c r="I1035" s="455"/>
      <c r="J1035" s="456"/>
      <c r="K1035" s="457" t="s">
        <v>1416</v>
      </c>
      <c r="L1035" s="458"/>
      <c r="M1035" s="459"/>
      <c r="N1035" s="460"/>
      <c r="O1035" s="460"/>
      <c r="P1035" s="461"/>
      <c r="Q1035" s="458"/>
      <c r="R1035" s="459"/>
      <c r="S1035" s="459"/>
      <c r="T1035" s="459"/>
      <c r="U1035" s="459"/>
      <c r="V1035" s="459"/>
      <c r="W1035" s="459"/>
      <c r="X1035" s="459"/>
      <c r="Y1035" s="462">
        <f t="shared" si="17"/>
        <v>0</v>
      </c>
      <c r="Z1035" s="463"/>
      <c r="AA1035" s="464"/>
      <c r="AB1035" s="465"/>
      <c r="AC1035" s="465"/>
      <c r="AD1035" s="465"/>
      <c r="AE1035" s="466"/>
      <c r="AF1035" s="449"/>
      <c r="AG1035" s="449"/>
      <c r="AH1035" s="449"/>
    </row>
    <row r="1036" ht="11.25" customHeight="1">
      <c r="A1036" s="450"/>
      <c r="B1036" s="451"/>
      <c r="C1036" s="452"/>
      <c r="D1036" s="452"/>
      <c r="E1036" s="453"/>
      <c r="F1036" s="453"/>
      <c r="G1036" s="454"/>
      <c r="H1036" s="454"/>
      <c r="I1036" s="455"/>
      <c r="J1036" s="456"/>
      <c r="K1036" s="467" t="s">
        <v>1417</v>
      </c>
      <c r="L1036" s="468"/>
      <c r="M1036" s="469"/>
      <c r="N1036" s="470"/>
      <c r="O1036" s="470"/>
      <c r="P1036" s="471"/>
      <c r="Q1036" s="468"/>
      <c r="R1036" s="469"/>
      <c r="S1036" s="469"/>
      <c r="T1036" s="469"/>
      <c r="U1036" s="469"/>
      <c r="V1036" s="469"/>
      <c r="W1036" s="469"/>
      <c r="X1036" s="469"/>
      <c r="Y1036" s="462">
        <f t="shared" si="17"/>
        <v>0</v>
      </c>
      <c r="Z1036" s="463"/>
      <c r="AA1036" s="464"/>
      <c r="AB1036" s="465"/>
      <c r="AC1036" s="465"/>
      <c r="AD1036" s="465"/>
      <c r="AE1036" s="466"/>
      <c r="AF1036" s="449"/>
      <c r="AG1036" s="449"/>
      <c r="AH1036" s="449"/>
    </row>
    <row r="1037" ht="11.25" customHeight="1">
      <c r="A1037" s="450"/>
      <c r="B1037" s="472"/>
      <c r="C1037" s="473"/>
      <c r="D1037" s="473"/>
      <c r="E1037" s="474"/>
      <c r="F1037" s="474"/>
      <c r="G1037" s="475"/>
      <c r="H1037" s="475"/>
      <c r="I1037" s="476"/>
      <c r="J1037" s="477"/>
      <c r="K1037" s="478" t="s">
        <v>1418</v>
      </c>
      <c r="L1037" s="479"/>
      <c r="M1037" s="480"/>
      <c r="N1037" s="481"/>
      <c r="O1037" s="481"/>
      <c r="P1037" s="482"/>
      <c r="Q1037" s="479"/>
      <c r="R1037" s="480"/>
      <c r="S1037" s="480"/>
      <c r="T1037" s="480"/>
      <c r="U1037" s="480"/>
      <c r="V1037" s="480"/>
      <c r="W1037" s="480"/>
      <c r="X1037" s="480"/>
      <c r="Y1037" s="483">
        <f t="shared" si="17"/>
        <v>0</v>
      </c>
      <c r="Z1037" s="484"/>
      <c r="AA1037" s="485"/>
      <c r="AB1037" s="486"/>
      <c r="AC1037" s="486"/>
      <c r="AD1037" s="486"/>
      <c r="AE1037" s="487"/>
      <c r="AF1037" s="449"/>
      <c r="AG1037" s="449"/>
      <c r="AH1037" s="449"/>
    </row>
    <row r="1038" ht="11.25" customHeight="1">
      <c r="A1038" s="431" t="str">
        <f>IF(B1038="","", YEAR(B1038))</f>
        <v/>
      </c>
      <c r="B1038" s="432"/>
      <c r="C1038" s="433"/>
      <c r="D1038" s="433"/>
      <c r="E1038" s="434" t="str">
        <f t="shared" ref="E1038:I1038" si="526">IFERROR(AVERAGE(L1038:L1041),"")</f>
        <v/>
      </c>
      <c r="F1038" s="434" t="str">
        <f t="shared" si="526"/>
        <v/>
      </c>
      <c r="G1038" s="435" t="str">
        <f t="shared" si="526"/>
        <v/>
      </c>
      <c r="H1038" s="435" t="str">
        <f t="shared" si="526"/>
        <v/>
      </c>
      <c r="I1038" s="436" t="str">
        <f t="shared" si="526"/>
        <v/>
      </c>
      <c r="J1038" s="437">
        <f>SUMIFS(PRODUCTION[KG],PRODUCTION[GRADE],"3X50",PRODUCTION[DATE],B1038,PRODUCTION[BATCH],C1038,PRODUCTION[SHIFT],D1038)</f>
        <v>0</v>
      </c>
      <c r="K1038" s="438" t="s">
        <v>1414</v>
      </c>
      <c r="L1038" s="443"/>
      <c r="M1038" s="440"/>
      <c r="N1038" s="441"/>
      <c r="O1038" s="441"/>
      <c r="P1038" s="442"/>
      <c r="Q1038" s="443"/>
      <c r="R1038" s="440"/>
      <c r="S1038" s="440"/>
      <c r="T1038" s="440"/>
      <c r="U1038" s="440"/>
      <c r="V1038" s="440"/>
      <c r="W1038" s="440"/>
      <c r="X1038" s="440"/>
      <c r="Y1038" s="444">
        <f t="shared" si="17"/>
        <v>0</v>
      </c>
      <c r="Z1038" s="445"/>
      <c r="AA1038" s="446">
        <f t="shared" ref="AA1038:AE1038" si="527">$J1038*E1038</f>
        <v>0</v>
      </c>
      <c r="AB1038" s="447">
        <f t="shared" si="527"/>
        <v>0</v>
      </c>
      <c r="AC1038" s="447">
        <f t="shared" si="527"/>
        <v>0</v>
      </c>
      <c r="AD1038" s="447">
        <f t="shared" si="527"/>
        <v>0</v>
      </c>
      <c r="AE1038" s="448">
        <f t="shared" si="527"/>
        <v>0</v>
      </c>
      <c r="AF1038" s="449"/>
      <c r="AG1038" s="449"/>
      <c r="AH1038" s="449"/>
    </row>
    <row r="1039" ht="11.25" customHeight="1">
      <c r="A1039" s="450"/>
      <c r="B1039" s="451"/>
      <c r="C1039" s="452"/>
      <c r="D1039" s="452"/>
      <c r="E1039" s="453"/>
      <c r="F1039" s="453"/>
      <c r="G1039" s="454"/>
      <c r="H1039" s="454"/>
      <c r="I1039" s="455"/>
      <c r="J1039" s="456"/>
      <c r="K1039" s="457" t="s">
        <v>1416</v>
      </c>
      <c r="L1039" s="458"/>
      <c r="M1039" s="459"/>
      <c r="N1039" s="460"/>
      <c r="O1039" s="460"/>
      <c r="P1039" s="461"/>
      <c r="Q1039" s="458"/>
      <c r="R1039" s="459"/>
      <c r="S1039" s="459"/>
      <c r="T1039" s="459"/>
      <c r="U1039" s="459"/>
      <c r="V1039" s="459"/>
      <c r="W1039" s="459"/>
      <c r="X1039" s="459"/>
      <c r="Y1039" s="462">
        <f t="shared" si="17"/>
        <v>0</v>
      </c>
      <c r="Z1039" s="463"/>
      <c r="AA1039" s="464"/>
      <c r="AB1039" s="465"/>
      <c r="AC1039" s="465"/>
      <c r="AD1039" s="465"/>
      <c r="AE1039" s="466"/>
      <c r="AF1039" s="449"/>
      <c r="AG1039" s="449"/>
      <c r="AH1039" s="449"/>
    </row>
    <row r="1040" ht="11.25" customHeight="1">
      <c r="A1040" s="450"/>
      <c r="B1040" s="451"/>
      <c r="C1040" s="452"/>
      <c r="D1040" s="452"/>
      <c r="E1040" s="453"/>
      <c r="F1040" s="453"/>
      <c r="G1040" s="454"/>
      <c r="H1040" s="454"/>
      <c r="I1040" s="455"/>
      <c r="J1040" s="456"/>
      <c r="K1040" s="467" t="s">
        <v>1417</v>
      </c>
      <c r="L1040" s="468"/>
      <c r="M1040" s="469"/>
      <c r="N1040" s="470"/>
      <c r="O1040" s="470"/>
      <c r="P1040" s="471"/>
      <c r="Q1040" s="468"/>
      <c r="R1040" s="469"/>
      <c r="S1040" s="469"/>
      <c r="T1040" s="469"/>
      <c r="U1040" s="469"/>
      <c r="V1040" s="469"/>
      <c r="W1040" s="469"/>
      <c r="X1040" s="469"/>
      <c r="Y1040" s="462">
        <f t="shared" si="17"/>
        <v>0</v>
      </c>
      <c r="Z1040" s="463"/>
      <c r="AA1040" s="464"/>
      <c r="AB1040" s="465"/>
      <c r="AC1040" s="465"/>
      <c r="AD1040" s="465"/>
      <c r="AE1040" s="466"/>
      <c r="AF1040" s="449"/>
      <c r="AG1040" s="449"/>
      <c r="AH1040" s="449"/>
    </row>
    <row r="1041" ht="11.25" customHeight="1">
      <c r="A1041" s="450"/>
      <c r="B1041" s="472"/>
      <c r="C1041" s="473"/>
      <c r="D1041" s="473"/>
      <c r="E1041" s="474"/>
      <c r="F1041" s="474"/>
      <c r="G1041" s="475"/>
      <c r="H1041" s="475"/>
      <c r="I1041" s="476"/>
      <c r="J1041" s="477"/>
      <c r="K1041" s="478" t="s">
        <v>1418</v>
      </c>
      <c r="L1041" s="479"/>
      <c r="M1041" s="480"/>
      <c r="N1041" s="481"/>
      <c r="O1041" s="481"/>
      <c r="P1041" s="482"/>
      <c r="Q1041" s="479"/>
      <c r="R1041" s="480"/>
      <c r="S1041" s="480"/>
      <c r="T1041" s="480"/>
      <c r="U1041" s="480"/>
      <c r="V1041" s="480"/>
      <c r="W1041" s="480"/>
      <c r="X1041" s="480"/>
      <c r="Y1041" s="483">
        <f t="shared" si="17"/>
        <v>0</v>
      </c>
      <c r="Z1041" s="484"/>
      <c r="AA1041" s="485"/>
      <c r="AB1041" s="486"/>
      <c r="AC1041" s="486"/>
      <c r="AD1041" s="486"/>
      <c r="AE1041" s="487"/>
      <c r="AF1041" s="449"/>
      <c r="AG1041" s="449"/>
      <c r="AH1041" s="449"/>
    </row>
    <row r="1042" ht="11.25" customHeight="1">
      <c r="A1042" s="431" t="str">
        <f>IF(B1042="","", YEAR(B1042))</f>
        <v/>
      </c>
      <c r="B1042" s="432"/>
      <c r="C1042" s="433"/>
      <c r="D1042" s="433"/>
      <c r="E1042" s="434" t="str">
        <f t="shared" ref="E1042:I1042" si="528">IFERROR(AVERAGE(L1042:L1045),"")</f>
        <v/>
      </c>
      <c r="F1042" s="434" t="str">
        <f t="shared" si="528"/>
        <v/>
      </c>
      <c r="G1042" s="435" t="str">
        <f t="shared" si="528"/>
        <v/>
      </c>
      <c r="H1042" s="435" t="str">
        <f t="shared" si="528"/>
        <v/>
      </c>
      <c r="I1042" s="436" t="str">
        <f t="shared" si="528"/>
        <v/>
      </c>
      <c r="J1042" s="437">
        <f>SUMIFS(PRODUCTION[KG],PRODUCTION[GRADE],"3X50",PRODUCTION[DATE],B1042,PRODUCTION[BATCH],C1042,PRODUCTION[SHIFT],D1042)</f>
        <v>0</v>
      </c>
      <c r="K1042" s="438" t="s">
        <v>1414</v>
      </c>
      <c r="L1042" s="443"/>
      <c r="M1042" s="440"/>
      <c r="N1042" s="441"/>
      <c r="O1042" s="441"/>
      <c r="P1042" s="442"/>
      <c r="Q1042" s="443"/>
      <c r="R1042" s="440"/>
      <c r="S1042" s="440"/>
      <c r="T1042" s="440"/>
      <c r="U1042" s="440"/>
      <c r="V1042" s="440"/>
      <c r="W1042" s="440"/>
      <c r="X1042" s="440"/>
      <c r="Y1042" s="444">
        <f t="shared" si="17"/>
        <v>0</v>
      </c>
      <c r="Z1042" s="445"/>
      <c r="AA1042" s="446">
        <f t="shared" ref="AA1042:AE1042" si="529">$J1042*E1042</f>
        <v>0</v>
      </c>
      <c r="AB1042" s="447">
        <f t="shared" si="529"/>
        <v>0</v>
      </c>
      <c r="AC1042" s="447">
        <f t="shared" si="529"/>
        <v>0</v>
      </c>
      <c r="AD1042" s="447">
        <f t="shared" si="529"/>
        <v>0</v>
      </c>
      <c r="AE1042" s="448">
        <f t="shared" si="529"/>
        <v>0</v>
      </c>
      <c r="AF1042" s="449"/>
      <c r="AG1042" s="449"/>
      <c r="AH1042" s="449"/>
    </row>
    <row r="1043" ht="11.25" customHeight="1">
      <c r="A1043" s="450"/>
      <c r="B1043" s="451"/>
      <c r="C1043" s="452"/>
      <c r="D1043" s="452"/>
      <c r="E1043" s="453"/>
      <c r="F1043" s="453"/>
      <c r="G1043" s="454"/>
      <c r="H1043" s="454"/>
      <c r="I1043" s="455"/>
      <c r="J1043" s="456"/>
      <c r="K1043" s="457" t="s">
        <v>1416</v>
      </c>
      <c r="L1043" s="458"/>
      <c r="M1043" s="459"/>
      <c r="N1043" s="460"/>
      <c r="O1043" s="460"/>
      <c r="P1043" s="461"/>
      <c r="Q1043" s="458"/>
      <c r="R1043" s="459"/>
      <c r="S1043" s="459"/>
      <c r="T1043" s="459"/>
      <c r="U1043" s="459"/>
      <c r="V1043" s="459"/>
      <c r="W1043" s="459"/>
      <c r="X1043" s="459"/>
      <c r="Y1043" s="462">
        <f t="shared" si="17"/>
        <v>0</v>
      </c>
      <c r="Z1043" s="463"/>
      <c r="AA1043" s="464"/>
      <c r="AB1043" s="465"/>
      <c r="AC1043" s="465"/>
      <c r="AD1043" s="465"/>
      <c r="AE1043" s="466"/>
      <c r="AF1043" s="449"/>
      <c r="AG1043" s="449"/>
      <c r="AH1043" s="449"/>
    </row>
    <row r="1044" ht="11.25" customHeight="1">
      <c r="A1044" s="450"/>
      <c r="B1044" s="451"/>
      <c r="C1044" s="452"/>
      <c r="D1044" s="452"/>
      <c r="E1044" s="453"/>
      <c r="F1044" s="453"/>
      <c r="G1044" s="454"/>
      <c r="H1044" s="454"/>
      <c r="I1044" s="455"/>
      <c r="J1044" s="456"/>
      <c r="K1044" s="467" t="s">
        <v>1417</v>
      </c>
      <c r="L1044" s="468"/>
      <c r="M1044" s="469"/>
      <c r="N1044" s="470"/>
      <c r="O1044" s="470"/>
      <c r="P1044" s="471"/>
      <c r="Q1044" s="468"/>
      <c r="R1044" s="469"/>
      <c r="S1044" s="469"/>
      <c r="T1044" s="469"/>
      <c r="U1044" s="469"/>
      <c r="V1044" s="469"/>
      <c r="W1044" s="469"/>
      <c r="X1044" s="469"/>
      <c r="Y1044" s="462">
        <f t="shared" si="17"/>
        <v>0</v>
      </c>
      <c r="Z1044" s="463"/>
      <c r="AA1044" s="464"/>
      <c r="AB1044" s="465"/>
      <c r="AC1044" s="465"/>
      <c r="AD1044" s="465"/>
      <c r="AE1044" s="466"/>
      <c r="AF1044" s="449"/>
      <c r="AG1044" s="449"/>
      <c r="AH1044" s="449"/>
    </row>
    <row r="1045" ht="11.25" customHeight="1">
      <c r="A1045" s="450"/>
      <c r="B1045" s="472"/>
      <c r="C1045" s="473"/>
      <c r="D1045" s="473"/>
      <c r="E1045" s="474"/>
      <c r="F1045" s="474"/>
      <c r="G1045" s="475"/>
      <c r="H1045" s="475"/>
      <c r="I1045" s="476"/>
      <c r="J1045" s="477"/>
      <c r="K1045" s="478" t="s">
        <v>1418</v>
      </c>
      <c r="L1045" s="479"/>
      <c r="M1045" s="480"/>
      <c r="N1045" s="481"/>
      <c r="O1045" s="481"/>
      <c r="P1045" s="482"/>
      <c r="Q1045" s="479"/>
      <c r="R1045" s="480"/>
      <c r="S1045" s="480"/>
      <c r="T1045" s="480"/>
      <c r="U1045" s="480"/>
      <c r="V1045" s="480"/>
      <c r="W1045" s="480"/>
      <c r="X1045" s="480"/>
      <c r="Y1045" s="483">
        <f t="shared" si="17"/>
        <v>0</v>
      </c>
      <c r="Z1045" s="484"/>
      <c r="AA1045" s="485"/>
      <c r="AB1045" s="486"/>
      <c r="AC1045" s="486"/>
      <c r="AD1045" s="486"/>
      <c r="AE1045" s="487"/>
      <c r="AF1045" s="449"/>
      <c r="AG1045" s="449"/>
      <c r="AH1045" s="449"/>
    </row>
    <row r="1046" ht="11.25" customHeight="1">
      <c r="A1046" s="431" t="str">
        <f>IF(B1046="","", YEAR(B1046))</f>
        <v/>
      </c>
      <c r="B1046" s="432"/>
      <c r="C1046" s="433"/>
      <c r="D1046" s="433"/>
      <c r="E1046" s="434" t="str">
        <f t="shared" ref="E1046:I1046" si="530">IFERROR(AVERAGE(L1046:L1049),"")</f>
        <v/>
      </c>
      <c r="F1046" s="434" t="str">
        <f t="shared" si="530"/>
        <v/>
      </c>
      <c r="G1046" s="435" t="str">
        <f t="shared" si="530"/>
        <v/>
      </c>
      <c r="H1046" s="435" t="str">
        <f t="shared" si="530"/>
        <v/>
      </c>
      <c r="I1046" s="436" t="str">
        <f t="shared" si="530"/>
        <v/>
      </c>
      <c r="J1046" s="437">
        <f>SUMIFS(PRODUCTION[KG],PRODUCTION[GRADE],"3X50",PRODUCTION[DATE],B1046,PRODUCTION[BATCH],C1046,PRODUCTION[SHIFT],D1046)</f>
        <v>0</v>
      </c>
      <c r="K1046" s="438" t="s">
        <v>1414</v>
      </c>
      <c r="L1046" s="443"/>
      <c r="M1046" s="440"/>
      <c r="N1046" s="441"/>
      <c r="O1046" s="441"/>
      <c r="P1046" s="442"/>
      <c r="Q1046" s="443"/>
      <c r="R1046" s="440"/>
      <c r="S1046" s="440"/>
      <c r="T1046" s="440"/>
      <c r="U1046" s="440"/>
      <c r="V1046" s="440"/>
      <c r="W1046" s="440"/>
      <c r="X1046" s="440"/>
      <c r="Y1046" s="444">
        <f t="shared" si="17"/>
        <v>0</v>
      </c>
      <c r="Z1046" s="445"/>
      <c r="AA1046" s="446">
        <f t="shared" ref="AA1046:AE1046" si="531">$J1046*E1046</f>
        <v>0</v>
      </c>
      <c r="AB1046" s="447">
        <f t="shared" si="531"/>
        <v>0</v>
      </c>
      <c r="AC1046" s="447">
        <f t="shared" si="531"/>
        <v>0</v>
      </c>
      <c r="AD1046" s="447">
        <f t="shared" si="531"/>
        <v>0</v>
      </c>
      <c r="AE1046" s="448">
        <f t="shared" si="531"/>
        <v>0</v>
      </c>
      <c r="AF1046" s="449"/>
      <c r="AG1046" s="449"/>
      <c r="AH1046" s="449"/>
    </row>
    <row r="1047" ht="11.25" customHeight="1">
      <c r="A1047" s="450"/>
      <c r="B1047" s="451"/>
      <c r="C1047" s="452"/>
      <c r="D1047" s="452"/>
      <c r="E1047" s="453"/>
      <c r="F1047" s="453"/>
      <c r="G1047" s="454"/>
      <c r="H1047" s="454"/>
      <c r="I1047" s="455"/>
      <c r="J1047" s="456"/>
      <c r="K1047" s="457" t="s">
        <v>1416</v>
      </c>
      <c r="L1047" s="458"/>
      <c r="M1047" s="459"/>
      <c r="N1047" s="460"/>
      <c r="O1047" s="460"/>
      <c r="P1047" s="461"/>
      <c r="Q1047" s="458"/>
      <c r="R1047" s="459"/>
      <c r="S1047" s="459"/>
      <c r="T1047" s="459"/>
      <c r="U1047" s="459"/>
      <c r="V1047" s="459"/>
      <c r="W1047" s="459"/>
      <c r="X1047" s="459"/>
      <c r="Y1047" s="462">
        <f t="shared" si="17"/>
        <v>0</v>
      </c>
      <c r="Z1047" s="463"/>
      <c r="AA1047" s="464"/>
      <c r="AB1047" s="465"/>
      <c r="AC1047" s="465"/>
      <c r="AD1047" s="465"/>
      <c r="AE1047" s="466"/>
      <c r="AF1047" s="449"/>
      <c r="AG1047" s="449"/>
      <c r="AH1047" s="449"/>
    </row>
    <row r="1048" ht="11.25" customHeight="1">
      <c r="A1048" s="450"/>
      <c r="B1048" s="451"/>
      <c r="C1048" s="452"/>
      <c r="D1048" s="452"/>
      <c r="E1048" s="453"/>
      <c r="F1048" s="453"/>
      <c r="G1048" s="454"/>
      <c r="H1048" s="454"/>
      <c r="I1048" s="455"/>
      <c r="J1048" s="456"/>
      <c r="K1048" s="467" t="s">
        <v>1417</v>
      </c>
      <c r="L1048" s="468"/>
      <c r="M1048" s="469"/>
      <c r="N1048" s="470"/>
      <c r="O1048" s="470"/>
      <c r="P1048" s="471"/>
      <c r="Q1048" s="468"/>
      <c r="R1048" s="469"/>
      <c r="S1048" s="469"/>
      <c r="T1048" s="469"/>
      <c r="U1048" s="469"/>
      <c r="V1048" s="469"/>
      <c r="W1048" s="469"/>
      <c r="X1048" s="469"/>
      <c r="Y1048" s="462">
        <f t="shared" si="17"/>
        <v>0</v>
      </c>
      <c r="Z1048" s="463"/>
      <c r="AA1048" s="464"/>
      <c r="AB1048" s="465"/>
      <c r="AC1048" s="465"/>
      <c r="AD1048" s="465"/>
      <c r="AE1048" s="466"/>
      <c r="AF1048" s="449"/>
      <c r="AG1048" s="449"/>
      <c r="AH1048" s="449"/>
    </row>
    <row r="1049" ht="11.25" customHeight="1">
      <c r="A1049" s="450"/>
      <c r="B1049" s="472"/>
      <c r="C1049" s="473"/>
      <c r="D1049" s="473"/>
      <c r="E1049" s="474"/>
      <c r="F1049" s="474"/>
      <c r="G1049" s="475"/>
      <c r="H1049" s="475"/>
      <c r="I1049" s="476"/>
      <c r="J1049" s="477"/>
      <c r="K1049" s="478" t="s">
        <v>1418</v>
      </c>
      <c r="L1049" s="479"/>
      <c r="M1049" s="480"/>
      <c r="N1049" s="481"/>
      <c r="O1049" s="481"/>
      <c r="P1049" s="482"/>
      <c r="Q1049" s="479"/>
      <c r="R1049" s="480"/>
      <c r="S1049" s="480"/>
      <c r="T1049" s="480"/>
      <c r="U1049" s="480"/>
      <c r="V1049" s="480"/>
      <c r="W1049" s="480"/>
      <c r="X1049" s="480"/>
      <c r="Y1049" s="483">
        <f t="shared" si="17"/>
        <v>0</v>
      </c>
      <c r="Z1049" s="484"/>
      <c r="AA1049" s="485"/>
      <c r="AB1049" s="486"/>
      <c r="AC1049" s="486"/>
      <c r="AD1049" s="486"/>
      <c r="AE1049" s="487"/>
      <c r="AF1049" s="449"/>
      <c r="AG1049" s="449"/>
      <c r="AH1049" s="449"/>
    </row>
    <row r="1050" ht="11.25" customHeight="1">
      <c r="A1050" s="431" t="str">
        <f>IF(B1050="","", YEAR(B1050))</f>
        <v/>
      </c>
      <c r="B1050" s="432"/>
      <c r="C1050" s="433"/>
      <c r="D1050" s="433"/>
      <c r="E1050" s="434" t="str">
        <f t="shared" ref="E1050:I1050" si="532">IFERROR(AVERAGE(L1050:L1053),"")</f>
        <v/>
      </c>
      <c r="F1050" s="434" t="str">
        <f t="shared" si="532"/>
        <v/>
      </c>
      <c r="G1050" s="435" t="str">
        <f t="shared" si="532"/>
        <v/>
      </c>
      <c r="H1050" s="435" t="str">
        <f t="shared" si="532"/>
        <v/>
      </c>
      <c r="I1050" s="436" t="str">
        <f t="shared" si="532"/>
        <v/>
      </c>
      <c r="J1050" s="437">
        <f>SUMIFS(PRODUCTION[KG],PRODUCTION[GRADE],"3X50",PRODUCTION[DATE],B1050,PRODUCTION[BATCH],C1050,PRODUCTION[SHIFT],D1050)</f>
        <v>0</v>
      </c>
      <c r="K1050" s="438" t="s">
        <v>1414</v>
      </c>
      <c r="L1050" s="443"/>
      <c r="M1050" s="440"/>
      <c r="N1050" s="441"/>
      <c r="O1050" s="441"/>
      <c r="P1050" s="442"/>
      <c r="Q1050" s="443"/>
      <c r="R1050" s="440"/>
      <c r="S1050" s="440"/>
      <c r="T1050" s="440"/>
      <c r="U1050" s="440"/>
      <c r="V1050" s="440"/>
      <c r="W1050" s="440"/>
      <c r="X1050" s="440"/>
      <c r="Y1050" s="444">
        <f t="shared" si="17"/>
        <v>0</v>
      </c>
      <c r="Z1050" s="445"/>
      <c r="AA1050" s="446">
        <f t="shared" ref="AA1050:AE1050" si="533">$J1050*E1050</f>
        <v>0</v>
      </c>
      <c r="AB1050" s="447">
        <f t="shared" si="533"/>
        <v>0</v>
      </c>
      <c r="AC1050" s="447">
        <f t="shared" si="533"/>
        <v>0</v>
      </c>
      <c r="AD1050" s="447">
        <f t="shared" si="533"/>
        <v>0</v>
      </c>
      <c r="AE1050" s="448">
        <f t="shared" si="533"/>
        <v>0</v>
      </c>
      <c r="AF1050" s="449"/>
      <c r="AG1050" s="449"/>
      <c r="AH1050" s="449"/>
    </row>
    <row r="1051" ht="11.25" customHeight="1">
      <c r="A1051" s="450"/>
      <c r="B1051" s="451"/>
      <c r="C1051" s="452"/>
      <c r="D1051" s="452"/>
      <c r="E1051" s="453"/>
      <c r="F1051" s="453"/>
      <c r="G1051" s="454"/>
      <c r="H1051" s="454"/>
      <c r="I1051" s="455"/>
      <c r="J1051" s="456"/>
      <c r="K1051" s="457" t="s">
        <v>1416</v>
      </c>
      <c r="L1051" s="458"/>
      <c r="M1051" s="459"/>
      <c r="N1051" s="460"/>
      <c r="O1051" s="460"/>
      <c r="P1051" s="461"/>
      <c r="Q1051" s="458"/>
      <c r="R1051" s="459"/>
      <c r="S1051" s="459"/>
      <c r="T1051" s="459"/>
      <c r="U1051" s="459"/>
      <c r="V1051" s="459"/>
      <c r="W1051" s="459"/>
      <c r="X1051" s="459"/>
      <c r="Y1051" s="462">
        <f t="shared" si="17"/>
        <v>0</v>
      </c>
      <c r="Z1051" s="463"/>
      <c r="AA1051" s="464"/>
      <c r="AB1051" s="465"/>
      <c r="AC1051" s="465"/>
      <c r="AD1051" s="465"/>
      <c r="AE1051" s="466"/>
      <c r="AF1051" s="449"/>
      <c r="AG1051" s="449"/>
      <c r="AH1051" s="449"/>
    </row>
    <row r="1052" ht="11.25" customHeight="1">
      <c r="A1052" s="450"/>
      <c r="B1052" s="451"/>
      <c r="C1052" s="452"/>
      <c r="D1052" s="452"/>
      <c r="E1052" s="453"/>
      <c r="F1052" s="453"/>
      <c r="G1052" s="454"/>
      <c r="H1052" s="454"/>
      <c r="I1052" s="455"/>
      <c r="J1052" s="456"/>
      <c r="K1052" s="467" t="s">
        <v>1417</v>
      </c>
      <c r="L1052" s="468"/>
      <c r="M1052" s="469"/>
      <c r="N1052" s="470"/>
      <c r="O1052" s="470"/>
      <c r="P1052" s="471"/>
      <c r="Q1052" s="468"/>
      <c r="R1052" s="469"/>
      <c r="S1052" s="469"/>
      <c r="T1052" s="469"/>
      <c r="U1052" s="469"/>
      <c r="V1052" s="469"/>
      <c r="W1052" s="469"/>
      <c r="X1052" s="469"/>
      <c r="Y1052" s="462">
        <f t="shared" si="17"/>
        <v>0</v>
      </c>
      <c r="Z1052" s="463"/>
      <c r="AA1052" s="464"/>
      <c r="AB1052" s="465"/>
      <c r="AC1052" s="465"/>
      <c r="AD1052" s="465"/>
      <c r="AE1052" s="466"/>
      <c r="AF1052" s="449"/>
      <c r="AG1052" s="449"/>
      <c r="AH1052" s="449"/>
    </row>
    <row r="1053" ht="11.25" customHeight="1">
      <c r="A1053" s="450"/>
      <c r="B1053" s="472"/>
      <c r="C1053" s="473"/>
      <c r="D1053" s="473"/>
      <c r="E1053" s="474"/>
      <c r="F1053" s="474"/>
      <c r="G1053" s="475"/>
      <c r="H1053" s="475"/>
      <c r="I1053" s="476"/>
      <c r="J1053" s="477"/>
      <c r="K1053" s="478" t="s">
        <v>1418</v>
      </c>
      <c r="L1053" s="479"/>
      <c r="M1053" s="480"/>
      <c r="N1053" s="481"/>
      <c r="O1053" s="481"/>
      <c r="P1053" s="482"/>
      <c r="Q1053" s="479"/>
      <c r="R1053" s="480"/>
      <c r="S1053" s="480"/>
      <c r="T1053" s="480"/>
      <c r="U1053" s="480"/>
      <c r="V1053" s="480"/>
      <c r="W1053" s="480"/>
      <c r="X1053" s="480"/>
      <c r="Y1053" s="483">
        <f t="shared" si="17"/>
        <v>0</v>
      </c>
      <c r="Z1053" s="484"/>
      <c r="AA1053" s="485"/>
      <c r="AB1053" s="486"/>
      <c r="AC1053" s="486"/>
      <c r="AD1053" s="486"/>
      <c r="AE1053" s="487"/>
      <c r="AF1053" s="449"/>
      <c r="AG1053" s="449"/>
      <c r="AH1053" s="449"/>
    </row>
    <row r="1054" ht="11.25" customHeight="1">
      <c r="A1054" s="431" t="str">
        <f>IF(B1054="","", YEAR(B1054))</f>
        <v/>
      </c>
      <c r="B1054" s="432"/>
      <c r="C1054" s="433"/>
      <c r="D1054" s="433"/>
      <c r="E1054" s="434" t="str">
        <f t="shared" ref="E1054:I1054" si="534">IFERROR(AVERAGE(L1054:L1057),"")</f>
        <v/>
      </c>
      <c r="F1054" s="434" t="str">
        <f t="shared" si="534"/>
        <v/>
      </c>
      <c r="G1054" s="435" t="str">
        <f t="shared" si="534"/>
        <v/>
      </c>
      <c r="H1054" s="435" t="str">
        <f t="shared" si="534"/>
        <v/>
      </c>
      <c r="I1054" s="436" t="str">
        <f t="shared" si="534"/>
        <v/>
      </c>
      <c r="J1054" s="437">
        <f>SUMIFS(PRODUCTION[KG],PRODUCTION[GRADE],"3X50",PRODUCTION[DATE],B1054,PRODUCTION[BATCH],C1054,PRODUCTION[SHIFT],D1054)</f>
        <v>0</v>
      </c>
      <c r="K1054" s="438" t="s">
        <v>1414</v>
      </c>
      <c r="L1054" s="443"/>
      <c r="M1054" s="440"/>
      <c r="N1054" s="441"/>
      <c r="O1054" s="441"/>
      <c r="P1054" s="442"/>
      <c r="Q1054" s="443"/>
      <c r="R1054" s="440"/>
      <c r="S1054" s="440"/>
      <c r="T1054" s="440"/>
      <c r="U1054" s="440"/>
      <c r="V1054" s="440"/>
      <c r="W1054" s="440"/>
      <c r="X1054" s="440"/>
      <c r="Y1054" s="444">
        <f t="shared" si="17"/>
        <v>0</v>
      </c>
      <c r="Z1054" s="445"/>
      <c r="AA1054" s="446">
        <f t="shared" ref="AA1054:AE1054" si="535">$J1054*E1054</f>
        <v>0</v>
      </c>
      <c r="AB1054" s="447">
        <f t="shared" si="535"/>
        <v>0</v>
      </c>
      <c r="AC1054" s="447">
        <f t="shared" si="535"/>
        <v>0</v>
      </c>
      <c r="AD1054" s="447">
        <f t="shared" si="535"/>
        <v>0</v>
      </c>
      <c r="AE1054" s="448">
        <f t="shared" si="535"/>
        <v>0</v>
      </c>
      <c r="AF1054" s="449"/>
      <c r="AG1054" s="449"/>
      <c r="AH1054" s="449"/>
    </row>
    <row r="1055" ht="11.25" customHeight="1">
      <c r="A1055" s="450"/>
      <c r="B1055" s="451"/>
      <c r="C1055" s="452"/>
      <c r="D1055" s="452"/>
      <c r="E1055" s="453"/>
      <c r="F1055" s="453"/>
      <c r="G1055" s="454"/>
      <c r="H1055" s="454"/>
      <c r="I1055" s="455"/>
      <c r="J1055" s="456"/>
      <c r="K1055" s="457" t="s">
        <v>1416</v>
      </c>
      <c r="L1055" s="458"/>
      <c r="M1055" s="459"/>
      <c r="N1055" s="460"/>
      <c r="O1055" s="460"/>
      <c r="P1055" s="461"/>
      <c r="Q1055" s="458"/>
      <c r="R1055" s="459"/>
      <c r="S1055" s="459"/>
      <c r="T1055" s="459"/>
      <c r="U1055" s="459"/>
      <c r="V1055" s="459"/>
      <c r="W1055" s="459"/>
      <c r="X1055" s="459"/>
      <c r="Y1055" s="462">
        <f t="shared" si="17"/>
        <v>0</v>
      </c>
      <c r="Z1055" s="463"/>
      <c r="AA1055" s="464"/>
      <c r="AB1055" s="465"/>
      <c r="AC1055" s="465"/>
      <c r="AD1055" s="465"/>
      <c r="AE1055" s="466"/>
      <c r="AF1055" s="449"/>
      <c r="AG1055" s="449"/>
      <c r="AH1055" s="449"/>
    </row>
    <row r="1056" ht="11.25" customHeight="1">
      <c r="A1056" s="450"/>
      <c r="B1056" s="451"/>
      <c r="C1056" s="452"/>
      <c r="D1056" s="452"/>
      <c r="E1056" s="453"/>
      <c r="F1056" s="453"/>
      <c r="G1056" s="454"/>
      <c r="H1056" s="454"/>
      <c r="I1056" s="455"/>
      <c r="J1056" s="456"/>
      <c r="K1056" s="467" t="s">
        <v>1417</v>
      </c>
      <c r="L1056" s="468"/>
      <c r="M1056" s="469"/>
      <c r="N1056" s="470"/>
      <c r="O1056" s="470"/>
      <c r="P1056" s="471"/>
      <c r="Q1056" s="468"/>
      <c r="R1056" s="469"/>
      <c r="S1056" s="469"/>
      <c r="T1056" s="469"/>
      <c r="U1056" s="469"/>
      <c r="V1056" s="469"/>
      <c r="W1056" s="469"/>
      <c r="X1056" s="469"/>
      <c r="Y1056" s="462">
        <f t="shared" si="17"/>
        <v>0</v>
      </c>
      <c r="Z1056" s="463"/>
      <c r="AA1056" s="464"/>
      <c r="AB1056" s="465"/>
      <c r="AC1056" s="465"/>
      <c r="AD1056" s="465"/>
      <c r="AE1056" s="466"/>
      <c r="AF1056" s="449"/>
      <c r="AG1056" s="449"/>
      <c r="AH1056" s="449"/>
    </row>
    <row r="1057" ht="11.25" customHeight="1">
      <c r="A1057" s="450"/>
      <c r="B1057" s="472"/>
      <c r="C1057" s="473"/>
      <c r="D1057" s="473"/>
      <c r="E1057" s="474"/>
      <c r="F1057" s="474"/>
      <c r="G1057" s="475"/>
      <c r="H1057" s="475"/>
      <c r="I1057" s="476"/>
      <c r="J1057" s="477"/>
      <c r="K1057" s="478" t="s">
        <v>1418</v>
      </c>
      <c r="L1057" s="479"/>
      <c r="M1057" s="480"/>
      <c r="N1057" s="481"/>
      <c r="O1057" s="481"/>
      <c r="P1057" s="482"/>
      <c r="Q1057" s="479"/>
      <c r="R1057" s="480"/>
      <c r="S1057" s="480"/>
      <c r="T1057" s="480"/>
      <c r="U1057" s="480"/>
      <c r="V1057" s="480"/>
      <c r="W1057" s="480"/>
      <c r="X1057" s="480"/>
      <c r="Y1057" s="483">
        <f t="shared" si="17"/>
        <v>0</v>
      </c>
      <c r="Z1057" s="484"/>
      <c r="AA1057" s="485"/>
      <c r="AB1057" s="486"/>
      <c r="AC1057" s="486"/>
      <c r="AD1057" s="486"/>
      <c r="AE1057" s="487"/>
      <c r="AF1057" s="449"/>
      <c r="AG1057" s="449"/>
      <c r="AH1057" s="449"/>
    </row>
    <row r="1058" ht="11.25" customHeight="1">
      <c r="A1058" s="431" t="str">
        <f>IF(B1058="","", YEAR(B1058))</f>
        <v/>
      </c>
      <c r="B1058" s="432"/>
      <c r="C1058" s="433"/>
      <c r="D1058" s="433"/>
      <c r="E1058" s="434" t="str">
        <f t="shared" ref="E1058:I1058" si="536">IFERROR(AVERAGE(L1058:L1061),"")</f>
        <v/>
      </c>
      <c r="F1058" s="434" t="str">
        <f t="shared" si="536"/>
        <v/>
      </c>
      <c r="G1058" s="435" t="str">
        <f t="shared" si="536"/>
        <v/>
      </c>
      <c r="H1058" s="435" t="str">
        <f t="shared" si="536"/>
        <v/>
      </c>
      <c r="I1058" s="436" t="str">
        <f t="shared" si="536"/>
        <v/>
      </c>
      <c r="J1058" s="437">
        <f>SUMIFS(PRODUCTION[KG],PRODUCTION[GRADE],"3X50",PRODUCTION[DATE],B1058,PRODUCTION[BATCH],C1058,PRODUCTION[SHIFT],D1058)</f>
        <v>0</v>
      </c>
      <c r="K1058" s="438" t="s">
        <v>1414</v>
      </c>
      <c r="L1058" s="443"/>
      <c r="M1058" s="440"/>
      <c r="N1058" s="441"/>
      <c r="O1058" s="441"/>
      <c r="P1058" s="442"/>
      <c r="Q1058" s="443"/>
      <c r="R1058" s="440"/>
      <c r="S1058" s="440"/>
      <c r="T1058" s="440"/>
      <c r="U1058" s="440"/>
      <c r="V1058" s="440"/>
      <c r="W1058" s="440"/>
      <c r="X1058" s="440"/>
      <c r="Y1058" s="444">
        <f t="shared" si="17"/>
        <v>0</v>
      </c>
      <c r="Z1058" s="445"/>
      <c r="AA1058" s="446">
        <f t="shared" ref="AA1058:AE1058" si="537">$J1058*E1058</f>
        <v>0</v>
      </c>
      <c r="AB1058" s="447">
        <f t="shared" si="537"/>
        <v>0</v>
      </c>
      <c r="AC1058" s="447">
        <f t="shared" si="537"/>
        <v>0</v>
      </c>
      <c r="AD1058" s="447">
        <f t="shared" si="537"/>
        <v>0</v>
      </c>
      <c r="AE1058" s="448">
        <f t="shared" si="537"/>
        <v>0</v>
      </c>
      <c r="AF1058" s="449"/>
      <c r="AG1058" s="449"/>
      <c r="AH1058" s="449"/>
    </row>
    <row r="1059" ht="11.25" customHeight="1">
      <c r="A1059" s="450"/>
      <c r="B1059" s="451"/>
      <c r="C1059" s="452"/>
      <c r="D1059" s="452"/>
      <c r="E1059" s="453"/>
      <c r="F1059" s="453"/>
      <c r="G1059" s="454"/>
      <c r="H1059" s="454"/>
      <c r="I1059" s="455"/>
      <c r="J1059" s="456"/>
      <c r="K1059" s="457" t="s">
        <v>1416</v>
      </c>
      <c r="L1059" s="458"/>
      <c r="M1059" s="459"/>
      <c r="N1059" s="460"/>
      <c r="O1059" s="460"/>
      <c r="P1059" s="461"/>
      <c r="Q1059" s="458"/>
      <c r="R1059" s="459"/>
      <c r="S1059" s="459"/>
      <c r="T1059" s="459"/>
      <c r="U1059" s="459"/>
      <c r="V1059" s="459"/>
      <c r="W1059" s="459"/>
      <c r="X1059" s="459"/>
      <c r="Y1059" s="462">
        <f t="shared" si="17"/>
        <v>0</v>
      </c>
      <c r="Z1059" s="463"/>
      <c r="AA1059" s="464"/>
      <c r="AB1059" s="465"/>
      <c r="AC1059" s="465"/>
      <c r="AD1059" s="465"/>
      <c r="AE1059" s="466"/>
      <c r="AF1059" s="449"/>
      <c r="AG1059" s="449"/>
      <c r="AH1059" s="449"/>
    </row>
    <row r="1060" ht="11.25" customHeight="1">
      <c r="A1060" s="450"/>
      <c r="B1060" s="451"/>
      <c r="C1060" s="452"/>
      <c r="D1060" s="452"/>
      <c r="E1060" s="453"/>
      <c r="F1060" s="453"/>
      <c r="G1060" s="454"/>
      <c r="H1060" s="454"/>
      <c r="I1060" s="455"/>
      <c r="J1060" s="456"/>
      <c r="K1060" s="467" t="s">
        <v>1417</v>
      </c>
      <c r="L1060" s="468"/>
      <c r="M1060" s="469"/>
      <c r="N1060" s="470"/>
      <c r="O1060" s="470"/>
      <c r="P1060" s="471"/>
      <c r="Q1060" s="468"/>
      <c r="R1060" s="469"/>
      <c r="S1060" s="469"/>
      <c r="T1060" s="469"/>
      <c r="U1060" s="469"/>
      <c r="V1060" s="469"/>
      <c r="W1060" s="469"/>
      <c r="X1060" s="469"/>
      <c r="Y1060" s="462">
        <f t="shared" si="17"/>
        <v>0</v>
      </c>
      <c r="Z1060" s="463"/>
      <c r="AA1060" s="464"/>
      <c r="AB1060" s="465"/>
      <c r="AC1060" s="465"/>
      <c r="AD1060" s="465"/>
      <c r="AE1060" s="466"/>
      <c r="AF1060" s="449"/>
      <c r="AG1060" s="449"/>
      <c r="AH1060" s="449"/>
    </row>
    <row r="1061" ht="11.25" customHeight="1">
      <c r="A1061" s="450"/>
      <c r="B1061" s="472"/>
      <c r="C1061" s="473"/>
      <c r="D1061" s="473"/>
      <c r="E1061" s="474"/>
      <c r="F1061" s="474"/>
      <c r="G1061" s="475"/>
      <c r="H1061" s="475"/>
      <c r="I1061" s="476"/>
      <c r="J1061" s="477"/>
      <c r="K1061" s="478" t="s">
        <v>1418</v>
      </c>
      <c r="L1061" s="479"/>
      <c r="M1061" s="480"/>
      <c r="N1061" s="481"/>
      <c r="O1061" s="481"/>
      <c r="P1061" s="482"/>
      <c r="Q1061" s="479"/>
      <c r="R1061" s="480"/>
      <c r="S1061" s="480"/>
      <c r="T1061" s="480"/>
      <c r="U1061" s="480"/>
      <c r="V1061" s="480"/>
      <c r="W1061" s="480"/>
      <c r="X1061" s="480"/>
      <c r="Y1061" s="483">
        <f t="shared" si="17"/>
        <v>0</v>
      </c>
      <c r="Z1061" s="484"/>
      <c r="AA1061" s="485"/>
      <c r="AB1061" s="486"/>
      <c r="AC1061" s="486"/>
      <c r="AD1061" s="486"/>
      <c r="AE1061" s="487"/>
      <c r="AF1061" s="449"/>
      <c r="AG1061" s="449"/>
      <c r="AH1061" s="449"/>
    </row>
    <row r="1062" ht="11.25" customHeight="1">
      <c r="A1062" s="431" t="str">
        <f>IF(B1062="","", YEAR(B1062))</f>
        <v/>
      </c>
      <c r="B1062" s="432"/>
      <c r="C1062" s="433"/>
      <c r="D1062" s="433"/>
      <c r="E1062" s="434" t="str">
        <f t="shared" ref="E1062:I1062" si="538">IFERROR(AVERAGE(L1062:L1065),"")</f>
        <v/>
      </c>
      <c r="F1062" s="434" t="str">
        <f t="shared" si="538"/>
        <v/>
      </c>
      <c r="G1062" s="435" t="str">
        <f t="shared" si="538"/>
        <v/>
      </c>
      <c r="H1062" s="435" t="str">
        <f t="shared" si="538"/>
        <v/>
      </c>
      <c r="I1062" s="436" t="str">
        <f t="shared" si="538"/>
        <v/>
      </c>
      <c r="J1062" s="437">
        <f>SUMIFS(PRODUCTION[KG],PRODUCTION[GRADE],"3X50",PRODUCTION[DATE],B1062,PRODUCTION[BATCH],C1062,PRODUCTION[SHIFT],D1062)</f>
        <v>0</v>
      </c>
      <c r="K1062" s="438" t="s">
        <v>1414</v>
      </c>
      <c r="L1062" s="443"/>
      <c r="M1062" s="440"/>
      <c r="N1062" s="441"/>
      <c r="O1062" s="441"/>
      <c r="P1062" s="442"/>
      <c r="Q1062" s="443"/>
      <c r="R1062" s="440"/>
      <c r="S1062" s="440"/>
      <c r="T1062" s="440"/>
      <c r="U1062" s="440"/>
      <c r="V1062" s="440"/>
      <c r="W1062" s="440"/>
      <c r="X1062" s="440"/>
      <c r="Y1062" s="444">
        <f t="shared" si="17"/>
        <v>0</v>
      </c>
      <c r="Z1062" s="445"/>
      <c r="AA1062" s="446">
        <f t="shared" ref="AA1062:AE1062" si="539">$J1062*E1062</f>
        <v>0</v>
      </c>
      <c r="AB1062" s="447">
        <f t="shared" si="539"/>
        <v>0</v>
      </c>
      <c r="AC1062" s="447">
        <f t="shared" si="539"/>
        <v>0</v>
      </c>
      <c r="AD1062" s="447">
        <f t="shared" si="539"/>
        <v>0</v>
      </c>
      <c r="AE1062" s="448">
        <f t="shared" si="539"/>
        <v>0</v>
      </c>
      <c r="AF1062" s="449"/>
      <c r="AG1062" s="449"/>
      <c r="AH1062" s="449"/>
    </row>
    <row r="1063" ht="11.25" customHeight="1">
      <c r="A1063" s="450"/>
      <c r="B1063" s="451"/>
      <c r="C1063" s="452"/>
      <c r="D1063" s="452"/>
      <c r="E1063" s="453"/>
      <c r="F1063" s="453"/>
      <c r="G1063" s="454"/>
      <c r="H1063" s="454"/>
      <c r="I1063" s="455"/>
      <c r="J1063" s="456"/>
      <c r="K1063" s="457" t="s">
        <v>1416</v>
      </c>
      <c r="L1063" s="458"/>
      <c r="M1063" s="459"/>
      <c r="N1063" s="460"/>
      <c r="O1063" s="460"/>
      <c r="P1063" s="461"/>
      <c r="Q1063" s="458"/>
      <c r="R1063" s="459"/>
      <c r="S1063" s="459"/>
      <c r="T1063" s="459"/>
      <c r="U1063" s="459"/>
      <c r="V1063" s="459"/>
      <c r="W1063" s="459"/>
      <c r="X1063" s="459"/>
      <c r="Y1063" s="462">
        <f t="shared" si="17"/>
        <v>0</v>
      </c>
      <c r="Z1063" s="463"/>
      <c r="AA1063" s="464"/>
      <c r="AB1063" s="465"/>
      <c r="AC1063" s="465"/>
      <c r="AD1063" s="465"/>
      <c r="AE1063" s="466"/>
      <c r="AF1063" s="449"/>
      <c r="AG1063" s="449"/>
      <c r="AH1063" s="449"/>
    </row>
    <row r="1064" ht="11.25" customHeight="1">
      <c r="A1064" s="450"/>
      <c r="B1064" s="451"/>
      <c r="C1064" s="452"/>
      <c r="D1064" s="452"/>
      <c r="E1064" s="453"/>
      <c r="F1064" s="453"/>
      <c r="G1064" s="454"/>
      <c r="H1064" s="454"/>
      <c r="I1064" s="455"/>
      <c r="J1064" s="456"/>
      <c r="K1064" s="467" t="s">
        <v>1417</v>
      </c>
      <c r="L1064" s="468"/>
      <c r="M1064" s="469"/>
      <c r="N1064" s="470"/>
      <c r="O1064" s="470"/>
      <c r="P1064" s="471"/>
      <c r="Q1064" s="468"/>
      <c r="R1064" s="469"/>
      <c r="S1064" s="469"/>
      <c r="T1064" s="469"/>
      <c r="U1064" s="469"/>
      <c r="V1064" s="469"/>
      <c r="W1064" s="469"/>
      <c r="X1064" s="469"/>
      <c r="Y1064" s="462">
        <f t="shared" si="17"/>
        <v>0</v>
      </c>
      <c r="Z1064" s="463"/>
      <c r="AA1064" s="464"/>
      <c r="AB1064" s="465"/>
      <c r="AC1064" s="465"/>
      <c r="AD1064" s="465"/>
      <c r="AE1064" s="466"/>
      <c r="AF1064" s="449"/>
      <c r="AG1064" s="449"/>
      <c r="AH1064" s="449"/>
    </row>
    <row r="1065" ht="11.25" customHeight="1">
      <c r="A1065" s="450"/>
      <c r="B1065" s="472"/>
      <c r="C1065" s="473"/>
      <c r="D1065" s="473"/>
      <c r="E1065" s="474"/>
      <c r="F1065" s="474"/>
      <c r="G1065" s="475"/>
      <c r="H1065" s="475"/>
      <c r="I1065" s="476"/>
      <c r="J1065" s="477"/>
      <c r="K1065" s="478" t="s">
        <v>1418</v>
      </c>
      <c r="L1065" s="479"/>
      <c r="M1065" s="480"/>
      <c r="N1065" s="481"/>
      <c r="O1065" s="481"/>
      <c r="P1065" s="482"/>
      <c r="Q1065" s="479"/>
      <c r="R1065" s="480"/>
      <c r="S1065" s="480"/>
      <c r="T1065" s="480"/>
      <c r="U1065" s="480"/>
      <c r="V1065" s="480"/>
      <c r="W1065" s="480"/>
      <c r="X1065" s="480"/>
      <c r="Y1065" s="483">
        <f t="shared" si="17"/>
        <v>0</v>
      </c>
      <c r="Z1065" s="484"/>
      <c r="AA1065" s="485"/>
      <c r="AB1065" s="486"/>
      <c r="AC1065" s="486"/>
      <c r="AD1065" s="486"/>
      <c r="AE1065" s="487"/>
      <c r="AF1065" s="449"/>
      <c r="AG1065" s="449"/>
      <c r="AH1065" s="449"/>
    </row>
    <row r="1066" ht="11.25" customHeight="1">
      <c r="A1066" s="431" t="str">
        <f>IF(B1066="","", YEAR(B1066))</f>
        <v/>
      </c>
      <c r="B1066" s="432"/>
      <c r="C1066" s="433"/>
      <c r="D1066" s="433"/>
      <c r="E1066" s="434" t="str">
        <f t="shared" ref="E1066:I1066" si="540">IFERROR(AVERAGE(L1066:L1069),"")</f>
        <v/>
      </c>
      <c r="F1066" s="434" t="str">
        <f t="shared" si="540"/>
        <v/>
      </c>
      <c r="G1066" s="435" t="str">
        <f t="shared" si="540"/>
        <v/>
      </c>
      <c r="H1066" s="435" t="str">
        <f t="shared" si="540"/>
        <v/>
      </c>
      <c r="I1066" s="436" t="str">
        <f t="shared" si="540"/>
        <v/>
      </c>
      <c r="J1066" s="437">
        <f>SUMIFS(PRODUCTION[KG],PRODUCTION[GRADE],"3X50",PRODUCTION[DATE],B1066,PRODUCTION[BATCH],C1066,PRODUCTION[SHIFT],D1066)</f>
        <v>0</v>
      </c>
      <c r="K1066" s="438" t="s">
        <v>1414</v>
      </c>
      <c r="L1066" s="443"/>
      <c r="M1066" s="440"/>
      <c r="N1066" s="441"/>
      <c r="O1066" s="441"/>
      <c r="P1066" s="442"/>
      <c r="Q1066" s="443"/>
      <c r="R1066" s="440"/>
      <c r="S1066" s="440"/>
      <c r="T1066" s="440"/>
      <c r="U1066" s="440"/>
      <c r="V1066" s="440"/>
      <c r="W1066" s="440"/>
      <c r="X1066" s="440"/>
      <c r="Y1066" s="444">
        <f t="shared" si="17"/>
        <v>0</v>
      </c>
      <c r="Z1066" s="445"/>
      <c r="AA1066" s="446">
        <f t="shared" ref="AA1066:AE1066" si="541">$J1066*E1066</f>
        <v>0</v>
      </c>
      <c r="AB1066" s="447">
        <f t="shared" si="541"/>
        <v>0</v>
      </c>
      <c r="AC1066" s="447">
        <f t="shared" si="541"/>
        <v>0</v>
      </c>
      <c r="AD1066" s="447">
        <f t="shared" si="541"/>
        <v>0</v>
      </c>
      <c r="AE1066" s="448">
        <f t="shared" si="541"/>
        <v>0</v>
      </c>
      <c r="AF1066" s="449"/>
      <c r="AG1066" s="449"/>
      <c r="AH1066" s="449"/>
    </row>
    <row r="1067" ht="11.25" customHeight="1">
      <c r="A1067" s="450"/>
      <c r="B1067" s="451"/>
      <c r="C1067" s="452"/>
      <c r="D1067" s="452"/>
      <c r="E1067" s="453"/>
      <c r="F1067" s="453"/>
      <c r="G1067" s="454"/>
      <c r="H1067" s="454"/>
      <c r="I1067" s="455"/>
      <c r="J1067" s="456"/>
      <c r="K1067" s="457" t="s">
        <v>1416</v>
      </c>
      <c r="L1067" s="458"/>
      <c r="M1067" s="459"/>
      <c r="N1067" s="460"/>
      <c r="O1067" s="460"/>
      <c r="P1067" s="461"/>
      <c r="Q1067" s="458"/>
      <c r="R1067" s="459"/>
      <c r="S1067" s="459"/>
      <c r="T1067" s="459"/>
      <c r="U1067" s="459"/>
      <c r="V1067" s="459"/>
      <c r="W1067" s="459"/>
      <c r="X1067" s="459"/>
      <c r="Y1067" s="462">
        <f t="shared" si="17"/>
        <v>0</v>
      </c>
      <c r="Z1067" s="463"/>
      <c r="AA1067" s="464"/>
      <c r="AB1067" s="465"/>
      <c r="AC1067" s="465"/>
      <c r="AD1067" s="465"/>
      <c r="AE1067" s="466"/>
      <c r="AF1067" s="449"/>
      <c r="AG1067" s="449"/>
      <c r="AH1067" s="449"/>
    </row>
    <row r="1068" ht="11.25" customHeight="1">
      <c r="A1068" s="450"/>
      <c r="B1068" s="451"/>
      <c r="C1068" s="452"/>
      <c r="D1068" s="452"/>
      <c r="E1068" s="453"/>
      <c r="F1068" s="453"/>
      <c r="G1068" s="454"/>
      <c r="H1068" s="454"/>
      <c r="I1068" s="455"/>
      <c r="J1068" s="456"/>
      <c r="K1068" s="467" t="s">
        <v>1417</v>
      </c>
      <c r="L1068" s="468"/>
      <c r="M1068" s="469"/>
      <c r="N1068" s="470"/>
      <c r="O1068" s="470"/>
      <c r="P1068" s="471"/>
      <c r="Q1068" s="468"/>
      <c r="R1068" s="469"/>
      <c r="S1068" s="469"/>
      <c r="T1068" s="469"/>
      <c r="U1068" s="469"/>
      <c r="V1068" s="469"/>
      <c r="W1068" s="469"/>
      <c r="X1068" s="469"/>
      <c r="Y1068" s="462">
        <f t="shared" si="17"/>
        <v>0</v>
      </c>
      <c r="Z1068" s="463"/>
      <c r="AA1068" s="464"/>
      <c r="AB1068" s="465"/>
      <c r="AC1068" s="465"/>
      <c r="AD1068" s="465"/>
      <c r="AE1068" s="466"/>
      <c r="AF1068" s="449"/>
      <c r="AG1068" s="449"/>
      <c r="AH1068" s="449"/>
    </row>
    <row r="1069" ht="11.25" customHeight="1">
      <c r="A1069" s="450"/>
      <c r="B1069" s="472"/>
      <c r="C1069" s="473"/>
      <c r="D1069" s="473"/>
      <c r="E1069" s="474"/>
      <c r="F1069" s="474"/>
      <c r="G1069" s="475"/>
      <c r="H1069" s="475"/>
      <c r="I1069" s="476"/>
      <c r="J1069" s="477"/>
      <c r="K1069" s="478" t="s">
        <v>1418</v>
      </c>
      <c r="L1069" s="479"/>
      <c r="M1069" s="480"/>
      <c r="N1069" s="481"/>
      <c r="O1069" s="481"/>
      <c r="P1069" s="482"/>
      <c r="Q1069" s="479"/>
      <c r="R1069" s="480"/>
      <c r="S1069" s="480"/>
      <c r="T1069" s="480"/>
      <c r="U1069" s="480"/>
      <c r="V1069" s="480"/>
      <c r="W1069" s="480"/>
      <c r="X1069" s="480"/>
      <c r="Y1069" s="483">
        <f t="shared" si="17"/>
        <v>0</v>
      </c>
      <c r="Z1069" s="484"/>
      <c r="AA1069" s="485"/>
      <c r="AB1069" s="486"/>
      <c r="AC1069" s="486"/>
      <c r="AD1069" s="486"/>
      <c r="AE1069" s="487"/>
      <c r="AF1069" s="449"/>
      <c r="AG1069" s="449"/>
      <c r="AH1069" s="449"/>
    </row>
    <row r="1070" ht="11.25" customHeight="1">
      <c r="A1070" s="431" t="str">
        <f>IF(B1070="","", YEAR(B1070))</f>
        <v/>
      </c>
      <c r="B1070" s="432"/>
      <c r="C1070" s="433"/>
      <c r="D1070" s="433"/>
      <c r="E1070" s="434" t="str">
        <f t="shared" ref="E1070:I1070" si="542">IFERROR(AVERAGE(L1070:L1073),"")</f>
        <v/>
      </c>
      <c r="F1070" s="434" t="str">
        <f t="shared" si="542"/>
        <v/>
      </c>
      <c r="G1070" s="435" t="str">
        <f t="shared" si="542"/>
        <v/>
      </c>
      <c r="H1070" s="435" t="str">
        <f t="shared" si="542"/>
        <v/>
      </c>
      <c r="I1070" s="436" t="str">
        <f t="shared" si="542"/>
        <v/>
      </c>
      <c r="J1070" s="437">
        <f>SUMIFS(PRODUCTION[KG],PRODUCTION[GRADE],"3X50",PRODUCTION[DATE],B1070,PRODUCTION[BATCH],C1070,PRODUCTION[SHIFT],D1070)</f>
        <v>0</v>
      </c>
      <c r="K1070" s="438" t="s">
        <v>1414</v>
      </c>
      <c r="L1070" s="443"/>
      <c r="M1070" s="440"/>
      <c r="N1070" s="441"/>
      <c r="O1070" s="441"/>
      <c r="P1070" s="442"/>
      <c r="Q1070" s="443"/>
      <c r="R1070" s="440"/>
      <c r="S1070" s="440"/>
      <c r="T1070" s="440"/>
      <c r="U1070" s="440"/>
      <c r="V1070" s="440"/>
      <c r="W1070" s="440"/>
      <c r="X1070" s="440"/>
      <c r="Y1070" s="444">
        <f t="shared" si="17"/>
        <v>0</v>
      </c>
      <c r="Z1070" s="445"/>
      <c r="AA1070" s="446">
        <f t="shared" ref="AA1070:AE1070" si="543">$J1070*E1070</f>
        <v>0</v>
      </c>
      <c r="AB1070" s="447">
        <f t="shared" si="543"/>
        <v>0</v>
      </c>
      <c r="AC1070" s="447">
        <f t="shared" si="543"/>
        <v>0</v>
      </c>
      <c r="AD1070" s="447">
        <f t="shared" si="543"/>
        <v>0</v>
      </c>
      <c r="AE1070" s="448">
        <f t="shared" si="543"/>
        <v>0</v>
      </c>
      <c r="AF1070" s="449"/>
      <c r="AG1070" s="449"/>
      <c r="AH1070" s="449"/>
    </row>
    <row r="1071" ht="11.25" customHeight="1">
      <c r="A1071" s="450"/>
      <c r="B1071" s="451"/>
      <c r="C1071" s="452"/>
      <c r="D1071" s="452"/>
      <c r="E1071" s="453"/>
      <c r="F1071" s="453"/>
      <c r="G1071" s="454"/>
      <c r="H1071" s="454"/>
      <c r="I1071" s="455"/>
      <c r="J1071" s="456"/>
      <c r="K1071" s="457" t="s">
        <v>1416</v>
      </c>
      <c r="L1071" s="458"/>
      <c r="M1071" s="459"/>
      <c r="N1071" s="460"/>
      <c r="O1071" s="460"/>
      <c r="P1071" s="461"/>
      <c r="Q1071" s="458"/>
      <c r="R1071" s="459"/>
      <c r="S1071" s="459"/>
      <c r="T1071" s="459"/>
      <c r="U1071" s="459"/>
      <c r="V1071" s="459"/>
      <c r="W1071" s="459"/>
      <c r="X1071" s="459"/>
      <c r="Y1071" s="462">
        <f t="shared" si="17"/>
        <v>0</v>
      </c>
      <c r="Z1071" s="463"/>
      <c r="AA1071" s="464"/>
      <c r="AB1071" s="465"/>
      <c r="AC1071" s="465"/>
      <c r="AD1071" s="465"/>
      <c r="AE1071" s="466"/>
      <c r="AF1071" s="449"/>
      <c r="AG1071" s="449"/>
      <c r="AH1071" s="449"/>
    </row>
    <row r="1072" ht="11.25" customHeight="1">
      <c r="A1072" s="450"/>
      <c r="B1072" s="451"/>
      <c r="C1072" s="452"/>
      <c r="D1072" s="452"/>
      <c r="E1072" s="453"/>
      <c r="F1072" s="453"/>
      <c r="G1072" s="454"/>
      <c r="H1072" s="454"/>
      <c r="I1072" s="455"/>
      <c r="J1072" s="456"/>
      <c r="K1072" s="467" t="s">
        <v>1417</v>
      </c>
      <c r="L1072" s="468"/>
      <c r="M1072" s="469"/>
      <c r="N1072" s="470"/>
      <c r="O1072" s="470"/>
      <c r="P1072" s="471"/>
      <c r="Q1072" s="468"/>
      <c r="R1072" s="469"/>
      <c r="S1072" s="469"/>
      <c r="T1072" s="469"/>
      <c r="U1072" s="469"/>
      <c r="V1072" s="469"/>
      <c r="W1072" s="469"/>
      <c r="X1072" s="469"/>
      <c r="Y1072" s="462">
        <f t="shared" si="17"/>
        <v>0</v>
      </c>
      <c r="Z1072" s="463"/>
      <c r="AA1072" s="464"/>
      <c r="AB1072" s="465"/>
      <c r="AC1072" s="465"/>
      <c r="AD1072" s="465"/>
      <c r="AE1072" s="466"/>
      <c r="AF1072" s="449"/>
      <c r="AG1072" s="449"/>
      <c r="AH1072" s="449"/>
    </row>
    <row r="1073" ht="11.25" customHeight="1">
      <c r="A1073" s="450"/>
      <c r="B1073" s="472"/>
      <c r="C1073" s="473"/>
      <c r="D1073" s="473"/>
      <c r="E1073" s="474"/>
      <c r="F1073" s="474"/>
      <c r="G1073" s="475"/>
      <c r="H1073" s="475"/>
      <c r="I1073" s="476"/>
      <c r="J1073" s="477"/>
      <c r="K1073" s="478" t="s">
        <v>1418</v>
      </c>
      <c r="L1073" s="479"/>
      <c r="M1073" s="480"/>
      <c r="N1073" s="481"/>
      <c r="O1073" s="481"/>
      <c r="P1073" s="482"/>
      <c r="Q1073" s="479"/>
      <c r="R1073" s="480"/>
      <c r="S1073" s="480"/>
      <c r="T1073" s="480"/>
      <c r="U1073" s="480"/>
      <c r="V1073" s="480"/>
      <c r="W1073" s="480"/>
      <c r="X1073" s="480"/>
      <c r="Y1073" s="483">
        <f t="shared" si="17"/>
        <v>0</v>
      </c>
      <c r="Z1073" s="484"/>
      <c r="AA1073" s="485"/>
      <c r="AB1073" s="486"/>
      <c r="AC1073" s="486"/>
      <c r="AD1073" s="486"/>
      <c r="AE1073" s="487"/>
      <c r="AF1073" s="449"/>
      <c r="AG1073" s="449"/>
      <c r="AH1073" s="449"/>
    </row>
    <row r="1074" ht="11.25" customHeight="1">
      <c r="A1074" s="431" t="str">
        <f>IF(B1074="","", YEAR(B1074))</f>
        <v/>
      </c>
      <c r="B1074" s="432"/>
      <c r="C1074" s="433"/>
      <c r="D1074" s="433"/>
      <c r="E1074" s="434" t="str">
        <f t="shared" ref="E1074:I1074" si="544">IFERROR(AVERAGE(L1074:L1077),"")</f>
        <v/>
      </c>
      <c r="F1074" s="434" t="str">
        <f t="shared" si="544"/>
        <v/>
      </c>
      <c r="G1074" s="435" t="str">
        <f t="shared" si="544"/>
        <v/>
      </c>
      <c r="H1074" s="435" t="str">
        <f t="shared" si="544"/>
        <v/>
      </c>
      <c r="I1074" s="436" t="str">
        <f t="shared" si="544"/>
        <v/>
      </c>
      <c r="J1074" s="437">
        <f>SUMIFS(PRODUCTION[KG],PRODUCTION[GRADE],"3X50",PRODUCTION[DATE],B1074,PRODUCTION[BATCH],C1074,PRODUCTION[SHIFT],D1074)</f>
        <v>0</v>
      </c>
      <c r="K1074" s="438" t="s">
        <v>1414</v>
      </c>
      <c r="L1074" s="443"/>
      <c r="M1074" s="440"/>
      <c r="N1074" s="441"/>
      <c r="O1074" s="441"/>
      <c r="P1074" s="442"/>
      <c r="Q1074" s="443"/>
      <c r="R1074" s="440"/>
      <c r="S1074" s="440"/>
      <c r="T1074" s="440"/>
      <c r="U1074" s="440"/>
      <c r="V1074" s="440"/>
      <c r="W1074" s="440"/>
      <c r="X1074" s="440"/>
      <c r="Y1074" s="444">
        <f t="shared" si="17"/>
        <v>0</v>
      </c>
      <c r="Z1074" s="445"/>
      <c r="AA1074" s="446">
        <f t="shared" ref="AA1074:AE1074" si="545">$J1074*E1074</f>
        <v>0</v>
      </c>
      <c r="AB1074" s="447">
        <f t="shared" si="545"/>
        <v>0</v>
      </c>
      <c r="AC1074" s="447">
        <f t="shared" si="545"/>
        <v>0</v>
      </c>
      <c r="AD1074" s="447">
        <f t="shared" si="545"/>
        <v>0</v>
      </c>
      <c r="AE1074" s="448">
        <f t="shared" si="545"/>
        <v>0</v>
      </c>
      <c r="AF1074" s="449"/>
      <c r="AG1074" s="449"/>
      <c r="AH1074" s="449"/>
    </row>
    <row r="1075" ht="11.25" customHeight="1">
      <c r="A1075" s="450"/>
      <c r="B1075" s="451"/>
      <c r="C1075" s="452"/>
      <c r="D1075" s="452"/>
      <c r="E1075" s="453"/>
      <c r="F1075" s="453"/>
      <c r="G1075" s="454"/>
      <c r="H1075" s="454"/>
      <c r="I1075" s="455"/>
      <c r="J1075" s="456"/>
      <c r="K1075" s="457" t="s">
        <v>1416</v>
      </c>
      <c r="L1075" s="458"/>
      <c r="M1075" s="459"/>
      <c r="N1075" s="460"/>
      <c r="O1075" s="460"/>
      <c r="P1075" s="461"/>
      <c r="Q1075" s="458"/>
      <c r="R1075" s="459"/>
      <c r="S1075" s="459"/>
      <c r="T1075" s="459"/>
      <c r="U1075" s="459"/>
      <c r="V1075" s="459"/>
      <c r="W1075" s="459"/>
      <c r="X1075" s="459"/>
      <c r="Y1075" s="462">
        <f t="shared" si="17"/>
        <v>0</v>
      </c>
      <c r="Z1075" s="463"/>
      <c r="AA1075" s="464"/>
      <c r="AB1075" s="465"/>
      <c r="AC1075" s="465"/>
      <c r="AD1075" s="465"/>
      <c r="AE1075" s="466"/>
      <c r="AF1075" s="449"/>
      <c r="AG1075" s="449"/>
      <c r="AH1075" s="449"/>
    </row>
    <row r="1076" ht="11.25" customHeight="1">
      <c r="A1076" s="450"/>
      <c r="B1076" s="451"/>
      <c r="C1076" s="452"/>
      <c r="D1076" s="452"/>
      <c r="E1076" s="453"/>
      <c r="F1076" s="453"/>
      <c r="G1076" s="454"/>
      <c r="H1076" s="454"/>
      <c r="I1076" s="455"/>
      <c r="J1076" s="456"/>
      <c r="K1076" s="467" t="s">
        <v>1417</v>
      </c>
      <c r="L1076" s="468"/>
      <c r="M1076" s="469"/>
      <c r="N1076" s="470"/>
      <c r="O1076" s="470"/>
      <c r="P1076" s="471"/>
      <c r="Q1076" s="468"/>
      <c r="R1076" s="469"/>
      <c r="S1076" s="469"/>
      <c r="T1076" s="469"/>
      <c r="U1076" s="469"/>
      <c r="V1076" s="469"/>
      <c r="W1076" s="469"/>
      <c r="X1076" s="469"/>
      <c r="Y1076" s="462">
        <f t="shared" si="17"/>
        <v>0</v>
      </c>
      <c r="Z1076" s="463"/>
      <c r="AA1076" s="464"/>
      <c r="AB1076" s="465"/>
      <c r="AC1076" s="465"/>
      <c r="AD1076" s="465"/>
      <c r="AE1076" s="466"/>
      <c r="AF1076" s="449"/>
      <c r="AG1076" s="449"/>
      <c r="AH1076" s="449"/>
    </row>
    <row r="1077" ht="11.25" customHeight="1">
      <c r="A1077" s="450"/>
      <c r="B1077" s="472"/>
      <c r="C1077" s="473"/>
      <c r="D1077" s="473"/>
      <c r="E1077" s="474"/>
      <c r="F1077" s="474"/>
      <c r="G1077" s="475"/>
      <c r="H1077" s="475"/>
      <c r="I1077" s="476"/>
      <c r="J1077" s="477"/>
      <c r="K1077" s="478" t="s">
        <v>1418</v>
      </c>
      <c r="L1077" s="479"/>
      <c r="M1077" s="480"/>
      <c r="N1077" s="481"/>
      <c r="O1077" s="481"/>
      <c r="P1077" s="482"/>
      <c r="Q1077" s="479"/>
      <c r="R1077" s="480"/>
      <c r="S1077" s="480"/>
      <c r="T1077" s="480"/>
      <c r="U1077" s="480"/>
      <c r="V1077" s="480"/>
      <c r="W1077" s="480"/>
      <c r="X1077" s="480"/>
      <c r="Y1077" s="483">
        <f t="shared" si="17"/>
        <v>0</v>
      </c>
      <c r="Z1077" s="484"/>
      <c r="AA1077" s="485"/>
      <c r="AB1077" s="486"/>
      <c r="AC1077" s="486"/>
      <c r="AD1077" s="486"/>
      <c r="AE1077" s="487"/>
      <c r="AF1077" s="449"/>
      <c r="AG1077" s="449"/>
      <c r="AH1077" s="449"/>
    </row>
    <row r="1078" ht="11.25" customHeight="1">
      <c r="A1078" s="431" t="str">
        <f>IF(B1078="","", YEAR(B1078))</f>
        <v/>
      </c>
      <c r="B1078" s="432"/>
      <c r="C1078" s="433"/>
      <c r="D1078" s="433"/>
      <c r="E1078" s="434" t="str">
        <f t="shared" ref="E1078:I1078" si="546">IFERROR(AVERAGE(L1078:L1081),"")</f>
        <v/>
      </c>
      <c r="F1078" s="434" t="str">
        <f t="shared" si="546"/>
        <v/>
      </c>
      <c r="G1078" s="435" t="str">
        <f t="shared" si="546"/>
        <v/>
      </c>
      <c r="H1078" s="435" t="str">
        <f t="shared" si="546"/>
        <v/>
      </c>
      <c r="I1078" s="436" t="str">
        <f t="shared" si="546"/>
        <v/>
      </c>
      <c r="J1078" s="437">
        <f>SUMIFS(PRODUCTION[KG],PRODUCTION[GRADE],"3X50",PRODUCTION[DATE],B1078,PRODUCTION[BATCH],C1078,PRODUCTION[SHIFT],D1078)</f>
        <v>0</v>
      </c>
      <c r="K1078" s="438" t="s">
        <v>1414</v>
      </c>
      <c r="L1078" s="443"/>
      <c r="M1078" s="440"/>
      <c r="N1078" s="441"/>
      <c r="O1078" s="441"/>
      <c r="P1078" s="442"/>
      <c r="Q1078" s="443"/>
      <c r="R1078" s="440"/>
      <c r="S1078" s="440"/>
      <c r="T1078" s="440"/>
      <c r="U1078" s="440"/>
      <c r="V1078" s="440"/>
      <c r="W1078" s="440"/>
      <c r="X1078" s="440"/>
      <c r="Y1078" s="444">
        <f t="shared" si="17"/>
        <v>0</v>
      </c>
      <c r="Z1078" s="445"/>
      <c r="AA1078" s="446">
        <f t="shared" ref="AA1078:AE1078" si="547">$J1078*E1078</f>
        <v>0</v>
      </c>
      <c r="AB1078" s="447">
        <f t="shared" si="547"/>
        <v>0</v>
      </c>
      <c r="AC1078" s="447">
        <f t="shared" si="547"/>
        <v>0</v>
      </c>
      <c r="AD1078" s="447">
        <f t="shared" si="547"/>
        <v>0</v>
      </c>
      <c r="AE1078" s="448">
        <f t="shared" si="547"/>
        <v>0</v>
      </c>
      <c r="AF1078" s="449"/>
      <c r="AG1078" s="449"/>
      <c r="AH1078" s="449"/>
    </row>
    <row r="1079" ht="11.25" customHeight="1">
      <c r="A1079" s="450"/>
      <c r="B1079" s="451"/>
      <c r="C1079" s="452"/>
      <c r="D1079" s="452"/>
      <c r="E1079" s="453"/>
      <c r="F1079" s="453"/>
      <c r="G1079" s="454"/>
      <c r="H1079" s="454"/>
      <c r="I1079" s="455"/>
      <c r="J1079" s="456"/>
      <c r="K1079" s="457" t="s">
        <v>1416</v>
      </c>
      <c r="L1079" s="458"/>
      <c r="M1079" s="459"/>
      <c r="N1079" s="460"/>
      <c r="O1079" s="460"/>
      <c r="P1079" s="461"/>
      <c r="Q1079" s="458"/>
      <c r="R1079" s="459"/>
      <c r="S1079" s="459"/>
      <c r="T1079" s="459"/>
      <c r="U1079" s="459"/>
      <c r="V1079" s="459"/>
      <c r="W1079" s="459"/>
      <c r="X1079" s="459"/>
      <c r="Y1079" s="462">
        <f t="shared" si="17"/>
        <v>0</v>
      </c>
      <c r="Z1079" s="463"/>
      <c r="AA1079" s="464"/>
      <c r="AB1079" s="465"/>
      <c r="AC1079" s="465"/>
      <c r="AD1079" s="465"/>
      <c r="AE1079" s="466"/>
      <c r="AF1079" s="449"/>
      <c r="AG1079" s="449"/>
      <c r="AH1079" s="449"/>
    </row>
    <row r="1080" ht="11.25" customHeight="1">
      <c r="A1080" s="450"/>
      <c r="B1080" s="451"/>
      <c r="C1080" s="452"/>
      <c r="D1080" s="452"/>
      <c r="E1080" s="453"/>
      <c r="F1080" s="453"/>
      <c r="G1080" s="454"/>
      <c r="H1080" s="454"/>
      <c r="I1080" s="455"/>
      <c r="J1080" s="456"/>
      <c r="K1080" s="467" t="s">
        <v>1417</v>
      </c>
      <c r="L1080" s="468"/>
      <c r="M1080" s="469"/>
      <c r="N1080" s="470"/>
      <c r="O1080" s="470"/>
      <c r="P1080" s="471"/>
      <c r="Q1080" s="468"/>
      <c r="R1080" s="469"/>
      <c r="S1080" s="469"/>
      <c r="T1080" s="469"/>
      <c r="U1080" s="469"/>
      <c r="V1080" s="469"/>
      <c r="W1080" s="469"/>
      <c r="X1080" s="469"/>
      <c r="Y1080" s="462">
        <f t="shared" si="17"/>
        <v>0</v>
      </c>
      <c r="Z1080" s="463"/>
      <c r="AA1080" s="464"/>
      <c r="AB1080" s="465"/>
      <c r="AC1080" s="465"/>
      <c r="AD1080" s="465"/>
      <c r="AE1080" s="466"/>
      <c r="AF1080" s="449"/>
      <c r="AG1080" s="449"/>
      <c r="AH1080" s="449"/>
    </row>
    <row r="1081" ht="11.25" customHeight="1">
      <c r="A1081" s="450"/>
      <c r="B1081" s="472"/>
      <c r="C1081" s="473"/>
      <c r="D1081" s="473"/>
      <c r="E1081" s="474"/>
      <c r="F1081" s="474"/>
      <c r="G1081" s="475"/>
      <c r="H1081" s="475"/>
      <c r="I1081" s="476"/>
      <c r="J1081" s="477"/>
      <c r="K1081" s="478" t="s">
        <v>1418</v>
      </c>
      <c r="L1081" s="479"/>
      <c r="M1081" s="480"/>
      <c r="N1081" s="481"/>
      <c r="O1081" s="481"/>
      <c r="P1081" s="482"/>
      <c r="Q1081" s="479"/>
      <c r="R1081" s="480"/>
      <c r="S1081" s="480"/>
      <c r="T1081" s="480"/>
      <c r="U1081" s="480"/>
      <c r="V1081" s="480"/>
      <c r="W1081" s="480"/>
      <c r="X1081" s="480"/>
      <c r="Y1081" s="483">
        <f t="shared" si="17"/>
        <v>0</v>
      </c>
      <c r="Z1081" s="484"/>
      <c r="AA1081" s="485"/>
      <c r="AB1081" s="486"/>
      <c r="AC1081" s="486"/>
      <c r="AD1081" s="486"/>
      <c r="AE1081" s="487"/>
      <c r="AF1081" s="449"/>
      <c r="AG1081" s="449"/>
      <c r="AH1081" s="449"/>
    </row>
    <row r="1082" ht="11.25" customHeight="1">
      <c r="A1082" s="431" t="str">
        <f>IF(B1082="","", YEAR(B1082))</f>
        <v/>
      </c>
      <c r="B1082" s="432"/>
      <c r="C1082" s="433"/>
      <c r="D1082" s="433"/>
      <c r="E1082" s="434" t="str">
        <f t="shared" ref="E1082:I1082" si="548">IFERROR(AVERAGE(L1082:L1085),"")</f>
        <v/>
      </c>
      <c r="F1082" s="434" t="str">
        <f t="shared" si="548"/>
        <v/>
      </c>
      <c r="G1082" s="435" t="str">
        <f t="shared" si="548"/>
        <v/>
      </c>
      <c r="H1082" s="435" t="str">
        <f t="shared" si="548"/>
        <v/>
      </c>
      <c r="I1082" s="436" t="str">
        <f t="shared" si="548"/>
        <v/>
      </c>
      <c r="J1082" s="437">
        <f>SUMIFS(PRODUCTION[KG],PRODUCTION[GRADE],"3X50",PRODUCTION[DATE],B1082,PRODUCTION[BATCH],C1082,PRODUCTION[SHIFT],D1082)</f>
        <v>0</v>
      </c>
      <c r="K1082" s="438" t="s">
        <v>1414</v>
      </c>
      <c r="L1082" s="443"/>
      <c r="M1082" s="440"/>
      <c r="N1082" s="441"/>
      <c r="O1082" s="441"/>
      <c r="P1082" s="442"/>
      <c r="Q1082" s="443"/>
      <c r="R1082" s="440"/>
      <c r="S1082" s="440"/>
      <c r="T1082" s="440"/>
      <c r="U1082" s="440"/>
      <c r="V1082" s="440"/>
      <c r="W1082" s="440"/>
      <c r="X1082" s="440"/>
      <c r="Y1082" s="444">
        <f t="shared" si="17"/>
        <v>0</v>
      </c>
      <c r="Z1082" s="445"/>
      <c r="AA1082" s="446">
        <f t="shared" ref="AA1082:AE1082" si="549">$J1082*E1082</f>
        <v>0</v>
      </c>
      <c r="AB1082" s="447">
        <f t="shared" si="549"/>
        <v>0</v>
      </c>
      <c r="AC1082" s="447">
        <f t="shared" si="549"/>
        <v>0</v>
      </c>
      <c r="AD1082" s="447">
        <f t="shared" si="549"/>
        <v>0</v>
      </c>
      <c r="AE1082" s="448">
        <f t="shared" si="549"/>
        <v>0</v>
      </c>
      <c r="AF1082" s="449"/>
      <c r="AG1082" s="449"/>
      <c r="AH1082" s="449"/>
    </row>
    <row r="1083" ht="11.25" customHeight="1">
      <c r="A1083" s="450"/>
      <c r="B1083" s="451"/>
      <c r="C1083" s="452"/>
      <c r="D1083" s="452"/>
      <c r="E1083" s="453"/>
      <c r="F1083" s="453"/>
      <c r="G1083" s="454"/>
      <c r="H1083" s="454"/>
      <c r="I1083" s="455"/>
      <c r="J1083" s="456"/>
      <c r="K1083" s="457" t="s">
        <v>1416</v>
      </c>
      <c r="L1083" s="458"/>
      <c r="M1083" s="459"/>
      <c r="N1083" s="460"/>
      <c r="O1083" s="460"/>
      <c r="P1083" s="461"/>
      <c r="Q1083" s="458"/>
      <c r="R1083" s="459"/>
      <c r="S1083" s="459"/>
      <c r="T1083" s="459"/>
      <c r="U1083" s="459"/>
      <c r="V1083" s="459"/>
      <c r="W1083" s="459"/>
      <c r="X1083" s="459"/>
      <c r="Y1083" s="462">
        <f t="shared" si="17"/>
        <v>0</v>
      </c>
      <c r="Z1083" s="463"/>
      <c r="AA1083" s="464"/>
      <c r="AB1083" s="465"/>
      <c r="AC1083" s="465"/>
      <c r="AD1083" s="465"/>
      <c r="AE1083" s="466"/>
      <c r="AF1083" s="449"/>
      <c r="AG1083" s="449"/>
      <c r="AH1083" s="449"/>
    </row>
    <row r="1084" ht="11.25" customHeight="1">
      <c r="A1084" s="450"/>
      <c r="B1084" s="451"/>
      <c r="C1084" s="452"/>
      <c r="D1084" s="452"/>
      <c r="E1084" s="453"/>
      <c r="F1084" s="453"/>
      <c r="G1084" s="454"/>
      <c r="H1084" s="454"/>
      <c r="I1084" s="455"/>
      <c r="J1084" s="456"/>
      <c r="K1084" s="467" t="s">
        <v>1417</v>
      </c>
      <c r="L1084" s="468"/>
      <c r="M1084" s="469"/>
      <c r="N1084" s="470"/>
      <c r="O1084" s="470"/>
      <c r="P1084" s="471"/>
      <c r="Q1084" s="468"/>
      <c r="R1084" s="469"/>
      <c r="S1084" s="469"/>
      <c r="T1084" s="469"/>
      <c r="U1084" s="469"/>
      <c r="V1084" s="469"/>
      <c r="W1084" s="469"/>
      <c r="X1084" s="469"/>
      <c r="Y1084" s="462">
        <f t="shared" si="17"/>
        <v>0</v>
      </c>
      <c r="Z1084" s="463"/>
      <c r="AA1084" s="464"/>
      <c r="AB1084" s="465"/>
      <c r="AC1084" s="465"/>
      <c r="AD1084" s="465"/>
      <c r="AE1084" s="466"/>
      <c r="AF1084" s="449"/>
      <c r="AG1084" s="449"/>
      <c r="AH1084" s="449"/>
    </row>
    <row r="1085" ht="11.25" customHeight="1">
      <c r="A1085" s="450"/>
      <c r="B1085" s="472"/>
      <c r="C1085" s="473"/>
      <c r="D1085" s="473"/>
      <c r="E1085" s="474"/>
      <c r="F1085" s="474"/>
      <c r="G1085" s="475"/>
      <c r="H1085" s="475"/>
      <c r="I1085" s="476"/>
      <c r="J1085" s="477"/>
      <c r="K1085" s="478" t="s">
        <v>1418</v>
      </c>
      <c r="L1085" s="479"/>
      <c r="M1085" s="480"/>
      <c r="N1085" s="481"/>
      <c r="O1085" s="481"/>
      <c r="P1085" s="482"/>
      <c r="Q1085" s="479"/>
      <c r="R1085" s="480"/>
      <c r="S1085" s="480"/>
      <c r="T1085" s="480"/>
      <c r="U1085" s="480"/>
      <c r="V1085" s="480"/>
      <c r="W1085" s="480"/>
      <c r="X1085" s="480"/>
      <c r="Y1085" s="483">
        <f t="shared" si="17"/>
        <v>0</v>
      </c>
      <c r="Z1085" s="484"/>
      <c r="AA1085" s="485"/>
      <c r="AB1085" s="486"/>
      <c r="AC1085" s="486"/>
      <c r="AD1085" s="486"/>
      <c r="AE1085" s="487"/>
      <c r="AF1085" s="449"/>
      <c r="AG1085" s="449"/>
      <c r="AH1085" s="449"/>
    </row>
    <row r="1086" ht="11.25" customHeight="1">
      <c r="A1086" s="431" t="str">
        <f>IF(B1086="","", YEAR(B1086))</f>
        <v/>
      </c>
      <c r="B1086" s="432"/>
      <c r="C1086" s="433"/>
      <c r="D1086" s="433"/>
      <c r="E1086" s="434" t="str">
        <f t="shared" ref="E1086:I1086" si="550">IFERROR(AVERAGE(L1086:L1089),"")</f>
        <v/>
      </c>
      <c r="F1086" s="434" t="str">
        <f t="shared" si="550"/>
        <v/>
      </c>
      <c r="G1086" s="435" t="str">
        <f t="shared" si="550"/>
        <v/>
      </c>
      <c r="H1086" s="435" t="str">
        <f t="shared" si="550"/>
        <v/>
      </c>
      <c r="I1086" s="436" t="str">
        <f t="shared" si="550"/>
        <v/>
      </c>
      <c r="J1086" s="437">
        <f>SUMIFS(PRODUCTION[KG],PRODUCTION[GRADE],"3X50",PRODUCTION[DATE],B1086,PRODUCTION[BATCH],C1086,PRODUCTION[SHIFT],D1086)</f>
        <v>0</v>
      </c>
      <c r="K1086" s="438" t="s">
        <v>1414</v>
      </c>
      <c r="L1086" s="443"/>
      <c r="M1086" s="440"/>
      <c r="N1086" s="441"/>
      <c r="O1086" s="441"/>
      <c r="P1086" s="442"/>
      <c r="Q1086" s="443"/>
      <c r="R1086" s="440"/>
      <c r="S1086" s="440"/>
      <c r="T1086" s="440"/>
      <c r="U1086" s="440"/>
      <c r="V1086" s="440"/>
      <c r="W1086" s="440"/>
      <c r="X1086" s="440"/>
      <c r="Y1086" s="444">
        <f t="shared" si="17"/>
        <v>0</v>
      </c>
      <c r="Z1086" s="445"/>
      <c r="AA1086" s="446">
        <f t="shared" ref="AA1086:AE1086" si="551">$J1086*E1086</f>
        <v>0</v>
      </c>
      <c r="AB1086" s="447">
        <f t="shared" si="551"/>
        <v>0</v>
      </c>
      <c r="AC1086" s="447">
        <f t="shared" si="551"/>
        <v>0</v>
      </c>
      <c r="AD1086" s="447">
        <f t="shared" si="551"/>
        <v>0</v>
      </c>
      <c r="AE1086" s="448">
        <f t="shared" si="551"/>
        <v>0</v>
      </c>
      <c r="AF1086" s="449"/>
      <c r="AG1086" s="449"/>
      <c r="AH1086" s="449"/>
    </row>
    <row r="1087" ht="11.25" customHeight="1">
      <c r="A1087" s="450"/>
      <c r="B1087" s="451"/>
      <c r="C1087" s="452"/>
      <c r="D1087" s="452"/>
      <c r="E1087" s="453"/>
      <c r="F1087" s="453"/>
      <c r="G1087" s="454"/>
      <c r="H1087" s="454"/>
      <c r="I1087" s="455"/>
      <c r="J1087" s="456"/>
      <c r="K1087" s="457" t="s">
        <v>1416</v>
      </c>
      <c r="L1087" s="458"/>
      <c r="M1087" s="459"/>
      <c r="N1087" s="460"/>
      <c r="O1087" s="460"/>
      <c r="P1087" s="461"/>
      <c r="Q1087" s="458"/>
      <c r="R1087" s="459"/>
      <c r="S1087" s="459"/>
      <c r="T1087" s="459"/>
      <c r="U1087" s="459"/>
      <c r="V1087" s="459"/>
      <c r="W1087" s="459"/>
      <c r="X1087" s="459"/>
      <c r="Y1087" s="462">
        <f t="shared" si="17"/>
        <v>0</v>
      </c>
      <c r="Z1087" s="463"/>
      <c r="AA1087" s="464"/>
      <c r="AB1087" s="465"/>
      <c r="AC1087" s="465"/>
      <c r="AD1087" s="465"/>
      <c r="AE1087" s="466"/>
      <c r="AF1087" s="449"/>
      <c r="AG1087" s="449"/>
      <c r="AH1087" s="449"/>
    </row>
    <row r="1088" ht="11.25" customHeight="1">
      <c r="A1088" s="450"/>
      <c r="B1088" s="451"/>
      <c r="C1088" s="452"/>
      <c r="D1088" s="452"/>
      <c r="E1088" s="453"/>
      <c r="F1088" s="453"/>
      <c r="G1088" s="454"/>
      <c r="H1088" s="454"/>
      <c r="I1088" s="455"/>
      <c r="J1088" s="456"/>
      <c r="K1088" s="467" t="s">
        <v>1417</v>
      </c>
      <c r="L1088" s="468"/>
      <c r="M1088" s="469"/>
      <c r="N1088" s="470"/>
      <c r="O1088" s="470"/>
      <c r="P1088" s="471"/>
      <c r="Q1088" s="468"/>
      <c r="R1088" s="469"/>
      <c r="S1088" s="469"/>
      <c r="T1088" s="469"/>
      <c r="U1088" s="469"/>
      <c r="V1088" s="469"/>
      <c r="W1088" s="469"/>
      <c r="X1088" s="469"/>
      <c r="Y1088" s="462">
        <f t="shared" si="17"/>
        <v>0</v>
      </c>
      <c r="Z1088" s="463"/>
      <c r="AA1088" s="464"/>
      <c r="AB1088" s="465"/>
      <c r="AC1088" s="465"/>
      <c r="AD1088" s="465"/>
      <c r="AE1088" s="466"/>
      <c r="AF1088" s="449"/>
      <c r="AG1088" s="449"/>
      <c r="AH1088" s="449"/>
    </row>
    <row r="1089" ht="11.25" customHeight="1">
      <c r="A1089" s="450"/>
      <c r="B1089" s="472"/>
      <c r="C1089" s="473"/>
      <c r="D1089" s="473"/>
      <c r="E1089" s="474"/>
      <c r="F1089" s="474"/>
      <c r="G1089" s="475"/>
      <c r="H1089" s="475"/>
      <c r="I1089" s="476"/>
      <c r="J1089" s="477"/>
      <c r="K1089" s="478" t="s">
        <v>1418</v>
      </c>
      <c r="L1089" s="479"/>
      <c r="M1089" s="480"/>
      <c r="N1089" s="481"/>
      <c r="O1089" s="481"/>
      <c r="P1089" s="482"/>
      <c r="Q1089" s="479"/>
      <c r="R1089" s="480"/>
      <c r="S1089" s="480"/>
      <c r="T1089" s="480"/>
      <c r="U1089" s="480"/>
      <c r="V1089" s="480"/>
      <c r="W1089" s="480"/>
      <c r="X1089" s="480"/>
      <c r="Y1089" s="483">
        <f t="shared" si="17"/>
        <v>0</v>
      </c>
      <c r="Z1089" s="484"/>
      <c r="AA1089" s="485"/>
      <c r="AB1089" s="486"/>
      <c r="AC1089" s="486"/>
      <c r="AD1089" s="486"/>
      <c r="AE1089" s="487"/>
      <c r="AF1089" s="449"/>
      <c r="AG1089" s="449"/>
      <c r="AH1089" s="449"/>
    </row>
    <row r="1090" ht="11.25" customHeight="1">
      <c r="A1090" s="431" t="str">
        <f>IF(B1090="","", YEAR(B1090))</f>
        <v/>
      </c>
      <c r="B1090" s="432"/>
      <c r="C1090" s="433"/>
      <c r="D1090" s="433"/>
      <c r="E1090" s="434" t="str">
        <f t="shared" ref="E1090:I1090" si="552">IFERROR(AVERAGE(L1090:L1093),"")</f>
        <v/>
      </c>
      <c r="F1090" s="434" t="str">
        <f t="shared" si="552"/>
        <v/>
      </c>
      <c r="G1090" s="435" t="str">
        <f t="shared" si="552"/>
        <v/>
      </c>
      <c r="H1090" s="435" t="str">
        <f t="shared" si="552"/>
        <v/>
      </c>
      <c r="I1090" s="436" t="str">
        <f t="shared" si="552"/>
        <v/>
      </c>
      <c r="J1090" s="437">
        <f>SUMIFS(PRODUCTION[KG],PRODUCTION[GRADE],"3X50",PRODUCTION[DATE],B1090,PRODUCTION[BATCH],C1090,PRODUCTION[SHIFT],D1090)</f>
        <v>0</v>
      </c>
      <c r="K1090" s="438" t="s">
        <v>1414</v>
      </c>
      <c r="L1090" s="443"/>
      <c r="M1090" s="440"/>
      <c r="N1090" s="441"/>
      <c r="O1090" s="441"/>
      <c r="P1090" s="442"/>
      <c r="Q1090" s="443"/>
      <c r="R1090" s="440"/>
      <c r="S1090" s="440"/>
      <c r="T1090" s="440"/>
      <c r="U1090" s="440"/>
      <c r="V1090" s="440"/>
      <c r="W1090" s="440"/>
      <c r="X1090" s="440"/>
      <c r="Y1090" s="444">
        <f t="shared" si="17"/>
        <v>0</v>
      </c>
      <c r="Z1090" s="445"/>
      <c r="AA1090" s="446">
        <f t="shared" ref="AA1090:AE1090" si="553">$J1090*E1090</f>
        <v>0</v>
      </c>
      <c r="AB1090" s="447">
        <f t="shared" si="553"/>
        <v>0</v>
      </c>
      <c r="AC1090" s="447">
        <f t="shared" si="553"/>
        <v>0</v>
      </c>
      <c r="AD1090" s="447">
        <f t="shared" si="553"/>
        <v>0</v>
      </c>
      <c r="AE1090" s="448">
        <f t="shared" si="553"/>
        <v>0</v>
      </c>
      <c r="AF1090" s="449"/>
      <c r="AG1090" s="449"/>
      <c r="AH1090" s="449"/>
    </row>
    <row r="1091" ht="11.25" customHeight="1">
      <c r="A1091" s="450"/>
      <c r="B1091" s="451"/>
      <c r="C1091" s="452"/>
      <c r="D1091" s="452"/>
      <c r="E1091" s="453"/>
      <c r="F1091" s="453"/>
      <c r="G1091" s="454"/>
      <c r="H1091" s="454"/>
      <c r="I1091" s="455"/>
      <c r="J1091" s="456"/>
      <c r="K1091" s="457" t="s">
        <v>1416</v>
      </c>
      <c r="L1091" s="458"/>
      <c r="M1091" s="459"/>
      <c r="N1091" s="460"/>
      <c r="O1091" s="460"/>
      <c r="P1091" s="461"/>
      <c r="Q1091" s="458"/>
      <c r="R1091" s="459"/>
      <c r="S1091" s="459"/>
      <c r="T1091" s="459"/>
      <c r="U1091" s="459"/>
      <c r="V1091" s="459"/>
      <c r="W1091" s="459"/>
      <c r="X1091" s="459"/>
      <c r="Y1091" s="462">
        <f t="shared" si="17"/>
        <v>0</v>
      </c>
      <c r="Z1091" s="463"/>
      <c r="AA1091" s="464"/>
      <c r="AB1091" s="465"/>
      <c r="AC1091" s="465"/>
      <c r="AD1091" s="465"/>
      <c r="AE1091" s="466"/>
      <c r="AF1091" s="449"/>
      <c r="AG1091" s="449"/>
      <c r="AH1091" s="449"/>
    </row>
    <row r="1092" ht="11.25" customHeight="1">
      <c r="A1092" s="450"/>
      <c r="B1092" s="451"/>
      <c r="C1092" s="452"/>
      <c r="D1092" s="452"/>
      <c r="E1092" s="453"/>
      <c r="F1092" s="453"/>
      <c r="G1092" s="454"/>
      <c r="H1092" s="454"/>
      <c r="I1092" s="455"/>
      <c r="J1092" s="456"/>
      <c r="K1092" s="467" t="s">
        <v>1417</v>
      </c>
      <c r="L1092" s="468"/>
      <c r="M1092" s="469"/>
      <c r="N1092" s="470"/>
      <c r="O1092" s="470"/>
      <c r="P1092" s="471"/>
      <c r="Q1092" s="468"/>
      <c r="R1092" s="469"/>
      <c r="S1092" s="469"/>
      <c r="T1092" s="469"/>
      <c r="U1092" s="469"/>
      <c r="V1092" s="469"/>
      <c r="W1092" s="469"/>
      <c r="X1092" s="469"/>
      <c r="Y1092" s="462">
        <f t="shared" si="17"/>
        <v>0</v>
      </c>
      <c r="Z1092" s="463"/>
      <c r="AA1092" s="464"/>
      <c r="AB1092" s="465"/>
      <c r="AC1092" s="465"/>
      <c r="AD1092" s="465"/>
      <c r="AE1092" s="466"/>
      <c r="AF1092" s="449"/>
      <c r="AG1092" s="449"/>
      <c r="AH1092" s="449"/>
    </row>
    <row r="1093" ht="11.25" customHeight="1">
      <c r="A1093" s="450"/>
      <c r="B1093" s="472"/>
      <c r="C1093" s="473"/>
      <c r="D1093" s="473"/>
      <c r="E1093" s="474"/>
      <c r="F1093" s="474"/>
      <c r="G1093" s="475"/>
      <c r="H1093" s="475"/>
      <c r="I1093" s="476"/>
      <c r="J1093" s="477"/>
      <c r="K1093" s="478" t="s">
        <v>1418</v>
      </c>
      <c r="L1093" s="479"/>
      <c r="M1093" s="480"/>
      <c r="N1093" s="481"/>
      <c r="O1093" s="481"/>
      <c r="P1093" s="482"/>
      <c r="Q1093" s="479"/>
      <c r="R1093" s="480"/>
      <c r="S1093" s="480"/>
      <c r="T1093" s="480"/>
      <c r="U1093" s="480"/>
      <c r="V1093" s="480"/>
      <c r="W1093" s="480"/>
      <c r="X1093" s="480"/>
      <c r="Y1093" s="483">
        <f t="shared" si="17"/>
        <v>0</v>
      </c>
      <c r="Z1093" s="484"/>
      <c r="AA1093" s="485"/>
      <c r="AB1093" s="486"/>
      <c r="AC1093" s="486"/>
      <c r="AD1093" s="486"/>
      <c r="AE1093" s="487"/>
      <c r="AF1093" s="449"/>
      <c r="AG1093" s="449"/>
      <c r="AH1093" s="449"/>
    </row>
    <row r="1094" ht="11.25" customHeight="1">
      <c r="A1094" s="431" t="str">
        <f>IF(B1094="","", YEAR(B1094))</f>
        <v/>
      </c>
      <c r="B1094" s="432"/>
      <c r="C1094" s="433"/>
      <c r="D1094" s="433"/>
      <c r="E1094" s="434" t="str">
        <f t="shared" ref="E1094:I1094" si="554">IFERROR(AVERAGE(L1094:L1097),"")</f>
        <v/>
      </c>
      <c r="F1094" s="434" t="str">
        <f t="shared" si="554"/>
        <v/>
      </c>
      <c r="G1094" s="435" t="str">
        <f t="shared" si="554"/>
        <v/>
      </c>
      <c r="H1094" s="435" t="str">
        <f t="shared" si="554"/>
        <v/>
      </c>
      <c r="I1094" s="436" t="str">
        <f t="shared" si="554"/>
        <v/>
      </c>
      <c r="J1094" s="437">
        <f>SUMIFS(PRODUCTION[KG],PRODUCTION[GRADE],"3X50",PRODUCTION[DATE],B1094,PRODUCTION[BATCH],C1094,PRODUCTION[SHIFT],D1094)</f>
        <v>0</v>
      </c>
      <c r="K1094" s="438" t="s">
        <v>1414</v>
      </c>
      <c r="L1094" s="443"/>
      <c r="M1094" s="440"/>
      <c r="N1094" s="441"/>
      <c r="O1094" s="441"/>
      <c r="P1094" s="442"/>
      <c r="Q1094" s="443"/>
      <c r="R1094" s="440"/>
      <c r="S1094" s="440"/>
      <c r="T1094" s="440"/>
      <c r="U1094" s="440"/>
      <c r="V1094" s="440"/>
      <c r="W1094" s="440"/>
      <c r="X1094" s="440"/>
      <c r="Y1094" s="444">
        <f t="shared" si="17"/>
        <v>0</v>
      </c>
      <c r="Z1094" s="445"/>
      <c r="AA1094" s="446">
        <f t="shared" ref="AA1094:AE1094" si="555">$J1094*E1094</f>
        <v>0</v>
      </c>
      <c r="AB1094" s="447">
        <f t="shared" si="555"/>
        <v>0</v>
      </c>
      <c r="AC1094" s="447">
        <f t="shared" si="555"/>
        <v>0</v>
      </c>
      <c r="AD1094" s="447">
        <f t="shared" si="555"/>
        <v>0</v>
      </c>
      <c r="AE1094" s="448">
        <f t="shared" si="555"/>
        <v>0</v>
      </c>
      <c r="AF1094" s="449"/>
      <c r="AG1094" s="449"/>
      <c r="AH1094" s="449"/>
    </row>
    <row r="1095" ht="11.25" customHeight="1">
      <c r="A1095" s="450"/>
      <c r="B1095" s="451"/>
      <c r="C1095" s="452"/>
      <c r="D1095" s="452"/>
      <c r="E1095" s="453"/>
      <c r="F1095" s="453"/>
      <c r="G1095" s="454"/>
      <c r="H1095" s="454"/>
      <c r="I1095" s="455"/>
      <c r="J1095" s="456"/>
      <c r="K1095" s="457" t="s">
        <v>1416</v>
      </c>
      <c r="L1095" s="458"/>
      <c r="M1095" s="459"/>
      <c r="N1095" s="460"/>
      <c r="O1095" s="460"/>
      <c r="P1095" s="461"/>
      <c r="Q1095" s="458"/>
      <c r="R1095" s="459"/>
      <c r="S1095" s="459"/>
      <c r="T1095" s="459"/>
      <c r="U1095" s="459"/>
      <c r="V1095" s="459"/>
      <c r="W1095" s="459"/>
      <c r="X1095" s="459"/>
      <c r="Y1095" s="462">
        <f t="shared" si="17"/>
        <v>0</v>
      </c>
      <c r="Z1095" s="463"/>
      <c r="AA1095" s="464"/>
      <c r="AB1095" s="465"/>
      <c r="AC1095" s="465"/>
      <c r="AD1095" s="465"/>
      <c r="AE1095" s="466"/>
      <c r="AF1095" s="449"/>
      <c r="AG1095" s="449"/>
      <c r="AH1095" s="449"/>
    </row>
    <row r="1096" ht="11.25" customHeight="1">
      <c r="A1096" s="450"/>
      <c r="B1096" s="451"/>
      <c r="C1096" s="452"/>
      <c r="D1096" s="452"/>
      <c r="E1096" s="453"/>
      <c r="F1096" s="453"/>
      <c r="G1096" s="454"/>
      <c r="H1096" s="454"/>
      <c r="I1096" s="455"/>
      <c r="J1096" s="456"/>
      <c r="K1096" s="467" t="s">
        <v>1417</v>
      </c>
      <c r="L1096" s="468"/>
      <c r="M1096" s="469"/>
      <c r="N1096" s="470"/>
      <c r="O1096" s="470"/>
      <c r="P1096" s="471"/>
      <c r="Q1096" s="468"/>
      <c r="R1096" s="469"/>
      <c r="S1096" s="469"/>
      <c r="T1096" s="469"/>
      <c r="U1096" s="469"/>
      <c r="V1096" s="469"/>
      <c r="W1096" s="469"/>
      <c r="X1096" s="469"/>
      <c r="Y1096" s="462">
        <f t="shared" si="17"/>
        <v>0</v>
      </c>
      <c r="Z1096" s="463"/>
      <c r="AA1096" s="464"/>
      <c r="AB1096" s="465"/>
      <c r="AC1096" s="465"/>
      <c r="AD1096" s="465"/>
      <c r="AE1096" s="466"/>
      <c r="AF1096" s="449"/>
      <c r="AG1096" s="449"/>
      <c r="AH1096" s="449"/>
    </row>
    <row r="1097" ht="11.25" customHeight="1">
      <c r="A1097" s="450"/>
      <c r="B1097" s="472"/>
      <c r="C1097" s="473"/>
      <c r="D1097" s="473"/>
      <c r="E1097" s="474"/>
      <c r="F1097" s="474"/>
      <c r="G1097" s="475"/>
      <c r="H1097" s="475"/>
      <c r="I1097" s="476"/>
      <c r="J1097" s="477"/>
      <c r="K1097" s="478" t="s">
        <v>1418</v>
      </c>
      <c r="L1097" s="479"/>
      <c r="M1097" s="480"/>
      <c r="N1097" s="481"/>
      <c r="O1097" s="481"/>
      <c r="P1097" s="482"/>
      <c r="Q1097" s="479"/>
      <c r="R1097" s="480"/>
      <c r="S1097" s="480"/>
      <c r="T1097" s="480"/>
      <c r="U1097" s="480"/>
      <c r="V1097" s="480"/>
      <c r="W1097" s="480"/>
      <c r="X1097" s="480"/>
      <c r="Y1097" s="483">
        <f t="shared" si="17"/>
        <v>0</v>
      </c>
      <c r="Z1097" s="484"/>
      <c r="AA1097" s="485"/>
      <c r="AB1097" s="486"/>
      <c r="AC1097" s="486"/>
      <c r="AD1097" s="486"/>
      <c r="AE1097" s="487"/>
      <c r="AF1097" s="449"/>
      <c r="AG1097" s="449"/>
      <c r="AH1097" s="449"/>
    </row>
    <row r="1098" ht="11.25" customHeight="1">
      <c r="A1098" s="431" t="str">
        <f>IF(B1098="","", YEAR(B1098))</f>
        <v/>
      </c>
      <c r="B1098" s="432"/>
      <c r="C1098" s="433"/>
      <c r="D1098" s="433"/>
      <c r="E1098" s="434" t="str">
        <f t="shared" ref="E1098:I1098" si="556">IFERROR(AVERAGE(L1098:L1101),"")</f>
        <v/>
      </c>
      <c r="F1098" s="434" t="str">
        <f t="shared" si="556"/>
        <v/>
      </c>
      <c r="G1098" s="435" t="str">
        <f t="shared" si="556"/>
        <v/>
      </c>
      <c r="H1098" s="435" t="str">
        <f t="shared" si="556"/>
        <v/>
      </c>
      <c r="I1098" s="436" t="str">
        <f t="shared" si="556"/>
        <v/>
      </c>
      <c r="J1098" s="437">
        <f>SUMIFS(PRODUCTION[KG],PRODUCTION[GRADE],"3X50",PRODUCTION[DATE],B1098,PRODUCTION[BATCH],C1098,PRODUCTION[SHIFT],D1098)</f>
        <v>0</v>
      </c>
      <c r="K1098" s="438" t="s">
        <v>1414</v>
      </c>
      <c r="L1098" s="443"/>
      <c r="M1098" s="440"/>
      <c r="N1098" s="441"/>
      <c r="O1098" s="441"/>
      <c r="P1098" s="442"/>
      <c r="Q1098" s="443"/>
      <c r="R1098" s="440"/>
      <c r="S1098" s="440"/>
      <c r="T1098" s="440"/>
      <c r="U1098" s="440"/>
      <c r="V1098" s="440"/>
      <c r="W1098" s="440"/>
      <c r="X1098" s="440"/>
      <c r="Y1098" s="444">
        <f t="shared" si="17"/>
        <v>0</v>
      </c>
      <c r="Z1098" s="445"/>
      <c r="AA1098" s="446">
        <f t="shared" ref="AA1098:AE1098" si="557">$J1098*E1098</f>
        <v>0</v>
      </c>
      <c r="AB1098" s="447">
        <f t="shared" si="557"/>
        <v>0</v>
      </c>
      <c r="AC1098" s="447">
        <f t="shared" si="557"/>
        <v>0</v>
      </c>
      <c r="AD1098" s="447">
        <f t="shared" si="557"/>
        <v>0</v>
      </c>
      <c r="AE1098" s="448">
        <f t="shared" si="557"/>
        <v>0</v>
      </c>
      <c r="AF1098" s="449"/>
      <c r="AG1098" s="449"/>
      <c r="AH1098" s="449"/>
    </row>
    <row r="1099" ht="11.25" customHeight="1">
      <c r="A1099" s="450"/>
      <c r="B1099" s="451"/>
      <c r="C1099" s="452"/>
      <c r="D1099" s="452"/>
      <c r="E1099" s="453"/>
      <c r="F1099" s="453"/>
      <c r="G1099" s="454"/>
      <c r="H1099" s="454"/>
      <c r="I1099" s="455"/>
      <c r="J1099" s="456"/>
      <c r="K1099" s="457" t="s">
        <v>1416</v>
      </c>
      <c r="L1099" s="458"/>
      <c r="M1099" s="459"/>
      <c r="N1099" s="460"/>
      <c r="O1099" s="460"/>
      <c r="P1099" s="461"/>
      <c r="Q1099" s="458"/>
      <c r="R1099" s="459"/>
      <c r="S1099" s="459"/>
      <c r="T1099" s="459"/>
      <c r="U1099" s="459"/>
      <c r="V1099" s="459"/>
      <c r="W1099" s="459"/>
      <c r="X1099" s="459"/>
      <c r="Y1099" s="462">
        <f t="shared" si="17"/>
        <v>0</v>
      </c>
      <c r="Z1099" s="463"/>
      <c r="AA1099" s="464"/>
      <c r="AB1099" s="465"/>
      <c r="AC1099" s="465"/>
      <c r="AD1099" s="465"/>
      <c r="AE1099" s="466"/>
      <c r="AF1099" s="449"/>
      <c r="AG1099" s="449"/>
      <c r="AH1099" s="449"/>
    </row>
    <row r="1100" ht="11.25" customHeight="1">
      <c r="A1100" s="450"/>
      <c r="B1100" s="451"/>
      <c r="C1100" s="452"/>
      <c r="D1100" s="452"/>
      <c r="E1100" s="453"/>
      <c r="F1100" s="453"/>
      <c r="G1100" s="454"/>
      <c r="H1100" s="454"/>
      <c r="I1100" s="455"/>
      <c r="J1100" s="456"/>
      <c r="K1100" s="467" t="s">
        <v>1417</v>
      </c>
      <c r="L1100" s="468"/>
      <c r="M1100" s="469"/>
      <c r="N1100" s="470"/>
      <c r="O1100" s="470"/>
      <c r="P1100" s="471"/>
      <c r="Q1100" s="468"/>
      <c r="R1100" s="469"/>
      <c r="S1100" s="469"/>
      <c r="T1100" s="469"/>
      <c r="U1100" s="469"/>
      <c r="V1100" s="469"/>
      <c r="W1100" s="469"/>
      <c r="X1100" s="469"/>
      <c r="Y1100" s="462">
        <f t="shared" si="17"/>
        <v>0</v>
      </c>
      <c r="Z1100" s="463"/>
      <c r="AA1100" s="464"/>
      <c r="AB1100" s="465"/>
      <c r="AC1100" s="465"/>
      <c r="AD1100" s="465"/>
      <c r="AE1100" s="466"/>
      <c r="AF1100" s="449"/>
      <c r="AG1100" s="449"/>
      <c r="AH1100" s="449"/>
    </row>
    <row r="1101" ht="11.25" customHeight="1">
      <c r="A1101" s="450"/>
      <c r="B1101" s="472"/>
      <c r="C1101" s="473"/>
      <c r="D1101" s="473"/>
      <c r="E1101" s="474"/>
      <c r="F1101" s="474"/>
      <c r="G1101" s="475"/>
      <c r="H1101" s="475"/>
      <c r="I1101" s="476"/>
      <c r="J1101" s="477"/>
      <c r="K1101" s="478" t="s">
        <v>1418</v>
      </c>
      <c r="L1101" s="479"/>
      <c r="M1101" s="480"/>
      <c r="N1101" s="481"/>
      <c r="O1101" s="481"/>
      <c r="P1101" s="482"/>
      <c r="Q1101" s="479"/>
      <c r="R1101" s="480"/>
      <c r="S1101" s="480"/>
      <c r="T1101" s="480"/>
      <c r="U1101" s="480"/>
      <c r="V1101" s="480"/>
      <c r="W1101" s="480"/>
      <c r="X1101" s="480"/>
      <c r="Y1101" s="483">
        <f t="shared" si="17"/>
        <v>0</v>
      </c>
      <c r="Z1101" s="484"/>
      <c r="AA1101" s="485"/>
      <c r="AB1101" s="486"/>
      <c r="AC1101" s="486"/>
      <c r="AD1101" s="486"/>
      <c r="AE1101" s="487"/>
      <c r="AF1101" s="449"/>
      <c r="AG1101" s="449"/>
      <c r="AH1101" s="449"/>
    </row>
    <row r="1102" ht="11.25" customHeight="1">
      <c r="A1102" s="431" t="str">
        <f>IF(B1102="","", YEAR(B1102))</f>
        <v/>
      </c>
      <c r="B1102" s="432"/>
      <c r="C1102" s="433"/>
      <c r="D1102" s="433"/>
      <c r="E1102" s="434" t="str">
        <f t="shared" ref="E1102:I1102" si="558">IFERROR(AVERAGE(L1102:L1105),"")</f>
        <v/>
      </c>
      <c r="F1102" s="434" t="str">
        <f t="shared" si="558"/>
        <v/>
      </c>
      <c r="G1102" s="435" t="str">
        <f t="shared" si="558"/>
        <v/>
      </c>
      <c r="H1102" s="435" t="str">
        <f t="shared" si="558"/>
        <v/>
      </c>
      <c r="I1102" s="436" t="str">
        <f t="shared" si="558"/>
        <v/>
      </c>
      <c r="J1102" s="437">
        <f>SUMIFS(PRODUCTION[KG],PRODUCTION[GRADE],"3X50",PRODUCTION[DATE],B1102,PRODUCTION[BATCH],C1102,PRODUCTION[SHIFT],D1102)</f>
        <v>0</v>
      </c>
      <c r="K1102" s="438" t="s">
        <v>1414</v>
      </c>
      <c r="L1102" s="443"/>
      <c r="M1102" s="440"/>
      <c r="N1102" s="441"/>
      <c r="O1102" s="441"/>
      <c r="P1102" s="442"/>
      <c r="Q1102" s="443"/>
      <c r="R1102" s="440"/>
      <c r="S1102" s="440"/>
      <c r="T1102" s="440"/>
      <c r="U1102" s="440"/>
      <c r="V1102" s="440"/>
      <c r="W1102" s="440"/>
      <c r="X1102" s="440"/>
      <c r="Y1102" s="444">
        <f t="shared" si="17"/>
        <v>0</v>
      </c>
      <c r="Z1102" s="445"/>
      <c r="AA1102" s="446">
        <f t="shared" ref="AA1102:AE1102" si="559">$J1102*E1102</f>
        <v>0</v>
      </c>
      <c r="AB1102" s="447">
        <f t="shared" si="559"/>
        <v>0</v>
      </c>
      <c r="AC1102" s="447">
        <f t="shared" si="559"/>
        <v>0</v>
      </c>
      <c r="AD1102" s="447">
        <f t="shared" si="559"/>
        <v>0</v>
      </c>
      <c r="AE1102" s="448">
        <f t="shared" si="559"/>
        <v>0</v>
      </c>
      <c r="AF1102" s="449"/>
      <c r="AG1102" s="449"/>
      <c r="AH1102" s="449"/>
    </row>
    <row r="1103" ht="11.25" customHeight="1">
      <c r="A1103" s="450"/>
      <c r="B1103" s="451"/>
      <c r="C1103" s="452"/>
      <c r="D1103" s="452"/>
      <c r="E1103" s="453"/>
      <c r="F1103" s="453"/>
      <c r="G1103" s="454"/>
      <c r="H1103" s="454"/>
      <c r="I1103" s="455"/>
      <c r="J1103" s="456"/>
      <c r="K1103" s="457" t="s">
        <v>1416</v>
      </c>
      <c r="L1103" s="458"/>
      <c r="M1103" s="459"/>
      <c r="N1103" s="460"/>
      <c r="O1103" s="460"/>
      <c r="P1103" s="461"/>
      <c r="Q1103" s="458"/>
      <c r="R1103" s="459"/>
      <c r="S1103" s="459"/>
      <c r="T1103" s="459"/>
      <c r="U1103" s="459"/>
      <c r="V1103" s="459"/>
      <c r="W1103" s="459"/>
      <c r="X1103" s="459"/>
      <c r="Y1103" s="462">
        <f t="shared" si="17"/>
        <v>0</v>
      </c>
      <c r="Z1103" s="463"/>
      <c r="AA1103" s="464"/>
      <c r="AB1103" s="465"/>
      <c r="AC1103" s="465"/>
      <c r="AD1103" s="465"/>
      <c r="AE1103" s="466"/>
      <c r="AF1103" s="449"/>
      <c r="AG1103" s="449"/>
      <c r="AH1103" s="449"/>
    </row>
    <row r="1104" ht="11.25" customHeight="1">
      <c r="A1104" s="450"/>
      <c r="B1104" s="451"/>
      <c r="C1104" s="452"/>
      <c r="D1104" s="452"/>
      <c r="E1104" s="453"/>
      <c r="F1104" s="453"/>
      <c r="G1104" s="454"/>
      <c r="H1104" s="454"/>
      <c r="I1104" s="455"/>
      <c r="J1104" s="456"/>
      <c r="K1104" s="467" t="s">
        <v>1417</v>
      </c>
      <c r="L1104" s="468"/>
      <c r="M1104" s="469"/>
      <c r="N1104" s="470"/>
      <c r="O1104" s="470"/>
      <c r="P1104" s="471"/>
      <c r="Q1104" s="468"/>
      <c r="R1104" s="469"/>
      <c r="S1104" s="469"/>
      <c r="T1104" s="469"/>
      <c r="U1104" s="469"/>
      <c r="V1104" s="469"/>
      <c r="W1104" s="469"/>
      <c r="X1104" s="469"/>
      <c r="Y1104" s="462">
        <f t="shared" si="17"/>
        <v>0</v>
      </c>
      <c r="Z1104" s="463"/>
      <c r="AA1104" s="464"/>
      <c r="AB1104" s="465"/>
      <c r="AC1104" s="465"/>
      <c r="AD1104" s="465"/>
      <c r="AE1104" s="466"/>
      <c r="AF1104" s="449"/>
      <c r="AG1104" s="449"/>
      <c r="AH1104" s="449"/>
    </row>
    <row r="1105" ht="11.25" customHeight="1">
      <c r="A1105" s="450"/>
      <c r="B1105" s="472"/>
      <c r="C1105" s="473"/>
      <c r="D1105" s="473"/>
      <c r="E1105" s="474"/>
      <c r="F1105" s="474"/>
      <c r="G1105" s="475"/>
      <c r="H1105" s="475"/>
      <c r="I1105" s="476"/>
      <c r="J1105" s="477"/>
      <c r="K1105" s="478" t="s">
        <v>1418</v>
      </c>
      <c r="L1105" s="479"/>
      <c r="M1105" s="480"/>
      <c r="N1105" s="481"/>
      <c r="O1105" s="481"/>
      <c r="P1105" s="482"/>
      <c r="Q1105" s="479"/>
      <c r="R1105" s="480"/>
      <c r="S1105" s="480"/>
      <c r="T1105" s="480"/>
      <c r="U1105" s="480"/>
      <c r="V1105" s="480"/>
      <c r="W1105" s="480"/>
      <c r="X1105" s="480"/>
      <c r="Y1105" s="483">
        <f t="shared" si="17"/>
        <v>0</v>
      </c>
      <c r="Z1105" s="484"/>
      <c r="AA1105" s="485"/>
      <c r="AB1105" s="486"/>
      <c r="AC1105" s="486"/>
      <c r="AD1105" s="486"/>
      <c r="AE1105" s="487"/>
      <c r="AF1105" s="449"/>
      <c r="AG1105" s="449"/>
      <c r="AH1105" s="449"/>
    </row>
    <row r="1106" ht="11.25" customHeight="1">
      <c r="A1106" s="431" t="str">
        <f>IF(B1106="","", YEAR(B1106))</f>
        <v/>
      </c>
      <c r="B1106" s="432"/>
      <c r="C1106" s="433"/>
      <c r="D1106" s="433"/>
      <c r="E1106" s="434" t="str">
        <f t="shared" ref="E1106:I1106" si="560">IFERROR(AVERAGE(L1106:L1109),"")</f>
        <v/>
      </c>
      <c r="F1106" s="434" t="str">
        <f t="shared" si="560"/>
        <v/>
      </c>
      <c r="G1106" s="435" t="str">
        <f t="shared" si="560"/>
        <v/>
      </c>
      <c r="H1106" s="435" t="str">
        <f t="shared" si="560"/>
        <v/>
      </c>
      <c r="I1106" s="436" t="str">
        <f t="shared" si="560"/>
        <v/>
      </c>
      <c r="J1106" s="437">
        <f>SUMIFS(PRODUCTION[KG],PRODUCTION[GRADE],"3X50",PRODUCTION[DATE],B1106,PRODUCTION[BATCH],C1106,PRODUCTION[SHIFT],D1106)</f>
        <v>0</v>
      </c>
      <c r="K1106" s="438" t="s">
        <v>1414</v>
      </c>
      <c r="L1106" s="443"/>
      <c r="M1106" s="440"/>
      <c r="N1106" s="441"/>
      <c r="O1106" s="441"/>
      <c r="P1106" s="442"/>
      <c r="Q1106" s="443"/>
      <c r="R1106" s="440"/>
      <c r="S1106" s="440"/>
      <c r="T1106" s="440"/>
      <c r="U1106" s="440"/>
      <c r="V1106" s="440"/>
      <c r="W1106" s="440"/>
      <c r="X1106" s="440"/>
      <c r="Y1106" s="444">
        <f t="shared" si="17"/>
        <v>0</v>
      </c>
      <c r="Z1106" s="445"/>
      <c r="AA1106" s="446">
        <f t="shared" ref="AA1106:AE1106" si="561">$J1106*E1106</f>
        <v>0</v>
      </c>
      <c r="AB1106" s="447">
        <f t="shared" si="561"/>
        <v>0</v>
      </c>
      <c r="AC1106" s="447">
        <f t="shared" si="561"/>
        <v>0</v>
      </c>
      <c r="AD1106" s="447">
        <f t="shared" si="561"/>
        <v>0</v>
      </c>
      <c r="AE1106" s="448">
        <f t="shared" si="561"/>
        <v>0</v>
      </c>
      <c r="AF1106" s="449"/>
      <c r="AG1106" s="449"/>
      <c r="AH1106" s="449"/>
    </row>
    <row r="1107" ht="11.25" customHeight="1">
      <c r="A1107" s="450"/>
      <c r="B1107" s="451"/>
      <c r="C1107" s="452"/>
      <c r="D1107" s="452"/>
      <c r="E1107" s="453"/>
      <c r="F1107" s="453"/>
      <c r="G1107" s="454"/>
      <c r="H1107" s="454"/>
      <c r="I1107" s="455"/>
      <c r="J1107" s="456"/>
      <c r="K1107" s="457" t="s">
        <v>1416</v>
      </c>
      <c r="L1107" s="458"/>
      <c r="M1107" s="459"/>
      <c r="N1107" s="460"/>
      <c r="O1107" s="460"/>
      <c r="P1107" s="461"/>
      <c r="Q1107" s="458"/>
      <c r="R1107" s="459"/>
      <c r="S1107" s="459"/>
      <c r="T1107" s="459"/>
      <c r="U1107" s="459"/>
      <c r="V1107" s="459"/>
      <c r="W1107" s="459"/>
      <c r="X1107" s="459"/>
      <c r="Y1107" s="462">
        <f t="shared" si="17"/>
        <v>0</v>
      </c>
      <c r="Z1107" s="463"/>
      <c r="AA1107" s="464"/>
      <c r="AB1107" s="465"/>
      <c r="AC1107" s="465"/>
      <c r="AD1107" s="465"/>
      <c r="AE1107" s="466"/>
      <c r="AF1107" s="449"/>
      <c r="AG1107" s="449"/>
      <c r="AH1107" s="449"/>
    </row>
    <row r="1108" ht="11.25" customHeight="1">
      <c r="A1108" s="450"/>
      <c r="B1108" s="451"/>
      <c r="C1108" s="452"/>
      <c r="D1108" s="452"/>
      <c r="E1108" s="453"/>
      <c r="F1108" s="453"/>
      <c r="G1108" s="454"/>
      <c r="H1108" s="454"/>
      <c r="I1108" s="455"/>
      <c r="J1108" s="456"/>
      <c r="K1108" s="467" t="s">
        <v>1417</v>
      </c>
      <c r="L1108" s="468"/>
      <c r="M1108" s="469"/>
      <c r="N1108" s="470"/>
      <c r="O1108" s="470"/>
      <c r="P1108" s="471"/>
      <c r="Q1108" s="468"/>
      <c r="R1108" s="469"/>
      <c r="S1108" s="469"/>
      <c r="T1108" s="469"/>
      <c r="U1108" s="469"/>
      <c r="V1108" s="469"/>
      <c r="W1108" s="469"/>
      <c r="X1108" s="469"/>
      <c r="Y1108" s="462">
        <f t="shared" si="17"/>
        <v>0</v>
      </c>
      <c r="Z1108" s="463"/>
      <c r="AA1108" s="464"/>
      <c r="AB1108" s="465"/>
      <c r="AC1108" s="465"/>
      <c r="AD1108" s="465"/>
      <c r="AE1108" s="466"/>
      <c r="AF1108" s="449"/>
      <c r="AG1108" s="449"/>
      <c r="AH1108" s="449"/>
    </row>
    <row r="1109" ht="11.25" customHeight="1">
      <c r="A1109" s="450"/>
      <c r="B1109" s="472"/>
      <c r="C1109" s="473"/>
      <c r="D1109" s="473"/>
      <c r="E1109" s="474"/>
      <c r="F1109" s="474"/>
      <c r="G1109" s="475"/>
      <c r="H1109" s="475"/>
      <c r="I1109" s="476"/>
      <c r="J1109" s="477"/>
      <c r="K1109" s="478" t="s">
        <v>1418</v>
      </c>
      <c r="L1109" s="479"/>
      <c r="M1109" s="480"/>
      <c r="N1109" s="481"/>
      <c r="O1109" s="481"/>
      <c r="P1109" s="482"/>
      <c r="Q1109" s="479"/>
      <c r="R1109" s="480"/>
      <c r="S1109" s="480"/>
      <c r="T1109" s="480"/>
      <c r="U1109" s="480"/>
      <c r="V1109" s="480"/>
      <c r="W1109" s="480"/>
      <c r="X1109" s="480"/>
      <c r="Y1109" s="483">
        <f t="shared" si="17"/>
        <v>0</v>
      </c>
      <c r="Z1109" s="484"/>
      <c r="AA1109" s="485"/>
      <c r="AB1109" s="486"/>
      <c r="AC1109" s="486"/>
      <c r="AD1109" s="486"/>
      <c r="AE1109" s="487"/>
      <c r="AF1109" s="449"/>
      <c r="AG1109" s="449"/>
      <c r="AH1109" s="449"/>
    </row>
    <row r="1110" ht="11.25" customHeight="1">
      <c r="A1110" s="431" t="str">
        <f>IF(B1110="","", YEAR(B1110))</f>
        <v/>
      </c>
      <c r="B1110" s="432"/>
      <c r="C1110" s="433"/>
      <c r="D1110" s="433"/>
      <c r="E1110" s="434" t="str">
        <f t="shared" ref="E1110:I1110" si="562">IFERROR(AVERAGE(L1110:L1113),"")</f>
        <v/>
      </c>
      <c r="F1110" s="434" t="str">
        <f t="shared" si="562"/>
        <v/>
      </c>
      <c r="G1110" s="435" t="str">
        <f t="shared" si="562"/>
        <v/>
      </c>
      <c r="H1110" s="435" t="str">
        <f t="shared" si="562"/>
        <v/>
      </c>
      <c r="I1110" s="436" t="str">
        <f t="shared" si="562"/>
        <v/>
      </c>
      <c r="J1110" s="437">
        <f>SUMIFS(PRODUCTION[KG],PRODUCTION[GRADE],"3X50",PRODUCTION[DATE],B1110,PRODUCTION[BATCH],C1110,PRODUCTION[SHIFT],D1110)</f>
        <v>0</v>
      </c>
      <c r="K1110" s="438" t="s">
        <v>1414</v>
      </c>
      <c r="L1110" s="443"/>
      <c r="M1110" s="440"/>
      <c r="N1110" s="441"/>
      <c r="O1110" s="441"/>
      <c r="P1110" s="442"/>
      <c r="Q1110" s="443"/>
      <c r="R1110" s="440"/>
      <c r="S1110" s="440"/>
      <c r="T1110" s="440"/>
      <c r="U1110" s="440"/>
      <c r="V1110" s="440"/>
      <c r="W1110" s="440"/>
      <c r="X1110" s="440"/>
      <c r="Y1110" s="444">
        <f t="shared" si="17"/>
        <v>0</v>
      </c>
      <c r="Z1110" s="445"/>
      <c r="AA1110" s="446">
        <f t="shared" ref="AA1110:AE1110" si="563">$J1110*E1110</f>
        <v>0</v>
      </c>
      <c r="AB1110" s="447">
        <f t="shared" si="563"/>
        <v>0</v>
      </c>
      <c r="AC1110" s="447">
        <f t="shared" si="563"/>
        <v>0</v>
      </c>
      <c r="AD1110" s="447">
        <f t="shared" si="563"/>
        <v>0</v>
      </c>
      <c r="AE1110" s="448">
        <f t="shared" si="563"/>
        <v>0</v>
      </c>
      <c r="AF1110" s="449"/>
      <c r="AG1110" s="449"/>
      <c r="AH1110" s="449"/>
    </row>
    <row r="1111" ht="11.25" customHeight="1">
      <c r="A1111" s="450"/>
      <c r="B1111" s="451"/>
      <c r="C1111" s="452"/>
      <c r="D1111" s="452"/>
      <c r="E1111" s="453"/>
      <c r="F1111" s="453"/>
      <c r="G1111" s="454"/>
      <c r="H1111" s="454"/>
      <c r="I1111" s="455"/>
      <c r="J1111" s="456"/>
      <c r="K1111" s="457" t="s">
        <v>1416</v>
      </c>
      <c r="L1111" s="458"/>
      <c r="M1111" s="459"/>
      <c r="N1111" s="460"/>
      <c r="O1111" s="460"/>
      <c r="P1111" s="461"/>
      <c r="Q1111" s="458"/>
      <c r="R1111" s="459"/>
      <c r="S1111" s="459"/>
      <c r="T1111" s="459"/>
      <c r="U1111" s="459"/>
      <c r="V1111" s="459"/>
      <c r="W1111" s="459"/>
      <c r="X1111" s="459"/>
      <c r="Y1111" s="462">
        <f t="shared" si="17"/>
        <v>0</v>
      </c>
      <c r="Z1111" s="463"/>
      <c r="AA1111" s="464"/>
      <c r="AB1111" s="465"/>
      <c r="AC1111" s="465"/>
      <c r="AD1111" s="465"/>
      <c r="AE1111" s="466"/>
      <c r="AF1111" s="449"/>
      <c r="AG1111" s="449"/>
      <c r="AH1111" s="449"/>
    </row>
    <row r="1112" ht="11.25" customHeight="1">
      <c r="A1112" s="450"/>
      <c r="B1112" s="451"/>
      <c r="C1112" s="452"/>
      <c r="D1112" s="452"/>
      <c r="E1112" s="453"/>
      <c r="F1112" s="453"/>
      <c r="G1112" s="454"/>
      <c r="H1112" s="454"/>
      <c r="I1112" s="455"/>
      <c r="J1112" s="456"/>
      <c r="K1112" s="467" t="s">
        <v>1417</v>
      </c>
      <c r="L1112" s="468"/>
      <c r="M1112" s="469"/>
      <c r="N1112" s="470"/>
      <c r="O1112" s="470"/>
      <c r="P1112" s="471"/>
      <c r="Q1112" s="468"/>
      <c r="R1112" s="469"/>
      <c r="S1112" s="469"/>
      <c r="T1112" s="469"/>
      <c r="U1112" s="469"/>
      <c r="V1112" s="469"/>
      <c r="W1112" s="469"/>
      <c r="X1112" s="469"/>
      <c r="Y1112" s="462">
        <f t="shared" si="17"/>
        <v>0</v>
      </c>
      <c r="Z1112" s="463"/>
      <c r="AA1112" s="464"/>
      <c r="AB1112" s="465"/>
      <c r="AC1112" s="465"/>
      <c r="AD1112" s="465"/>
      <c r="AE1112" s="466"/>
      <c r="AF1112" s="449"/>
      <c r="AG1112" s="449"/>
      <c r="AH1112" s="449"/>
    </row>
    <row r="1113" ht="11.25" customHeight="1">
      <c r="A1113" s="450"/>
      <c r="B1113" s="472"/>
      <c r="C1113" s="473"/>
      <c r="D1113" s="473"/>
      <c r="E1113" s="474"/>
      <c r="F1113" s="474"/>
      <c r="G1113" s="475"/>
      <c r="H1113" s="475"/>
      <c r="I1113" s="476"/>
      <c r="J1113" s="477"/>
      <c r="K1113" s="478" t="s">
        <v>1418</v>
      </c>
      <c r="L1113" s="479"/>
      <c r="M1113" s="480"/>
      <c r="N1113" s="481"/>
      <c r="O1113" s="481"/>
      <c r="P1113" s="482"/>
      <c r="Q1113" s="479"/>
      <c r="R1113" s="480"/>
      <c r="S1113" s="480"/>
      <c r="T1113" s="480"/>
      <c r="U1113" s="480"/>
      <c r="V1113" s="480"/>
      <c r="W1113" s="480"/>
      <c r="X1113" s="480"/>
      <c r="Y1113" s="483">
        <f t="shared" si="17"/>
        <v>0</v>
      </c>
      <c r="Z1113" s="484"/>
      <c r="AA1113" s="485"/>
      <c r="AB1113" s="486"/>
      <c r="AC1113" s="486"/>
      <c r="AD1113" s="486"/>
      <c r="AE1113" s="487"/>
      <c r="AF1113" s="449"/>
      <c r="AG1113" s="449"/>
      <c r="AH1113" s="449"/>
    </row>
    <row r="1114" ht="11.25" customHeight="1">
      <c r="A1114" s="431" t="str">
        <f>IF(B1114="","", YEAR(B1114))</f>
        <v/>
      </c>
      <c r="B1114" s="432"/>
      <c r="C1114" s="433"/>
      <c r="D1114" s="433"/>
      <c r="E1114" s="434" t="str">
        <f t="shared" ref="E1114:I1114" si="564">IFERROR(AVERAGE(L1114:L1117),"")</f>
        <v/>
      </c>
      <c r="F1114" s="434" t="str">
        <f t="shared" si="564"/>
        <v/>
      </c>
      <c r="G1114" s="435" t="str">
        <f t="shared" si="564"/>
        <v/>
      </c>
      <c r="H1114" s="435" t="str">
        <f t="shared" si="564"/>
        <v/>
      </c>
      <c r="I1114" s="436" t="str">
        <f t="shared" si="564"/>
        <v/>
      </c>
      <c r="J1114" s="437">
        <f>SUMIFS(PRODUCTION[KG],PRODUCTION[GRADE],"3X50",PRODUCTION[DATE],B1114,PRODUCTION[BATCH],C1114,PRODUCTION[SHIFT],D1114)</f>
        <v>0</v>
      </c>
      <c r="K1114" s="438" t="s">
        <v>1414</v>
      </c>
      <c r="L1114" s="443"/>
      <c r="M1114" s="440"/>
      <c r="N1114" s="441"/>
      <c r="O1114" s="441"/>
      <c r="P1114" s="442"/>
      <c r="Q1114" s="443"/>
      <c r="R1114" s="440"/>
      <c r="S1114" s="440"/>
      <c r="T1114" s="440"/>
      <c r="U1114" s="440"/>
      <c r="V1114" s="440"/>
      <c r="W1114" s="440"/>
      <c r="X1114" s="440"/>
      <c r="Y1114" s="444">
        <f t="shared" si="17"/>
        <v>0</v>
      </c>
      <c r="Z1114" s="445"/>
      <c r="AA1114" s="446">
        <f t="shared" ref="AA1114:AE1114" si="565">$J1114*E1114</f>
        <v>0</v>
      </c>
      <c r="AB1114" s="447">
        <f t="shared" si="565"/>
        <v>0</v>
      </c>
      <c r="AC1114" s="447">
        <f t="shared" si="565"/>
        <v>0</v>
      </c>
      <c r="AD1114" s="447">
        <f t="shared" si="565"/>
        <v>0</v>
      </c>
      <c r="AE1114" s="448">
        <f t="shared" si="565"/>
        <v>0</v>
      </c>
      <c r="AF1114" s="449"/>
      <c r="AG1114" s="449"/>
      <c r="AH1114" s="449"/>
    </row>
    <row r="1115" ht="11.25" customHeight="1">
      <c r="A1115" s="450"/>
      <c r="B1115" s="451"/>
      <c r="C1115" s="452"/>
      <c r="D1115" s="452"/>
      <c r="E1115" s="453"/>
      <c r="F1115" s="453"/>
      <c r="G1115" s="454"/>
      <c r="H1115" s="454"/>
      <c r="I1115" s="455"/>
      <c r="J1115" s="456"/>
      <c r="K1115" s="457" t="s">
        <v>1416</v>
      </c>
      <c r="L1115" s="458"/>
      <c r="M1115" s="459"/>
      <c r="N1115" s="460"/>
      <c r="O1115" s="460"/>
      <c r="P1115" s="461"/>
      <c r="Q1115" s="458"/>
      <c r="R1115" s="459"/>
      <c r="S1115" s="459"/>
      <c r="T1115" s="459"/>
      <c r="U1115" s="459"/>
      <c r="V1115" s="459"/>
      <c r="W1115" s="459"/>
      <c r="X1115" s="459"/>
      <c r="Y1115" s="462">
        <f t="shared" si="17"/>
        <v>0</v>
      </c>
      <c r="Z1115" s="463"/>
      <c r="AA1115" s="464"/>
      <c r="AB1115" s="465"/>
      <c r="AC1115" s="465"/>
      <c r="AD1115" s="465"/>
      <c r="AE1115" s="466"/>
      <c r="AF1115" s="449"/>
      <c r="AG1115" s="449"/>
      <c r="AH1115" s="449"/>
    </row>
    <row r="1116" ht="11.25" customHeight="1">
      <c r="A1116" s="450"/>
      <c r="B1116" s="451"/>
      <c r="C1116" s="452"/>
      <c r="D1116" s="452"/>
      <c r="E1116" s="453"/>
      <c r="F1116" s="453"/>
      <c r="G1116" s="454"/>
      <c r="H1116" s="454"/>
      <c r="I1116" s="455"/>
      <c r="J1116" s="456"/>
      <c r="K1116" s="467" t="s">
        <v>1417</v>
      </c>
      <c r="L1116" s="468"/>
      <c r="M1116" s="469"/>
      <c r="N1116" s="470"/>
      <c r="O1116" s="470"/>
      <c r="P1116" s="471"/>
      <c r="Q1116" s="468"/>
      <c r="R1116" s="469"/>
      <c r="S1116" s="469"/>
      <c r="T1116" s="469"/>
      <c r="U1116" s="469"/>
      <c r="V1116" s="469"/>
      <c r="W1116" s="469"/>
      <c r="X1116" s="469"/>
      <c r="Y1116" s="462">
        <f t="shared" si="17"/>
        <v>0</v>
      </c>
      <c r="Z1116" s="463"/>
      <c r="AA1116" s="464"/>
      <c r="AB1116" s="465"/>
      <c r="AC1116" s="465"/>
      <c r="AD1116" s="465"/>
      <c r="AE1116" s="466"/>
      <c r="AF1116" s="449"/>
      <c r="AG1116" s="449"/>
      <c r="AH1116" s="449"/>
    </row>
    <row r="1117" ht="11.25" customHeight="1">
      <c r="A1117" s="450"/>
      <c r="B1117" s="472"/>
      <c r="C1117" s="473"/>
      <c r="D1117" s="473"/>
      <c r="E1117" s="474"/>
      <c r="F1117" s="474"/>
      <c r="G1117" s="475"/>
      <c r="H1117" s="475"/>
      <c r="I1117" s="476"/>
      <c r="J1117" s="477"/>
      <c r="K1117" s="478" t="s">
        <v>1418</v>
      </c>
      <c r="L1117" s="479"/>
      <c r="M1117" s="480"/>
      <c r="N1117" s="481"/>
      <c r="O1117" s="481"/>
      <c r="P1117" s="482"/>
      <c r="Q1117" s="479"/>
      <c r="R1117" s="480"/>
      <c r="S1117" s="480"/>
      <c r="T1117" s="480"/>
      <c r="U1117" s="480"/>
      <c r="V1117" s="480"/>
      <c r="W1117" s="480"/>
      <c r="X1117" s="480"/>
      <c r="Y1117" s="483">
        <f t="shared" si="17"/>
        <v>0</v>
      </c>
      <c r="Z1117" s="484"/>
      <c r="AA1117" s="485"/>
      <c r="AB1117" s="486"/>
      <c r="AC1117" s="486"/>
      <c r="AD1117" s="486"/>
      <c r="AE1117" s="487"/>
      <c r="AF1117" s="449"/>
      <c r="AG1117" s="449"/>
      <c r="AH1117" s="449"/>
    </row>
    <row r="1118" ht="11.25" customHeight="1">
      <c r="A1118" s="431" t="str">
        <f>IF(B1118="","", YEAR(B1118))</f>
        <v/>
      </c>
      <c r="B1118" s="432"/>
      <c r="C1118" s="433"/>
      <c r="D1118" s="433"/>
      <c r="E1118" s="434" t="str">
        <f t="shared" ref="E1118:I1118" si="566">IFERROR(AVERAGE(L1118:L1121),"")</f>
        <v/>
      </c>
      <c r="F1118" s="434" t="str">
        <f t="shared" si="566"/>
        <v/>
      </c>
      <c r="G1118" s="435" t="str">
        <f t="shared" si="566"/>
        <v/>
      </c>
      <c r="H1118" s="435" t="str">
        <f t="shared" si="566"/>
        <v/>
      </c>
      <c r="I1118" s="436" t="str">
        <f t="shared" si="566"/>
        <v/>
      </c>
      <c r="J1118" s="437">
        <f>SUMIFS(PRODUCTION[KG],PRODUCTION[GRADE],"3X50",PRODUCTION[DATE],B1118,PRODUCTION[BATCH],C1118,PRODUCTION[SHIFT],D1118)</f>
        <v>0</v>
      </c>
      <c r="K1118" s="438" t="s">
        <v>1414</v>
      </c>
      <c r="L1118" s="443"/>
      <c r="M1118" s="440"/>
      <c r="N1118" s="441"/>
      <c r="O1118" s="441"/>
      <c r="P1118" s="442"/>
      <c r="Q1118" s="443"/>
      <c r="R1118" s="440"/>
      <c r="S1118" s="440"/>
      <c r="T1118" s="440"/>
      <c r="U1118" s="440"/>
      <c r="V1118" s="440"/>
      <c r="W1118" s="440"/>
      <c r="X1118" s="440"/>
      <c r="Y1118" s="444">
        <f t="shared" si="17"/>
        <v>0</v>
      </c>
      <c r="Z1118" s="445"/>
      <c r="AA1118" s="446">
        <f t="shared" ref="AA1118:AE1118" si="567">$J1118*E1118</f>
        <v>0</v>
      </c>
      <c r="AB1118" s="447">
        <f t="shared" si="567"/>
        <v>0</v>
      </c>
      <c r="AC1118" s="447">
        <f t="shared" si="567"/>
        <v>0</v>
      </c>
      <c r="AD1118" s="447">
        <f t="shared" si="567"/>
        <v>0</v>
      </c>
      <c r="AE1118" s="448">
        <f t="shared" si="567"/>
        <v>0</v>
      </c>
      <c r="AF1118" s="449"/>
      <c r="AG1118" s="449"/>
      <c r="AH1118" s="449"/>
    </row>
    <row r="1119" ht="11.25" customHeight="1">
      <c r="A1119" s="450"/>
      <c r="B1119" s="451"/>
      <c r="C1119" s="452"/>
      <c r="D1119" s="452"/>
      <c r="E1119" s="453"/>
      <c r="F1119" s="453"/>
      <c r="G1119" s="454"/>
      <c r="H1119" s="454"/>
      <c r="I1119" s="455"/>
      <c r="J1119" s="456"/>
      <c r="K1119" s="457" t="s">
        <v>1416</v>
      </c>
      <c r="L1119" s="458"/>
      <c r="M1119" s="459"/>
      <c r="N1119" s="460"/>
      <c r="O1119" s="460"/>
      <c r="P1119" s="461"/>
      <c r="Q1119" s="458"/>
      <c r="R1119" s="459"/>
      <c r="S1119" s="459"/>
      <c r="T1119" s="459"/>
      <c r="U1119" s="459"/>
      <c r="V1119" s="459"/>
      <c r="W1119" s="459"/>
      <c r="X1119" s="459"/>
      <c r="Y1119" s="462">
        <f t="shared" si="17"/>
        <v>0</v>
      </c>
      <c r="Z1119" s="463"/>
      <c r="AA1119" s="464"/>
      <c r="AB1119" s="465"/>
      <c r="AC1119" s="465"/>
      <c r="AD1119" s="465"/>
      <c r="AE1119" s="466"/>
      <c r="AF1119" s="449"/>
      <c r="AG1119" s="449"/>
      <c r="AH1119" s="449"/>
    </row>
    <row r="1120" ht="11.25" customHeight="1">
      <c r="A1120" s="450"/>
      <c r="B1120" s="451"/>
      <c r="C1120" s="452"/>
      <c r="D1120" s="452"/>
      <c r="E1120" s="453"/>
      <c r="F1120" s="453"/>
      <c r="G1120" s="454"/>
      <c r="H1120" s="454"/>
      <c r="I1120" s="455"/>
      <c r="J1120" s="456"/>
      <c r="K1120" s="467" t="s">
        <v>1417</v>
      </c>
      <c r="L1120" s="468"/>
      <c r="M1120" s="469"/>
      <c r="N1120" s="470"/>
      <c r="O1120" s="470"/>
      <c r="P1120" s="471"/>
      <c r="Q1120" s="468"/>
      <c r="R1120" s="469"/>
      <c r="S1120" s="469"/>
      <c r="T1120" s="469"/>
      <c r="U1120" s="469"/>
      <c r="V1120" s="469"/>
      <c r="W1120" s="469"/>
      <c r="X1120" s="469"/>
      <c r="Y1120" s="462">
        <f t="shared" si="17"/>
        <v>0</v>
      </c>
      <c r="Z1120" s="463"/>
      <c r="AA1120" s="464"/>
      <c r="AB1120" s="465"/>
      <c r="AC1120" s="465"/>
      <c r="AD1120" s="465"/>
      <c r="AE1120" s="466"/>
      <c r="AF1120" s="449"/>
      <c r="AG1120" s="449"/>
      <c r="AH1120" s="449"/>
    </row>
    <row r="1121" ht="11.25" customHeight="1">
      <c r="A1121" s="450"/>
      <c r="B1121" s="472"/>
      <c r="C1121" s="473"/>
      <c r="D1121" s="473"/>
      <c r="E1121" s="474"/>
      <c r="F1121" s="474"/>
      <c r="G1121" s="475"/>
      <c r="H1121" s="475"/>
      <c r="I1121" s="476"/>
      <c r="J1121" s="477"/>
      <c r="K1121" s="478" t="s">
        <v>1418</v>
      </c>
      <c r="L1121" s="479"/>
      <c r="M1121" s="480"/>
      <c r="N1121" s="481"/>
      <c r="O1121" s="481"/>
      <c r="P1121" s="482"/>
      <c r="Q1121" s="479"/>
      <c r="R1121" s="480"/>
      <c r="S1121" s="480"/>
      <c r="T1121" s="480"/>
      <c r="U1121" s="480"/>
      <c r="V1121" s="480"/>
      <c r="W1121" s="480"/>
      <c r="X1121" s="480"/>
      <c r="Y1121" s="483">
        <f t="shared" si="17"/>
        <v>0</v>
      </c>
      <c r="Z1121" s="484"/>
      <c r="AA1121" s="485"/>
      <c r="AB1121" s="486"/>
      <c r="AC1121" s="486"/>
      <c r="AD1121" s="486"/>
      <c r="AE1121" s="487"/>
      <c r="AF1121" s="449"/>
      <c r="AG1121" s="449"/>
      <c r="AH1121" s="449"/>
    </row>
    <row r="1122" ht="11.25" customHeight="1">
      <c r="A1122" s="431" t="str">
        <f>IF(B1122="","", YEAR(B1122))</f>
        <v/>
      </c>
      <c r="B1122" s="432"/>
      <c r="C1122" s="433"/>
      <c r="D1122" s="433"/>
      <c r="E1122" s="434" t="str">
        <f t="shared" ref="E1122:I1122" si="568">IFERROR(AVERAGE(L1122:L1125),"")</f>
        <v/>
      </c>
      <c r="F1122" s="434" t="str">
        <f t="shared" si="568"/>
        <v/>
      </c>
      <c r="G1122" s="435" t="str">
        <f t="shared" si="568"/>
        <v/>
      </c>
      <c r="H1122" s="435" t="str">
        <f t="shared" si="568"/>
        <v/>
      </c>
      <c r="I1122" s="436" t="str">
        <f t="shared" si="568"/>
        <v/>
      </c>
      <c r="J1122" s="437">
        <f>SUMIFS(PRODUCTION[KG],PRODUCTION[GRADE],"3X50",PRODUCTION[DATE],B1122,PRODUCTION[BATCH],C1122,PRODUCTION[SHIFT],D1122)</f>
        <v>0</v>
      </c>
      <c r="K1122" s="438" t="s">
        <v>1414</v>
      </c>
      <c r="L1122" s="443"/>
      <c r="M1122" s="440"/>
      <c r="N1122" s="441"/>
      <c r="O1122" s="441"/>
      <c r="P1122" s="442"/>
      <c r="Q1122" s="443"/>
      <c r="R1122" s="440"/>
      <c r="S1122" s="440"/>
      <c r="T1122" s="440"/>
      <c r="U1122" s="440"/>
      <c r="V1122" s="440"/>
      <c r="W1122" s="440"/>
      <c r="X1122" s="440"/>
      <c r="Y1122" s="444">
        <f t="shared" si="17"/>
        <v>0</v>
      </c>
      <c r="Z1122" s="445"/>
      <c r="AA1122" s="446">
        <f t="shared" ref="AA1122:AE1122" si="569">$J1122*E1122</f>
        <v>0</v>
      </c>
      <c r="AB1122" s="447">
        <f t="shared" si="569"/>
        <v>0</v>
      </c>
      <c r="AC1122" s="447">
        <f t="shared" si="569"/>
        <v>0</v>
      </c>
      <c r="AD1122" s="447">
        <f t="shared" si="569"/>
        <v>0</v>
      </c>
      <c r="AE1122" s="448">
        <f t="shared" si="569"/>
        <v>0</v>
      </c>
      <c r="AF1122" s="449"/>
      <c r="AG1122" s="449"/>
      <c r="AH1122" s="449"/>
    </row>
    <row r="1123" ht="11.25" customHeight="1">
      <c r="A1123" s="450"/>
      <c r="B1123" s="451"/>
      <c r="C1123" s="452"/>
      <c r="D1123" s="452"/>
      <c r="E1123" s="453"/>
      <c r="F1123" s="453"/>
      <c r="G1123" s="454"/>
      <c r="H1123" s="454"/>
      <c r="I1123" s="455"/>
      <c r="J1123" s="456"/>
      <c r="K1123" s="457" t="s">
        <v>1416</v>
      </c>
      <c r="L1123" s="458"/>
      <c r="M1123" s="459"/>
      <c r="N1123" s="460"/>
      <c r="O1123" s="460"/>
      <c r="P1123" s="461"/>
      <c r="Q1123" s="458"/>
      <c r="R1123" s="459"/>
      <c r="S1123" s="459"/>
      <c r="T1123" s="459"/>
      <c r="U1123" s="459"/>
      <c r="V1123" s="459"/>
      <c r="W1123" s="459"/>
      <c r="X1123" s="459"/>
      <c r="Y1123" s="462">
        <f t="shared" si="17"/>
        <v>0</v>
      </c>
      <c r="Z1123" s="463"/>
      <c r="AA1123" s="464"/>
      <c r="AB1123" s="465"/>
      <c r="AC1123" s="465"/>
      <c r="AD1123" s="465"/>
      <c r="AE1123" s="466"/>
      <c r="AF1123" s="449"/>
      <c r="AG1123" s="449"/>
      <c r="AH1123" s="449"/>
    </row>
    <row r="1124" ht="11.25" customHeight="1">
      <c r="A1124" s="450"/>
      <c r="B1124" s="451"/>
      <c r="C1124" s="452"/>
      <c r="D1124" s="452"/>
      <c r="E1124" s="453"/>
      <c r="F1124" s="453"/>
      <c r="G1124" s="454"/>
      <c r="H1124" s="454"/>
      <c r="I1124" s="455"/>
      <c r="J1124" s="456"/>
      <c r="K1124" s="467" t="s">
        <v>1417</v>
      </c>
      <c r="L1124" s="468"/>
      <c r="M1124" s="469"/>
      <c r="N1124" s="470"/>
      <c r="O1124" s="470"/>
      <c r="P1124" s="471"/>
      <c r="Q1124" s="468"/>
      <c r="R1124" s="469"/>
      <c r="S1124" s="469"/>
      <c r="T1124" s="469"/>
      <c r="U1124" s="469"/>
      <c r="V1124" s="469"/>
      <c r="W1124" s="469"/>
      <c r="X1124" s="469"/>
      <c r="Y1124" s="462">
        <f t="shared" si="17"/>
        <v>0</v>
      </c>
      <c r="Z1124" s="463"/>
      <c r="AA1124" s="464"/>
      <c r="AB1124" s="465"/>
      <c r="AC1124" s="465"/>
      <c r="AD1124" s="465"/>
      <c r="AE1124" s="466"/>
      <c r="AF1124" s="449"/>
      <c r="AG1124" s="449"/>
      <c r="AH1124" s="449"/>
    </row>
    <row r="1125" ht="11.25" customHeight="1">
      <c r="A1125" s="450"/>
      <c r="B1125" s="472"/>
      <c r="C1125" s="473"/>
      <c r="D1125" s="473"/>
      <c r="E1125" s="474"/>
      <c r="F1125" s="474"/>
      <c r="G1125" s="475"/>
      <c r="H1125" s="475"/>
      <c r="I1125" s="476"/>
      <c r="J1125" s="477"/>
      <c r="K1125" s="478" t="s">
        <v>1418</v>
      </c>
      <c r="L1125" s="479"/>
      <c r="M1125" s="480"/>
      <c r="N1125" s="481"/>
      <c r="O1125" s="481"/>
      <c r="P1125" s="482"/>
      <c r="Q1125" s="479"/>
      <c r="R1125" s="480"/>
      <c r="S1125" s="480"/>
      <c r="T1125" s="480"/>
      <c r="U1125" s="480"/>
      <c r="V1125" s="480"/>
      <c r="W1125" s="480"/>
      <c r="X1125" s="480"/>
      <c r="Y1125" s="483">
        <f t="shared" si="17"/>
        <v>0</v>
      </c>
      <c r="Z1125" s="484"/>
      <c r="AA1125" s="485"/>
      <c r="AB1125" s="486"/>
      <c r="AC1125" s="486"/>
      <c r="AD1125" s="486"/>
      <c r="AE1125" s="487"/>
      <c r="AF1125" s="449"/>
      <c r="AG1125" s="449"/>
      <c r="AH1125" s="449"/>
    </row>
    <row r="1126" ht="11.25" customHeight="1">
      <c r="A1126" s="431" t="str">
        <f>IF(B1126="","", YEAR(B1126))</f>
        <v/>
      </c>
      <c r="B1126" s="432"/>
      <c r="C1126" s="433"/>
      <c r="D1126" s="433"/>
      <c r="E1126" s="434" t="str">
        <f t="shared" ref="E1126:I1126" si="570">IFERROR(AVERAGE(L1126:L1129),"")</f>
        <v/>
      </c>
      <c r="F1126" s="434" t="str">
        <f t="shared" si="570"/>
        <v/>
      </c>
      <c r="G1126" s="435" t="str">
        <f t="shared" si="570"/>
        <v/>
      </c>
      <c r="H1126" s="435" t="str">
        <f t="shared" si="570"/>
        <v/>
      </c>
      <c r="I1126" s="436" t="str">
        <f t="shared" si="570"/>
        <v/>
      </c>
      <c r="J1126" s="437">
        <f>SUMIFS(PRODUCTION[KG],PRODUCTION[GRADE],"3X50",PRODUCTION[DATE],B1126,PRODUCTION[BATCH],C1126,PRODUCTION[SHIFT],D1126)</f>
        <v>0</v>
      </c>
      <c r="K1126" s="438" t="s">
        <v>1414</v>
      </c>
      <c r="L1126" s="443"/>
      <c r="M1126" s="440"/>
      <c r="N1126" s="441"/>
      <c r="O1126" s="441"/>
      <c r="P1126" s="442"/>
      <c r="Q1126" s="443"/>
      <c r="R1126" s="440"/>
      <c r="S1126" s="440"/>
      <c r="T1126" s="440"/>
      <c r="U1126" s="440"/>
      <c r="V1126" s="440"/>
      <c r="W1126" s="440"/>
      <c r="X1126" s="440"/>
      <c r="Y1126" s="444">
        <f t="shared" si="17"/>
        <v>0</v>
      </c>
      <c r="Z1126" s="445"/>
      <c r="AA1126" s="446">
        <f t="shared" ref="AA1126:AE1126" si="571">$J1126*E1126</f>
        <v>0</v>
      </c>
      <c r="AB1126" s="447">
        <f t="shared" si="571"/>
        <v>0</v>
      </c>
      <c r="AC1126" s="447">
        <f t="shared" si="571"/>
        <v>0</v>
      </c>
      <c r="AD1126" s="447">
        <f t="shared" si="571"/>
        <v>0</v>
      </c>
      <c r="AE1126" s="448">
        <f t="shared" si="571"/>
        <v>0</v>
      </c>
      <c r="AF1126" s="449"/>
      <c r="AG1126" s="449"/>
      <c r="AH1126" s="449"/>
    </row>
    <row r="1127" ht="11.25" customHeight="1">
      <c r="A1127" s="450"/>
      <c r="B1127" s="451"/>
      <c r="C1127" s="452"/>
      <c r="D1127" s="452"/>
      <c r="E1127" s="453"/>
      <c r="F1127" s="453"/>
      <c r="G1127" s="454"/>
      <c r="H1127" s="454"/>
      <c r="I1127" s="455"/>
      <c r="J1127" s="456"/>
      <c r="K1127" s="457" t="s">
        <v>1416</v>
      </c>
      <c r="L1127" s="458"/>
      <c r="M1127" s="459"/>
      <c r="N1127" s="460"/>
      <c r="O1127" s="460"/>
      <c r="P1127" s="461"/>
      <c r="Q1127" s="458"/>
      <c r="R1127" s="459"/>
      <c r="S1127" s="459"/>
      <c r="T1127" s="459"/>
      <c r="U1127" s="459"/>
      <c r="V1127" s="459"/>
      <c r="W1127" s="459"/>
      <c r="X1127" s="459"/>
      <c r="Y1127" s="462">
        <f t="shared" si="17"/>
        <v>0</v>
      </c>
      <c r="Z1127" s="463"/>
      <c r="AA1127" s="464"/>
      <c r="AB1127" s="465"/>
      <c r="AC1127" s="465"/>
      <c r="AD1127" s="465"/>
      <c r="AE1127" s="466"/>
      <c r="AF1127" s="449"/>
      <c r="AG1127" s="449"/>
      <c r="AH1127" s="449"/>
    </row>
    <row r="1128" ht="11.25" customHeight="1">
      <c r="A1128" s="450"/>
      <c r="B1128" s="451"/>
      <c r="C1128" s="452"/>
      <c r="D1128" s="452"/>
      <c r="E1128" s="453"/>
      <c r="F1128" s="453"/>
      <c r="G1128" s="454"/>
      <c r="H1128" s="454"/>
      <c r="I1128" s="455"/>
      <c r="J1128" s="456"/>
      <c r="K1128" s="467" t="s">
        <v>1417</v>
      </c>
      <c r="L1128" s="468"/>
      <c r="M1128" s="469"/>
      <c r="N1128" s="470"/>
      <c r="O1128" s="470"/>
      <c r="P1128" s="471"/>
      <c r="Q1128" s="468"/>
      <c r="R1128" s="469"/>
      <c r="S1128" s="469"/>
      <c r="T1128" s="469"/>
      <c r="U1128" s="469"/>
      <c r="V1128" s="469"/>
      <c r="W1128" s="469"/>
      <c r="X1128" s="469"/>
      <c r="Y1128" s="462">
        <f t="shared" si="17"/>
        <v>0</v>
      </c>
      <c r="Z1128" s="463"/>
      <c r="AA1128" s="464"/>
      <c r="AB1128" s="465"/>
      <c r="AC1128" s="465"/>
      <c r="AD1128" s="465"/>
      <c r="AE1128" s="466"/>
      <c r="AF1128" s="449"/>
      <c r="AG1128" s="449"/>
      <c r="AH1128" s="449"/>
    </row>
    <row r="1129" ht="11.25" customHeight="1">
      <c r="A1129" s="450"/>
      <c r="B1129" s="472"/>
      <c r="C1129" s="473"/>
      <c r="D1129" s="473"/>
      <c r="E1129" s="474"/>
      <c r="F1129" s="474"/>
      <c r="G1129" s="475"/>
      <c r="H1129" s="475"/>
      <c r="I1129" s="476"/>
      <c r="J1129" s="477"/>
      <c r="K1129" s="478" t="s">
        <v>1418</v>
      </c>
      <c r="L1129" s="479"/>
      <c r="M1129" s="480"/>
      <c r="N1129" s="481"/>
      <c r="O1129" s="481"/>
      <c r="P1129" s="482"/>
      <c r="Q1129" s="479"/>
      <c r="R1129" s="480"/>
      <c r="S1129" s="480"/>
      <c r="T1129" s="480"/>
      <c r="U1129" s="480"/>
      <c r="V1129" s="480"/>
      <c r="W1129" s="480"/>
      <c r="X1129" s="480"/>
      <c r="Y1129" s="483">
        <f t="shared" si="17"/>
        <v>0</v>
      </c>
      <c r="Z1129" s="484"/>
      <c r="AA1129" s="485"/>
      <c r="AB1129" s="486"/>
      <c r="AC1129" s="486"/>
      <c r="AD1129" s="486"/>
      <c r="AE1129" s="487"/>
      <c r="AF1129" s="449"/>
      <c r="AG1129" s="449"/>
      <c r="AH1129" s="449"/>
    </row>
    <row r="1130" ht="11.25" customHeight="1">
      <c r="A1130" s="431" t="str">
        <f>IF(B1130="","", YEAR(B1130))</f>
        <v/>
      </c>
      <c r="B1130" s="432"/>
      <c r="C1130" s="433"/>
      <c r="D1130" s="433"/>
      <c r="E1130" s="434" t="str">
        <f t="shared" ref="E1130:I1130" si="572">IFERROR(AVERAGE(L1130:L1133),"")</f>
        <v/>
      </c>
      <c r="F1130" s="434" t="str">
        <f t="shared" si="572"/>
        <v/>
      </c>
      <c r="G1130" s="435" t="str">
        <f t="shared" si="572"/>
        <v/>
      </c>
      <c r="H1130" s="435" t="str">
        <f t="shared" si="572"/>
        <v/>
      </c>
      <c r="I1130" s="436" t="str">
        <f t="shared" si="572"/>
        <v/>
      </c>
      <c r="J1130" s="437">
        <f>SUMIFS(PRODUCTION[KG],PRODUCTION[GRADE],"3X50",PRODUCTION[DATE],B1130,PRODUCTION[BATCH],C1130,PRODUCTION[SHIFT],D1130)</f>
        <v>0</v>
      </c>
      <c r="K1130" s="438" t="s">
        <v>1414</v>
      </c>
      <c r="L1130" s="443"/>
      <c r="M1130" s="440"/>
      <c r="N1130" s="441"/>
      <c r="O1130" s="441"/>
      <c r="P1130" s="442"/>
      <c r="Q1130" s="443"/>
      <c r="R1130" s="440"/>
      <c r="S1130" s="440"/>
      <c r="T1130" s="440"/>
      <c r="U1130" s="440"/>
      <c r="V1130" s="440"/>
      <c r="W1130" s="440"/>
      <c r="X1130" s="440"/>
      <c r="Y1130" s="444">
        <f t="shared" si="17"/>
        <v>0</v>
      </c>
      <c r="Z1130" s="445"/>
      <c r="AA1130" s="446">
        <f t="shared" ref="AA1130:AE1130" si="573">$J1130*E1130</f>
        <v>0</v>
      </c>
      <c r="AB1130" s="447">
        <f t="shared" si="573"/>
        <v>0</v>
      </c>
      <c r="AC1130" s="447">
        <f t="shared" si="573"/>
        <v>0</v>
      </c>
      <c r="AD1130" s="447">
        <f t="shared" si="573"/>
        <v>0</v>
      </c>
      <c r="AE1130" s="448">
        <f t="shared" si="573"/>
        <v>0</v>
      </c>
      <c r="AF1130" s="449"/>
      <c r="AG1130" s="449"/>
      <c r="AH1130" s="449"/>
    </row>
    <row r="1131" ht="11.25" customHeight="1">
      <c r="A1131" s="450"/>
      <c r="B1131" s="451"/>
      <c r="C1131" s="452"/>
      <c r="D1131" s="452"/>
      <c r="E1131" s="453"/>
      <c r="F1131" s="453"/>
      <c r="G1131" s="454"/>
      <c r="H1131" s="454"/>
      <c r="I1131" s="455"/>
      <c r="J1131" s="456"/>
      <c r="K1131" s="457" t="s">
        <v>1416</v>
      </c>
      <c r="L1131" s="458"/>
      <c r="M1131" s="459"/>
      <c r="N1131" s="460"/>
      <c r="O1131" s="460"/>
      <c r="P1131" s="461"/>
      <c r="Q1131" s="458"/>
      <c r="R1131" s="459"/>
      <c r="S1131" s="459"/>
      <c r="T1131" s="459"/>
      <c r="U1131" s="459"/>
      <c r="V1131" s="459"/>
      <c r="W1131" s="459"/>
      <c r="X1131" s="459"/>
      <c r="Y1131" s="462">
        <f t="shared" si="17"/>
        <v>0</v>
      </c>
      <c r="Z1131" s="463"/>
      <c r="AA1131" s="464"/>
      <c r="AB1131" s="465"/>
      <c r="AC1131" s="465"/>
      <c r="AD1131" s="465"/>
      <c r="AE1131" s="466"/>
      <c r="AF1131" s="449"/>
      <c r="AG1131" s="449"/>
      <c r="AH1131" s="449"/>
    </row>
    <row r="1132" ht="11.25" customHeight="1">
      <c r="A1132" s="450"/>
      <c r="B1132" s="451"/>
      <c r="C1132" s="452"/>
      <c r="D1132" s="452"/>
      <c r="E1132" s="453"/>
      <c r="F1132" s="453"/>
      <c r="G1132" s="454"/>
      <c r="H1132" s="454"/>
      <c r="I1132" s="455"/>
      <c r="J1132" s="456"/>
      <c r="K1132" s="467" t="s">
        <v>1417</v>
      </c>
      <c r="L1132" s="468"/>
      <c r="M1132" s="469"/>
      <c r="N1132" s="470"/>
      <c r="O1132" s="470"/>
      <c r="P1132" s="471"/>
      <c r="Q1132" s="468"/>
      <c r="R1132" s="469"/>
      <c r="S1132" s="469"/>
      <c r="T1132" s="469"/>
      <c r="U1132" s="469"/>
      <c r="V1132" s="469"/>
      <c r="W1132" s="469"/>
      <c r="X1132" s="469"/>
      <c r="Y1132" s="462">
        <f t="shared" si="17"/>
        <v>0</v>
      </c>
      <c r="Z1132" s="463"/>
      <c r="AA1132" s="464"/>
      <c r="AB1132" s="465"/>
      <c r="AC1132" s="465"/>
      <c r="AD1132" s="465"/>
      <c r="AE1132" s="466"/>
      <c r="AF1132" s="449"/>
      <c r="AG1132" s="449"/>
      <c r="AH1132" s="449"/>
    </row>
    <row r="1133" ht="11.25" customHeight="1">
      <c r="A1133" s="450"/>
      <c r="B1133" s="472"/>
      <c r="C1133" s="473"/>
      <c r="D1133" s="473"/>
      <c r="E1133" s="474"/>
      <c r="F1133" s="474"/>
      <c r="G1133" s="475"/>
      <c r="H1133" s="475"/>
      <c r="I1133" s="476"/>
      <c r="J1133" s="477"/>
      <c r="K1133" s="478" t="s">
        <v>1418</v>
      </c>
      <c r="L1133" s="479"/>
      <c r="M1133" s="480"/>
      <c r="N1133" s="481"/>
      <c r="O1133" s="481"/>
      <c r="P1133" s="482"/>
      <c r="Q1133" s="479"/>
      <c r="R1133" s="480"/>
      <c r="S1133" s="480"/>
      <c r="T1133" s="480"/>
      <c r="U1133" s="480"/>
      <c r="V1133" s="480"/>
      <c r="W1133" s="480"/>
      <c r="X1133" s="480"/>
      <c r="Y1133" s="483">
        <f t="shared" si="17"/>
        <v>0</v>
      </c>
      <c r="Z1133" s="484"/>
      <c r="AA1133" s="485"/>
      <c r="AB1133" s="486"/>
      <c r="AC1133" s="486"/>
      <c r="AD1133" s="486"/>
      <c r="AE1133" s="487"/>
      <c r="AF1133" s="449"/>
      <c r="AG1133" s="449"/>
      <c r="AH1133" s="449"/>
    </row>
    <row r="1134" ht="11.25" customHeight="1">
      <c r="A1134" s="431" t="str">
        <f>IF(B1134="","", YEAR(B1134))</f>
        <v/>
      </c>
      <c r="B1134" s="432"/>
      <c r="C1134" s="433"/>
      <c r="D1134" s="433"/>
      <c r="E1134" s="434" t="str">
        <f t="shared" ref="E1134:I1134" si="574">IFERROR(AVERAGE(L1134:L1137),"")</f>
        <v/>
      </c>
      <c r="F1134" s="434" t="str">
        <f t="shared" si="574"/>
        <v/>
      </c>
      <c r="G1134" s="435" t="str">
        <f t="shared" si="574"/>
        <v/>
      </c>
      <c r="H1134" s="435" t="str">
        <f t="shared" si="574"/>
        <v/>
      </c>
      <c r="I1134" s="436" t="str">
        <f t="shared" si="574"/>
        <v/>
      </c>
      <c r="J1134" s="437">
        <f>SUMIFS(PRODUCTION[KG],PRODUCTION[GRADE],"3X50",PRODUCTION[DATE],B1134,PRODUCTION[BATCH],C1134,PRODUCTION[SHIFT],D1134)</f>
        <v>0</v>
      </c>
      <c r="K1134" s="438" t="s">
        <v>1414</v>
      </c>
      <c r="L1134" s="443"/>
      <c r="M1134" s="440"/>
      <c r="N1134" s="441"/>
      <c r="O1134" s="441"/>
      <c r="P1134" s="442"/>
      <c r="Q1134" s="443"/>
      <c r="R1134" s="440"/>
      <c r="S1134" s="440"/>
      <c r="T1134" s="440"/>
      <c r="U1134" s="440"/>
      <c r="V1134" s="440"/>
      <c r="W1134" s="440"/>
      <c r="X1134" s="440"/>
      <c r="Y1134" s="444">
        <f t="shared" si="17"/>
        <v>0</v>
      </c>
      <c r="Z1134" s="445"/>
      <c r="AA1134" s="446">
        <f t="shared" ref="AA1134:AE1134" si="575">$J1134*E1134</f>
        <v>0</v>
      </c>
      <c r="AB1134" s="447">
        <f t="shared" si="575"/>
        <v>0</v>
      </c>
      <c r="AC1134" s="447">
        <f t="shared" si="575"/>
        <v>0</v>
      </c>
      <c r="AD1134" s="447">
        <f t="shared" si="575"/>
        <v>0</v>
      </c>
      <c r="AE1134" s="448">
        <f t="shared" si="575"/>
        <v>0</v>
      </c>
      <c r="AF1134" s="449"/>
      <c r="AG1134" s="449"/>
      <c r="AH1134" s="449"/>
    </row>
    <row r="1135" ht="11.25" customHeight="1">
      <c r="A1135" s="450"/>
      <c r="B1135" s="451"/>
      <c r="C1135" s="452"/>
      <c r="D1135" s="452"/>
      <c r="E1135" s="453"/>
      <c r="F1135" s="453"/>
      <c r="G1135" s="454"/>
      <c r="H1135" s="454"/>
      <c r="I1135" s="455"/>
      <c r="J1135" s="456"/>
      <c r="K1135" s="457" t="s">
        <v>1416</v>
      </c>
      <c r="L1135" s="458"/>
      <c r="M1135" s="459"/>
      <c r="N1135" s="460"/>
      <c r="O1135" s="460"/>
      <c r="P1135" s="461"/>
      <c r="Q1135" s="458"/>
      <c r="R1135" s="459"/>
      <c r="S1135" s="459"/>
      <c r="T1135" s="459"/>
      <c r="U1135" s="459"/>
      <c r="V1135" s="459"/>
      <c r="W1135" s="459"/>
      <c r="X1135" s="459"/>
      <c r="Y1135" s="462">
        <f t="shared" si="17"/>
        <v>0</v>
      </c>
      <c r="Z1135" s="463"/>
      <c r="AA1135" s="464"/>
      <c r="AB1135" s="465"/>
      <c r="AC1135" s="465"/>
      <c r="AD1135" s="465"/>
      <c r="AE1135" s="466"/>
      <c r="AF1135" s="449"/>
      <c r="AG1135" s="449"/>
      <c r="AH1135" s="449"/>
    </row>
    <row r="1136" ht="11.25" customHeight="1">
      <c r="A1136" s="450"/>
      <c r="B1136" s="451"/>
      <c r="C1136" s="452"/>
      <c r="D1136" s="452"/>
      <c r="E1136" s="453"/>
      <c r="F1136" s="453"/>
      <c r="G1136" s="454"/>
      <c r="H1136" s="454"/>
      <c r="I1136" s="455"/>
      <c r="J1136" s="456"/>
      <c r="K1136" s="467" t="s">
        <v>1417</v>
      </c>
      <c r="L1136" s="468"/>
      <c r="M1136" s="469"/>
      <c r="N1136" s="470"/>
      <c r="O1136" s="470"/>
      <c r="P1136" s="471"/>
      <c r="Q1136" s="468"/>
      <c r="R1136" s="469"/>
      <c r="S1136" s="469"/>
      <c r="T1136" s="469"/>
      <c r="U1136" s="469"/>
      <c r="V1136" s="469"/>
      <c r="W1136" s="469"/>
      <c r="X1136" s="469"/>
      <c r="Y1136" s="462">
        <f t="shared" si="17"/>
        <v>0</v>
      </c>
      <c r="Z1136" s="463"/>
      <c r="AA1136" s="464"/>
      <c r="AB1136" s="465"/>
      <c r="AC1136" s="465"/>
      <c r="AD1136" s="465"/>
      <c r="AE1136" s="466"/>
      <c r="AF1136" s="449"/>
      <c r="AG1136" s="449"/>
      <c r="AH1136" s="449"/>
    </row>
    <row r="1137" ht="11.25" customHeight="1">
      <c r="A1137" s="450"/>
      <c r="B1137" s="472"/>
      <c r="C1137" s="473"/>
      <c r="D1137" s="473"/>
      <c r="E1137" s="474"/>
      <c r="F1137" s="474"/>
      <c r="G1137" s="475"/>
      <c r="H1137" s="475"/>
      <c r="I1137" s="476"/>
      <c r="J1137" s="477"/>
      <c r="K1137" s="478" t="s">
        <v>1418</v>
      </c>
      <c r="L1137" s="479"/>
      <c r="M1137" s="480"/>
      <c r="N1137" s="481"/>
      <c r="O1137" s="481"/>
      <c r="P1137" s="482"/>
      <c r="Q1137" s="479"/>
      <c r="R1137" s="480"/>
      <c r="S1137" s="480"/>
      <c r="T1137" s="480"/>
      <c r="U1137" s="480"/>
      <c r="V1137" s="480"/>
      <c r="W1137" s="480"/>
      <c r="X1137" s="480"/>
      <c r="Y1137" s="483">
        <f t="shared" si="17"/>
        <v>0</v>
      </c>
      <c r="Z1137" s="484"/>
      <c r="AA1137" s="485"/>
      <c r="AB1137" s="486"/>
      <c r="AC1137" s="486"/>
      <c r="AD1137" s="486"/>
      <c r="AE1137" s="487"/>
      <c r="AF1137" s="449"/>
      <c r="AG1137" s="449"/>
      <c r="AH1137" s="449"/>
    </row>
    <row r="1138" ht="11.25" customHeight="1">
      <c r="A1138" s="431" t="str">
        <f>IF(B1138="","", YEAR(B1138))</f>
        <v/>
      </c>
      <c r="B1138" s="432"/>
      <c r="C1138" s="433"/>
      <c r="D1138" s="433"/>
      <c r="E1138" s="434" t="str">
        <f t="shared" ref="E1138:I1138" si="576">IFERROR(AVERAGE(L1138:L1141),"")</f>
        <v/>
      </c>
      <c r="F1138" s="434" t="str">
        <f t="shared" si="576"/>
        <v/>
      </c>
      <c r="G1138" s="435" t="str">
        <f t="shared" si="576"/>
        <v/>
      </c>
      <c r="H1138" s="435" t="str">
        <f t="shared" si="576"/>
        <v/>
      </c>
      <c r="I1138" s="436" t="str">
        <f t="shared" si="576"/>
        <v/>
      </c>
      <c r="J1138" s="437">
        <f>SUMIFS(PRODUCTION[KG],PRODUCTION[GRADE],"3X50",PRODUCTION[DATE],B1138,PRODUCTION[BATCH],C1138,PRODUCTION[SHIFT],D1138)</f>
        <v>0</v>
      </c>
      <c r="K1138" s="438" t="s">
        <v>1414</v>
      </c>
      <c r="L1138" s="443"/>
      <c r="M1138" s="440"/>
      <c r="N1138" s="441"/>
      <c r="O1138" s="441"/>
      <c r="P1138" s="442"/>
      <c r="Q1138" s="443"/>
      <c r="R1138" s="440"/>
      <c r="S1138" s="440"/>
      <c r="T1138" s="440"/>
      <c r="U1138" s="440"/>
      <c r="V1138" s="440"/>
      <c r="W1138" s="440"/>
      <c r="X1138" s="440"/>
      <c r="Y1138" s="444">
        <f t="shared" si="17"/>
        <v>0</v>
      </c>
      <c r="Z1138" s="445"/>
      <c r="AA1138" s="446">
        <f t="shared" ref="AA1138:AE1138" si="577">$J1138*E1138</f>
        <v>0</v>
      </c>
      <c r="AB1138" s="447">
        <f t="shared" si="577"/>
        <v>0</v>
      </c>
      <c r="AC1138" s="447">
        <f t="shared" si="577"/>
        <v>0</v>
      </c>
      <c r="AD1138" s="447">
        <f t="shared" si="577"/>
        <v>0</v>
      </c>
      <c r="AE1138" s="448">
        <f t="shared" si="577"/>
        <v>0</v>
      </c>
      <c r="AF1138" s="449"/>
      <c r="AG1138" s="449"/>
      <c r="AH1138" s="449"/>
    </row>
    <row r="1139" ht="11.25" customHeight="1">
      <c r="A1139" s="450"/>
      <c r="B1139" s="451"/>
      <c r="C1139" s="452"/>
      <c r="D1139" s="452"/>
      <c r="E1139" s="453"/>
      <c r="F1139" s="453"/>
      <c r="G1139" s="454"/>
      <c r="H1139" s="454"/>
      <c r="I1139" s="455"/>
      <c r="J1139" s="456"/>
      <c r="K1139" s="457" t="s">
        <v>1416</v>
      </c>
      <c r="L1139" s="458"/>
      <c r="M1139" s="459"/>
      <c r="N1139" s="460"/>
      <c r="O1139" s="460"/>
      <c r="P1139" s="461"/>
      <c r="Q1139" s="458"/>
      <c r="R1139" s="459"/>
      <c r="S1139" s="459"/>
      <c r="T1139" s="459"/>
      <c r="U1139" s="459"/>
      <c r="V1139" s="459"/>
      <c r="W1139" s="459"/>
      <c r="X1139" s="459"/>
      <c r="Y1139" s="462">
        <f t="shared" si="17"/>
        <v>0</v>
      </c>
      <c r="Z1139" s="463"/>
      <c r="AA1139" s="464"/>
      <c r="AB1139" s="465"/>
      <c r="AC1139" s="465"/>
      <c r="AD1139" s="465"/>
      <c r="AE1139" s="466"/>
      <c r="AF1139" s="449"/>
      <c r="AG1139" s="449"/>
      <c r="AH1139" s="449"/>
    </row>
    <row r="1140" ht="11.25" customHeight="1">
      <c r="A1140" s="450"/>
      <c r="B1140" s="451"/>
      <c r="C1140" s="452"/>
      <c r="D1140" s="452"/>
      <c r="E1140" s="453"/>
      <c r="F1140" s="453"/>
      <c r="G1140" s="454"/>
      <c r="H1140" s="454"/>
      <c r="I1140" s="455"/>
      <c r="J1140" s="456"/>
      <c r="K1140" s="467" t="s">
        <v>1417</v>
      </c>
      <c r="L1140" s="468"/>
      <c r="M1140" s="469"/>
      <c r="N1140" s="470"/>
      <c r="O1140" s="470"/>
      <c r="P1140" s="471"/>
      <c r="Q1140" s="468"/>
      <c r="R1140" s="469"/>
      <c r="S1140" s="469"/>
      <c r="T1140" s="469"/>
      <c r="U1140" s="469"/>
      <c r="V1140" s="469"/>
      <c r="W1140" s="469"/>
      <c r="X1140" s="469"/>
      <c r="Y1140" s="462">
        <f t="shared" si="17"/>
        <v>0</v>
      </c>
      <c r="Z1140" s="463"/>
      <c r="AA1140" s="464"/>
      <c r="AB1140" s="465"/>
      <c r="AC1140" s="465"/>
      <c r="AD1140" s="465"/>
      <c r="AE1140" s="466"/>
      <c r="AF1140" s="449"/>
      <c r="AG1140" s="449"/>
      <c r="AH1140" s="449"/>
    </row>
    <row r="1141" ht="11.25" customHeight="1">
      <c r="A1141" s="450"/>
      <c r="B1141" s="472"/>
      <c r="C1141" s="473"/>
      <c r="D1141" s="473"/>
      <c r="E1141" s="474"/>
      <c r="F1141" s="474"/>
      <c r="G1141" s="475"/>
      <c r="H1141" s="475"/>
      <c r="I1141" s="476"/>
      <c r="J1141" s="477"/>
      <c r="K1141" s="478" t="s">
        <v>1418</v>
      </c>
      <c r="L1141" s="479"/>
      <c r="M1141" s="480"/>
      <c r="N1141" s="481"/>
      <c r="O1141" s="481"/>
      <c r="P1141" s="482"/>
      <c r="Q1141" s="479"/>
      <c r="R1141" s="480"/>
      <c r="S1141" s="480"/>
      <c r="T1141" s="480"/>
      <c r="U1141" s="480"/>
      <c r="V1141" s="480"/>
      <c r="W1141" s="480"/>
      <c r="X1141" s="480"/>
      <c r="Y1141" s="483">
        <f t="shared" si="17"/>
        <v>0</v>
      </c>
      <c r="Z1141" s="484"/>
      <c r="AA1141" s="485"/>
      <c r="AB1141" s="486"/>
      <c r="AC1141" s="486"/>
      <c r="AD1141" s="486"/>
      <c r="AE1141" s="487"/>
      <c r="AF1141" s="449"/>
      <c r="AG1141" s="449"/>
      <c r="AH1141" s="449"/>
    </row>
    <row r="1142" ht="11.25" customHeight="1">
      <c r="A1142" s="431" t="str">
        <f>IF(B1142="","", YEAR(B1142))</f>
        <v/>
      </c>
      <c r="B1142" s="432"/>
      <c r="C1142" s="433"/>
      <c r="D1142" s="433"/>
      <c r="E1142" s="434" t="str">
        <f t="shared" ref="E1142:I1142" si="578">IFERROR(AVERAGE(L1142:L1145),"")</f>
        <v/>
      </c>
      <c r="F1142" s="434" t="str">
        <f t="shared" si="578"/>
        <v/>
      </c>
      <c r="G1142" s="435" t="str">
        <f t="shared" si="578"/>
        <v/>
      </c>
      <c r="H1142" s="435" t="str">
        <f t="shared" si="578"/>
        <v/>
      </c>
      <c r="I1142" s="436" t="str">
        <f t="shared" si="578"/>
        <v/>
      </c>
      <c r="J1142" s="437">
        <f>SUMIFS(PRODUCTION[KG],PRODUCTION[GRADE],"3X50",PRODUCTION[DATE],B1142,PRODUCTION[BATCH],C1142,PRODUCTION[SHIFT],D1142)</f>
        <v>0</v>
      </c>
      <c r="K1142" s="438" t="s">
        <v>1414</v>
      </c>
      <c r="L1142" s="443"/>
      <c r="M1142" s="440"/>
      <c r="N1142" s="441"/>
      <c r="O1142" s="441"/>
      <c r="P1142" s="442"/>
      <c r="Q1142" s="443"/>
      <c r="R1142" s="440"/>
      <c r="S1142" s="440"/>
      <c r="T1142" s="440"/>
      <c r="U1142" s="440"/>
      <c r="V1142" s="440"/>
      <c r="W1142" s="440"/>
      <c r="X1142" s="440"/>
      <c r="Y1142" s="444">
        <f t="shared" si="17"/>
        <v>0</v>
      </c>
      <c r="Z1142" s="445"/>
      <c r="AA1142" s="446">
        <f t="shared" ref="AA1142:AE1142" si="579">$J1142*E1142</f>
        <v>0</v>
      </c>
      <c r="AB1142" s="447">
        <f t="shared" si="579"/>
        <v>0</v>
      </c>
      <c r="AC1142" s="447">
        <f t="shared" si="579"/>
        <v>0</v>
      </c>
      <c r="AD1142" s="447">
        <f t="shared" si="579"/>
        <v>0</v>
      </c>
      <c r="AE1142" s="448">
        <f t="shared" si="579"/>
        <v>0</v>
      </c>
      <c r="AF1142" s="449"/>
      <c r="AG1142" s="449"/>
      <c r="AH1142" s="449"/>
    </row>
    <row r="1143" ht="11.25" customHeight="1">
      <c r="A1143" s="450"/>
      <c r="B1143" s="451"/>
      <c r="C1143" s="452"/>
      <c r="D1143" s="452"/>
      <c r="E1143" s="453"/>
      <c r="F1143" s="453"/>
      <c r="G1143" s="454"/>
      <c r="H1143" s="454"/>
      <c r="I1143" s="455"/>
      <c r="J1143" s="456"/>
      <c r="K1143" s="457" t="s">
        <v>1416</v>
      </c>
      <c r="L1143" s="458"/>
      <c r="M1143" s="459"/>
      <c r="N1143" s="460"/>
      <c r="O1143" s="460"/>
      <c r="P1143" s="461"/>
      <c r="Q1143" s="458"/>
      <c r="R1143" s="459"/>
      <c r="S1143" s="459"/>
      <c r="T1143" s="459"/>
      <c r="U1143" s="459"/>
      <c r="V1143" s="459"/>
      <c r="W1143" s="459"/>
      <c r="X1143" s="459"/>
      <c r="Y1143" s="462">
        <f t="shared" si="17"/>
        <v>0</v>
      </c>
      <c r="Z1143" s="463"/>
      <c r="AA1143" s="464"/>
      <c r="AB1143" s="465"/>
      <c r="AC1143" s="465"/>
      <c r="AD1143" s="465"/>
      <c r="AE1143" s="466"/>
      <c r="AF1143" s="449"/>
      <c r="AG1143" s="449"/>
      <c r="AH1143" s="449"/>
    </row>
    <row r="1144" ht="11.25" customHeight="1">
      <c r="A1144" s="450"/>
      <c r="B1144" s="451"/>
      <c r="C1144" s="452"/>
      <c r="D1144" s="452"/>
      <c r="E1144" s="453"/>
      <c r="F1144" s="453"/>
      <c r="G1144" s="454"/>
      <c r="H1144" s="454"/>
      <c r="I1144" s="455"/>
      <c r="J1144" s="456"/>
      <c r="K1144" s="467" t="s">
        <v>1417</v>
      </c>
      <c r="L1144" s="468"/>
      <c r="M1144" s="469"/>
      <c r="N1144" s="470"/>
      <c r="O1144" s="470"/>
      <c r="P1144" s="471"/>
      <c r="Q1144" s="468"/>
      <c r="R1144" s="469"/>
      <c r="S1144" s="469"/>
      <c r="T1144" s="469"/>
      <c r="U1144" s="469"/>
      <c r="V1144" s="469"/>
      <c r="W1144" s="469"/>
      <c r="X1144" s="469"/>
      <c r="Y1144" s="462">
        <f t="shared" si="17"/>
        <v>0</v>
      </c>
      <c r="Z1144" s="463"/>
      <c r="AA1144" s="464"/>
      <c r="AB1144" s="465"/>
      <c r="AC1144" s="465"/>
      <c r="AD1144" s="465"/>
      <c r="AE1144" s="466"/>
      <c r="AF1144" s="449"/>
      <c r="AG1144" s="449"/>
      <c r="AH1144" s="449"/>
    </row>
    <row r="1145" ht="11.25" customHeight="1">
      <c r="A1145" s="450"/>
      <c r="B1145" s="472"/>
      <c r="C1145" s="473"/>
      <c r="D1145" s="473"/>
      <c r="E1145" s="474"/>
      <c r="F1145" s="474"/>
      <c r="G1145" s="475"/>
      <c r="H1145" s="475"/>
      <c r="I1145" s="476"/>
      <c r="J1145" s="477"/>
      <c r="K1145" s="478" t="s">
        <v>1418</v>
      </c>
      <c r="L1145" s="479"/>
      <c r="M1145" s="480"/>
      <c r="N1145" s="481"/>
      <c r="O1145" s="481"/>
      <c r="P1145" s="482"/>
      <c r="Q1145" s="479"/>
      <c r="R1145" s="480"/>
      <c r="S1145" s="480"/>
      <c r="T1145" s="480"/>
      <c r="U1145" s="480"/>
      <c r="V1145" s="480"/>
      <c r="W1145" s="480"/>
      <c r="X1145" s="480"/>
      <c r="Y1145" s="483">
        <f t="shared" si="17"/>
        <v>0</v>
      </c>
      <c r="Z1145" s="484"/>
      <c r="AA1145" s="485"/>
      <c r="AB1145" s="486"/>
      <c r="AC1145" s="486"/>
      <c r="AD1145" s="486"/>
      <c r="AE1145" s="487"/>
      <c r="AF1145" s="449"/>
      <c r="AG1145" s="449"/>
      <c r="AH1145" s="449"/>
    </row>
    <row r="1146" ht="11.25" customHeight="1">
      <c r="A1146" s="431" t="str">
        <f>IF(B1146="","", YEAR(B1146))</f>
        <v/>
      </c>
      <c r="B1146" s="432"/>
      <c r="C1146" s="433"/>
      <c r="D1146" s="433"/>
      <c r="E1146" s="434" t="str">
        <f t="shared" ref="E1146:I1146" si="580">IFERROR(AVERAGE(L1146:L1149),"")</f>
        <v/>
      </c>
      <c r="F1146" s="434" t="str">
        <f t="shared" si="580"/>
        <v/>
      </c>
      <c r="G1146" s="435" t="str">
        <f t="shared" si="580"/>
        <v/>
      </c>
      <c r="H1146" s="435" t="str">
        <f t="shared" si="580"/>
        <v/>
      </c>
      <c r="I1146" s="436" t="str">
        <f t="shared" si="580"/>
        <v/>
      </c>
      <c r="J1146" s="437">
        <f>SUMIFS(PRODUCTION[KG],PRODUCTION[GRADE],"3X50",PRODUCTION[DATE],B1146,PRODUCTION[BATCH],C1146,PRODUCTION[SHIFT],D1146)</f>
        <v>0</v>
      </c>
      <c r="K1146" s="438" t="s">
        <v>1414</v>
      </c>
      <c r="L1146" s="443"/>
      <c r="M1146" s="440"/>
      <c r="N1146" s="441"/>
      <c r="O1146" s="441"/>
      <c r="P1146" s="442"/>
      <c r="Q1146" s="443"/>
      <c r="R1146" s="440"/>
      <c r="S1146" s="440"/>
      <c r="T1146" s="440"/>
      <c r="U1146" s="440"/>
      <c r="V1146" s="440"/>
      <c r="W1146" s="440"/>
      <c r="X1146" s="440"/>
      <c r="Y1146" s="444">
        <f t="shared" si="17"/>
        <v>0</v>
      </c>
      <c r="Z1146" s="445"/>
      <c r="AA1146" s="446">
        <f t="shared" ref="AA1146:AE1146" si="581">$J1146*E1146</f>
        <v>0</v>
      </c>
      <c r="AB1146" s="447">
        <f t="shared" si="581"/>
        <v>0</v>
      </c>
      <c r="AC1146" s="447">
        <f t="shared" si="581"/>
        <v>0</v>
      </c>
      <c r="AD1146" s="447">
        <f t="shared" si="581"/>
        <v>0</v>
      </c>
      <c r="AE1146" s="448">
        <f t="shared" si="581"/>
        <v>0</v>
      </c>
      <c r="AF1146" s="449"/>
      <c r="AG1146" s="449"/>
      <c r="AH1146" s="449"/>
    </row>
    <row r="1147" ht="11.25" customHeight="1">
      <c r="A1147" s="450"/>
      <c r="B1147" s="451"/>
      <c r="C1147" s="452"/>
      <c r="D1147" s="452"/>
      <c r="E1147" s="453"/>
      <c r="F1147" s="453"/>
      <c r="G1147" s="454"/>
      <c r="H1147" s="454"/>
      <c r="I1147" s="455"/>
      <c r="J1147" s="456"/>
      <c r="K1147" s="457" t="s">
        <v>1416</v>
      </c>
      <c r="L1147" s="458"/>
      <c r="M1147" s="459"/>
      <c r="N1147" s="460"/>
      <c r="O1147" s="460"/>
      <c r="P1147" s="461"/>
      <c r="Q1147" s="458"/>
      <c r="R1147" s="459"/>
      <c r="S1147" s="459"/>
      <c r="T1147" s="459"/>
      <c r="U1147" s="459"/>
      <c r="V1147" s="459"/>
      <c r="W1147" s="459"/>
      <c r="X1147" s="459"/>
      <c r="Y1147" s="462">
        <f t="shared" si="17"/>
        <v>0</v>
      </c>
      <c r="Z1147" s="463"/>
      <c r="AA1147" s="464"/>
      <c r="AB1147" s="465"/>
      <c r="AC1147" s="465"/>
      <c r="AD1147" s="465"/>
      <c r="AE1147" s="466"/>
      <c r="AF1147" s="449"/>
      <c r="AG1147" s="449"/>
      <c r="AH1147" s="449"/>
    </row>
    <row r="1148" ht="11.25" customHeight="1">
      <c r="A1148" s="450"/>
      <c r="B1148" s="451"/>
      <c r="C1148" s="452"/>
      <c r="D1148" s="452"/>
      <c r="E1148" s="453"/>
      <c r="F1148" s="453"/>
      <c r="G1148" s="454"/>
      <c r="H1148" s="454"/>
      <c r="I1148" s="455"/>
      <c r="J1148" s="456"/>
      <c r="K1148" s="467" t="s">
        <v>1417</v>
      </c>
      <c r="L1148" s="468"/>
      <c r="M1148" s="469"/>
      <c r="N1148" s="470"/>
      <c r="O1148" s="470"/>
      <c r="P1148" s="471"/>
      <c r="Q1148" s="468"/>
      <c r="R1148" s="469"/>
      <c r="S1148" s="469"/>
      <c r="T1148" s="469"/>
      <c r="U1148" s="469"/>
      <c r="V1148" s="469"/>
      <c r="W1148" s="469"/>
      <c r="X1148" s="469"/>
      <c r="Y1148" s="462">
        <f t="shared" si="17"/>
        <v>0</v>
      </c>
      <c r="Z1148" s="463"/>
      <c r="AA1148" s="464"/>
      <c r="AB1148" s="465"/>
      <c r="AC1148" s="465"/>
      <c r="AD1148" s="465"/>
      <c r="AE1148" s="466"/>
      <c r="AF1148" s="449"/>
      <c r="AG1148" s="449"/>
      <c r="AH1148" s="449"/>
    </row>
    <row r="1149" ht="11.25" customHeight="1">
      <c r="A1149" s="450"/>
      <c r="B1149" s="472"/>
      <c r="C1149" s="473"/>
      <c r="D1149" s="473"/>
      <c r="E1149" s="474"/>
      <c r="F1149" s="474"/>
      <c r="G1149" s="475"/>
      <c r="H1149" s="475"/>
      <c r="I1149" s="476"/>
      <c r="J1149" s="477"/>
      <c r="K1149" s="478" t="s">
        <v>1418</v>
      </c>
      <c r="L1149" s="479"/>
      <c r="M1149" s="480"/>
      <c r="N1149" s="481"/>
      <c r="O1149" s="481"/>
      <c r="P1149" s="482"/>
      <c r="Q1149" s="479"/>
      <c r="R1149" s="480"/>
      <c r="S1149" s="480"/>
      <c r="T1149" s="480"/>
      <c r="U1149" s="480"/>
      <c r="V1149" s="480"/>
      <c r="W1149" s="480"/>
      <c r="X1149" s="480"/>
      <c r="Y1149" s="483">
        <f t="shared" si="17"/>
        <v>0</v>
      </c>
      <c r="Z1149" s="484"/>
      <c r="AA1149" s="485"/>
      <c r="AB1149" s="486"/>
      <c r="AC1149" s="486"/>
      <c r="AD1149" s="486"/>
      <c r="AE1149" s="487"/>
      <c r="AF1149" s="449"/>
      <c r="AG1149" s="449"/>
      <c r="AH1149" s="449"/>
    </row>
    <row r="1150" ht="11.25" customHeight="1">
      <c r="A1150" s="431" t="str">
        <f>IF(B1150="","", YEAR(B1150))</f>
        <v/>
      </c>
      <c r="B1150" s="432"/>
      <c r="C1150" s="433"/>
      <c r="D1150" s="433"/>
      <c r="E1150" s="434" t="str">
        <f t="shared" ref="E1150:I1150" si="582">IFERROR(AVERAGE(L1150:L1153),"")</f>
        <v/>
      </c>
      <c r="F1150" s="434" t="str">
        <f t="shared" si="582"/>
        <v/>
      </c>
      <c r="G1150" s="435" t="str">
        <f t="shared" si="582"/>
        <v/>
      </c>
      <c r="H1150" s="435" t="str">
        <f t="shared" si="582"/>
        <v/>
      </c>
      <c r="I1150" s="436" t="str">
        <f t="shared" si="582"/>
        <v/>
      </c>
      <c r="J1150" s="437">
        <f>SUMIFS(PRODUCTION[KG],PRODUCTION[GRADE],"3X50",PRODUCTION[DATE],B1150,PRODUCTION[BATCH],C1150,PRODUCTION[SHIFT],D1150)</f>
        <v>0</v>
      </c>
      <c r="K1150" s="438" t="s">
        <v>1414</v>
      </c>
      <c r="L1150" s="443"/>
      <c r="M1150" s="440"/>
      <c r="N1150" s="441"/>
      <c r="O1150" s="441"/>
      <c r="P1150" s="442"/>
      <c r="Q1150" s="443"/>
      <c r="R1150" s="440"/>
      <c r="S1150" s="440"/>
      <c r="T1150" s="440"/>
      <c r="U1150" s="440"/>
      <c r="V1150" s="440"/>
      <c r="W1150" s="440"/>
      <c r="X1150" s="440"/>
      <c r="Y1150" s="444">
        <f t="shared" si="17"/>
        <v>0</v>
      </c>
      <c r="Z1150" s="445"/>
      <c r="AA1150" s="446">
        <f t="shared" ref="AA1150:AE1150" si="583">$J1150*E1150</f>
        <v>0</v>
      </c>
      <c r="AB1150" s="447">
        <f t="shared" si="583"/>
        <v>0</v>
      </c>
      <c r="AC1150" s="447">
        <f t="shared" si="583"/>
        <v>0</v>
      </c>
      <c r="AD1150" s="447">
        <f t="shared" si="583"/>
        <v>0</v>
      </c>
      <c r="AE1150" s="448">
        <f t="shared" si="583"/>
        <v>0</v>
      </c>
      <c r="AF1150" s="449"/>
      <c r="AG1150" s="449"/>
      <c r="AH1150" s="449"/>
    </row>
    <row r="1151" ht="11.25" customHeight="1">
      <c r="A1151" s="450"/>
      <c r="B1151" s="451"/>
      <c r="C1151" s="452"/>
      <c r="D1151" s="452"/>
      <c r="E1151" s="453"/>
      <c r="F1151" s="453"/>
      <c r="G1151" s="454"/>
      <c r="H1151" s="454"/>
      <c r="I1151" s="455"/>
      <c r="J1151" s="456"/>
      <c r="K1151" s="457" t="s">
        <v>1416</v>
      </c>
      <c r="L1151" s="458"/>
      <c r="M1151" s="459"/>
      <c r="N1151" s="460"/>
      <c r="O1151" s="460"/>
      <c r="P1151" s="461"/>
      <c r="Q1151" s="458"/>
      <c r="R1151" s="459"/>
      <c r="S1151" s="459"/>
      <c r="T1151" s="459"/>
      <c r="U1151" s="459"/>
      <c r="V1151" s="459"/>
      <c r="W1151" s="459"/>
      <c r="X1151" s="459"/>
      <c r="Y1151" s="462">
        <f t="shared" si="17"/>
        <v>0</v>
      </c>
      <c r="Z1151" s="463"/>
      <c r="AA1151" s="464"/>
      <c r="AB1151" s="465"/>
      <c r="AC1151" s="465"/>
      <c r="AD1151" s="465"/>
      <c r="AE1151" s="466"/>
      <c r="AF1151" s="449"/>
      <c r="AG1151" s="449"/>
      <c r="AH1151" s="449"/>
    </row>
    <row r="1152" ht="11.25" customHeight="1">
      <c r="A1152" s="450"/>
      <c r="B1152" s="451"/>
      <c r="C1152" s="452"/>
      <c r="D1152" s="452"/>
      <c r="E1152" s="453"/>
      <c r="F1152" s="453"/>
      <c r="G1152" s="454"/>
      <c r="H1152" s="454"/>
      <c r="I1152" s="455"/>
      <c r="J1152" s="456"/>
      <c r="K1152" s="467" t="s">
        <v>1417</v>
      </c>
      <c r="L1152" s="468"/>
      <c r="M1152" s="469"/>
      <c r="N1152" s="470"/>
      <c r="O1152" s="470"/>
      <c r="P1152" s="471"/>
      <c r="Q1152" s="468"/>
      <c r="R1152" s="469"/>
      <c r="S1152" s="469"/>
      <c r="T1152" s="469"/>
      <c r="U1152" s="469"/>
      <c r="V1152" s="469"/>
      <c r="W1152" s="469"/>
      <c r="X1152" s="469"/>
      <c r="Y1152" s="462">
        <f t="shared" si="17"/>
        <v>0</v>
      </c>
      <c r="Z1152" s="463"/>
      <c r="AA1152" s="464"/>
      <c r="AB1152" s="465"/>
      <c r="AC1152" s="465"/>
      <c r="AD1152" s="465"/>
      <c r="AE1152" s="466"/>
      <c r="AF1152" s="449"/>
      <c r="AG1152" s="449"/>
      <c r="AH1152" s="449"/>
    </row>
    <row r="1153" ht="11.25" customHeight="1">
      <c r="A1153" s="450"/>
      <c r="B1153" s="472"/>
      <c r="C1153" s="473"/>
      <c r="D1153" s="473"/>
      <c r="E1153" s="474"/>
      <c r="F1153" s="474"/>
      <c r="G1153" s="475"/>
      <c r="H1153" s="475"/>
      <c r="I1153" s="476"/>
      <c r="J1153" s="477"/>
      <c r="K1153" s="478" t="s">
        <v>1418</v>
      </c>
      <c r="L1153" s="479"/>
      <c r="M1153" s="480"/>
      <c r="N1153" s="481"/>
      <c r="O1153" s="481"/>
      <c r="P1153" s="482"/>
      <c r="Q1153" s="479"/>
      <c r="R1153" s="480"/>
      <c r="S1153" s="480"/>
      <c r="T1153" s="480"/>
      <c r="U1153" s="480"/>
      <c r="V1153" s="480"/>
      <c r="W1153" s="480"/>
      <c r="X1153" s="480"/>
      <c r="Y1153" s="483">
        <f t="shared" si="17"/>
        <v>0</v>
      </c>
      <c r="Z1153" s="484"/>
      <c r="AA1153" s="485"/>
      <c r="AB1153" s="486"/>
      <c r="AC1153" s="486"/>
      <c r="AD1153" s="486"/>
      <c r="AE1153" s="487"/>
      <c r="AF1153" s="449"/>
      <c r="AG1153" s="449"/>
      <c r="AH1153" s="449"/>
    </row>
    <row r="1154" ht="11.25" customHeight="1">
      <c r="A1154" s="431" t="str">
        <f>IF(B1154="","", YEAR(B1154))</f>
        <v/>
      </c>
      <c r="B1154" s="432"/>
      <c r="C1154" s="433"/>
      <c r="D1154" s="433"/>
      <c r="E1154" s="434" t="str">
        <f t="shared" ref="E1154:I1154" si="584">IFERROR(AVERAGE(L1154:L1157),"")</f>
        <v/>
      </c>
      <c r="F1154" s="434" t="str">
        <f t="shared" si="584"/>
        <v/>
      </c>
      <c r="G1154" s="435" t="str">
        <f t="shared" si="584"/>
        <v/>
      </c>
      <c r="H1154" s="435" t="str">
        <f t="shared" si="584"/>
        <v/>
      </c>
      <c r="I1154" s="436" t="str">
        <f t="shared" si="584"/>
        <v/>
      </c>
      <c r="J1154" s="437">
        <f>SUMIFS(PRODUCTION[KG],PRODUCTION[GRADE],"3X50",PRODUCTION[DATE],B1154,PRODUCTION[BATCH],C1154,PRODUCTION[SHIFT],D1154)</f>
        <v>0</v>
      </c>
      <c r="K1154" s="438" t="s">
        <v>1414</v>
      </c>
      <c r="L1154" s="443"/>
      <c r="M1154" s="440"/>
      <c r="N1154" s="441"/>
      <c r="O1154" s="441"/>
      <c r="P1154" s="442"/>
      <c r="Q1154" s="443"/>
      <c r="R1154" s="440"/>
      <c r="S1154" s="440"/>
      <c r="T1154" s="440"/>
      <c r="U1154" s="440"/>
      <c r="V1154" s="440"/>
      <c r="W1154" s="440"/>
      <c r="X1154" s="440"/>
      <c r="Y1154" s="444">
        <f t="shared" si="17"/>
        <v>0</v>
      </c>
      <c r="Z1154" s="445"/>
      <c r="AA1154" s="446">
        <f t="shared" ref="AA1154:AE1154" si="585">$J1154*E1154</f>
        <v>0</v>
      </c>
      <c r="AB1154" s="447">
        <f t="shared" si="585"/>
        <v>0</v>
      </c>
      <c r="AC1154" s="447">
        <f t="shared" si="585"/>
        <v>0</v>
      </c>
      <c r="AD1154" s="447">
        <f t="shared" si="585"/>
        <v>0</v>
      </c>
      <c r="AE1154" s="448">
        <f t="shared" si="585"/>
        <v>0</v>
      </c>
      <c r="AF1154" s="449"/>
      <c r="AG1154" s="449"/>
      <c r="AH1154" s="449"/>
    </row>
    <row r="1155" ht="11.25" customHeight="1">
      <c r="A1155" s="450"/>
      <c r="B1155" s="451"/>
      <c r="C1155" s="452"/>
      <c r="D1155" s="452"/>
      <c r="E1155" s="453"/>
      <c r="F1155" s="453"/>
      <c r="G1155" s="454"/>
      <c r="H1155" s="454"/>
      <c r="I1155" s="455"/>
      <c r="J1155" s="456"/>
      <c r="K1155" s="457" t="s">
        <v>1416</v>
      </c>
      <c r="L1155" s="458"/>
      <c r="M1155" s="459"/>
      <c r="N1155" s="460"/>
      <c r="O1155" s="460"/>
      <c r="P1155" s="461"/>
      <c r="Q1155" s="458"/>
      <c r="R1155" s="459"/>
      <c r="S1155" s="459"/>
      <c r="T1155" s="459"/>
      <c r="U1155" s="459"/>
      <c r="V1155" s="459"/>
      <c r="W1155" s="459"/>
      <c r="X1155" s="459"/>
      <c r="Y1155" s="462">
        <f t="shared" si="17"/>
        <v>0</v>
      </c>
      <c r="Z1155" s="463"/>
      <c r="AA1155" s="464"/>
      <c r="AB1155" s="465"/>
      <c r="AC1155" s="465"/>
      <c r="AD1155" s="465"/>
      <c r="AE1155" s="466"/>
      <c r="AF1155" s="449"/>
      <c r="AG1155" s="449"/>
      <c r="AH1155" s="449"/>
    </row>
    <row r="1156" ht="11.25" customHeight="1">
      <c r="A1156" s="450"/>
      <c r="B1156" s="451"/>
      <c r="C1156" s="452"/>
      <c r="D1156" s="452"/>
      <c r="E1156" s="453"/>
      <c r="F1156" s="453"/>
      <c r="G1156" s="454"/>
      <c r="H1156" s="454"/>
      <c r="I1156" s="455"/>
      <c r="J1156" s="456"/>
      <c r="K1156" s="467" t="s">
        <v>1417</v>
      </c>
      <c r="L1156" s="468"/>
      <c r="M1156" s="469"/>
      <c r="N1156" s="470"/>
      <c r="O1156" s="470"/>
      <c r="P1156" s="471"/>
      <c r="Q1156" s="468"/>
      <c r="R1156" s="469"/>
      <c r="S1156" s="469"/>
      <c r="T1156" s="469"/>
      <c r="U1156" s="469"/>
      <c r="V1156" s="469"/>
      <c r="W1156" s="469"/>
      <c r="X1156" s="469"/>
      <c r="Y1156" s="462">
        <f t="shared" si="17"/>
        <v>0</v>
      </c>
      <c r="Z1156" s="463"/>
      <c r="AA1156" s="464"/>
      <c r="AB1156" s="465"/>
      <c r="AC1156" s="465"/>
      <c r="AD1156" s="465"/>
      <c r="AE1156" s="466"/>
      <c r="AF1156" s="449"/>
      <c r="AG1156" s="449"/>
      <c r="AH1156" s="449"/>
    </row>
    <row r="1157" ht="11.25" customHeight="1">
      <c r="A1157" s="450"/>
      <c r="B1157" s="472"/>
      <c r="C1157" s="473"/>
      <c r="D1157" s="473"/>
      <c r="E1157" s="474"/>
      <c r="F1157" s="474"/>
      <c r="G1157" s="475"/>
      <c r="H1157" s="475"/>
      <c r="I1157" s="476"/>
      <c r="J1157" s="477"/>
      <c r="K1157" s="478" t="s">
        <v>1418</v>
      </c>
      <c r="L1157" s="479"/>
      <c r="M1157" s="480"/>
      <c r="N1157" s="481"/>
      <c r="O1157" s="481"/>
      <c r="P1157" s="482"/>
      <c r="Q1157" s="479"/>
      <c r="R1157" s="480"/>
      <c r="S1157" s="480"/>
      <c r="T1157" s="480"/>
      <c r="U1157" s="480"/>
      <c r="V1157" s="480"/>
      <c r="W1157" s="480"/>
      <c r="X1157" s="480"/>
      <c r="Y1157" s="483">
        <f t="shared" si="17"/>
        <v>0</v>
      </c>
      <c r="Z1157" s="484"/>
      <c r="AA1157" s="485"/>
      <c r="AB1157" s="486"/>
      <c r="AC1157" s="486"/>
      <c r="AD1157" s="486"/>
      <c r="AE1157" s="487"/>
      <c r="AF1157" s="449"/>
      <c r="AG1157" s="449"/>
      <c r="AH1157" s="449"/>
    </row>
    <row r="1158" ht="11.25" customHeight="1">
      <c r="A1158" s="431" t="str">
        <f>IF(B1158="","", YEAR(B1158))</f>
        <v/>
      </c>
      <c r="B1158" s="432"/>
      <c r="C1158" s="433"/>
      <c r="D1158" s="433"/>
      <c r="E1158" s="434" t="str">
        <f t="shared" ref="E1158:I1158" si="586">IFERROR(AVERAGE(L1158:L1161),"")</f>
        <v/>
      </c>
      <c r="F1158" s="434" t="str">
        <f t="shared" si="586"/>
        <v/>
      </c>
      <c r="G1158" s="435" t="str">
        <f t="shared" si="586"/>
        <v/>
      </c>
      <c r="H1158" s="435" t="str">
        <f t="shared" si="586"/>
        <v/>
      </c>
      <c r="I1158" s="436" t="str">
        <f t="shared" si="586"/>
        <v/>
      </c>
      <c r="J1158" s="437">
        <f>SUMIFS(PRODUCTION[KG],PRODUCTION[GRADE],"3X50",PRODUCTION[DATE],B1158,PRODUCTION[BATCH],C1158,PRODUCTION[SHIFT],D1158)</f>
        <v>0</v>
      </c>
      <c r="K1158" s="438" t="s">
        <v>1414</v>
      </c>
      <c r="L1158" s="443"/>
      <c r="M1158" s="440"/>
      <c r="N1158" s="441"/>
      <c r="O1158" s="441"/>
      <c r="P1158" s="442"/>
      <c r="Q1158" s="443"/>
      <c r="R1158" s="440"/>
      <c r="S1158" s="440"/>
      <c r="T1158" s="440"/>
      <c r="U1158" s="440"/>
      <c r="V1158" s="440"/>
      <c r="W1158" s="440"/>
      <c r="X1158" s="440"/>
      <c r="Y1158" s="444">
        <f t="shared" si="17"/>
        <v>0</v>
      </c>
      <c r="Z1158" s="445"/>
      <c r="AA1158" s="446">
        <f t="shared" ref="AA1158:AE1158" si="587">$J1158*E1158</f>
        <v>0</v>
      </c>
      <c r="AB1158" s="447">
        <f t="shared" si="587"/>
        <v>0</v>
      </c>
      <c r="AC1158" s="447">
        <f t="shared" si="587"/>
        <v>0</v>
      </c>
      <c r="AD1158" s="447">
        <f t="shared" si="587"/>
        <v>0</v>
      </c>
      <c r="AE1158" s="448">
        <f t="shared" si="587"/>
        <v>0</v>
      </c>
      <c r="AF1158" s="449"/>
      <c r="AG1158" s="449"/>
      <c r="AH1158" s="449"/>
    </row>
    <row r="1159" ht="11.25" customHeight="1">
      <c r="A1159" s="450"/>
      <c r="B1159" s="451"/>
      <c r="C1159" s="452"/>
      <c r="D1159" s="452"/>
      <c r="E1159" s="453"/>
      <c r="F1159" s="453"/>
      <c r="G1159" s="454"/>
      <c r="H1159" s="454"/>
      <c r="I1159" s="455"/>
      <c r="J1159" s="456"/>
      <c r="K1159" s="457" t="s">
        <v>1416</v>
      </c>
      <c r="L1159" s="458"/>
      <c r="M1159" s="459"/>
      <c r="N1159" s="460"/>
      <c r="O1159" s="460"/>
      <c r="P1159" s="461"/>
      <c r="Q1159" s="458"/>
      <c r="R1159" s="459"/>
      <c r="S1159" s="459"/>
      <c r="T1159" s="459"/>
      <c r="U1159" s="459"/>
      <c r="V1159" s="459"/>
      <c r="W1159" s="459"/>
      <c r="X1159" s="459"/>
      <c r="Y1159" s="462">
        <f t="shared" si="17"/>
        <v>0</v>
      </c>
      <c r="Z1159" s="463"/>
      <c r="AA1159" s="464"/>
      <c r="AB1159" s="465"/>
      <c r="AC1159" s="465"/>
      <c r="AD1159" s="465"/>
      <c r="AE1159" s="466"/>
      <c r="AF1159" s="449"/>
      <c r="AG1159" s="449"/>
      <c r="AH1159" s="449"/>
    </row>
    <row r="1160" ht="11.25" customHeight="1">
      <c r="A1160" s="450"/>
      <c r="B1160" s="451"/>
      <c r="C1160" s="452"/>
      <c r="D1160" s="452"/>
      <c r="E1160" s="453"/>
      <c r="F1160" s="453"/>
      <c r="G1160" s="454"/>
      <c r="H1160" s="454"/>
      <c r="I1160" s="455"/>
      <c r="J1160" s="456"/>
      <c r="K1160" s="467" t="s">
        <v>1417</v>
      </c>
      <c r="L1160" s="468"/>
      <c r="M1160" s="469"/>
      <c r="N1160" s="470"/>
      <c r="O1160" s="470"/>
      <c r="P1160" s="471"/>
      <c r="Q1160" s="468"/>
      <c r="R1160" s="469"/>
      <c r="S1160" s="469"/>
      <c r="T1160" s="469"/>
      <c r="U1160" s="469"/>
      <c r="V1160" s="469"/>
      <c r="W1160" s="469"/>
      <c r="X1160" s="469"/>
      <c r="Y1160" s="462">
        <f t="shared" si="17"/>
        <v>0</v>
      </c>
      <c r="Z1160" s="463"/>
      <c r="AA1160" s="464"/>
      <c r="AB1160" s="465"/>
      <c r="AC1160" s="465"/>
      <c r="AD1160" s="465"/>
      <c r="AE1160" s="466"/>
      <c r="AF1160" s="449"/>
      <c r="AG1160" s="449"/>
      <c r="AH1160" s="449"/>
    </row>
    <row r="1161" ht="11.25" customHeight="1">
      <c r="A1161" s="450"/>
      <c r="B1161" s="472"/>
      <c r="C1161" s="473"/>
      <c r="D1161" s="473"/>
      <c r="E1161" s="474"/>
      <c r="F1161" s="474"/>
      <c r="G1161" s="475"/>
      <c r="H1161" s="475"/>
      <c r="I1161" s="476"/>
      <c r="J1161" s="477"/>
      <c r="K1161" s="478" t="s">
        <v>1418</v>
      </c>
      <c r="L1161" s="479"/>
      <c r="M1161" s="480"/>
      <c r="N1161" s="481"/>
      <c r="O1161" s="481"/>
      <c r="P1161" s="482"/>
      <c r="Q1161" s="479"/>
      <c r="R1161" s="480"/>
      <c r="S1161" s="480"/>
      <c r="T1161" s="480"/>
      <c r="U1161" s="480"/>
      <c r="V1161" s="480"/>
      <c r="W1161" s="480"/>
      <c r="X1161" s="480"/>
      <c r="Y1161" s="483">
        <f t="shared" si="17"/>
        <v>0</v>
      </c>
      <c r="Z1161" s="484"/>
      <c r="AA1161" s="485"/>
      <c r="AB1161" s="486"/>
      <c r="AC1161" s="486"/>
      <c r="AD1161" s="486"/>
      <c r="AE1161" s="487"/>
      <c r="AF1161" s="449"/>
      <c r="AG1161" s="449"/>
      <c r="AH1161" s="449"/>
    </row>
    <row r="1162" ht="11.25" customHeight="1">
      <c r="A1162" s="431" t="str">
        <f>IF(B1162="","", YEAR(B1162))</f>
        <v/>
      </c>
      <c r="B1162" s="432"/>
      <c r="C1162" s="433"/>
      <c r="D1162" s="433"/>
      <c r="E1162" s="434" t="str">
        <f t="shared" ref="E1162:I1162" si="588">IFERROR(AVERAGE(L1162:L1165),"")</f>
        <v/>
      </c>
      <c r="F1162" s="434" t="str">
        <f t="shared" si="588"/>
        <v/>
      </c>
      <c r="G1162" s="435" t="str">
        <f t="shared" si="588"/>
        <v/>
      </c>
      <c r="H1162" s="435" t="str">
        <f t="shared" si="588"/>
        <v/>
      </c>
      <c r="I1162" s="436" t="str">
        <f t="shared" si="588"/>
        <v/>
      </c>
      <c r="J1162" s="437">
        <f>SUMIFS(PRODUCTION[KG],PRODUCTION[GRADE],"3X50",PRODUCTION[DATE],B1162,PRODUCTION[BATCH],C1162,PRODUCTION[SHIFT],D1162)</f>
        <v>0</v>
      </c>
      <c r="K1162" s="438" t="s">
        <v>1414</v>
      </c>
      <c r="L1162" s="443"/>
      <c r="M1162" s="440"/>
      <c r="N1162" s="441"/>
      <c r="O1162" s="441"/>
      <c r="P1162" s="442"/>
      <c r="Q1162" s="443"/>
      <c r="R1162" s="440"/>
      <c r="S1162" s="440"/>
      <c r="T1162" s="440"/>
      <c r="U1162" s="440"/>
      <c r="V1162" s="440"/>
      <c r="W1162" s="440"/>
      <c r="X1162" s="440"/>
      <c r="Y1162" s="444">
        <f t="shared" si="17"/>
        <v>0</v>
      </c>
      <c r="Z1162" s="445"/>
      <c r="AA1162" s="446">
        <f t="shared" ref="AA1162:AE1162" si="589">$J1162*E1162</f>
        <v>0</v>
      </c>
      <c r="AB1162" s="447">
        <f t="shared" si="589"/>
        <v>0</v>
      </c>
      <c r="AC1162" s="447">
        <f t="shared" si="589"/>
        <v>0</v>
      </c>
      <c r="AD1162" s="447">
        <f t="shared" si="589"/>
        <v>0</v>
      </c>
      <c r="AE1162" s="448">
        <f t="shared" si="589"/>
        <v>0</v>
      </c>
      <c r="AF1162" s="449"/>
      <c r="AG1162" s="449"/>
      <c r="AH1162" s="449"/>
    </row>
    <row r="1163" ht="11.25" customHeight="1">
      <c r="A1163" s="450"/>
      <c r="B1163" s="451"/>
      <c r="C1163" s="452"/>
      <c r="D1163" s="452"/>
      <c r="E1163" s="453"/>
      <c r="F1163" s="453"/>
      <c r="G1163" s="454"/>
      <c r="H1163" s="454"/>
      <c r="I1163" s="455"/>
      <c r="J1163" s="456"/>
      <c r="K1163" s="457" t="s">
        <v>1416</v>
      </c>
      <c r="L1163" s="458"/>
      <c r="M1163" s="459"/>
      <c r="N1163" s="460"/>
      <c r="O1163" s="460"/>
      <c r="P1163" s="461"/>
      <c r="Q1163" s="458"/>
      <c r="R1163" s="459"/>
      <c r="S1163" s="459"/>
      <c r="T1163" s="459"/>
      <c r="U1163" s="459"/>
      <c r="V1163" s="459"/>
      <c r="W1163" s="459"/>
      <c r="X1163" s="459"/>
      <c r="Y1163" s="462">
        <f t="shared" si="17"/>
        <v>0</v>
      </c>
      <c r="Z1163" s="463"/>
      <c r="AA1163" s="464"/>
      <c r="AB1163" s="465"/>
      <c r="AC1163" s="465"/>
      <c r="AD1163" s="465"/>
      <c r="AE1163" s="466"/>
      <c r="AF1163" s="449"/>
      <c r="AG1163" s="449"/>
      <c r="AH1163" s="449"/>
    </row>
    <row r="1164" ht="11.25" customHeight="1">
      <c r="A1164" s="450"/>
      <c r="B1164" s="451"/>
      <c r="C1164" s="452"/>
      <c r="D1164" s="452"/>
      <c r="E1164" s="453"/>
      <c r="F1164" s="453"/>
      <c r="G1164" s="454"/>
      <c r="H1164" s="454"/>
      <c r="I1164" s="455"/>
      <c r="J1164" s="456"/>
      <c r="K1164" s="467" t="s">
        <v>1417</v>
      </c>
      <c r="L1164" s="468"/>
      <c r="M1164" s="469"/>
      <c r="N1164" s="470"/>
      <c r="O1164" s="470"/>
      <c r="P1164" s="471"/>
      <c r="Q1164" s="468"/>
      <c r="R1164" s="469"/>
      <c r="S1164" s="469"/>
      <c r="T1164" s="469"/>
      <c r="U1164" s="469"/>
      <c r="V1164" s="469"/>
      <c r="W1164" s="469"/>
      <c r="X1164" s="469"/>
      <c r="Y1164" s="462">
        <f t="shared" si="17"/>
        <v>0</v>
      </c>
      <c r="Z1164" s="463"/>
      <c r="AA1164" s="464"/>
      <c r="AB1164" s="465"/>
      <c r="AC1164" s="465"/>
      <c r="AD1164" s="465"/>
      <c r="AE1164" s="466"/>
      <c r="AF1164" s="449"/>
      <c r="AG1164" s="449"/>
      <c r="AH1164" s="449"/>
    </row>
    <row r="1165" ht="11.25" customHeight="1">
      <c r="A1165" s="450"/>
      <c r="B1165" s="472"/>
      <c r="C1165" s="473"/>
      <c r="D1165" s="473"/>
      <c r="E1165" s="474"/>
      <c r="F1165" s="474"/>
      <c r="G1165" s="475"/>
      <c r="H1165" s="475"/>
      <c r="I1165" s="476"/>
      <c r="J1165" s="477"/>
      <c r="K1165" s="478" t="s">
        <v>1418</v>
      </c>
      <c r="L1165" s="479"/>
      <c r="M1165" s="480"/>
      <c r="N1165" s="481"/>
      <c r="O1165" s="481"/>
      <c r="P1165" s="482"/>
      <c r="Q1165" s="479"/>
      <c r="R1165" s="480"/>
      <c r="S1165" s="480"/>
      <c r="T1165" s="480"/>
      <c r="U1165" s="480"/>
      <c r="V1165" s="480"/>
      <c r="W1165" s="480"/>
      <c r="X1165" s="480"/>
      <c r="Y1165" s="483">
        <f t="shared" si="17"/>
        <v>0</v>
      </c>
      <c r="Z1165" s="484"/>
      <c r="AA1165" s="485"/>
      <c r="AB1165" s="486"/>
      <c r="AC1165" s="486"/>
      <c r="AD1165" s="486"/>
      <c r="AE1165" s="487"/>
      <c r="AF1165" s="449"/>
      <c r="AG1165" s="449"/>
      <c r="AH1165" s="449"/>
    </row>
    <row r="1166" ht="11.25" customHeight="1">
      <c r="A1166" s="431" t="str">
        <f>IF(B1166="","", YEAR(B1166))</f>
        <v/>
      </c>
      <c r="B1166" s="432"/>
      <c r="C1166" s="433"/>
      <c r="D1166" s="433"/>
      <c r="E1166" s="434" t="str">
        <f t="shared" ref="E1166:I1166" si="590">IFERROR(AVERAGE(L1166:L1169),"")</f>
        <v/>
      </c>
      <c r="F1166" s="434" t="str">
        <f t="shared" si="590"/>
        <v/>
      </c>
      <c r="G1166" s="435" t="str">
        <f t="shared" si="590"/>
        <v/>
      </c>
      <c r="H1166" s="435" t="str">
        <f t="shared" si="590"/>
        <v/>
      </c>
      <c r="I1166" s="436" t="str">
        <f t="shared" si="590"/>
        <v/>
      </c>
      <c r="J1166" s="437">
        <f>SUMIFS(PRODUCTION[KG],PRODUCTION[GRADE],"3X50",PRODUCTION[DATE],B1166,PRODUCTION[BATCH],C1166,PRODUCTION[SHIFT],D1166)</f>
        <v>0</v>
      </c>
      <c r="K1166" s="438" t="s">
        <v>1414</v>
      </c>
      <c r="L1166" s="443"/>
      <c r="M1166" s="440"/>
      <c r="N1166" s="441"/>
      <c r="O1166" s="441"/>
      <c r="P1166" s="442"/>
      <c r="Q1166" s="443"/>
      <c r="R1166" s="440"/>
      <c r="S1166" s="440"/>
      <c r="T1166" s="440"/>
      <c r="U1166" s="440"/>
      <c r="V1166" s="440"/>
      <c r="W1166" s="440"/>
      <c r="X1166" s="440"/>
      <c r="Y1166" s="444">
        <f t="shared" si="17"/>
        <v>0</v>
      </c>
      <c r="Z1166" s="445"/>
      <c r="AA1166" s="446">
        <f t="shared" ref="AA1166:AE1166" si="591">$J1166*E1166</f>
        <v>0</v>
      </c>
      <c r="AB1166" s="447">
        <f t="shared" si="591"/>
        <v>0</v>
      </c>
      <c r="AC1166" s="447">
        <f t="shared" si="591"/>
        <v>0</v>
      </c>
      <c r="AD1166" s="447">
        <f t="shared" si="591"/>
        <v>0</v>
      </c>
      <c r="AE1166" s="448">
        <f t="shared" si="591"/>
        <v>0</v>
      </c>
      <c r="AF1166" s="449"/>
      <c r="AG1166" s="449"/>
      <c r="AH1166" s="449"/>
    </row>
    <row r="1167" ht="11.25" customHeight="1">
      <c r="A1167" s="450"/>
      <c r="B1167" s="451"/>
      <c r="C1167" s="452"/>
      <c r="D1167" s="452"/>
      <c r="E1167" s="453"/>
      <c r="F1167" s="453"/>
      <c r="G1167" s="454"/>
      <c r="H1167" s="454"/>
      <c r="I1167" s="455"/>
      <c r="J1167" s="456"/>
      <c r="K1167" s="457" t="s">
        <v>1416</v>
      </c>
      <c r="L1167" s="458"/>
      <c r="M1167" s="459"/>
      <c r="N1167" s="460"/>
      <c r="O1167" s="460"/>
      <c r="P1167" s="461"/>
      <c r="Q1167" s="458"/>
      <c r="R1167" s="459"/>
      <c r="S1167" s="459"/>
      <c r="T1167" s="459"/>
      <c r="U1167" s="459"/>
      <c r="V1167" s="459"/>
      <c r="W1167" s="459"/>
      <c r="X1167" s="459"/>
      <c r="Y1167" s="462">
        <f t="shared" si="17"/>
        <v>0</v>
      </c>
      <c r="Z1167" s="463"/>
      <c r="AA1167" s="464"/>
      <c r="AB1167" s="465"/>
      <c r="AC1167" s="465"/>
      <c r="AD1167" s="465"/>
      <c r="AE1167" s="466"/>
      <c r="AF1167" s="449"/>
      <c r="AG1167" s="449"/>
      <c r="AH1167" s="449"/>
    </row>
    <row r="1168" ht="11.25" customHeight="1">
      <c r="A1168" s="450"/>
      <c r="B1168" s="451"/>
      <c r="C1168" s="452"/>
      <c r="D1168" s="452"/>
      <c r="E1168" s="453"/>
      <c r="F1168" s="453"/>
      <c r="G1168" s="454"/>
      <c r="H1168" s="454"/>
      <c r="I1168" s="455"/>
      <c r="J1168" s="456"/>
      <c r="K1168" s="467" t="s">
        <v>1417</v>
      </c>
      <c r="L1168" s="468"/>
      <c r="M1168" s="469"/>
      <c r="N1168" s="470"/>
      <c r="O1168" s="470"/>
      <c r="P1168" s="471"/>
      <c r="Q1168" s="468"/>
      <c r="R1168" s="469"/>
      <c r="S1168" s="469"/>
      <c r="T1168" s="469"/>
      <c r="U1168" s="469"/>
      <c r="V1168" s="469"/>
      <c r="W1168" s="469"/>
      <c r="X1168" s="469"/>
      <c r="Y1168" s="462">
        <f t="shared" si="17"/>
        <v>0</v>
      </c>
      <c r="Z1168" s="463"/>
      <c r="AA1168" s="464"/>
      <c r="AB1168" s="465"/>
      <c r="AC1168" s="465"/>
      <c r="AD1168" s="465"/>
      <c r="AE1168" s="466"/>
      <c r="AF1168" s="449"/>
      <c r="AG1168" s="449"/>
      <c r="AH1168" s="449"/>
    </row>
    <row r="1169" ht="11.25" customHeight="1">
      <c r="A1169" s="450"/>
      <c r="B1169" s="472"/>
      <c r="C1169" s="473"/>
      <c r="D1169" s="473"/>
      <c r="E1169" s="474"/>
      <c r="F1169" s="474"/>
      <c r="G1169" s="475"/>
      <c r="H1169" s="475"/>
      <c r="I1169" s="476"/>
      <c r="J1169" s="477"/>
      <c r="K1169" s="478" t="s">
        <v>1418</v>
      </c>
      <c r="L1169" s="479"/>
      <c r="M1169" s="480"/>
      <c r="N1169" s="481"/>
      <c r="O1169" s="481"/>
      <c r="P1169" s="482"/>
      <c r="Q1169" s="479"/>
      <c r="R1169" s="480"/>
      <c r="S1169" s="480"/>
      <c r="T1169" s="480"/>
      <c r="U1169" s="480"/>
      <c r="V1169" s="480"/>
      <c r="W1169" s="480"/>
      <c r="X1169" s="480"/>
      <c r="Y1169" s="483">
        <f t="shared" si="17"/>
        <v>0</v>
      </c>
      <c r="Z1169" s="484"/>
      <c r="AA1169" s="485"/>
      <c r="AB1169" s="486"/>
      <c r="AC1169" s="486"/>
      <c r="AD1169" s="486"/>
      <c r="AE1169" s="487"/>
      <c r="AF1169" s="449"/>
      <c r="AG1169" s="449"/>
      <c r="AH1169" s="449"/>
    </row>
    <row r="1170" ht="11.25" customHeight="1">
      <c r="A1170" s="431" t="str">
        <f>IF(B1170="","", YEAR(B1170))</f>
        <v/>
      </c>
      <c r="B1170" s="432"/>
      <c r="C1170" s="433"/>
      <c r="D1170" s="433"/>
      <c r="E1170" s="434" t="str">
        <f t="shared" ref="E1170:I1170" si="592">IFERROR(AVERAGE(L1170:L1173),"")</f>
        <v/>
      </c>
      <c r="F1170" s="434" t="str">
        <f t="shared" si="592"/>
        <v/>
      </c>
      <c r="G1170" s="435" t="str">
        <f t="shared" si="592"/>
        <v/>
      </c>
      <c r="H1170" s="435" t="str">
        <f t="shared" si="592"/>
        <v/>
      </c>
      <c r="I1170" s="436" t="str">
        <f t="shared" si="592"/>
        <v/>
      </c>
      <c r="J1170" s="437">
        <f>SUMIFS(PRODUCTION[KG],PRODUCTION[GRADE],"3X50",PRODUCTION[DATE],B1170,PRODUCTION[BATCH],C1170,PRODUCTION[SHIFT],D1170)</f>
        <v>0</v>
      </c>
      <c r="K1170" s="438" t="s">
        <v>1414</v>
      </c>
      <c r="L1170" s="443"/>
      <c r="M1170" s="440"/>
      <c r="N1170" s="441"/>
      <c r="O1170" s="441"/>
      <c r="P1170" s="442"/>
      <c r="Q1170" s="443"/>
      <c r="R1170" s="440"/>
      <c r="S1170" s="440"/>
      <c r="T1170" s="440"/>
      <c r="U1170" s="440"/>
      <c r="V1170" s="440"/>
      <c r="W1170" s="440"/>
      <c r="X1170" s="440"/>
      <c r="Y1170" s="444">
        <f t="shared" si="17"/>
        <v>0</v>
      </c>
      <c r="Z1170" s="445"/>
      <c r="AA1170" s="446">
        <f t="shared" ref="AA1170:AE1170" si="593">$J1170*E1170</f>
        <v>0</v>
      </c>
      <c r="AB1170" s="447">
        <f t="shared" si="593"/>
        <v>0</v>
      </c>
      <c r="AC1170" s="447">
        <f t="shared" si="593"/>
        <v>0</v>
      </c>
      <c r="AD1170" s="447">
        <f t="shared" si="593"/>
        <v>0</v>
      </c>
      <c r="AE1170" s="448">
        <f t="shared" si="593"/>
        <v>0</v>
      </c>
      <c r="AF1170" s="449"/>
      <c r="AG1170" s="449"/>
      <c r="AH1170" s="449"/>
    </row>
    <row r="1171" ht="11.25" customHeight="1">
      <c r="A1171" s="450"/>
      <c r="B1171" s="451"/>
      <c r="C1171" s="452"/>
      <c r="D1171" s="452"/>
      <c r="E1171" s="453"/>
      <c r="F1171" s="453"/>
      <c r="G1171" s="454"/>
      <c r="H1171" s="454"/>
      <c r="I1171" s="455"/>
      <c r="J1171" s="456"/>
      <c r="K1171" s="457" t="s">
        <v>1416</v>
      </c>
      <c r="L1171" s="458"/>
      <c r="M1171" s="459"/>
      <c r="N1171" s="460"/>
      <c r="O1171" s="460"/>
      <c r="P1171" s="461"/>
      <c r="Q1171" s="458"/>
      <c r="R1171" s="459"/>
      <c r="S1171" s="459"/>
      <c r="T1171" s="459"/>
      <c r="U1171" s="459"/>
      <c r="V1171" s="459"/>
      <c r="W1171" s="459"/>
      <c r="X1171" s="459"/>
      <c r="Y1171" s="462">
        <f t="shared" si="17"/>
        <v>0</v>
      </c>
      <c r="Z1171" s="463"/>
      <c r="AA1171" s="464"/>
      <c r="AB1171" s="465"/>
      <c r="AC1171" s="465"/>
      <c r="AD1171" s="465"/>
      <c r="AE1171" s="466"/>
      <c r="AF1171" s="449"/>
      <c r="AG1171" s="449"/>
      <c r="AH1171" s="449"/>
    </row>
    <row r="1172" ht="11.25" customHeight="1">
      <c r="A1172" s="450"/>
      <c r="B1172" s="451"/>
      <c r="C1172" s="452"/>
      <c r="D1172" s="452"/>
      <c r="E1172" s="453"/>
      <c r="F1172" s="453"/>
      <c r="G1172" s="454"/>
      <c r="H1172" s="454"/>
      <c r="I1172" s="455"/>
      <c r="J1172" s="456"/>
      <c r="K1172" s="467" t="s">
        <v>1417</v>
      </c>
      <c r="L1172" s="468"/>
      <c r="M1172" s="469"/>
      <c r="N1172" s="470"/>
      <c r="O1172" s="470"/>
      <c r="P1172" s="471"/>
      <c r="Q1172" s="468"/>
      <c r="R1172" s="469"/>
      <c r="S1172" s="469"/>
      <c r="T1172" s="469"/>
      <c r="U1172" s="469"/>
      <c r="V1172" s="469"/>
      <c r="W1172" s="469"/>
      <c r="X1172" s="469"/>
      <c r="Y1172" s="462">
        <f t="shared" si="17"/>
        <v>0</v>
      </c>
      <c r="Z1172" s="463"/>
      <c r="AA1172" s="464"/>
      <c r="AB1172" s="465"/>
      <c r="AC1172" s="465"/>
      <c r="AD1172" s="465"/>
      <c r="AE1172" s="466"/>
      <c r="AF1172" s="449"/>
      <c r="AG1172" s="449"/>
      <c r="AH1172" s="449"/>
    </row>
    <row r="1173" ht="11.25" customHeight="1">
      <c r="A1173" s="450"/>
      <c r="B1173" s="472"/>
      <c r="C1173" s="473"/>
      <c r="D1173" s="473"/>
      <c r="E1173" s="474"/>
      <c r="F1173" s="474"/>
      <c r="G1173" s="475"/>
      <c r="H1173" s="475"/>
      <c r="I1173" s="476"/>
      <c r="J1173" s="477"/>
      <c r="K1173" s="478" t="s">
        <v>1418</v>
      </c>
      <c r="L1173" s="479"/>
      <c r="M1173" s="480"/>
      <c r="N1173" s="481"/>
      <c r="O1173" s="481"/>
      <c r="P1173" s="482"/>
      <c r="Q1173" s="479"/>
      <c r="R1173" s="480"/>
      <c r="S1173" s="480"/>
      <c r="T1173" s="480"/>
      <c r="U1173" s="480"/>
      <c r="V1173" s="480"/>
      <c r="W1173" s="480"/>
      <c r="X1173" s="480"/>
      <c r="Y1173" s="483">
        <f t="shared" si="17"/>
        <v>0</v>
      </c>
      <c r="Z1173" s="484"/>
      <c r="AA1173" s="485"/>
      <c r="AB1173" s="486"/>
      <c r="AC1173" s="486"/>
      <c r="AD1173" s="486"/>
      <c r="AE1173" s="487"/>
      <c r="AF1173" s="449"/>
      <c r="AG1173" s="449"/>
      <c r="AH1173" s="449"/>
    </row>
    <row r="1174" ht="11.25" customHeight="1">
      <c r="A1174" s="431" t="str">
        <f>IF(B1174="","", YEAR(B1174))</f>
        <v/>
      </c>
      <c r="B1174" s="432"/>
      <c r="C1174" s="433"/>
      <c r="D1174" s="433"/>
      <c r="E1174" s="434" t="str">
        <f t="shared" ref="E1174:I1174" si="594">IFERROR(AVERAGE(L1174:L1177),"")</f>
        <v/>
      </c>
      <c r="F1174" s="434" t="str">
        <f t="shared" si="594"/>
        <v/>
      </c>
      <c r="G1174" s="435" t="str">
        <f t="shared" si="594"/>
        <v/>
      </c>
      <c r="H1174" s="435" t="str">
        <f t="shared" si="594"/>
        <v/>
      </c>
      <c r="I1174" s="436" t="str">
        <f t="shared" si="594"/>
        <v/>
      </c>
      <c r="J1174" s="437">
        <f>SUMIFS(PRODUCTION[KG],PRODUCTION[GRADE],"3X50",PRODUCTION[DATE],B1174,PRODUCTION[BATCH],C1174,PRODUCTION[SHIFT],D1174)</f>
        <v>0</v>
      </c>
      <c r="K1174" s="438" t="s">
        <v>1414</v>
      </c>
      <c r="L1174" s="443"/>
      <c r="M1174" s="440"/>
      <c r="N1174" s="441"/>
      <c r="O1174" s="441"/>
      <c r="P1174" s="442"/>
      <c r="Q1174" s="443"/>
      <c r="R1174" s="440"/>
      <c r="S1174" s="440"/>
      <c r="T1174" s="440"/>
      <c r="U1174" s="440"/>
      <c r="V1174" s="440"/>
      <c r="W1174" s="440"/>
      <c r="X1174" s="440"/>
      <c r="Y1174" s="444">
        <f t="shared" si="17"/>
        <v>0</v>
      </c>
      <c r="Z1174" s="445"/>
      <c r="AA1174" s="446">
        <f t="shared" ref="AA1174:AE1174" si="595">$J1174*E1174</f>
        <v>0</v>
      </c>
      <c r="AB1174" s="447">
        <f t="shared" si="595"/>
        <v>0</v>
      </c>
      <c r="AC1174" s="447">
        <f t="shared" si="595"/>
        <v>0</v>
      </c>
      <c r="AD1174" s="447">
        <f t="shared" si="595"/>
        <v>0</v>
      </c>
      <c r="AE1174" s="448">
        <f t="shared" si="595"/>
        <v>0</v>
      </c>
      <c r="AF1174" s="449"/>
      <c r="AG1174" s="449"/>
      <c r="AH1174" s="449"/>
    </row>
    <row r="1175" ht="11.25" customHeight="1">
      <c r="A1175" s="450"/>
      <c r="B1175" s="451"/>
      <c r="C1175" s="452"/>
      <c r="D1175" s="452"/>
      <c r="E1175" s="453"/>
      <c r="F1175" s="453"/>
      <c r="G1175" s="454"/>
      <c r="H1175" s="454"/>
      <c r="I1175" s="455"/>
      <c r="J1175" s="456"/>
      <c r="K1175" s="457" t="s">
        <v>1416</v>
      </c>
      <c r="L1175" s="458"/>
      <c r="M1175" s="459"/>
      <c r="N1175" s="460"/>
      <c r="O1175" s="460"/>
      <c r="P1175" s="461"/>
      <c r="Q1175" s="458"/>
      <c r="R1175" s="459"/>
      <c r="S1175" s="459"/>
      <c r="T1175" s="459"/>
      <c r="U1175" s="459"/>
      <c r="V1175" s="459"/>
      <c r="W1175" s="459"/>
      <c r="X1175" s="459"/>
      <c r="Y1175" s="462">
        <f t="shared" si="17"/>
        <v>0</v>
      </c>
      <c r="Z1175" s="463"/>
      <c r="AA1175" s="464"/>
      <c r="AB1175" s="465"/>
      <c r="AC1175" s="465"/>
      <c r="AD1175" s="465"/>
      <c r="AE1175" s="466"/>
      <c r="AF1175" s="449"/>
      <c r="AG1175" s="449"/>
      <c r="AH1175" s="449"/>
    </row>
    <row r="1176" ht="11.25" customHeight="1">
      <c r="A1176" s="450"/>
      <c r="B1176" s="451"/>
      <c r="C1176" s="452"/>
      <c r="D1176" s="452"/>
      <c r="E1176" s="453"/>
      <c r="F1176" s="453"/>
      <c r="G1176" s="454"/>
      <c r="H1176" s="454"/>
      <c r="I1176" s="455"/>
      <c r="J1176" s="456"/>
      <c r="K1176" s="467" t="s">
        <v>1417</v>
      </c>
      <c r="L1176" s="468"/>
      <c r="M1176" s="469"/>
      <c r="N1176" s="470"/>
      <c r="O1176" s="470"/>
      <c r="P1176" s="471"/>
      <c r="Q1176" s="468"/>
      <c r="R1176" s="469"/>
      <c r="S1176" s="469"/>
      <c r="T1176" s="469"/>
      <c r="U1176" s="469"/>
      <c r="V1176" s="469"/>
      <c r="W1176" s="469"/>
      <c r="X1176" s="469"/>
      <c r="Y1176" s="462">
        <f t="shared" si="17"/>
        <v>0</v>
      </c>
      <c r="Z1176" s="463"/>
      <c r="AA1176" s="464"/>
      <c r="AB1176" s="465"/>
      <c r="AC1176" s="465"/>
      <c r="AD1176" s="465"/>
      <c r="AE1176" s="466"/>
      <c r="AF1176" s="449"/>
      <c r="AG1176" s="449"/>
      <c r="AH1176" s="449"/>
    </row>
    <row r="1177" ht="11.25" customHeight="1">
      <c r="A1177" s="450"/>
      <c r="B1177" s="472"/>
      <c r="C1177" s="473"/>
      <c r="D1177" s="473"/>
      <c r="E1177" s="474"/>
      <c r="F1177" s="474"/>
      <c r="G1177" s="475"/>
      <c r="H1177" s="475"/>
      <c r="I1177" s="476"/>
      <c r="J1177" s="477"/>
      <c r="K1177" s="478" t="s">
        <v>1418</v>
      </c>
      <c r="L1177" s="479"/>
      <c r="M1177" s="480"/>
      <c r="N1177" s="481"/>
      <c r="O1177" s="481"/>
      <c r="P1177" s="482"/>
      <c r="Q1177" s="479"/>
      <c r="R1177" s="480"/>
      <c r="S1177" s="480"/>
      <c r="T1177" s="480"/>
      <c r="U1177" s="480"/>
      <c r="V1177" s="480"/>
      <c r="W1177" s="480"/>
      <c r="X1177" s="480"/>
      <c r="Y1177" s="483">
        <f t="shared" si="17"/>
        <v>0</v>
      </c>
      <c r="Z1177" s="484"/>
      <c r="AA1177" s="485"/>
      <c r="AB1177" s="486"/>
      <c r="AC1177" s="486"/>
      <c r="AD1177" s="486"/>
      <c r="AE1177" s="487"/>
      <c r="AF1177" s="449"/>
      <c r="AG1177" s="449"/>
      <c r="AH1177" s="449"/>
    </row>
    <row r="1178" ht="11.25" customHeight="1">
      <c r="A1178" s="431" t="str">
        <f>IF(B1178="","", YEAR(B1178))</f>
        <v/>
      </c>
      <c r="B1178" s="432"/>
      <c r="C1178" s="433"/>
      <c r="D1178" s="433"/>
      <c r="E1178" s="434" t="str">
        <f t="shared" ref="E1178:I1178" si="596">IFERROR(AVERAGE(L1178:L1181),"")</f>
        <v/>
      </c>
      <c r="F1178" s="434" t="str">
        <f t="shared" si="596"/>
        <v/>
      </c>
      <c r="G1178" s="435" t="str">
        <f t="shared" si="596"/>
        <v/>
      </c>
      <c r="H1178" s="435" t="str">
        <f t="shared" si="596"/>
        <v/>
      </c>
      <c r="I1178" s="436" t="str">
        <f t="shared" si="596"/>
        <v/>
      </c>
      <c r="J1178" s="437">
        <f>SUMIFS(PRODUCTION[KG],PRODUCTION[GRADE],"3X50",PRODUCTION[DATE],B1178,PRODUCTION[BATCH],C1178,PRODUCTION[SHIFT],D1178)</f>
        <v>0</v>
      </c>
      <c r="K1178" s="438" t="s">
        <v>1414</v>
      </c>
      <c r="L1178" s="443"/>
      <c r="M1178" s="440"/>
      <c r="N1178" s="441"/>
      <c r="O1178" s="441"/>
      <c r="P1178" s="442"/>
      <c r="Q1178" s="443"/>
      <c r="R1178" s="440"/>
      <c r="S1178" s="440"/>
      <c r="T1178" s="440"/>
      <c r="U1178" s="440"/>
      <c r="V1178" s="440"/>
      <c r="W1178" s="440"/>
      <c r="X1178" s="440"/>
      <c r="Y1178" s="444">
        <f t="shared" si="17"/>
        <v>0</v>
      </c>
      <c r="Z1178" s="445"/>
      <c r="AA1178" s="446">
        <f t="shared" ref="AA1178:AE1178" si="597">$J1178*E1178</f>
        <v>0</v>
      </c>
      <c r="AB1178" s="447">
        <f t="shared" si="597"/>
        <v>0</v>
      </c>
      <c r="AC1178" s="447">
        <f t="shared" si="597"/>
        <v>0</v>
      </c>
      <c r="AD1178" s="447">
        <f t="shared" si="597"/>
        <v>0</v>
      </c>
      <c r="AE1178" s="448">
        <f t="shared" si="597"/>
        <v>0</v>
      </c>
      <c r="AF1178" s="449"/>
      <c r="AG1178" s="449"/>
      <c r="AH1178" s="449"/>
    </row>
    <row r="1179" ht="11.25" customHeight="1">
      <c r="A1179" s="450"/>
      <c r="B1179" s="451"/>
      <c r="C1179" s="452"/>
      <c r="D1179" s="452"/>
      <c r="E1179" s="453"/>
      <c r="F1179" s="453"/>
      <c r="G1179" s="454"/>
      <c r="H1179" s="454"/>
      <c r="I1179" s="455"/>
      <c r="J1179" s="456"/>
      <c r="K1179" s="457" t="s">
        <v>1416</v>
      </c>
      <c r="L1179" s="458"/>
      <c r="M1179" s="459"/>
      <c r="N1179" s="460"/>
      <c r="O1179" s="460"/>
      <c r="P1179" s="461"/>
      <c r="Q1179" s="458"/>
      <c r="R1179" s="459"/>
      <c r="S1179" s="459"/>
      <c r="T1179" s="459"/>
      <c r="U1179" s="459"/>
      <c r="V1179" s="459"/>
      <c r="W1179" s="459"/>
      <c r="X1179" s="459"/>
      <c r="Y1179" s="462">
        <f t="shared" si="17"/>
        <v>0</v>
      </c>
      <c r="Z1179" s="463"/>
      <c r="AA1179" s="464"/>
      <c r="AB1179" s="465"/>
      <c r="AC1179" s="465"/>
      <c r="AD1179" s="465"/>
      <c r="AE1179" s="466"/>
      <c r="AF1179" s="449"/>
      <c r="AG1179" s="449"/>
      <c r="AH1179" s="449"/>
    </row>
    <row r="1180" ht="11.25" customHeight="1">
      <c r="A1180" s="450"/>
      <c r="B1180" s="451"/>
      <c r="C1180" s="452"/>
      <c r="D1180" s="452"/>
      <c r="E1180" s="453"/>
      <c r="F1180" s="453"/>
      <c r="G1180" s="454"/>
      <c r="H1180" s="454"/>
      <c r="I1180" s="455"/>
      <c r="J1180" s="456"/>
      <c r="K1180" s="467" t="s">
        <v>1417</v>
      </c>
      <c r="L1180" s="468"/>
      <c r="M1180" s="469"/>
      <c r="N1180" s="470"/>
      <c r="O1180" s="470"/>
      <c r="P1180" s="471"/>
      <c r="Q1180" s="468"/>
      <c r="R1180" s="469"/>
      <c r="S1180" s="469"/>
      <c r="T1180" s="469"/>
      <c r="U1180" s="469"/>
      <c r="V1180" s="469"/>
      <c r="W1180" s="469"/>
      <c r="X1180" s="469"/>
      <c r="Y1180" s="462">
        <f t="shared" si="17"/>
        <v>0</v>
      </c>
      <c r="Z1180" s="463"/>
      <c r="AA1180" s="464"/>
      <c r="AB1180" s="465"/>
      <c r="AC1180" s="465"/>
      <c r="AD1180" s="465"/>
      <c r="AE1180" s="466"/>
      <c r="AF1180" s="449"/>
      <c r="AG1180" s="449"/>
      <c r="AH1180" s="449"/>
    </row>
    <row r="1181" ht="11.25" customHeight="1">
      <c r="A1181" s="450"/>
      <c r="B1181" s="472"/>
      <c r="C1181" s="473"/>
      <c r="D1181" s="473"/>
      <c r="E1181" s="474"/>
      <c r="F1181" s="474"/>
      <c r="G1181" s="475"/>
      <c r="H1181" s="475"/>
      <c r="I1181" s="476"/>
      <c r="J1181" s="477"/>
      <c r="K1181" s="478" t="s">
        <v>1418</v>
      </c>
      <c r="L1181" s="479"/>
      <c r="M1181" s="480"/>
      <c r="N1181" s="481"/>
      <c r="O1181" s="481"/>
      <c r="P1181" s="482"/>
      <c r="Q1181" s="479"/>
      <c r="R1181" s="480"/>
      <c r="S1181" s="480"/>
      <c r="T1181" s="480"/>
      <c r="U1181" s="480"/>
      <c r="V1181" s="480"/>
      <c r="W1181" s="480"/>
      <c r="X1181" s="480"/>
      <c r="Y1181" s="483">
        <f t="shared" si="17"/>
        <v>0</v>
      </c>
      <c r="Z1181" s="484"/>
      <c r="AA1181" s="485"/>
      <c r="AB1181" s="486"/>
      <c r="AC1181" s="486"/>
      <c r="AD1181" s="486"/>
      <c r="AE1181" s="487"/>
      <c r="AF1181" s="449"/>
      <c r="AG1181" s="449"/>
      <c r="AH1181" s="449"/>
    </row>
    <row r="1182" ht="11.25" customHeight="1">
      <c r="A1182" s="431" t="str">
        <f>IF(B1182="","", YEAR(B1182))</f>
        <v/>
      </c>
      <c r="B1182" s="432"/>
      <c r="C1182" s="433"/>
      <c r="D1182" s="433"/>
      <c r="E1182" s="434" t="str">
        <f t="shared" ref="E1182:I1182" si="598">IFERROR(AVERAGE(L1182:L1185),"")</f>
        <v/>
      </c>
      <c r="F1182" s="434" t="str">
        <f t="shared" si="598"/>
        <v/>
      </c>
      <c r="G1182" s="435" t="str">
        <f t="shared" si="598"/>
        <v/>
      </c>
      <c r="H1182" s="435" t="str">
        <f t="shared" si="598"/>
        <v/>
      </c>
      <c r="I1182" s="436" t="str">
        <f t="shared" si="598"/>
        <v/>
      </c>
      <c r="J1182" s="437">
        <f>SUMIFS(PRODUCTION[KG],PRODUCTION[GRADE],"3X50",PRODUCTION[DATE],B1182,PRODUCTION[BATCH],C1182,PRODUCTION[SHIFT],D1182)</f>
        <v>0</v>
      </c>
      <c r="K1182" s="438" t="s">
        <v>1414</v>
      </c>
      <c r="L1182" s="443"/>
      <c r="M1182" s="440"/>
      <c r="N1182" s="441"/>
      <c r="O1182" s="441"/>
      <c r="P1182" s="442"/>
      <c r="Q1182" s="443"/>
      <c r="R1182" s="440"/>
      <c r="S1182" s="440"/>
      <c r="T1182" s="440"/>
      <c r="U1182" s="440"/>
      <c r="V1182" s="440"/>
      <c r="W1182" s="440"/>
      <c r="X1182" s="440"/>
      <c r="Y1182" s="444">
        <f t="shared" si="17"/>
        <v>0</v>
      </c>
      <c r="Z1182" s="445"/>
      <c r="AA1182" s="446">
        <f t="shared" ref="AA1182:AE1182" si="599">$J1182*E1182</f>
        <v>0</v>
      </c>
      <c r="AB1182" s="447">
        <f t="shared" si="599"/>
        <v>0</v>
      </c>
      <c r="AC1182" s="447">
        <f t="shared" si="599"/>
        <v>0</v>
      </c>
      <c r="AD1182" s="447">
        <f t="shared" si="599"/>
        <v>0</v>
      </c>
      <c r="AE1182" s="448">
        <f t="shared" si="599"/>
        <v>0</v>
      </c>
      <c r="AF1182" s="449"/>
      <c r="AG1182" s="449"/>
      <c r="AH1182" s="449"/>
    </row>
    <row r="1183" ht="11.25" customHeight="1">
      <c r="A1183" s="450"/>
      <c r="B1183" s="451"/>
      <c r="C1183" s="452"/>
      <c r="D1183" s="452"/>
      <c r="E1183" s="453"/>
      <c r="F1183" s="453"/>
      <c r="G1183" s="454"/>
      <c r="H1183" s="454"/>
      <c r="I1183" s="455"/>
      <c r="J1183" s="456"/>
      <c r="K1183" s="457" t="s">
        <v>1416</v>
      </c>
      <c r="L1183" s="458"/>
      <c r="M1183" s="459"/>
      <c r="N1183" s="460"/>
      <c r="O1183" s="460"/>
      <c r="P1183" s="461"/>
      <c r="Q1183" s="458"/>
      <c r="R1183" s="459"/>
      <c r="S1183" s="459"/>
      <c r="T1183" s="459"/>
      <c r="U1183" s="459"/>
      <c r="V1183" s="459"/>
      <c r="W1183" s="459"/>
      <c r="X1183" s="459"/>
      <c r="Y1183" s="462">
        <f t="shared" si="17"/>
        <v>0</v>
      </c>
      <c r="Z1183" s="463"/>
      <c r="AA1183" s="464"/>
      <c r="AB1183" s="465"/>
      <c r="AC1183" s="465"/>
      <c r="AD1183" s="465"/>
      <c r="AE1183" s="466"/>
      <c r="AF1183" s="449"/>
      <c r="AG1183" s="449"/>
      <c r="AH1183" s="449"/>
    </row>
    <row r="1184" ht="11.25" customHeight="1">
      <c r="A1184" s="450"/>
      <c r="B1184" s="451"/>
      <c r="C1184" s="452"/>
      <c r="D1184" s="452"/>
      <c r="E1184" s="453"/>
      <c r="F1184" s="453"/>
      <c r="G1184" s="454"/>
      <c r="H1184" s="454"/>
      <c r="I1184" s="455"/>
      <c r="J1184" s="456"/>
      <c r="K1184" s="467" t="s">
        <v>1417</v>
      </c>
      <c r="L1184" s="468"/>
      <c r="M1184" s="469"/>
      <c r="N1184" s="470"/>
      <c r="O1184" s="470"/>
      <c r="P1184" s="471"/>
      <c r="Q1184" s="468"/>
      <c r="R1184" s="469"/>
      <c r="S1184" s="469"/>
      <c r="T1184" s="469"/>
      <c r="U1184" s="469"/>
      <c r="V1184" s="469"/>
      <c r="W1184" s="469"/>
      <c r="X1184" s="469"/>
      <c r="Y1184" s="462">
        <f t="shared" si="17"/>
        <v>0</v>
      </c>
      <c r="Z1184" s="463"/>
      <c r="AA1184" s="464"/>
      <c r="AB1184" s="465"/>
      <c r="AC1184" s="465"/>
      <c r="AD1184" s="465"/>
      <c r="AE1184" s="466"/>
      <c r="AF1184" s="449"/>
      <c r="AG1184" s="449"/>
      <c r="AH1184" s="449"/>
    </row>
    <row r="1185" ht="11.25" customHeight="1">
      <c r="A1185" s="450"/>
      <c r="B1185" s="472"/>
      <c r="C1185" s="473"/>
      <c r="D1185" s="473"/>
      <c r="E1185" s="474"/>
      <c r="F1185" s="474"/>
      <c r="G1185" s="475"/>
      <c r="H1185" s="475"/>
      <c r="I1185" s="476"/>
      <c r="J1185" s="477"/>
      <c r="K1185" s="478" t="s">
        <v>1418</v>
      </c>
      <c r="L1185" s="479"/>
      <c r="M1185" s="480"/>
      <c r="N1185" s="481"/>
      <c r="O1185" s="481"/>
      <c r="P1185" s="482"/>
      <c r="Q1185" s="479"/>
      <c r="R1185" s="480"/>
      <c r="S1185" s="480"/>
      <c r="T1185" s="480"/>
      <c r="U1185" s="480"/>
      <c r="V1185" s="480"/>
      <c r="W1185" s="480"/>
      <c r="X1185" s="480"/>
      <c r="Y1185" s="483">
        <f t="shared" si="17"/>
        <v>0</v>
      </c>
      <c r="Z1185" s="484"/>
      <c r="AA1185" s="485"/>
      <c r="AB1185" s="486"/>
      <c r="AC1185" s="486"/>
      <c r="AD1185" s="486"/>
      <c r="AE1185" s="487"/>
      <c r="AF1185" s="449"/>
      <c r="AG1185" s="449"/>
      <c r="AH1185" s="449"/>
    </row>
    <row r="1186" ht="11.25" customHeight="1">
      <c r="A1186" s="431" t="str">
        <f>IF(B1186="","", YEAR(B1186))</f>
        <v/>
      </c>
      <c r="B1186" s="432"/>
      <c r="C1186" s="433"/>
      <c r="D1186" s="433"/>
      <c r="E1186" s="434" t="str">
        <f t="shared" ref="E1186:I1186" si="600">IFERROR(AVERAGE(L1186:L1189),"")</f>
        <v/>
      </c>
      <c r="F1186" s="434" t="str">
        <f t="shared" si="600"/>
        <v/>
      </c>
      <c r="G1186" s="435" t="str">
        <f t="shared" si="600"/>
        <v/>
      </c>
      <c r="H1186" s="435" t="str">
        <f t="shared" si="600"/>
        <v/>
      </c>
      <c r="I1186" s="436" t="str">
        <f t="shared" si="600"/>
        <v/>
      </c>
      <c r="J1186" s="437">
        <f>SUMIFS(PRODUCTION[KG],PRODUCTION[GRADE],"3X50",PRODUCTION[DATE],B1186,PRODUCTION[BATCH],C1186,PRODUCTION[SHIFT],D1186)</f>
        <v>0</v>
      </c>
      <c r="K1186" s="438" t="s">
        <v>1414</v>
      </c>
      <c r="L1186" s="443"/>
      <c r="M1186" s="440"/>
      <c r="N1186" s="441"/>
      <c r="O1186" s="441"/>
      <c r="P1186" s="442"/>
      <c r="Q1186" s="443"/>
      <c r="R1186" s="440"/>
      <c r="S1186" s="440"/>
      <c r="T1186" s="440"/>
      <c r="U1186" s="440"/>
      <c r="V1186" s="440"/>
      <c r="W1186" s="440"/>
      <c r="X1186" s="440"/>
      <c r="Y1186" s="444">
        <f t="shared" si="17"/>
        <v>0</v>
      </c>
      <c r="Z1186" s="445"/>
      <c r="AA1186" s="446">
        <f t="shared" ref="AA1186:AE1186" si="601">$J1186*E1186</f>
        <v>0</v>
      </c>
      <c r="AB1186" s="447">
        <f t="shared" si="601"/>
        <v>0</v>
      </c>
      <c r="AC1186" s="447">
        <f t="shared" si="601"/>
        <v>0</v>
      </c>
      <c r="AD1186" s="447">
        <f t="shared" si="601"/>
        <v>0</v>
      </c>
      <c r="AE1186" s="448">
        <f t="shared" si="601"/>
        <v>0</v>
      </c>
      <c r="AF1186" s="449"/>
      <c r="AG1186" s="449"/>
      <c r="AH1186" s="449"/>
    </row>
    <row r="1187" ht="11.25" customHeight="1">
      <c r="A1187" s="450"/>
      <c r="B1187" s="451"/>
      <c r="C1187" s="452"/>
      <c r="D1187" s="452"/>
      <c r="E1187" s="453"/>
      <c r="F1187" s="453"/>
      <c r="G1187" s="454"/>
      <c r="H1187" s="454"/>
      <c r="I1187" s="455"/>
      <c r="J1187" s="456"/>
      <c r="K1187" s="457" t="s">
        <v>1416</v>
      </c>
      <c r="L1187" s="458"/>
      <c r="M1187" s="459"/>
      <c r="N1187" s="460"/>
      <c r="O1187" s="460"/>
      <c r="P1187" s="461"/>
      <c r="Q1187" s="458"/>
      <c r="R1187" s="459"/>
      <c r="S1187" s="459"/>
      <c r="T1187" s="459"/>
      <c r="U1187" s="459"/>
      <c r="V1187" s="459"/>
      <c r="W1187" s="459"/>
      <c r="X1187" s="459"/>
      <c r="Y1187" s="462">
        <f t="shared" si="17"/>
        <v>0</v>
      </c>
      <c r="Z1187" s="463"/>
      <c r="AA1187" s="464"/>
      <c r="AB1187" s="465"/>
      <c r="AC1187" s="465"/>
      <c r="AD1187" s="465"/>
      <c r="AE1187" s="466"/>
      <c r="AF1187" s="449"/>
      <c r="AG1187" s="449"/>
      <c r="AH1187" s="449"/>
    </row>
    <row r="1188" ht="11.25" customHeight="1">
      <c r="A1188" s="450"/>
      <c r="B1188" s="451"/>
      <c r="C1188" s="452"/>
      <c r="D1188" s="452"/>
      <c r="E1188" s="453"/>
      <c r="F1188" s="453"/>
      <c r="G1188" s="454"/>
      <c r="H1188" s="454"/>
      <c r="I1188" s="455"/>
      <c r="J1188" s="456"/>
      <c r="K1188" s="467" t="s">
        <v>1417</v>
      </c>
      <c r="L1188" s="468"/>
      <c r="M1188" s="469"/>
      <c r="N1188" s="470"/>
      <c r="O1188" s="470"/>
      <c r="P1188" s="471"/>
      <c r="Q1188" s="468"/>
      <c r="R1188" s="469"/>
      <c r="S1188" s="469"/>
      <c r="T1188" s="469"/>
      <c r="U1188" s="469"/>
      <c r="V1188" s="469"/>
      <c r="W1188" s="469"/>
      <c r="X1188" s="469"/>
      <c r="Y1188" s="462">
        <f t="shared" si="17"/>
        <v>0</v>
      </c>
      <c r="Z1188" s="463"/>
      <c r="AA1188" s="464"/>
      <c r="AB1188" s="465"/>
      <c r="AC1188" s="465"/>
      <c r="AD1188" s="465"/>
      <c r="AE1188" s="466"/>
      <c r="AF1188" s="449"/>
      <c r="AG1188" s="449"/>
      <c r="AH1188" s="449"/>
    </row>
    <row r="1189" ht="11.25" customHeight="1">
      <c r="A1189" s="450"/>
      <c r="B1189" s="472"/>
      <c r="C1189" s="473"/>
      <c r="D1189" s="473"/>
      <c r="E1189" s="474"/>
      <c r="F1189" s="474"/>
      <c r="G1189" s="475"/>
      <c r="H1189" s="475"/>
      <c r="I1189" s="476"/>
      <c r="J1189" s="477"/>
      <c r="K1189" s="478" t="s">
        <v>1418</v>
      </c>
      <c r="L1189" s="479"/>
      <c r="M1189" s="480"/>
      <c r="N1189" s="481"/>
      <c r="O1189" s="481"/>
      <c r="P1189" s="482"/>
      <c r="Q1189" s="479"/>
      <c r="R1189" s="480"/>
      <c r="S1189" s="480"/>
      <c r="T1189" s="480"/>
      <c r="U1189" s="480"/>
      <c r="V1189" s="480"/>
      <c r="W1189" s="480"/>
      <c r="X1189" s="480"/>
      <c r="Y1189" s="483">
        <f t="shared" si="17"/>
        <v>0</v>
      </c>
      <c r="Z1189" s="484"/>
      <c r="AA1189" s="485"/>
      <c r="AB1189" s="486"/>
      <c r="AC1189" s="486"/>
      <c r="AD1189" s="486"/>
      <c r="AE1189" s="487"/>
      <c r="AF1189" s="449"/>
      <c r="AG1189" s="449"/>
      <c r="AH1189" s="449"/>
    </row>
    <row r="1190" ht="11.25" customHeight="1">
      <c r="A1190" s="431" t="str">
        <f>IF(B1190="","", YEAR(B1190))</f>
        <v/>
      </c>
      <c r="B1190" s="432"/>
      <c r="C1190" s="433"/>
      <c r="D1190" s="433"/>
      <c r="E1190" s="434" t="str">
        <f t="shared" ref="E1190:I1190" si="602">IFERROR(AVERAGE(L1190:L1193),"")</f>
        <v/>
      </c>
      <c r="F1190" s="434" t="str">
        <f t="shared" si="602"/>
        <v/>
      </c>
      <c r="G1190" s="435" t="str">
        <f t="shared" si="602"/>
        <v/>
      </c>
      <c r="H1190" s="435" t="str">
        <f t="shared" si="602"/>
        <v/>
      </c>
      <c r="I1190" s="436" t="str">
        <f t="shared" si="602"/>
        <v/>
      </c>
      <c r="J1190" s="437">
        <f>SUMIFS(PRODUCTION[KG],PRODUCTION[GRADE],"3X50",PRODUCTION[DATE],B1190,PRODUCTION[BATCH],C1190,PRODUCTION[SHIFT],D1190)</f>
        <v>0</v>
      </c>
      <c r="K1190" s="438" t="s">
        <v>1414</v>
      </c>
      <c r="L1190" s="443"/>
      <c r="M1190" s="440"/>
      <c r="N1190" s="441"/>
      <c r="O1190" s="441"/>
      <c r="P1190" s="442"/>
      <c r="Q1190" s="443"/>
      <c r="R1190" s="440"/>
      <c r="S1190" s="440"/>
      <c r="T1190" s="440"/>
      <c r="U1190" s="440"/>
      <c r="V1190" s="440"/>
      <c r="W1190" s="440"/>
      <c r="X1190" s="440"/>
      <c r="Y1190" s="444">
        <f t="shared" si="17"/>
        <v>0</v>
      </c>
      <c r="Z1190" s="445"/>
      <c r="AA1190" s="446">
        <f t="shared" ref="AA1190:AE1190" si="603">$J1190*E1190</f>
        <v>0</v>
      </c>
      <c r="AB1190" s="447">
        <f t="shared" si="603"/>
        <v>0</v>
      </c>
      <c r="AC1190" s="447">
        <f t="shared" si="603"/>
        <v>0</v>
      </c>
      <c r="AD1190" s="447">
        <f t="shared" si="603"/>
        <v>0</v>
      </c>
      <c r="AE1190" s="448">
        <f t="shared" si="603"/>
        <v>0</v>
      </c>
      <c r="AF1190" s="449"/>
      <c r="AG1190" s="449"/>
      <c r="AH1190" s="449"/>
    </row>
    <row r="1191" ht="11.25" customHeight="1">
      <c r="A1191" s="450"/>
      <c r="B1191" s="451"/>
      <c r="C1191" s="452"/>
      <c r="D1191" s="452"/>
      <c r="E1191" s="453"/>
      <c r="F1191" s="453"/>
      <c r="G1191" s="454"/>
      <c r="H1191" s="454"/>
      <c r="I1191" s="455"/>
      <c r="J1191" s="456"/>
      <c r="K1191" s="457" t="s">
        <v>1416</v>
      </c>
      <c r="L1191" s="458"/>
      <c r="M1191" s="459"/>
      <c r="N1191" s="460"/>
      <c r="O1191" s="460"/>
      <c r="P1191" s="461"/>
      <c r="Q1191" s="458"/>
      <c r="R1191" s="459"/>
      <c r="S1191" s="459"/>
      <c r="T1191" s="459"/>
      <c r="U1191" s="459"/>
      <c r="V1191" s="459"/>
      <c r="W1191" s="459"/>
      <c r="X1191" s="459"/>
      <c r="Y1191" s="462">
        <f t="shared" si="17"/>
        <v>0</v>
      </c>
      <c r="Z1191" s="463"/>
      <c r="AA1191" s="464"/>
      <c r="AB1191" s="465"/>
      <c r="AC1191" s="465"/>
      <c r="AD1191" s="465"/>
      <c r="AE1191" s="466"/>
      <c r="AF1191" s="449"/>
      <c r="AG1191" s="449"/>
      <c r="AH1191" s="449"/>
    </row>
    <row r="1192" ht="11.25" customHeight="1">
      <c r="A1192" s="450"/>
      <c r="B1192" s="451"/>
      <c r="C1192" s="452"/>
      <c r="D1192" s="452"/>
      <c r="E1192" s="453"/>
      <c r="F1192" s="453"/>
      <c r="G1192" s="454"/>
      <c r="H1192" s="454"/>
      <c r="I1192" s="455"/>
      <c r="J1192" s="456"/>
      <c r="K1192" s="467" t="s">
        <v>1417</v>
      </c>
      <c r="L1192" s="468"/>
      <c r="M1192" s="469"/>
      <c r="N1192" s="470"/>
      <c r="O1192" s="470"/>
      <c r="P1192" s="471"/>
      <c r="Q1192" s="468"/>
      <c r="R1192" s="469"/>
      <c r="S1192" s="469"/>
      <c r="T1192" s="469"/>
      <c r="U1192" s="469"/>
      <c r="V1192" s="469"/>
      <c r="W1192" s="469"/>
      <c r="X1192" s="469"/>
      <c r="Y1192" s="462">
        <f t="shared" si="17"/>
        <v>0</v>
      </c>
      <c r="Z1192" s="463"/>
      <c r="AA1192" s="464"/>
      <c r="AB1192" s="465"/>
      <c r="AC1192" s="465"/>
      <c r="AD1192" s="465"/>
      <c r="AE1192" s="466"/>
      <c r="AF1192" s="449"/>
      <c r="AG1192" s="449"/>
      <c r="AH1192" s="449"/>
    </row>
    <row r="1193" ht="11.25" customHeight="1">
      <c r="A1193" s="450"/>
      <c r="B1193" s="472"/>
      <c r="C1193" s="473"/>
      <c r="D1193" s="473"/>
      <c r="E1193" s="474"/>
      <c r="F1193" s="474"/>
      <c r="G1193" s="475"/>
      <c r="H1193" s="475"/>
      <c r="I1193" s="476"/>
      <c r="J1193" s="477"/>
      <c r="K1193" s="478" t="s">
        <v>1418</v>
      </c>
      <c r="L1193" s="479"/>
      <c r="M1193" s="480"/>
      <c r="N1193" s="481"/>
      <c r="O1193" s="481"/>
      <c r="P1193" s="482"/>
      <c r="Q1193" s="479"/>
      <c r="R1193" s="480"/>
      <c r="S1193" s="480"/>
      <c r="T1193" s="480"/>
      <c r="U1193" s="480"/>
      <c r="V1193" s="480"/>
      <c r="W1193" s="480"/>
      <c r="X1193" s="480"/>
      <c r="Y1193" s="483">
        <f t="shared" si="17"/>
        <v>0</v>
      </c>
      <c r="Z1193" s="484"/>
      <c r="AA1193" s="485"/>
      <c r="AB1193" s="486"/>
      <c r="AC1193" s="486"/>
      <c r="AD1193" s="486"/>
      <c r="AE1193" s="487"/>
      <c r="AF1193" s="449"/>
      <c r="AG1193" s="449"/>
      <c r="AH1193" s="449"/>
    </row>
    <row r="1194" ht="11.25" customHeight="1">
      <c r="A1194" s="431" t="str">
        <f>IF(B1194="","", YEAR(B1194))</f>
        <v/>
      </c>
      <c r="B1194" s="432"/>
      <c r="C1194" s="433"/>
      <c r="D1194" s="433"/>
      <c r="E1194" s="434" t="str">
        <f t="shared" ref="E1194:I1194" si="604">IFERROR(AVERAGE(L1194:L1197),"")</f>
        <v/>
      </c>
      <c r="F1194" s="434" t="str">
        <f t="shared" si="604"/>
        <v/>
      </c>
      <c r="G1194" s="435" t="str">
        <f t="shared" si="604"/>
        <v/>
      </c>
      <c r="H1194" s="435" t="str">
        <f t="shared" si="604"/>
        <v/>
      </c>
      <c r="I1194" s="436" t="str">
        <f t="shared" si="604"/>
        <v/>
      </c>
      <c r="J1194" s="437">
        <f>SUMIFS(PRODUCTION[KG],PRODUCTION[GRADE],"3X50",PRODUCTION[DATE],B1194,PRODUCTION[BATCH],C1194,PRODUCTION[SHIFT],D1194)</f>
        <v>0</v>
      </c>
      <c r="K1194" s="438" t="s">
        <v>1414</v>
      </c>
      <c r="L1194" s="443"/>
      <c r="M1194" s="440"/>
      <c r="N1194" s="441"/>
      <c r="O1194" s="441"/>
      <c r="P1194" s="442"/>
      <c r="Q1194" s="443"/>
      <c r="R1194" s="440"/>
      <c r="S1194" s="440"/>
      <c r="T1194" s="440"/>
      <c r="U1194" s="440"/>
      <c r="V1194" s="440"/>
      <c r="W1194" s="440"/>
      <c r="X1194" s="440"/>
      <c r="Y1194" s="444">
        <f t="shared" si="17"/>
        <v>0</v>
      </c>
      <c r="Z1194" s="445"/>
      <c r="AA1194" s="446">
        <f t="shared" ref="AA1194:AE1194" si="605">$J1194*E1194</f>
        <v>0</v>
      </c>
      <c r="AB1194" s="447">
        <f t="shared" si="605"/>
        <v>0</v>
      </c>
      <c r="AC1194" s="447">
        <f t="shared" si="605"/>
        <v>0</v>
      </c>
      <c r="AD1194" s="447">
        <f t="shared" si="605"/>
        <v>0</v>
      </c>
      <c r="AE1194" s="448">
        <f t="shared" si="605"/>
        <v>0</v>
      </c>
      <c r="AF1194" s="449"/>
      <c r="AG1194" s="449"/>
      <c r="AH1194" s="449"/>
    </row>
    <row r="1195" ht="11.25" customHeight="1">
      <c r="A1195" s="450"/>
      <c r="B1195" s="451"/>
      <c r="C1195" s="452"/>
      <c r="D1195" s="452"/>
      <c r="E1195" s="453"/>
      <c r="F1195" s="453"/>
      <c r="G1195" s="454"/>
      <c r="H1195" s="454"/>
      <c r="I1195" s="455"/>
      <c r="J1195" s="456"/>
      <c r="K1195" s="457" t="s">
        <v>1416</v>
      </c>
      <c r="L1195" s="458"/>
      <c r="M1195" s="459"/>
      <c r="N1195" s="460"/>
      <c r="O1195" s="460"/>
      <c r="P1195" s="461"/>
      <c r="Q1195" s="458"/>
      <c r="R1195" s="459"/>
      <c r="S1195" s="459"/>
      <c r="T1195" s="459"/>
      <c r="U1195" s="459"/>
      <c r="V1195" s="459"/>
      <c r="W1195" s="459"/>
      <c r="X1195" s="459"/>
      <c r="Y1195" s="462">
        <f t="shared" si="17"/>
        <v>0</v>
      </c>
      <c r="Z1195" s="463"/>
      <c r="AA1195" s="464"/>
      <c r="AB1195" s="465"/>
      <c r="AC1195" s="465"/>
      <c r="AD1195" s="465"/>
      <c r="AE1195" s="466"/>
      <c r="AF1195" s="449"/>
      <c r="AG1195" s="449"/>
      <c r="AH1195" s="449"/>
    </row>
    <row r="1196" ht="11.25" customHeight="1">
      <c r="A1196" s="450"/>
      <c r="B1196" s="451"/>
      <c r="C1196" s="452"/>
      <c r="D1196" s="452"/>
      <c r="E1196" s="453"/>
      <c r="F1196" s="453"/>
      <c r="G1196" s="454"/>
      <c r="H1196" s="454"/>
      <c r="I1196" s="455"/>
      <c r="J1196" s="456"/>
      <c r="K1196" s="467" t="s">
        <v>1417</v>
      </c>
      <c r="L1196" s="468"/>
      <c r="M1196" s="469"/>
      <c r="N1196" s="470"/>
      <c r="O1196" s="470"/>
      <c r="P1196" s="471"/>
      <c r="Q1196" s="468"/>
      <c r="R1196" s="469"/>
      <c r="S1196" s="469"/>
      <c r="T1196" s="469"/>
      <c r="U1196" s="469"/>
      <c r="V1196" s="469"/>
      <c r="W1196" s="469"/>
      <c r="X1196" s="469"/>
      <c r="Y1196" s="462">
        <f t="shared" si="17"/>
        <v>0</v>
      </c>
      <c r="Z1196" s="463"/>
      <c r="AA1196" s="464"/>
      <c r="AB1196" s="465"/>
      <c r="AC1196" s="465"/>
      <c r="AD1196" s="465"/>
      <c r="AE1196" s="466"/>
      <c r="AF1196" s="449"/>
      <c r="AG1196" s="449"/>
      <c r="AH1196" s="449"/>
    </row>
    <row r="1197" ht="11.25" customHeight="1">
      <c r="A1197" s="450"/>
      <c r="B1197" s="472"/>
      <c r="C1197" s="473"/>
      <c r="D1197" s="473"/>
      <c r="E1197" s="474"/>
      <c r="F1197" s="474"/>
      <c r="G1197" s="475"/>
      <c r="H1197" s="475"/>
      <c r="I1197" s="476"/>
      <c r="J1197" s="477"/>
      <c r="K1197" s="478" t="s">
        <v>1418</v>
      </c>
      <c r="L1197" s="479"/>
      <c r="M1197" s="480"/>
      <c r="N1197" s="481"/>
      <c r="O1197" s="481"/>
      <c r="P1197" s="482"/>
      <c r="Q1197" s="479"/>
      <c r="R1197" s="480"/>
      <c r="S1197" s="480"/>
      <c r="T1197" s="480"/>
      <c r="U1197" s="480"/>
      <c r="V1197" s="480"/>
      <c r="W1197" s="480"/>
      <c r="X1197" s="480"/>
      <c r="Y1197" s="483">
        <f t="shared" si="17"/>
        <v>0</v>
      </c>
      <c r="Z1197" s="484"/>
      <c r="AA1197" s="485"/>
      <c r="AB1197" s="486"/>
      <c r="AC1197" s="486"/>
      <c r="AD1197" s="486"/>
      <c r="AE1197" s="487"/>
      <c r="AF1197" s="449"/>
      <c r="AG1197" s="449"/>
      <c r="AH1197" s="449"/>
    </row>
    <row r="1198" ht="11.25" customHeight="1">
      <c r="A1198" s="431" t="str">
        <f>IF(B1198="","", YEAR(B1198))</f>
        <v/>
      </c>
      <c r="B1198" s="432"/>
      <c r="C1198" s="433"/>
      <c r="D1198" s="433"/>
      <c r="E1198" s="434" t="str">
        <f t="shared" ref="E1198:I1198" si="606">IFERROR(AVERAGE(L1198:L1201),"")</f>
        <v/>
      </c>
      <c r="F1198" s="434" t="str">
        <f t="shared" si="606"/>
        <v/>
      </c>
      <c r="G1198" s="435" t="str">
        <f t="shared" si="606"/>
        <v/>
      </c>
      <c r="H1198" s="435" t="str">
        <f t="shared" si="606"/>
        <v/>
      </c>
      <c r="I1198" s="436" t="str">
        <f t="shared" si="606"/>
        <v/>
      </c>
      <c r="J1198" s="437">
        <f>SUMIFS(PRODUCTION[KG],PRODUCTION[GRADE],"3X50",PRODUCTION[DATE],B1198,PRODUCTION[BATCH],C1198,PRODUCTION[SHIFT],D1198)</f>
        <v>0</v>
      </c>
      <c r="K1198" s="438" t="s">
        <v>1414</v>
      </c>
      <c r="L1198" s="443"/>
      <c r="M1198" s="440"/>
      <c r="N1198" s="441"/>
      <c r="O1198" s="441"/>
      <c r="P1198" s="442"/>
      <c r="Q1198" s="443"/>
      <c r="R1198" s="440"/>
      <c r="S1198" s="440"/>
      <c r="T1198" s="440"/>
      <c r="U1198" s="440"/>
      <c r="V1198" s="440"/>
      <c r="W1198" s="440"/>
      <c r="X1198" s="440"/>
      <c r="Y1198" s="444">
        <f t="shared" si="17"/>
        <v>0</v>
      </c>
      <c r="Z1198" s="445"/>
      <c r="AA1198" s="446">
        <f t="shared" ref="AA1198:AE1198" si="607">$J1198*E1198</f>
        <v>0</v>
      </c>
      <c r="AB1198" s="447">
        <f t="shared" si="607"/>
        <v>0</v>
      </c>
      <c r="AC1198" s="447">
        <f t="shared" si="607"/>
        <v>0</v>
      </c>
      <c r="AD1198" s="447">
        <f t="shared" si="607"/>
        <v>0</v>
      </c>
      <c r="AE1198" s="448">
        <f t="shared" si="607"/>
        <v>0</v>
      </c>
      <c r="AF1198" s="449"/>
      <c r="AG1198" s="449"/>
      <c r="AH1198" s="449"/>
    </row>
    <row r="1199" ht="11.25" customHeight="1">
      <c r="A1199" s="450"/>
      <c r="B1199" s="451"/>
      <c r="C1199" s="452"/>
      <c r="D1199" s="452"/>
      <c r="E1199" s="453"/>
      <c r="F1199" s="453"/>
      <c r="G1199" s="454"/>
      <c r="H1199" s="454"/>
      <c r="I1199" s="455"/>
      <c r="J1199" s="456"/>
      <c r="K1199" s="457" t="s">
        <v>1416</v>
      </c>
      <c r="L1199" s="458"/>
      <c r="M1199" s="459"/>
      <c r="N1199" s="460"/>
      <c r="O1199" s="460"/>
      <c r="P1199" s="461"/>
      <c r="Q1199" s="458"/>
      <c r="R1199" s="459"/>
      <c r="S1199" s="459"/>
      <c r="T1199" s="459"/>
      <c r="U1199" s="459"/>
      <c r="V1199" s="459"/>
      <c r="W1199" s="459"/>
      <c r="X1199" s="459"/>
      <c r="Y1199" s="462">
        <f t="shared" si="17"/>
        <v>0</v>
      </c>
      <c r="Z1199" s="463"/>
      <c r="AA1199" s="464"/>
      <c r="AB1199" s="465"/>
      <c r="AC1199" s="465"/>
      <c r="AD1199" s="465"/>
      <c r="AE1199" s="466"/>
      <c r="AF1199" s="449"/>
      <c r="AG1199" s="449"/>
      <c r="AH1199" s="449"/>
    </row>
    <row r="1200" ht="11.25" customHeight="1">
      <c r="A1200" s="450"/>
      <c r="B1200" s="451"/>
      <c r="C1200" s="452"/>
      <c r="D1200" s="452"/>
      <c r="E1200" s="453"/>
      <c r="F1200" s="453"/>
      <c r="G1200" s="454"/>
      <c r="H1200" s="454"/>
      <c r="I1200" s="455"/>
      <c r="J1200" s="456"/>
      <c r="K1200" s="467" t="s">
        <v>1417</v>
      </c>
      <c r="L1200" s="468"/>
      <c r="M1200" s="469"/>
      <c r="N1200" s="470"/>
      <c r="O1200" s="470"/>
      <c r="P1200" s="471"/>
      <c r="Q1200" s="468"/>
      <c r="R1200" s="469"/>
      <c r="S1200" s="469"/>
      <c r="T1200" s="469"/>
      <c r="U1200" s="469"/>
      <c r="V1200" s="469"/>
      <c r="W1200" s="469"/>
      <c r="X1200" s="469"/>
      <c r="Y1200" s="462">
        <f t="shared" si="17"/>
        <v>0</v>
      </c>
      <c r="Z1200" s="463"/>
      <c r="AA1200" s="464"/>
      <c r="AB1200" s="465"/>
      <c r="AC1200" s="465"/>
      <c r="AD1200" s="465"/>
      <c r="AE1200" s="466"/>
      <c r="AF1200" s="449"/>
      <c r="AG1200" s="449"/>
      <c r="AH1200" s="449"/>
    </row>
    <row r="1201" ht="11.25" customHeight="1">
      <c r="A1201" s="450"/>
      <c r="B1201" s="472"/>
      <c r="C1201" s="473"/>
      <c r="D1201" s="473"/>
      <c r="E1201" s="474"/>
      <c r="F1201" s="474"/>
      <c r="G1201" s="475"/>
      <c r="H1201" s="475"/>
      <c r="I1201" s="476"/>
      <c r="J1201" s="477"/>
      <c r="K1201" s="478" t="s">
        <v>1418</v>
      </c>
      <c r="L1201" s="479"/>
      <c r="M1201" s="480"/>
      <c r="N1201" s="481"/>
      <c r="O1201" s="481"/>
      <c r="P1201" s="482"/>
      <c r="Q1201" s="479"/>
      <c r="R1201" s="480"/>
      <c r="S1201" s="480"/>
      <c r="T1201" s="480"/>
      <c r="U1201" s="480"/>
      <c r="V1201" s="480"/>
      <c r="W1201" s="480"/>
      <c r="X1201" s="480"/>
      <c r="Y1201" s="483">
        <f t="shared" si="17"/>
        <v>0</v>
      </c>
      <c r="Z1201" s="484"/>
      <c r="AA1201" s="485"/>
      <c r="AB1201" s="486"/>
      <c r="AC1201" s="486"/>
      <c r="AD1201" s="486"/>
      <c r="AE1201" s="487"/>
      <c r="AF1201" s="449"/>
      <c r="AG1201" s="449"/>
      <c r="AH1201" s="449"/>
    </row>
    <row r="1202" ht="11.25" customHeight="1">
      <c r="A1202" s="431" t="str">
        <f>IF(B1202="","", YEAR(B1202))</f>
        <v/>
      </c>
      <c r="B1202" s="432"/>
      <c r="C1202" s="433"/>
      <c r="D1202" s="433"/>
      <c r="E1202" s="434" t="str">
        <f t="shared" ref="E1202:I1202" si="608">IFERROR(AVERAGE(L1202:L1205),"")</f>
        <v/>
      </c>
      <c r="F1202" s="434" t="str">
        <f t="shared" si="608"/>
        <v/>
      </c>
      <c r="G1202" s="435" t="str">
        <f t="shared" si="608"/>
        <v/>
      </c>
      <c r="H1202" s="435" t="str">
        <f t="shared" si="608"/>
        <v/>
      </c>
      <c r="I1202" s="436" t="str">
        <f t="shared" si="608"/>
        <v/>
      </c>
      <c r="J1202" s="437">
        <f>SUMIFS(PRODUCTION[KG],PRODUCTION[GRADE],"3X50",PRODUCTION[DATE],B1202,PRODUCTION[BATCH],C1202,PRODUCTION[SHIFT],D1202)</f>
        <v>0</v>
      </c>
      <c r="K1202" s="438" t="s">
        <v>1414</v>
      </c>
      <c r="L1202" s="443"/>
      <c r="M1202" s="440"/>
      <c r="N1202" s="441"/>
      <c r="O1202" s="441"/>
      <c r="P1202" s="442"/>
      <c r="Q1202" s="443"/>
      <c r="R1202" s="440"/>
      <c r="S1202" s="440"/>
      <c r="T1202" s="440"/>
      <c r="U1202" s="440"/>
      <c r="V1202" s="440"/>
      <c r="W1202" s="440"/>
      <c r="X1202" s="440"/>
      <c r="Y1202" s="444">
        <f t="shared" si="17"/>
        <v>0</v>
      </c>
      <c r="Z1202" s="445"/>
      <c r="AA1202" s="446">
        <f t="shared" ref="AA1202:AE1202" si="609">$J1202*E1202</f>
        <v>0</v>
      </c>
      <c r="AB1202" s="447">
        <f t="shared" si="609"/>
        <v>0</v>
      </c>
      <c r="AC1202" s="447">
        <f t="shared" si="609"/>
        <v>0</v>
      </c>
      <c r="AD1202" s="447">
        <f t="shared" si="609"/>
        <v>0</v>
      </c>
      <c r="AE1202" s="448">
        <f t="shared" si="609"/>
        <v>0</v>
      </c>
      <c r="AF1202" s="449"/>
      <c r="AG1202" s="449"/>
      <c r="AH1202" s="449"/>
    </row>
    <row r="1203" ht="11.25" customHeight="1">
      <c r="A1203" s="450"/>
      <c r="B1203" s="451"/>
      <c r="C1203" s="452"/>
      <c r="D1203" s="452"/>
      <c r="E1203" s="453"/>
      <c r="F1203" s="453"/>
      <c r="G1203" s="454"/>
      <c r="H1203" s="454"/>
      <c r="I1203" s="455"/>
      <c r="J1203" s="456"/>
      <c r="K1203" s="457" t="s">
        <v>1416</v>
      </c>
      <c r="L1203" s="458"/>
      <c r="M1203" s="459"/>
      <c r="N1203" s="460"/>
      <c r="O1203" s="460"/>
      <c r="P1203" s="461"/>
      <c r="Q1203" s="458"/>
      <c r="R1203" s="459"/>
      <c r="S1203" s="459"/>
      <c r="T1203" s="459"/>
      <c r="U1203" s="459"/>
      <c r="V1203" s="459"/>
      <c r="W1203" s="459"/>
      <c r="X1203" s="459"/>
      <c r="Y1203" s="462">
        <f t="shared" si="17"/>
        <v>0</v>
      </c>
      <c r="Z1203" s="463"/>
      <c r="AA1203" s="464"/>
      <c r="AB1203" s="465"/>
      <c r="AC1203" s="465"/>
      <c r="AD1203" s="465"/>
      <c r="AE1203" s="466"/>
      <c r="AF1203" s="449"/>
      <c r="AG1203" s="449"/>
      <c r="AH1203" s="449"/>
    </row>
    <row r="1204" ht="11.25" customHeight="1">
      <c r="A1204" s="450"/>
      <c r="B1204" s="451"/>
      <c r="C1204" s="452"/>
      <c r="D1204" s="452"/>
      <c r="E1204" s="453"/>
      <c r="F1204" s="453"/>
      <c r="G1204" s="454"/>
      <c r="H1204" s="454"/>
      <c r="I1204" s="455"/>
      <c r="J1204" s="456"/>
      <c r="K1204" s="467" t="s">
        <v>1417</v>
      </c>
      <c r="L1204" s="468"/>
      <c r="M1204" s="469"/>
      <c r="N1204" s="470"/>
      <c r="O1204" s="470"/>
      <c r="P1204" s="471"/>
      <c r="Q1204" s="468"/>
      <c r="R1204" s="469"/>
      <c r="S1204" s="469"/>
      <c r="T1204" s="469"/>
      <c r="U1204" s="469"/>
      <c r="V1204" s="469"/>
      <c r="W1204" s="469"/>
      <c r="X1204" s="469"/>
      <c r="Y1204" s="462">
        <f t="shared" si="17"/>
        <v>0</v>
      </c>
      <c r="Z1204" s="463"/>
      <c r="AA1204" s="464"/>
      <c r="AB1204" s="465"/>
      <c r="AC1204" s="465"/>
      <c r="AD1204" s="465"/>
      <c r="AE1204" s="466"/>
      <c r="AF1204" s="449"/>
      <c r="AG1204" s="449"/>
      <c r="AH1204" s="449"/>
    </row>
    <row r="1205" ht="11.25" customHeight="1">
      <c r="A1205" s="450"/>
      <c r="B1205" s="472"/>
      <c r="C1205" s="473"/>
      <c r="D1205" s="473"/>
      <c r="E1205" s="474"/>
      <c r="F1205" s="474"/>
      <c r="G1205" s="475"/>
      <c r="H1205" s="475"/>
      <c r="I1205" s="476"/>
      <c r="J1205" s="477"/>
      <c r="K1205" s="478" t="s">
        <v>1418</v>
      </c>
      <c r="L1205" s="479"/>
      <c r="M1205" s="480"/>
      <c r="N1205" s="481"/>
      <c r="O1205" s="481"/>
      <c r="P1205" s="482"/>
      <c r="Q1205" s="479"/>
      <c r="R1205" s="480"/>
      <c r="S1205" s="480"/>
      <c r="T1205" s="480"/>
      <c r="U1205" s="480"/>
      <c r="V1205" s="480"/>
      <c r="W1205" s="480"/>
      <c r="X1205" s="480"/>
      <c r="Y1205" s="483">
        <f t="shared" si="17"/>
        <v>0</v>
      </c>
      <c r="Z1205" s="484"/>
      <c r="AA1205" s="485"/>
      <c r="AB1205" s="486"/>
      <c r="AC1205" s="486"/>
      <c r="AD1205" s="486"/>
      <c r="AE1205" s="487"/>
      <c r="AF1205" s="449"/>
      <c r="AG1205" s="449"/>
      <c r="AH1205" s="449"/>
    </row>
    <row r="1206" ht="11.25" customHeight="1">
      <c r="A1206" s="431" t="str">
        <f>IF(B1206="","", YEAR(B1206))</f>
        <v/>
      </c>
      <c r="B1206" s="432"/>
      <c r="C1206" s="433"/>
      <c r="D1206" s="433"/>
      <c r="E1206" s="434" t="str">
        <f t="shared" ref="E1206:I1206" si="610">IFERROR(AVERAGE(L1206:L1209),"")</f>
        <v/>
      </c>
      <c r="F1206" s="434" t="str">
        <f t="shared" si="610"/>
        <v/>
      </c>
      <c r="G1206" s="435" t="str">
        <f t="shared" si="610"/>
        <v/>
      </c>
      <c r="H1206" s="435" t="str">
        <f t="shared" si="610"/>
        <v/>
      </c>
      <c r="I1206" s="436" t="str">
        <f t="shared" si="610"/>
        <v/>
      </c>
      <c r="J1206" s="437">
        <f>SUMIFS(PRODUCTION[KG],PRODUCTION[GRADE],"3X50",PRODUCTION[DATE],B1206,PRODUCTION[BATCH],C1206,PRODUCTION[SHIFT],D1206)</f>
        <v>0</v>
      </c>
      <c r="K1206" s="438" t="s">
        <v>1414</v>
      </c>
      <c r="L1206" s="443"/>
      <c r="M1206" s="440"/>
      <c r="N1206" s="441"/>
      <c r="O1206" s="441"/>
      <c r="P1206" s="442"/>
      <c r="Q1206" s="443"/>
      <c r="R1206" s="440"/>
      <c r="S1206" s="440"/>
      <c r="T1206" s="440"/>
      <c r="U1206" s="440"/>
      <c r="V1206" s="440"/>
      <c r="W1206" s="440"/>
      <c r="X1206" s="440"/>
      <c r="Y1206" s="444">
        <f t="shared" si="17"/>
        <v>0</v>
      </c>
      <c r="Z1206" s="445"/>
      <c r="AA1206" s="446">
        <f t="shared" ref="AA1206:AE1206" si="611">$J1206*E1206</f>
        <v>0</v>
      </c>
      <c r="AB1206" s="447">
        <f t="shared" si="611"/>
        <v>0</v>
      </c>
      <c r="AC1206" s="447">
        <f t="shared" si="611"/>
        <v>0</v>
      </c>
      <c r="AD1206" s="447">
        <f t="shared" si="611"/>
        <v>0</v>
      </c>
      <c r="AE1206" s="448">
        <f t="shared" si="611"/>
        <v>0</v>
      </c>
      <c r="AF1206" s="449"/>
      <c r="AG1206" s="449"/>
      <c r="AH1206" s="449"/>
    </row>
    <row r="1207" ht="11.25" customHeight="1">
      <c r="A1207" s="450"/>
      <c r="B1207" s="451"/>
      <c r="C1207" s="452"/>
      <c r="D1207" s="452"/>
      <c r="E1207" s="453"/>
      <c r="F1207" s="453"/>
      <c r="G1207" s="454"/>
      <c r="H1207" s="454"/>
      <c r="I1207" s="455"/>
      <c r="J1207" s="456"/>
      <c r="K1207" s="457" t="s">
        <v>1416</v>
      </c>
      <c r="L1207" s="458"/>
      <c r="M1207" s="459"/>
      <c r="N1207" s="460"/>
      <c r="O1207" s="460"/>
      <c r="P1207" s="461"/>
      <c r="Q1207" s="458"/>
      <c r="R1207" s="459"/>
      <c r="S1207" s="459"/>
      <c r="T1207" s="459"/>
      <c r="U1207" s="459"/>
      <c r="V1207" s="459"/>
      <c r="W1207" s="459"/>
      <c r="X1207" s="459"/>
      <c r="Y1207" s="462">
        <f t="shared" si="17"/>
        <v>0</v>
      </c>
      <c r="Z1207" s="463"/>
      <c r="AA1207" s="464"/>
      <c r="AB1207" s="465"/>
      <c r="AC1207" s="465"/>
      <c r="AD1207" s="465"/>
      <c r="AE1207" s="466"/>
      <c r="AF1207" s="449"/>
      <c r="AG1207" s="449"/>
      <c r="AH1207" s="449"/>
    </row>
    <row r="1208" ht="11.25" customHeight="1">
      <c r="A1208" s="450"/>
      <c r="B1208" s="451"/>
      <c r="C1208" s="452"/>
      <c r="D1208" s="452"/>
      <c r="E1208" s="453"/>
      <c r="F1208" s="453"/>
      <c r="G1208" s="454"/>
      <c r="H1208" s="454"/>
      <c r="I1208" s="455"/>
      <c r="J1208" s="456"/>
      <c r="K1208" s="467" t="s">
        <v>1417</v>
      </c>
      <c r="L1208" s="468"/>
      <c r="M1208" s="469"/>
      <c r="N1208" s="470"/>
      <c r="O1208" s="470"/>
      <c r="P1208" s="471"/>
      <c r="Q1208" s="468"/>
      <c r="R1208" s="469"/>
      <c r="S1208" s="469"/>
      <c r="T1208" s="469"/>
      <c r="U1208" s="469"/>
      <c r="V1208" s="469"/>
      <c r="W1208" s="469"/>
      <c r="X1208" s="469"/>
      <c r="Y1208" s="462">
        <f t="shared" si="17"/>
        <v>0</v>
      </c>
      <c r="Z1208" s="463"/>
      <c r="AA1208" s="464"/>
      <c r="AB1208" s="465"/>
      <c r="AC1208" s="465"/>
      <c r="AD1208" s="465"/>
      <c r="AE1208" s="466"/>
      <c r="AF1208" s="449"/>
      <c r="AG1208" s="449"/>
      <c r="AH1208" s="449"/>
    </row>
    <row r="1209" ht="11.25" customHeight="1">
      <c r="A1209" s="450"/>
      <c r="B1209" s="472"/>
      <c r="C1209" s="473"/>
      <c r="D1209" s="473"/>
      <c r="E1209" s="474"/>
      <c r="F1209" s="474"/>
      <c r="G1209" s="475"/>
      <c r="H1209" s="475"/>
      <c r="I1209" s="476"/>
      <c r="J1209" s="477"/>
      <c r="K1209" s="478" t="s">
        <v>1418</v>
      </c>
      <c r="L1209" s="479"/>
      <c r="M1209" s="480"/>
      <c r="N1209" s="481"/>
      <c r="O1209" s="481"/>
      <c r="P1209" s="482"/>
      <c r="Q1209" s="479"/>
      <c r="R1209" s="480"/>
      <c r="S1209" s="480"/>
      <c r="T1209" s="480"/>
      <c r="U1209" s="480"/>
      <c r="V1209" s="480"/>
      <c r="W1209" s="480"/>
      <c r="X1209" s="480"/>
      <c r="Y1209" s="483">
        <f t="shared" si="17"/>
        <v>0</v>
      </c>
      <c r="Z1209" s="484"/>
      <c r="AA1209" s="485"/>
      <c r="AB1209" s="486"/>
      <c r="AC1209" s="486"/>
      <c r="AD1209" s="486"/>
      <c r="AE1209" s="487"/>
      <c r="AF1209" s="449"/>
      <c r="AG1209" s="449"/>
      <c r="AH1209" s="449"/>
    </row>
    <row r="1210" ht="11.25" customHeight="1">
      <c r="A1210" s="431" t="str">
        <f>IF(B1210="","", YEAR(B1210))</f>
        <v/>
      </c>
      <c r="B1210" s="432"/>
      <c r="C1210" s="433"/>
      <c r="D1210" s="433"/>
      <c r="E1210" s="434" t="str">
        <f t="shared" ref="E1210:I1210" si="612">IFERROR(AVERAGE(L1210:L1213),"")</f>
        <v/>
      </c>
      <c r="F1210" s="434" t="str">
        <f t="shared" si="612"/>
        <v/>
      </c>
      <c r="G1210" s="435" t="str">
        <f t="shared" si="612"/>
        <v/>
      </c>
      <c r="H1210" s="435" t="str">
        <f t="shared" si="612"/>
        <v/>
      </c>
      <c r="I1210" s="436" t="str">
        <f t="shared" si="612"/>
        <v/>
      </c>
      <c r="J1210" s="437">
        <f>SUMIFS(PRODUCTION[KG],PRODUCTION[GRADE],"3X50",PRODUCTION[DATE],B1210,PRODUCTION[BATCH],C1210,PRODUCTION[SHIFT],D1210)</f>
        <v>0</v>
      </c>
      <c r="K1210" s="438" t="s">
        <v>1414</v>
      </c>
      <c r="L1210" s="443"/>
      <c r="M1210" s="440"/>
      <c r="N1210" s="441"/>
      <c r="O1210" s="441"/>
      <c r="P1210" s="442"/>
      <c r="Q1210" s="443"/>
      <c r="R1210" s="440"/>
      <c r="S1210" s="440"/>
      <c r="T1210" s="440"/>
      <c r="U1210" s="440"/>
      <c r="V1210" s="440"/>
      <c r="W1210" s="440"/>
      <c r="X1210" s="440"/>
      <c r="Y1210" s="444">
        <f t="shared" si="17"/>
        <v>0</v>
      </c>
      <c r="Z1210" s="445"/>
      <c r="AA1210" s="446">
        <f t="shared" ref="AA1210:AE1210" si="613">$J1210*E1210</f>
        <v>0</v>
      </c>
      <c r="AB1210" s="447">
        <f t="shared" si="613"/>
        <v>0</v>
      </c>
      <c r="AC1210" s="447">
        <f t="shared" si="613"/>
        <v>0</v>
      </c>
      <c r="AD1210" s="447">
        <f t="shared" si="613"/>
        <v>0</v>
      </c>
      <c r="AE1210" s="448">
        <f t="shared" si="613"/>
        <v>0</v>
      </c>
      <c r="AF1210" s="449"/>
      <c r="AG1210" s="449"/>
      <c r="AH1210" s="449"/>
    </row>
    <row r="1211" ht="11.25" customHeight="1">
      <c r="A1211" s="450"/>
      <c r="B1211" s="451"/>
      <c r="C1211" s="452"/>
      <c r="D1211" s="452"/>
      <c r="E1211" s="453"/>
      <c r="F1211" s="453"/>
      <c r="G1211" s="454"/>
      <c r="H1211" s="454"/>
      <c r="I1211" s="455"/>
      <c r="J1211" s="456"/>
      <c r="K1211" s="457" t="s">
        <v>1416</v>
      </c>
      <c r="L1211" s="458"/>
      <c r="M1211" s="459"/>
      <c r="N1211" s="460"/>
      <c r="O1211" s="460"/>
      <c r="P1211" s="461"/>
      <c r="Q1211" s="458"/>
      <c r="R1211" s="459"/>
      <c r="S1211" s="459"/>
      <c r="T1211" s="459"/>
      <c r="U1211" s="459"/>
      <c r="V1211" s="459"/>
      <c r="W1211" s="459"/>
      <c r="X1211" s="459"/>
      <c r="Y1211" s="462">
        <f t="shared" si="17"/>
        <v>0</v>
      </c>
      <c r="Z1211" s="463"/>
      <c r="AA1211" s="464"/>
      <c r="AB1211" s="465"/>
      <c r="AC1211" s="465"/>
      <c r="AD1211" s="465"/>
      <c r="AE1211" s="466"/>
      <c r="AF1211" s="449"/>
      <c r="AG1211" s="449"/>
      <c r="AH1211" s="449"/>
    </row>
    <row r="1212" ht="11.25" customHeight="1">
      <c r="A1212" s="450"/>
      <c r="B1212" s="451"/>
      <c r="C1212" s="452"/>
      <c r="D1212" s="452"/>
      <c r="E1212" s="453"/>
      <c r="F1212" s="453"/>
      <c r="G1212" s="454"/>
      <c r="H1212" s="454"/>
      <c r="I1212" s="455"/>
      <c r="J1212" s="456"/>
      <c r="K1212" s="467" t="s">
        <v>1417</v>
      </c>
      <c r="L1212" s="468"/>
      <c r="M1212" s="469"/>
      <c r="N1212" s="470"/>
      <c r="O1212" s="470"/>
      <c r="P1212" s="471"/>
      <c r="Q1212" s="468"/>
      <c r="R1212" s="469"/>
      <c r="S1212" s="469"/>
      <c r="T1212" s="469"/>
      <c r="U1212" s="469"/>
      <c r="V1212" s="469"/>
      <c r="W1212" s="469"/>
      <c r="X1212" s="469"/>
      <c r="Y1212" s="462">
        <f t="shared" si="17"/>
        <v>0</v>
      </c>
      <c r="Z1212" s="463"/>
      <c r="AA1212" s="464"/>
      <c r="AB1212" s="465"/>
      <c r="AC1212" s="465"/>
      <c r="AD1212" s="465"/>
      <c r="AE1212" s="466"/>
      <c r="AF1212" s="449"/>
      <c r="AG1212" s="449"/>
      <c r="AH1212" s="449"/>
    </row>
    <row r="1213" ht="11.25" customHeight="1">
      <c r="A1213" s="450"/>
      <c r="B1213" s="472"/>
      <c r="C1213" s="473"/>
      <c r="D1213" s="473"/>
      <c r="E1213" s="474"/>
      <c r="F1213" s="474"/>
      <c r="G1213" s="475"/>
      <c r="H1213" s="475"/>
      <c r="I1213" s="476"/>
      <c r="J1213" s="477"/>
      <c r="K1213" s="478" t="s">
        <v>1418</v>
      </c>
      <c r="L1213" s="479"/>
      <c r="M1213" s="480"/>
      <c r="N1213" s="481"/>
      <c r="O1213" s="481"/>
      <c r="P1213" s="482"/>
      <c r="Q1213" s="479"/>
      <c r="R1213" s="480"/>
      <c r="S1213" s="480"/>
      <c r="T1213" s="480"/>
      <c r="U1213" s="480"/>
      <c r="V1213" s="480"/>
      <c r="W1213" s="480"/>
      <c r="X1213" s="480"/>
      <c r="Y1213" s="483">
        <f t="shared" si="17"/>
        <v>0</v>
      </c>
      <c r="Z1213" s="484"/>
      <c r="AA1213" s="485"/>
      <c r="AB1213" s="486"/>
      <c r="AC1213" s="486"/>
      <c r="AD1213" s="486"/>
      <c r="AE1213" s="487"/>
      <c r="AF1213" s="449"/>
      <c r="AG1213" s="449"/>
      <c r="AH1213" s="449"/>
    </row>
    <row r="1214" ht="11.25" customHeight="1">
      <c r="A1214" s="431" t="str">
        <f>IF(B1214="","", YEAR(B1214))</f>
        <v/>
      </c>
      <c r="B1214" s="432"/>
      <c r="C1214" s="433"/>
      <c r="D1214" s="433"/>
      <c r="E1214" s="434" t="str">
        <f t="shared" ref="E1214:I1214" si="614">IFERROR(AVERAGE(L1214:L1217),"")</f>
        <v/>
      </c>
      <c r="F1214" s="434" t="str">
        <f t="shared" si="614"/>
        <v/>
      </c>
      <c r="G1214" s="435" t="str">
        <f t="shared" si="614"/>
        <v/>
      </c>
      <c r="H1214" s="435" t="str">
        <f t="shared" si="614"/>
        <v/>
      </c>
      <c r="I1214" s="436" t="str">
        <f t="shared" si="614"/>
        <v/>
      </c>
      <c r="J1214" s="437">
        <f>SUMIFS(PRODUCTION[KG],PRODUCTION[GRADE],"3X50",PRODUCTION[DATE],B1214,PRODUCTION[BATCH],C1214,PRODUCTION[SHIFT],D1214)</f>
        <v>0</v>
      </c>
      <c r="K1214" s="438" t="s">
        <v>1414</v>
      </c>
      <c r="L1214" s="443"/>
      <c r="M1214" s="440"/>
      <c r="N1214" s="441"/>
      <c r="O1214" s="441"/>
      <c r="P1214" s="442"/>
      <c r="Q1214" s="443"/>
      <c r="R1214" s="440"/>
      <c r="S1214" s="440"/>
      <c r="T1214" s="440"/>
      <c r="U1214" s="440"/>
      <c r="V1214" s="440"/>
      <c r="W1214" s="440"/>
      <c r="X1214" s="440"/>
      <c r="Y1214" s="444">
        <f t="shared" si="17"/>
        <v>0</v>
      </c>
      <c r="Z1214" s="445"/>
      <c r="AA1214" s="446">
        <f t="shared" ref="AA1214:AE1214" si="615">$J1214*E1214</f>
        <v>0</v>
      </c>
      <c r="AB1214" s="447">
        <f t="shared" si="615"/>
        <v>0</v>
      </c>
      <c r="AC1214" s="447">
        <f t="shared" si="615"/>
        <v>0</v>
      </c>
      <c r="AD1214" s="447">
        <f t="shared" si="615"/>
        <v>0</v>
      </c>
      <c r="AE1214" s="448">
        <f t="shared" si="615"/>
        <v>0</v>
      </c>
      <c r="AF1214" s="449"/>
      <c r="AG1214" s="449"/>
      <c r="AH1214" s="449"/>
    </row>
    <row r="1215" ht="11.25" customHeight="1">
      <c r="A1215" s="450"/>
      <c r="B1215" s="451"/>
      <c r="C1215" s="452"/>
      <c r="D1215" s="452"/>
      <c r="E1215" s="453"/>
      <c r="F1215" s="453"/>
      <c r="G1215" s="454"/>
      <c r="H1215" s="454"/>
      <c r="I1215" s="455"/>
      <c r="J1215" s="456"/>
      <c r="K1215" s="457" t="s">
        <v>1416</v>
      </c>
      <c r="L1215" s="458"/>
      <c r="M1215" s="459"/>
      <c r="N1215" s="460"/>
      <c r="O1215" s="460"/>
      <c r="P1215" s="461"/>
      <c r="Q1215" s="458"/>
      <c r="R1215" s="459"/>
      <c r="S1215" s="459"/>
      <c r="T1215" s="459"/>
      <c r="U1215" s="459"/>
      <c r="V1215" s="459"/>
      <c r="W1215" s="459"/>
      <c r="X1215" s="459"/>
      <c r="Y1215" s="462">
        <f t="shared" si="17"/>
        <v>0</v>
      </c>
      <c r="Z1215" s="463"/>
      <c r="AA1215" s="464"/>
      <c r="AB1215" s="465"/>
      <c r="AC1215" s="465"/>
      <c r="AD1215" s="465"/>
      <c r="AE1215" s="466"/>
      <c r="AF1215" s="449"/>
      <c r="AG1215" s="449"/>
      <c r="AH1215" s="449"/>
    </row>
    <row r="1216" ht="11.25" customHeight="1">
      <c r="A1216" s="450"/>
      <c r="B1216" s="451"/>
      <c r="C1216" s="452"/>
      <c r="D1216" s="452"/>
      <c r="E1216" s="453"/>
      <c r="F1216" s="453"/>
      <c r="G1216" s="454"/>
      <c r="H1216" s="454"/>
      <c r="I1216" s="455"/>
      <c r="J1216" s="456"/>
      <c r="K1216" s="467" t="s">
        <v>1417</v>
      </c>
      <c r="L1216" s="468"/>
      <c r="M1216" s="469"/>
      <c r="N1216" s="470"/>
      <c r="O1216" s="470"/>
      <c r="P1216" s="471"/>
      <c r="Q1216" s="468"/>
      <c r="R1216" s="469"/>
      <c r="S1216" s="469"/>
      <c r="T1216" s="469"/>
      <c r="U1216" s="469"/>
      <c r="V1216" s="469"/>
      <c r="W1216" s="469"/>
      <c r="X1216" s="469"/>
      <c r="Y1216" s="462">
        <f t="shared" si="17"/>
        <v>0</v>
      </c>
      <c r="Z1216" s="463"/>
      <c r="AA1216" s="464"/>
      <c r="AB1216" s="465"/>
      <c r="AC1216" s="465"/>
      <c r="AD1216" s="465"/>
      <c r="AE1216" s="466"/>
      <c r="AF1216" s="449"/>
      <c r="AG1216" s="449"/>
      <c r="AH1216" s="449"/>
    </row>
    <row r="1217" ht="11.25" customHeight="1">
      <c r="A1217" s="450"/>
      <c r="B1217" s="472"/>
      <c r="C1217" s="473"/>
      <c r="D1217" s="473"/>
      <c r="E1217" s="474"/>
      <c r="F1217" s="474"/>
      <c r="G1217" s="475"/>
      <c r="H1217" s="475"/>
      <c r="I1217" s="476"/>
      <c r="J1217" s="477"/>
      <c r="K1217" s="478" t="s">
        <v>1418</v>
      </c>
      <c r="L1217" s="479"/>
      <c r="M1217" s="480"/>
      <c r="N1217" s="481"/>
      <c r="O1217" s="481"/>
      <c r="P1217" s="482"/>
      <c r="Q1217" s="479"/>
      <c r="R1217" s="480"/>
      <c r="S1217" s="480"/>
      <c r="T1217" s="480"/>
      <c r="U1217" s="480"/>
      <c r="V1217" s="480"/>
      <c r="W1217" s="480"/>
      <c r="X1217" s="480"/>
      <c r="Y1217" s="483">
        <f t="shared" si="17"/>
        <v>0</v>
      </c>
      <c r="Z1217" s="484"/>
      <c r="AA1217" s="485"/>
      <c r="AB1217" s="486"/>
      <c r="AC1217" s="486"/>
      <c r="AD1217" s="486"/>
      <c r="AE1217" s="487"/>
      <c r="AF1217" s="449"/>
      <c r="AG1217" s="449"/>
      <c r="AH1217" s="449"/>
    </row>
    <row r="1218" ht="11.25" customHeight="1">
      <c r="A1218" s="431" t="str">
        <f>IF(B1218="","", YEAR(B1218))</f>
        <v/>
      </c>
      <c r="B1218" s="432"/>
      <c r="C1218" s="433"/>
      <c r="D1218" s="433"/>
      <c r="E1218" s="434" t="str">
        <f t="shared" ref="E1218:I1218" si="616">IFERROR(AVERAGE(L1218:L1221),"")</f>
        <v/>
      </c>
      <c r="F1218" s="434" t="str">
        <f t="shared" si="616"/>
        <v/>
      </c>
      <c r="G1218" s="435" t="str">
        <f t="shared" si="616"/>
        <v/>
      </c>
      <c r="H1218" s="435" t="str">
        <f t="shared" si="616"/>
        <v/>
      </c>
      <c r="I1218" s="436" t="str">
        <f t="shared" si="616"/>
        <v/>
      </c>
      <c r="J1218" s="437">
        <f>SUMIFS(PRODUCTION[KG],PRODUCTION[GRADE],"3X50",PRODUCTION[DATE],B1218,PRODUCTION[BATCH],C1218,PRODUCTION[SHIFT],D1218)</f>
        <v>0</v>
      </c>
      <c r="K1218" s="438" t="s">
        <v>1414</v>
      </c>
      <c r="L1218" s="443"/>
      <c r="M1218" s="440"/>
      <c r="N1218" s="441"/>
      <c r="O1218" s="441"/>
      <c r="P1218" s="442"/>
      <c r="Q1218" s="443"/>
      <c r="R1218" s="440"/>
      <c r="S1218" s="440"/>
      <c r="T1218" s="440"/>
      <c r="U1218" s="440"/>
      <c r="V1218" s="440"/>
      <c r="W1218" s="440"/>
      <c r="X1218" s="440"/>
      <c r="Y1218" s="444">
        <f t="shared" si="17"/>
        <v>0</v>
      </c>
      <c r="Z1218" s="445"/>
      <c r="AA1218" s="446">
        <f t="shared" ref="AA1218:AE1218" si="617">$J1218*E1218</f>
        <v>0</v>
      </c>
      <c r="AB1218" s="447">
        <f t="shared" si="617"/>
        <v>0</v>
      </c>
      <c r="AC1218" s="447">
        <f t="shared" si="617"/>
        <v>0</v>
      </c>
      <c r="AD1218" s="447">
        <f t="shared" si="617"/>
        <v>0</v>
      </c>
      <c r="AE1218" s="448">
        <f t="shared" si="617"/>
        <v>0</v>
      </c>
      <c r="AF1218" s="449"/>
      <c r="AG1218" s="449"/>
      <c r="AH1218" s="449"/>
    </row>
    <row r="1219" ht="11.25" customHeight="1">
      <c r="A1219" s="450"/>
      <c r="B1219" s="451"/>
      <c r="C1219" s="452"/>
      <c r="D1219" s="452"/>
      <c r="E1219" s="453"/>
      <c r="F1219" s="453"/>
      <c r="G1219" s="454"/>
      <c r="H1219" s="454"/>
      <c r="I1219" s="455"/>
      <c r="J1219" s="456"/>
      <c r="K1219" s="457" t="s">
        <v>1416</v>
      </c>
      <c r="L1219" s="458"/>
      <c r="M1219" s="459"/>
      <c r="N1219" s="460"/>
      <c r="O1219" s="460"/>
      <c r="P1219" s="461"/>
      <c r="Q1219" s="458"/>
      <c r="R1219" s="459"/>
      <c r="S1219" s="459"/>
      <c r="T1219" s="459"/>
      <c r="U1219" s="459"/>
      <c r="V1219" s="459"/>
      <c r="W1219" s="459"/>
      <c r="X1219" s="459"/>
      <c r="Y1219" s="462">
        <f t="shared" si="17"/>
        <v>0</v>
      </c>
      <c r="Z1219" s="463"/>
      <c r="AA1219" s="464"/>
      <c r="AB1219" s="465"/>
      <c r="AC1219" s="465"/>
      <c r="AD1219" s="465"/>
      <c r="AE1219" s="466"/>
      <c r="AF1219" s="449"/>
      <c r="AG1219" s="449"/>
      <c r="AH1219" s="449"/>
    </row>
    <row r="1220" ht="11.25" customHeight="1">
      <c r="A1220" s="450"/>
      <c r="B1220" s="451"/>
      <c r="C1220" s="452"/>
      <c r="D1220" s="452"/>
      <c r="E1220" s="453"/>
      <c r="F1220" s="453"/>
      <c r="G1220" s="454"/>
      <c r="H1220" s="454"/>
      <c r="I1220" s="455"/>
      <c r="J1220" s="456"/>
      <c r="K1220" s="467" t="s">
        <v>1417</v>
      </c>
      <c r="L1220" s="468"/>
      <c r="M1220" s="469"/>
      <c r="N1220" s="470"/>
      <c r="O1220" s="470"/>
      <c r="P1220" s="471"/>
      <c r="Q1220" s="468"/>
      <c r="R1220" s="469"/>
      <c r="S1220" s="469"/>
      <c r="T1220" s="469"/>
      <c r="U1220" s="469"/>
      <c r="V1220" s="469"/>
      <c r="W1220" s="469"/>
      <c r="X1220" s="469"/>
      <c r="Y1220" s="462">
        <f t="shared" si="17"/>
        <v>0</v>
      </c>
      <c r="Z1220" s="463"/>
      <c r="AA1220" s="464"/>
      <c r="AB1220" s="465"/>
      <c r="AC1220" s="465"/>
      <c r="AD1220" s="465"/>
      <c r="AE1220" s="466"/>
      <c r="AF1220" s="449"/>
      <c r="AG1220" s="449"/>
      <c r="AH1220" s="449"/>
    </row>
    <row r="1221" ht="11.25" customHeight="1">
      <c r="A1221" s="450"/>
      <c r="B1221" s="472"/>
      <c r="C1221" s="473"/>
      <c r="D1221" s="473"/>
      <c r="E1221" s="474"/>
      <c r="F1221" s="474"/>
      <c r="G1221" s="475"/>
      <c r="H1221" s="475"/>
      <c r="I1221" s="476"/>
      <c r="J1221" s="477"/>
      <c r="K1221" s="478" t="s">
        <v>1418</v>
      </c>
      <c r="L1221" s="479"/>
      <c r="M1221" s="480"/>
      <c r="N1221" s="481"/>
      <c r="O1221" s="481"/>
      <c r="P1221" s="482"/>
      <c r="Q1221" s="479"/>
      <c r="R1221" s="480"/>
      <c r="S1221" s="480"/>
      <c r="T1221" s="480"/>
      <c r="U1221" s="480"/>
      <c r="V1221" s="480"/>
      <c r="W1221" s="480"/>
      <c r="X1221" s="480"/>
      <c r="Y1221" s="483">
        <f t="shared" si="17"/>
        <v>0</v>
      </c>
      <c r="Z1221" s="484"/>
      <c r="AA1221" s="485"/>
      <c r="AB1221" s="486"/>
      <c r="AC1221" s="486"/>
      <c r="AD1221" s="486"/>
      <c r="AE1221" s="487"/>
      <c r="AF1221" s="449"/>
      <c r="AG1221" s="449"/>
      <c r="AH1221" s="449"/>
    </row>
    <row r="1222" ht="11.25" customHeight="1">
      <c r="A1222" s="431" t="str">
        <f>IF(B1222="","", YEAR(B1222))</f>
        <v/>
      </c>
      <c r="B1222" s="432"/>
      <c r="C1222" s="433"/>
      <c r="D1222" s="433"/>
      <c r="E1222" s="434" t="str">
        <f t="shared" ref="E1222:I1222" si="618">IFERROR(AVERAGE(L1222:L1225),"")</f>
        <v/>
      </c>
      <c r="F1222" s="434" t="str">
        <f t="shared" si="618"/>
        <v/>
      </c>
      <c r="G1222" s="435" t="str">
        <f t="shared" si="618"/>
        <v/>
      </c>
      <c r="H1222" s="435" t="str">
        <f t="shared" si="618"/>
        <v/>
      </c>
      <c r="I1222" s="436" t="str">
        <f t="shared" si="618"/>
        <v/>
      </c>
      <c r="J1222" s="437">
        <f>SUMIFS(PRODUCTION[KG],PRODUCTION[GRADE],"3X50",PRODUCTION[DATE],B1222,PRODUCTION[BATCH],C1222,PRODUCTION[SHIFT],D1222)</f>
        <v>0</v>
      </c>
      <c r="K1222" s="438" t="s">
        <v>1414</v>
      </c>
      <c r="L1222" s="443"/>
      <c r="M1222" s="440"/>
      <c r="N1222" s="441"/>
      <c r="O1222" s="441"/>
      <c r="P1222" s="442"/>
      <c r="Q1222" s="443"/>
      <c r="R1222" s="440"/>
      <c r="S1222" s="440"/>
      <c r="T1222" s="440"/>
      <c r="U1222" s="440"/>
      <c r="V1222" s="440"/>
      <c r="W1222" s="440"/>
      <c r="X1222" s="440"/>
      <c r="Y1222" s="444">
        <f t="shared" si="17"/>
        <v>0</v>
      </c>
      <c r="Z1222" s="445"/>
      <c r="AA1222" s="446">
        <f t="shared" ref="AA1222:AE1222" si="619">$J1222*E1222</f>
        <v>0</v>
      </c>
      <c r="AB1222" s="447">
        <f t="shared" si="619"/>
        <v>0</v>
      </c>
      <c r="AC1222" s="447">
        <f t="shared" si="619"/>
        <v>0</v>
      </c>
      <c r="AD1222" s="447">
        <f t="shared" si="619"/>
        <v>0</v>
      </c>
      <c r="AE1222" s="448">
        <f t="shared" si="619"/>
        <v>0</v>
      </c>
      <c r="AF1222" s="449"/>
      <c r="AG1222" s="449"/>
      <c r="AH1222" s="449"/>
    </row>
    <row r="1223" ht="11.25" customHeight="1">
      <c r="A1223" s="450"/>
      <c r="B1223" s="451"/>
      <c r="C1223" s="452"/>
      <c r="D1223" s="452"/>
      <c r="E1223" s="453"/>
      <c r="F1223" s="453"/>
      <c r="G1223" s="454"/>
      <c r="H1223" s="454"/>
      <c r="I1223" s="455"/>
      <c r="J1223" s="456"/>
      <c r="K1223" s="457" t="s">
        <v>1416</v>
      </c>
      <c r="L1223" s="458"/>
      <c r="M1223" s="459"/>
      <c r="N1223" s="460"/>
      <c r="O1223" s="460"/>
      <c r="P1223" s="461"/>
      <c r="Q1223" s="458"/>
      <c r="R1223" s="459"/>
      <c r="S1223" s="459"/>
      <c r="T1223" s="459"/>
      <c r="U1223" s="459"/>
      <c r="V1223" s="459"/>
      <c r="W1223" s="459"/>
      <c r="X1223" s="459"/>
      <c r="Y1223" s="462">
        <f t="shared" si="17"/>
        <v>0</v>
      </c>
      <c r="Z1223" s="463"/>
      <c r="AA1223" s="464"/>
      <c r="AB1223" s="465"/>
      <c r="AC1223" s="465"/>
      <c r="AD1223" s="465"/>
      <c r="AE1223" s="466"/>
      <c r="AF1223" s="449"/>
      <c r="AG1223" s="449"/>
      <c r="AH1223" s="449"/>
    </row>
    <row r="1224" ht="11.25" customHeight="1">
      <c r="A1224" s="450"/>
      <c r="B1224" s="451"/>
      <c r="C1224" s="452"/>
      <c r="D1224" s="452"/>
      <c r="E1224" s="453"/>
      <c r="F1224" s="453"/>
      <c r="G1224" s="454"/>
      <c r="H1224" s="454"/>
      <c r="I1224" s="455"/>
      <c r="J1224" s="456"/>
      <c r="K1224" s="467" t="s">
        <v>1417</v>
      </c>
      <c r="L1224" s="468"/>
      <c r="M1224" s="469"/>
      <c r="N1224" s="470"/>
      <c r="O1224" s="470"/>
      <c r="P1224" s="471"/>
      <c r="Q1224" s="468"/>
      <c r="R1224" s="469"/>
      <c r="S1224" s="469"/>
      <c r="T1224" s="469"/>
      <c r="U1224" s="469"/>
      <c r="V1224" s="469"/>
      <c r="W1224" s="469"/>
      <c r="X1224" s="469"/>
      <c r="Y1224" s="462">
        <f t="shared" si="17"/>
        <v>0</v>
      </c>
      <c r="Z1224" s="463"/>
      <c r="AA1224" s="464"/>
      <c r="AB1224" s="465"/>
      <c r="AC1224" s="465"/>
      <c r="AD1224" s="465"/>
      <c r="AE1224" s="466"/>
      <c r="AF1224" s="449"/>
      <c r="AG1224" s="449"/>
      <c r="AH1224" s="449"/>
    </row>
    <row r="1225" ht="11.25" customHeight="1">
      <c r="A1225" s="450"/>
      <c r="B1225" s="472"/>
      <c r="C1225" s="473"/>
      <c r="D1225" s="473"/>
      <c r="E1225" s="474"/>
      <c r="F1225" s="474"/>
      <c r="G1225" s="475"/>
      <c r="H1225" s="475"/>
      <c r="I1225" s="476"/>
      <c r="J1225" s="477"/>
      <c r="K1225" s="478" t="s">
        <v>1418</v>
      </c>
      <c r="L1225" s="479"/>
      <c r="M1225" s="480"/>
      <c r="N1225" s="481"/>
      <c r="O1225" s="481"/>
      <c r="P1225" s="482"/>
      <c r="Q1225" s="479"/>
      <c r="R1225" s="480"/>
      <c r="S1225" s="480"/>
      <c r="T1225" s="480"/>
      <c r="U1225" s="480"/>
      <c r="V1225" s="480"/>
      <c r="W1225" s="480"/>
      <c r="X1225" s="480"/>
      <c r="Y1225" s="483">
        <f t="shared" si="17"/>
        <v>0</v>
      </c>
      <c r="Z1225" s="484"/>
      <c r="AA1225" s="485"/>
      <c r="AB1225" s="486"/>
      <c r="AC1225" s="486"/>
      <c r="AD1225" s="486"/>
      <c r="AE1225" s="487"/>
      <c r="AF1225" s="449"/>
      <c r="AG1225" s="449"/>
      <c r="AH1225" s="449"/>
    </row>
    <row r="1226" ht="11.25" customHeight="1">
      <c r="A1226" s="431" t="str">
        <f>IF(B1226="","", YEAR(B1226))</f>
        <v/>
      </c>
      <c r="B1226" s="432"/>
      <c r="C1226" s="433"/>
      <c r="D1226" s="433"/>
      <c r="E1226" s="434" t="str">
        <f t="shared" ref="E1226:I1226" si="620">IFERROR(AVERAGE(L1226:L1229),"")</f>
        <v/>
      </c>
      <c r="F1226" s="434" t="str">
        <f t="shared" si="620"/>
        <v/>
      </c>
      <c r="G1226" s="435" t="str">
        <f t="shared" si="620"/>
        <v/>
      </c>
      <c r="H1226" s="435" t="str">
        <f t="shared" si="620"/>
        <v/>
      </c>
      <c r="I1226" s="436" t="str">
        <f t="shared" si="620"/>
        <v/>
      </c>
      <c r="J1226" s="437">
        <f>SUMIFS(PRODUCTION[KG],PRODUCTION[GRADE],"3X50",PRODUCTION[DATE],B1226,PRODUCTION[BATCH],C1226,PRODUCTION[SHIFT],D1226)</f>
        <v>0</v>
      </c>
      <c r="K1226" s="438" t="s">
        <v>1414</v>
      </c>
      <c r="L1226" s="443"/>
      <c r="M1226" s="440"/>
      <c r="N1226" s="441"/>
      <c r="O1226" s="441"/>
      <c r="P1226" s="442"/>
      <c r="Q1226" s="443"/>
      <c r="R1226" s="440"/>
      <c r="S1226" s="440"/>
      <c r="T1226" s="440"/>
      <c r="U1226" s="440"/>
      <c r="V1226" s="440"/>
      <c r="W1226" s="440"/>
      <c r="X1226" s="440"/>
      <c r="Y1226" s="444">
        <f t="shared" si="17"/>
        <v>0</v>
      </c>
      <c r="Z1226" s="445"/>
      <c r="AA1226" s="446">
        <f t="shared" ref="AA1226:AE1226" si="621">$J1226*E1226</f>
        <v>0</v>
      </c>
      <c r="AB1226" s="447">
        <f t="shared" si="621"/>
        <v>0</v>
      </c>
      <c r="AC1226" s="447">
        <f t="shared" si="621"/>
        <v>0</v>
      </c>
      <c r="AD1226" s="447">
        <f t="shared" si="621"/>
        <v>0</v>
      </c>
      <c r="AE1226" s="448">
        <f t="shared" si="621"/>
        <v>0</v>
      </c>
      <c r="AF1226" s="449"/>
      <c r="AG1226" s="449"/>
      <c r="AH1226" s="449"/>
    </row>
    <row r="1227" ht="11.25" customHeight="1">
      <c r="A1227" s="450"/>
      <c r="B1227" s="451"/>
      <c r="C1227" s="452"/>
      <c r="D1227" s="452"/>
      <c r="E1227" s="453"/>
      <c r="F1227" s="453"/>
      <c r="G1227" s="454"/>
      <c r="H1227" s="454"/>
      <c r="I1227" s="455"/>
      <c r="J1227" s="456"/>
      <c r="K1227" s="457" t="s">
        <v>1416</v>
      </c>
      <c r="L1227" s="458"/>
      <c r="M1227" s="459"/>
      <c r="N1227" s="460"/>
      <c r="O1227" s="460"/>
      <c r="P1227" s="461"/>
      <c r="Q1227" s="458"/>
      <c r="R1227" s="459"/>
      <c r="S1227" s="459"/>
      <c r="T1227" s="459"/>
      <c r="U1227" s="459"/>
      <c r="V1227" s="459"/>
      <c r="W1227" s="459"/>
      <c r="X1227" s="459"/>
      <c r="Y1227" s="462">
        <f t="shared" si="17"/>
        <v>0</v>
      </c>
      <c r="Z1227" s="463"/>
      <c r="AA1227" s="464"/>
      <c r="AB1227" s="465"/>
      <c r="AC1227" s="465"/>
      <c r="AD1227" s="465"/>
      <c r="AE1227" s="466"/>
      <c r="AF1227" s="449"/>
      <c r="AG1227" s="449"/>
      <c r="AH1227" s="449"/>
    </row>
    <row r="1228" ht="11.25" customHeight="1">
      <c r="A1228" s="450"/>
      <c r="B1228" s="451"/>
      <c r="C1228" s="452"/>
      <c r="D1228" s="452"/>
      <c r="E1228" s="453"/>
      <c r="F1228" s="453"/>
      <c r="G1228" s="454"/>
      <c r="H1228" s="454"/>
      <c r="I1228" s="455"/>
      <c r="J1228" s="456"/>
      <c r="K1228" s="467" t="s">
        <v>1417</v>
      </c>
      <c r="L1228" s="468"/>
      <c r="M1228" s="469"/>
      <c r="N1228" s="470"/>
      <c r="O1228" s="470"/>
      <c r="P1228" s="471"/>
      <c r="Q1228" s="468"/>
      <c r="R1228" s="469"/>
      <c r="S1228" s="469"/>
      <c r="T1228" s="469"/>
      <c r="U1228" s="469"/>
      <c r="V1228" s="469"/>
      <c r="W1228" s="469"/>
      <c r="X1228" s="469"/>
      <c r="Y1228" s="462">
        <f t="shared" si="17"/>
        <v>0</v>
      </c>
      <c r="Z1228" s="463"/>
      <c r="AA1228" s="464"/>
      <c r="AB1228" s="465"/>
      <c r="AC1228" s="465"/>
      <c r="AD1228" s="465"/>
      <c r="AE1228" s="466"/>
      <c r="AF1228" s="449"/>
      <c r="AG1228" s="449"/>
      <c r="AH1228" s="449"/>
    </row>
    <row r="1229" ht="11.25" customHeight="1">
      <c r="A1229" s="450"/>
      <c r="B1229" s="472"/>
      <c r="C1229" s="473"/>
      <c r="D1229" s="473"/>
      <c r="E1229" s="474"/>
      <c r="F1229" s="474"/>
      <c r="G1229" s="475"/>
      <c r="H1229" s="475"/>
      <c r="I1229" s="476"/>
      <c r="J1229" s="477"/>
      <c r="K1229" s="478" t="s">
        <v>1418</v>
      </c>
      <c r="L1229" s="479"/>
      <c r="M1229" s="480"/>
      <c r="N1229" s="481"/>
      <c r="O1229" s="481"/>
      <c r="P1229" s="482"/>
      <c r="Q1229" s="479"/>
      <c r="R1229" s="480"/>
      <c r="S1229" s="480"/>
      <c r="T1229" s="480"/>
      <c r="U1229" s="480"/>
      <c r="V1229" s="480"/>
      <c r="W1229" s="480"/>
      <c r="X1229" s="480"/>
      <c r="Y1229" s="483">
        <f t="shared" si="17"/>
        <v>0</v>
      </c>
      <c r="Z1229" s="484"/>
      <c r="AA1229" s="485"/>
      <c r="AB1229" s="486"/>
      <c r="AC1229" s="486"/>
      <c r="AD1229" s="486"/>
      <c r="AE1229" s="487"/>
      <c r="AF1229" s="449"/>
      <c r="AG1229" s="449"/>
      <c r="AH1229" s="449"/>
    </row>
    <row r="1230" ht="11.25" customHeight="1">
      <c r="A1230" s="431" t="str">
        <f>IF(B1230="","", YEAR(B1230))</f>
        <v/>
      </c>
      <c r="B1230" s="432"/>
      <c r="C1230" s="433"/>
      <c r="D1230" s="433"/>
      <c r="E1230" s="434" t="str">
        <f t="shared" ref="E1230:I1230" si="622">IFERROR(AVERAGE(L1230:L1233),"")</f>
        <v/>
      </c>
      <c r="F1230" s="434" t="str">
        <f t="shared" si="622"/>
        <v/>
      </c>
      <c r="G1230" s="435" t="str">
        <f t="shared" si="622"/>
        <v/>
      </c>
      <c r="H1230" s="435" t="str">
        <f t="shared" si="622"/>
        <v/>
      </c>
      <c r="I1230" s="436" t="str">
        <f t="shared" si="622"/>
        <v/>
      </c>
      <c r="J1230" s="437">
        <f>SUMIFS(PRODUCTION[KG],PRODUCTION[GRADE],"3X50",PRODUCTION[DATE],B1230,PRODUCTION[BATCH],C1230,PRODUCTION[SHIFT],D1230)</f>
        <v>0</v>
      </c>
      <c r="K1230" s="438" t="s">
        <v>1414</v>
      </c>
      <c r="L1230" s="443"/>
      <c r="M1230" s="440"/>
      <c r="N1230" s="441"/>
      <c r="O1230" s="441"/>
      <c r="P1230" s="442"/>
      <c r="Q1230" s="443"/>
      <c r="R1230" s="440"/>
      <c r="S1230" s="440"/>
      <c r="T1230" s="440"/>
      <c r="U1230" s="440"/>
      <c r="V1230" s="440"/>
      <c r="W1230" s="440"/>
      <c r="X1230" s="440"/>
      <c r="Y1230" s="444">
        <f t="shared" si="17"/>
        <v>0</v>
      </c>
      <c r="Z1230" s="445"/>
      <c r="AA1230" s="446">
        <f t="shared" ref="AA1230:AE1230" si="623">$J1230*E1230</f>
        <v>0</v>
      </c>
      <c r="AB1230" s="447">
        <f t="shared" si="623"/>
        <v>0</v>
      </c>
      <c r="AC1230" s="447">
        <f t="shared" si="623"/>
        <v>0</v>
      </c>
      <c r="AD1230" s="447">
        <f t="shared" si="623"/>
        <v>0</v>
      </c>
      <c r="AE1230" s="448">
        <f t="shared" si="623"/>
        <v>0</v>
      </c>
      <c r="AF1230" s="449"/>
      <c r="AG1230" s="449"/>
      <c r="AH1230" s="449"/>
    </row>
    <row r="1231" ht="11.25" customHeight="1">
      <c r="A1231" s="450"/>
      <c r="B1231" s="451"/>
      <c r="C1231" s="452"/>
      <c r="D1231" s="452"/>
      <c r="E1231" s="453"/>
      <c r="F1231" s="453"/>
      <c r="G1231" s="454"/>
      <c r="H1231" s="454"/>
      <c r="I1231" s="455"/>
      <c r="J1231" s="456"/>
      <c r="K1231" s="457" t="s">
        <v>1416</v>
      </c>
      <c r="L1231" s="458"/>
      <c r="M1231" s="459"/>
      <c r="N1231" s="460"/>
      <c r="O1231" s="460"/>
      <c r="P1231" s="461"/>
      <c r="Q1231" s="458"/>
      <c r="R1231" s="459"/>
      <c r="S1231" s="459"/>
      <c r="T1231" s="459"/>
      <c r="U1231" s="459"/>
      <c r="V1231" s="459"/>
      <c r="W1231" s="459"/>
      <c r="X1231" s="459"/>
      <c r="Y1231" s="462">
        <f t="shared" si="17"/>
        <v>0</v>
      </c>
      <c r="Z1231" s="463"/>
      <c r="AA1231" s="464"/>
      <c r="AB1231" s="465"/>
      <c r="AC1231" s="465"/>
      <c r="AD1231" s="465"/>
      <c r="AE1231" s="466"/>
      <c r="AF1231" s="449"/>
      <c r="AG1231" s="449"/>
      <c r="AH1231" s="449"/>
    </row>
    <row r="1232" ht="11.25" customHeight="1">
      <c r="A1232" s="450"/>
      <c r="B1232" s="451"/>
      <c r="C1232" s="452"/>
      <c r="D1232" s="452"/>
      <c r="E1232" s="453"/>
      <c r="F1232" s="453"/>
      <c r="G1232" s="454"/>
      <c r="H1232" s="454"/>
      <c r="I1232" s="455"/>
      <c r="J1232" s="456"/>
      <c r="K1232" s="467" t="s">
        <v>1417</v>
      </c>
      <c r="L1232" s="468"/>
      <c r="M1232" s="469"/>
      <c r="N1232" s="470"/>
      <c r="O1232" s="470"/>
      <c r="P1232" s="471"/>
      <c r="Q1232" s="468"/>
      <c r="R1232" s="469"/>
      <c r="S1232" s="469"/>
      <c r="T1232" s="469"/>
      <c r="U1232" s="469"/>
      <c r="V1232" s="469"/>
      <c r="W1232" s="469"/>
      <c r="X1232" s="469"/>
      <c r="Y1232" s="462">
        <f t="shared" si="17"/>
        <v>0</v>
      </c>
      <c r="Z1232" s="463"/>
      <c r="AA1232" s="464"/>
      <c r="AB1232" s="465"/>
      <c r="AC1232" s="465"/>
      <c r="AD1232" s="465"/>
      <c r="AE1232" s="466"/>
      <c r="AF1232" s="449"/>
      <c r="AG1232" s="449"/>
      <c r="AH1232" s="449"/>
    </row>
    <row r="1233" ht="11.25" customHeight="1">
      <c r="A1233" s="450"/>
      <c r="B1233" s="472"/>
      <c r="C1233" s="473"/>
      <c r="D1233" s="473"/>
      <c r="E1233" s="474"/>
      <c r="F1233" s="474"/>
      <c r="G1233" s="475"/>
      <c r="H1233" s="475"/>
      <c r="I1233" s="476"/>
      <c r="J1233" s="477"/>
      <c r="K1233" s="478" t="s">
        <v>1418</v>
      </c>
      <c r="L1233" s="479"/>
      <c r="M1233" s="480"/>
      <c r="N1233" s="481"/>
      <c r="O1233" s="481"/>
      <c r="P1233" s="482"/>
      <c r="Q1233" s="479"/>
      <c r="R1233" s="480"/>
      <c r="S1233" s="480"/>
      <c r="T1233" s="480"/>
      <c r="U1233" s="480"/>
      <c r="V1233" s="480"/>
      <c r="W1233" s="480"/>
      <c r="X1233" s="480"/>
      <c r="Y1233" s="483">
        <f t="shared" si="17"/>
        <v>0</v>
      </c>
      <c r="Z1233" s="484"/>
      <c r="AA1233" s="485"/>
      <c r="AB1233" s="486"/>
      <c r="AC1233" s="486"/>
      <c r="AD1233" s="486"/>
      <c r="AE1233" s="487"/>
      <c r="AF1233" s="449"/>
      <c r="AG1233" s="449"/>
      <c r="AH1233" s="449"/>
    </row>
    <row r="1234" ht="11.25" customHeight="1">
      <c r="A1234" s="431" t="str">
        <f>IF(B1234="","", YEAR(B1234))</f>
        <v/>
      </c>
      <c r="B1234" s="432"/>
      <c r="C1234" s="433"/>
      <c r="D1234" s="433"/>
      <c r="E1234" s="434" t="str">
        <f t="shared" ref="E1234:I1234" si="624">IFERROR(AVERAGE(L1234:L1237),"")</f>
        <v/>
      </c>
      <c r="F1234" s="434" t="str">
        <f t="shared" si="624"/>
        <v/>
      </c>
      <c r="G1234" s="435" t="str">
        <f t="shared" si="624"/>
        <v/>
      </c>
      <c r="H1234" s="435" t="str">
        <f t="shared" si="624"/>
        <v/>
      </c>
      <c r="I1234" s="436" t="str">
        <f t="shared" si="624"/>
        <v/>
      </c>
      <c r="J1234" s="437">
        <f>SUMIFS(PRODUCTION[KG],PRODUCTION[GRADE],"3X50",PRODUCTION[DATE],B1234,PRODUCTION[BATCH],C1234,PRODUCTION[SHIFT],D1234)</f>
        <v>0</v>
      </c>
      <c r="K1234" s="438" t="s">
        <v>1414</v>
      </c>
      <c r="L1234" s="443"/>
      <c r="M1234" s="440"/>
      <c r="N1234" s="441"/>
      <c r="O1234" s="441"/>
      <c r="P1234" s="442"/>
      <c r="Q1234" s="443"/>
      <c r="R1234" s="440"/>
      <c r="S1234" s="440"/>
      <c r="T1234" s="440"/>
      <c r="U1234" s="440"/>
      <c r="V1234" s="440"/>
      <c r="W1234" s="440"/>
      <c r="X1234" s="440"/>
      <c r="Y1234" s="444">
        <f t="shared" si="17"/>
        <v>0</v>
      </c>
      <c r="Z1234" s="445"/>
      <c r="AA1234" s="446">
        <f t="shared" ref="AA1234:AE1234" si="625">$J1234*E1234</f>
        <v>0</v>
      </c>
      <c r="AB1234" s="447">
        <f t="shared" si="625"/>
        <v>0</v>
      </c>
      <c r="AC1234" s="447">
        <f t="shared" si="625"/>
        <v>0</v>
      </c>
      <c r="AD1234" s="447">
        <f t="shared" si="625"/>
        <v>0</v>
      </c>
      <c r="AE1234" s="448">
        <f t="shared" si="625"/>
        <v>0</v>
      </c>
      <c r="AF1234" s="449"/>
      <c r="AG1234" s="449"/>
      <c r="AH1234" s="449"/>
    </row>
    <row r="1235" ht="11.25" customHeight="1">
      <c r="A1235" s="450"/>
      <c r="B1235" s="451"/>
      <c r="C1235" s="452"/>
      <c r="D1235" s="452"/>
      <c r="E1235" s="453"/>
      <c r="F1235" s="453"/>
      <c r="G1235" s="454"/>
      <c r="H1235" s="454"/>
      <c r="I1235" s="455"/>
      <c r="J1235" s="456"/>
      <c r="K1235" s="457" t="s">
        <v>1416</v>
      </c>
      <c r="L1235" s="458"/>
      <c r="M1235" s="459"/>
      <c r="N1235" s="460"/>
      <c r="O1235" s="460"/>
      <c r="P1235" s="461"/>
      <c r="Q1235" s="458"/>
      <c r="R1235" s="459"/>
      <c r="S1235" s="459"/>
      <c r="T1235" s="459"/>
      <c r="U1235" s="459"/>
      <c r="V1235" s="459"/>
      <c r="W1235" s="459"/>
      <c r="X1235" s="459"/>
      <c r="Y1235" s="462">
        <f t="shared" si="17"/>
        <v>0</v>
      </c>
      <c r="Z1235" s="463"/>
      <c r="AA1235" s="464"/>
      <c r="AB1235" s="465"/>
      <c r="AC1235" s="465"/>
      <c r="AD1235" s="465"/>
      <c r="AE1235" s="466"/>
      <c r="AF1235" s="449"/>
      <c r="AG1235" s="449"/>
      <c r="AH1235" s="449"/>
    </row>
    <row r="1236" ht="11.25" customHeight="1">
      <c r="A1236" s="450"/>
      <c r="B1236" s="451"/>
      <c r="C1236" s="452"/>
      <c r="D1236" s="452"/>
      <c r="E1236" s="453"/>
      <c r="F1236" s="453"/>
      <c r="G1236" s="454"/>
      <c r="H1236" s="454"/>
      <c r="I1236" s="455"/>
      <c r="J1236" s="456"/>
      <c r="K1236" s="467" t="s">
        <v>1417</v>
      </c>
      <c r="L1236" s="468"/>
      <c r="M1236" s="469"/>
      <c r="N1236" s="470"/>
      <c r="O1236" s="470"/>
      <c r="P1236" s="471"/>
      <c r="Q1236" s="468"/>
      <c r="R1236" s="469"/>
      <c r="S1236" s="469"/>
      <c r="T1236" s="469"/>
      <c r="U1236" s="469"/>
      <c r="V1236" s="469"/>
      <c r="W1236" s="469"/>
      <c r="X1236" s="469"/>
      <c r="Y1236" s="462">
        <f t="shared" si="17"/>
        <v>0</v>
      </c>
      <c r="Z1236" s="463"/>
      <c r="AA1236" s="464"/>
      <c r="AB1236" s="465"/>
      <c r="AC1236" s="465"/>
      <c r="AD1236" s="465"/>
      <c r="AE1236" s="466"/>
      <c r="AF1236" s="449"/>
      <c r="AG1236" s="449"/>
      <c r="AH1236" s="449"/>
    </row>
    <row r="1237" ht="11.25" customHeight="1">
      <c r="A1237" s="450"/>
      <c r="B1237" s="472"/>
      <c r="C1237" s="473"/>
      <c r="D1237" s="473"/>
      <c r="E1237" s="474"/>
      <c r="F1237" s="474"/>
      <c r="G1237" s="475"/>
      <c r="H1237" s="475"/>
      <c r="I1237" s="476"/>
      <c r="J1237" s="477"/>
      <c r="K1237" s="478" t="s">
        <v>1418</v>
      </c>
      <c r="L1237" s="479"/>
      <c r="M1237" s="480"/>
      <c r="N1237" s="481"/>
      <c r="O1237" s="481"/>
      <c r="P1237" s="482"/>
      <c r="Q1237" s="479"/>
      <c r="R1237" s="480"/>
      <c r="S1237" s="480"/>
      <c r="T1237" s="480"/>
      <c r="U1237" s="480"/>
      <c r="V1237" s="480"/>
      <c r="W1237" s="480"/>
      <c r="X1237" s="480"/>
      <c r="Y1237" s="483">
        <f t="shared" si="17"/>
        <v>0</v>
      </c>
      <c r="Z1237" s="484"/>
      <c r="AA1237" s="485"/>
      <c r="AB1237" s="486"/>
      <c r="AC1237" s="486"/>
      <c r="AD1237" s="486"/>
      <c r="AE1237" s="487"/>
      <c r="AF1237" s="449"/>
      <c r="AG1237" s="449"/>
      <c r="AH1237" s="449"/>
    </row>
    <row r="1238" ht="11.25" customHeight="1">
      <c r="A1238" s="431" t="str">
        <f>IF(B1238="","", YEAR(B1238))</f>
        <v/>
      </c>
      <c r="B1238" s="432"/>
      <c r="C1238" s="433"/>
      <c r="D1238" s="433"/>
      <c r="E1238" s="434" t="str">
        <f t="shared" ref="E1238:I1238" si="626">IFERROR(AVERAGE(L1238:L1241),"")</f>
        <v/>
      </c>
      <c r="F1238" s="434" t="str">
        <f t="shared" si="626"/>
        <v/>
      </c>
      <c r="G1238" s="435" t="str">
        <f t="shared" si="626"/>
        <v/>
      </c>
      <c r="H1238" s="435" t="str">
        <f t="shared" si="626"/>
        <v/>
      </c>
      <c r="I1238" s="436" t="str">
        <f t="shared" si="626"/>
        <v/>
      </c>
      <c r="J1238" s="437">
        <f>SUMIFS(PRODUCTION[KG],PRODUCTION[GRADE],"3X50",PRODUCTION[DATE],B1238,PRODUCTION[BATCH],C1238,PRODUCTION[SHIFT],D1238)</f>
        <v>0</v>
      </c>
      <c r="K1238" s="438" t="s">
        <v>1414</v>
      </c>
      <c r="L1238" s="443"/>
      <c r="M1238" s="440"/>
      <c r="N1238" s="441"/>
      <c r="O1238" s="441"/>
      <c r="P1238" s="442"/>
      <c r="Q1238" s="443"/>
      <c r="R1238" s="440"/>
      <c r="S1238" s="440"/>
      <c r="T1238" s="440"/>
      <c r="U1238" s="440"/>
      <c r="V1238" s="440"/>
      <c r="W1238" s="440"/>
      <c r="X1238" s="440"/>
      <c r="Y1238" s="444">
        <f t="shared" si="17"/>
        <v>0</v>
      </c>
      <c r="Z1238" s="445"/>
      <c r="AA1238" s="446">
        <f t="shared" ref="AA1238:AE1238" si="627">$J1238*E1238</f>
        <v>0</v>
      </c>
      <c r="AB1238" s="447">
        <f t="shared" si="627"/>
        <v>0</v>
      </c>
      <c r="AC1238" s="447">
        <f t="shared" si="627"/>
        <v>0</v>
      </c>
      <c r="AD1238" s="447">
        <f t="shared" si="627"/>
        <v>0</v>
      </c>
      <c r="AE1238" s="448">
        <f t="shared" si="627"/>
        <v>0</v>
      </c>
      <c r="AF1238" s="449"/>
      <c r="AG1238" s="449"/>
      <c r="AH1238" s="449"/>
    </row>
    <row r="1239" ht="11.25" customHeight="1">
      <c r="A1239" s="450"/>
      <c r="B1239" s="451"/>
      <c r="C1239" s="452"/>
      <c r="D1239" s="452"/>
      <c r="E1239" s="453"/>
      <c r="F1239" s="453"/>
      <c r="G1239" s="454"/>
      <c r="H1239" s="454"/>
      <c r="I1239" s="455"/>
      <c r="J1239" s="456"/>
      <c r="K1239" s="457" t="s">
        <v>1416</v>
      </c>
      <c r="L1239" s="458"/>
      <c r="M1239" s="459"/>
      <c r="N1239" s="460"/>
      <c r="O1239" s="460"/>
      <c r="P1239" s="461"/>
      <c r="Q1239" s="458"/>
      <c r="R1239" s="459"/>
      <c r="S1239" s="459"/>
      <c r="T1239" s="459"/>
      <c r="U1239" s="459"/>
      <c r="V1239" s="459"/>
      <c r="W1239" s="459"/>
      <c r="X1239" s="459"/>
      <c r="Y1239" s="462">
        <f t="shared" si="17"/>
        <v>0</v>
      </c>
      <c r="Z1239" s="463"/>
      <c r="AA1239" s="464"/>
      <c r="AB1239" s="465"/>
      <c r="AC1239" s="465"/>
      <c r="AD1239" s="465"/>
      <c r="AE1239" s="466"/>
      <c r="AF1239" s="449"/>
      <c r="AG1239" s="449"/>
      <c r="AH1239" s="449"/>
    </row>
    <row r="1240" ht="11.25" customHeight="1">
      <c r="A1240" s="450"/>
      <c r="B1240" s="451"/>
      <c r="C1240" s="452"/>
      <c r="D1240" s="452"/>
      <c r="E1240" s="453"/>
      <c r="F1240" s="453"/>
      <c r="G1240" s="454"/>
      <c r="H1240" s="454"/>
      <c r="I1240" s="455"/>
      <c r="J1240" s="456"/>
      <c r="K1240" s="467" t="s">
        <v>1417</v>
      </c>
      <c r="L1240" s="468"/>
      <c r="M1240" s="469"/>
      <c r="N1240" s="470"/>
      <c r="O1240" s="470"/>
      <c r="P1240" s="471"/>
      <c r="Q1240" s="468"/>
      <c r="R1240" s="469"/>
      <c r="S1240" s="469"/>
      <c r="T1240" s="469"/>
      <c r="U1240" s="469"/>
      <c r="V1240" s="469"/>
      <c r="W1240" s="469"/>
      <c r="X1240" s="469"/>
      <c r="Y1240" s="462">
        <f t="shared" si="17"/>
        <v>0</v>
      </c>
      <c r="Z1240" s="463"/>
      <c r="AA1240" s="464"/>
      <c r="AB1240" s="465"/>
      <c r="AC1240" s="465"/>
      <c r="AD1240" s="465"/>
      <c r="AE1240" s="466"/>
      <c r="AF1240" s="449"/>
      <c r="AG1240" s="449"/>
      <c r="AH1240" s="449"/>
    </row>
    <row r="1241" ht="11.25" customHeight="1">
      <c r="A1241" s="450"/>
      <c r="B1241" s="472"/>
      <c r="C1241" s="473"/>
      <c r="D1241" s="473"/>
      <c r="E1241" s="474"/>
      <c r="F1241" s="474"/>
      <c r="G1241" s="475"/>
      <c r="H1241" s="475"/>
      <c r="I1241" s="476"/>
      <c r="J1241" s="477"/>
      <c r="K1241" s="478" t="s">
        <v>1418</v>
      </c>
      <c r="L1241" s="479"/>
      <c r="M1241" s="480"/>
      <c r="N1241" s="481"/>
      <c r="O1241" s="481"/>
      <c r="P1241" s="482"/>
      <c r="Q1241" s="479"/>
      <c r="R1241" s="480"/>
      <c r="S1241" s="480"/>
      <c r="T1241" s="480"/>
      <c r="U1241" s="480"/>
      <c r="V1241" s="480"/>
      <c r="W1241" s="480"/>
      <c r="X1241" s="480"/>
      <c r="Y1241" s="483">
        <f t="shared" si="17"/>
        <v>0</v>
      </c>
      <c r="Z1241" s="484"/>
      <c r="AA1241" s="485"/>
      <c r="AB1241" s="486"/>
      <c r="AC1241" s="486"/>
      <c r="AD1241" s="486"/>
      <c r="AE1241" s="487"/>
      <c r="AF1241" s="449"/>
      <c r="AG1241" s="449"/>
      <c r="AH1241" s="449"/>
    </row>
    <row r="1242" ht="11.25" customHeight="1">
      <c r="A1242" s="431" t="str">
        <f>IF(B1242="","", YEAR(B1242))</f>
        <v/>
      </c>
      <c r="B1242" s="432"/>
      <c r="C1242" s="433"/>
      <c r="D1242" s="433"/>
      <c r="E1242" s="434" t="str">
        <f t="shared" ref="E1242:I1242" si="628">IFERROR(AVERAGE(L1242:L1245),"")</f>
        <v/>
      </c>
      <c r="F1242" s="434" t="str">
        <f t="shared" si="628"/>
        <v/>
      </c>
      <c r="G1242" s="435" t="str">
        <f t="shared" si="628"/>
        <v/>
      </c>
      <c r="H1242" s="435" t="str">
        <f t="shared" si="628"/>
        <v/>
      </c>
      <c r="I1242" s="436" t="str">
        <f t="shared" si="628"/>
        <v/>
      </c>
      <c r="J1242" s="437">
        <f>SUMIFS(PRODUCTION[KG],PRODUCTION[GRADE],"3X50",PRODUCTION[DATE],B1242,PRODUCTION[BATCH],C1242,PRODUCTION[SHIFT],D1242)</f>
        <v>0</v>
      </c>
      <c r="K1242" s="438" t="s">
        <v>1414</v>
      </c>
      <c r="L1242" s="443"/>
      <c r="M1242" s="440"/>
      <c r="N1242" s="441"/>
      <c r="O1242" s="441"/>
      <c r="P1242" s="442"/>
      <c r="Q1242" s="443"/>
      <c r="R1242" s="440"/>
      <c r="S1242" s="440"/>
      <c r="T1242" s="440"/>
      <c r="U1242" s="440"/>
      <c r="V1242" s="440"/>
      <c r="W1242" s="440"/>
      <c r="X1242" s="440"/>
      <c r="Y1242" s="444">
        <f t="shared" si="17"/>
        <v>0</v>
      </c>
      <c r="Z1242" s="445"/>
      <c r="AA1242" s="446">
        <f t="shared" ref="AA1242:AE1242" si="629">$J1242*E1242</f>
        <v>0</v>
      </c>
      <c r="AB1242" s="447">
        <f t="shared" si="629"/>
        <v>0</v>
      </c>
      <c r="AC1242" s="447">
        <f t="shared" si="629"/>
        <v>0</v>
      </c>
      <c r="AD1242" s="447">
        <f t="shared" si="629"/>
        <v>0</v>
      </c>
      <c r="AE1242" s="448">
        <f t="shared" si="629"/>
        <v>0</v>
      </c>
      <c r="AF1242" s="449"/>
      <c r="AG1242" s="449"/>
      <c r="AH1242" s="449"/>
    </row>
    <row r="1243" ht="11.25" customHeight="1">
      <c r="A1243" s="450"/>
      <c r="B1243" s="451"/>
      <c r="C1243" s="452"/>
      <c r="D1243" s="452"/>
      <c r="E1243" s="453"/>
      <c r="F1243" s="453"/>
      <c r="G1243" s="454"/>
      <c r="H1243" s="454"/>
      <c r="I1243" s="455"/>
      <c r="J1243" s="456"/>
      <c r="K1243" s="457" t="s">
        <v>1416</v>
      </c>
      <c r="L1243" s="458"/>
      <c r="M1243" s="459"/>
      <c r="N1243" s="460"/>
      <c r="O1243" s="460"/>
      <c r="P1243" s="461"/>
      <c r="Q1243" s="458"/>
      <c r="R1243" s="459"/>
      <c r="S1243" s="459"/>
      <c r="T1243" s="459"/>
      <c r="U1243" s="459"/>
      <c r="V1243" s="459"/>
      <c r="W1243" s="459"/>
      <c r="X1243" s="459"/>
      <c r="Y1243" s="462">
        <f t="shared" si="17"/>
        <v>0</v>
      </c>
      <c r="Z1243" s="463"/>
      <c r="AA1243" s="464"/>
      <c r="AB1243" s="465"/>
      <c r="AC1243" s="465"/>
      <c r="AD1243" s="465"/>
      <c r="AE1243" s="466"/>
      <c r="AF1243" s="449"/>
      <c r="AG1243" s="449"/>
      <c r="AH1243" s="449"/>
    </row>
    <row r="1244" ht="11.25" customHeight="1">
      <c r="A1244" s="450"/>
      <c r="B1244" s="451"/>
      <c r="C1244" s="452"/>
      <c r="D1244" s="452"/>
      <c r="E1244" s="453"/>
      <c r="F1244" s="453"/>
      <c r="G1244" s="454"/>
      <c r="H1244" s="454"/>
      <c r="I1244" s="455"/>
      <c r="J1244" s="456"/>
      <c r="K1244" s="467" t="s">
        <v>1417</v>
      </c>
      <c r="L1244" s="468"/>
      <c r="M1244" s="469"/>
      <c r="N1244" s="470"/>
      <c r="O1244" s="470"/>
      <c r="P1244" s="471"/>
      <c r="Q1244" s="468"/>
      <c r="R1244" s="469"/>
      <c r="S1244" s="469"/>
      <c r="T1244" s="469"/>
      <c r="U1244" s="469"/>
      <c r="V1244" s="469"/>
      <c r="W1244" s="469"/>
      <c r="X1244" s="469"/>
      <c r="Y1244" s="462">
        <f t="shared" si="17"/>
        <v>0</v>
      </c>
      <c r="Z1244" s="463"/>
      <c r="AA1244" s="464"/>
      <c r="AB1244" s="465"/>
      <c r="AC1244" s="465"/>
      <c r="AD1244" s="465"/>
      <c r="AE1244" s="466"/>
      <c r="AF1244" s="449"/>
      <c r="AG1244" s="449"/>
      <c r="AH1244" s="449"/>
    </row>
    <row r="1245" ht="11.25" customHeight="1">
      <c r="A1245" s="450"/>
      <c r="B1245" s="472"/>
      <c r="C1245" s="473"/>
      <c r="D1245" s="473"/>
      <c r="E1245" s="474"/>
      <c r="F1245" s="474"/>
      <c r="G1245" s="475"/>
      <c r="H1245" s="475"/>
      <c r="I1245" s="476"/>
      <c r="J1245" s="477"/>
      <c r="K1245" s="478" t="s">
        <v>1418</v>
      </c>
      <c r="L1245" s="479"/>
      <c r="M1245" s="480"/>
      <c r="N1245" s="481"/>
      <c r="O1245" s="481"/>
      <c r="P1245" s="482"/>
      <c r="Q1245" s="479"/>
      <c r="R1245" s="480"/>
      <c r="S1245" s="480"/>
      <c r="T1245" s="480"/>
      <c r="U1245" s="480"/>
      <c r="V1245" s="480"/>
      <c r="W1245" s="480"/>
      <c r="X1245" s="480"/>
      <c r="Y1245" s="483">
        <f t="shared" si="17"/>
        <v>0</v>
      </c>
      <c r="Z1245" s="484"/>
      <c r="AA1245" s="485"/>
      <c r="AB1245" s="486"/>
      <c r="AC1245" s="486"/>
      <c r="AD1245" s="486"/>
      <c r="AE1245" s="487"/>
      <c r="AF1245" s="449"/>
      <c r="AG1245" s="449"/>
      <c r="AH1245" s="449"/>
    </row>
    <row r="1246" ht="11.25" customHeight="1">
      <c r="A1246" s="431" t="str">
        <f>IF(B1246="","", YEAR(B1246))</f>
        <v/>
      </c>
      <c r="B1246" s="432"/>
      <c r="C1246" s="433"/>
      <c r="D1246" s="433"/>
      <c r="E1246" s="434" t="str">
        <f t="shared" ref="E1246:I1246" si="630">IFERROR(AVERAGE(L1246:L1249),"")</f>
        <v/>
      </c>
      <c r="F1246" s="434" t="str">
        <f t="shared" si="630"/>
        <v/>
      </c>
      <c r="G1246" s="435" t="str">
        <f t="shared" si="630"/>
        <v/>
      </c>
      <c r="H1246" s="435" t="str">
        <f t="shared" si="630"/>
        <v/>
      </c>
      <c r="I1246" s="436" t="str">
        <f t="shared" si="630"/>
        <v/>
      </c>
      <c r="J1246" s="437">
        <f>SUMIFS(PRODUCTION[KG],PRODUCTION[GRADE],"3X50",PRODUCTION[DATE],B1246,PRODUCTION[BATCH],C1246,PRODUCTION[SHIFT],D1246)</f>
        <v>0</v>
      </c>
      <c r="K1246" s="438" t="s">
        <v>1414</v>
      </c>
      <c r="L1246" s="443"/>
      <c r="M1246" s="440"/>
      <c r="N1246" s="441"/>
      <c r="O1246" s="441"/>
      <c r="P1246" s="442"/>
      <c r="Q1246" s="443"/>
      <c r="R1246" s="440"/>
      <c r="S1246" s="440"/>
      <c r="T1246" s="440"/>
      <c r="U1246" s="440"/>
      <c r="V1246" s="440"/>
      <c r="W1246" s="440"/>
      <c r="X1246" s="440"/>
      <c r="Y1246" s="444">
        <f t="shared" si="17"/>
        <v>0</v>
      </c>
      <c r="Z1246" s="445"/>
      <c r="AA1246" s="446">
        <f t="shared" ref="AA1246:AE1246" si="631">$J1246*E1246</f>
        <v>0</v>
      </c>
      <c r="AB1246" s="447">
        <f t="shared" si="631"/>
        <v>0</v>
      </c>
      <c r="AC1246" s="447">
        <f t="shared" si="631"/>
        <v>0</v>
      </c>
      <c r="AD1246" s="447">
        <f t="shared" si="631"/>
        <v>0</v>
      </c>
      <c r="AE1246" s="448">
        <f t="shared" si="631"/>
        <v>0</v>
      </c>
      <c r="AF1246" s="449"/>
      <c r="AG1246" s="449"/>
      <c r="AH1246" s="449"/>
    </row>
    <row r="1247" ht="11.25" customHeight="1">
      <c r="A1247" s="450"/>
      <c r="B1247" s="451"/>
      <c r="C1247" s="452"/>
      <c r="D1247" s="452"/>
      <c r="E1247" s="453"/>
      <c r="F1247" s="453"/>
      <c r="G1247" s="454"/>
      <c r="H1247" s="454"/>
      <c r="I1247" s="455"/>
      <c r="J1247" s="456"/>
      <c r="K1247" s="457" t="s">
        <v>1416</v>
      </c>
      <c r="L1247" s="458"/>
      <c r="M1247" s="459"/>
      <c r="N1247" s="460"/>
      <c r="O1247" s="460"/>
      <c r="P1247" s="461"/>
      <c r="Q1247" s="458"/>
      <c r="R1247" s="459"/>
      <c r="S1247" s="459"/>
      <c r="T1247" s="459"/>
      <c r="U1247" s="459"/>
      <c r="V1247" s="459"/>
      <c r="W1247" s="459"/>
      <c r="X1247" s="459"/>
      <c r="Y1247" s="462">
        <f t="shared" si="17"/>
        <v>0</v>
      </c>
      <c r="Z1247" s="463"/>
      <c r="AA1247" s="464"/>
      <c r="AB1247" s="465"/>
      <c r="AC1247" s="465"/>
      <c r="AD1247" s="465"/>
      <c r="AE1247" s="466"/>
      <c r="AF1247" s="449"/>
      <c r="AG1247" s="449"/>
      <c r="AH1247" s="449"/>
    </row>
    <row r="1248" ht="11.25" customHeight="1">
      <c r="A1248" s="450"/>
      <c r="B1248" s="451"/>
      <c r="C1248" s="452"/>
      <c r="D1248" s="452"/>
      <c r="E1248" s="453"/>
      <c r="F1248" s="453"/>
      <c r="G1248" s="454"/>
      <c r="H1248" s="454"/>
      <c r="I1248" s="455"/>
      <c r="J1248" s="456"/>
      <c r="K1248" s="467" t="s">
        <v>1417</v>
      </c>
      <c r="L1248" s="468"/>
      <c r="M1248" s="469"/>
      <c r="N1248" s="470"/>
      <c r="O1248" s="470"/>
      <c r="P1248" s="471"/>
      <c r="Q1248" s="468"/>
      <c r="R1248" s="469"/>
      <c r="S1248" s="469"/>
      <c r="T1248" s="469"/>
      <c r="U1248" s="469"/>
      <c r="V1248" s="469"/>
      <c r="W1248" s="469"/>
      <c r="X1248" s="469"/>
      <c r="Y1248" s="462">
        <f t="shared" si="17"/>
        <v>0</v>
      </c>
      <c r="Z1248" s="463"/>
      <c r="AA1248" s="464"/>
      <c r="AB1248" s="465"/>
      <c r="AC1248" s="465"/>
      <c r="AD1248" s="465"/>
      <c r="AE1248" s="466"/>
      <c r="AF1248" s="449"/>
      <c r="AG1248" s="449"/>
      <c r="AH1248" s="449"/>
    </row>
    <row r="1249" ht="11.25" customHeight="1">
      <c r="A1249" s="450"/>
      <c r="B1249" s="472"/>
      <c r="C1249" s="473"/>
      <c r="D1249" s="473"/>
      <c r="E1249" s="474"/>
      <c r="F1249" s="474"/>
      <c r="G1249" s="475"/>
      <c r="H1249" s="475"/>
      <c r="I1249" s="476"/>
      <c r="J1249" s="477"/>
      <c r="K1249" s="478" t="s">
        <v>1418</v>
      </c>
      <c r="L1249" s="479"/>
      <c r="M1249" s="480"/>
      <c r="N1249" s="481"/>
      <c r="O1249" s="481"/>
      <c r="P1249" s="482"/>
      <c r="Q1249" s="479"/>
      <c r="R1249" s="480"/>
      <c r="S1249" s="480"/>
      <c r="T1249" s="480"/>
      <c r="U1249" s="480"/>
      <c r="V1249" s="480"/>
      <c r="W1249" s="480"/>
      <c r="X1249" s="480"/>
      <c r="Y1249" s="483">
        <f t="shared" si="17"/>
        <v>0</v>
      </c>
      <c r="Z1249" s="484"/>
      <c r="AA1249" s="485"/>
      <c r="AB1249" s="486"/>
      <c r="AC1249" s="486"/>
      <c r="AD1249" s="486"/>
      <c r="AE1249" s="487"/>
      <c r="AF1249" s="449"/>
      <c r="AG1249" s="449"/>
      <c r="AH1249" s="449"/>
    </row>
    <row r="1250" ht="11.25" customHeight="1">
      <c r="A1250" s="431" t="str">
        <f>IF(B1250="","", YEAR(B1250))</f>
        <v/>
      </c>
      <c r="B1250" s="432"/>
      <c r="C1250" s="433"/>
      <c r="D1250" s="433"/>
      <c r="E1250" s="434" t="str">
        <f t="shared" ref="E1250:I1250" si="632">IFERROR(AVERAGE(L1250:L1253),"")</f>
        <v/>
      </c>
      <c r="F1250" s="434" t="str">
        <f t="shared" si="632"/>
        <v/>
      </c>
      <c r="G1250" s="435" t="str">
        <f t="shared" si="632"/>
        <v/>
      </c>
      <c r="H1250" s="435" t="str">
        <f t="shared" si="632"/>
        <v/>
      </c>
      <c r="I1250" s="436" t="str">
        <f t="shared" si="632"/>
        <v/>
      </c>
      <c r="J1250" s="437">
        <f>SUMIFS(PRODUCTION[KG],PRODUCTION[GRADE],"3X50",PRODUCTION[DATE],B1250,PRODUCTION[BATCH],C1250,PRODUCTION[SHIFT],D1250)</f>
        <v>0</v>
      </c>
      <c r="K1250" s="438" t="s">
        <v>1414</v>
      </c>
      <c r="L1250" s="443"/>
      <c r="M1250" s="440"/>
      <c r="N1250" s="441"/>
      <c r="O1250" s="441"/>
      <c r="P1250" s="442"/>
      <c r="Q1250" s="443"/>
      <c r="R1250" s="440"/>
      <c r="S1250" s="440"/>
      <c r="T1250" s="440"/>
      <c r="U1250" s="440"/>
      <c r="V1250" s="440"/>
      <c r="W1250" s="440"/>
      <c r="X1250" s="440"/>
      <c r="Y1250" s="444">
        <f t="shared" si="17"/>
        <v>0</v>
      </c>
      <c r="Z1250" s="445"/>
      <c r="AA1250" s="446">
        <f t="shared" ref="AA1250:AE1250" si="633">$J1250*E1250</f>
        <v>0</v>
      </c>
      <c r="AB1250" s="447">
        <f t="shared" si="633"/>
        <v>0</v>
      </c>
      <c r="AC1250" s="447">
        <f t="shared" si="633"/>
        <v>0</v>
      </c>
      <c r="AD1250" s="447">
        <f t="shared" si="633"/>
        <v>0</v>
      </c>
      <c r="AE1250" s="448">
        <f t="shared" si="633"/>
        <v>0</v>
      </c>
      <c r="AF1250" s="449"/>
      <c r="AG1250" s="449"/>
      <c r="AH1250" s="449"/>
    </row>
    <row r="1251" ht="11.25" customHeight="1">
      <c r="A1251" s="450"/>
      <c r="B1251" s="451"/>
      <c r="C1251" s="452"/>
      <c r="D1251" s="452"/>
      <c r="E1251" s="453"/>
      <c r="F1251" s="453"/>
      <c r="G1251" s="454"/>
      <c r="H1251" s="454"/>
      <c r="I1251" s="455"/>
      <c r="J1251" s="456"/>
      <c r="K1251" s="457" t="s">
        <v>1416</v>
      </c>
      <c r="L1251" s="458"/>
      <c r="M1251" s="459"/>
      <c r="N1251" s="460"/>
      <c r="O1251" s="460"/>
      <c r="P1251" s="461"/>
      <c r="Q1251" s="458"/>
      <c r="R1251" s="459"/>
      <c r="S1251" s="459"/>
      <c r="T1251" s="459"/>
      <c r="U1251" s="459"/>
      <c r="V1251" s="459"/>
      <c r="W1251" s="459"/>
      <c r="X1251" s="459"/>
      <c r="Y1251" s="462">
        <f t="shared" si="17"/>
        <v>0</v>
      </c>
      <c r="Z1251" s="463"/>
      <c r="AA1251" s="464"/>
      <c r="AB1251" s="465"/>
      <c r="AC1251" s="465"/>
      <c r="AD1251" s="465"/>
      <c r="AE1251" s="466"/>
      <c r="AF1251" s="449"/>
      <c r="AG1251" s="449"/>
      <c r="AH1251" s="449"/>
    </row>
    <row r="1252" ht="11.25" customHeight="1">
      <c r="A1252" s="450"/>
      <c r="B1252" s="451"/>
      <c r="C1252" s="452"/>
      <c r="D1252" s="452"/>
      <c r="E1252" s="453"/>
      <c r="F1252" s="453"/>
      <c r="G1252" s="454"/>
      <c r="H1252" s="454"/>
      <c r="I1252" s="455"/>
      <c r="J1252" s="456"/>
      <c r="K1252" s="467" t="s">
        <v>1417</v>
      </c>
      <c r="L1252" s="468"/>
      <c r="M1252" s="469"/>
      <c r="N1252" s="470"/>
      <c r="O1252" s="470"/>
      <c r="P1252" s="471"/>
      <c r="Q1252" s="468"/>
      <c r="R1252" s="469"/>
      <c r="S1252" s="469"/>
      <c r="T1252" s="469"/>
      <c r="U1252" s="469"/>
      <c r="V1252" s="469"/>
      <c r="W1252" s="469"/>
      <c r="X1252" s="469"/>
      <c r="Y1252" s="462">
        <f t="shared" si="17"/>
        <v>0</v>
      </c>
      <c r="Z1252" s="463"/>
      <c r="AA1252" s="464"/>
      <c r="AB1252" s="465"/>
      <c r="AC1252" s="465"/>
      <c r="AD1252" s="465"/>
      <c r="AE1252" s="466"/>
      <c r="AF1252" s="449"/>
      <c r="AG1252" s="449"/>
      <c r="AH1252" s="449"/>
    </row>
    <row r="1253" ht="11.25" customHeight="1">
      <c r="A1253" s="450"/>
      <c r="B1253" s="472"/>
      <c r="C1253" s="473"/>
      <c r="D1253" s="473"/>
      <c r="E1253" s="474"/>
      <c r="F1253" s="474"/>
      <c r="G1253" s="475"/>
      <c r="H1253" s="475"/>
      <c r="I1253" s="476"/>
      <c r="J1253" s="477"/>
      <c r="K1253" s="478" t="s">
        <v>1418</v>
      </c>
      <c r="L1253" s="479"/>
      <c r="M1253" s="480"/>
      <c r="N1253" s="481"/>
      <c r="O1253" s="481"/>
      <c r="P1253" s="482"/>
      <c r="Q1253" s="479"/>
      <c r="R1253" s="480"/>
      <c r="S1253" s="480"/>
      <c r="T1253" s="480"/>
      <c r="U1253" s="480"/>
      <c r="V1253" s="480"/>
      <c r="W1253" s="480"/>
      <c r="X1253" s="480"/>
      <c r="Y1253" s="483">
        <f t="shared" si="17"/>
        <v>0</v>
      </c>
      <c r="Z1253" s="484"/>
      <c r="AA1253" s="485"/>
      <c r="AB1253" s="486"/>
      <c r="AC1253" s="486"/>
      <c r="AD1253" s="486"/>
      <c r="AE1253" s="487"/>
      <c r="AF1253" s="449"/>
      <c r="AG1253" s="449"/>
      <c r="AH1253" s="449"/>
    </row>
    <row r="1254" ht="11.25" customHeight="1">
      <c r="A1254" s="431" t="str">
        <f>IF(B1254="","", YEAR(B1254))</f>
        <v/>
      </c>
      <c r="B1254" s="432"/>
      <c r="C1254" s="433"/>
      <c r="D1254" s="433"/>
      <c r="E1254" s="434" t="str">
        <f t="shared" ref="E1254:I1254" si="634">IFERROR(AVERAGE(L1254:L1257),"")</f>
        <v/>
      </c>
      <c r="F1254" s="434" t="str">
        <f t="shared" si="634"/>
        <v/>
      </c>
      <c r="G1254" s="435" t="str">
        <f t="shared" si="634"/>
        <v/>
      </c>
      <c r="H1254" s="435" t="str">
        <f t="shared" si="634"/>
        <v/>
      </c>
      <c r="I1254" s="436" t="str">
        <f t="shared" si="634"/>
        <v/>
      </c>
      <c r="J1254" s="437">
        <f>SUMIFS(PRODUCTION[KG],PRODUCTION[GRADE],"3X50",PRODUCTION[DATE],B1254,PRODUCTION[BATCH],C1254,PRODUCTION[SHIFT],D1254)</f>
        <v>0</v>
      </c>
      <c r="K1254" s="438" t="s">
        <v>1414</v>
      </c>
      <c r="L1254" s="443"/>
      <c r="M1254" s="440"/>
      <c r="N1254" s="441"/>
      <c r="O1254" s="441"/>
      <c r="P1254" s="442"/>
      <c r="Q1254" s="443"/>
      <c r="R1254" s="440"/>
      <c r="S1254" s="440"/>
      <c r="T1254" s="440"/>
      <c r="U1254" s="440"/>
      <c r="V1254" s="440"/>
      <c r="W1254" s="440"/>
      <c r="X1254" s="440"/>
      <c r="Y1254" s="444">
        <f t="shared" si="17"/>
        <v>0</v>
      </c>
      <c r="Z1254" s="445"/>
      <c r="AA1254" s="446">
        <f t="shared" ref="AA1254:AE1254" si="635">$J1254*E1254</f>
        <v>0</v>
      </c>
      <c r="AB1254" s="447">
        <f t="shared" si="635"/>
        <v>0</v>
      </c>
      <c r="AC1254" s="447">
        <f t="shared" si="635"/>
        <v>0</v>
      </c>
      <c r="AD1254" s="447">
        <f t="shared" si="635"/>
        <v>0</v>
      </c>
      <c r="AE1254" s="448">
        <f t="shared" si="635"/>
        <v>0</v>
      </c>
      <c r="AF1254" s="449"/>
      <c r="AG1254" s="449"/>
      <c r="AH1254" s="449"/>
    </row>
    <row r="1255" ht="11.25" customHeight="1">
      <c r="A1255" s="450"/>
      <c r="B1255" s="451"/>
      <c r="C1255" s="452"/>
      <c r="D1255" s="452"/>
      <c r="E1255" s="453"/>
      <c r="F1255" s="453"/>
      <c r="G1255" s="454"/>
      <c r="H1255" s="454"/>
      <c r="I1255" s="455"/>
      <c r="J1255" s="456"/>
      <c r="K1255" s="457" t="s">
        <v>1416</v>
      </c>
      <c r="L1255" s="458"/>
      <c r="M1255" s="459"/>
      <c r="N1255" s="460"/>
      <c r="O1255" s="460"/>
      <c r="P1255" s="461"/>
      <c r="Q1255" s="458"/>
      <c r="R1255" s="459"/>
      <c r="S1255" s="459"/>
      <c r="T1255" s="459"/>
      <c r="U1255" s="459"/>
      <c r="V1255" s="459"/>
      <c r="W1255" s="459"/>
      <c r="X1255" s="459"/>
      <c r="Y1255" s="462">
        <f t="shared" si="17"/>
        <v>0</v>
      </c>
      <c r="Z1255" s="463"/>
      <c r="AA1255" s="464"/>
      <c r="AB1255" s="465"/>
      <c r="AC1255" s="465"/>
      <c r="AD1255" s="465"/>
      <c r="AE1255" s="466"/>
      <c r="AF1255" s="449"/>
      <c r="AG1255" s="449"/>
      <c r="AH1255" s="449"/>
    </row>
    <row r="1256" ht="11.25" customHeight="1">
      <c r="A1256" s="450"/>
      <c r="B1256" s="451"/>
      <c r="C1256" s="452"/>
      <c r="D1256" s="452"/>
      <c r="E1256" s="453"/>
      <c r="F1256" s="453"/>
      <c r="G1256" s="454"/>
      <c r="H1256" s="454"/>
      <c r="I1256" s="455"/>
      <c r="J1256" s="456"/>
      <c r="K1256" s="467" t="s">
        <v>1417</v>
      </c>
      <c r="L1256" s="468"/>
      <c r="M1256" s="469"/>
      <c r="N1256" s="470"/>
      <c r="O1256" s="470"/>
      <c r="P1256" s="471"/>
      <c r="Q1256" s="468"/>
      <c r="R1256" s="469"/>
      <c r="S1256" s="469"/>
      <c r="T1256" s="469"/>
      <c r="U1256" s="469"/>
      <c r="V1256" s="469"/>
      <c r="W1256" s="469"/>
      <c r="X1256" s="469"/>
      <c r="Y1256" s="462">
        <f t="shared" si="17"/>
        <v>0</v>
      </c>
      <c r="Z1256" s="463"/>
      <c r="AA1256" s="464"/>
      <c r="AB1256" s="465"/>
      <c r="AC1256" s="465"/>
      <c r="AD1256" s="465"/>
      <c r="AE1256" s="466"/>
      <c r="AF1256" s="449"/>
      <c r="AG1256" s="449"/>
      <c r="AH1256" s="449"/>
    </row>
    <row r="1257" ht="11.25" customHeight="1">
      <c r="A1257" s="450"/>
      <c r="B1257" s="472"/>
      <c r="C1257" s="473"/>
      <c r="D1257" s="473"/>
      <c r="E1257" s="474"/>
      <c r="F1257" s="474"/>
      <c r="G1257" s="475"/>
      <c r="H1257" s="475"/>
      <c r="I1257" s="476"/>
      <c r="J1257" s="477"/>
      <c r="K1257" s="478" t="s">
        <v>1418</v>
      </c>
      <c r="L1257" s="479"/>
      <c r="M1257" s="480"/>
      <c r="N1257" s="481"/>
      <c r="O1257" s="481"/>
      <c r="P1257" s="482"/>
      <c r="Q1257" s="479"/>
      <c r="R1257" s="480"/>
      <c r="S1257" s="480"/>
      <c r="T1257" s="480"/>
      <c r="U1257" s="480"/>
      <c r="V1257" s="480"/>
      <c r="W1257" s="480"/>
      <c r="X1257" s="480"/>
      <c r="Y1257" s="483">
        <f t="shared" si="17"/>
        <v>0</v>
      </c>
      <c r="Z1257" s="484"/>
      <c r="AA1257" s="485"/>
      <c r="AB1257" s="486"/>
      <c r="AC1257" s="486"/>
      <c r="AD1257" s="486"/>
      <c r="AE1257" s="487"/>
      <c r="AF1257" s="449"/>
      <c r="AG1257" s="449"/>
      <c r="AH1257" s="449"/>
    </row>
    <row r="1258" ht="11.25" customHeight="1">
      <c r="A1258" s="431" t="str">
        <f>IF(B1258="","", YEAR(B1258))</f>
        <v/>
      </c>
      <c r="B1258" s="432"/>
      <c r="C1258" s="433"/>
      <c r="D1258" s="433"/>
      <c r="E1258" s="434" t="str">
        <f t="shared" ref="E1258:I1258" si="636">IFERROR(AVERAGE(L1258:L1261),"")</f>
        <v/>
      </c>
      <c r="F1258" s="434" t="str">
        <f t="shared" si="636"/>
        <v/>
      </c>
      <c r="G1258" s="435" t="str">
        <f t="shared" si="636"/>
        <v/>
      </c>
      <c r="H1258" s="435" t="str">
        <f t="shared" si="636"/>
        <v/>
      </c>
      <c r="I1258" s="436" t="str">
        <f t="shared" si="636"/>
        <v/>
      </c>
      <c r="J1258" s="437">
        <f>SUMIFS(PRODUCTION[KG],PRODUCTION[GRADE],"3X50",PRODUCTION[DATE],B1258,PRODUCTION[BATCH],C1258,PRODUCTION[SHIFT],D1258)</f>
        <v>0</v>
      </c>
      <c r="K1258" s="438" t="s">
        <v>1414</v>
      </c>
      <c r="L1258" s="443"/>
      <c r="M1258" s="440"/>
      <c r="N1258" s="441"/>
      <c r="O1258" s="441"/>
      <c r="P1258" s="442"/>
      <c r="Q1258" s="443"/>
      <c r="R1258" s="440"/>
      <c r="S1258" s="440"/>
      <c r="T1258" s="440"/>
      <c r="U1258" s="440"/>
      <c r="V1258" s="440"/>
      <c r="W1258" s="440"/>
      <c r="X1258" s="440"/>
      <c r="Y1258" s="444">
        <f t="shared" si="17"/>
        <v>0</v>
      </c>
      <c r="Z1258" s="445"/>
      <c r="AA1258" s="446">
        <f t="shared" ref="AA1258:AE1258" si="637">$J1258*E1258</f>
        <v>0</v>
      </c>
      <c r="AB1258" s="447">
        <f t="shared" si="637"/>
        <v>0</v>
      </c>
      <c r="AC1258" s="447">
        <f t="shared" si="637"/>
        <v>0</v>
      </c>
      <c r="AD1258" s="447">
        <f t="shared" si="637"/>
        <v>0</v>
      </c>
      <c r="AE1258" s="448">
        <f t="shared" si="637"/>
        <v>0</v>
      </c>
      <c r="AF1258" s="449"/>
      <c r="AG1258" s="449"/>
      <c r="AH1258" s="449"/>
    </row>
    <row r="1259" ht="11.25" customHeight="1">
      <c r="A1259" s="450"/>
      <c r="B1259" s="451"/>
      <c r="C1259" s="452"/>
      <c r="D1259" s="452"/>
      <c r="E1259" s="453"/>
      <c r="F1259" s="453"/>
      <c r="G1259" s="454"/>
      <c r="H1259" s="454"/>
      <c r="I1259" s="455"/>
      <c r="J1259" s="456"/>
      <c r="K1259" s="457" t="s">
        <v>1416</v>
      </c>
      <c r="L1259" s="458"/>
      <c r="M1259" s="459"/>
      <c r="N1259" s="460"/>
      <c r="O1259" s="460"/>
      <c r="P1259" s="461"/>
      <c r="Q1259" s="458"/>
      <c r="R1259" s="459"/>
      <c r="S1259" s="459"/>
      <c r="T1259" s="459"/>
      <c r="U1259" s="459"/>
      <c r="V1259" s="459"/>
      <c r="W1259" s="459"/>
      <c r="X1259" s="459"/>
      <c r="Y1259" s="462">
        <f t="shared" si="17"/>
        <v>0</v>
      </c>
      <c r="Z1259" s="463"/>
      <c r="AA1259" s="464"/>
      <c r="AB1259" s="465"/>
      <c r="AC1259" s="465"/>
      <c r="AD1259" s="465"/>
      <c r="AE1259" s="466"/>
      <c r="AF1259" s="449"/>
      <c r="AG1259" s="449"/>
      <c r="AH1259" s="449"/>
    </row>
    <row r="1260" ht="11.25" customHeight="1">
      <c r="A1260" s="450"/>
      <c r="B1260" s="451"/>
      <c r="C1260" s="452"/>
      <c r="D1260" s="452"/>
      <c r="E1260" s="453"/>
      <c r="F1260" s="453"/>
      <c r="G1260" s="454"/>
      <c r="H1260" s="454"/>
      <c r="I1260" s="455"/>
      <c r="J1260" s="456"/>
      <c r="K1260" s="467" t="s">
        <v>1417</v>
      </c>
      <c r="L1260" s="468"/>
      <c r="M1260" s="469"/>
      <c r="N1260" s="470"/>
      <c r="O1260" s="470"/>
      <c r="P1260" s="471"/>
      <c r="Q1260" s="468"/>
      <c r="R1260" s="469"/>
      <c r="S1260" s="469"/>
      <c r="T1260" s="469"/>
      <c r="U1260" s="469"/>
      <c r="V1260" s="469"/>
      <c r="W1260" s="469"/>
      <c r="X1260" s="469"/>
      <c r="Y1260" s="462">
        <f t="shared" si="17"/>
        <v>0</v>
      </c>
      <c r="Z1260" s="463"/>
      <c r="AA1260" s="464"/>
      <c r="AB1260" s="465"/>
      <c r="AC1260" s="465"/>
      <c r="AD1260" s="465"/>
      <c r="AE1260" s="466"/>
      <c r="AF1260" s="449"/>
      <c r="AG1260" s="449"/>
      <c r="AH1260" s="449"/>
    </row>
    <row r="1261" ht="11.25" customHeight="1">
      <c r="A1261" s="450"/>
      <c r="B1261" s="472"/>
      <c r="C1261" s="473"/>
      <c r="D1261" s="473"/>
      <c r="E1261" s="474"/>
      <c r="F1261" s="474"/>
      <c r="G1261" s="475"/>
      <c r="H1261" s="475"/>
      <c r="I1261" s="476"/>
      <c r="J1261" s="477"/>
      <c r="K1261" s="478" t="s">
        <v>1418</v>
      </c>
      <c r="L1261" s="479"/>
      <c r="M1261" s="480"/>
      <c r="N1261" s="481"/>
      <c r="O1261" s="481"/>
      <c r="P1261" s="482"/>
      <c r="Q1261" s="479"/>
      <c r="R1261" s="480"/>
      <c r="S1261" s="480"/>
      <c r="T1261" s="480"/>
      <c r="U1261" s="480"/>
      <c r="V1261" s="480"/>
      <c r="W1261" s="480"/>
      <c r="X1261" s="480"/>
      <c r="Y1261" s="483">
        <f t="shared" si="17"/>
        <v>0</v>
      </c>
      <c r="Z1261" s="484"/>
      <c r="AA1261" s="485"/>
      <c r="AB1261" s="486"/>
      <c r="AC1261" s="486"/>
      <c r="AD1261" s="486"/>
      <c r="AE1261" s="487"/>
      <c r="AF1261" s="449"/>
      <c r="AG1261" s="449"/>
      <c r="AH1261" s="449"/>
    </row>
    <row r="1262" ht="11.25" customHeight="1">
      <c r="A1262" s="431" t="str">
        <f>IF(B1262="","", YEAR(B1262))</f>
        <v/>
      </c>
      <c r="B1262" s="432"/>
      <c r="C1262" s="433"/>
      <c r="D1262" s="433"/>
      <c r="E1262" s="434" t="str">
        <f t="shared" ref="E1262:I1262" si="638">IFERROR(AVERAGE(L1262:L1265),"")</f>
        <v/>
      </c>
      <c r="F1262" s="434" t="str">
        <f t="shared" si="638"/>
        <v/>
      </c>
      <c r="G1262" s="435" t="str">
        <f t="shared" si="638"/>
        <v/>
      </c>
      <c r="H1262" s="435" t="str">
        <f t="shared" si="638"/>
        <v/>
      </c>
      <c r="I1262" s="436" t="str">
        <f t="shared" si="638"/>
        <v/>
      </c>
      <c r="J1262" s="437">
        <f>SUMIFS(PRODUCTION[KG],PRODUCTION[GRADE],"3X50",PRODUCTION[DATE],B1262,PRODUCTION[BATCH],C1262,PRODUCTION[SHIFT],D1262)</f>
        <v>0</v>
      </c>
      <c r="K1262" s="438" t="s">
        <v>1414</v>
      </c>
      <c r="L1262" s="443"/>
      <c r="M1262" s="440"/>
      <c r="N1262" s="441"/>
      <c r="O1262" s="441"/>
      <c r="P1262" s="442"/>
      <c r="Q1262" s="443"/>
      <c r="R1262" s="440"/>
      <c r="S1262" s="440"/>
      <c r="T1262" s="440"/>
      <c r="U1262" s="440"/>
      <c r="V1262" s="440"/>
      <c r="W1262" s="440"/>
      <c r="X1262" s="440"/>
      <c r="Y1262" s="444">
        <f t="shared" si="17"/>
        <v>0</v>
      </c>
      <c r="Z1262" s="445"/>
      <c r="AA1262" s="446">
        <f t="shared" ref="AA1262:AE1262" si="639">$J1262*E1262</f>
        <v>0</v>
      </c>
      <c r="AB1262" s="447">
        <f t="shared" si="639"/>
        <v>0</v>
      </c>
      <c r="AC1262" s="447">
        <f t="shared" si="639"/>
        <v>0</v>
      </c>
      <c r="AD1262" s="447">
        <f t="shared" si="639"/>
        <v>0</v>
      </c>
      <c r="AE1262" s="448">
        <f t="shared" si="639"/>
        <v>0</v>
      </c>
      <c r="AF1262" s="449"/>
      <c r="AG1262" s="449"/>
      <c r="AH1262" s="449"/>
    </row>
    <row r="1263" ht="11.25" customHeight="1">
      <c r="A1263" s="450"/>
      <c r="B1263" s="451"/>
      <c r="C1263" s="452"/>
      <c r="D1263" s="452"/>
      <c r="E1263" s="453"/>
      <c r="F1263" s="453"/>
      <c r="G1263" s="454"/>
      <c r="H1263" s="454"/>
      <c r="I1263" s="455"/>
      <c r="J1263" s="456"/>
      <c r="K1263" s="457" t="s">
        <v>1416</v>
      </c>
      <c r="L1263" s="458"/>
      <c r="M1263" s="459"/>
      <c r="N1263" s="460"/>
      <c r="O1263" s="460"/>
      <c r="P1263" s="461"/>
      <c r="Q1263" s="458"/>
      <c r="R1263" s="459"/>
      <c r="S1263" s="459"/>
      <c r="T1263" s="459"/>
      <c r="U1263" s="459"/>
      <c r="V1263" s="459"/>
      <c r="W1263" s="459"/>
      <c r="X1263" s="459"/>
      <c r="Y1263" s="462">
        <f t="shared" si="17"/>
        <v>0</v>
      </c>
      <c r="Z1263" s="463"/>
      <c r="AA1263" s="464"/>
      <c r="AB1263" s="465"/>
      <c r="AC1263" s="465"/>
      <c r="AD1263" s="465"/>
      <c r="AE1263" s="466"/>
      <c r="AF1263" s="449"/>
      <c r="AG1263" s="449"/>
      <c r="AH1263" s="449"/>
    </row>
    <row r="1264" ht="11.25" customHeight="1">
      <c r="A1264" s="450"/>
      <c r="B1264" s="451"/>
      <c r="C1264" s="452"/>
      <c r="D1264" s="452"/>
      <c r="E1264" s="453"/>
      <c r="F1264" s="453"/>
      <c r="G1264" s="454"/>
      <c r="H1264" s="454"/>
      <c r="I1264" s="455"/>
      <c r="J1264" s="456"/>
      <c r="K1264" s="467" t="s">
        <v>1417</v>
      </c>
      <c r="L1264" s="468"/>
      <c r="M1264" s="469"/>
      <c r="N1264" s="470"/>
      <c r="O1264" s="470"/>
      <c r="P1264" s="471"/>
      <c r="Q1264" s="468"/>
      <c r="R1264" s="469"/>
      <c r="S1264" s="469"/>
      <c r="T1264" s="469"/>
      <c r="U1264" s="469"/>
      <c r="V1264" s="469"/>
      <c r="W1264" s="469"/>
      <c r="X1264" s="469"/>
      <c r="Y1264" s="462">
        <f t="shared" si="17"/>
        <v>0</v>
      </c>
      <c r="Z1264" s="463"/>
      <c r="AA1264" s="464"/>
      <c r="AB1264" s="465"/>
      <c r="AC1264" s="465"/>
      <c r="AD1264" s="465"/>
      <c r="AE1264" s="466"/>
      <c r="AF1264" s="449"/>
      <c r="AG1264" s="449"/>
      <c r="AH1264" s="449"/>
    </row>
    <row r="1265" ht="11.25" customHeight="1">
      <c r="A1265" s="450"/>
      <c r="B1265" s="472"/>
      <c r="C1265" s="473"/>
      <c r="D1265" s="473"/>
      <c r="E1265" s="474"/>
      <c r="F1265" s="474"/>
      <c r="G1265" s="475"/>
      <c r="H1265" s="475"/>
      <c r="I1265" s="476"/>
      <c r="J1265" s="477"/>
      <c r="K1265" s="478" t="s">
        <v>1418</v>
      </c>
      <c r="L1265" s="479"/>
      <c r="M1265" s="480"/>
      <c r="N1265" s="481"/>
      <c r="O1265" s="481"/>
      <c r="P1265" s="482"/>
      <c r="Q1265" s="479"/>
      <c r="R1265" s="480"/>
      <c r="S1265" s="480"/>
      <c r="T1265" s="480"/>
      <c r="U1265" s="480"/>
      <c r="V1265" s="480"/>
      <c r="W1265" s="480"/>
      <c r="X1265" s="480"/>
      <c r="Y1265" s="483">
        <f t="shared" si="17"/>
        <v>0</v>
      </c>
      <c r="Z1265" s="484"/>
      <c r="AA1265" s="485"/>
      <c r="AB1265" s="486"/>
      <c r="AC1265" s="486"/>
      <c r="AD1265" s="486"/>
      <c r="AE1265" s="487"/>
      <c r="AF1265" s="449"/>
      <c r="AG1265" s="449"/>
      <c r="AH1265" s="449"/>
    </row>
    <row r="1266" ht="11.25" customHeight="1">
      <c r="A1266" s="431" t="str">
        <f>IF(B1266="","", YEAR(B1266))</f>
        <v/>
      </c>
      <c r="B1266" s="432"/>
      <c r="C1266" s="433"/>
      <c r="D1266" s="433"/>
      <c r="E1266" s="434" t="str">
        <f t="shared" ref="E1266:I1266" si="640">IFERROR(AVERAGE(L1266:L1269),"")</f>
        <v/>
      </c>
      <c r="F1266" s="434" t="str">
        <f t="shared" si="640"/>
        <v/>
      </c>
      <c r="G1266" s="435" t="str">
        <f t="shared" si="640"/>
        <v/>
      </c>
      <c r="H1266" s="435" t="str">
        <f t="shared" si="640"/>
        <v/>
      </c>
      <c r="I1266" s="436" t="str">
        <f t="shared" si="640"/>
        <v/>
      </c>
      <c r="J1266" s="437">
        <f>SUMIFS(PRODUCTION[KG],PRODUCTION[GRADE],"3X50",PRODUCTION[DATE],B1266,PRODUCTION[BATCH],C1266,PRODUCTION[SHIFT],D1266)</f>
        <v>0</v>
      </c>
      <c r="K1266" s="438" t="s">
        <v>1414</v>
      </c>
      <c r="L1266" s="443"/>
      <c r="M1266" s="440"/>
      <c r="N1266" s="441"/>
      <c r="O1266" s="441"/>
      <c r="P1266" s="442"/>
      <c r="Q1266" s="443"/>
      <c r="R1266" s="440"/>
      <c r="S1266" s="440"/>
      <c r="T1266" s="440"/>
      <c r="U1266" s="440"/>
      <c r="V1266" s="440"/>
      <c r="W1266" s="440"/>
      <c r="X1266" s="440"/>
      <c r="Y1266" s="444">
        <f t="shared" si="17"/>
        <v>0</v>
      </c>
      <c r="Z1266" s="445"/>
      <c r="AA1266" s="446">
        <f t="shared" ref="AA1266:AE1266" si="641">$J1266*E1266</f>
        <v>0</v>
      </c>
      <c r="AB1266" s="447">
        <f t="shared" si="641"/>
        <v>0</v>
      </c>
      <c r="AC1266" s="447">
        <f t="shared" si="641"/>
        <v>0</v>
      </c>
      <c r="AD1266" s="447">
        <f t="shared" si="641"/>
        <v>0</v>
      </c>
      <c r="AE1266" s="448">
        <f t="shared" si="641"/>
        <v>0</v>
      </c>
      <c r="AF1266" s="449"/>
      <c r="AG1266" s="449"/>
      <c r="AH1266" s="449"/>
    </row>
    <row r="1267" ht="11.25" customHeight="1">
      <c r="A1267" s="450"/>
      <c r="B1267" s="451"/>
      <c r="C1267" s="452"/>
      <c r="D1267" s="452"/>
      <c r="E1267" s="453"/>
      <c r="F1267" s="453"/>
      <c r="G1267" s="454"/>
      <c r="H1267" s="454"/>
      <c r="I1267" s="455"/>
      <c r="J1267" s="456"/>
      <c r="K1267" s="457" t="s">
        <v>1416</v>
      </c>
      <c r="L1267" s="458"/>
      <c r="M1267" s="459"/>
      <c r="N1267" s="460"/>
      <c r="O1267" s="460"/>
      <c r="P1267" s="461"/>
      <c r="Q1267" s="458"/>
      <c r="R1267" s="459"/>
      <c r="S1267" s="459"/>
      <c r="T1267" s="459"/>
      <c r="U1267" s="459"/>
      <c r="V1267" s="459"/>
      <c r="W1267" s="459"/>
      <c r="X1267" s="459"/>
      <c r="Y1267" s="462">
        <f t="shared" si="17"/>
        <v>0</v>
      </c>
      <c r="Z1267" s="463"/>
      <c r="AA1267" s="464"/>
      <c r="AB1267" s="465"/>
      <c r="AC1267" s="465"/>
      <c r="AD1267" s="465"/>
      <c r="AE1267" s="466"/>
      <c r="AF1267" s="449"/>
      <c r="AG1267" s="449"/>
      <c r="AH1267" s="449"/>
    </row>
    <row r="1268" ht="11.25" customHeight="1">
      <c r="A1268" s="450"/>
      <c r="B1268" s="451"/>
      <c r="C1268" s="452"/>
      <c r="D1268" s="452"/>
      <c r="E1268" s="453"/>
      <c r="F1268" s="453"/>
      <c r="G1268" s="454"/>
      <c r="H1268" s="454"/>
      <c r="I1268" s="455"/>
      <c r="J1268" s="456"/>
      <c r="K1268" s="467" t="s">
        <v>1417</v>
      </c>
      <c r="L1268" s="468"/>
      <c r="M1268" s="469"/>
      <c r="N1268" s="470"/>
      <c r="O1268" s="470"/>
      <c r="P1268" s="471"/>
      <c r="Q1268" s="468"/>
      <c r="R1268" s="469"/>
      <c r="S1268" s="469"/>
      <c r="T1268" s="469"/>
      <c r="U1268" s="469"/>
      <c r="V1268" s="469"/>
      <c r="W1268" s="469"/>
      <c r="X1268" s="469"/>
      <c r="Y1268" s="462">
        <f t="shared" si="17"/>
        <v>0</v>
      </c>
      <c r="Z1268" s="463"/>
      <c r="AA1268" s="464"/>
      <c r="AB1268" s="465"/>
      <c r="AC1268" s="465"/>
      <c r="AD1268" s="465"/>
      <c r="AE1268" s="466"/>
      <c r="AF1268" s="449"/>
      <c r="AG1268" s="449"/>
      <c r="AH1268" s="449"/>
    </row>
    <row r="1269" ht="11.25" customHeight="1">
      <c r="A1269" s="450"/>
      <c r="B1269" s="472"/>
      <c r="C1269" s="473"/>
      <c r="D1269" s="473"/>
      <c r="E1269" s="474"/>
      <c r="F1269" s="474"/>
      <c r="G1269" s="475"/>
      <c r="H1269" s="475"/>
      <c r="I1269" s="476"/>
      <c r="J1269" s="477"/>
      <c r="K1269" s="478" t="s">
        <v>1418</v>
      </c>
      <c r="L1269" s="479"/>
      <c r="M1269" s="480"/>
      <c r="N1269" s="481"/>
      <c r="O1269" s="481"/>
      <c r="P1269" s="482"/>
      <c r="Q1269" s="479"/>
      <c r="R1269" s="480"/>
      <c r="S1269" s="480"/>
      <c r="T1269" s="480"/>
      <c r="U1269" s="480"/>
      <c r="V1269" s="480"/>
      <c r="W1269" s="480"/>
      <c r="X1269" s="480"/>
      <c r="Y1269" s="483">
        <f t="shared" si="17"/>
        <v>0</v>
      </c>
      <c r="Z1269" s="484"/>
      <c r="AA1269" s="485"/>
      <c r="AB1269" s="486"/>
      <c r="AC1269" s="486"/>
      <c r="AD1269" s="486"/>
      <c r="AE1269" s="487"/>
      <c r="AF1269" s="449"/>
      <c r="AG1269" s="449"/>
      <c r="AH1269" s="449"/>
    </row>
    <row r="1270" ht="11.25" customHeight="1">
      <c r="A1270" s="431" t="str">
        <f>IF(B1270="","", YEAR(B1270))</f>
        <v/>
      </c>
      <c r="B1270" s="432"/>
      <c r="C1270" s="433"/>
      <c r="D1270" s="433"/>
      <c r="E1270" s="434" t="str">
        <f t="shared" ref="E1270:I1270" si="642">IFERROR(AVERAGE(L1270:L1273),"")</f>
        <v/>
      </c>
      <c r="F1270" s="434" t="str">
        <f t="shared" si="642"/>
        <v/>
      </c>
      <c r="G1270" s="435" t="str">
        <f t="shared" si="642"/>
        <v/>
      </c>
      <c r="H1270" s="435" t="str">
        <f t="shared" si="642"/>
        <v/>
      </c>
      <c r="I1270" s="436" t="str">
        <f t="shared" si="642"/>
        <v/>
      </c>
      <c r="J1270" s="437">
        <f>SUMIFS(PRODUCTION[KG],PRODUCTION[GRADE],"3X50",PRODUCTION[DATE],B1270,PRODUCTION[BATCH],C1270,PRODUCTION[SHIFT],D1270)</f>
        <v>0</v>
      </c>
      <c r="K1270" s="438" t="s">
        <v>1414</v>
      </c>
      <c r="L1270" s="443"/>
      <c r="M1270" s="440"/>
      <c r="N1270" s="441"/>
      <c r="O1270" s="441"/>
      <c r="P1270" s="442"/>
      <c r="Q1270" s="443"/>
      <c r="R1270" s="440"/>
      <c r="S1270" s="440"/>
      <c r="T1270" s="440"/>
      <c r="U1270" s="440"/>
      <c r="V1270" s="440"/>
      <c r="W1270" s="440"/>
      <c r="X1270" s="440"/>
      <c r="Y1270" s="444">
        <f t="shared" si="17"/>
        <v>0</v>
      </c>
      <c r="Z1270" s="445"/>
      <c r="AA1270" s="446">
        <f t="shared" ref="AA1270:AE1270" si="643">$J1270*E1270</f>
        <v>0</v>
      </c>
      <c r="AB1270" s="447">
        <f t="shared" si="643"/>
        <v>0</v>
      </c>
      <c r="AC1270" s="447">
        <f t="shared" si="643"/>
        <v>0</v>
      </c>
      <c r="AD1270" s="447">
        <f t="shared" si="643"/>
        <v>0</v>
      </c>
      <c r="AE1270" s="448">
        <f t="shared" si="643"/>
        <v>0</v>
      </c>
      <c r="AF1270" s="449"/>
      <c r="AG1270" s="449"/>
      <c r="AH1270" s="449"/>
    </row>
    <row r="1271" ht="11.25" customHeight="1">
      <c r="A1271" s="450"/>
      <c r="B1271" s="451"/>
      <c r="C1271" s="452"/>
      <c r="D1271" s="452"/>
      <c r="E1271" s="453"/>
      <c r="F1271" s="453"/>
      <c r="G1271" s="454"/>
      <c r="H1271" s="454"/>
      <c r="I1271" s="455"/>
      <c r="J1271" s="456"/>
      <c r="K1271" s="457" t="s">
        <v>1416</v>
      </c>
      <c r="L1271" s="458"/>
      <c r="M1271" s="459"/>
      <c r="N1271" s="460"/>
      <c r="O1271" s="460"/>
      <c r="P1271" s="461"/>
      <c r="Q1271" s="458"/>
      <c r="R1271" s="459"/>
      <c r="S1271" s="459"/>
      <c r="T1271" s="459"/>
      <c r="U1271" s="459"/>
      <c r="V1271" s="459"/>
      <c r="W1271" s="459"/>
      <c r="X1271" s="459"/>
      <c r="Y1271" s="462">
        <f t="shared" si="17"/>
        <v>0</v>
      </c>
      <c r="Z1271" s="463"/>
      <c r="AA1271" s="464"/>
      <c r="AB1271" s="465"/>
      <c r="AC1271" s="465"/>
      <c r="AD1271" s="465"/>
      <c r="AE1271" s="466"/>
      <c r="AF1271" s="449"/>
      <c r="AG1271" s="449"/>
      <c r="AH1271" s="449"/>
    </row>
    <row r="1272" ht="11.25" customHeight="1">
      <c r="A1272" s="450"/>
      <c r="B1272" s="451"/>
      <c r="C1272" s="452"/>
      <c r="D1272" s="452"/>
      <c r="E1272" s="453"/>
      <c r="F1272" s="453"/>
      <c r="G1272" s="454"/>
      <c r="H1272" s="454"/>
      <c r="I1272" s="455"/>
      <c r="J1272" s="456"/>
      <c r="K1272" s="467" t="s">
        <v>1417</v>
      </c>
      <c r="L1272" s="468"/>
      <c r="M1272" s="469"/>
      <c r="N1272" s="470"/>
      <c r="O1272" s="470"/>
      <c r="P1272" s="471"/>
      <c r="Q1272" s="468"/>
      <c r="R1272" s="469"/>
      <c r="S1272" s="469"/>
      <c r="T1272" s="469"/>
      <c r="U1272" s="469"/>
      <c r="V1272" s="469"/>
      <c r="W1272" s="469"/>
      <c r="X1272" s="469"/>
      <c r="Y1272" s="462">
        <f t="shared" si="17"/>
        <v>0</v>
      </c>
      <c r="Z1272" s="463"/>
      <c r="AA1272" s="464"/>
      <c r="AB1272" s="465"/>
      <c r="AC1272" s="465"/>
      <c r="AD1272" s="465"/>
      <c r="AE1272" s="466"/>
      <c r="AF1272" s="449"/>
      <c r="AG1272" s="449"/>
      <c r="AH1272" s="449"/>
    </row>
    <row r="1273" ht="11.25" customHeight="1">
      <c r="A1273" s="450"/>
      <c r="B1273" s="472"/>
      <c r="C1273" s="473"/>
      <c r="D1273" s="473"/>
      <c r="E1273" s="474"/>
      <c r="F1273" s="474"/>
      <c r="G1273" s="475"/>
      <c r="H1273" s="475"/>
      <c r="I1273" s="476"/>
      <c r="J1273" s="477"/>
      <c r="K1273" s="478" t="s">
        <v>1418</v>
      </c>
      <c r="L1273" s="479"/>
      <c r="M1273" s="480"/>
      <c r="N1273" s="481"/>
      <c r="O1273" s="481"/>
      <c r="P1273" s="482"/>
      <c r="Q1273" s="479"/>
      <c r="R1273" s="480"/>
      <c r="S1273" s="480"/>
      <c r="T1273" s="480"/>
      <c r="U1273" s="480"/>
      <c r="V1273" s="480"/>
      <c r="W1273" s="480"/>
      <c r="X1273" s="480"/>
      <c r="Y1273" s="483">
        <f t="shared" si="17"/>
        <v>0</v>
      </c>
      <c r="Z1273" s="484"/>
      <c r="AA1273" s="485"/>
      <c r="AB1273" s="486"/>
      <c r="AC1273" s="486"/>
      <c r="AD1273" s="486"/>
      <c r="AE1273" s="487"/>
      <c r="AF1273" s="449"/>
      <c r="AG1273" s="449"/>
      <c r="AH1273" s="449"/>
    </row>
    <row r="1274" ht="11.25" customHeight="1">
      <c r="A1274" s="431" t="str">
        <f>IF(B1274="","", YEAR(B1274))</f>
        <v/>
      </c>
      <c r="B1274" s="432"/>
      <c r="C1274" s="433"/>
      <c r="D1274" s="433"/>
      <c r="E1274" s="434" t="str">
        <f t="shared" ref="E1274:I1274" si="644">IFERROR(AVERAGE(L1274:L1277),"")</f>
        <v/>
      </c>
      <c r="F1274" s="434" t="str">
        <f t="shared" si="644"/>
        <v/>
      </c>
      <c r="G1274" s="435" t="str">
        <f t="shared" si="644"/>
        <v/>
      </c>
      <c r="H1274" s="435" t="str">
        <f t="shared" si="644"/>
        <v/>
      </c>
      <c r="I1274" s="436" t="str">
        <f t="shared" si="644"/>
        <v/>
      </c>
      <c r="J1274" s="437">
        <f>SUMIFS(PRODUCTION[KG],PRODUCTION[GRADE],"3X50",PRODUCTION[DATE],B1274,PRODUCTION[BATCH],C1274,PRODUCTION[SHIFT],D1274)</f>
        <v>0</v>
      </c>
      <c r="K1274" s="438" t="s">
        <v>1414</v>
      </c>
      <c r="L1274" s="443"/>
      <c r="M1274" s="440"/>
      <c r="N1274" s="441"/>
      <c r="O1274" s="441"/>
      <c r="P1274" s="442"/>
      <c r="Q1274" s="443"/>
      <c r="R1274" s="440"/>
      <c r="S1274" s="440"/>
      <c r="T1274" s="440"/>
      <c r="U1274" s="440"/>
      <c r="V1274" s="440"/>
      <c r="W1274" s="440"/>
      <c r="X1274" s="440"/>
      <c r="Y1274" s="444">
        <f t="shared" si="17"/>
        <v>0</v>
      </c>
      <c r="Z1274" s="445"/>
      <c r="AA1274" s="446">
        <f t="shared" ref="AA1274:AE1274" si="645">$J1274*E1274</f>
        <v>0</v>
      </c>
      <c r="AB1274" s="447">
        <f t="shared" si="645"/>
        <v>0</v>
      </c>
      <c r="AC1274" s="447">
        <f t="shared" si="645"/>
        <v>0</v>
      </c>
      <c r="AD1274" s="447">
        <f t="shared" si="645"/>
        <v>0</v>
      </c>
      <c r="AE1274" s="448">
        <f t="shared" si="645"/>
        <v>0</v>
      </c>
      <c r="AF1274" s="449"/>
      <c r="AG1274" s="449"/>
      <c r="AH1274" s="449"/>
    </row>
    <row r="1275" ht="11.25" customHeight="1">
      <c r="A1275" s="450"/>
      <c r="B1275" s="451"/>
      <c r="C1275" s="452"/>
      <c r="D1275" s="452"/>
      <c r="E1275" s="453"/>
      <c r="F1275" s="453"/>
      <c r="G1275" s="454"/>
      <c r="H1275" s="454"/>
      <c r="I1275" s="455"/>
      <c r="J1275" s="456"/>
      <c r="K1275" s="457" t="s">
        <v>1416</v>
      </c>
      <c r="L1275" s="458"/>
      <c r="M1275" s="459"/>
      <c r="N1275" s="460"/>
      <c r="O1275" s="460"/>
      <c r="P1275" s="461"/>
      <c r="Q1275" s="458"/>
      <c r="R1275" s="459"/>
      <c r="S1275" s="459"/>
      <c r="T1275" s="459"/>
      <c r="U1275" s="459"/>
      <c r="V1275" s="459"/>
      <c r="W1275" s="459"/>
      <c r="X1275" s="459"/>
      <c r="Y1275" s="462">
        <f t="shared" si="17"/>
        <v>0</v>
      </c>
      <c r="Z1275" s="463"/>
      <c r="AA1275" s="464"/>
      <c r="AB1275" s="465"/>
      <c r="AC1275" s="465"/>
      <c r="AD1275" s="465"/>
      <c r="AE1275" s="466"/>
      <c r="AF1275" s="449"/>
      <c r="AG1275" s="449"/>
      <c r="AH1275" s="449"/>
    </row>
    <row r="1276" ht="11.25" customHeight="1">
      <c r="A1276" s="450"/>
      <c r="B1276" s="451"/>
      <c r="C1276" s="452"/>
      <c r="D1276" s="452"/>
      <c r="E1276" s="453"/>
      <c r="F1276" s="453"/>
      <c r="G1276" s="454"/>
      <c r="H1276" s="454"/>
      <c r="I1276" s="455"/>
      <c r="J1276" s="456"/>
      <c r="K1276" s="467" t="s">
        <v>1417</v>
      </c>
      <c r="L1276" s="468"/>
      <c r="M1276" s="469"/>
      <c r="N1276" s="470"/>
      <c r="O1276" s="470"/>
      <c r="P1276" s="471"/>
      <c r="Q1276" s="468"/>
      <c r="R1276" s="469"/>
      <c r="S1276" s="469"/>
      <c r="T1276" s="469"/>
      <c r="U1276" s="469"/>
      <c r="V1276" s="469"/>
      <c r="W1276" s="469"/>
      <c r="X1276" s="469"/>
      <c r="Y1276" s="462">
        <f t="shared" si="17"/>
        <v>0</v>
      </c>
      <c r="Z1276" s="463"/>
      <c r="AA1276" s="464"/>
      <c r="AB1276" s="465"/>
      <c r="AC1276" s="465"/>
      <c r="AD1276" s="465"/>
      <c r="AE1276" s="466"/>
      <c r="AF1276" s="449"/>
      <c r="AG1276" s="449"/>
      <c r="AH1276" s="449"/>
    </row>
    <row r="1277" ht="11.25" customHeight="1">
      <c r="A1277" s="450"/>
      <c r="B1277" s="472"/>
      <c r="C1277" s="473"/>
      <c r="D1277" s="473"/>
      <c r="E1277" s="474"/>
      <c r="F1277" s="474"/>
      <c r="G1277" s="475"/>
      <c r="H1277" s="475"/>
      <c r="I1277" s="476"/>
      <c r="J1277" s="477"/>
      <c r="K1277" s="478" t="s">
        <v>1418</v>
      </c>
      <c r="L1277" s="479"/>
      <c r="M1277" s="480"/>
      <c r="N1277" s="481"/>
      <c r="O1277" s="481"/>
      <c r="P1277" s="482"/>
      <c r="Q1277" s="479"/>
      <c r="R1277" s="480"/>
      <c r="S1277" s="480"/>
      <c r="T1277" s="480"/>
      <c r="U1277" s="480"/>
      <c r="V1277" s="480"/>
      <c r="W1277" s="480"/>
      <c r="X1277" s="480"/>
      <c r="Y1277" s="483">
        <f t="shared" si="17"/>
        <v>0</v>
      </c>
      <c r="Z1277" s="484"/>
      <c r="AA1277" s="485"/>
      <c r="AB1277" s="486"/>
      <c r="AC1277" s="486"/>
      <c r="AD1277" s="486"/>
      <c r="AE1277" s="487"/>
      <c r="AF1277" s="449"/>
      <c r="AG1277" s="449"/>
      <c r="AH1277" s="449"/>
    </row>
    <row r="1278" ht="11.25" customHeight="1">
      <c r="A1278" s="431" t="str">
        <f>IF(B1278="","", YEAR(B1278))</f>
        <v/>
      </c>
      <c r="B1278" s="432"/>
      <c r="C1278" s="433"/>
      <c r="D1278" s="433"/>
      <c r="E1278" s="434" t="str">
        <f t="shared" ref="E1278:I1278" si="646">IFERROR(AVERAGE(L1278:L1281),"")</f>
        <v/>
      </c>
      <c r="F1278" s="434" t="str">
        <f t="shared" si="646"/>
        <v/>
      </c>
      <c r="G1278" s="435" t="str">
        <f t="shared" si="646"/>
        <v/>
      </c>
      <c r="H1278" s="435" t="str">
        <f t="shared" si="646"/>
        <v/>
      </c>
      <c r="I1278" s="436" t="str">
        <f t="shared" si="646"/>
        <v/>
      </c>
      <c r="J1278" s="437">
        <f>SUMIFS(PRODUCTION[KG],PRODUCTION[GRADE],"3X50",PRODUCTION[DATE],B1278,PRODUCTION[BATCH],C1278,PRODUCTION[SHIFT],D1278)</f>
        <v>0</v>
      </c>
      <c r="K1278" s="438" t="s">
        <v>1414</v>
      </c>
      <c r="L1278" s="443"/>
      <c r="M1278" s="440"/>
      <c r="N1278" s="441"/>
      <c r="O1278" s="441"/>
      <c r="P1278" s="442"/>
      <c r="Q1278" s="443"/>
      <c r="R1278" s="440"/>
      <c r="S1278" s="440"/>
      <c r="T1278" s="440"/>
      <c r="U1278" s="440"/>
      <c r="V1278" s="440"/>
      <c r="W1278" s="440"/>
      <c r="X1278" s="440"/>
      <c r="Y1278" s="444">
        <f t="shared" si="17"/>
        <v>0</v>
      </c>
      <c r="Z1278" s="445"/>
      <c r="AA1278" s="446">
        <f t="shared" ref="AA1278:AE1278" si="647">$J1278*E1278</f>
        <v>0</v>
      </c>
      <c r="AB1278" s="447">
        <f t="shared" si="647"/>
        <v>0</v>
      </c>
      <c r="AC1278" s="447">
        <f t="shared" si="647"/>
        <v>0</v>
      </c>
      <c r="AD1278" s="447">
        <f t="shared" si="647"/>
        <v>0</v>
      </c>
      <c r="AE1278" s="448">
        <f t="shared" si="647"/>
        <v>0</v>
      </c>
      <c r="AF1278" s="449"/>
      <c r="AG1278" s="449"/>
      <c r="AH1278" s="449"/>
    </row>
    <row r="1279" ht="11.25" customHeight="1">
      <c r="A1279" s="450"/>
      <c r="B1279" s="451"/>
      <c r="C1279" s="452"/>
      <c r="D1279" s="452"/>
      <c r="E1279" s="453"/>
      <c r="F1279" s="453"/>
      <c r="G1279" s="454"/>
      <c r="H1279" s="454"/>
      <c r="I1279" s="455"/>
      <c r="J1279" s="456"/>
      <c r="K1279" s="457" t="s">
        <v>1416</v>
      </c>
      <c r="L1279" s="458"/>
      <c r="M1279" s="459"/>
      <c r="N1279" s="460"/>
      <c r="O1279" s="460"/>
      <c r="P1279" s="461"/>
      <c r="Q1279" s="458"/>
      <c r="R1279" s="459"/>
      <c r="S1279" s="459"/>
      <c r="T1279" s="459"/>
      <c r="U1279" s="459"/>
      <c r="V1279" s="459"/>
      <c r="W1279" s="459"/>
      <c r="X1279" s="459"/>
      <c r="Y1279" s="462">
        <f t="shared" si="17"/>
        <v>0</v>
      </c>
      <c r="Z1279" s="463"/>
      <c r="AA1279" s="464"/>
      <c r="AB1279" s="465"/>
      <c r="AC1279" s="465"/>
      <c r="AD1279" s="465"/>
      <c r="AE1279" s="466"/>
      <c r="AF1279" s="449"/>
      <c r="AG1279" s="449"/>
      <c r="AH1279" s="449"/>
    </row>
    <row r="1280" ht="11.25" customHeight="1">
      <c r="A1280" s="450"/>
      <c r="B1280" s="451"/>
      <c r="C1280" s="452"/>
      <c r="D1280" s="452"/>
      <c r="E1280" s="453"/>
      <c r="F1280" s="453"/>
      <c r="G1280" s="454"/>
      <c r="H1280" s="454"/>
      <c r="I1280" s="455"/>
      <c r="J1280" s="456"/>
      <c r="K1280" s="467" t="s">
        <v>1417</v>
      </c>
      <c r="L1280" s="468"/>
      <c r="M1280" s="469"/>
      <c r="N1280" s="470"/>
      <c r="O1280" s="470"/>
      <c r="P1280" s="471"/>
      <c r="Q1280" s="468"/>
      <c r="R1280" s="469"/>
      <c r="S1280" s="469"/>
      <c r="T1280" s="469"/>
      <c r="U1280" s="469"/>
      <c r="V1280" s="469"/>
      <c r="W1280" s="469"/>
      <c r="X1280" s="469"/>
      <c r="Y1280" s="462">
        <f t="shared" si="17"/>
        <v>0</v>
      </c>
      <c r="Z1280" s="463"/>
      <c r="AA1280" s="464"/>
      <c r="AB1280" s="465"/>
      <c r="AC1280" s="465"/>
      <c r="AD1280" s="465"/>
      <c r="AE1280" s="466"/>
      <c r="AF1280" s="449"/>
      <c r="AG1280" s="449"/>
      <c r="AH1280" s="449"/>
    </row>
    <row r="1281" ht="11.25" customHeight="1">
      <c r="A1281" s="450"/>
      <c r="B1281" s="472"/>
      <c r="C1281" s="473"/>
      <c r="D1281" s="473"/>
      <c r="E1281" s="474"/>
      <c r="F1281" s="474"/>
      <c r="G1281" s="475"/>
      <c r="H1281" s="475"/>
      <c r="I1281" s="476"/>
      <c r="J1281" s="477"/>
      <c r="K1281" s="478" t="s">
        <v>1418</v>
      </c>
      <c r="L1281" s="479"/>
      <c r="M1281" s="480"/>
      <c r="N1281" s="481"/>
      <c r="O1281" s="481"/>
      <c r="P1281" s="482"/>
      <c r="Q1281" s="479"/>
      <c r="R1281" s="480"/>
      <c r="S1281" s="480"/>
      <c r="T1281" s="480"/>
      <c r="U1281" s="480"/>
      <c r="V1281" s="480"/>
      <c r="W1281" s="480"/>
      <c r="X1281" s="480"/>
      <c r="Y1281" s="483">
        <f t="shared" si="17"/>
        <v>0</v>
      </c>
      <c r="Z1281" s="484"/>
      <c r="AA1281" s="485"/>
      <c r="AB1281" s="486"/>
      <c r="AC1281" s="486"/>
      <c r="AD1281" s="486"/>
      <c r="AE1281" s="487"/>
      <c r="AF1281" s="449"/>
      <c r="AG1281" s="449"/>
      <c r="AH1281" s="449"/>
    </row>
    <row r="1282" ht="11.25" customHeight="1">
      <c r="A1282" s="431" t="str">
        <f>IF(B1282="","", YEAR(B1282))</f>
        <v/>
      </c>
      <c r="B1282" s="432"/>
      <c r="C1282" s="433"/>
      <c r="D1282" s="433"/>
      <c r="E1282" s="434" t="str">
        <f t="shared" ref="E1282:I1282" si="648">IFERROR(AVERAGE(L1282:L1285),"")</f>
        <v/>
      </c>
      <c r="F1282" s="434" t="str">
        <f t="shared" si="648"/>
        <v/>
      </c>
      <c r="G1282" s="435" t="str">
        <f t="shared" si="648"/>
        <v/>
      </c>
      <c r="H1282" s="435" t="str">
        <f t="shared" si="648"/>
        <v/>
      </c>
      <c r="I1282" s="436" t="str">
        <f t="shared" si="648"/>
        <v/>
      </c>
      <c r="J1282" s="437">
        <f>SUMIFS(PRODUCTION[KG],PRODUCTION[GRADE],"3X50",PRODUCTION[DATE],B1282,PRODUCTION[BATCH],C1282,PRODUCTION[SHIFT],D1282)</f>
        <v>0</v>
      </c>
      <c r="K1282" s="438" t="s">
        <v>1414</v>
      </c>
      <c r="L1282" s="443"/>
      <c r="M1282" s="440"/>
      <c r="N1282" s="441"/>
      <c r="O1282" s="441"/>
      <c r="P1282" s="442"/>
      <c r="Q1282" s="443"/>
      <c r="R1282" s="440"/>
      <c r="S1282" s="440"/>
      <c r="T1282" s="440"/>
      <c r="U1282" s="440"/>
      <c r="V1282" s="440"/>
      <c r="W1282" s="440"/>
      <c r="X1282" s="440"/>
      <c r="Y1282" s="444">
        <f t="shared" si="17"/>
        <v>0</v>
      </c>
      <c r="Z1282" s="445"/>
      <c r="AA1282" s="446">
        <f t="shared" ref="AA1282:AE1282" si="649">$J1282*E1282</f>
        <v>0</v>
      </c>
      <c r="AB1282" s="447">
        <f t="shared" si="649"/>
        <v>0</v>
      </c>
      <c r="AC1282" s="447">
        <f t="shared" si="649"/>
        <v>0</v>
      </c>
      <c r="AD1282" s="447">
        <f t="shared" si="649"/>
        <v>0</v>
      </c>
      <c r="AE1282" s="448">
        <f t="shared" si="649"/>
        <v>0</v>
      </c>
      <c r="AF1282" s="449"/>
      <c r="AG1282" s="449"/>
      <c r="AH1282" s="449"/>
    </row>
    <row r="1283" ht="11.25" customHeight="1">
      <c r="A1283" s="450"/>
      <c r="B1283" s="451"/>
      <c r="C1283" s="452"/>
      <c r="D1283" s="452"/>
      <c r="E1283" s="453"/>
      <c r="F1283" s="453"/>
      <c r="G1283" s="454"/>
      <c r="H1283" s="454"/>
      <c r="I1283" s="455"/>
      <c r="J1283" s="456"/>
      <c r="K1283" s="457" t="s">
        <v>1416</v>
      </c>
      <c r="L1283" s="458"/>
      <c r="M1283" s="459"/>
      <c r="N1283" s="460"/>
      <c r="O1283" s="460"/>
      <c r="P1283" s="461"/>
      <c r="Q1283" s="458"/>
      <c r="R1283" s="459"/>
      <c r="S1283" s="459"/>
      <c r="T1283" s="459"/>
      <c r="U1283" s="459"/>
      <c r="V1283" s="459"/>
      <c r="W1283" s="459"/>
      <c r="X1283" s="459"/>
      <c r="Y1283" s="462">
        <f t="shared" si="17"/>
        <v>0</v>
      </c>
      <c r="Z1283" s="463"/>
      <c r="AA1283" s="464"/>
      <c r="AB1283" s="465"/>
      <c r="AC1283" s="465"/>
      <c r="AD1283" s="465"/>
      <c r="AE1283" s="466"/>
      <c r="AF1283" s="449"/>
      <c r="AG1283" s="449"/>
      <c r="AH1283" s="449"/>
    </row>
    <row r="1284" ht="11.25" customHeight="1">
      <c r="A1284" s="450"/>
      <c r="B1284" s="451"/>
      <c r="C1284" s="452"/>
      <c r="D1284" s="452"/>
      <c r="E1284" s="453"/>
      <c r="F1284" s="453"/>
      <c r="G1284" s="454"/>
      <c r="H1284" s="454"/>
      <c r="I1284" s="455"/>
      <c r="J1284" s="456"/>
      <c r="K1284" s="467" t="s">
        <v>1417</v>
      </c>
      <c r="L1284" s="468"/>
      <c r="M1284" s="469"/>
      <c r="N1284" s="470"/>
      <c r="O1284" s="470"/>
      <c r="P1284" s="471"/>
      <c r="Q1284" s="468"/>
      <c r="R1284" s="469"/>
      <c r="S1284" s="469"/>
      <c r="T1284" s="469"/>
      <c r="U1284" s="469"/>
      <c r="V1284" s="469"/>
      <c r="W1284" s="469"/>
      <c r="X1284" s="469"/>
      <c r="Y1284" s="462">
        <f t="shared" si="17"/>
        <v>0</v>
      </c>
      <c r="Z1284" s="463"/>
      <c r="AA1284" s="464"/>
      <c r="AB1284" s="465"/>
      <c r="AC1284" s="465"/>
      <c r="AD1284" s="465"/>
      <c r="AE1284" s="466"/>
      <c r="AF1284" s="449"/>
      <c r="AG1284" s="449"/>
      <c r="AH1284" s="449"/>
    </row>
    <row r="1285" ht="11.25" customHeight="1">
      <c r="A1285" s="450"/>
      <c r="B1285" s="472"/>
      <c r="C1285" s="473"/>
      <c r="D1285" s="473"/>
      <c r="E1285" s="474"/>
      <c r="F1285" s="474"/>
      <c r="G1285" s="475"/>
      <c r="H1285" s="475"/>
      <c r="I1285" s="476"/>
      <c r="J1285" s="477"/>
      <c r="K1285" s="478" t="s">
        <v>1418</v>
      </c>
      <c r="L1285" s="479"/>
      <c r="M1285" s="480"/>
      <c r="N1285" s="481"/>
      <c r="O1285" s="481"/>
      <c r="P1285" s="482"/>
      <c r="Q1285" s="479"/>
      <c r="R1285" s="480"/>
      <c r="S1285" s="480"/>
      <c r="T1285" s="480"/>
      <c r="U1285" s="480"/>
      <c r="V1285" s="480"/>
      <c r="W1285" s="480"/>
      <c r="X1285" s="480"/>
      <c r="Y1285" s="483">
        <f t="shared" si="17"/>
        <v>0</v>
      </c>
      <c r="Z1285" s="484"/>
      <c r="AA1285" s="485"/>
      <c r="AB1285" s="486"/>
      <c r="AC1285" s="486"/>
      <c r="AD1285" s="486"/>
      <c r="AE1285" s="487"/>
      <c r="AF1285" s="449"/>
      <c r="AG1285" s="449"/>
      <c r="AH1285" s="449"/>
    </row>
    <row r="1286" ht="11.25" customHeight="1">
      <c r="A1286" s="431" t="str">
        <f>IF(B1286="","", YEAR(B1286))</f>
        <v/>
      </c>
      <c r="B1286" s="432"/>
      <c r="C1286" s="433"/>
      <c r="D1286" s="433"/>
      <c r="E1286" s="434" t="str">
        <f t="shared" ref="E1286:I1286" si="650">IFERROR(AVERAGE(L1286:L1289),"")</f>
        <v/>
      </c>
      <c r="F1286" s="434" t="str">
        <f t="shared" si="650"/>
        <v/>
      </c>
      <c r="G1286" s="435" t="str">
        <f t="shared" si="650"/>
        <v/>
      </c>
      <c r="H1286" s="435" t="str">
        <f t="shared" si="650"/>
        <v/>
      </c>
      <c r="I1286" s="436" t="str">
        <f t="shared" si="650"/>
        <v/>
      </c>
      <c r="J1286" s="437">
        <f>SUMIFS(PRODUCTION[KG],PRODUCTION[GRADE],"3X50",PRODUCTION[DATE],B1286,PRODUCTION[BATCH],C1286,PRODUCTION[SHIFT],D1286)</f>
        <v>0</v>
      </c>
      <c r="K1286" s="438" t="s">
        <v>1414</v>
      </c>
      <c r="L1286" s="443"/>
      <c r="M1286" s="440"/>
      <c r="N1286" s="441"/>
      <c r="O1286" s="441"/>
      <c r="P1286" s="442"/>
      <c r="Q1286" s="443"/>
      <c r="R1286" s="440"/>
      <c r="S1286" s="440"/>
      <c r="T1286" s="440"/>
      <c r="U1286" s="440"/>
      <c r="V1286" s="440"/>
      <c r="W1286" s="440"/>
      <c r="X1286" s="440"/>
      <c r="Y1286" s="444">
        <f t="shared" si="17"/>
        <v>0</v>
      </c>
      <c r="Z1286" s="445"/>
      <c r="AA1286" s="446">
        <f t="shared" ref="AA1286:AE1286" si="651">$J1286*E1286</f>
        <v>0</v>
      </c>
      <c r="AB1286" s="447">
        <f t="shared" si="651"/>
        <v>0</v>
      </c>
      <c r="AC1286" s="447">
        <f t="shared" si="651"/>
        <v>0</v>
      </c>
      <c r="AD1286" s="447">
        <f t="shared" si="651"/>
        <v>0</v>
      </c>
      <c r="AE1286" s="448">
        <f t="shared" si="651"/>
        <v>0</v>
      </c>
      <c r="AF1286" s="449"/>
      <c r="AG1286" s="449"/>
      <c r="AH1286" s="449"/>
    </row>
    <row r="1287" ht="11.25" customHeight="1">
      <c r="A1287" s="450"/>
      <c r="B1287" s="451"/>
      <c r="C1287" s="452"/>
      <c r="D1287" s="452"/>
      <c r="E1287" s="453"/>
      <c r="F1287" s="453"/>
      <c r="G1287" s="454"/>
      <c r="H1287" s="454"/>
      <c r="I1287" s="455"/>
      <c r="J1287" s="456"/>
      <c r="K1287" s="457" t="s">
        <v>1416</v>
      </c>
      <c r="L1287" s="458"/>
      <c r="M1287" s="459"/>
      <c r="N1287" s="460"/>
      <c r="O1287" s="460"/>
      <c r="P1287" s="461"/>
      <c r="Q1287" s="458"/>
      <c r="R1287" s="459"/>
      <c r="S1287" s="459"/>
      <c r="T1287" s="459"/>
      <c r="U1287" s="459"/>
      <c r="V1287" s="459"/>
      <c r="W1287" s="459"/>
      <c r="X1287" s="459"/>
      <c r="Y1287" s="462">
        <f t="shared" si="17"/>
        <v>0</v>
      </c>
      <c r="Z1287" s="463"/>
      <c r="AA1287" s="464"/>
      <c r="AB1287" s="465"/>
      <c r="AC1287" s="465"/>
      <c r="AD1287" s="465"/>
      <c r="AE1287" s="466"/>
      <c r="AF1287" s="449"/>
      <c r="AG1287" s="449"/>
      <c r="AH1287" s="449"/>
    </row>
    <row r="1288" ht="11.25" customHeight="1">
      <c r="A1288" s="450"/>
      <c r="B1288" s="451"/>
      <c r="C1288" s="452"/>
      <c r="D1288" s="452"/>
      <c r="E1288" s="453"/>
      <c r="F1288" s="453"/>
      <c r="G1288" s="454"/>
      <c r="H1288" s="454"/>
      <c r="I1288" s="455"/>
      <c r="J1288" s="456"/>
      <c r="K1288" s="467" t="s">
        <v>1417</v>
      </c>
      <c r="L1288" s="468"/>
      <c r="M1288" s="469"/>
      <c r="N1288" s="470"/>
      <c r="O1288" s="470"/>
      <c r="P1288" s="471"/>
      <c r="Q1288" s="468"/>
      <c r="R1288" s="469"/>
      <c r="S1288" s="469"/>
      <c r="T1288" s="469"/>
      <c r="U1288" s="469"/>
      <c r="V1288" s="469"/>
      <c r="W1288" s="469"/>
      <c r="X1288" s="469"/>
      <c r="Y1288" s="462">
        <f t="shared" si="17"/>
        <v>0</v>
      </c>
      <c r="Z1288" s="463"/>
      <c r="AA1288" s="464"/>
      <c r="AB1288" s="465"/>
      <c r="AC1288" s="465"/>
      <c r="AD1288" s="465"/>
      <c r="AE1288" s="466"/>
      <c r="AF1288" s="449"/>
      <c r="AG1288" s="449"/>
      <c r="AH1288" s="449"/>
    </row>
    <row r="1289" ht="11.25" customHeight="1">
      <c r="A1289" s="450"/>
      <c r="B1289" s="472"/>
      <c r="C1289" s="473"/>
      <c r="D1289" s="473"/>
      <c r="E1289" s="474"/>
      <c r="F1289" s="474"/>
      <c r="G1289" s="475"/>
      <c r="H1289" s="475"/>
      <c r="I1289" s="476"/>
      <c r="J1289" s="477"/>
      <c r="K1289" s="478" t="s">
        <v>1418</v>
      </c>
      <c r="L1289" s="479"/>
      <c r="M1289" s="480"/>
      <c r="N1289" s="481"/>
      <c r="O1289" s="481"/>
      <c r="P1289" s="482"/>
      <c r="Q1289" s="479"/>
      <c r="R1289" s="480"/>
      <c r="S1289" s="480"/>
      <c r="T1289" s="480"/>
      <c r="U1289" s="480"/>
      <c r="V1289" s="480"/>
      <c r="W1289" s="480"/>
      <c r="X1289" s="480"/>
      <c r="Y1289" s="483">
        <f t="shared" si="17"/>
        <v>0</v>
      </c>
      <c r="Z1289" s="484"/>
      <c r="AA1289" s="485"/>
      <c r="AB1289" s="486"/>
      <c r="AC1289" s="486"/>
      <c r="AD1289" s="486"/>
      <c r="AE1289" s="487"/>
      <c r="AF1289" s="449"/>
      <c r="AG1289" s="449"/>
      <c r="AH1289" s="449"/>
    </row>
    <row r="1290" ht="11.25" customHeight="1">
      <c r="A1290" s="431" t="str">
        <f>IF(B1290="","", YEAR(B1290))</f>
        <v/>
      </c>
      <c r="B1290" s="432"/>
      <c r="C1290" s="433"/>
      <c r="D1290" s="433"/>
      <c r="E1290" s="434" t="str">
        <f t="shared" ref="E1290:I1290" si="652">IFERROR(AVERAGE(L1290:L1293),"")</f>
        <v/>
      </c>
      <c r="F1290" s="434" t="str">
        <f t="shared" si="652"/>
        <v/>
      </c>
      <c r="G1290" s="435" t="str">
        <f t="shared" si="652"/>
        <v/>
      </c>
      <c r="H1290" s="435" t="str">
        <f t="shared" si="652"/>
        <v/>
      </c>
      <c r="I1290" s="436" t="str">
        <f t="shared" si="652"/>
        <v/>
      </c>
      <c r="J1290" s="437">
        <f>SUMIFS(PRODUCTION[KG],PRODUCTION[GRADE],"3X50",PRODUCTION[DATE],B1290,PRODUCTION[BATCH],C1290,PRODUCTION[SHIFT],D1290)</f>
        <v>0</v>
      </c>
      <c r="K1290" s="438" t="s">
        <v>1414</v>
      </c>
      <c r="L1290" s="443"/>
      <c r="M1290" s="440"/>
      <c r="N1290" s="441"/>
      <c r="O1290" s="441"/>
      <c r="P1290" s="442"/>
      <c r="Q1290" s="443"/>
      <c r="R1290" s="440"/>
      <c r="S1290" s="440"/>
      <c r="T1290" s="440"/>
      <c r="U1290" s="440"/>
      <c r="V1290" s="440"/>
      <c r="W1290" s="440"/>
      <c r="X1290" s="440"/>
      <c r="Y1290" s="444">
        <f t="shared" si="17"/>
        <v>0</v>
      </c>
      <c r="Z1290" s="445"/>
      <c r="AA1290" s="446">
        <f t="shared" ref="AA1290:AE1290" si="653">$J1290*E1290</f>
        <v>0</v>
      </c>
      <c r="AB1290" s="447">
        <f t="shared" si="653"/>
        <v>0</v>
      </c>
      <c r="AC1290" s="447">
        <f t="shared" si="653"/>
        <v>0</v>
      </c>
      <c r="AD1290" s="447">
        <f t="shared" si="653"/>
        <v>0</v>
      </c>
      <c r="AE1290" s="448">
        <f t="shared" si="653"/>
        <v>0</v>
      </c>
      <c r="AF1290" s="449"/>
      <c r="AG1290" s="449"/>
      <c r="AH1290" s="449"/>
    </row>
    <row r="1291" ht="11.25" customHeight="1">
      <c r="A1291" s="450"/>
      <c r="B1291" s="451"/>
      <c r="C1291" s="452"/>
      <c r="D1291" s="452"/>
      <c r="E1291" s="453"/>
      <c r="F1291" s="453"/>
      <c r="G1291" s="454"/>
      <c r="H1291" s="454"/>
      <c r="I1291" s="455"/>
      <c r="J1291" s="456"/>
      <c r="K1291" s="457" t="s">
        <v>1416</v>
      </c>
      <c r="L1291" s="458"/>
      <c r="M1291" s="459"/>
      <c r="N1291" s="460"/>
      <c r="O1291" s="460"/>
      <c r="P1291" s="461"/>
      <c r="Q1291" s="458"/>
      <c r="R1291" s="459"/>
      <c r="S1291" s="459"/>
      <c r="T1291" s="459"/>
      <c r="U1291" s="459"/>
      <c r="V1291" s="459"/>
      <c r="W1291" s="459"/>
      <c r="X1291" s="459"/>
      <c r="Y1291" s="462">
        <f t="shared" si="17"/>
        <v>0</v>
      </c>
      <c r="Z1291" s="463"/>
      <c r="AA1291" s="464"/>
      <c r="AB1291" s="465"/>
      <c r="AC1291" s="465"/>
      <c r="AD1291" s="465"/>
      <c r="AE1291" s="466"/>
      <c r="AF1291" s="449"/>
      <c r="AG1291" s="449"/>
      <c r="AH1291" s="449"/>
    </row>
    <row r="1292" ht="11.25" customHeight="1">
      <c r="A1292" s="450"/>
      <c r="B1292" s="451"/>
      <c r="C1292" s="452"/>
      <c r="D1292" s="452"/>
      <c r="E1292" s="453"/>
      <c r="F1292" s="453"/>
      <c r="G1292" s="454"/>
      <c r="H1292" s="454"/>
      <c r="I1292" s="455"/>
      <c r="J1292" s="456"/>
      <c r="K1292" s="467" t="s">
        <v>1417</v>
      </c>
      <c r="L1292" s="468"/>
      <c r="M1292" s="469"/>
      <c r="N1292" s="470"/>
      <c r="O1292" s="470"/>
      <c r="P1292" s="471"/>
      <c r="Q1292" s="468"/>
      <c r="R1292" s="469"/>
      <c r="S1292" s="469"/>
      <c r="T1292" s="469"/>
      <c r="U1292" s="469"/>
      <c r="V1292" s="469"/>
      <c r="W1292" s="469"/>
      <c r="X1292" s="469"/>
      <c r="Y1292" s="462">
        <f t="shared" si="17"/>
        <v>0</v>
      </c>
      <c r="Z1292" s="463"/>
      <c r="AA1292" s="464"/>
      <c r="AB1292" s="465"/>
      <c r="AC1292" s="465"/>
      <c r="AD1292" s="465"/>
      <c r="AE1292" s="466"/>
      <c r="AF1292" s="449"/>
      <c r="AG1292" s="449"/>
      <c r="AH1292" s="449"/>
    </row>
    <row r="1293" ht="11.25" customHeight="1">
      <c r="A1293" s="450"/>
      <c r="B1293" s="472"/>
      <c r="C1293" s="473"/>
      <c r="D1293" s="473"/>
      <c r="E1293" s="474"/>
      <c r="F1293" s="474"/>
      <c r="G1293" s="475"/>
      <c r="H1293" s="475"/>
      <c r="I1293" s="476"/>
      <c r="J1293" s="477"/>
      <c r="K1293" s="478" t="s">
        <v>1418</v>
      </c>
      <c r="L1293" s="479"/>
      <c r="M1293" s="480"/>
      <c r="N1293" s="481"/>
      <c r="O1293" s="481"/>
      <c r="P1293" s="482"/>
      <c r="Q1293" s="479"/>
      <c r="R1293" s="480"/>
      <c r="S1293" s="480"/>
      <c r="T1293" s="480"/>
      <c r="U1293" s="480"/>
      <c r="V1293" s="480"/>
      <c r="W1293" s="480"/>
      <c r="X1293" s="480"/>
      <c r="Y1293" s="483">
        <f t="shared" si="17"/>
        <v>0</v>
      </c>
      <c r="Z1293" s="484"/>
      <c r="AA1293" s="485"/>
      <c r="AB1293" s="486"/>
      <c r="AC1293" s="486"/>
      <c r="AD1293" s="486"/>
      <c r="AE1293" s="487"/>
      <c r="AF1293" s="449"/>
      <c r="AG1293" s="449"/>
      <c r="AH1293" s="449"/>
    </row>
    <row r="1294" ht="11.25" customHeight="1">
      <c r="A1294" s="431" t="str">
        <f>IF(B1294="","", YEAR(B1294))</f>
        <v/>
      </c>
      <c r="B1294" s="432"/>
      <c r="C1294" s="433"/>
      <c r="D1294" s="433"/>
      <c r="E1294" s="434" t="str">
        <f t="shared" ref="E1294:I1294" si="654">IFERROR(AVERAGE(L1294:L1297),"")</f>
        <v/>
      </c>
      <c r="F1294" s="434" t="str">
        <f t="shared" si="654"/>
        <v/>
      </c>
      <c r="G1294" s="435" t="str">
        <f t="shared" si="654"/>
        <v/>
      </c>
      <c r="H1294" s="435" t="str">
        <f t="shared" si="654"/>
        <v/>
      </c>
      <c r="I1294" s="436" t="str">
        <f t="shared" si="654"/>
        <v/>
      </c>
      <c r="J1294" s="437">
        <f>SUMIFS(PRODUCTION[KG],PRODUCTION[GRADE],"3X50",PRODUCTION[DATE],B1294,PRODUCTION[BATCH],C1294,PRODUCTION[SHIFT],D1294)</f>
        <v>0</v>
      </c>
      <c r="K1294" s="438" t="s">
        <v>1414</v>
      </c>
      <c r="L1294" s="443"/>
      <c r="M1294" s="440"/>
      <c r="N1294" s="441"/>
      <c r="O1294" s="441"/>
      <c r="P1294" s="442"/>
      <c r="Q1294" s="443"/>
      <c r="R1294" s="440"/>
      <c r="S1294" s="440"/>
      <c r="T1294" s="440"/>
      <c r="U1294" s="440"/>
      <c r="V1294" s="440"/>
      <c r="W1294" s="440"/>
      <c r="X1294" s="440"/>
      <c r="Y1294" s="444">
        <f t="shared" si="17"/>
        <v>0</v>
      </c>
      <c r="Z1294" s="445"/>
      <c r="AA1294" s="446">
        <f t="shared" ref="AA1294:AE1294" si="655">$J1294*E1294</f>
        <v>0</v>
      </c>
      <c r="AB1294" s="447">
        <f t="shared" si="655"/>
        <v>0</v>
      </c>
      <c r="AC1294" s="447">
        <f t="shared" si="655"/>
        <v>0</v>
      </c>
      <c r="AD1294" s="447">
        <f t="shared" si="655"/>
        <v>0</v>
      </c>
      <c r="AE1294" s="448">
        <f t="shared" si="655"/>
        <v>0</v>
      </c>
      <c r="AF1294" s="449"/>
      <c r="AG1294" s="449"/>
      <c r="AH1294" s="449"/>
    </row>
    <row r="1295" ht="11.25" customHeight="1">
      <c r="A1295" s="450"/>
      <c r="B1295" s="451"/>
      <c r="C1295" s="452"/>
      <c r="D1295" s="452"/>
      <c r="E1295" s="453"/>
      <c r="F1295" s="453"/>
      <c r="G1295" s="454"/>
      <c r="H1295" s="454"/>
      <c r="I1295" s="455"/>
      <c r="J1295" s="456"/>
      <c r="K1295" s="457" t="s">
        <v>1416</v>
      </c>
      <c r="L1295" s="458"/>
      <c r="M1295" s="459"/>
      <c r="N1295" s="460"/>
      <c r="O1295" s="460"/>
      <c r="P1295" s="461"/>
      <c r="Q1295" s="458"/>
      <c r="R1295" s="459"/>
      <c r="S1295" s="459"/>
      <c r="T1295" s="459"/>
      <c r="U1295" s="459"/>
      <c r="V1295" s="459"/>
      <c r="W1295" s="459"/>
      <c r="X1295" s="459"/>
      <c r="Y1295" s="462">
        <f t="shared" si="17"/>
        <v>0</v>
      </c>
      <c r="Z1295" s="463"/>
      <c r="AA1295" s="464"/>
      <c r="AB1295" s="465"/>
      <c r="AC1295" s="465"/>
      <c r="AD1295" s="465"/>
      <c r="AE1295" s="466"/>
      <c r="AF1295" s="449"/>
      <c r="AG1295" s="449"/>
      <c r="AH1295" s="449"/>
    </row>
    <row r="1296" ht="11.25" customHeight="1">
      <c r="A1296" s="450"/>
      <c r="B1296" s="451"/>
      <c r="C1296" s="452"/>
      <c r="D1296" s="452"/>
      <c r="E1296" s="453"/>
      <c r="F1296" s="453"/>
      <c r="G1296" s="454"/>
      <c r="H1296" s="454"/>
      <c r="I1296" s="455"/>
      <c r="J1296" s="456"/>
      <c r="K1296" s="467" t="s">
        <v>1417</v>
      </c>
      <c r="L1296" s="468"/>
      <c r="M1296" s="469"/>
      <c r="N1296" s="470"/>
      <c r="O1296" s="470"/>
      <c r="P1296" s="471"/>
      <c r="Q1296" s="468"/>
      <c r="R1296" s="469"/>
      <c r="S1296" s="469"/>
      <c r="T1296" s="469"/>
      <c r="U1296" s="469"/>
      <c r="V1296" s="469"/>
      <c r="W1296" s="469"/>
      <c r="X1296" s="469"/>
      <c r="Y1296" s="462">
        <f t="shared" si="17"/>
        <v>0</v>
      </c>
      <c r="Z1296" s="463"/>
      <c r="AA1296" s="464"/>
      <c r="AB1296" s="465"/>
      <c r="AC1296" s="465"/>
      <c r="AD1296" s="465"/>
      <c r="AE1296" s="466"/>
      <c r="AF1296" s="449"/>
      <c r="AG1296" s="449"/>
      <c r="AH1296" s="449"/>
    </row>
    <row r="1297" ht="11.25" customHeight="1">
      <c r="A1297" s="450"/>
      <c r="B1297" s="472"/>
      <c r="C1297" s="473"/>
      <c r="D1297" s="473"/>
      <c r="E1297" s="474"/>
      <c r="F1297" s="474"/>
      <c r="G1297" s="475"/>
      <c r="H1297" s="475"/>
      <c r="I1297" s="476"/>
      <c r="J1297" s="477"/>
      <c r="K1297" s="478" t="s">
        <v>1418</v>
      </c>
      <c r="L1297" s="479"/>
      <c r="M1297" s="480"/>
      <c r="N1297" s="481"/>
      <c r="O1297" s="481"/>
      <c r="P1297" s="482"/>
      <c r="Q1297" s="479"/>
      <c r="R1297" s="480"/>
      <c r="S1297" s="480"/>
      <c r="T1297" s="480"/>
      <c r="U1297" s="480"/>
      <c r="V1297" s="480"/>
      <c r="W1297" s="480"/>
      <c r="X1297" s="480"/>
      <c r="Y1297" s="483">
        <f t="shared" si="17"/>
        <v>0</v>
      </c>
      <c r="Z1297" s="484"/>
      <c r="AA1297" s="485"/>
      <c r="AB1297" s="486"/>
      <c r="AC1297" s="486"/>
      <c r="AD1297" s="486"/>
      <c r="AE1297" s="487"/>
      <c r="AF1297" s="449"/>
      <c r="AG1297" s="449"/>
      <c r="AH1297" s="449"/>
    </row>
    <row r="1298" ht="11.25" customHeight="1">
      <c r="A1298" s="431" t="str">
        <f>IF(B1298="","", YEAR(B1298))</f>
        <v/>
      </c>
      <c r="B1298" s="432"/>
      <c r="C1298" s="433"/>
      <c r="D1298" s="433"/>
      <c r="E1298" s="434" t="str">
        <f t="shared" ref="E1298:I1298" si="656">IFERROR(AVERAGE(L1298:L1301),"")</f>
        <v/>
      </c>
      <c r="F1298" s="434" t="str">
        <f t="shared" si="656"/>
        <v/>
      </c>
      <c r="G1298" s="435" t="str">
        <f t="shared" si="656"/>
        <v/>
      </c>
      <c r="H1298" s="435" t="str">
        <f t="shared" si="656"/>
        <v/>
      </c>
      <c r="I1298" s="436" t="str">
        <f t="shared" si="656"/>
        <v/>
      </c>
      <c r="J1298" s="437">
        <f>SUMIFS(PRODUCTION[KG],PRODUCTION[GRADE],"3X50",PRODUCTION[DATE],B1298,PRODUCTION[BATCH],C1298,PRODUCTION[SHIFT],D1298)</f>
        <v>0</v>
      </c>
      <c r="K1298" s="438" t="s">
        <v>1414</v>
      </c>
      <c r="L1298" s="443"/>
      <c r="M1298" s="440"/>
      <c r="N1298" s="441"/>
      <c r="O1298" s="441"/>
      <c r="P1298" s="442"/>
      <c r="Q1298" s="443"/>
      <c r="R1298" s="440"/>
      <c r="S1298" s="440"/>
      <c r="T1298" s="440"/>
      <c r="U1298" s="440"/>
      <c r="V1298" s="440"/>
      <c r="W1298" s="440"/>
      <c r="X1298" s="440"/>
      <c r="Y1298" s="444">
        <f t="shared" si="17"/>
        <v>0</v>
      </c>
      <c r="Z1298" s="445"/>
      <c r="AA1298" s="446">
        <f t="shared" ref="AA1298:AE1298" si="657">$J1298*E1298</f>
        <v>0</v>
      </c>
      <c r="AB1298" s="447">
        <f t="shared" si="657"/>
        <v>0</v>
      </c>
      <c r="AC1298" s="447">
        <f t="shared" si="657"/>
        <v>0</v>
      </c>
      <c r="AD1298" s="447">
        <f t="shared" si="657"/>
        <v>0</v>
      </c>
      <c r="AE1298" s="448">
        <f t="shared" si="657"/>
        <v>0</v>
      </c>
      <c r="AF1298" s="449"/>
      <c r="AG1298" s="449"/>
      <c r="AH1298" s="449"/>
    </row>
    <row r="1299" ht="11.25" customHeight="1">
      <c r="A1299" s="450"/>
      <c r="B1299" s="451"/>
      <c r="C1299" s="452"/>
      <c r="D1299" s="452"/>
      <c r="E1299" s="453"/>
      <c r="F1299" s="453"/>
      <c r="G1299" s="454"/>
      <c r="H1299" s="454"/>
      <c r="I1299" s="455"/>
      <c r="J1299" s="456"/>
      <c r="K1299" s="457" t="s">
        <v>1416</v>
      </c>
      <c r="L1299" s="458"/>
      <c r="M1299" s="459"/>
      <c r="N1299" s="460"/>
      <c r="O1299" s="460"/>
      <c r="P1299" s="461"/>
      <c r="Q1299" s="458"/>
      <c r="R1299" s="459"/>
      <c r="S1299" s="459"/>
      <c r="T1299" s="459"/>
      <c r="U1299" s="459"/>
      <c r="V1299" s="459"/>
      <c r="W1299" s="459"/>
      <c r="X1299" s="459"/>
      <c r="Y1299" s="462">
        <f t="shared" si="17"/>
        <v>0</v>
      </c>
      <c r="Z1299" s="463"/>
      <c r="AA1299" s="464"/>
      <c r="AB1299" s="465"/>
      <c r="AC1299" s="465"/>
      <c r="AD1299" s="465"/>
      <c r="AE1299" s="466"/>
      <c r="AF1299" s="449"/>
      <c r="AG1299" s="449"/>
      <c r="AH1299" s="449"/>
    </row>
    <row r="1300" ht="11.25" customHeight="1">
      <c r="A1300" s="450"/>
      <c r="B1300" s="451"/>
      <c r="C1300" s="452"/>
      <c r="D1300" s="452"/>
      <c r="E1300" s="453"/>
      <c r="F1300" s="453"/>
      <c r="G1300" s="454"/>
      <c r="H1300" s="454"/>
      <c r="I1300" s="455"/>
      <c r="J1300" s="456"/>
      <c r="K1300" s="467" t="s">
        <v>1417</v>
      </c>
      <c r="L1300" s="468"/>
      <c r="M1300" s="469"/>
      <c r="N1300" s="470"/>
      <c r="O1300" s="470"/>
      <c r="P1300" s="471"/>
      <c r="Q1300" s="468"/>
      <c r="R1300" s="469"/>
      <c r="S1300" s="469"/>
      <c r="T1300" s="469"/>
      <c r="U1300" s="469"/>
      <c r="V1300" s="469"/>
      <c r="W1300" s="469"/>
      <c r="X1300" s="469"/>
      <c r="Y1300" s="462">
        <f t="shared" si="17"/>
        <v>0</v>
      </c>
      <c r="Z1300" s="463"/>
      <c r="AA1300" s="464"/>
      <c r="AB1300" s="465"/>
      <c r="AC1300" s="465"/>
      <c r="AD1300" s="465"/>
      <c r="AE1300" s="466"/>
      <c r="AF1300" s="449"/>
      <c r="AG1300" s="449"/>
      <c r="AH1300" s="449"/>
    </row>
    <row r="1301" ht="11.25" customHeight="1">
      <c r="A1301" s="450"/>
      <c r="B1301" s="472"/>
      <c r="C1301" s="473"/>
      <c r="D1301" s="473"/>
      <c r="E1301" s="474"/>
      <c r="F1301" s="474"/>
      <c r="G1301" s="475"/>
      <c r="H1301" s="475"/>
      <c r="I1301" s="476"/>
      <c r="J1301" s="477"/>
      <c r="K1301" s="478" t="s">
        <v>1418</v>
      </c>
      <c r="L1301" s="479"/>
      <c r="M1301" s="480"/>
      <c r="N1301" s="481"/>
      <c r="O1301" s="481"/>
      <c r="P1301" s="482"/>
      <c r="Q1301" s="479"/>
      <c r="R1301" s="480"/>
      <c r="S1301" s="480"/>
      <c r="T1301" s="480"/>
      <c r="U1301" s="480"/>
      <c r="V1301" s="480"/>
      <c r="W1301" s="480"/>
      <c r="X1301" s="480"/>
      <c r="Y1301" s="483">
        <f t="shared" si="17"/>
        <v>0</v>
      </c>
      <c r="Z1301" s="484"/>
      <c r="AA1301" s="485"/>
      <c r="AB1301" s="486"/>
      <c r="AC1301" s="486"/>
      <c r="AD1301" s="486"/>
      <c r="AE1301" s="487"/>
      <c r="AF1301" s="449"/>
      <c r="AG1301" s="449"/>
      <c r="AH1301" s="449"/>
    </row>
    <row r="1302" ht="11.25" customHeight="1">
      <c r="A1302" s="431" t="str">
        <f>IF(B1302="","", YEAR(B1302))</f>
        <v/>
      </c>
      <c r="B1302" s="432"/>
      <c r="C1302" s="433"/>
      <c r="D1302" s="433"/>
      <c r="E1302" s="434" t="str">
        <f t="shared" ref="E1302:I1302" si="658">IFERROR(AVERAGE(L1302:L1305),"")</f>
        <v/>
      </c>
      <c r="F1302" s="434" t="str">
        <f t="shared" si="658"/>
        <v/>
      </c>
      <c r="G1302" s="435" t="str">
        <f t="shared" si="658"/>
        <v/>
      </c>
      <c r="H1302" s="435" t="str">
        <f t="shared" si="658"/>
        <v/>
      </c>
      <c r="I1302" s="436" t="str">
        <f t="shared" si="658"/>
        <v/>
      </c>
      <c r="J1302" s="437">
        <f>SUMIFS(PRODUCTION[KG],PRODUCTION[GRADE],"3X50",PRODUCTION[DATE],B1302,PRODUCTION[BATCH],C1302,PRODUCTION[SHIFT],D1302)</f>
        <v>0</v>
      </c>
      <c r="K1302" s="438" t="s">
        <v>1414</v>
      </c>
      <c r="L1302" s="443"/>
      <c r="M1302" s="440"/>
      <c r="N1302" s="441"/>
      <c r="O1302" s="441"/>
      <c r="P1302" s="442"/>
      <c r="Q1302" s="443"/>
      <c r="R1302" s="440"/>
      <c r="S1302" s="440"/>
      <c r="T1302" s="440"/>
      <c r="U1302" s="440"/>
      <c r="V1302" s="440"/>
      <c r="W1302" s="440"/>
      <c r="X1302" s="440"/>
      <c r="Y1302" s="444">
        <f t="shared" si="17"/>
        <v>0</v>
      </c>
      <c r="Z1302" s="445"/>
      <c r="AA1302" s="446">
        <f t="shared" ref="AA1302:AE1302" si="659">$J1302*E1302</f>
        <v>0</v>
      </c>
      <c r="AB1302" s="447">
        <f t="shared" si="659"/>
        <v>0</v>
      </c>
      <c r="AC1302" s="447">
        <f t="shared" si="659"/>
        <v>0</v>
      </c>
      <c r="AD1302" s="447">
        <f t="shared" si="659"/>
        <v>0</v>
      </c>
      <c r="AE1302" s="448">
        <f t="shared" si="659"/>
        <v>0</v>
      </c>
      <c r="AF1302" s="449"/>
      <c r="AG1302" s="449"/>
      <c r="AH1302" s="449"/>
    </row>
    <row r="1303" ht="11.25" customHeight="1">
      <c r="A1303" s="450"/>
      <c r="B1303" s="451"/>
      <c r="C1303" s="452"/>
      <c r="D1303" s="452"/>
      <c r="E1303" s="453"/>
      <c r="F1303" s="453"/>
      <c r="G1303" s="454"/>
      <c r="H1303" s="454"/>
      <c r="I1303" s="455"/>
      <c r="J1303" s="456"/>
      <c r="K1303" s="457" t="s">
        <v>1416</v>
      </c>
      <c r="L1303" s="458"/>
      <c r="M1303" s="459"/>
      <c r="N1303" s="460"/>
      <c r="O1303" s="460"/>
      <c r="P1303" s="461"/>
      <c r="Q1303" s="458"/>
      <c r="R1303" s="459"/>
      <c r="S1303" s="459"/>
      <c r="T1303" s="459"/>
      <c r="U1303" s="459"/>
      <c r="V1303" s="459"/>
      <c r="W1303" s="459"/>
      <c r="X1303" s="459"/>
      <c r="Y1303" s="462">
        <f t="shared" si="17"/>
        <v>0</v>
      </c>
      <c r="Z1303" s="463"/>
      <c r="AA1303" s="464"/>
      <c r="AB1303" s="465"/>
      <c r="AC1303" s="465"/>
      <c r="AD1303" s="465"/>
      <c r="AE1303" s="466"/>
      <c r="AF1303" s="449"/>
      <c r="AG1303" s="449"/>
      <c r="AH1303" s="449"/>
    </row>
    <row r="1304" ht="11.25" customHeight="1">
      <c r="A1304" s="450"/>
      <c r="B1304" s="451"/>
      <c r="C1304" s="452"/>
      <c r="D1304" s="452"/>
      <c r="E1304" s="453"/>
      <c r="F1304" s="453"/>
      <c r="G1304" s="454"/>
      <c r="H1304" s="454"/>
      <c r="I1304" s="455"/>
      <c r="J1304" s="456"/>
      <c r="K1304" s="467" t="s">
        <v>1417</v>
      </c>
      <c r="L1304" s="468"/>
      <c r="M1304" s="469"/>
      <c r="N1304" s="470"/>
      <c r="O1304" s="470"/>
      <c r="P1304" s="471"/>
      <c r="Q1304" s="468"/>
      <c r="R1304" s="469"/>
      <c r="S1304" s="469"/>
      <c r="T1304" s="469"/>
      <c r="U1304" s="469"/>
      <c r="V1304" s="469"/>
      <c r="W1304" s="469"/>
      <c r="X1304" s="469"/>
      <c r="Y1304" s="462">
        <f t="shared" si="17"/>
        <v>0</v>
      </c>
      <c r="Z1304" s="463"/>
      <c r="AA1304" s="464"/>
      <c r="AB1304" s="465"/>
      <c r="AC1304" s="465"/>
      <c r="AD1304" s="465"/>
      <c r="AE1304" s="466"/>
      <c r="AF1304" s="449"/>
      <c r="AG1304" s="449"/>
      <c r="AH1304" s="449"/>
    </row>
    <row r="1305" ht="11.25" customHeight="1">
      <c r="A1305" s="450"/>
      <c r="B1305" s="472"/>
      <c r="C1305" s="473"/>
      <c r="D1305" s="473"/>
      <c r="E1305" s="474"/>
      <c r="F1305" s="474"/>
      <c r="G1305" s="475"/>
      <c r="H1305" s="475"/>
      <c r="I1305" s="476"/>
      <c r="J1305" s="477"/>
      <c r="K1305" s="478" t="s">
        <v>1418</v>
      </c>
      <c r="L1305" s="479"/>
      <c r="M1305" s="480"/>
      <c r="N1305" s="481"/>
      <c r="O1305" s="481"/>
      <c r="P1305" s="482"/>
      <c r="Q1305" s="479"/>
      <c r="R1305" s="480"/>
      <c r="S1305" s="480"/>
      <c r="T1305" s="480"/>
      <c r="U1305" s="480"/>
      <c r="V1305" s="480"/>
      <c r="W1305" s="480"/>
      <c r="X1305" s="480"/>
      <c r="Y1305" s="483">
        <f t="shared" si="17"/>
        <v>0</v>
      </c>
      <c r="Z1305" s="484"/>
      <c r="AA1305" s="485"/>
      <c r="AB1305" s="486"/>
      <c r="AC1305" s="486"/>
      <c r="AD1305" s="486"/>
      <c r="AE1305" s="487"/>
      <c r="AF1305" s="449"/>
      <c r="AG1305" s="449"/>
      <c r="AH1305" s="449"/>
    </row>
    <row r="1306" ht="11.25" customHeight="1">
      <c r="A1306" s="431" t="str">
        <f>IF(B1306="","", YEAR(B1306))</f>
        <v/>
      </c>
      <c r="B1306" s="432"/>
      <c r="C1306" s="433"/>
      <c r="D1306" s="433"/>
      <c r="E1306" s="434" t="str">
        <f t="shared" ref="E1306:I1306" si="660">IFERROR(AVERAGE(L1306:L1309),"")</f>
        <v/>
      </c>
      <c r="F1306" s="434" t="str">
        <f t="shared" si="660"/>
        <v/>
      </c>
      <c r="G1306" s="435" t="str">
        <f t="shared" si="660"/>
        <v/>
      </c>
      <c r="H1306" s="435" t="str">
        <f t="shared" si="660"/>
        <v/>
      </c>
      <c r="I1306" s="436" t="str">
        <f t="shared" si="660"/>
        <v/>
      </c>
      <c r="J1306" s="437">
        <f>SUMIFS(PRODUCTION[KG],PRODUCTION[GRADE],"3X50",PRODUCTION[DATE],B1306,PRODUCTION[BATCH],C1306,PRODUCTION[SHIFT],D1306)</f>
        <v>0</v>
      </c>
      <c r="K1306" s="438" t="s">
        <v>1414</v>
      </c>
      <c r="L1306" s="443"/>
      <c r="M1306" s="440"/>
      <c r="N1306" s="441"/>
      <c r="O1306" s="441"/>
      <c r="P1306" s="442"/>
      <c r="Q1306" s="443"/>
      <c r="R1306" s="440"/>
      <c r="S1306" s="440"/>
      <c r="T1306" s="440"/>
      <c r="U1306" s="440"/>
      <c r="V1306" s="440"/>
      <c r="W1306" s="440"/>
      <c r="X1306" s="440"/>
      <c r="Y1306" s="444">
        <f t="shared" si="17"/>
        <v>0</v>
      </c>
      <c r="Z1306" s="445"/>
      <c r="AA1306" s="446">
        <f t="shared" ref="AA1306:AE1306" si="661">$J1306*E1306</f>
        <v>0</v>
      </c>
      <c r="AB1306" s="447">
        <f t="shared" si="661"/>
        <v>0</v>
      </c>
      <c r="AC1306" s="447">
        <f t="shared" si="661"/>
        <v>0</v>
      </c>
      <c r="AD1306" s="447">
        <f t="shared" si="661"/>
        <v>0</v>
      </c>
      <c r="AE1306" s="448">
        <f t="shared" si="661"/>
        <v>0</v>
      </c>
      <c r="AF1306" s="449"/>
      <c r="AG1306" s="449"/>
      <c r="AH1306" s="449"/>
    </row>
    <row r="1307" ht="11.25" customHeight="1">
      <c r="A1307" s="450"/>
      <c r="B1307" s="451"/>
      <c r="C1307" s="452"/>
      <c r="D1307" s="452"/>
      <c r="E1307" s="453"/>
      <c r="F1307" s="453"/>
      <c r="G1307" s="454"/>
      <c r="H1307" s="454"/>
      <c r="I1307" s="455"/>
      <c r="J1307" s="456"/>
      <c r="K1307" s="457" t="s">
        <v>1416</v>
      </c>
      <c r="L1307" s="458"/>
      <c r="M1307" s="459"/>
      <c r="N1307" s="460"/>
      <c r="O1307" s="460"/>
      <c r="P1307" s="461"/>
      <c r="Q1307" s="458"/>
      <c r="R1307" s="459"/>
      <c r="S1307" s="459"/>
      <c r="T1307" s="459"/>
      <c r="U1307" s="459"/>
      <c r="V1307" s="459"/>
      <c r="W1307" s="459"/>
      <c r="X1307" s="459"/>
      <c r="Y1307" s="462">
        <f t="shared" si="17"/>
        <v>0</v>
      </c>
      <c r="Z1307" s="463"/>
      <c r="AA1307" s="464"/>
      <c r="AB1307" s="465"/>
      <c r="AC1307" s="465"/>
      <c r="AD1307" s="465"/>
      <c r="AE1307" s="466"/>
      <c r="AF1307" s="449"/>
      <c r="AG1307" s="449"/>
      <c r="AH1307" s="449"/>
    </row>
    <row r="1308" ht="11.25" customHeight="1">
      <c r="A1308" s="450"/>
      <c r="B1308" s="451"/>
      <c r="C1308" s="452"/>
      <c r="D1308" s="452"/>
      <c r="E1308" s="453"/>
      <c r="F1308" s="453"/>
      <c r="G1308" s="454"/>
      <c r="H1308" s="454"/>
      <c r="I1308" s="455"/>
      <c r="J1308" s="456"/>
      <c r="K1308" s="467" t="s">
        <v>1417</v>
      </c>
      <c r="L1308" s="468"/>
      <c r="M1308" s="469"/>
      <c r="N1308" s="470"/>
      <c r="O1308" s="470"/>
      <c r="P1308" s="471"/>
      <c r="Q1308" s="468"/>
      <c r="R1308" s="469"/>
      <c r="S1308" s="469"/>
      <c r="T1308" s="469"/>
      <c r="U1308" s="469"/>
      <c r="V1308" s="469"/>
      <c r="W1308" s="469"/>
      <c r="X1308" s="469"/>
      <c r="Y1308" s="462">
        <f t="shared" si="17"/>
        <v>0</v>
      </c>
      <c r="Z1308" s="463"/>
      <c r="AA1308" s="464"/>
      <c r="AB1308" s="465"/>
      <c r="AC1308" s="465"/>
      <c r="AD1308" s="465"/>
      <c r="AE1308" s="466"/>
      <c r="AF1308" s="449"/>
      <c r="AG1308" s="449"/>
      <c r="AH1308" s="449"/>
    </row>
    <row r="1309" ht="11.25" customHeight="1">
      <c r="A1309" s="450"/>
      <c r="B1309" s="472"/>
      <c r="C1309" s="473"/>
      <c r="D1309" s="473"/>
      <c r="E1309" s="474"/>
      <c r="F1309" s="474"/>
      <c r="G1309" s="475"/>
      <c r="H1309" s="475"/>
      <c r="I1309" s="476"/>
      <c r="J1309" s="477"/>
      <c r="K1309" s="478" t="s">
        <v>1418</v>
      </c>
      <c r="L1309" s="479"/>
      <c r="M1309" s="480"/>
      <c r="N1309" s="481"/>
      <c r="O1309" s="481"/>
      <c r="P1309" s="482"/>
      <c r="Q1309" s="479"/>
      <c r="R1309" s="480"/>
      <c r="S1309" s="480"/>
      <c r="T1309" s="480"/>
      <c r="U1309" s="480"/>
      <c r="V1309" s="480"/>
      <c r="W1309" s="480"/>
      <c r="X1309" s="480"/>
      <c r="Y1309" s="483">
        <f t="shared" si="17"/>
        <v>0</v>
      </c>
      <c r="Z1309" s="484"/>
      <c r="AA1309" s="485"/>
      <c r="AB1309" s="486"/>
      <c r="AC1309" s="486"/>
      <c r="AD1309" s="486"/>
      <c r="AE1309" s="487"/>
      <c r="AF1309" s="449"/>
      <c r="AG1309" s="449"/>
      <c r="AH1309" s="449"/>
    </row>
    <row r="1310" ht="11.25" customHeight="1">
      <c r="A1310" s="431" t="str">
        <f>IF(B1310="","", YEAR(B1310))</f>
        <v/>
      </c>
      <c r="B1310" s="432"/>
      <c r="C1310" s="433"/>
      <c r="D1310" s="433"/>
      <c r="E1310" s="434" t="str">
        <f t="shared" ref="E1310:I1310" si="662">IFERROR(AVERAGE(L1310:L1313),"")</f>
        <v/>
      </c>
      <c r="F1310" s="434" t="str">
        <f t="shared" si="662"/>
        <v/>
      </c>
      <c r="G1310" s="435" t="str">
        <f t="shared" si="662"/>
        <v/>
      </c>
      <c r="H1310" s="435" t="str">
        <f t="shared" si="662"/>
        <v/>
      </c>
      <c r="I1310" s="436" t="str">
        <f t="shared" si="662"/>
        <v/>
      </c>
      <c r="J1310" s="437">
        <f>SUMIFS(PRODUCTION[KG],PRODUCTION[GRADE],"3X50",PRODUCTION[DATE],B1310,PRODUCTION[BATCH],C1310,PRODUCTION[SHIFT],D1310)</f>
        <v>0</v>
      </c>
      <c r="K1310" s="438" t="s">
        <v>1414</v>
      </c>
      <c r="L1310" s="443"/>
      <c r="M1310" s="440"/>
      <c r="N1310" s="441"/>
      <c r="O1310" s="441"/>
      <c r="P1310" s="442"/>
      <c r="Q1310" s="443"/>
      <c r="R1310" s="440"/>
      <c r="S1310" s="440"/>
      <c r="T1310" s="440"/>
      <c r="U1310" s="440"/>
      <c r="V1310" s="440"/>
      <c r="W1310" s="440"/>
      <c r="X1310" s="440"/>
      <c r="Y1310" s="444">
        <f t="shared" si="17"/>
        <v>0</v>
      </c>
      <c r="Z1310" s="445"/>
      <c r="AA1310" s="446">
        <f t="shared" ref="AA1310:AE1310" si="663">$J1310*E1310</f>
        <v>0</v>
      </c>
      <c r="AB1310" s="447">
        <f t="shared" si="663"/>
        <v>0</v>
      </c>
      <c r="AC1310" s="447">
        <f t="shared" si="663"/>
        <v>0</v>
      </c>
      <c r="AD1310" s="447">
        <f t="shared" si="663"/>
        <v>0</v>
      </c>
      <c r="AE1310" s="448">
        <f t="shared" si="663"/>
        <v>0</v>
      </c>
      <c r="AF1310" s="449"/>
      <c r="AG1310" s="449"/>
      <c r="AH1310" s="449"/>
    </row>
    <row r="1311" ht="11.25" customHeight="1">
      <c r="A1311" s="450"/>
      <c r="B1311" s="451"/>
      <c r="C1311" s="452"/>
      <c r="D1311" s="452"/>
      <c r="E1311" s="453"/>
      <c r="F1311" s="453"/>
      <c r="G1311" s="454"/>
      <c r="H1311" s="454"/>
      <c r="I1311" s="455"/>
      <c r="J1311" s="456"/>
      <c r="K1311" s="457" t="s">
        <v>1416</v>
      </c>
      <c r="L1311" s="458"/>
      <c r="M1311" s="459"/>
      <c r="N1311" s="460"/>
      <c r="O1311" s="460"/>
      <c r="P1311" s="461"/>
      <c r="Q1311" s="458"/>
      <c r="R1311" s="459"/>
      <c r="S1311" s="459"/>
      <c r="T1311" s="459"/>
      <c r="U1311" s="459"/>
      <c r="V1311" s="459"/>
      <c r="W1311" s="459"/>
      <c r="X1311" s="459"/>
      <c r="Y1311" s="462">
        <f t="shared" si="17"/>
        <v>0</v>
      </c>
      <c r="Z1311" s="463"/>
      <c r="AA1311" s="464"/>
      <c r="AB1311" s="465"/>
      <c r="AC1311" s="465"/>
      <c r="AD1311" s="465"/>
      <c r="AE1311" s="466"/>
      <c r="AF1311" s="449"/>
      <c r="AG1311" s="449"/>
      <c r="AH1311" s="449"/>
    </row>
    <row r="1312" ht="11.25" customHeight="1">
      <c r="A1312" s="450"/>
      <c r="B1312" s="451"/>
      <c r="C1312" s="452"/>
      <c r="D1312" s="452"/>
      <c r="E1312" s="453"/>
      <c r="F1312" s="453"/>
      <c r="G1312" s="454"/>
      <c r="H1312" s="454"/>
      <c r="I1312" s="455"/>
      <c r="J1312" s="456"/>
      <c r="K1312" s="467" t="s">
        <v>1417</v>
      </c>
      <c r="L1312" s="468"/>
      <c r="M1312" s="469"/>
      <c r="N1312" s="470"/>
      <c r="O1312" s="470"/>
      <c r="P1312" s="471"/>
      <c r="Q1312" s="468"/>
      <c r="R1312" s="469"/>
      <c r="S1312" s="469"/>
      <c r="T1312" s="469"/>
      <c r="U1312" s="469"/>
      <c r="V1312" s="469"/>
      <c r="W1312" s="469"/>
      <c r="X1312" s="469"/>
      <c r="Y1312" s="462">
        <f t="shared" si="17"/>
        <v>0</v>
      </c>
      <c r="Z1312" s="463"/>
      <c r="AA1312" s="464"/>
      <c r="AB1312" s="465"/>
      <c r="AC1312" s="465"/>
      <c r="AD1312" s="465"/>
      <c r="AE1312" s="466"/>
      <c r="AF1312" s="449"/>
      <c r="AG1312" s="449"/>
      <c r="AH1312" s="449"/>
    </row>
    <row r="1313" ht="11.25" customHeight="1">
      <c r="A1313" s="450"/>
      <c r="B1313" s="472"/>
      <c r="C1313" s="473"/>
      <c r="D1313" s="473"/>
      <c r="E1313" s="474"/>
      <c r="F1313" s="474"/>
      <c r="G1313" s="475"/>
      <c r="H1313" s="475"/>
      <c r="I1313" s="476"/>
      <c r="J1313" s="477"/>
      <c r="K1313" s="478" t="s">
        <v>1418</v>
      </c>
      <c r="L1313" s="479"/>
      <c r="M1313" s="480"/>
      <c r="N1313" s="481"/>
      <c r="O1313" s="481"/>
      <c r="P1313" s="482"/>
      <c r="Q1313" s="479"/>
      <c r="R1313" s="480"/>
      <c r="S1313" s="480"/>
      <c r="T1313" s="480"/>
      <c r="U1313" s="480"/>
      <c r="V1313" s="480"/>
      <c r="W1313" s="480"/>
      <c r="X1313" s="480"/>
      <c r="Y1313" s="483">
        <f t="shared" si="17"/>
        <v>0</v>
      </c>
      <c r="Z1313" s="484"/>
      <c r="AA1313" s="485"/>
      <c r="AB1313" s="486"/>
      <c r="AC1313" s="486"/>
      <c r="AD1313" s="486"/>
      <c r="AE1313" s="487"/>
      <c r="AF1313" s="449"/>
      <c r="AG1313" s="449"/>
      <c r="AH1313" s="449"/>
    </row>
    <row r="1314" ht="11.25" customHeight="1">
      <c r="A1314" s="431" t="str">
        <f>IF(B1314="","", YEAR(B1314))</f>
        <v/>
      </c>
      <c r="B1314" s="432"/>
      <c r="C1314" s="433"/>
      <c r="D1314" s="433"/>
      <c r="E1314" s="434" t="str">
        <f t="shared" ref="E1314:I1314" si="664">IFERROR(AVERAGE(L1314:L1317),"")</f>
        <v/>
      </c>
      <c r="F1314" s="434" t="str">
        <f t="shared" si="664"/>
        <v/>
      </c>
      <c r="G1314" s="435" t="str">
        <f t="shared" si="664"/>
        <v/>
      </c>
      <c r="H1314" s="435" t="str">
        <f t="shared" si="664"/>
        <v/>
      </c>
      <c r="I1314" s="436" t="str">
        <f t="shared" si="664"/>
        <v/>
      </c>
      <c r="J1314" s="437">
        <f>SUMIFS(PRODUCTION[KG],PRODUCTION[GRADE],"3X50",PRODUCTION[DATE],B1314,PRODUCTION[BATCH],C1314,PRODUCTION[SHIFT],D1314)</f>
        <v>0</v>
      </c>
      <c r="K1314" s="438" t="s">
        <v>1414</v>
      </c>
      <c r="L1314" s="443"/>
      <c r="M1314" s="440"/>
      <c r="N1314" s="441"/>
      <c r="O1314" s="441"/>
      <c r="P1314" s="442"/>
      <c r="Q1314" s="443"/>
      <c r="R1314" s="440"/>
      <c r="S1314" s="440"/>
      <c r="T1314" s="440"/>
      <c r="U1314" s="440"/>
      <c r="V1314" s="440"/>
      <c r="W1314" s="440"/>
      <c r="X1314" s="440"/>
      <c r="Y1314" s="444">
        <f t="shared" si="17"/>
        <v>0</v>
      </c>
      <c r="Z1314" s="445"/>
      <c r="AA1314" s="446">
        <f t="shared" ref="AA1314:AE1314" si="665">$J1314*E1314</f>
        <v>0</v>
      </c>
      <c r="AB1314" s="447">
        <f t="shared" si="665"/>
        <v>0</v>
      </c>
      <c r="AC1314" s="447">
        <f t="shared" si="665"/>
        <v>0</v>
      </c>
      <c r="AD1314" s="447">
        <f t="shared" si="665"/>
        <v>0</v>
      </c>
      <c r="AE1314" s="448">
        <f t="shared" si="665"/>
        <v>0</v>
      </c>
      <c r="AF1314" s="449"/>
      <c r="AG1314" s="449"/>
      <c r="AH1314" s="449"/>
    </row>
    <row r="1315" ht="11.25" customHeight="1">
      <c r="A1315" s="450"/>
      <c r="B1315" s="451"/>
      <c r="C1315" s="452"/>
      <c r="D1315" s="452"/>
      <c r="E1315" s="453"/>
      <c r="F1315" s="453"/>
      <c r="G1315" s="454"/>
      <c r="H1315" s="454"/>
      <c r="I1315" s="455"/>
      <c r="J1315" s="456"/>
      <c r="K1315" s="457" t="s">
        <v>1416</v>
      </c>
      <c r="L1315" s="458"/>
      <c r="M1315" s="459"/>
      <c r="N1315" s="460"/>
      <c r="O1315" s="460"/>
      <c r="P1315" s="461"/>
      <c r="Q1315" s="458"/>
      <c r="R1315" s="459"/>
      <c r="S1315" s="459"/>
      <c r="T1315" s="459"/>
      <c r="U1315" s="459"/>
      <c r="V1315" s="459"/>
      <c r="W1315" s="459"/>
      <c r="X1315" s="459"/>
      <c r="Y1315" s="462">
        <f t="shared" si="17"/>
        <v>0</v>
      </c>
      <c r="Z1315" s="463"/>
      <c r="AA1315" s="464"/>
      <c r="AB1315" s="465"/>
      <c r="AC1315" s="465"/>
      <c r="AD1315" s="465"/>
      <c r="AE1315" s="466"/>
      <c r="AF1315" s="449"/>
      <c r="AG1315" s="449"/>
      <c r="AH1315" s="449"/>
    </row>
    <row r="1316" ht="11.25" customHeight="1">
      <c r="A1316" s="450"/>
      <c r="B1316" s="451"/>
      <c r="C1316" s="452"/>
      <c r="D1316" s="452"/>
      <c r="E1316" s="453"/>
      <c r="F1316" s="453"/>
      <c r="G1316" s="454"/>
      <c r="H1316" s="454"/>
      <c r="I1316" s="455"/>
      <c r="J1316" s="456"/>
      <c r="K1316" s="467" t="s">
        <v>1417</v>
      </c>
      <c r="L1316" s="468"/>
      <c r="M1316" s="469"/>
      <c r="N1316" s="470"/>
      <c r="O1316" s="470"/>
      <c r="P1316" s="471"/>
      <c r="Q1316" s="468"/>
      <c r="R1316" s="469"/>
      <c r="S1316" s="469"/>
      <c r="T1316" s="469"/>
      <c r="U1316" s="469"/>
      <c r="V1316" s="469"/>
      <c r="W1316" s="469"/>
      <c r="X1316" s="469"/>
      <c r="Y1316" s="462">
        <f t="shared" si="17"/>
        <v>0</v>
      </c>
      <c r="Z1316" s="463"/>
      <c r="AA1316" s="464"/>
      <c r="AB1316" s="465"/>
      <c r="AC1316" s="465"/>
      <c r="AD1316" s="465"/>
      <c r="AE1316" s="466"/>
      <c r="AF1316" s="449"/>
      <c r="AG1316" s="449"/>
      <c r="AH1316" s="449"/>
    </row>
    <row r="1317" ht="11.25" customHeight="1">
      <c r="A1317" s="450"/>
      <c r="B1317" s="472"/>
      <c r="C1317" s="473"/>
      <c r="D1317" s="473"/>
      <c r="E1317" s="474"/>
      <c r="F1317" s="474"/>
      <c r="G1317" s="475"/>
      <c r="H1317" s="475"/>
      <c r="I1317" s="476"/>
      <c r="J1317" s="477"/>
      <c r="K1317" s="478" t="s">
        <v>1418</v>
      </c>
      <c r="L1317" s="479"/>
      <c r="M1317" s="480"/>
      <c r="N1317" s="481"/>
      <c r="O1317" s="481"/>
      <c r="P1317" s="482"/>
      <c r="Q1317" s="479"/>
      <c r="R1317" s="480"/>
      <c r="S1317" s="480"/>
      <c r="T1317" s="480"/>
      <c r="U1317" s="480"/>
      <c r="V1317" s="480"/>
      <c r="W1317" s="480"/>
      <c r="X1317" s="480"/>
      <c r="Y1317" s="483">
        <f t="shared" si="17"/>
        <v>0</v>
      </c>
      <c r="Z1317" s="484"/>
      <c r="AA1317" s="485"/>
      <c r="AB1317" s="486"/>
      <c r="AC1317" s="486"/>
      <c r="AD1317" s="486"/>
      <c r="AE1317" s="487"/>
      <c r="AF1317" s="449"/>
      <c r="AG1317" s="449"/>
      <c r="AH1317" s="449"/>
    </row>
    <row r="1318" ht="11.25" customHeight="1">
      <c r="A1318" s="431" t="str">
        <f>IF(B1318="","", YEAR(B1318))</f>
        <v/>
      </c>
      <c r="B1318" s="432"/>
      <c r="C1318" s="433"/>
      <c r="D1318" s="433"/>
      <c r="E1318" s="434" t="str">
        <f t="shared" ref="E1318:I1318" si="666">IFERROR(AVERAGE(L1318:L1321),"")</f>
        <v/>
      </c>
      <c r="F1318" s="434" t="str">
        <f t="shared" si="666"/>
        <v/>
      </c>
      <c r="G1318" s="435" t="str">
        <f t="shared" si="666"/>
        <v/>
      </c>
      <c r="H1318" s="435" t="str">
        <f t="shared" si="666"/>
        <v/>
      </c>
      <c r="I1318" s="436" t="str">
        <f t="shared" si="666"/>
        <v/>
      </c>
      <c r="J1318" s="437">
        <f>SUMIFS(PRODUCTION[KG],PRODUCTION[GRADE],"3X50",PRODUCTION[DATE],B1318,PRODUCTION[BATCH],C1318,PRODUCTION[SHIFT],D1318)</f>
        <v>0</v>
      </c>
      <c r="K1318" s="438" t="s">
        <v>1414</v>
      </c>
      <c r="L1318" s="443"/>
      <c r="M1318" s="440"/>
      <c r="N1318" s="441"/>
      <c r="O1318" s="441"/>
      <c r="P1318" s="442"/>
      <c r="Q1318" s="443"/>
      <c r="R1318" s="440"/>
      <c r="S1318" s="440"/>
      <c r="T1318" s="440"/>
      <c r="U1318" s="440"/>
      <c r="V1318" s="440"/>
      <c r="W1318" s="440"/>
      <c r="X1318" s="440"/>
      <c r="Y1318" s="444">
        <f t="shared" si="17"/>
        <v>0</v>
      </c>
      <c r="Z1318" s="445"/>
      <c r="AA1318" s="446">
        <f t="shared" ref="AA1318:AE1318" si="667">$J1318*E1318</f>
        <v>0</v>
      </c>
      <c r="AB1318" s="447">
        <f t="shared" si="667"/>
        <v>0</v>
      </c>
      <c r="AC1318" s="447">
        <f t="shared" si="667"/>
        <v>0</v>
      </c>
      <c r="AD1318" s="447">
        <f t="shared" si="667"/>
        <v>0</v>
      </c>
      <c r="AE1318" s="448">
        <f t="shared" si="667"/>
        <v>0</v>
      </c>
      <c r="AF1318" s="449"/>
      <c r="AG1318" s="449"/>
      <c r="AH1318" s="449"/>
    </row>
    <row r="1319" ht="11.25" customHeight="1">
      <c r="A1319" s="450"/>
      <c r="B1319" s="451"/>
      <c r="C1319" s="452"/>
      <c r="D1319" s="452"/>
      <c r="E1319" s="453"/>
      <c r="F1319" s="453"/>
      <c r="G1319" s="454"/>
      <c r="H1319" s="454"/>
      <c r="I1319" s="455"/>
      <c r="J1319" s="456"/>
      <c r="K1319" s="457" t="s">
        <v>1416</v>
      </c>
      <c r="L1319" s="458"/>
      <c r="M1319" s="459"/>
      <c r="N1319" s="460"/>
      <c r="O1319" s="460"/>
      <c r="P1319" s="461"/>
      <c r="Q1319" s="458"/>
      <c r="R1319" s="459"/>
      <c r="S1319" s="459"/>
      <c r="T1319" s="459"/>
      <c r="U1319" s="459"/>
      <c r="V1319" s="459"/>
      <c r="W1319" s="459"/>
      <c r="X1319" s="459"/>
      <c r="Y1319" s="462">
        <f t="shared" si="17"/>
        <v>0</v>
      </c>
      <c r="Z1319" s="463"/>
      <c r="AA1319" s="464"/>
      <c r="AB1319" s="465"/>
      <c r="AC1319" s="465"/>
      <c r="AD1319" s="465"/>
      <c r="AE1319" s="466"/>
      <c r="AF1319" s="449"/>
      <c r="AG1319" s="449"/>
      <c r="AH1319" s="449"/>
    </row>
    <row r="1320" ht="11.25" customHeight="1">
      <c r="A1320" s="450"/>
      <c r="B1320" s="451"/>
      <c r="C1320" s="452"/>
      <c r="D1320" s="452"/>
      <c r="E1320" s="453"/>
      <c r="F1320" s="453"/>
      <c r="G1320" s="454"/>
      <c r="H1320" s="454"/>
      <c r="I1320" s="455"/>
      <c r="J1320" s="456"/>
      <c r="K1320" s="467" t="s">
        <v>1417</v>
      </c>
      <c r="L1320" s="468"/>
      <c r="M1320" s="469"/>
      <c r="N1320" s="470"/>
      <c r="O1320" s="470"/>
      <c r="P1320" s="471"/>
      <c r="Q1320" s="468"/>
      <c r="R1320" s="469"/>
      <c r="S1320" s="469"/>
      <c r="T1320" s="469"/>
      <c r="U1320" s="469"/>
      <c r="V1320" s="469"/>
      <c r="W1320" s="469"/>
      <c r="X1320" s="469"/>
      <c r="Y1320" s="462">
        <f t="shared" si="17"/>
        <v>0</v>
      </c>
      <c r="Z1320" s="463"/>
      <c r="AA1320" s="464"/>
      <c r="AB1320" s="465"/>
      <c r="AC1320" s="465"/>
      <c r="AD1320" s="465"/>
      <c r="AE1320" s="466"/>
      <c r="AF1320" s="449"/>
      <c r="AG1320" s="449"/>
      <c r="AH1320" s="449"/>
    </row>
    <row r="1321" ht="11.25" customHeight="1">
      <c r="A1321" s="450"/>
      <c r="B1321" s="472"/>
      <c r="C1321" s="473"/>
      <c r="D1321" s="473"/>
      <c r="E1321" s="474"/>
      <c r="F1321" s="474"/>
      <c r="G1321" s="475"/>
      <c r="H1321" s="475"/>
      <c r="I1321" s="476"/>
      <c r="J1321" s="477"/>
      <c r="K1321" s="478" t="s">
        <v>1418</v>
      </c>
      <c r="L1321" s="479"/>
      <c r="M1321" s="480"/>
      <c r="N1321" s="481"/>
      <c r="O1321" s="481"/>
      <c r="P1321" s="482"/>
      <c r="Q1321" s="479"/>
      <c r="R1321" s="480"/>
      <c r="S1321" s="480"/>
      <c r="T1321" s="480"/>
      <c r="U1321" s="480"/>
      <c r="V1321" s="480"/>
      <c r="W1321" s="480"/>
      <c r="X1321" s="480"/>
      <c r="Y1321" s="483">
        <f t="shared" si="17"/>
        <v>0</v>
      </c>
      <c r="Z1321" s="484"/>
      <c r="AA1321" s="485"/>
      <c r="AB1321" s="486"/>
      <c r="AC1321" s="486"/>
      <c r="AD1321" s="486"/>
      <c r="AE1321" s="487"/>
      <c r="AF1321" s="449"/>
      <c r="AG1321" s="449"/>
      <c r="AH1321" s="449"/>
    </row>
    <row r="1322" ht="11.25" customHeight="1">
      <c r="A1322" s="431" t="str">
        <f>IF(B1322="","", YEAR(B1322))</f>
        <v/>
      </c>
      <c r="B1322" s="432"/>
      <c r="C1322" s="433"/>
      <c r="D1322" s="433"/>
      <c r="E1322" s="434" t="str">
        <f t="shared" ref="E1322:I1322" si="668">IFERROR(AVERAGE(L1322:L1325),"")</f>
        <v/>
      </c>
      <c r="F1322" s="434" t="str">
        <f t="shared" si="668"/>
        <v/>
      </c>
      <c r="G1322" s="435" t="str">
        <f t="shared" si="668"/>
        <v/>
      </c>
      <c r="H1322" s="435" t="str">
        <f t="shared" si="668"/>
        <v/>
      </c>
      <c r="I1322" s="436" t="str">
        <f t="shared" si="668"/>
        <v/>
      </c>
      <c r="J1322" s="437">
        <f>SUMIFS(PRODUCTION[KG],PRODUCTION[GRADE],"3X50",PRODUCTION[DATE],B1322,PRODUCTION[BATCH],C1322,PRODUCTION[SHIFT],D1322)</f>
        <v>0</v>
      </c>
      <c r="K1322" s="438" t="s">
        <v>1414</v>
      </c>
      <c r="L1322" s="443"/>
      <c r="M1322" s="440"/>
      <c r="N1322" s="441"/>
      <c r="O1322" s="441"/>
      <c r="P1322" s="442"/>
      <c r="Q1322" s="443"/>
      <c r="R1322" s="440"/>
      <c r="S1322" s="440"/>
      <c r="T1322" s="440"/>
      <c r="U1322" s="440"/>
      <c r="V1322" s="440"/>
      <c r="W1322" s="440"/>
      <c r="X1322" s="440"/>
      <c r="Y1322" s="444">
        <f t="shared" si="17"/>
        <v>0</v>
      </c>
      <c r="Z1322" s="445"/>
      <c r="AA1322" s="446">
        <f t="shared" ref="AA1322:AE1322" si="669">$J1322*E1322</f>
        <v>0</v>
      </c>
      <c r="AB1322" s="447">
        <f t="shared" si="669"/>
        <v>0</v>
      </c>
      <c r="AC1322" s="447">
        <f t="shared" si="669"/>
        <v>0</v>
      </c>
      <c r="AD1322" s="447">
        <f t="shared" si="669"/>
        <v>0</v>
      </c>
      <c r="AE1322" s="448">
        <f t="shared" si="669"/>
        <v>0</v>
      </c>
      <c r="AF1322" s="449"/>
      <c r="AG1322" s="449"/>
      <c r="AH1322" s="449"/>
    </row>
    <row r="1323" ht="11.25" customHeight="1">
      <c r="A1323" s="450"/>
      <c r="B1323" s="451"/>
      <c r="C1323" s="452"/>
      <c r="D1323" s="452"/>
      <c r="E1323" s="453"/>
      <c r="F1323" s="453"/>
      <c r="G1323" s="454"/>
      <c r="H1323" s="454"/>
      <c r="I1323" s="455"/>
      <c r="J1323" s="456"/>
      <c r="K1323" s="457" t="s">
        <v>1416</v>
      </c>
      <c r="L1323" s="458"/>
      <c r="M1323" s="459"/>
      <c r="N1323" s="460"/>
      <c r="O1323" s="460"/>
      <c r="P1323" s="461"/>
      <c r="Q1323" s="458"/>
      <c r="R1323" s="459"/>
      <c r="S1323" s="459"/>
      <c r="T1323" s="459"/>
      <c r="U1323" s="459"/>
      <c r="V1323" s="459"/>
      <c r="W1323" s="459"/>
      <c r="X1323" s="459"/>
      <c r="Y1323" s="462">
        <f t="shared" si="17"/>
        <v>0</v>
      </c>
      <c r="Z1323" s="463"/>
      <c r="AA1323" s="464"/>
      <c r="AB1323" s="465"/>
      <c r="AC1323" s="465"/>
      <c r="AD1323" s="465"/>
      <c r="AE1323" s="466"/>
      <c r="AF1323" s="449"/>
      <c r="AG1323" s="449"/>
      <c r="AH1323" s="449"/>
    </row>
    <row r="1324" ht="11.25" customHeight="1">
      <c r="A1324" s="450"/>
      <c r="B1324" s="451"/>
      <c r="C1324" s="452"/>
      <c r="D1324" s="452"/>
      <c r="E1324" s="453"/>
      <c r="F1324" s="453"/>
      <c r="G1324" s="454"/>
      <c r="H1324" s="454"/>
      <c r="I1324" s="455"/>
      <c r="J1324" s="456"/>
      <c r="K1324" s="467" t="s">
        <v>1417</v>
      </c>
      <c r="L1324" s="468"/>
      <c r="M1324" s="469"/>
      <c r="N1324" s="470"/>
      <c r="O1324" s="470"/>
      <c r="P1324" s="471"/>
      <c r="Q1324" s="468"/>
      <c r="R1324" s="469"/>
      <c r="S1324" s="469"/>
      <c r="T1324" s="469"/>
      <c r="U1324" s="469"/>
      <c r="V1324" s="469"/>
      <c r="W1324" s="469"/>
      <c r="X1324" s="469"/>
      <c r="Y1324" s="462">
        <f t="shared" si="17"/>
        <v>0</v>
      </c>
      <c r="Z1324" s="463"/>
      <c r="AA1324" s="464"/>
      <c r="AB1324" s="465"/>
      <c r="AC1324" s="465"/>
      <c r="AD1324" s="465"/>
      <c r="AE1324" s="466"/>
      <c r="AF1324" s="449"/>
      <c r="AG1324" s="449"/>
      <c r="AH1324" s="449"/>
    </row>
    <row r="1325" ht="11.25" customHeight="1">
      <c r="A1325" s="450"/>
      <c r="B1325" s="472"/>
      <c r="C1325" s="473"/>
      <c r="D1325" s="473"/>
      <c r="E1325" s="474"/>
      <c r="F1325" s="474"/>
      <c r="G1325" s="475"/>
      <c r="H1325" s="475"/>
      <c r="I1325" s="476"/>
      <c r="J1325" s="477"/>
      <c r="K1325" s="478" t="s">
        <v>1418</v>
      </c>
      <c r="L1325" s="479"/>
      <c r="M1325" s="480"/>
      <c r="N1325" s="481"/>
      <c r="O1325" s="481"/>
      <c r="P1325" s="482"/>
      <c r="Q1325" s="479"/>
      <c r="R1325" s="480"/>
      <c r="S1325" s="480"/>
      <c r="T1325" s="480"/>
      <c r="U1325" s="480"/>
      <c r="V1325" s="480"/>
      <c r="W1325" s="480"/>
      <c r="X1325" s="480"/>
      <c r="Y1325" s="483">
        <f t="shared" si="17"/>
        <v>0</v>
      </c>
      <c r="Z1325" s="484"/>
      <c r="AA1325" s="485"/>
      <c r="AB1325" s="486"/>
      <c r="AC1325" s="486"/>
      <c r="AD1325" s="486"/>
      <c r="AE1325" s="487"/>
      <c r="AF1325" s="449"/>
      <c r="AG1325" s="449"/>
      <c r="AH1325" s="449"/>
    </row>
    <row r="1326" ht="11.25" customHeight="1">
      <c r="A1326" s="431" t="str">
        <f>IF(B1326="","", YEAR(B1326))</f>
        <v/>
      </c>
      <c r="B1326" s="432"/>
      <c r="C1326" s="433"/>
      <c r="D1326" s="433"/>
      <c r="E1326" s="434" t="str">
        <f t="shared" ref="E1326:I1326" si="670">IFERROR(AVERAGE(L1326:L1329),"")</f>
        <v/>
      </c>
      <c r="F1326" s="434" t="str">
        <f t="shared" si="670"/>
        <v/>
      </c>
      <c r="G1326" s="435" t="str">
        <f t="shared" si="670"/>
        <v/>
      </c>
      <c r="H1326" s="435" t="str">
        <f t="shared" si="670"/>
        <v/>
      </c>
      <c r="I1326" s="436" t="str">
        <f t="shared" si="670"/>
        <v/>
      </c>
      <c r="J1326" s="437">
        <f>SUMIFS(PRODUCTION[KG],PRODUCTION[GRADE],"3X50",PRODUCTION[DATE],B1326,PRODUCTION[BATCH],C1326,PRODUCTION[SHIFT],D1326)</f>
        <v>0</v>
      </c>
      <c r="K1326" s="438" t="s">
        <v>1414</v>
      </c>
      <c r="L1326" s="443"/>
      <c r="M1326" s="440"/>
      <c r="N1326" s="441"/>
      <c r="O1326" s="441"/>
      <c r="P1326" s="442"/>
      <c r="Q1326" s="443"/>
      <c r="R1326" s="440"/>
      <c r="S1326" s="440"/>
      <c r="T1326" s="440"/>
      <c r="U1326" s="440"/>
      <c r="V1326" s="440"/>
      <c r="W1326" s="440"/>
      <c r="X1326" s="440"/>
      <c r="Y1326" s="444">
        <f t="shared" si="17"/>
        <v>0</v>
      </c>
      <c r="Z1326" s="445"/>
      <c r="AA1326" s="446">
        <f t="shared" ref="AA1326:AE1326" si="671">$J1326*E1326</f>
        <v>0</v>
      </c>
      <c r="AB1326" s="447">
        <f t="shared" si="671"/>
        <v>0</v>
      </c>
      <c r="AC1326" s="447">
        <f t="shared" si="671"/>
        <v>0</v>
      </c>
      <c r="AD1326" s="447">
        <f t="shared" si="671"/>
        <v>0</v>
      </c>
      <c r="AE1326" s="448">
        <f t="shared" si="671"/>
        <v>0</v>
      </c>
      <c r="AF1326" s="449"/>
      <c r="AG1326" s="449"/>
      <c r="AH1326" s="449"/>
    </row>
    <row r="1327" ht="11.25" customHeight="1">
      <c r="A1327" s="450"/>
      <c r="B1327" s="451"/>
      <c r="C1327" s="452"/>
      <c r="D1327" s="452"/>
      <c r="E1327" s="453"/>
      <c r="F1327" s="453"/>
      <c r="G1327" s="454"/>
      <c r="H1327" s="454"/>
      <c r="I1327" s="455"/>
      <c r="J1327" s="456"/>
      <c r="K1327" s="457" t="s">
        <v>1416</v>
      </c>
      <c r="L1327" s="458"/>
      <c r="M1327" s="459"/>
      <c r="N1327" s="460"/>
      <c r="O1327" s="460"/>
      <c r="P1327" s="461"/>
      <c r="Q1327" s="458"/>
      <c r="R1327" s="459"/>
      <c r="S1327" s="459"/>
      <c r="T1327" s="459"/>
      <c r="U1327" s="459"/>
      <c r="V1327" s="459"/>
      <c r="W1327" s="459"/>
      <c r="X1327" s="459"/>
      <c r="Y1327" s="462">
        <f t="shared" si="17"/>
        <v>0</v>
      </c>
      <c r="Z1327" s="463"/>
      <c r="AA1327" s="464"/>
      <c r="AB1327" s="465"/>
      <c r="AC1327" s="465"/>
      <c r="AD1327" s="465"/>
      <c r="AE1327" s="466"/>
      <c r="AF1327" s="449"/>
      <c r="AG1327" s="449"/>
      <c r="AH1327" s="449"/>
    </row>
    <row r="1328" ht="11.25" customHeight="1">
      <c r="A1328" s="450"/>
      <c r="B1328" s="451"/>
      <c r="C1328" s="452"/>
      <c r="D1328" s="452"/>
      <c r="E1328" s="453"/>
      <c r="F1328" s="453"/>
      <c r="G1328" s="454"/>
      <c r="H1328" s="454"/>
      <c r="I1328" s="455"/>
      <c r="J1328" s="456"/>
      <c r="K1328" s="467" t="s">
        <v>1417</v>
      </c>
      <c r="L1328" s="468"/>
      <c r="M1328" s="469"/>
      <c r="N1328" s="470"/>
      <c r="O1328" s="470"/>
      <c r="P1328" s="471"/>
      <c r="Q1328" s="468"/>
      <c r="R1328" s="469"/>
      <c r="S1328" s="469"/>
      <c r="T1328" s="469"/>
      <c r="U1328" s="469"/>
      <c r="V1328" s="469"/>
      <c r="W1328" s="469"/>
      <c r="X1328" s="469"/>
      <c r="Y1328" s="462">
        <f t="shared" si="17"/>
        <v>0</v>
      </c>
      <c r="Z1328" s="463"/>
      <c r="AA1328" s="464"/>
      <c r="AB1328" s="465"/>
      <c r="AC1328" s="465"/>
      <c r="AD1328" s="465"/>
      <c r="AE1328" s="466"/>
      <c r="AF1328" s="449"/>
      <c r="AG1328" s="449"/>
      <c r="AH1328" s="449"/>
    </row>
    <row r="1329" ht="11.25" customHeight="1">
      <c r="A1329" s="450"/>
      <c r="B1329" s="472"/>
      <c r="C1329" s="473"/>
      <c r="D1329" s="473"/>
      <c r="E1329" s="474"/>
      <c r="F1329" s="474"/>
      <c r="G1329" s="475"/>
      <c r="H1329" s="475"/>
      <c r="I1329" s="476"/>
      <c r="J1329" s="477"/>
      <c r="K1329" s="478" t="s">
        <v>1418</v>
      </c>
      <c r="L1329" s="479"/>
      <c r="M1329" s="480"/>
      <c r="N1329" s="481"/>
      <c r="O1329" s="481"/>
      <c r="P1329" s="482"/>
      <c r="Q1329" s="479"/>
      <c r="R1329" s="480"/>
      <c r="S1329" s="480"/>
      <c r="T1329" s="480"/>
      <c r="U1329" s="480"/>
      <c r="V1329" s="480"/>
      <c r="W1329" s="480"/>
      <c r="X1329" s="480"/>
      <c r="Y1329" s="483">
        <f t="shared" si="17"/>
        <v>0</v>
      </c>
      <c r="Z1329" s="484"/>
      <c r="AA1329" s="485"/>
      <c r="AB1329" s="486"/>
      <c r="AC1329" s="486"/>
      <c r="AD1329" s="486"/>
      <c r="AE1329" s="487"/>
      <c r="AF1329" s="449"/>
      <c r="AG1329" s="449"/>
      <c r="AH1329" s="449"/>
    </row>
    <row r="1330" ht="11.25" customHeight="1">
      <c r="A1330" s="431" t="str">
        <f>IF(B1330="","", YEAR(B1330))</f>
        <v/>
      </c>
      <c r="B1330" s="432"/>
      <c r="C1330" s="433"/>
      <c r="D1330" s="433"/>
      <c r="E1330" s="434" t="str">
        <f t="shared" ref="E1330:I1330" si="672">IFERROR(AVERAGE(L1330:L1333),"")</f>
        <v/>
      </c>
      <c r="F1330" s="434" t="str">
        <f t="shared" si="672"/>
        <v/>
      </c>
      <c r="G1330" s="435" t="str">
        <f t="shared" si="672"/>
        <v/>
      </c>
      <c r="H1330" s="435" t="str">
        <f t="shared" si="672"/>
        <v/>
      </c>
      <c r="I1330" s="436" t="str">
        <f t="shared" si="672"/>
        <v/>
      </c>
      <c r="J1330" s="437">
        <f>SUMIFS(PRODUCTION[KG],PRODUCTION[GRADE],"3X50",PRODUCTION[DATE],B1330,PRODUCTION[BATCH],C1330,PRODUCTION[SHIFT],D1330)</f>
        <v>0</v>
      </c>
      <c r="K1330" s="438" t="s">
        <v>1414</v>
      </c>
      <c r="L1330" s="443"/>
      <c r="M1330" s="440"/>
      <c r="N1330" s="441"/>
      <c r="O1330" s="441"/>
      <c r="P1330" s="442"/>
      <c r="Q1330" s="443"/>
      <c r="R1330" s="440"/>
      <c r="S1330" s="440"/>
      <c r="T1330" s="440"/>
      <c r="U1330" s="440"/>
      <c r="V1330" s="440"/>
      <c r="W1330" s="440"/>
      <c r="X1330" s="440"/>
      <c r="Y1330" s="444">
        <f t="shared" si="17"/>
        <v>0</v>
      </c>
      <c r="Z1330" s="445"/>
      <c r="AA1330" s="446">
        <f t="shared" ref="AA1330:AE1330" si="673">$J1330*E1330</f>
        <v>0</v>
      </c>
      <c r="AB1330" s="447">
        <f t="shared" si="673"/>
        <v>0</v>
      </c>
      <c r="AC1330" s="447">
        <f t="shared" si="673"/>
        <v>0</v>
      </c>
      <c r="AD1330" s="447">
        <f t="shared" si="673"/>
        <v>0</v>
      </c>
      <c r="AE1330" s="448">
        <f t="shared" si="673"/>
        <v>0</v>
      </c>
      <c r="AF1330" s="449"/>
      <c r="AG1330" s="449"/>
      <c r="AH1330" s="449"/>
    </row>
    <row r="1331" ht="11.25" customHeight="1">
      <c r="A1331" s="450"/>
      <c r="B1331" s="451"/>
      <c r="C1331" s="452"/>
      <c r="D1331" s="452"/>
      <c r="E1331" s="453"/>
      <c r="F1331" s="453"/>
      <c r="G1331" s="454"/>
      <c r="H1331" s="454"/>
      <c r="I1331" s="455"/>
      <c r="J1331" s="456"/>
      <c r="K1331" s="457" t="s">
        <v>1416</v>
      </c>
      <c r="L1331" s="458"/>
      <c r="M1331" s="459"/>
      <c r="N1331" s="460"/>
      <c r="O1331" s="460"/>
      <c r="P1331" s="461"/>
      <c r="Q1331" s="458"/>
      <c r="R1331" s="459"/>
      <c r="S1331" s="459"/>
      <c r="T1331" s="459"/>
      <c r="U1331" s="459"/>
      <c r="V1331" s="459"/>
      <c r="W1331" s="459"/>
      <c r="X1331" s="459"/>
      <c r="Y1331" s="462">
        <f t="shared" si="17"/>
        <v>0</v>
      </c>
      <c r="Z1331" s="463"/>
      <c r="AA1331" s="464"/>
      <c r="AB1331" s="465"/>
      <c r="AC1331" s="465"/>
      <c r="AD1331" s="465"/>
      <c r="AE1331" s="466"/>
      <c r="AF1331" s="449"/>
      <c r="AG1331" s="449"/>
      <c r="AH1331" s="449"/>
    </row>
    <row r="1332" ht="11.25" customHeight="1">
      <c r="A1332" s="450"/>
      <c r="B1332" s="451"/>
      <c r="C1332" s="452"/>
      <c r="D1332" s="452"/>
      <c r="E1332" s="453"/>
      <c r="F1332" s="453"/>
      <c r="G1332" s="454"/>
      <c r="H1332" s="454"/>
      <c r="I1332" s="455"/>
      <c r="J1332" s="456"/>
      <c r="K1332" s="467" t="s">
        <v>1417</v>
      </c>
      <c r="L1332" s="468"/>
      <c r="M1332" s="469"/>
      <c r="N1332" s="470"/>
      <c r="O1332" s="470"/>
      <c r="P1332" s="471"/>
      <c r="Q1332" s="468"/>
      <c r="R1332" s="469"/>
      <c r="S1332" s="469"/>
      <c r="T1332" s="469"/>
      <c r="U1332" s="469"/>
      <c r="V1332" s="469"/>
      <c r="W1332" s="469"/>
      <c r="X1332" s="469"/>
      <c r="Y1332" s="462">
        <f t="shared" si="17"/>
        <v>0</v>
      </c>
      <c r="Z1332" s="463"/>
      <c r="AA1332" s="464"/>
      <c r="AB1332" s="465"/>
      <c r="AC1332" s="465"/>
      <c r="AD1332" s="465"/>
      <c r="AE1332" s="466"/>
      <c r="AF1332" s="449"/>
      <c r="AG1332" s="449"/>
      <c r="AH1332" s="449"/>
    </row>
    <row r="1333" ht="11.25" customHeight="1">
      <c r="A1333" s="450"/>
      <c r="B1333" s="472"/>
      <c r="C1333" s="473"/>
      <c r="D1333" s="473"/>
      <c r="E1333" s="474"/>
      <c r="F1333" s="474"/>
      <c r="G1333" s="475"/>
      <c r="H1333" s="475"/>
      <c r="I1333" s="476"/>
      <c r="J1333" s="477"/>
      <c r="K1333" s="478" t="s">
        <v>1418</v>
      </c>
      <c r="L1333" s="479"/>
      <c r="M1333" s="480"/>
      <c r="N1333" s="481"/>
      <c r="O1333" s="481"/>
      <c r="P1333" s="482"/>
      <c r="Q1333" s="479"/>
      <c r="R1333" s="480"/>
      <c r="S1333" s="480"/>
      <c r="T1333" s="480"/>
      <c r="U1333" s="480"/>
      <c r="V1333" s="480"/>
      <c r="W1333" s="480"/>
      <c r="X1333" s="480"/>
      <c r="Y1333" s="483">
        <f t="shared" si="17"/>
        <v>0</v>
      </c>
      <c r="Z1333" s="484"/>
      <c r="AA1333" s="485"/>
      <c r="AB1333" s="486"/>
      <c r="AC1333" s="486"/>
      <c r="AD1333" s="486"/>
      <c r="AE1333" s="487"/>
      <c r="AF1333" s="449"/>
      <c r="AG1333" s="449"/>
      <c r="AH1333" s="449"/>
    </row>
    <row r="1334" ht="11.25" customHeight="1">
      <c r="A1334" s="431" t="str">
        <f>IF(B1334="","", YEAR(B1334))</f>
        <v/>
      </c>
      <c r="B1334" s="432"/>
      <c r="C1334" s="433"/>
      <c r="D1334" s="433"/>
      <c r="E1334" s="434" t="str">
        <f t="shared" ref="E1334:I1334" si="674">IFERROR(AVERAGE(L1334:L1337),"")</f>
        <v/>
      </c>
      <c r="F1334" s="434" t="str">
        <f t="shared" si="674"/>
        <v/>
      </c>
      <c r="G1334" s="435" t="str">
        <f t="shared" si="674"/>
        <v/>
      </c>
      <c r="H1334" s="435" t="str">
        <f t="shared" si="674"/>
        <v/>
      </c>
      <c r="I1334" s="436" t="str">
        <f t="shared" si="674"/>
        <v/>
      </c>
      <c r="J1334" s="437">
        <f>SUMIFS(PRODUCTION[KG],PRODUCTION[GRADE],"3X50",PRODUCTION[DATE],B1334,PRODUCTION[BATCH],C1334,PRODUCTION[SHIFT],D1334)</f>
        <v>0</v>
      </c>
      <c r="K1334" s="438" t="s">
        <v>1414</v>
      </c>
      <c r="L1334" s="443"/>
      <c r="M1334" s="440"/>
      <c r="N1334" s="441"/>
      <c r="O1334" s="441"/>
      <c r="P1334" s="442"/>
      <c r="Q1334" s="443"/>
      <c r="R1334" s="440"/>
      <c r="S1334" s="440"/>
      <c r="T1334" s="440"/>
      <c r="U1334" s="440"/>
      <c r="V1334" s="440"/>
      <c r="W1334" s="440"/>
      <c r="X1334" s="440"/>
      <c r="Y1334" s="444">
        <f t="shared" si="17"/>
        <v>0</v>
      </c>
      <c r="Z1334" s="445"/>
      <c r="AA1334" s="446">
        <f t="shared" ref="AA1334:AE1334" si="675">$J1334*E1334</f>
        <v>0</v>
      </c>
      <c r="AB1334" s="447">
        <f t="shared" si="675"/>
        <v>0</v>
      </c>
      <c r="AC1334" s="447">
        <f t="shared" si="675"/>
        <v>0</v>
      </c>
      <c r="AD1334" s="447">
        <f t="shared" si="675"/>
        <v>0</v>
      </c>
      <c r="AE1334" s="448">
        <f t="shared" si="675"/>
        <v>0</v>
      </c>
      <c r="AF1334" s="449"/>
      <c r="AG1334" s="449"/>
      <c r="AH1334" s="449"/>
    </row>
    <row r="1335" ht="11.25" customHeight="1">
      <c r="A1335" s="450"/>
      <c r="B1335" s="451"/>
      <c r="C1335" s="452"/>
      <c r="D1335" s="452"/>
      <c r="E1335" s="453"/>
      <c r="F1335" s="453"/>
      <c r="G1335" s="454"/>
      <c r="H1335" s="454"/>
      <c r="I1335" s="455"/>
      <c r="J1335" s="456"/>
      <c r="K1335" s="457" t="s">
        <v>1416</v>
      </c>
      <c r="L1335" s="458"/>
      <c r="M1335" s="459"/>
      <c r="N1335" s="460"/>
      <c r="O1335" s="460"/>
      <c r="P1335" s="461"/>
      <c r="Q1335" s="458"/>
      <c r="R1335" s="459"/>
      <c r="S1335" s="459"/>
      <c r="T1335" s="459"/>
      <c r="U1335" s="459"/>
      <c r="V1335" s="459"/>
      <c r="W1335" s="459"/>
      <c r="X1335" s="459"/>
      <c r="Y1335" s="462">
        <f t="shared" si="17"/>
        <v>0</v>
      </c>
      <c r="Z1335" s="463"/>
      <c r="AA1335" s="464"/>
      <c r="AB1335" s="465"/>
      <c r="AC1335" s="465"/>
      <c r="AD1335" s="465"/>
      <c r="AE1335" s="466"/>
      <c r="AF1335" s="449"/>
      <c r="AG1335" s="449"/>
      <c r="AH1335" s="449"/>
    </row>
    <row r="1336" ht="11.25" customHeight="1">
      <c r="A1336" s="450"/>
      <c r="B1336" s="451"/>
      <c r="C1336" s="452"/>
      <c r="D1336" s="452"/>
      <c r="E1336" s="453"/>
      <c r="F1336" s="453"/>
      <c r="G1336" s="454"/>
      <c r="H1336" s="454"/>
      <c r="I1336" s="455"/>
      <c r="J1336" s="456"/>
      <c r="K1336" s="467" t="s">
        <v>1417</v>
      </c>
      <c r="L1336" s="468"/>
      <c r="M1336" s="469"/>
      <c r="N1336" s="470"/>
      <c r="O1336" s="470"/>
      <c r="P1336" s="471"/>
      <c r="Q1336" s="468"/>
      <c r="R1336" s="469"/>
      <c r="S1336" s="469"/>
      <c r="T1336" s="469"/>
      <c r="U1336" s="469"/>
      <c r="V1336" s="469"/>
      <c r="W1336" s="469"/>
      <c r="X1336" s="469"/>
      <c r="Y1336" s="462">
        <f t="shared" si="17"/>
        <v>0</v>
      </c>
      <c r="Z1336" s="463"/>
      <c r="AA1336" s="464"/>
      <c r="AB1336" s="465"/>
      <c r="AC1336" s="465"/>
      <c r="AD1336" s="465"/>
      <c r="AE1336" s="466"/>
      <c r="AF1336" s="449"/>
      <c r="AG1336" s="449"/>
      <c r="AH1336" s="449"/>
    </row>
    <row r="1337" ht="11.25" customHeight="1">
      <c r="A1337" s="450"/>
      <c r="B1337" s="472"/>
      <c r="C1337" s="473"/>
      <c r="D1337" s="473"/>
      <c r="E1337" s="474"/>
      <c r="F1337" s="474"/>
      <c r="G1337" s="475"/>
      <c r="H1337" s="475"/>
      <c r="I1337" s="476"/>
      <c r="J1337" s="477"/>
      <c r="K1337" s="478" t="s">
        <v>1418</v>
      </c>
      <c r="L1337" s="479"/>
      <c r="M1337" s="480"/>
      <c r="N1337" s="481"/>
      <c r="O1337" s="481"/>
      <c r="P1337" s="482"/>
      <c r="Q1337" s="479"/>
      <c r="R1337" s="480"/>
      <c r="S1337" s="480"/>
      <c r="T1337" s="480"/>
      <c r="U1337" s="480"/>
      <c r="V1337" s="480"/>
      <c r="W1337" s="480"/>
      <c r="X1337" s="480"/>
      <c r="Y1337" s="483">
        <f t="shared" si="17"/>
        <v>0</v>
      </c>
      <c r="Z1337" s="484"/>
      <c r="AA1337" s="485"/>
      <c r="AB1337" s="486"/>
      <c r="AC1337" s="486"/>
      <c r="AD1337" s="486"/>
      <c r="AE1337" s="487"/>
      <c r="AF1337" s="449"/>
      <c r="AG1337" s="449"/>
      <c r="AH1337" s="449"/>
    </row>
    <row r="1338" ht="11.25" customHeight="1">
      <c r="A1338" s="431" t="str">
        <f>IF(B1338="","", YEAR(B1338))</f>
        <v/>
      </c>
      <c r="B1338" s="432"/>
      <c r="C1338" s="433"/>
      <c r="D1338" s="433"/>
      <c r="E1338" s="434" t="str">
        <f t="shared" ref="E1338:I1338" si="676">IFERROR(AVERAGE(L1338:L1341),"")</f>
        <v/>
      </c>
      <c r="F1338" s="434" t="str">
        <f t="shared" si="676"/>
        <v/>
      </c>
      <c r="G1338" s="435" t="str">
        <f t="shared" si="676"/>
        <v/>
      </c>
      <c r="H1338" s="435" t="str">
        <f t="shared" si="676"/>
        <v/>
      </c>
      <c r="I1338" s="436" t="str">
        <f t="shared" si="676"/>
        <v/>
      </c>
      <c r="J1338" s="437">
        <f>SUMIFS(PRODUCTION[KG],PRODUCTION[GRADE],"3X50",PRODUCTION[DATE],B1338,PRODUCTION[BATCH],C1338,PRODUCTION[SHIFT],D1338)</f>
        <v>0</v>
      </c>
      <c r="K1338" s="438" t="s">
        <v>1414</v>
      </c>
      <c r="L1338" s="443"/>
      <c r="M1338" s="440"/>
      <c r="N1338" s="441"/>
      <c r="O1338" s="441"/>
      <c r="P1338" s="442"/>
      <c r="Q1338" s="443"/>
      <c r="R1338" s="440"/>
      <c r="S1338" s="440"/>
      <c r="T1338" s="440"/>
      <c r="U1338" s="440"/>
      <c r="V1338" s="440"/>
      <c r="W1338" s="440"/>
      <c r="X1338" s="440"/>
      <c r="Y1338" s="444">
        <f t="shared" si="17"/>
        <v>0</v>
      </c>
      <c r="Z1338" s="445"/>
      <c r="AA1338" s="446">
        <f t="shared" ref="AA1338:AE1338" si="677">$J1338*E1338</f>
        <v>0</v>
      </c>
      <c r="AB1338" s="447">
        <f t="shared" si="677"/>
        <v>0</v>
      </c>
      <c r="AC1338" s="447">
        <f t="shared" si="677"/>
        <v>0</v>
      </c>
      <c r="AD1338" s="447">
        <f t="shared" si="677"/>
        <v>0</v>
      </c>
      <c r="AE1338" s="448">
        <f t="shared" si="677"/>
        <v>0</v>
      </c>
      <c r="AF1338" s="449"/>
      <c r="AG1338" s="449"/>
      <c r="AH1338" s="449"/>
    </row>
    <row r="1339" ht="11.25" customHeight="1">
      <c r="A1339" s="450"/>
      <c r="B1339" s="451"/>
      <c r="C1339" s="452"/>
      <c r="D1339" s="452"/>
      <c r="E1339" s="453"/>
      <c r="F1339" s="453"/>
      <c r="G1339" s="454"/>
      <c r="H1339" s="454"/>
      <c r="I1339" s="455"/>
      <c r="J1339" s="456"/>
      <c r="K1339" s="457" t="s">
        <v>1416</v>
      </c>
      <c r="L1339" s="458"/>
      <c r="M1339" s="459"/>
      <c r="N1339" s="460"/>
      <c r="O1339" s="460"/>
      <c r="P1339" s="461"/>
      <c r="Q1339" s="458"/>
      <c r="R1339" s="459"/>
      <c r="S1339" s="459"/>
      <c r="T1339" s="459"/>
      <c r="U1339" s="459"/>
      <c r="V1339" s="459"/>
      <c r="W1339" s="459"/>
      <c r="X1339" s="459"/>
      <c r="Y1339" s="462">
        <f t="shared" si="17"/>
        <v>0</v>
      </c>
      <c r="Z1339" s="463"/>
      <c r="AA1339" s="464"/>
      <c r="AB1339" s="465"/>
      <c r="AC1339" s="465"/>
      <c r="AD1339" s="465"/>
      <c r="AE1339" s="466"/>
      <c r="AF1339" s="449"/>
      <c r="AG1339" s="449"/>
      <c r="AH1339" s="449"/>
    </row>
    <row r="1340" ht="11.25" customHeight="1">
      <c r="A1340" s="450"/>
      <c r="B1340" s="451"/>
      <c r="C1340" s="452"/>
      <c r="D1340" s="452"/>
      <c r="E1340" s="453"/>
      <c r="F1340" s="453"/>
      <c r="G1340" s="454"/>
      <c r="H1340" s="454"/>
      <c r="I1340" s="455"/>
      <c r="J1340" s="456"/>
      <c r="K1340" s="467" t="s">
        <v>1417</v>
      </c>
      <c r="L1340" s="468"/>
      <c r="M1340" s="469"/>
      <c r="N1340" s="470"/>
      <c r="O1340" s="470"/>
      <c r="P1340" s="471"/>
      <c r="Q1340" s="468"/>
      <c r="R1340" s="469"/>
      <c r="S1340" s="469"/>
      <c r="T1340" s="469"/>
      <c r="U1340" s="469"/>
      <c r="V1340" s="469"/>
      <c r="W1340" s="469"/>
      <c r="X1340" s="469"/>
      <c r="Y1340" s="462">
        <f t="shared" si="17"/>
        <v>0</v>
      </c>
      <c r="Z1340" s="463"/>
      <c r="AA1340" s="464"/>
      <c r="AB1340" s="465"/>
      <c r="AC1340" s="465"/>
      <c r="AD1340" s="465"/>
      <c r="AE1340" s="466"/>
      <c r="AF1340" s="449"/>
      <c r="AG1340" s="449"/>
      <c r="AH1340" s="449"/>
    </row>
    <row r="1341" ht="11.25" customHeight="1">
      <c r="A1341" s="450"/>
      <c r="B1341" s="472"/>
      <c r="C1341" s="473"/>
      <c r="D1341" s="473"/>
      <c r="E1341" s="474"/>
      <c r="F1341" s="474"/>
      <c r="G1341" s="475"/>
      <c r="H1341" s="475"/>
      <c r="I1341" s="476"/>
      <c r="J1341" s="477"/>
      <c r="K1341" s="478" t="s">
        <v>1418</v>
      </c>
      <c r="L1341" s="479"/>
      <c r="M1341" s="480"/>
      <c r="N1341" s="481"/>
      <c r="O1341" s="481"/>
      <c r="P1341" s="482"/>
      <c r="Q1341" s="479"/>
      <c r="R1341" s="480"/>
      <c r="S1341" s="480"/>
      <c r="T1341" s="480"/>
      <c r="U1341" s="480"/>
      <c r="V1341" s="480"/>
      <c r="W1341" s="480"/>
      <c r="X1341" s="480"/>
      <c r="Y1341" s="483">
        <f t="shared" si="17"/>
        <v>0</v>
      </c>
      <c r="Z1341" s="484"/>
      <c r="AA1341" s="485"/>
      <c r="AB1341" s="486"/>
      <c r="AC1341" s="486"/>
      <c r="AD1341" s="486"/>
      <c r="AE1341" s="487"/>
      <c r="AF1341" s="449"/>
      <c r="AG1341" s="449"/>
      <c r="AH1341" s="449"/>
    </row>
    <row r="1342" ht="11.25" customHeight="1">
      <c r="A1342" s="431" t="str">
        <f>IF(B1342="","", YEAR(B1342))</f>
        <v/>
      </c>
      <c r="B1342" s="432"/>
      <c r="C1342" s="433"/>
      <c r="D1342" s="433"/>
      <c r="E1342" s="434" t="str">
        <f t="shared" ref="E1342:I1342" si="678">IFERROR(AVERAGE(L1342:L1345),"")</f>
        <v/>
      </c>
      <c r="F1342" s="434" t="str">
        <f t="shared" si="678"/>
        <v/>
      </c>
      <c r="G1342" s="435" t="str">
        <f t="shared" si="678"/>
        <v/>
      </c>
      <c r="H1342" s="435" t="str">
        <f t="shared" si="678"/>
        <v/>
      </c>
      <c r="I1342" s="436" t="str">
        <f t="shared" si="678"/>
        <v/>
      </c>
      <c r="J1342" s="437">
        <f>SUMIFS(PRODUCTION[KG],PRODUCTION[GRADE],"3X50",PRODUCTION[DATE],B1342,PRODUCTION[BATCH],C1342,PRODUCTION[SHIFT],D1342)</f>
        <v>0</v>
      </c>
      <c r="K1342" s="438" t="s">
        <v>1414</v>
      </c>
      <c r="L1342" s="443"/>
      <c r="M1342" s="440"/>
      <c r="N1342" s="441"/>
      <c r="O1342" s="441"/>
      <c r="P1342" s="442"/>
      <c r="Q1342" s="443"/>
      <c r="R1342" s="440"/>
      <c r="S1342" s="440"/>
      <c r="T1342" s="440"/>
      <c r="U1342" s="440"/>
      <c r="V1342" s="440"/>
      <c r="W1342" s="440"/>
      <c r="X1342" s="440"/>
      <c r="Y1342" s="444">
        <f t="shared" si="17"/>
        <v>0</v>
      </c>
      <c r="Z1342" s="445"/>
      <c r="AA1342" s="446">
        <f t="shared" ref="AA1342:AE1342" si="679">$J1342*E1342</f>
        <v>0</v>
      </c>
      <c r="AB1342" s="447">
        <f t="shared" si="679"/>
        <v>0</v>
      </c>
      <c r="AC1342" s="447">
        <f t="shared" si="679"/>
        <v>0</v>
      </c>
      <c r="AD1342" s="447">
        <f t="shared" si="679"/>
        <v>0</v>
      </c>
      <c r="AE1342" s="448">
        <f t="shared" si="679"/>
        <v>0</v>
      </c>
      <c r="AF1342" s="449"/>
      <c r="AG1342" s="449"/>
      <c r="AH1342" s="449"/>
    </row>
    <row r="1343" ht="11.25" customHeight="1">
      <c r="A1343" s="450"/>
      <c r="B1343" s="451"/>
      <c r="C1343" s="452"/>
      <c r="D1343" s="452"/>
      <c r="E1343" s="453"/>
      <c r="F1343" s="453"/>
      <c r="G1343" s="454"/>
      <c r="H1343" s="454"/>
      <c r="I1343" s="455"/>
      <c r="J1343" s="456"/>
      <c r="K1343" s="457" t="s">
        <v>1416</v>
      </c>
      <c r="L1343" s="458"/>
      <c r="M1343" s="459"/>
      <c r="N1343" s="460"/>
      <c r="O1343" s="460"/>
      <c r="P1343" s="461"/>
      <c r="Q1343" s="458"/>
      <c r="R1343" s="459"/>
      <c r="S1343" s="459"/>
      <c r="T1343" s="459"/>
      <c r="U1343" s="459"/>
      <c r="V1343" s="459"/>
      <c r="W1343" s="459"/>
      <c r="X1343" s="459"/>
      <c r="Y1343" s="462">
        <f t="shared" si="17"/>
        <v>0</v>
      </c>
      <c r="Z1343" s="463"/>
      <c r="AA1343" s="464"/>
      <c r="AB1343" s="465"/>
      <c r="AC1343" s="465"/>
      <c r="AD1343" s="465"/>
      <c r="AE1343" s="466"/>
      <c r="AF1343" s="449"/>
      <c r="AG1343" s="449"/>
      <c r="AH1343" s="449"/>
    </row>
    <row r="1344" ht="11.25" customHeight="1">
      <c r="A1344" s="450"/>
      <c r="B1344" s="451"/>
      <c r="C1344" s="452"/>
      <c r="D1344" s="452"/>
      <c r="E1344" s="453"/>
      <c r="F1344" s="453"/>
      <c r="G1344" s="454"/>
      <c r="H1344" s="454"/>
      <c r="I1344" s="455"/>
      <c r="J1344" s="456"/>
      <c r="K1344" s="467" t="s">
        <v>1417</v>
      </c>
      <c r="L1344" s="468"/>
      <c r="M1344" s="469"/>
      <c r="N1344" s="470"/>
      <c r="O1344" s="470"/>
      <c r="P1344" s="471"/>
      <c r="Q1344" s="468"/>
      <c r="R1344" s="469"/>
      <c r="S1344" s="469"/>
      <c r="T1344" s="469"/>
      <c r="U1344" s="469"/>
      <c r="V1344" s="469"/>
      <c r="W1344" s="469"/>
      <c r="X1344" s="469"/>
      <c r="Y1344" s="462">
        <f t="shared" si="17"/>
        <v>0</v>
      </c>
      <c r="Z1344" s="463"/>
      <c r="AA1344" s="464"/>
      <c r="AB1344" s="465"/>
      <c r="AC1344" s="465"/>
      <c r="AD1344" s="465"/>
      <c r="AE1344" s="466"/>
      <c r="AF1344" s="449"/>
      <c r="AG1344" s="449"/>
      <c r="AH1344" s="449"/>
    </row>
    <row r="1345" ht="11.25" customHeight="1">
      <c r="A1345" s="450"/>
      <c r="B1345" s="472"/>
      <c r="C1345" s="473"/>
      <c r="D1345" s="473"/>
      <c r="E1345" s="474"/>
      <c r="F1345" s="474"/>
      <c r="G1345" s="475"/>
      <c r="H1345" s="475"/>
      <c r="I1345" s="476"/>
      <c r="J1345" s="477"/>
      <c r="K1345" s="478" t="s">
        <v>1418</v>
      </c>
      <c r="L1345" s="479"/>
      <c r="M1345" s="480"/>
      <c r="N1345" s="481"/>
      <c r="O1345" s="481"/>
      <c r="P1345" s="482"/>
      <c r="Q1345" s="479"/>
      <c r="R1345" s="480"/>
      <c r="S1345" s="480"/>
      <c r="T1345" s="480"/>
      <c r="U1345" s="480"/>
      <c r="V1345" s="480"/>
      <c r="W1345" s="480"/>
      <c r="X1345" s="480"/>
      <c r="Y1345" s="483">
        <f t="shared" si="17"/>
        <v>0</v>
      </c>
      <c r="Z1345" s="484"/>
      <c r="AA1345" s="485"/>
      <c r="AB1345" s="486"/>
      <c r="AC1345" s="486"/>
      <c r="AD1345" s="486"/>
      <c r="AE1345" s="487"/>
      <c r="AF1345" s="449"/>
      <c r="AG1345" s="449"/>
      <c r="AH1345" s="449"/>
    </row>
    <row r="1346" ht="11.25" customHeight="1">
      <c r="A1346" s="431" t="str">
        <f>IF(B1346="","", YEAR(B1346))</f>
        <v/>
      </c>
      <c r="B1346" s="432"/>
      <c r="C1346" s="433"/>
      <c r="D1346" s="433"/>
      <c r="E1346" s="434" t="str">
        <f t="shared" ref="E1346:I1346" si="680">IFERROR(AVERAGE(L1346:L1349),"")</f>
        <v/>
      </c>
      <c r="F1346" s="434" t="str">
        <f t="shared" si="680"/>
        <v/>
      </c>
      <c r="G1346" s="435" t="str">
        <f t="shared" si="680"/>
        <v/>
      </c>
      <c r="H1346" s="435" t="str">
        <f t="shared" si="680"/>
        <v/>
      </c>
      <c r="I1346" s="436" t="str">
        <f t="shared" si="680"/>
        <v/>
      </c>
      <c r="J1346" s="437">
        <f>SUMIFS(PRODUCTION[KG],PRODUCTION[GRADE],"3X50",PRODUCTION[DATE],B1346,PRODUCTION[BATCH],C1346,PRODUCTION[SHIFT],D1346)</f>
        <v>0</v>
      </c>
      <c r="K1346" s="438" t="s">
        <v>1414</v>
      </c>
      <c r="L1346" s="443"/>
      <c r="M1346" s="440"/>
      <c r="N1346" s="441"/>
      <c r="O1346" s="441"/>
      <c r="P1346" s="442"/>
      <c r="Q1346" s="443"/>
      <c r="R1346" s="440"/>
      <c r="S1346" s="440"/>
      <c r="T1346" s="440"/>
      <c r="U1346" s="440"/>
      <c r="V1346" s="440"/>
      <c r="W1346" s="440"/>
      <c r="X1346" s="440"/>
      <c r="Y1346" s="444">
        <f t="shared" si="17"/>
        <v>0</v>
      </c>
      <c r="Z1346" s="445"/>
      <c r="AA1346" s="446">
        <f t="shared" ref="AA1346:AE1346" si="681">$J1346*E1346</f>
        <v>0</v>
      </c>
      <c r="AB1346" s="447">
        <f t="shared" si="681"/>
        <v>0</v>
      </c>
      <c r="AC1346" s="447">
        <f t="shared" si="681"/>
        <v>0</v>
      </c>
      <c r="AD1346" s="447">
        <f t="shared" si="681"/>
        <v>0</v>
      </c>
      <c r="AE1346" s="448">
        <f t="shared" si="681"/>
        <v>0</v>
      </c>
      <c r="AF1346" s="449"/>
      <c r="AG1346" s="449"/>
      <c r="AH1346" s="449"/>
    </row>
    <row r="1347" ht="11.25" customHeight="1">
      <c r="A1347" s="450"/>
      <c r="B1347" s="451"/>
      <c r="C1347" s="452"/>
      <c r="D1347" s="452"/>
      <c r="E1347" s="453"/>
      <c r="F1347" s="453"/>
      <c r="G1347" s="454"/>
      <c r="H1347" s="454"/>
      <c r="I1347" s="455"/>
      <c r="J1347" s="456"/>
      <c r="K1347" s="457" t="s">
        <v>1416</v>
      </c>
      <c r="L1347" s="458"/>
      <c r="M1347" s="459"/>
      <c r="N1347" s="460"/>
      <c r="O1347" s="460"/>
      <c r="P1347" s="461"/>
      <c r="Q1347" s="458"/>
      <c r="R1347" s="459"/>
      <c r="S1347" s="459"/>
      <c r="T1347" s="459"/>
      <c r="U1347" s="459"/>
      <c r="V1347" s="459"/>
      <c r="W1347" s="459"/>
      <c r="X1347" s="459"/>
      <c r="Y1347" s="462">
        <f t="shared" si="17"/>
        <v>0</v>
      </c>
      <c r="Z1347" s="463"/>
      <c r="AA1347" s="464"/>
      <c r="AB1347" s="465"/>
      <c r="AC1347" s="465"/>
      <c r="AD1347" s="465"/>
      <c r="AE1347" s="466"/>
      <c r="AF1347" s="449"/>
      <c r="AG1347" s="449"/>
      <c r="AH1347" s="449"/>
    </row>
    <row r="1348" ht="11.25" customHeight="1">
      <c r="A1348" s="450"/>
      <c r="B1348" s="451"/>
      <c r="C1348" s="452"/>
      <c r="D1348" s="452"/>
      <c r="E1348" s="453"/>
      <c r="F1348" s="453"/>
      <c r="G1348" s="454"/>
      <c r="H1348" s="454"/>
      <c r="I1348" s="455"/>
      <c r="J1348" s="456"/>
      <c r="K1348" s="467" t="s">
        <v>1417</v>
      </c>
      <c r="L1348" s="468"/>
      <c r="M1348" s="469"/>
      <c r="N1348" s="470"/>
      <c r="O1348" s="470"/>
      <c r="P1348" s="471"/>
      <c r="Q1348" s="468"/>
      <c r="R1348" s="469"/>
      <c r="S1348" s="469"/>
      <c r="T1348" s="469"/>
      <c r="U1348" s="469"/>
      <c r="V1348" s="469"/>
      <c r="W1348" s="469"/>
      <c r="X1348" s="469"/>
      <c r="Y1348" s="462">
        <f t="shared" si="17"/>
        <v>0</v>
      </c>
      <c r="Z1348" s="463"/>
      <c r="AA1348" s="464"/>
      <c r="AB1348" s="465"/>
      <c r="AC1348" s="465"/>
      <c r="AD1348" s="465"/>
      <c r="AE1348" s="466"/>
      <c r="AF1348" s="449"/>
      <c r="AG1348" s="449"/>
      <c r="AH1348" s="449"/>
    </row>
    <row r="1349" ht="11.25" customHeight="1">
      <c r="A1349" s="450"/>
      <c r="B1349" s="472"/>
      <c r="C1349" s="473"/>
      <c r="D1349" s="473"/>
      <c r="E1349" s="474"/>
      <c r="F1349" s="474"/>
      <c r="G1349" s="475"/>
      <c r="H1349" s="475"/>
      <c r="I1349" s="476"/>
      <c r="J1349" s="477"/>
      <c r="K1349" s="478" t="s">
        <v>1418</v>
      </c>
      <c r="L1349" s="479"/>
      <c r="M1349" s="480"/>
      <c r="N1349" s="481"/>
      <c r="O1349" s="481"/>
      <c r="P1349" s="482"/>
      <c r="Q1349" s="479"/>
      <c r="R1349" s="480"/>
      <c r="S1349" s="480"/>
      <c r="T1349" s="480"/>
      <c r="U1349" s="480"/>
      <c r="V1349" s="480"/>
      <c r="W1349" s="480"/>
      <c r="X1349" s="480"/>
      <c r="Y1349" s="483">
        <f t="shared" si="17"/>
        <v>0</v>
      </c>
      <c r="Z1349" s="484"/>
      <c r="AA1349" s="485"/>
      <c r="AB1349" s="486"/>
      <c r="AC1349" s="486"/>
      <c r="AD1349" s="486"/>
      <c r="AE1349" s="487"/>
      <c r="AF1349" s="449"/>
      <c r="AG1349" s="449"/>
      <c r="AH1349" s="449"/>
    </row>
    <row r="1350" ht="11.25" customHeight="1">
      <c r="A1350" s="431" t="str">
        <f>IF(B1350="","", YEAR(B1350))</f>
        <v/>
      </c>
      <c r="B1350" s="432"/>
      <c r="C1350" s="433"/>
      <c r="D1350" s="433"/>
      <c r="E1350" s="434" t="str">
        <f t="shared" ref="E1350:I1350" si="682">IFERROR(AVERAGE(L1350:L1353),"")</f>
        <v/>
      </c>
      <c r="F1350" s="434" t="str">
        <f t="shared" si="682"/>
        <v/>
      </c>
      <c r="G1350" s="435" t="str">
        <f t="shared" si="682"/>
        <v/>
      </c>
      <c r="H1350" s="435" t="str">
        <f t="shared" si="682"/>
        <v/>
      </c>
      <c r="I1350" s="436" t="str">
        <f t="shared" si="682"/>
        <v/>
      </c>
      <c r="J1350" s="437">
        <f>SUMIFS(PRODUCTION[KG],PRODUCTION[GRADE],"3X50",PRODUCTION[DATE],B1350,PRODUCTION[BATCH],C1350,PRODUCTION[SHIFT],D1350)</f>
        <v>0</v>
      </c>
      <c r="K1350" s="438" t="s">
        <v>1414</v>
      </c>
      <c r="L1350" s="443"/>
      <c r="M1350" s="440"/>
      <c r="N1350" s="441"/>
      <c r="O1350" s="441"/>
      <c r="P1350" s="442"/>
      <c r="Q1350" s="443"/>
      <c r="R1350" s="440"/>
      <c r="S1350" s="440"/>
      <c r="T1350" s="440"/>
      <c r="U1350" s="440"/>
      <c r="V1350" s="440"/>
      <c r="W1350" s="440"/>
      <c r="X1350" s="440"/>
      <c r="Y1350" s="444">
        <f t="shared" si="17"/>
        <v>0</v>
      </c>
      <c r="Z1350" s="445"/>
      <c r="AA1350" s="446">
        <f t="shared" ref="AA1350:AE1350" si="683">$J1350*E1350</f>
        <v>0</v>
      </c>
      <c r="AB1350" s="447">
        <f t="shared" si="683"/>
        <v>0</v>
      </c>
      <c r="AC1350" s="447">
        <f t="shared" si="683"/>
        <v>0</v>
      </c>
      <c r="AD1350" s="447">
        <f t="shared" si="683"/>
        <v>0</v>
      </c>
      <c r="AE1350" s="448">
        <f t="shared" si="683"/>
        <v>0</v>
      </c>
      <c r="AF1350" s="449"/>
      <c r="AG1350" s="449"/>
      <c r="AH1350" s="449"/>
    </row>
    <row r="1351" ht="11.25" customHeight="1">
      <c r="A1351" s="450"/>
      <c r="B1351" s="451"/>
      <c r="C1351" s="452"/>
      <c r="D1351" s="452"/>
      <c r="E1351" s="453"/>
      <c r="F1351" s="453"/>
      <c r="G1351" s="454"/>
      <c r="H1351" s="454"/>
      <c r="I1351" s="455"/>
      <c r="J1351" s="456"/>
      <c r="K1351" s="457" t="s">
        <v>1416</v>
      </c>
      <c r="L1351" s="458"/>
      <c r="M1351" s="459"/>
      <c r="N1351" s="460"/>
      <c r="O1351" s="460"/>
      <c r="P1351" s="461"/>
      <c r="Q1351" s="458"/>
      <c r="R1351" s="459"/>
      <c r="S1351" s="459"/>
      <c r="T1351" s="459"/>
      <c r="U1351" s="459"/>
      <c r="V1351" s="459"/>
      <c r="W1351" s="459"/>
      <c r="X1351" s="459"/>
      <c r="Y1351" s="462">
        <f t="shared" si="17"/>
        <v>0</v>
      </c>
      <c r="Z1351" s="463"/>
      <c r="AA1351" s="464"/>
      <c r="AB1351" s="465"/>
      <c r="AC1351" s="465"/>
      <c r="AD1351" s="465"/>
      <c r="AE1351" s="466"/>
      <c r="AF1351" s="449"/>
      <c r="AG1351" s="449"/>
      <c r="AH1351" s="449"/>
    </row>
    <row r="1352" ht="11.25" customHeight="1">
      <c r="A1352" s="450"/>
      <c r="B1352" s="451"/>
      <c r="C1352" s="452"/>
      <c r="D1352" s="452"/>
      <c r="E1352" s="453"/>
      <c r="F1352" s="453"/>
      <c r="G1352" s="454"/>
      <c r="H1352" s="454"/>
      <c r="I1352" s="455"/>
      <c r="J1352" s="456"/>
      <c r="K1352" s="467" t="s">
        <v>1417</v>
      </c>
      <c r="L1352" s="468"/>
      <c r="M1352" s="469"/>
      <c r="N1352" s="470"/>
      <c r="O1352" s="470"/>
      <c r="P1352" s="471"/>
      <c r="Q1352" s="468"/>
      <c r="R1352" s="469"/>
      <c r="S1352" s="469"/>
      <c r="T1352" s="469"/>
      <c r="U1352" s="469"/>
      <c r="V1352" s="469"/>
      <c r="W1352" s="469"/>
      <c r="X1352" s="469"/>
      <c r="Y1352" s="462">
        <f t="shared" si="17"/>
        <v>0</v>
      </c>
      <c r="Z1352" s="463"/>
      <c r="AA1352" s="464"/>
      <c r="AB1352" s="465"/>
      <c r="AC1352" s="465"/>
      <c r="AD1352" s="465"/>
      <c r="AE1352" s="466"/>
      <c r="AF1352" s="449"/>
      <c r="AG1352" s="449"/>
      <c r="AH1352" s="449"/>
    </row>
    <row r="1353" ht="11.25" customHeight="1">
      <c r="A1353" s="450"/>
      <c r="B1353" s="472"/>
      <c r="C1353" s="473"/>
      <c r="D1353" s="473"/>
      <c r="E1353" s="474"/>
      <c r="F1353" s="474"/>
      <c r="G1353" s="475"/>
      <c r="H1353" s="475"/>
      <c r="I1353" s="476"/>
      <c r="J1353" s="477"/>
      <c r="K1353" s="478" t="s">
        <v>1418</v>
      </c>
      <c r="L1353" s="479"/>
      <c r="M1353" s="480"/>
      <c r="N1353" s="481"/>
      <c r="O1353" s="481"/>
      <c r="P1353" s="482"/>
      <c r="Q1353" s="479"/>
      <c r="R1353" s="480"/>
      <c r="S1353" s="480"/>
      <c r="T1353" s="480"/>
      <c r="U1353" s="480"/>
      <c r="V1353" s="480"/>
      <c r="W1353" s="480"/>
      <c r="X1353" s="480"/>
      <c r="Y1353" s="483">
        <f t="shared" si="17"/>
        <v>0</v>
      </c>
      <c r="Z1353" s="484"/>
      <c r="AA1353" s="485"/>
      <c r="AB1353" s="486"/>
      <c r="AC1353" s="486"/>
      <c r="AD1353" s="486"/>
      <c r="AE1353" s="487"/>
      <c r="AF1353" s="449"/>
      <c r="AG1353" s="449"/>
      <c r="AH1353" s="449"/>
    </row>
    <row r="1354" ht="11.25" customHeight="1">
      <c r="A1354" s="431" t="str">
        <f>IF(B1354="","", YEAR(B1354))</f>
        <v/>
      </c>
      <c r="B1354" s="432"/>
      <c r="C1354" s="433"/>
      <c r="D1354" s="433"/>
      <c r="E1354" s="434" t="str">
        <f t="shared" ref="E1354:I1354" si="684">IFERROR(AVERAGE(L1354:L1357),"")</f>
        <v/>
      </c>
      <c r="F1354" s="434" t="str">
        <f t="shared" si="684"/>
        <v/>
      </c>
      <c r="G1354" s="435" t="str">
        <f t="shared" si="684"/>
        <v/>
      </c>
      <c r="H1354" s="435" t="str">
        <f t="shared" si="684"/>
        <v/>
      </c>
      <c r="I1354" s="436" t="str">
        <f t="shared" si="684"/>
        <v/>
      </c>
      <c r="J1354" s="437">
        <f>SUMIFS(PRODUCTION[KG],PRODUCTION[GRADE],"3X50",PRODUCTION[DATE],B1354,PRODUCTION[BATCH],C1354,PRODUCTION[SHIFT],D1354)</f>
        <v>0</v>
      </c>
      <c r="K1354" s="438" t="s">
        <v>1414</v>
      </c>
      <c r="L1354" s="443"/>
      <c r="M1354" s="440"/>
      <c r="N1354" s="441"/>
      <c r="O1354" s="441"/>
      <c r="P1354" s="442"/>
      <c r="Q1354" s="443"/>
      <c r="R1354" s="440"/>
      <c r="S1354" s="440"/>
      <c r="T1354" s="440"/>
      <c r="U1354" s="440"/>
      <c r="V1354" s="440"/>
      <c r="W1354" s="440"/>
      <c r="X1354" s="440"/>
      <c r="Y1354" s="444">
        <f t="shared" si="17"/>
        <v>0</v>
      </c>
      <c r="Z1354" s="445"/>
      <c r="AA1354" s="446">
        <f t="shared" ref="AA1354:AE1354" si="685">$J1354*E1354</f>
        <v>0</v>
      </c>
      <c r="AB1354" s="447">
        <f t="shared" si="685"/>
        <v>0</v>
      </c>
      <c r="AC1354" s="447">
        <f t="shared" si="685"/>
        <v>0</v>
      </c>
      <c r="AD1354" s="447">
        <f t="shared" si="685"/>
        <v>0</v>
      </c>
      <c r="AE1354" s="448">
        <f t="shared" si="685"/>
        <v>0</v>
      </c>
      <c r="AF1354" s="449"/>
      <c r="AG1354" s="449"/>
      <c r="AH1354" s="449"/>
    </row>
    <row r="1355" ht="11.25" customHeight="1">
      <c r="A1355" s="450"/>
      <c r="B1355" s="451"/>
      <c r="C1355" s="452"/>
      <c r="D1355" s="452"/>
      <c r="E1355" s="453"/>
      <c r="F1355" s="453"/>
      <c r="G1355" s="454"/>
      <c r="H1355" s="454"/>
      <c r="I1355" s="455"/>
      <c r="J1355" s="456"/>
      <c r="K1355" s="457" t="s">
        <v>1416</v>
      </c>
      <c r="L1355" s="458"/>
      <c r="M1355" s="459"/>
      <c r="N1355" s="460"/>
      <c r="O1355" s="460"/>
      <c r="P1355" s="461"/>
      <c r="Q1355" s="458"/>
      <c r="R1355" s="459"/>
      <c r="S1355" s="459"/>
      <c r="T1355" s="459"/>
      <c r="U1355" s="459"/>
      <c r="V1355" s="459"/>
      <c r="W1355" s="459"/>
      <c r="X1355" s="459"/>
      <c r="Y1355" s="462">
        <f t="shared" si="17"/>
        <v>0</v>
      </c>
      <c r="Z1355" s="463"/>
      <c r="AA1355" s="464"/>
      <c r="AB1355" s="465"/>
      <c r="AC1355" s="465"/>
      <c r="AD1355" s="465"/>
      <c r="AE1355" s="466"/>
      <c r="AF1355" s="449"/>
      <c r="AG1355" s="449"/>
      <c r="AH1355" s="449"/>
    </row>
    <row r="1356" ht="11.25" customHeight="1">
      <c r="A1356" s="450"/>
      <c r="B1356" s="451"/>
      <c r="C1356" s="452"/>
      <c r="D1356" s="452"/>
      <c r="E1356" s="453"/>
      <c r="F1356" s="453"/>
      <c r="G1356" s="454"/>
      <c r="H1356" s="454"/>
      <c r="I1356" s="455"/>
      <c r="J1356" s="456"/>
      <c r="K1356" s="467" t="s">
        <v>1417</v>
      </c>
      <c r="L1356" s="468"/>
      <c r="M1356" s="469"/>
      <c r="N1356" s="470"/>
      <c r="O1356" s="470"/>
      <c r="P1356" s="471"/>
      <c r="Q1356" s="468"/>
      <c r="R1356" s="469"/>
      <c r="S1356" s="469"/>
      <c r="T1356" s="469"/>
      <c r="U1356" s="469"/>
      <c r="V1356" s="469"/>
      <c r="W1356" s="469"/>
      <c r="X1356" s="469"/>
      <c r="Y1356" s="462">
        <f t="shared" si="17"/>
        <v>0</v>
      </c>
      <c r="Z1356" s="463"/>
      <c r="AA1356" s="464"/>
      <c r="AB1356" s="465"/>
      <c r="AC1356" s="465"/>
      <c r="AD1356" s="465"/>
      <c r="AE1356" s="466"/>
      <c r="AF1356" s="449"/>
      <c r="AG1356" s="449"/>
      <c r="AH1356" s="449"/>
    </row>
    <row r="1357" ht="11.25" customHeight="1">
      <c r="A1357" s="450"/>
      <c r="B1357" s="472"/>
      <c r="C1357" s="473"/>
      <c r="D1357" s="473"/>
      <c r="E1357" s="474"/>
      <c r="F1357" s="474"/>
      <c r="G1357" s="475"/>
      <c r="H1357" s="475"/>
      <c r="I1357" s="476"/>
      <c r="J1357" s="477"/>
      <c r="K1357" s="478" t="s">
        <v>1418</v>
      </c>
      <c r="L1357" s="479"/>
      <c r="M1357" s="480"/>
      <c r="N1357" s="481"/>
      <c r="O1357" s="481"/>
      <c r="P1357" s="482"/>
      <c r="Q1357" s="479"/>
      <c r="R1357" s="480"/>
      <c r="S1357" s="480"/>
      <c r="T1357" s="480"/>
      <c r="U1357" s="480"/>
      <c r="V1357" s="480"/>
      <c r="W1357" s="480"/>
      <c r="X1357" s="480"/>
      <c r="Y1357" s="483">
        <f t="shared" si="17"/>
        <v>0</v>
      </c>
      <c r="Z1357" s="484"/>
      <c r="AA1357" s="485"/>
      <c r="AB1357" s="486"/>
      <c r="AC1357" s="486"/>
      <c r="AD1357" s="486"/>
      <c r="AE1357" s="487"/>
      <c r="AF1357" s="449"/>
      <c r="AG1357" s="449"/>
      <c r="AH1357" s="449"/>
    </row>
    <row r="1358" ht="11.25" customHeight="1">
      <c r="A1358" s="431" t="str">
        <f>IF(B1358="","", YEAR(B1358))</f>
        <v/>
      </c>
      <c r="B1358" s="432"/>
      <c r="C1358" s="433"/>
      <c r="D1358" s="433"/>
      <c r="E1358" s="434" t="str">
        <f t="shared" ref="E1358:I1358" si="686">IFERROR(AVERAGE(L1358:L1361),"")</f>
        <v/>
      </c>
      <c r="F1358" s="434" t="str">
        <f t="shared" si="686"/>
        <v/>
      </c>
      <c r="G1358" s="435" t="str">
        <f t="shared" si="686"/>
        <v/>
      </c>
      <c r="H1358" s="435" t="str">
        <f t="shared" si="686"/>
        <v/>
      </c>
      <c r="I1358" s="436" t="str">
        <f t="shared" si="686"/>
        <v/>
      </c>
      <c r="J1358" s="437">
        <f>SUMIFS(PRODUCTION[KG],PRODUCTION[GRADE],"3X50",PRODUCTION[DATE],B1358,PRODUCTION[BATCH],C1358,PRODUCTION[SHIFT],D1358)</f>
        <v>0</v>
      </c>
      <c r="K1358" s="438" t="s">
        <v>1414</v>
      </c>
      <c r="L1358" s="443"/>
      <c r="M1358" s="440"/>
      <c r="N1358" s="441"/>
      <c r="O1358" s="441"/>
      <c r="P1358" s="442"/>
      <c r="Q1358" s="443"/>
      <c r="R1358" s="440"/>
      <c r="S1358" s="440"/>
      <c r="T1358" s="440"/>
      <c r="U1358" s="440"/>
      <c r="V1358" s="440"/>
      <c r="W1358" s="440"/>
      <c r="X1358" s="440"/>
      <c r="Y1358" s="444">
        <f t="shared" si="17"/>
        <v>0</v>
      </c>
      <c r="Z1358" s="445"/>
      <c r="AA1358" s="446">
        <f t="shared" ref="AA1358:AE1358" si="687">$J1358*E1358</f>
        <v>0</v>
      </c>
      <c r="AB1358" s="447">
        <f t="shared" si="687"/>
        <v>0</v>
      </c>
      <c r="AC1358" s="447">
        <f t="shared" si="687"/>
        <v>0</v>
      </c>
      <c r="AD1358" s="447">
        <f t="shared" si="687"/>
        <v>0</v>
      </c>
      <c r="AE1358" s="448">
        <f t="shared" si="687"/>
        <v>0</v>
      </c>
      <c r="AF1358" s="449"/>
      <c r="AG1358" s="449"/>
      <c r="AH1358" s="449"/>
    </row>
    <row r="1359" ht="11.25" customHeight="1">
      <c r="A1359" s="450"/>
      <c r="B1359" s="451"/>
      <c r="C1359" s="452"/>
      <c r="D1359" s="452"/>
      <c r="E1359" s="453"/>
      <c r="F1359" s="453"/>
      <c r="G1359" s="454"/>
      <c r="H1359" s="454"/>
      <c r="I1359" s="455"/>
      <c r="J1359" s="456"/>
      <c r="K1359" s="457" t="s">
        <v>1416</v>
      </c>
      <c r="L1359" s="458"/>
      <c r="M1359" s="459"/>
      <c r="N1359" s="460"/>
      <c r="O1359" s="460"/>
      <c r="P1359" s="461"/>
      <c r="Q1359" s="458"/>
      <c r="R1359" s="459"/>
      <c r="S1359" s="459"/>
      <c r="T1359" s="459"/>
      <c r="U1359" s="459"/>
      <c r="V1359" s="459"/>
      <c r="W1359" s="459"/>
      <c r="X1359" s="459"/>
      <c r="Y1359" s="462">
        <f t="shared" si="17"/>
        <v>0</v>
      </c>
      <c r="Z1359" s="463"/>
      <c r="AA1359" s="464"/>
      <c r="AB1359" s="465"/>
      <c r="AC1359" s="465"/>
      <c r="AD1359" s="465"/>
      <c r="AE1359" s="466"/>
      <c r="AF1359" s="449"/>
      <c r="AG1359" s="449"/>
      <c r="AH1359" s="449"/>
    </row>
    <row r="1360" ht="11.25" customHeight="1">
      <c r="A1360" s="450"/>
      <c r="B1360" s="451"/>
      <c r="C1360" s="452"/>
      <c r="D1360" s="452"/>
      <c r="E1360" s="453"/>
      <c r="F1360" s="453"/>
      <c r="G1360" s="454"/>
      <c r="H1360" s="454"/>
      <c r="I1360" s="455"/>
      <c r="J1360" s="456"/>
      <c r="K1360" s="467" t="s">
        <v>1417</v>
      </c>
      <c r="L1360" s="468"/>
      <c r="M1360" s="469"/>
      <c r="N1360" s="470"/>
      <c r="O1360" s="470"/>
      <c r="P1360" s="471"/>
      <c r="Q1360" s="468"/>
      <c r="R1360" s="469"/>
      <c r="S1360" s="469"/>
      <c r="T1360" s="469"/>
      <c r="U1360" s="469"/>
      <c r="V1360" s="469"/>
      <c r="W1360" s="469"/>
      <c r="X1360" s="469"/>
      <c r="Y1360" s="462">
        <f t="shared" si="17"/>
        <v>0</v>
      </c>
      <c r="Z1360" s="463"/>
      <c r="AA1360" s="464"/>
      <c r="AB1360" s="465"/>
      <c r="AC1360" s="465"/>
      <c r="AD1360" s="465"/>
      <c r="AE1360" s="466"/>
      <c r="AF1360" s="449"/>
      <c r="AG1360" s="449"/>
      <c r="AH1360" s="449"/>
    </row>
    <row r="1361" ht="11.25" customHeight="1">
      <c r="A1361" s="450"/>
      <c r="B1361" s="472"/>
      <c r="C1361" s="473"/>
      <c r="D1361" s="473"/>
      <c r="E1361" s="474"/>
      <c r="F1361" s="474"/>
      <c r="G1361" s="475"/>
      <c r="H1361" s="475"/>
      <c r="I1361" s="476"/>
      <c r="J1361" s="477"/>
      <c r="K1361" s="478" t="s">
        <v>1418</v>
      </c>
      <c r="L1361" s="479"/>
      <c r="M1361" s="480"/>
      <c r="N1361" s="481"/>
      <c r="O1361" s="481"/>
      <c r="P1361" s="482"/>
      <c r="Q1361" s="479"/>
      <c r="R1361" s="480"/>
      <c r="S1361" s="480"/>
      <c r="T1361" s="480"/>
      <c r="U1361" s="480"/>
      <c r="V1361" s="480"/>
      <c r="W1361" s="480"/>
      <c r="X1361" s="480"/>
      <c r="Y1361" s="483">
        <f t="shared" si="17"/>
        <v>0</v>
      </c>
      <c r="Z1361" s="484"/>
      <c r="AA1361" s="485"/>
      <c r="AB1361" s="486"/>
      <c r="AC1361" s="486"/>
      <c r="AD1361" s="486"/>
      <c r="AE1361" s="487"/>
      <c r="AF1361" s="449"/>
      <c r="AG1361" s="449"/>
      <c r="AH1361" s="449"/>
    </row>
    <row r="1362" ht="11.25" customHeight="1">
      <c r="A1362" s="431" t="str">
        <f>IF(B1362="","", YEAR(B1362))</f>
        <v/>
      </c>
      <c r="B1362" s="432"/>
      <c r="C1362" s="433"/>
      <c r="D1362" s="433"/>
      <c r="E1362" s="434" t="str">
        <f t="shared" ref="E1362:I1362" si="688">IFERROR(AVERAGE(L1362:L1365),"")</f>
        <v/>
      </c>
      <c r="F1362" s="434" t="str">
        <f t="shared" si="688"/>
        <v/>
      </c>
      <c r="G1362" s="435" t="str">
        <f t="shared" si="688"/>
        <v/>
      </c>
      <c r="H1362" s="435" t="str">
        <f t="shared" si="688"/>
        <v/>
      </c>
      <c r="I1362" s="436" t="str">
        <f t="shared" si="688"/>
        <v/>
      </c>
      <c r="J1362" s="437">
        <f>SUMIFS(PRODUCTION[KG],PRODUCTION[GRADE],"3X50",PRODUCTION[DATE],B1362,PRODUCTION[BATCH],C1362,PRODUCTION[SHIFT],D1362)</f>
        <v>0</v>
      </c>
      <c r="K1362" s="438" t="s">
        <v>1414</v>
      </c>
      <c r="L1362" s="443"/>
      <c r="M1362" s="440"/>
      <c r="N1362" s="441"/>
      <c r="O1362" s="441"/>
      <c r="P1362" s="442"/>
      <c r="Q1362" s="443"/>
      <c r="R1362" s="440"/>
      <c r="S1362" s="440"/>
      <c r="T1362" s="440"/>
      <c r="U1362" s="440"/>
      <c r="V1362" s="440"/>
      <c r="W1362" s="440"/>
      <c r="X1362" s="440"/>
      <c r="Y1362" s="444">
        <f t="shared" si="17"/>
        <v>0</v>
      </c>
      <c r="Z1362" s="445"/>
      <c r="AA1362" s="446">
        <f t="shared" ref="AA1362:AE1362" si="689">$J1362*E1362</f>
        <v>0</v>
      </c>
      <c r="AB1362" s="447">
        <f t="shared" si="689"/>
        <v>0</v>
      </c>
      <c r="AC1362" s="447">
        <f t="shared" si="689"/>
        <v>0</v>
      </c>
      <c r="AD1362" s="447">
        <f t="shared" si="689"/>
        <v>0</v>
      </c>
      <c r="AE1362" s="448">
        <f t="shared" si="689"/>
        <v>0</v>
      </c>
      <c r="AF1362" s="449"/>
      <c r="AG1362" s="449"/>
      <c r="AH1362" s="449"/>
    </row>
    <row r="1363" ht="11.25" customHeight="1">
      <c r="A1363" s="450"/>
      <c r="B1363" s="451"/>
      <c r="C1363" s="452"/>
      <c r="D1363" s="452"/>
      <c r="E1363" s="453"/>
      <c r="F1363" s="453"/>
      <c r="G1363" s="454"/>
      <c r="H1363" s="454"/>
      <c r="I1363" s="455"/>
      <c r="J1363" s="456"/>
      <c r="K1363" s="457" t="s">
        <v>1416</v>
      </c>
      <c r="L1363" s="458"/>
      <c r="M1363" s="459"/>
      <c r="N1363" s="460"/>
      <c r="O1363" s="460"/>
      <c r="P1363" s="461"/>
      <c r="Q1363" s="458"/>
      <c r="R1363" s="459"/>
      <c r="S1363" s="459"/>
      <c r="T1363" s="459"/>
      <c r="U1363" s="459"/>
      <c r="V1363" s="459"/>
      <c r="W1363" s="459"/>
      <c r="X1363" s="459"/>
      <c r="Y1363" s="462">
        <f t="shared" si="17"/>
        <v>0</v>
      </c>
      <c r="Z1363" s="463"/>
      <c r="AA1363" s="464"/>
      <c r="AB1363" s="465"/>
      <c r="AC1363" s="465"/>
      <c r="AD1363" s="465"/>
      <c r="AE1363" s="466"/>
      <c r="AF1363" s="449"/>
      <c r="AG1363" s="449"/>
      <c r="AH1363" s="449"/>
    </row>
    <row r="1364" ht="11.25" customHeight="1">
      <c r="A1364" s="450"/>
      <c r="B1364" s="451"/>
      <c r="C1364" s="452"/>
      <c r="D1364" s="452"/>
      <c r="E1364" s="453"/>
      <c r="F1364" s="453"/>
      <c r="G1364" s="454"/>
      <c r="H1364" s="454"/>
      <c r="I1364" s="455"/>
      <c r="J1364" s="456"/>
      <c r="K1364" s="467" t="s">
        <v>1417</v>
      </c>
      <c r="L1364" s="468"/>
      <c r="M1364" s="469"/>
      <c r="N1364" s="470"/>
      <c r="O1364" s="470"/>
      <c r="P1364" s="471"/>
      <c r="Q1364" s="468"/>
      <c r="R1364" s="469"/>
      <c r="S1364" s="469"/>
      <c r="T1364" s="469"/>
      <c r="U1364" s="469"/>
      <c r="V1364" s="469"/>
      <c r="W1364" s="469"/>
      <c r="X1364" s="469"/>
      <c r="Y1364" s="462">
        <f t="shared" si="17"/>
        <v>0</v>
      </c>
      <c r="Z1364" s="463"/>
      <c r="AA1364" s="464"/>
      <c r="AB1364" s="465"/>
      <c r="AC1364" s="465"/>
      <c r="AD1364" s="465"/>
      <c r="AE1364" s="466"/>
      <c r="AF1364" s="449"/>
      <c r="AG1364" s="449"/>
      <c r="AH1364" s="449"/>
    </row>
    <row r="1365" ht="11.25" customHeight="1">
      <c r="A1365" s="450"/>
      <c r="B1365" s="472"/>
      <c r="C1365" s="473"/>
      <c r="D1365" s="473"/>
      <c r="E1365" s="474"/>
      <c r="F1365" s="474"/>
      <c r="G1365" s="475"/>
      <c r="H1365" s="475"/>
      <c r="I1365" s="476"/>
      <c r="J1365" s="477"/>
      <c r="K1365" s="478" t="s">
        <v>1418</v>
      </c>
      <c r="L1365" s="479"/>
      <c r="M1365" s="480"/>
      <c r="N1365" s="481"/>
      <c r="O1365" s="481"/>
      <c r="P1365" s="482"/>
      <c r="Q1365" s="479"/>
      <c r="R1365" s="480"/>
      <c r="S1365" s="480"/>
      <c r="T1365" s="480"/>
      <c r="U1365" s="480"/>
      <c r="V1365" s="480"/>
      <c r="W1365" s="480"/>
      <c r="X1365" s="480"/>
      <c r="Y1365" s="483">
        <f t="shared" si="17"/>
        <v>0</v>
      </c>
      <c r="Z1365" s="484"/>
      <c r="AA1365" s="485"/>
      <c r="AB1365" s="486"/>
      <c r="AC1365" s="486"/>
      <c r="AD1365" s="486"/>
      <c r="AE1365" s="487"/>
      <c r="AF1365" s="449"/>
      <c r="AG1365" s="449"/>
      <c r="AH1365" s="449"/>
    </row>
    <row r="1366" ht="11.25" customHeight="1">
      <c r="A1366" s="431" t="str">
        <f>IF(B1366="","", YEAR(B1366))</f>
        <v/>
      </c>
      <c r="B1366" s="432"/>
      <c r="C1366" s="433"/>
      <c r="D1366" s="433"/>
      <c r="E1366" s="434" t="str">
        <f t="shared" ref="E1366:I1366" si="690">IFERROR(AVERAGE(L1366:L1369),"")</f>
        <v/>
      </c>
      <c r="F1366" s="434" t="str">
        <f t="shared" si="690"/>
        <v/>
      </c>
      <c r="G1366" s="435" t="str">
        <f t="shared" si="690"/>
        <v/>
      </c>
      <c r="H1366" s="435" t="str">
        <f t="shared" si="690"/>
        <v/>
      </c>
      <c r="I1366" s="436" t="str">
        <f t="shared" si="690"/>
        <v/>
      </c>
      <c r="J1366" s="437">
        <f>SUMIFS(PRODUCTION[KG],PRODUCTION[GRADE],"3X50",PRODUCTION[DATE],B1366,PRODUCTION[BATCH],C1366,PRODUCTION[SHIFT],D1366)</f>
        <v>0</v>
      </c>
      <c r="K1366" s="438" t="s">
        <v>1414</v>
      </c>
      <c r="L1366" s="443"/>
      <c r="M1366" s="440"/>
      <c r="N1366" s="441"/>
      <c r="O1366" s="441"/>
      <c r="P1366" s="442"/>
      <c r="Q1366" s="443"/>
      <c r="R1366" s="440"/>
      <c r="S1366" s="440"/>
      <c r="T1366" s="440"/>
      <c r="U1366" s="440"/>
      <c r="V1366" s="440"/>
      <c r="W1366" s="440"/>
      <c r="X1366" s="440"/>
      <c r="Y1366" s="444">
        <f t="shared" si="17"/>
        <v>0</v>
      </c>
      <c r="Z1366" s="445"/>
      <c r="AA1366" s="446">
        <f t="shared" ref="AA1366:AE1366" si="691">$J1366*E1366</f>
        <v>0</v>
      </c>
      <c r="AB1366" s="447">
        <f t="shared" si="691"/>
        <v>0</v>
      </c>
      <c r="AC1366" s="447">
        <f t="shared" si="691"/>
        <v>0</v>
      </c>
      <c r="AD1366" s="447">
        <f t="shared" si="691"/>
        <v>0</v>
      </c>
      <c r="AE1366" s="448">
        <f t="shared" si="691"/>
        <v>0</v>
      </c>
      <c r="AF1366" s="449"/>
      <c r="AG1366" s="449"/>
      <c r="AH1366" s="449"/>
    </row>
    <row r="1367" ht="11.25" customHeight="1">
      <c r="A1367" s="450"/>
      <c r="B1367" s="451"/>
      <c r="C1367" s="452"/>
      <c r="D1367" s="452"/>
      <c r="E1367" s="453"/>
      <c r="F1367" s="453"/>
      <c r="G1367" s="454"/>
      <c r="H1367" s="454"/>
      <c r="I1367" s="455"/>
      <c r="J1367" s="456"/>
      <c r="K1367" s="457" t="s">
        <v>1416</v>
      </c>
      <c r="L1367" s="458"/>
      <c r="M1367" s="459"/>
      <c r="N1367" s="460"/>
      <c r="O1367" s="460"/>
      <c r="P1367" s="461"/>
      <c r="Q1367" s="458"/>
      <c r="R1367" s="459"/>
      <c r="S1367" s="459"/>
      <c r="T1367" s="459"/>
      <c r="U1367" s="459"/>
      <c r="V1367" s="459"/>
      <c r="W1367" s="459"/>
      <c r="X1367" s="459"/>
      <c r="Y1367" s="462">
        <f t="shared" si="17"/>
        <v>0</v>
      </c>
      <c r="Z1367" s="463"/>
      <c r="AA1367" s="464"/>
      <c r="AB1367" s="465"/>
      <c r="AC1367" s="465"/>
      <c r="AD1367" s="465"/>
      <c r="AE1367" s="466"/>
      <c r="AF1367" s="449"/>
      <c r="AG1367" s="449"/>
      <c r="AH1367" s="449"/>
    </row>
    <row r="1368" ht="11.25" customHeight="1">
      <c r="A1368" s="450"/>
      <c r="B1368" s="451"/>
      <c r="C1368" s="452"/>
      <c r="D1368" s="452"/>
      <c r="E1368" s="453"/>
      <c r="F1368" s="453"/>
      <c r="G1368" s="454"/>
      <c r="H1368" s="454"/>
      <c r="I1368" s="455"/>
      <c r="J1368" s="456"/>
      <c r="K1368" s="467" t="s">
        <v>1417</v>
      </c>
      <c r="L1368" s="468"/>
      <c r="M1368" s="469"/>
      <c r="N1368" s="470"/>
      <c r="O1368" s="470"/>
      <c r="P1368" s="471"/>
      <c r="Q1368" s="468"/>
      <c r="R1368" s="469"/>
      <c r="S1368" s="469"/>
      <c r="T1368" s="469"/>
      <c r="U1368" s="469"/>
      <c r="V1368" s="469"/>
      <c r="W1368" s="469"/>
      <c r="X1368" s="469"/>
      <c r="Y1368" s="462">
        <f t="shared" si="17"/>
        <v>0</v>
      </c>
      <c r="Z1368" s="463"/>
      <c r="AA1368" s="464"/>
      <c r="AB1368" s="465"/>
      <c r="AC1368" s="465"/>
      <c r="AD1368" s="465"/>
      <c r="AE1368" s="466"/>
      <c r="AF1368" s="449"/>
      <c r="AG1368" s="449"/>
      <c r="AH1368" s="449"/>
    </row>
    <row r="1369" ht="11.25" customHeight="1">
      <c r="A1369" s="450"/>
      <c r="B1369" s="472"/>
      <c r="C1369" s="473"/>
      <c r="D1369" s="473"/>
      <c r="E1369" s="474"/>
      <c r="F1369" s="474"/>
      <c r="G1369" s="475"/>
      <c r="H1369" s="475"/>
      <c r="I1369" s="476"/>
      <c r="J1369" s="477"/>
      <c r="K1369" s="478" t="s">
        <v>1418</v>
      </c>
      <c r="L1369" s="479"/>
      <c r="M1369" s="480"/>
      <c r="N1369" s="481"/>
      <c r="O1369" s="481"/>
      <c r="P1369" s="482"/>
      <c r="Q1369" s="479"/>
      <c r="R1369" s="480"/>
      <c r="S1369" s="480"/>
      <c r="T1369" s="480"/>
      <c r="U1369" s="480"/>
      <c r="V1369" s="480"/>
      <c r="W1369" s="480"/>
      <c r="X1369" s="480"/>
      <c r="Y1369" s="483">
        <f t="shared" si="17"/>
        <v>0</v>
      </c>
      <c r="Z1369" s="484"/>
      <c r="AA1369" s="485"/>
      <c r="AB1369" s="486"/>
      <c r="AC1369" s="486"/>
      <c r="AD1369" s="486"/>
      <c r="AE1369" s="487"/>
      <c r="AF1369" s="449"/>
      <c r="AG1369" s="449"/>
      <c r="AH1369" s="449"/>
    </row>
    <row r="1370" ht="11.25" customHeight="1">
      <c r="A1370" s="431" t="str">
        <f>IF(B1370="","", YEAR(B1370))</f>
        <v/>
      </c>
      <c r="B1370" s="432"/>
      <c r="C1370" s="433"/>
      <c r="D1370" s="433"/>
      <c r="E1370" s="434" t="str">
        <f t="shared" ref="E1370:I1370" si="692">IFERROR(AVERAGE(L1370:L1373),"")</f>
        <v/>
      </c>
      <c r="F1370" s="434" t="str">
        <f t="shared" si="692"/>
        <v/>
      </c>
      <c r="G1370" s="435" t="str">
        <f t="shared" si="692"/>
        <v/>
      </c>
      <c r="H1370" s="435" t="str">
        <f t="shared" si="692"/>
        <v/>
      </c>
      <c r="I1370" s="436" t="str">
        <f t="shared" si="692"/>
        <v/>
      </c>
      <c r="J1370" s="437">
        <f>SUMIFS(PRODUCTION[KG],PRODUCTION[GRADE],"3X50",PRODUCTION[DATE],B1370,PRODUCTION[BATCH],C1370,PRODUCTION[SHIFT],D1370)</f>
        <v>0</v>
      </c>
      <c r="K1370" s="438" t="s">
        <v>1414</v>
      </c>
      <c r="L1370" s="443"/>
      <c r="M1370" s="440"/>
      <c r="N1370" s="441"/>
      <c r="O1370" s="441"/>
      <c r="P1370" s="442"/>
      <c r="Q1370" s="443"/>
      <c r="R1370" s="440"/>
      <c r="S1370" s="440"/>
      <c r="T1370" s="440"/>
      <c r="U1370" s="440"/>
      <c r="V1370" s="440"/>
      <c r="W1370" s="440"/>
      <c r="X1370" s="440"/>
      <c r="Y1370" s="444">
        <f t="shared" si="17"/>
        <v>0</v>
      </c>
      <c r="Z1370" s="445"/>
      <c r="AA1370" s="446">
        <f t="shared" ref="AA1370:AE1370" si="693">$J1370*E1370</f>
        <v>0</v>
      </c>
      <c r="AB1370" s="447">
        <f t="shared" si="693"/>
        <v>0</v>
      </c>
      <c r="AC1370" s="447">
        <f t="shared" si="693"/>
        <v>0</v>
      </c>
      <c r="AD1370" s="447">
        <f t="shared" si="693"/>
        <v>0</v>
      </c>
      <c r="AE1370" s="448">
        <f t="shared" si="693"/>
        <v>0</v>
      </c>
      <c r="AF1370" s="449"/>
      <c r="AG1370" s="449"/>
      <c r="AH1370" s="449"/>
    </row>
    <row r="1371" ht="11.25" customHeight="1">
      <c r="A1371" s="450"/>
      <c r="B1371" s="451"/>
      <c r="C1371" s="452"/>
      <c r="D1371" s="452"/>
      <c r="E1371" s="453"/>
      <c r="F1371" s="453"/>
      <c r="G1371" s="454"/>
      <c r="H1371" s="454"/>
      <c r="I1371" s="455"/>
      <c r="J1371" s="456"/>
      <c r="K1371" s="457" t="s">
        <v>1416</v>
      </c>
      <c r="L1371" s="458"/>
      <c r="M1371" s="459"/>
      <c r="N1371" s="460"/>
      <c r="O1371" s="460"/>
      <c r="P1371" s="461"/>
      <c r="Q1371" s="458"/>
      <c r="R1371" s="459"/>
      <c r="S1371" s="459"/>
      <c r="T1371" s="459"/>
      <c r="U1371" s="459"/>
      <c r="V1371" s="459"/>
      <c r="W1371" s="459"/>
      <c r="X1371" s="459"/>
      <c r="Y1371" s="462">
        <f t="shared" si="17"/>
        <v>0</v>
      </c>
      <c r="Z1371" s="463"/>
      <c r="AA1371" s="464"/>
      <c r="AB1371" s="465"/>
      <c r="AC1371" s="465"/>
      <c r="AD1371" s="465"/>
      <c r="AE1371" s="466"/>
      <c r="AF1371" s="449"/>
      <c r="AG1371" s="449"/>
      <c r="AH1371" s="449"/>
    </row>
    <row r="1372" ht="11.25" customHeight="1">
      <c r="A1372" s="450"/>
      <c r="B1372" s="451"/>
      <c r="C1372" s="452"/>
      <c r="D1372" s="452"/>
      <c r="E1372" s="453"/>
      <c r="F1372" s="453"/>
      <c r="G1372" s="454"/>
      <c r="H1372" s="454"/>
      <c r="I1372" s="455"/>
      <c r="J1372" s="456"/>
      <c r="K1372" s="467" t="s">
        <v>1417</v>
      </c>
      <c r="L1372" s="468"/>
      <c r="M1372" s="469"/>
      <c r="N1372" s="470"/>
      <c r="O1372" s="470"/>
      <c r="P1372" s="471"/>
      <c r="Q1372" s="468"/>
      <c r="R1372" s="469"/>
      <c r="S1372" s="469"/>
      <c r="T1372" s="469"/>
      <c r="U1372" s="469"/>
      <c r="V1372" s="469"/>
      <c r="W1372" s="469"/>
      <c r="X1372" s="469"/>
      <c r="Y1372" s="462">
        <f t="shared" si="17"/>
        <v>0</v>
      </c>
      <c r="Z1372" s="463"/>
      <c r="AA1372" s="464"/>
      <c r="AB1372" s="465"/>
      <c r="AC1372" s="465"/>
      <c r="AD1372" s="465"/>
      <c r="AE1372" s="466"/>
      <c r="AF1372" s="449"/>
      <c r="AG1372" s="449"/>
      <c r="AH1372" s="449"/>
    </row>
    <row r="1373" ht="11.25" customHeight="1">
      <c r="A1373" s="450"/>
      <c r="B1373" s="472"/>
      <c r="C1373" s="473"/>
      <c r="D1373" s="473"/>
      <c r="E1373" s="474"/>
      <c r="F1373" s="474"/>
      <c r="G1373" s="475"/>
      <c r="H1373" s="475"/>
      <c r="I1373" s="476"/>
      <c r="J1373" s="477"/>
      <c r="K1373" s="478" t="s">
        <v>1418</v>
      </c>
      <c r="L1373" s="479"/>
      <c r="M1373" s="480"/>
      <c r="N1373" s="481"/>
      <c r="O1373" s="481"/>
      <c r="P1373" s="482"/>
      <c r="Q1373" s="479"/>
      <c r="R1373" s="480"/>
      <c r="S1373" s="480"/>
      <c r="T1373" s="480"/>
      <c r="U1373" s="480"/>
      <c r="V1373" s="480"/>
      <c r="W1373" s="480"/>
      <c r="X1373" s="480"/>
      <c r="Y1373" s="483">
        <f t="shared" si="17"/>
        <v>0</v>
      </c>
      <c r="Z1373" s="484"/>
      <c r="AA1373" s="485"/>
      <c r="AB1373" s="486"/>
      <c r="AC1373" s="486"/>
      <c r="AD1373" s="486"/>
      <c r="AE1373" s="487"/>
      <c r="AF1373" s="449"/>
      <c r="AG1373" s="449"/>
      <c r="AH1373" s="449"/>
    </row>
    <row r="1374" ht="11.25" customHeight="1">
      <c r="A1374" s="431" t="str">
        <f>IF(B1374="","", YEAR(B1374))</f>
        <v/>
      </c>
      <c r="B1374" s="432"/>
      <c r="C1374" s="433"/>
      <c r="D1374" s="433"/>
      <c r="E1374" s="434" t="str">
        <f t="shared" ref="E1374:I1374" si="694">IFERROR(AVERAGE(L1374:L1377),"")</f>
        <v/>
      </c>
      <c r="F1374" s="434" t="str">
        <f t="shared" si="694"/>
        <v/>
      </c>
      <c r="G1374" s="435" t="str">
        <f t="shared" si="694"/>
        <v/>
      </c>
      <c r="H1374" s="435" t="str">
        <f t="shared" si="694"/>
        <v/>
      </c>
      <c r="I1374" s="436" t="str">
        <f t="shared" si="694"/>
        <v/>
      </c>
      <c r="J1374" s="437">
        <f>SUMIFS(PRODUCTION[KG],PRODUCTION[GRADE],"3X50",PRODUCTION[DATE],B1374,PRODUCTION[BATCH],C1374,PRODUCTION[SHIFT],D1374)</f>
        <v>0</v>
      </c>
      <c r="K1374" s="438" t="s">
        <v>1414</v>
      </c>
      <c r="L1374" s="443"/>
      <c r="M1374" s="440"/>
      <c r="N1374" s="441"/>
      <c r="O1374" s="441"/>
      <c r="P1374" s="442"/>
      <c r="Q1374" s="443"/>
      <c r="R1374" s="440"/>
      <c r="S1374" s="440"/>
      <c r="T1374" s="440"/>
      <c r="U1374" s="440"/>
      <c r="V1374" s="440"/>
      <c r="W1374" s="440"/>
      <c r="X1374" s="440"/>
      <c r="Y1374" s="444">
        <f t="shared" si="17"/>
        <v>0</v>
      </c>
      <c r="Z1374" s="445"/>
      <c r="AA1374" s="446">
        <f t="shared" ref="AA1374:AE1374" si="695">$J1374*E1374</f>
        <v>0</v>
      </c>
      <c r="AB1374" s="447">
        <f t="shared" si="695"/>
        <v>0</v>
      </c>
      <c r="AC1374" s="447">
        <f t="shared" si="695"/>
        <v>0</v>
      </c>
      <c r="AD1374" s="447">
        <f t="shared" si="695"/>
        <v>0</v>
      </c>
      <c r="AE1374" s="448">
        <f t="shared" si="695"/>
        <v>0</v>
      </c>
      <c r="AF1374" s="449"/>
      <c r="AG1374" s="449"/>
      <c r="AH1374" s="449"/>
    </row>
    <row r="1375" ht="11.25" customHeight="1">
      <c r="A1375" s="450"/>
      <c r="B1375" s="451"/>
      <c r="C1375" s="452"/>
      <c r="D1375" s="452"/>
      <c r="E1375" s="453"/>
      <c r="F1375" s="453"/>
      <c r="G1375" s="454"/>
      <c r="H1375" s="454"/>
      <c r="I1375" s="455"/>
      <c r="J1375" s="456"/>
      <c r="K1375" s="457" t="s">
        <v>1416</v>
      </c>
      <c r="L1375" s="458"/>
      <c r="M1375" s="459"/>
      <c r="N1375" s="460"/>
      <c r="O1375" s="460"/>
      <c r="P1375" s="461"/>
      <c r="Q1375" s="458"/>
      <c r="R1375" s="459"/>
      <c r="S1375" s="459"/>
      <c r="T1375" s="459"/>
      <c r="U1375" s="459"/>
      <c r="V1375" s="459"/>
      <c r="W1375" s="459"/>
      <c r="X1375" s="459"/>
      <c r="Y1375" s="462">
        <f t="shared" si="17"/>
        <v>0</v>
      </c>
      <c r="Z1375" s="463"/>
      <c r="AA1375" s="464"/>
      <c r="AB1375" s="465"/>
      <c r="AC1375" s="465"/>
      <c r="AD1375" s="465"/>
      <c r="AE1375" s="466"/>
      <c r="AF1375" s="449"/>
      <c r="AG1375" s="449"/>
      <c r="AH1375" s="449"/>
    </row>
    <row r="1376" ht="11.25" customHeight="1">
      <c r="A1376" s="450"/>
      <c r="B1376" s="451"/>
      <c r="C1376" s="452"/>
      <c r="D1376" s="452"/>
      <c r="E1376" s="453"/>
      <c r="F1376" s="453"/>
      <c r="G1376" s="454"/>
      <c r="H1376" s="454"/>
      <c r="I1376" s="455"/>
      <c r="J1376" s="456"/>
      <c r="K1376" s="467" t="s">
        <v>1417</v>
      </c>
      <c r="L1376" s="468"/>
      <c r="M1376" s="469"/>
      <c r="N1376" s="470"/>
      <c r="O1376" s="470"/>
      <c r="P1376" s="471"/>
      <c r="Q1376" s="468"/>
      <c r="R1376" s="469"/>
      <c r="S1376" s="469"/>
      <c r="T1376" s="469"/>
      <c r="U1376" s="469"/>
      <c r="V1376" s="469"/>
      <c r="W1376" s="469"/>
      <c r="X1376" s="469"/>
      <c r="Y1376" s="462">
        <f t="shared" si="17"/>
        <v>0</v>
      </c>
      <c r="Z1376" s="463"/>
      <c r="AA1376" s="464"/>
      <c r="AB1376" s="465"/>
      <c r="AC1376" s="465"/>
      <c r="AD1376" s="465"/>
      <c r="AE1376" s="466"/>
      <c r="AF1376" s="449"/>
      <c r="AG1376" s="449"/>
      <c r="AH1376" s="449"/>
    </row>
    <row r="1377" ht="11.25" customHeight="1">
      <c r="A1377" s="450"/>
      <c r="B1377" s="472"/>
      <c r="C1377" s="473"/>
      <c r="D1377" s="473"/>
      <c r="E1377" s="474"/>
      <c r="F1377" s="474"/>
      <c r="G1377" s="475"/>
      <c r="H1377" s="475"/>
      <c r="I1377" s="476"/>
      <c r="J1377" s="477"/>
      <c r="K1377" s="478" t="s">
        <v>1418</v>
      </c>
      <c r="L1377" s="479"/>
      <c r="M1377" s="480"/>
      <c r="N1377" s="481"/>
      <c r="O1377" s="481"/>
      <c r="P1377" s="482"/>
      <c r="Q1377" s="479"/>
      <c r="R1377" s="480"/>
      <c r="S1377" s="480"/>
      <c r="T1377" s="480"/>
      <c r="U1377" s="480"/>
      <c r="V1377" s="480"/>
      <c r="W1377" s="480"/>
      <c r="X1377" s="480"/>
      <c r="Y1377" s="483">
        <f t="shared" si="17"/>
        <v>0</v>
      </c>
      <c r="Z1377" s="484"/>
      <c r="AA1377" s="485"/>
      <c r="AB1377" s="486"/>
      <c r="AC1377" s="486"/>
      <c r="AD1377" s="486"/>
      <c r="AE1377" s="487"/>
      <c r="AF1377" s="449"/>
      <c r="AG1377" s="449"/>
      <c r="AH1377" s="449"/>
    </row>
    <row r="1378" ht="11.25" customHeight="1">
      <c r="A1378" s="431" t="str">
        <f>IF(B1378="","", YEAR(B1378))</f>
        <v/>
      </c>
      <c r="B1378" s="432"/>
      <c r="C1378" s="433"/>
      <c r="D1378" s="433"/>
      <c r="E1378" s="434" t="str">
        <f t="shared" ref="E1378:I1378" si="696">IFERROR(AVERAGE(L1378:L1381),"")</f>
        <v/>
      </c>
      <c r="F1378" s="434" t="str">
        <f t="shared" si="696"/>
        <v/>
      </c>
      <c r="G1378" s="435" t="str">
        <f t="shared" si="696"/>
        <v/>
      </c>
      <c r="H1378" s="435" t="str">
        <f t="shared" si="696"/>
        <v/>
      </c>
      <c r="I1378" s="436" t="str">
        <f t="shared" si="696"/>
        <v/>
      </c>
      <c r="J1378" s="437">
        <f>SUMIFS(PRODUCTION[KG],PRODUCTION[GRADE],"3X50",PRODUCTION[DATE],B1378,PRODUCTION[BATCH],C1378,PRODUCTION[SHIFT],D1378)</f>
        <v>0</v>
      </c>
      <c r="K1378" s="438" t="s">
        <v>1414</v>
      </c>
      <c r="L1378" s="443"/>
      <c r="M1378" s="440"/>
      <c r="N1378" s="441"/>
      <c r="O1378" s="441"/>
      <c r="P1378" s="442"/>
      <c r="Q1378" s="443"/>
      <c r="R1378" s="440"/>
      <c r="S1378" s="440"/>
      <c r="T1378" s="440"/>
      <c r="U1378" s="440"/>
      <c r="V1378" s="440"/>
      <c r="W1378" s="440"/>
      <c r="X1378" s="440"/>
      <c r="Y1378" s="444">
        <f t="shared" si="17"/>
        <v>0</v>
      </c>
      <c r="Z1378" s="445"/>
      <c r="AA1378" s="446">
        <f t="shared" ref="AA1378:AE1378" si="697">$J1378*E1378</f>
        <v>0</v>
      </c>
      <c r="AB1378" s="447">
        <f t="shared" si="697"/>
        <v>0</v>
      </c>
      <c r="AC1378" s="447">
        <f t="shared" si="697"/>
        <v>0</v>
      </c>
      <c r="AD1378" s="447">
        <f t="shared" si="697"/>
        <v>0</v>
      </c>
      <c r="AE1378" s="448">
        <f t="shared" si="697"/>
        <v>0</v>
      </c>
      <c r="AF1378" s="449"/>
      <c r="AG1378" s="449"/>
      <c r="AH1378" s="449"/>
    </row>
    <row r="1379" ht="11.25" customHeight="1">
      <c r="A1379" s="450"/>
      <c r="B1379" s="451"/>
      <c r="C1379" s="452"/>
      <c r="D1379" s="452"/>
      <c r="E1379" s="453"/>
      <c r="F1379" s="453"/>
      <c r="G1379" s="454"/>
      <c r="H1379" s="454"/>
      <c r="I1379" s="455"/>
      <c r="J1379" s="456"/>
      <c r="K1379" s="457" t="s">
        <v>1416</v>
      </c>
      <c r="L1379" s="458"/>
      <c r="M1379" s="459"/>
      <c r="N1379" s="460"/>
      <c r="O1379" s="460"/>
      <c r="P1379" s="461"/>
      <c r="Q1379" s="458"/>
      <c r="R1379" s="459"/>
      <c r="S1379" s="459"/>
      <c r="T1379" s="459"/>
      <c r="U1379" s="459"/>
      <c r="V1379" s="459"/>
      <c r="W1379" s="459"/>
      <c r="X1379" s="459"/>
      <c r="Y1379" s="462">
        <f t="shared" si="17"/>
        <v>0</v>
      </c>
      <c r="Z1379" s="463"/>
      <c r="AA1379" s="464"/>
      <c r="AB1379" s="465"/>
      <c r="AC1379" s="465"/>
      <c r="AD1379" s="465"/>
      <c r="AE1379" s="466"/>
      <c r="AF1379" s="449"/>
      <c r="AG1379" s="449"/>
      <c r="AH1379" s="449"/>
    </row>
    <row r="1380" ht="11.25" customHeight="1">
      <c r="A1380" s="450"/>
      <c r="B1380" s="451"/>
      <c r="C1380" s="452"/>
      <c r="D1380" s="452"/>
      <c r="E1380" s="453"/>
      <c r="F1380" s="453"/>
      <c r="G1380" s="454"/>
      <c r="H1380" s="454"/>
      <c r="I1380" s="455"/>
      <c r="J1380" s="456"/>
      <c r="K1380" s="467" t="s">
        <v>1417</v>
      </c>
      <c r="L1380" s="468"/>
      <c r="M1380" s="469"/>
      <c r="N1380" s="470"/>
      <c r="O1380" s="470"/>
      <c r="P1380" s="471"/>
      <c r="Q1380" s="468"/>
      <c r="R1380" s="469"/>
      <c r="S1380" s="469"/>
      <c r="T1380" s="469"/>
      <c r="U1380" s="469"/>
      <c r="V1380" s="469"/>
      <c r="W1380" s="469"/>
      <c r="X1380" s="469"/>
      <c r="Y1380" s="462">
        <f t="shared" si="17"/>
        <v>0</v>
      </c>
      <c r="Z1380" s="463"/>
      <c r="AA1380" s="464"/>
      <c r="AB1380" s="465"/>
      <c r="AC1380" s="465"/>
      <c r="AD1380" s="465"/>
      <c r="AE1380" s="466"/>
      <c r="AF1380" s="449"/>
      <c r="AG1380" s="449"/>
      <c r="AH1380" s="449"/>
    </row>
    <row r="1381" ht="11.25" customHeight="1">
      <c r="A1381" s="450"/>
      <c r="B1381" s="472"/>
      <c r="C1381" s="473"/>
      <c r="D1381" s="473"/>
      <c r="E1381" s="474"/>
      <c r="F1381" s="474"/>
      <c r="G1381" s="475"/>
      <c r="H1381" s="475"/>
      <c r="I1381" s="476"/>
      <c r="J1381" s="477"/>
      <c r="K1381" s="478" t="s">
        <v>1418</v>
      </c>
      <c r="L1381" s="479"/>
      <c r="M1381" s="480"/>
      <c r="N1381" s="481"/>
      <c r="O1381" s="481"/>
      <c r="P1381" s="482"/>
      <c r="Q1381" s="479"/>
      <c r="R1381" s="480"/>
      <c r="S1381" s="480"/>
      <c r="T1381" s="480"/>
      <c r="U1381" s="480"/>
      <c r="V1381" s="480"/>
      <c r="W1381" s="480"/>
      <c r="X1381" s="480"/>
      <c r="Y1381" s="483">
        <f t="shared" si="17"/>
        <v>0</v>
      </c>
      <c r="Z1381" s="484"/>
      <c r="AA1381" s="485"/>
      <c r="AB1381" s="486"/>
      <c r="AC1381" s="486"/>
      <c r="AD1381" s="486"/>
      <c r="AE1381" s="487"/>
      <c r="AF1381" s="449"/>
      <c r="AG1381" s="449"/>
      <c r="AH1381" s="449"/>
    </row>
    <row r="1382" ht="11.25" customHeight="1">
      <c r="A1382" s="431" t="str">
        <f>IF(B1382="","", YEAR(B1382))</f>
        <v/>
      </c>
      <c r="B1382" s="432"/>
      <c r="C1382" s="433"/>
      <c r="D1382" s="433"/>
      <c r="E1382" s="434" t="str">
        <f t="shared" ref="E1382:I1382" si="698">IFERROR(AVERAGE(L1382:L1385),"")</f>
        <v/>
      </c>
      <c r="F1382" s="434" t="str">
        <f t="shared" si="698"/>
        <v/>
      </c>
      <c r="G1382" s="435" t="str">
        <f t="shared" si="698"/>
        <v/>
      </c>
      <c r="H1382" s="435" t="str">
        <f t="shared" si="698"/>
        <v/>
      </c>
      <c r="I1382" s="436" t="str">
        <f t="shared" si="698"/>
        <v/>
      </c>
      <c r="J1382" s="437">
        <f>SUMIFS(PRODUCTION[KG],PRODUCTION[GRADE],"3X50",PRODUCTION[DATE],B1382,PRODUCTION[BATCH],C1382,PRODUCTION[SHIFT],D1382)</f>
        <v>0</v>
      </c>
      <c r="K1382" s="438" t="s">
        <v>1414</v>
      </c>
      <c r="L1382" s="443"/>
      <c r="M1382" s="440"/>
      <c r="N1382" s="441"/>
      <c r="O1382" s="441"/>
      <c r="P1382" s="442"/>
      <c r="Q1382" s="443"/>
      <c r="R1382" s="440"/>
      <c r="S1382" s="440"/>
      <c r="T1382" s="440"/>
      <c r="U1382" s="440"/>
      <c r="V1382" s="440"/>
      <c r="W1382" s="440"/>
      <c r="X1382" s="440"/>
      <c r="Y1382" s="444">
        <f t="shared" si="17"/>
        <v>0</v>
      </c>
      <c r="Z1382" s="445"/>
      <c r="AA1382" s="446">
        <f t="shared" ref="AA1382:AE1382" si="699">$J1382*E1382</f>
        <v>0</v>
      </c>
      <c r="AB1382" s="447">
        <f t="shared" si="699"/>
        <v>0</v>
      </c>
      <c r="AC1382" s="447">
        <f t="shared" si="699"/>
        <v>0</v>
      </c>
      <c r="AD1382" s="447">
        <f t="shared" si="699"/>
        <v>0</v>
      </c>
      <c r="AE1382" s="448">
        <f t="shared" si="699"/>
        <v>0</v>
      </c>
      <c r="AF1382" s="449"/>
      <c r="AG1382" s="449"/>
      <c r="AH1382" s="449"/>
    </row>
    <row r="1383" ht="11.25" customHeight="1">
      <c r="A1383" s="450"/>
      <c r="B1383" s="451"/>
      <c r="C1383" s="452"/>
      <c r="D1383" s="452"/>
      <c r="E1383" s="453"/>
      <c r="F1383" s="453"/>
      <c r="G1383" s="454"/>
      <c r="H1383" s="454"/>
      <c r="I1383" s="455"/>
      <c r="J1383" s="456"/>
      <c r="K1383" s="457" t="s">
        <v>1416</v>
      </c>
      <c r="L1383" s="458"/>
      <c r="M1383" s="459"/>
      <c r="N1383" s="460"/>
      <c r="O1383" s="460"/>
      <c r="P1383" s="461"/>
      <c r="Q1383" s="458"/>
      <c r="R1383" s="459"/>
      <c r="S1383" s="459"/>
      <c r="T1383" s="459"/>
      <c r="U1383" s="459"/>
      <c r="V1383" s="459"/>
      <c r="W1383" s="459"/>
      <c r="X1383" s="459"/>
      <c r="Y1383" s="462">
        <f t="shared" si="17"/>
        <v>0</v>
      </c>
      <c r="Z1383" s="463"/>
      <c r="AA1383" s="464"/>
      <c r="AB1383" s="465"/>
      <c r="AC1383" s="465"/>
      <c r="AD1383" s="465"/>
      <c r="AE1383" s="466"/>
      <c r="AF1383" s="449"/>
      <c r="AG1383" s="449"/>
      <c r="AH1383" s="449"/>
    </row>
    <row r="1384" ht="11.25" customHeight="1">
      <c r="A1384" s="450"/>
      <c r="B1384" s="451"/>
      <c r="C1384" s="452"/>
      <c r="D1384" s="452"/>
      <c r="E1384" s="453"/>
      <c r="F1384" s="453"/>
      <c r="G1384" s="454"/>
      <c r="H1384" s="454"/>
      <c r="I1384" s="455"/>
      <c r="J1384" s="456"/>
      <c r="K1384" s="467" t="s">
        <v>1417</v>
      </c>
      <c r="L1384" s="468"/>
      <c r="M1384" s="469"/>
      <c r="N1384" s="470"/>
      <c r="O1384" s="470"/>
      <c r="P1384" s="471"/>
      <c r="Q1384" s="468"/>
      <c r="R1384" s="469"/>
      <c r="S1384" s="469"/>
      <c r="T1384" s="469"/>
      <c r="U1384" s="469"/>
      <c r="V1384" s="469"/>
      <c r="W1384" s="469"/>
      <c r="X1384" s="469"/>
      <c r="Y1384" s="462">
        <f t="shared" si="17"/>
        <v>0</v>
      </c>
      <c r="Z1384" s="463"/>
      <c r="AA1384" s="464"/>
      <c r="AB1384" s="465"/>
      <c r="AC1384" s="465"/>
      <c r="AD1384" s="465"/>
      <c r="AE1384" s="466"/>
      <c r="AF1384" s="449"/>
      <c r="AG1384" s="449"/>
      <c r="AH1384" s="449"/>
    </row>
    <row r="1385" ht="11.25" customHeight="1">
      <c r="A1385" s="450"/>
      <c r="B1385" s="472"/>
      <c r="C1385" s="473"/>
      <c r="D1385" s="473"/>
      <c r="E1385" s="474"/>
      <c r="F1385" s="474"/>
      <c r="G1385" s="475"/>
      <c r="H1385" s="475"/>
      <c r="I1385" s="476"/>
      <c r="J1385" s="477"/>
      <c r="K1385" s="478" t="s">
        <v>1418</v>
      </c>
      <c r="L1385" s="479"/>
      <c r="M1385" s="480"/>
      <c r="N1385" s="481"/>
      <c r="O1385" s="481"/>
      <c r="P1385" s="482"/>
      <c r="Q1385" s="479"/>
      <c r="R1385" s="480"/>
      <c r="S1385" s="480"/>
      <c r="T1385" s="480"/>
      <c r="U1385" s="480"/>
      <c r="V1385" s="480"/>
      <c r="W1385" s="480"/>
      <c r="X1385" s="480"/>
      <c r="Y1385" s="483">
        <f t="shared" si="17"/>
        <v>0</v>
      </c>
      <c r="Z1385" s="484"/>
      <c r="AA1385" s="485"/>
      <c r="AB1385" s="486"/>
      <c r="AC1385" s="486"/>
      <c r="AD1385" s="486"/>
      <c r="AE1385" s="487"/>
      <c r="AF1385" s="449"/>
      <c r="AG1385" s="449"/>
      <c r="AH1385" s="449"/>
    </row>
    <row r="1386" ht="11.25" customHeight="1">
      <c r="A1386" s="431" t="str">
        <f>IF(B1386="","", YEAR(B1386))</f>
        <v/>
      </c>
      <c r="B1386" s="432"/>
      <c r="C1386" s="433"/>
      <c r="D1386" s="433"/>
      <c r="E1386" s="434" t="str">
        <f t="shared" ref="E1386:I1386" si="700">IFERROR(AVERAGE(L1386:L1389),"")</f>
        <v/>
      </c>
      <c r="F1386" s="434" t="str">
        <f t="shared" si="700"/>
        <v/>
      </c>
      <c r="G1386" s="435" t="str">
        <f t="shared" si="700"/>
        <v/>
      </c>
      <c r="H1386" s="435" t="str">
        <f t="shared" si="700"/>
        <v/>
      </c>
      <c r="I1386" s="436" t="str">
        <f t="shared" si="700"/>
        <v/>
      </c>
      <c r="J1386" s="437">
        <f>SUMIFS(PRODUCTION[KG],PRODUCTION[GRADE],"3X50",PRODUCTION[DATE],B1386,PRODUCTION[BATCH],C1386,PRODUCTION[SHIFT],D1386)</f>
        <v>0</v>
      </c>
      <c r="K1386" s="438" t="s">
        <v>1414</v>
      </c>
      <c r="L1386" s="443"/>
      <c r="M1386" s="440"/>
      <c r="N1386" s="441"/>
      <c r="O1386" s="441"/>
      <c r="P1386" s="442"/>
      <c r="Q1386" s="443"/>
      <c r="R1386" s="440"/>
      <c r="S1386" s="440"/>
      <c r="T1386" s="440"/>
      <c r="U1386" s="440"/>
      <c r="V1386" s="440"/>
      <c r="W1386" s="440"/>
      <c r="X1386" s="440"/>
      <c r="Y1386" s="444">
        <f t="shared" si="17"/>
        <v>0</v>
      </c>
      <c r="Z1386" s="445"/>
      <c r="AA1386" s="446">
        <f t="shared" ref="AA1386:AE1386" si="701">$J1386*E1386</f>
        <v>0</v>
      </c>
      <c r="AB1386" s="447">
        <f t="shared" si="701"/>
        <v>0</v>
      </c>
      <c r="AC1386" s="447">
        <f t="shared" si="701"/>
        <v>0</v>
      </c>
      <c r="AD1386" s="447">
        <f t="shared" si="701"/>
        <v>0</v>
      </c>
      <c r="AE1386" s="448">
        <f t="shared" si="701"/>
        <v>0</v>
      </c>
      <c r="AF1386" s="449"/>
      <c r="AG1386" s="449"/>
      <c r="AH1386" s="449"/>
    </row>
    <row r="1387" ht="11.25" customHeight="1">
      <c r="A1387" s="450"/>
      <c r="B1387" s="451"/>
      <c r="C1387" s="452"/>
      <c r="D1387" s="452"/>
      <c r="E1387" s="453"/>
      <c r="F1387" s="453"/>
      <c r="G1387" s="454"/>
      <c r="H1387" s="454"/>
      <c r="I1387" s="455"/>
      <c r="J1387" s="456"/>
      <c r="K1387" s="457" t="s">
        <v>1416</v>
      </c>
      <c r="L1387" s="458"/>
      <c r="M1387" s="459"/>
      <c r="N1387" s="460"/>
      <c r="O1387" s="460"/>
      <c r="P1387" s="461"/>
      <c r="Q1387" s="458"/>
      <c r="R1387" s="459"/>
      <c r="S1387" s="459"/>
      <c r="T1387" s="459"/>
      <c r="U1387" s="459"/>
      <c r="V1387" s="459"/>
      <c r="W1387" s="459"/>
      <c r="X1387" s="459"/>
      <c r="Y1387" s="462">
        <f t="shared" si="17"/>
        <v>0</v>
      </c>
      <c r="Z1387" s="463"/>
      <c r="AA1387" s="464"/>
      <c r="AB1387" s="465"/>
      <c r="AC1387" s="465"/>
      <c r="AD1387" s="465"/>
      <c r="AE1387" s="466"/>
      <c r="AF1387" s="449"/>
      <c r="AG1387" s="449"/>
      <c r="AH1387" s="449"/>
    </row>
    <row r="1388" ht="11.25" customHeight="1">
      <c r="A1388" s="450"/>
      <c r="B1388" s="451"/>
      <c r="C1388" s="452"/>
      <c r="D1388" s="452"/>
      <c r="E1388" s="453"/>
      <c r="F1388" s="453"/>
      <c r="G1388" s="454"/>
      <c r="H1388" s="454"/>
      <c r="I1388" s="455"/>
      <c r="J1388" s="456"/>
      <c r="K1388" s="467" t="s">
        <v>1417</v>
      </c>
      <c r="L1388" s="468"/>
      <c r="M1388" s="469"/>
      <c r="N1388" s="470"/>
      <c r="O1388" s="470"/>
      <c r="P1388" s="471"/>
      <c r="Q1388" s="468"/>
      <c r="R1388" s="469"/>
      <c r="S1388" s="469"/>
      <c r="T1388" s="469"/>
      <c r="U1388" s="469"/>
      <c r="V1388" s="469"/>
      <c r="W1388" s="469"/>
      <c r="X1388" s="469"/>
      <c r="Y1388" s="462">
        <f t="shared" si="17"/>
        <v>0</v>
      </c>
      <c r="Z1388" s="463"/>
      <c r="AA1388" s="464"/>
      <c r="AB1388" s="465"/>
      <c r="AC1388" s="465"/>
      <c r="AD1388" s="465"/>
      <c r="AE1388" s="466"/>
      <c r="AF1388" s="449"/>
      <c r="AG1388" s="449"/>
      <c r="AH1388" s="449"/>
    </row>
    <row r="1389" ht="11.25" customHeight="1">
      <c r="A1389" s="450"/>
      <c r="B1389" s="472"/>
      <c r="C1389" s="473"/>
      <c r="D1389" s="473"/>
      <c r="E1389" s="474"/>
      <c r="F1389" s="474"/>
      <c r="G1389" s="475"/>
      <c r="H1389" s="475"/>
      <c r="I1389" s="476"/>
      <c r="J1389" s="477"/>
      <c r="K1389" s="478" t="s">
        <v>1418</v>
      </c>
      <c r="L1389" s="479"/>
      <c r="M1389" s="480"/>
      <c r="N1389" s="481"/>
      <c r="O1389" s="481"/>
      <c r="P1389" s="482"/>
      <c r="Q1389" s="479"/>
      <c r="R1389" s="480"/>
      <c r="S1389" s="480"/>
      <c r="T1389" s="480"/>
      <c r="U1389" s="480"/>
      <c r="V1389" s="480"/>
      <c r="W1389" s="480"/>
      <c r="X1389" s="480"/>
      <c r="Y1389" s="483">
        <f t="shared" si="17"/>
        <v>0</v>
      </c>
      <c r="Z1389" s="484"/>
      <c r="AA1389" s="485"/>
      <c r="AB1389" s="486"/>
      <c r="AC1389" s="486"/>
      <c r="AD1389" s="486"/>
      <c r="AE1389" s="487"/>
      <c r="AF1389" s="449"/>
      <c r="AG1389" s="449"/>
      <c r="AH1389" s="449"/>
    </row>
    <row r="1390" ht="11.25" customHeight="1">
      <c r="A1390" s="431" t="str">
        <f>IF(B1390="","", YEAR(B1390))</f>
        <v/>
      </c>
      <c r="B1390" s="432"/>
      <c r="C1390" s="433"/>
      <c r="D1390" s="433"/>
      <c r="E1390" s="434" t="str">
        <f t="shared" ref="E1390:I1390" si="702">IFERROR(AVERAGE(L1390:L1393),"")</f>
        <v/>
      </c>
      <c r="F1390" s="434" t="str">
        <f t="shared" si="702"/>
        <v/>
      </c>
      <c r="G1390" s="435" t="str">
        <f t="shared" si="702"/>
        <v/>
      </c>
      <c r="H1390" s="435" t="str">
        <f t="shared" si="702"/>
        <v/>
      </c>
      <c r="I1390" s="436" t="str">
        <f t="shared" si="702"/>
        <v/>
      </c>
      <c r="J1390" s="437">
        <f>SUMIFS(PRODUCTION[KG],PRODUCTION[GRADE],"3X50",PRODUCTION[DATE],B1390,PRODUCTION[BATCH],C1390,PRODUCTION[SHIFT],D1390)</f>
        <v>0</v>
      </c>
      <c r="K1390" s="438" t="s">
        <v>1414</v>
      </c>
      <c r="L1390" s="443"/>
      <c r="M1390" s="440"/>
      <c r="N1390" s="441"/>
      <c r="O1390" s="441"/>
      <c r="P1390" s="442"/>
      <c r="Q1390" s="443"/>
      <c r="R1390" s="440"/>
      <c r="S1390" s="440"/>
      <c r="T1390" s="440"/>
      <c r="U1390" s="440"/>
      <c r="V1390" s="440"/>
      <c r="W1390" s="440"/>
      <c r="X1390" s="440"/>
      <c r="Y1390" s="444">
        <f t="shared" si="17"/>
        <v>0</v>
      </c>
      <c r="Z1390" s="445"/>
      <c r="AA1390" s="446">
        <f t="shared" ref="AA1390:AE1390" si="703">$J1390*E1390</f>
        <v>0</v>
      </c>
      <c r="AB1390" s="447">
        <f t="shared" si="703"/>
        <v>0</v>
      </c>
      <c r="AC1390" s="447">
        <f t="shared" si="703"/>
        <v>0</v>
      </c>
      <c r="AD1390" s="447">
        <f t="shared" si="703"/>
        <v>0</v>
      </c>
      <c r="AE1390" s="448">
        <f t="shared" si="703"/>
        <v>0</v>
      </c>
      <c r="AF1390" s="449"/>
      <c r="AG1390" s="449"/>
      <c r="AH1390" s="449"/>
    </row>
    <row r="1391" ht="11.25" customHeight="1">
      <c r="A1391" s="450"/>
      <c r="B1391" s="451"/>
      <c r="C1391" s="452"/>
      <c r="D1391" s="452"/>
      <c r="E1391" s="453"/>
      <c r="F1391" s="453"/>
      <c r="G1391" s="454"/>
      <c r="H1391" s="454"/>
      <c r="I1391" s="455"/>
      <c r="J1391" s="456"/>
      <c r="K1391" s="457" t="s">
        <v>1416</v>
      </c>
      <c r="L1391" s="458"/>
      <c r="M1391" s="459"/>
      <c r="N1391" s="460"/>
      <c r="O1391" s="460"/>
      <c r="P1391" s="461"/>
      <c r="Q1391" s="458"/>
      <c r="R1391" s="459"/>
      <c r="S1391" s="459"/>
      <c r="T1391" s="459"/>
      <c r="U1391" s="459"/>
      <c r="V1391" s="459"/>
      <c r="W1391" s="459"/>
      <c r="X1391" s="459"/>
      <c r="Y1391" s="462">
        <f t="shared" si="17"/>
        <v>0</v>
      </c>
      <c r="Z1391" s="463"/>
      <c r="AA1391" s="464"/>
      <c r="AB1391" s="465"/>
      <c r="AC1391" s="465"/>
      <c r="AD1391" s="465"/>
      <c r="AE1391" s="466"/>
      <c r="AF1391" s="449"/>
      <c r="AG1391" s="449"/>
      <c r="AH1391" s="449"/>
    </row>
    <row r="1392" ht="11.25" customHeight="1">
      <c r="A1392" s="450"/>
      <c r="B1392" s="451"/>
      <c r="C1392" s="452"/>
      <c r="D1392" s="452"/>
      <c r="E1392" s="453"/>
      <c r="F1392" s="453"/>
      <c r="G1392" s="454"/>
      <c r="H1392" s="454"/>
      <c r="I1392" s="455"/>
      <c r="J1392" s="456"/>
      <c r="K1392" s="467" t="s">
        <v>1417</v>
      </c>
      <c r="L1392" s="468"/>
      <c r="M1392" s="469"/>
      <c r="N1392" s="470"/>
      <c r="O1392" s="470"/>
      <c r="P1392" s="471"/>
      <c r="Q1392" s="468"/>
      <c r="R1392" s="469"/>
      <c r="S1392" s="469"/>
      <c r="T1392" s="469"/>
      <c r="U1392" s="469"/>
      <c r="V1392" s="469"/>
      <c r="W1392" s="469"/>
      <c r="X1392" s="469"/>
      <c r="Y1392" s="462">
        <f t="shared" si="17"/>
        <v>0</v>
      </c>
      <c r="Z1392" s="463"/>
      <c r="AA1392" s="464"/>
      <c r="AB1392" s="465"/>
      <c r="AC1392" s="465"/>
      <c r="AD1392" s="465"/>
      <c r="AE1392" s="466"/>
      <c r="AF1392" s="449"/>
      <c r="AG1392" s="449"/>
      <c r="AH1392" s="449"/>
    </row>
    <row r="1393" ht="11.25" customHeight="1">
      <c r="A1393" s="450"/>
      <c r="B1393" s="472"/>
      <c r="C1393" s="473"/>
      <c r="D1393" s="473"/>
      <c r="E1393" s="474"/>
      <c r="F1393" s="474"/>
      <c r="G1393" s="475"/>
      <c r="H1393" s="475"/>
      <c r="I1393" s="476"/>
      <c r="J1393" s="477"/>
      <c r="K1393" s="478" t="s">
        <v>1418</v>
      </c>
      <c r="L1393" s="479"/>
      <c r="M1393" s="480"/>
      <c r="N1393" s="481"/>
      <c r="O1393" s="481"/>
      <c r="P1393" s="482"/>
      <c r="Q1393" s="479"/>
      <c r="R1393" s="480"/>
      <c r="S1393" s="480"/>
      <c r="T1393" s="480"/>
      <c r="U1393" s="480"/>
      <c r="V1393" s="480"/>
      <c r="W1393" s="480"/>
      <c r="X1393" s="480"/>
      <c r="Y1393" s="483">
        <f t="shared" si="17"/>
        <v>0</v>
      </c>
      <c r="Z1393" s="484"/>
      <c r="AA1393" s="485"/>
      <c r="AB1393" s="486"/>
      <c r="AC1393" s="486"/>
      <c r="AD1393" s="486"/>
      <c r="AE1393" s="487"/>
      <c r="AF1393" s="449"/>
      <c r="AG1393" s="449"/>
      <c r="AH1393" s="449"/>
    </row>
    <row r="1394" ht="11.25" customHeight="1">
      <c r="A1394" s="431" t="str">
        <f>IF(B1394="","", YEAR(B1394))</f>
        <v/>
      </c>
      <c r="B1394" s="432"/>
      <c r="C1394" s="433"/>
      <c r="D1394" s="433"/>
      <c r="E1394" s="434" t="str">
        <f t="shared" ref="E1394:I1394" si="704">IFERROR(AVERAGE(L1394:L1397),"")</f>
        <v/>
      </c>
      <c r="F1394" s="434" t="str">
        <f t="shared" si="704"/>
        <v/>
      </c>
      <c r="G1394" s="435" t="str">
        <f t="shared" si="704"/>
        <v/>
      </c>
      <c r="H1394" s="435" t="str">
        <f t="shared" si="704"/>
        <v/>
      </c>
      <c r="I1394" s="436" t="str">
        <f t="shared" si="704"/>
        <v/>
      </c>
      <c r="J1394" s="437">
        <f>SUMIFS(PRODUCTION[KG],PRODUCTION[GRADE],"3X50",PRODUCTION[DATE],B1394,PRODUCTION[BATCH],C1394,PRODUCTION[SHIFT],D1394)</f>
        <v>0</v>
      </c>
      <c r="K1394" s="438" t="s">
        <v>1414</v>
      </c>
      <c r="L1394" s="443"/>
      <c r="M1394" s="440"/>
      <c r="N1394" s="441"/>
      <c r="O1394" s="441"/>
      <c r="P1394" s="442"/>
      <c r="Q1394" s="443"/>
      <c r="R1394" s="440"/>
      <c r="S1394" s="440"/>
      <c r="T1394" s="440"/>
      <c r="U1394" s="440"/>
      <c r="V1394" s="440"/>
      <c r="W1394" s="440"/>
      <c r="X1394" s="440"/>
      <c r="Y1394" s="444">
        <f t="shared" si="17"/>
        <v>0</v>
      </c>
      <c r="Z1394" s="445"/>
      <c r="AA1394" s="446">
        <f t="shared" ref="AA1394:AE1394" si="705">$J1394*E1394</f>
        <v>0</v>
      </c>
      <c r="AB1394" s="447">
        <f t="shared" si="705"/>
        <v>0</v>
      </c>
      <c r="AC1394" s="447">
        <f t="shared" si="705"/>
        <v>0</v>
      </c>
      <c r="AD1394" s="447">
        <f t="shared" si="705"/>
        <v>0</v>
      </c>
      <c r="AE1394" s="448">
        <f t="shared" si="705"/>
        <v>0</v>
      </c>
      <c r="AF1394" s="449"/>
      <c r="AG1394" s="449"/>
      <c r="AH1394" s="449"/>
    </row>
    <row r="1395" ht="11.25" customHeight="1">
      <c r="A1395" s="450"/>
      <c r="B1395" s="451"/>
      <c r="C1395" s="452"/>
      <c r="D1395" s="452"/>
      <c r="E1395" s="453"/>
      <c r="F1395" s="453"/>
      <c r="G1395" s="454"/>
      <c r="H1395" s="454"/>
      <c r="I1395" s="455"/>
      <c r="J1395" s="456"/>
      <c r="K1395" s="457" t="s">
        <v>1416</v>
      </c>
      <c r="L1395" s="458"/>
      <c r="M1395" s="459"/>
      <c r="N1395" s="460"/>
      <c r="O1395" s="460"/>
      <c r="P1395" s="461"/>
      <c r="Q1395" s="458"/>
      <c r="R1395" s="459"/>
      <c r="S1395" s="459"/>
      <c r="T1395" s="459"/>
      <c r="U1395" s="459"/>
      <c r="V1395" s="459"/>
      <c r="W1395" s="459"/>
      <c r="X1395" s="459"/>
      <c r="Y1395" s="462">
        <f t="shared" si="17"/>
        <v>0</v>
      </c>
      <c r="Z1395" s="463"/>
      <c r="AA1395" s="464"/>
      <c r="AB1395" s="465"/>
      <c r="AC1395" s="465"/>
      <c r="AD1395" s="465"/>
      <c r="AE1395" s="466"/>
      <c r="AF1395" s="449"/>
      <c r="AG1395" s="449"/>
      <c r="AH1395" s="449"/>
    </row>
    <row r="1396" ht="11.25" customHeight="1">
      <c r="A1396" s="450"/>
      <c r="B1396" s="451"/>
      <c r="C1396" s="452"/>
      <c r="D1396" s="452"/>
      <c r="E1396" s="453"/>
      <c r="F1396" s="453"/>
      <c r="G1396" s="454"/>
      <c r="H1396" s="454"/>
      <c r="I1396" s="455"/>
      <c r="J1396" s="456"/>
      <c r="K1396" s="467" t="s">
        <v>1417</v>
      </c>
      <c r="L1396" s="468"/>
      <c r="M1396" s="469"/>
      <c r="N1396" s="470"/>
      <c r="O1396" s="470"/>
      <c r="P1396" s="471"/>
      <c r="Q1396" s="468"/>
      <c r="R1396" s="469"/>
      <c r="S1396" s="469"/>
      <c r="T1396" s="469"/>
      <c r="U1396" s="469"/>
      <c r="V1396" s="469"/>
      <c r="W1396" s="469"/>
      <c r="X1396" s="469"/>
      <c r="Y1396" s="462">
        <f t="shared" si="17"/>
        <v>0</v>
      </c>
      <c r="Z1396" s="463"/>
      <c r="AA1396" s="464"/>
      <c r="AB1396" s="465"/>
      <c r="AC1396" s="465"/>
      <c r="AD1396" s="465"/>
      <c r="AE1396" s="466"/>
      <c r="AF1396" s="449"/>
      <c r="AG1396" s="449"/>
      <c r="AH1396" s="449"/>
    </row>
    <row r="1397" ht="11.25" customHeight="1">
      <c r="A1397" s="450"/>
      <c r="B1397" s="472"/>
      <c r="C1397" s="473"/>
      <c r="D1397" s="473"/>
      <c r="E1397" s="474"/>
      <c r="F1397" s="474"/>
      <c r="G1397" s="475"/>
      <c r="H1397" s="475"/>
      <c r="I1397" s="476"/>
      <c r="J1397" s="477"/>
      <c r="K1397" s="478" t="s">
        <v>1418</v>
      </c>
      <c r="L1397" s="479"/>
      <c r="M1397" s="480"/>
      <c r="N1397" s="481"/>
      <c r="O1397" s="481"/>
      <c r="P1397" s="482"/>
      <c r="Q1397" s="479"/>
      <c r="R1397" s="480"/>
      <c r="S1397" s="480"/>
      <c r="T1397" s="480"/>
      <c r="U1397" s="480"/>
      <c r="V1397" s="480"/>
      <c r="W1397" s="480"/>
      <c r="X1397" s="480"/>
      <c r="Y1397" s="483">
        <f t="shared" si="17"/>
        <v>0</v>
      </c>
      <c r="Z1397" s="484"/>
      <c r="AA1397" s="485"/>
      <c r="AB1397" s="486"/>
      <c r="AC1397" s="486"/>
      <c r="AD1397" s="486"/>
      <c r="AE1397" s="487"/>
      <c r="AF1397" s="449"/>
      <c r="AG1397" s="449"/>
      <c r="AH1397" s="449"/>
    </row>
    <row r="1398" ht="11.25" customHeight="1">
      <c r="A1398" s="431" t="str">
        <f>IF(B1398="","", YEAR(B1398))</f>
        <v/>
      </c>
      <c r="B1398" s="432"/>
      <c r="C1398" s="433"/>
      <c r="D1398" s="433"/>
      <c r="E1398" s="434" t="str">
        <f t="shared" ref="E1398:I1398" si="706">IFERROR(AVERAGE(L1398:L1401),"")</f>
        <v/>
      </c>
      <c r="F1398" s="434" t="str">
        <f t="shared" si="706"/>
        <v/>
      </c>
      <c r="G1398" s="435" t="str">
        <f t="shared" si="706"/>
        <v/>
      </c>
      <c r="H1398" s="435" t="str">
        <f t="shared" si="706"/>
        <v/>
      </c>
      <c r="I1398" s="436" t="str">
        <f t="shared" si="706"/>
        <v/>
      </c>
      <c r="J1398" s="437">
        <f>SUMIFS(PRODUCTION[KG],PRODUCTION[GRADE],"3X50",PRODUCTION[DATE],B1398,PRODUCTION[BATCH],C1398,PRODUCTION[SHIFT],D1398)</f>
        <v>0</v>
      </c>
      <c r="K1398" s="438" t="s">
        <v>1414</v>
      </c>
      <c r="L1398" s="443"/>
      <c r="M1398" s="440"/>
      <c r="N1398" s="441"/>
      <c r="O1398" s="441"/>
      <c r="P1398" s="442"/>
      <c r="Q1398" s="443"/>
      <c r="R1398" s="440"/>
      <c r="S1398" s="440"/>
      <c r="T1398" s="440"/>
      <c r="U1398" s="440"/>
      <c r="V1398" s="440"/>
      <c r="W1398" s="440"/>
      <c r="X1398" s="440"/>
      <c r="Y1398" s="444">
        <f t="shared" si="17"/>
        <v>0</v>
      </c>
      <c r="Z1398" s="445"/>
      <c r="AA1398" s="446">
        <f t="shared" ref="AA1398:AE1398" si="707">$J1398*E1398</f>
        <v>0</v>
      </c>
      <c r="AB1398" s="447">
        <f t="shared" si="707"/>
        <v>0</v>
      </c>
      <c r="AC1398" s="447">
        <f t="shared" si="707"/>
        <v>0</v>
      </c>
      <c r="AD1398" s="447">
        <f t="shared" si="707"/>
        <v>0</v>
      </c>
      <c r="AE1398" s="448">
        <f t="shared" si="707"/>
        <v>0</v>
      </c>
      <c r="AF1398" s="449"/>
      <c r="AG1398" s="449"/>
      <c r="AH1398" s="449"/>
    </row>
    <row r="1399" ht="11.25" customHeight="1">
      <c r="A1399" s="450"/>
      <c r="B1399" s="451"/>
      <c r="C1399" s="452"/>
      <c r="D1399" s="452"/>
      <c r="E1399" s="453"/>
      <c r="F1399" s="453"/>
      <c r="G1399" s="454"/>
      <c r="H1399" s="454"/>
      <c r="I1399" s="455"/>
      <c r="J1399" s="456"/>
      <c r="K1399" s="457" t="s">
        <v>1416</v>
      </c>
      <c r="L1399" s="458"/>
      <c r="M1399" s="459"/>
      <c r="N1399" s="460"/>
      <c r="O1399" s="460"/>
      <c r="P1399" s="461"/>
      <c r="Q1399" s="458"/>
      <c r="R1399" s="459"/>
      <c r="S1399" s="459"/>
      <c r="T1399" s="459"/>
      <c r="U1399" s="459"/>
      <c r="V1399" s="459"/>
      <c r="W1399" s="459"/>
      <c r="X1399" s="459"/>
      <c r="Y1399" s="462">
        <f t="shared" si="17"/>
        <v>0</v>
      </c>
      <c r="Z1399" s="463"/>
      <c r="AA1399" s="464"/>
      <c r="AB1399" s="465"/>
      <c r="AC1399" s="465"/>
      <c r="AD1399" s="465"/>
      <c r="AE1399" s="466"/>
      <c r="AF1399" s="449"/>
      <c r="AG1399" s="449"/>
      <c r="AH1399" s="449"/>
    </row>
    <row r="1400" ht="11.25" customHeight="1">
      <c r="A1400" s="450"/>
      <c r="B1400" s="451"/>
      <c r="C1400" s="452"/>
      <c r="D1400" s="452"/>
      <c r="E1400" s="453"/>
      <c r="F1400" s="453"/>
      <c r="G1400" s="454"/>
      <c r="H1400" s="454"/>
      <c r="I1400" s="455"/>
      <c r="J1400" s="456"/>
      <c r="K1400" s="467" t="s">
        <v>1417</v>
      </c>
      <c r="L1400" s="468"/>
      <c r="M1400" s="469"/>
      <c r="N1400" s="470"/>
      <c r="O1400" s="470"/>
      <c r="P1400" s="471"/>
      <c r="Q1400" s="468"/>
      <c r="R1400" s="469"/>
      <c r="S1400" s="469"/>
      <c r="T1400" s="469"/>
      <c r="U1400" s="469"/>
      <c r="V1400" s="469"/>
      <c r="W1400" s="469"/>
      <c r="X1400" s="469"/>
      <c r="Y1400" s="462">
        <f t="shared" si="17"/>
        <v>0</v>
      </c>
      <c r="Z1400" s="463"/>
      <c r="AA1400" s="464"/>
      <c r="AB1400" s="465"/>
      <c r="AC1400" s="465"/>
      <c r="AD1400" s="465"/>
      <c r="AE1400" s="466"/>
      <c r="AF1400" s="449"/>
      <c r="AG1400" s="449"/>
      <c r="AH1400" s="449"/>
    </row>
    <row r="1401" ht="11.25" customHeight="1">
      <c r="A1401" s="450"/>
      <c r="B1401" s="472"/>
      <c r="C1401" s="473"/>
      <c r="D1401" s="473"/>
      <c r="E1401" s="474"/>
      <c r="F1401" s="474"/>
      <c r="G1401" s="475"/>
      <c r="H1401" s="475"/>
      <c r="I1401" s="476"/>
      <c r="J1401" s="477"/>
      <c r="K1401" s="478" t="s">
        <v>1418</v>
      </c>
      <c r="L1401" s="479"/>
      <c r="M1401" s="480"/>
      <c r="N1401" s="481"/>
      <c r="O1401" s="481"/>
      <c r="P1401" s="482"/>
      <c r="Q1401" s="479"/>
      <c r="R1401" s="480"/>
      <c r="S1401" s="480"/>
      <c r="T1401" s="480"/>
      <c r="U1401" s="480"/>
      <c r="V1401" s="480"/>
      <c r="W1401" s="480"/>
      <c r="X1401" s="480"/>
      <c r="Y1401" s="483">
        <f t="shared" si="17"/>
        <v>0</v>
      </c>
      <c r="Z1401" s="484"/>
      <c r="AA1401" s="485"/>
      <c r="AB1401" s="486"/>
      <c r="AC1401" s="486"/>
      <c r="AD1401" s="486"/>
      <c r="AE1401" s="487"/>
      <c r="AF1401" s="449"/>
      <c r="AG1401" s="449"/>
      <c r="AH1401" s="449"/>
    </row>
    <row r="1402" ht="11.25" customHeight="1">
      <c r="A1402" s="431" t="str">
        <f>IF(B1402="","", YEAR(B1402))</f>
        <v/>
      </c>
      <c r="B1402" s="432"/>
      <c r="C1402" s="433"/>
      <c r="D1402" s="433"/>
      <c r="E1402" s="434" t="str">
        <f t="shared" ref="E1402:I1402" si="708">IFERROR(AVERAGE(L1402:L1405),"")</f>
        <v/>
      </c>
      <c r="F1402" s="434" t="str">
        <f t="shared" si="708"/>
        <v/>
      </c>
      <c r="G1402" s="435" t="str">
        <f t="shared" si="708"/>
        <v/>
      </c>
      <c r="H1402" s="435" t="str">
        <f t="shared" si="708"/>
        <v/>
      </c>
      <c r="I1402" s="436" t="str">
        <f t="shared" si="708"/>
        <v/>
      </c>
      <c r="J1402" s="437">
        <f>SUMIFS(PRODUCTION[KG],PRODUCTION[GRADE],"3X50",PRODUCTION[DATE],B1402,PRODUCTION[BATCH],C1402,PRODUCTION[SHIFT],D1402)</f>
        <v>0</v>
      </c>
      <c r="K1402" s="438" t="s">
        <v>1414</v>
      </c>
      <c r="L1402" s="443"/>
      <c r="M1402" s="440"/>
      <c r="N1402" s="441"/>
      <c r="O1402" s="441"/>
      <c r="P1402" s="442"/>
      <c r="Q1402" s="443"/>
      <c r="R1402" s="440"/>
      <c r="S1402" s="440"/>
      <c r="T1402" s="440"/>
      <c r="U1402" s="440"/>
      <c r="V1402" s="440"/>
      <c r="W1402" s="440"/>
      <c r="X1402" s="440"/>
      <c r="Y1402" s="444">
        <f t="shared" si="17"/>
        <v>0</v>
      </c>
      <c r="Z1402" s="445"/>
      <c r="AA1402" s="446">
        <f t="shared" ref="AA1402:AE1402" si="709">$J1402*E1402</f>
        <v>0</v>
      </c>
      <c r="AB1402" s="447">
        <f t="shared" si="709"/>
        <v>0</v>
      </c>
      <c r="AC1402" s="447">
        <f t="shared" si="709"/>
        <v>0</v>
      </c>
      <c r="AD1402" s="447">
        <f t="shared" si="709"/>
        <v>0</v>
      </c>
      <c r="AE1402" s="448">
        <f t="shared" si="709"/>
        <v>0</v>
      </c>
      <c r="AF1402" s="449"/>
      <c r="AG1402" s="449"/>
      <c r="AH1402" s="449"/>
    </row>
    <row r="1403" ht="11.25" customHeight="1">
      <c r="A1403" s="450"/>
      <c r="B1403" s="451"/>
      <c r="C1403" s="452"/>
      <c r="D1403" s="452"/>
      <c r="E1403" s="453"/>
      <c r="F1403" s="453"/>
      <c r="G1403" s="454"/>
      <c r="H1403" s="454"/>
      <c r="I1403" s="455"/>
      <c r="J1403" s="456"/>
      <c r="K1403" s="457" t="s">
        <v>1416</v>
      </c>
      <c r="L1403" s="458"/>
      <c r="M1403" s="459"/>
      <c r="N1403" s="460"/>
      <c r="O1403" s="460"/>
      <c r="P1403" s="461"/>
      <c r="Q1403" s="458"/>
      <c r="R1403" s="459"/>
      <c r="S1403" s="459"/>
      <c r="T1403" s="459"/>
      <c r="U1403" s="459"/>
      <c r="V1403" s="459"/>
      <c r="W1403" s="459"/>
      <c r="X1403" s="459"/>
      <c r="Y1403" s="462">
        <f t="shared" si="17"/>
        <v>0</v>
      </c>
      <c r="Z1403" s="463"/>
      <c r="AA1403" s="464"/>
      <c r="AB1403" s="465"/>
      <c r="AC1403" s="465"/>
      <c r="AD1403" s="465"/>
      <c r="AE1403" s="466"/>
      <c r="AF1403" s="449"/>
      <c r="AG1403" s="449"/>
      <c r="AH1403" s="449"/>
    </row>
    <row r="1404" ht="11.25" customHeight="1">
      <c r="A1404" s="450"/>
      <c r="B1404" s="451"/>
      <c r="C1404" s="452"/>
      <c r="D1404" s="452"/>
      <c r="E1404" s="453"/>
      <c r="F1404" s="453"/>
      <c r="G1404" s="454"/>
      <c r="H1404" s="454"/>
      <c r="I1404" s="455"/>
      <c r="J1404" s="456"/>
      <c r="K1404" s="467" t="s">
        <v>1417</v>
      </c>
      <c r="L1404" s="468"/>
      <c r="M1404" s="469"/>
      <c r="N1404" s="470"/>
      <c r="O1404" s="470"/>
      <c r="P1404" s="471"/>
      <c r="Q1404" s="468"/>
      <c r="R1404" s="469"/>
      <c r="S1404" s="469"/>
      <c r="T1404" s="469"/>
      <c r="U1404" s="469"/>
      <c r="V1404" s="469"/>
      <c r="W1404" s="469"/>
      <c r="X1404" s="469"/>
      <c r="Y1404" s="462">
        <f t="shared" si="17"/>
        <v>0</v>
      </c>
      <c r="Z1404" s="463"/>
      <c r="AA1404" s="464"/>
      <c r="AB1404" s="465"/>
      <c r="AC1404" s="465"/>
      <c r="AD1404" s="465"/>
      <c r="AE1404" s="466"/>
      <c r="AF1404" s="449"/>
      <c r="AG1404" s="449"/>
      <c r="AH1404" s="449"/>
    </row>
    <row r="1405" ht="11.25" customHeight="1">
      <c r="A1405" s="450"/>
      <c r="B1405" s="472"/>
      <c r="C1405" s="473"/>
      <c r="D1405" s="473"/>
      <c r="E1405" s="474"/>
      <c r="F1405" s="474"/>
      <c r="G1405" s="475"/>
      <c r="H1405" s="475"/>
      <c r="I1405" s="476"/>
      <c r="J1405" s="477"/>
      <c r="K1405" s="478" t="s">
        <v>1418</v>
      </c>
      <c r="L1405" s="479"/>
      <c r="M1405" s="480"/>
      <c r="N1405" s="481"/>
      <c r="O1405" s="481"/>
      <c r="P1405" s="482"/>
      <c r="Q1405" s="479"/>
      <c r="R1405" s="480"/>
      <c r="S1405" s="480"/>
      <c r="T1405" s="480"/>
      <c r="U1405" s="480"/>
      <c r="V1405" s="480"/>
      <c r="W1405" s="480"/>
      <c r="X1405" s="480"/>
      <c r="Y1405" s="483">
        <f t="shared" si="17"/>
        <v>0</v>
      </c>
      <c r="Z1405" s="484"/>
      <c r="AA1405" s="485"/>
      <c r="AB1405" s="486"/>
      <c r="AC1405" s="486"/>
      <c r="AD1405" s="486"/>
      <c r="AE1405" s="487"/>
      <c r="AF1405" s="449"/>
      <c r="AG1405" s="449"/>
      <c r="AH1405" s="449"/>
    </row>
    <row r="1406" ht="11.25" customHeight="1">
      <c r="A1406" s="431" t="str">
        <f>IF(B1406="","", YEAR(B1406))</f>
        <v/>
      </c>
      <c r="B1406" s="432"/>
      <c r="C1406" s="433"/>
      <c r="D1406" s="433"/>
      <c r="E1406" s="434" t="str">
        <f t="shared" ref="E1406:I1406" si="710">IFERROR(AVERAGE(L1406:L1409),"")</f>
        <v/>
      </c>
      <c r="F1406" s="434" t="str">
        <f t="shared" si="710"/>
        <v/>
      </c>
      <c r="G1406" s="435" t="str">
        <f t="shared" si="710"/>
        <v/>
      </c>
      <c r="H1406" s="435" t="str">
        <f t="shared" si="710"/>
        <v/>
      </c>
      <c r="I1406" s="436" t="str">
        <f t="shared" si="710"/>
        <v/>
      </c>
      <c r="J1406" s="437">
        <f>SUMIFS(PRODUCTION[KG],PRODUCTION[GRADE],"3X50",PRODUCTION[DATE],B1406,PRODUCTION[BATCH],C1406,PRODUCTION[SHIFT],D1406)</f>
        <v>0</v>
      </c>
      <c r="K1406" s="438" t="s">
        <v>1414</v>
      </c>
      <c r="L1406" s="443"/>
      <c r="M1406" s="440"/>
      <c r="N1406" s="441"/>
      <c r="O1406" s="441"/>
      <c r="P1406" s="442"/>
      <c r="Q1406" s="443"/>
      <c r="R1406" s="440"/>
      <c r="S1406" s="440"/>
      <c r="T1406" s="440"/>
      <c r="U1406" s="440"/>
      <c r="V1406" s="440"/>
      <c r="W1406" s="440"/>
      <c r="X1406" s="440"/>
      <c r="Y1406" s="444">
        <f t="shared" si="17"/>
        <v>0</v>
      </c>
      <c r="Z1406" s="445"/>
      <c r="AA1406" s="446">
        <f t="shared" ref="AA1406:AE1406" si="711">$J1406*E1406</f>
        <v>0</v>
      </c>
      <c r="AB1406" s="447">
        <f t="shared" si="711"/>
        <v>0</v>
      </c>
      <c r="AC1406" s="447">
        <f t="shared" si="711"/>
        <v>0</v>
      </c>
      <c r="AD1406" s="447">
        <f t="shared" si="711"/>
        <v>0</v>
      </c>
      <c r="AE1406" s="448">
        <f t="shared" si="711"/>
        <v>0</v>
      </c>
      <c r="AF1406" s="449"/>
      <c r="AG1406" s="449"/>
      <c r="AH1406" s="449"/>
    </row>
    <row r="1407" ht="11.25" customHeight="1">
      <c r="A1407" s="450"/>
      <c r="B1407" s="451"/>
      <c r="C1407" s="452"/>
      <c r="D1407" s="452"/>
      <c r="E1407" s="453"/>
      <c r="F1407" s="453"/>
      <c r="G1407" s="454"/>
      <c r="H1407" s="454"/>
      <c r="I1407" s="455"/>
      <c r="J1407" s="456"/>
      <c r="K1407" s="457" t="s">
        <v>1416</v>
      </c>
      <c r="L1407" s="458"/>
      <c r="M1407" s="459"/>
      <c r="N1407" s="460"/>
      <c r="O1407" s="460"/>
      <c r="P1407" s="461"/>
      <c r="Q1407" s="458"/>
      <c r="R1407" s="459"/>
      <c r="S1407" s="459"/>
      <c r="T1407" s="459"/>
      <c r="U1407" s="459"/>
      <c r="V1407" s="459"/>
      <c r="W1407" s="459"/>
      <c r="X1407" s="459"/>
      <c r="Y1407" s="462">
        <f t="shared" si="17"/>
        <v>0</v>
      </c>
      <c r="Z1407" s="463"/>
      <c r="AA1407" s="464"/>
      <c r="AB1407" s="465"/>
      <c r="AC1407" s="465"/>
      <c r="AD1407" s="465"/>
      <c r="AE1407" s="466"/>
      <c r="AF1407" s="449"/>
      <c r="AG1407" s="449"/>
      <c r="AH1407" s="449"/>
    </row>
    <row r="1408" ht="11.25" customHeight="1">
      <c r="A1408" s="450"/>
      <c r="B1408" s="451"/>
      <c r="C1408" s="452"/>
      <c r="D1408" s="452"/>
      <c r="E1408" s="453"/>
      <c r="F1408" s="453"/>
      <c r="G1408" s="454"/>
      <c r="H1408" s="454"/>
      <c r="I1408" s="455"/>
      <c r="J1408" s="456"/>
      <c r="K1408" s="467" t="s">
        <v>1417</v>
      </c>
      <c r="L1408" s="468"/>
      <c r="M1408" s="469"/>
      <c r="N1408" s="470"/>
      <c r="O1408" s="470"/>
      <c r="P1408" s="471"/>
      <c r="Q1408" s="468"/>
      <c r="R1408" s="469"/>
      <c r="S1408" s="469"/>
      <c r="T1408" s="469"/>
      <c r="U1408" s="469"/>
      <c r="V1408" s="469"/>
      <c r="W1408" s="469"/>
      <c r="X1408" s="469"/>
      <c r="Y1408" s="462">
        <f t="shared" si="17"/>
        <v>0</v>
      </c>
      <c r="Z1408" s="463"/>
      <c r="AA1408" s="464"/>
      <c r="AB1408" s="465"/>
      <c r="AC1408" s="465"/>
      <c r="AD1408" s="465"/>
      <c r="AE1408" s="466"/>
      <c r="AF1408" s="449"/>
      <c r="AG1408" s="449"/>
      <c r="AH1408" s="449"/>
    </row>
    <row r="1409" ht="11.25" customHeight="1">
      <c r="A1409" s="450"/>
      <c r="B1409" s="472"/>
      <c r="C1409" s="473"/>
      <c r="D1409" s="473"/>
      <c r="E1409" s="474"/>
      <c r="F1409" s="474"/>
      <c r="G1409" s="475"/>
      <c r="H1409" s="475"/>
      <c r="I1409" s="476"/>
      <c r="J1409" s="477"/>
      <c r="K1409" s="478" t="s">
        <v>1418</v>
      </c>
      <c r="L1409" s="479"/>
      <c r="M1409" s="480"/>
      <c r="N1409" s="481"/>
      <c r="O1409" s="481"/>
      <c r="P1409" s="482"/>
      <c r="Q1409" s="479"/>
      <c r="R1409" s="480"/>
      <c r="S1409" s="480"/>
      <c r="T1409" s="480"/>
      <c r="U1409" s="480"/>
      <c r="V1409" s="480"/>
      <c r="W1409" s="480"/>
      <c r="X1409" s="480"/>
      <c r="Y1409" s="483">
        <f t="shared" si="17"/>
        <v>0</v>
      </c>
      <c r="Z1409" s="484"/>
      <c r="AA1409" s="485"/>
      <c r="AB1409" s="486"/>
      <c r="AC1409" s="486"/>
      <c r="AD1409" s="486"/>
      <c r="AE1409" s="487"/>
      <c r="AF1409" s="449"/>
      <c r="AG1409" s="449"/>
      <c r="AH1409" s="449"/>
    </row>
    <row r="1410" ht="11.25" customHeight="1">
      <c r="A1410" s="431" t="str">
        <f>IF(B1410="","", YEAR(B1410))</f>
        <v/>
      </c>
      <c r="B1410" s="432"/>
      <c r="C1410" s="433"/>
      <c r="D1410" s="433"/>
      <c r="E1410" s="434" t="str">
        <f t="shared" ref="E1410:I1410" si="712">IFERROR(AVERAGE(L1410:L1413),"")</f>
        <v/>
      </c>
      <c r="F1410" s="434" t="str">
        <f t="shared" si="712"/>
        <v/>
      </c>
      <c r="G1410" s="435" t="str">
        <f t="shared" si="712"/>
        <v/>
      </c>
      <c r="H1410" s="435" t="str">
        <f t="shared" si="712"/>
        <v/>
      </c>
      <c r="I1410" s="436" t="str">
        <f t="shared" si="712"/>
        <v/>
      </c>
      <c r="J1410" s="437">
        <f>SUMIFS(PRODUCTION[KG],PRODUCTION[GRADE],"3X50",PRODUCTION[DATE],B1410,PRODUCTION[BATCH],C1410,PRODUCTION[SHIFT],D1410)</f>
        <v>0</v>
      </c>
      <c r="K1410" s="438" t="s">
        <v>1414</v>
      </c>
      <c r="L1410" s="443"/>
      <c r="M1410" s="440"/>
      <c r="N1410" s="441"/>
      <c r="O1410" s="441"/>
      <c r="P1410" s="442"/>
      <c r="Q1410" s="443"/>
      <c r="R1410" s="440"/>
      <c r="S1410" s="440"/>
      <c r="T1410" s="440"/>
      <c r="U1410" s="440"/>
      <c r="V1410" s="440"/>
      <c r="W1410" s="440"/>
      <c r="X1410" s="440"/>
      <c r="Y1410" s="444">
        <f t="shared" si="17"/>
        <v>0</v>
      </c>
      <c r="Z1410" s="445"/>
      <c r="AA1410" s="446">
        <f t="shared" ref="AA1410:AE1410" si="713">$J1410*E1410</f>
        <v>0</v>
      </c>
      <c r="AB1410" s="447">
        <f t="shared" si="713"/>
        <v>0</v>
      </c>
      <c r="AC1410" s="447">
        <f t="shared" si="713"/>
        <v>0</v>
      </c>
      <c r="AD1410" s="447">
        <f t="shared" si="713"/>
        <v>0</v>
      </c>
      <c r="AE1410" s="448">
        <f t="shared" si="713"/>
        <v>0</v>
      </c>
      <c r="AF1410" s="449"/>
      <c r="AG1410" s="449"/>
      <c r="AH1410" s="449"/>
    </row>
    <row r="1411" ht="11.25" customHeight="1">
      <c r="A1411" s="450"/>
      <c r="B1411" s="451"/>
      <c r="C1411" s="452"/>
      <c r="D1411" s="452"/>
      <c r="E1411" s="453"/>
      <c r="F1411" s="453"/>
      <c r="G1411" s="454"/>
      <c r="H1411" s="454"/>
      <c r="I1411" s="455"/>
      <c r="J1411" s="456"/>
      <c r="K1411" s="457" t="s">
        <v>1416</v>
      </c>
      <c r="L1411" s="458"/>
      <c r="M1411" s="459"/>
      <c r="N1411" s="460"/>
      <c r="O1411" s="460"/>
      <c r="P1411" s="461"/>
      <c r="Q1411" s="458"/>
      <c r="R1411" s="459"/>
      <c r="S1411" s="459"/>
      <c r="T1411" s="459"/>
      <c r="U1411" s="459"/>
      <c r="V1411" s="459"/>
      <c r="W1411" s="459"/>
      <c r="X1411" s="459"/>
      <c r="Y1411" s="462">
        <f t="shared" si="17"/>
        <v>0</v>
      </c>
      <c r="Z1411" s="463"/>
      <c r="AA1411" s="464"/>
      <c r="AB1411" s="465"/>
      <c r="AC1411" s="465"/>
      <c r="AD1411" s="465"/>
      <c r="AE1411" s="466"/>
      <c r="AF1411" s="449"/>
      <c r="AG1411" s="449"/>
      <c r="AH1411" s="449"/>
    </row>
    <row r="1412" ht="11.25" customHeight="1">
      <c r="A1412" s="450"/>
      <c r="B1412" s="451"/>
      <c r="C1412" s="452"/>
      <c r="D1412" s="452"/>
      <c r="E1412" s="453"/>
      <c r="F1412" s="453"/>
      <c r="G1412" s="454"/>
      <c r="H1412" s="454"/>
      <c r="I1412" s="455"/>
      <c r="J1412" s="456"/>
      <c r="K1412" s="467" t="s">
        <v>1417</v>
      </c>
      <c r="L1412" s="468"/>
      <c r="M1412" s="469"/>
      <c r="N1412" s="470"/>
      <c r="O1412" s="470"/>
      <c r="P1412" s="471"/>
      <c r="Q1412" s="468"/>
      <c r="R1412" s="469"/>
      <c r="S1412" s="469"/>
      <c r="T1412" s="469"/>
      <c r="U1412" s="469"/>
      <c r="V1412" s="469"/>
      <c r="W1412" s="469"/>
      <c r="X1412" s="469"/>
      <c r="Y1412" s="462">
        <f t="shared" si="17"/>
        <v>0</v>
      </c>
      <c r="Z1412" s="463"/>
      <c r="AA1412" s="464"/>
      <c r="AB1412" s="465"/>
      <c r="AC1412" s="465"/>
      <c r="AD1412" s="465"/>
      <c r="AE1412" s="466"/>
      <c r="AF1412" s="449"/>
      <c r="AG1412" s="449"/>
      <c r="AH1412" s="449"/>
    </row>
    <row r="1413" ht="11.25" customHeight="1">
      <c r="A1413" s="450"/>
      <c r="B1413" s="472"/>
      <c r="C1413" s="473"/>
      <c r="D1413" s="473"/>
      <c r="E1413" s="474"/>
      <c r="F1413" s="474"/>
      <c r="G1413" s="475"/>
      <c r="H1413" s="475"/>
      <c r="I1413" s="476"/>
      <c r="J1413" s="477"/>
      <c r="K1413" s="478" t="s">
        <v>1418</v>
      </c>
      <c r="L1413" s="479"/>
      <c r="M1413" s="480"/>
      <c r="N1413" s="481"/>
      <c r="O1413" s="481"/>
      <c r="P1413" s="482"/>
      <c r="Q1413" s="479"/>
      <c r="R1413" s="480"/>
      <c r="S1413" s="480"/>
      <c r="T1413" s="480"/>
      <c r="U1413" s="480"/>
      <c r="V1413" s="480"/>
      <c r="W1413" s="480"/>
      <c r="X1413" s="480"/>
      <c r="Y1413" s="483">
        <f t="shared" si="17"/>
        <v>0</v>
      </c>
      <c r="Z1413" s="484"/>
      <c r="AA1413" s="485"/>
      <c r="AB1413" s="486"/>
      <c r="AC1413" s="486"/>
      <c r="AD1413" s="486"/>
      <c r="AE1413" s="487"/>
      <c r="AF1413" s="449"/>
      <c r="AG1413" s="449"/>
      <c r="AH1413" s="449"/>
    </row>
    <row r="1414" ht="11.25" customHeight="1">
      <c r="A1414" s="431" t="str">
        <f>IF(B1414="","", YEAR(B1414))</f>
        <v/>
      </c>
      <c r="B1414" s="432"/>
      <c r="C1414" s="433"/>
      <c r="D1414" s="433"/>
      <c r="E1414" s="434" t="str">
        <f t="shared" ref="E1414:I1414" si="714">IFERROR(AVERAGE(L1414:L1417),"")</f>
        <v/>
      </c>
      <c r="F1414" s="434" t="str">
        <f t="shared" si="714"/>
        <v/>
      </c>
      <c r="G1414" s="435" t="str">
        <f t="shared" si="714"/>
        <v/>
      </c>
      <c r="H1414" s="435" t="str">
        <f t="shared" si="714"/>
        <v/>
      </c>
      <c r="I1414" s="436" t="str">
        <f t="shared" si="714"/>
        <v/>
      </c>
      <c r="J1414" s="437">
        <f>SUMIFS(PRODUCTION[KG],PRODUCTION[GRADE],"3X50",PRODUCTION[DATE],B1414,PRODUCTION[BATCH],C1414,PRODUCTION[SHIFT],D1414)</f>
        <v>0</v>
      </c>
      <c r="K1414" s="438" t="s">
        <v>1414</v>
      </c>
      <c r="L1414" s="443"/>
      <c r="M1414" s="440"/>
      <c r="N1414" s="441"/>
      <c r="O1414" s="441"/>
      <c r="P1414" s="442"/>
      <c r="Q1414" s="443"/>
      <c r="R1414" s="440"/>
      <c r="S1414" s="440"/>
      <c r="T1414" s="440"/>
      <c r="U1414" s="440"/>
      <c r="V1414" s="440"/>
      <c r="W1414" s="440"/>
      <c r="X1414" s="440"/>
      <c r="Y1414" s="444">
        <f t="shared" si="17"/>
        <v>0</v>
      </c>
      <c r="Z1414" s="445"/>
      <c r="AA1414" s="446">
        <f t="shared" ref="AA1414:AE1414" si="715">$J1414*E1414</f>
        <v>0</v>
      </c>
      <c r="AB1414" s="447">
        <f t="shared" si="715"/>
        <v>0</v>
      </c>
      <c r="AC1414" s="447">
        <f t="shared" si="715"/>
        <v>0</v>
      </c>
      <c r="AD1414" s="447">
        <f t="shared" si="715"/>
        <v>0</v>
      </c>
      <c r="AE1414" s="448">
        <f t="shared" si="715"/>
        <v>0</v>
      </c>
      <c r="AF1414" s="449"/>
      <c r="AG1414" s="449"/>
      <c r="AH1414" s="449"/>
    </row>
    <row r="1415" ht="11.25" customHeight="1">
      <c r="A1415" s="450"/>
      <c r="B1415" s="451"/>
      <c r="C1415" s="452"/>
      <c r="D1415" s="452"/>
      <c r="E1415" s="453"/>
      <c r="F1415" s="453"/>
      <c r="G1415" s="454"/>
      <c r="H1415" s="454"/>
      <c r="I1415" s="455"/>
      <c r="J1415" s="456"/>
      <c r="K1415" s="457" t="s">
        <v>1416</v>
      </c>
      <c r="L1415" s="458"/>
      <c r="M1415" s="459"/>
      <c r="N1415" s="460"/>
      <c r="O1415" s="460"/>
      <c r="P1415" s="461"/>
      <c r="Q1415" s="458"/>
      <c r="R1415" s="459"/>
      <c r="S1415" s="459"/>
      <c r="T1415" s="459"/>
      <c r="U1415" s="459"/>
      <c r="V1415" s="459"/>
      <c r="W1415" s="459"/>
      <c r="X1415" s="459"/>
      <c r="Y1415" s="462">
        <f t="shared" si="17"/>
        <v>0</v>
      </c>
      <c r="Z1415" s="463"/>
      <c r="AA1415" s="464"/>
      <c r="AB1415" s="465"/>
      <c r="AC1415" s="465"/>
      <c r="AD1415" s="465"/>
      <c r="AE1415" s="466"/>
      <c r="AF1415" s="449"/>
      <c r="AG1415" s="449"/>
      <c r="AH1415" s="449"/>
    </row>
    <row r="1416" ht="11.25" customHeight="1">
      <c r="A1416" s="450"/>
      <c r="B1416" s="451"/>
      <c r="C1416" s="452"/>
      <c r="D1416" s="452"/>
      <c r="E1416" s="453"/>
      <c r="F1416" s="453"/>
      <c r="G1416" s="454"/>
      <c r="H1416" s="454"/>
      <c r="I1416" s="455"/>
      <c r="J1416" s="456"/>
      <c r="K1416" s="467" t="s">
        <v>1417</v>
      </c>
      <c r="L1416" s="468"/>
      <c r="M1416" s="469"/>
      <c r="N1416" s="470"/>
      <c r="O1416" s="470"/>
      <c r="P1416" s="471"/>
      <c r="Q1416" s="468"/>
      <c r="R1416" s="469"/>
      <c r="S1416" s="469"/>
      <c r="T1416" s="469"/>
      <c r="U1416" s="469"/>
      <c r="V1416" s="469"/>
      <c r="W1416" s="469"/>
      <c r="X1416" s="469"/>
      <c r="Y1416" s="462">
        <f t="shared" si="17"/>
        <v>0</v>
      </c>
      <c r="Z1416" s="463"/>
      <c r="AA1416" s="464"/>
      <c r="AB1416" s="465"/>
      <c r="AC1416" s="465"/>
      <c r="AD1416" s="465"/>
      <c r="AE1416" s="466"/>
      <c r="AF1416" s="449"/>
      <c r="AG1416" s="449"/>
      <c r="AH1416" s="449"/>
    </row>
    <row r="1417" ht="11.25" customHeight="1">
      <c r="A1417" s="450"/>
      <c r="B1417" s="472"/>
      <c r="C1417" s="473"/>
      <c r="D1417" s="473"/>
      <c r="E1417" s="474"/>
      <c r="F1417" s="474"/>
      <c r="G1417" s="475"/>
      <c r="H1417" s="475"/>
      <c r="I1417" s="476"/>
      <c r="J1417" s="477"/>
      <c r="K1417" s="478" t="s">
        <v>1418</v>
      </c>
      <c r="L1417" s="479"/>
      <c r="M1417" s="480"/>
      <c r="N1417" s="481"/>
      <c r="O1417" s="481"/>
      <c r="P1417" s="482"/>
      <c r="Q1417" s="479"/>
      <c r="R1417" s="480"/>
      <c r="S1417" s="480"/>
      <c r="T1417" s="480"/>
      <c r="U1417" s="480"/>
      <c r="V1417" s="480"/>
      <c r="W1417" s="480"/>
      <c r="X1417" s="480"/>
      <c r="Y1417" s="483">
        <f t="shared" si="17"/>
        <v>0</v>
      </c>
      <c r="Z1417" s="484"/>
      <c r="AA1417" s="485"/>
      <c r="AB1417" s="486"/>
      <c r="AC1417" s="486"/>
      <c r="AD1417" s="486"/>
      <c r="AE1417" s="487"/>
      <c r="AF1417" s="449"/>
      <c r="AG1417" s="449"/>
      <c r="AH1417" s="449"/>
    </row>
    <row r="1418" ht="11.25" customHeight="1">
      <c r="A1418" s="431" t="str">
        <f>IF(B1418="","", YEAR(B1418))</f>
        <v/>
      </c>
      <c r="B1418" s="432"/>
      <c r="C1418" s="433"/>
      <c r="D1418" s="433"/>
      <c r="E1418" s="434" t="str">
        <f t="shared" ref="E1418:I1418" si="716">IFERROR(AVERAGE(L1418:L1421),"")</f>
        <v/>
      </c>
      <c r="F1418" s="434" t="str">
        <f t="shared" si="716"/>
        <v/>
      </c>
      <c r="G1418" s="435" t="str">
        <f t="shared" si="716"/>
        <v/>
      </c>
      <c r="H1418" s="435" t="str">
        <f t="shared" si="716"/>
        <v/>
      </c>
      <c r="I1418" s="436" t="str">
        <f t="shared" si="716"/>
        <v/>
      </c>
      <c r="J1418" s="437">
        <f>SUMIFS(PRODUCTION[KG],PRODUCTION[GRADE],"3X50",PRODUCTION[DATE],B1418,PRODUCTION[BATCH],C1418,PRODUCTION[SHIFT],D1418)</f>
        <v>0</v>
      </c>
      <c r="K1418" s="438" t="s">
        <v>1414</v>
      </c>
      <c r="L1418" s="443"/>
      <c r="M1418" s="440"/>
      <c r="N1418" s="441"/>
      <c r="O1418" s="441"/>
      <c r="P1418" s="442"/>
      <c r="Q1418" s="443"/>
      <c r="R1418" s="440"/>
      <c r="S1418" s="440"/>
      <c r="T1418" s="440"/>
      <c r="U1418" s="440"/>
      <c r="V1418" s="440"/>
      <c r="W1418" s="440"/>
      <c r="X1418" s="440"/>
      <c r="Y1418" s="444">
        <f t="shared" si="17"/>
        <v>0</v>
      </c>
      <c r="Z1418" s="445"/>
      <c r="AA1418" s="446">
        <f t="shared" ref="AA1418:AE1418" si="717">$J1418*E1418</f>
        <v>0</v>
      </c>
      <c r="AB1418" s="447">
        <f t="shared" si="717"/>
        <v>0</v>
      </c>
      <c r="AC1418" s="447">
        <f t="shared" si="717"/>
        <v>0</v>
      </c>
      <c r="AD1418" s="447">
        <f t="shared" si="717"/>
        <v>0</v>
      </c>
      <c r="AE1418" s="448">
        <f t="shared" si="717"/>
        <v>0</v>
      </c>
      <c r="AF1418" s="449"/>
      <c r="AG1418" s="449"/>
      <c r="AH1418" s="449"/>
    </row>
    <row r="1419" ht="11.25" customHeight="1">
      <c r="A1419" s="450"/>
      <c r="B1419" s="451"/>
      <c r="C1419" s="452"/>
      <c r="D1419" s="452"/>
      <c r="E1419" s="453"/>
      <c r="F1419" s="453"/>
      <c r="G1419" s="454"/>
      <c r="H1419" s="454"/>
      <c r="I1419" s="455"/>
      <c r="J1419" s="456"/>
      <c r="K1419" s="457" t="s">
        <v>1416</v>
      </c>
      <c r="L1419" s="458"/>
      <c r="M1419" s="459"/>
      <c r="N1419" s="460"/>
      <c r="O1419" s="460"/>
      <c r="P1419" s="461"/>
      <c r="Q1419" s="458"/>
      <c r="R1419" s="459"/>
      <c r="S1419" s="459"/>
      <c r="T1419" s="459"/>
      <c r="U1419" s="459"/>
      <c r="V1419" s="459"/>
      <c r="W1419" s="459"/>
      <c r="X1419" s="459"/>
      <c r="Y1419" s="462">
        <f t="shared" si="17"/>
        <v>0</v>
      </c>
      <c r="Z1419" s="463"/>
      <c r="AA1419" s="464"/>
      <c r="AB1419" s="465"/>
      <c r="AC1419" s="465"/>
      <c r="AD1419" s="465"/>
      <c r="AE1419" s="466"/>
      <c r="AF1419" s="449"/>
      <c r="AG1419" s="449"/>
      <c r="AH1419" s="449"/>
    </row>
    <row r="1420" ht="11.25" customHeight="1">
      <c r="A1420" s="450"/>
      <c r="B1420" s="451"/>
      <c r="C1420" s="452"/>
      <c r="D1420" s="452"/>
      <c r="E1420" s="453"/>
      <c r="F1420" s="453"/>
      <c r="G1420" s="454"/>
      <c r="H1420" s="454"/>
      <c r="I1420" s="455"/>
      <c r="J1420" s="456"/>
      <c r="K1420" s="467" t="s">
        <v>1417</v>
      </c>
      <c r="L1420" s="468"/>
      <c r="M1420" s="469"/>
      <c r="N1420" s="470"/>
      <c r="O1420" s="470"/>
      <c r="P1420" s="471"/>
      <c r="Q1420" s="468"/>
      <c r="R1420" s="469"/>
      <c r="S1420" s="469"/>
      <c r="T1420" s="469"/>
      <c r="U1420" s="469"/>
      <c r="V1420" s="469"/>
      <c r="W1420" s="469"/>
      <c r="X1420" s="469"/>
      <c r="Y1420" s="462">
        <f t="shared" si="17"/>
        <v>0</v>
      </c>
      <c r="Z1420" s="463"/>
      <c r="AA1420" s="464"/>
      <c r="AB1420" s="465"/>
      <c r="AC1420" s="465"/>
      <c r="AD1420" s="465"/>
      <c r="AE1420" s="466"/>
      <c r="AF1420" s="449"/>
      <c r="AG1420" s="449"/>
      <c r="AH1420" s="449"/>
    </row>
    <row r="1421" ht="11.25" customHeight="1">
      <c r="A1421" s="450"/>
      <c r="B1421" s="472"/>
      <c r="C1421" s="473"/>
      <c r="D1421" s="473"/>
      <c r="E1421" s="474"/>
      <c r="F1421" s="474"/>
      <c r="G1421" s="475"/>
      <c r="H1421" s="475"/>
      <c r="I1421" s="476"/>
      <c r="J1421" s="477"/>
      <c r="K1421" s="478" t="s">
        <v>1418</v>
      </c>
      <c r="L1421" s="479"/>
      <c r="M1421" s="480"/>
      <c r="N1421" s="481"/>
      <c r="O1421" s="481"/>
      <c r="P1421" s="482"/>
      <c r="Q1421" s="479"/>
      <c r="R1421" s="480"/>
      <c r="S1421" s="480"/>
      <c r="T1421" s="480"/>
      <c r="U1421" s="480"/>
      <c r="V1421" s="480"/>
      <c r="W1421" s="480"/>
      <c r="X1421" s="480"/>
      <c r="Y1421" s="483">
        <f t="shared" si="17"/>
        <v>0</v>
      </c>
      <c r="Z1421" s="484"/>
      <c r="AA1421" s="485"/>
      <c r="AB1421" s="486"/>
      <c r="AC1421" s="486"/>
      <c r="AD1421" s="486"/>
      <c r="AE1421" s="487"/>
      <c r="AF1421" s="449"/>
      <c r="AG1421" s="449"/>
      <c r="AH1421" s="449"/>
    </row>
    <row r="1422" ht="11.25" customHeight="1">
      <c r="A1422" s="431" t="str">
        <f>IF(B1422="","", YEAR(B1422))</f>
        <v/>
      </c>
      <c r="B1422" s="432"/>
      <c r="C1422" s="433"/>
      <c r="D1422" s="433"/>
      <c r="E1422" s="434" t="str">
        <f t="shared" ref="E1422:I1422" si="718">IFERROR(AVERAGE(L1422:L1425),"")</f>
        <v/>
      </c>
      <c r="F1422" s="434" t="str">
        <f t="shared" si="718"/>
        <v/>
      </c>
      <c r="G1422" s="435" t="str">
        <f t="shared" si="718"/>
        <v/>
      </c>
      <c r="H1422" s="435" t="str">
        <f t="shared" si="718"/>
        <v/>
      </c>
      <c r="I1422" s="436" t="str">
        <f t="shared" si="718"/>
        <v/>
      </c>
      <c r="J1422" s="437">
        <f>SUMIFS(PRODUCTION[KG],PRODUCTION[GRADE],"3X50",PRODUCTION[DATE],B1422,PRODUCTION[BATCH],C1422,PRODUCTION[SHIFT],D1422)</f>
        <v>0</v>
      </c>
      <c r="K1422" s="438" t="s">
        <v>1414</v>
      </c>
      <c r="L1422" s="443"/>
      <c r="M1422" s="440"/>
      <c r="N1422" s="441"/>
      <c r="O1422" s="441"/>
      <c r="P1422" s="442"/>
      <c r="Q1422" s="443"/>
      <c r="R1422" s="440"/>
      <c r="S1422" s="440"/>
      <c r="T1422" s="440"/>
      <c r="U1422" s="440"/>
      <c r="V1422" s="440"/>
      <c r="W1422" s="440"/>
      <c r="X1422" s="440"/>
      <c r="Y1422" s="444">
        <f t="shared" si="17"/>
        <v>0</v>
      </c>
      <c r="Z1422" s="445"/>
      <c r="AA1422" s="446">
        <f t="shared" ref="AA1422:AE1422" si="719">$J1422*E1422</f>
        <v>0</v>
      </c>
      <c r="AB1422" s="447">
        <f t="shared" si="719"/>
        <v>0</v>
      </c>
      <c r="AC1422" s="447">
        <f t="shared" si="719"/>
        <v>0</v>
      </c>
      <c r="AD1422" s="447">
        <f t="shared" si="719"/>
        <v>0</v>
      </c>
      <c r="AE1422" s="448">
        <f t="shared" si="719"/>
        <v>0</v>
      </c>
      <c r="AF1422" s="449"/>
      <c r="AG1422" s="449"/>
      <c r="AH1422" s="449"/>
    </row>
    <row r="1423" ht="11.25" customHeight="1">
      <c r="A1423" s="450"/>
      <c r="B1423" s="451"/>
      <c r="C1423" s="452"/>
      <c r="D1423" s="452"/>
      <c r="E1423" s="453"/>
      <c r="F1423" s="453"/>
      <c r="G1423" s="454"/>
      <c r="H1423" s="454"/>
      <c r="I1423" s="455"/>
      <c r="J1423" s="456"/>
      <c r="K1423" s="457" t="s">
        <v>1416</v>
      </c>
      <c r="L1423" s="458"/>
      <c r="M1423" s="459"/>
      <c r="N1423" s="460"/>
      <c r="O1423" s="460"/>
      <c r="P1423" s="461"/>
      <c r="Q1423" s="458"/>
      <c r="R1423" s="459"/>
      <c r="S1423" s="459"/>
      <c r="T1423" s="459"/>
      <c r="U1423" s="459"/>
      <c r="V1423" s="459"/>
      <c r="W1423" s="459"/>
      <c r="X1423" s="459"/>
      <c r="Y1423" s="462">
        <f t="shared" si="17"/>
        <v>0</v>
      </c>
      <c r="Z1423" s="463"/>
      <c r="AA1423" s="464"/>
      <c r="AB1423" s="465"/>
      <c r="AC1423" s="465"/>
      <c r="AD1423" s="465"/>
      <c r="AE1423" s="466"/>
      <c r="AF1423" s="449"/>
      <c r="AG1423" s="449"/>
      <c r="AH1423" s="449"/>
    </row>
    <row r="1424" ht="11.25" customHeight="1">
      <c r="A1424" s="450"/>
      <c r="B1424" s="451"/>
      <c r="C1424" s="452"/>
      <c r="D1424" s="452"/>
      <c r="E1424" s="453"/>
      <c r="F1424" s="453"/>
      <c r="G1424" s="454"/>
      <c r="H1424" s="454"/>
      <c r="I1424" s="455"/>
      <c r="J1424" s="456"/>
      <c r="K1424" s="467" t="s">
        <v>1417</v>
      </c>
      <c r="L1424" s="468"/>
      <c r="M1424" s="469"/>
      <c r="N1424" s="470"/>
      <c r="O1424" s="470"/>
      <c r="P1424" s="471"/>
      <c r="Q1424" s="468"/>
      <c r="R1424" s="469"/>
      <c r="S1424" s="469"/>
      <c r="T1424" s="469"/>
      <c r="U1424" s="469"/>
      <c r="V1424" s="469"/>
      <c r="W1424" s="469"/>
      <c r="X1424" s="469"/>
      <c r="Y1424" s="462">
        <f t="shared" si="17"/>
        <v>0</v>
      </c>
      <c r="Z1424" s="463"/>
      <c r="AA1424" s="464"/>
      <c r="AB1424" s="465"/>
      <c r="AC1424" s="465"/>
      <c r="AD1424" s="465"/>
      <c r="AE1424" s="466"/>
      <c r="AF1424" s="449"/>
      <c r="AG1424" s="449"/>
      <c r="AH1424" s="449"/>
    </row>
    <row r="1425" ht="11.25" customHeight="1">
      <c r="A1425" s="450"/>
      <c r="B1425" s="472"/>
      <c r="C1425" s="473"/>
      <c r="D1425" s="473"/>
      <c r="E1425" s="474"/>
      <c r="F1425" s="474"/>
      <c r="G1425" s="475"/>
      <c r="H1425" s="475"/>
      <c r="I1425" s="476"/>
      <c r="J1425" s="477"/>
      <c r="K1425" s="478" t="s">
        <v>1418</v>
      </c>
      <c r="L1425" s="479"/>
      <c r="M1425" s="480"/>
      <c r="N1425" s="481"/>
      <c r="O1425" s="481"/>
      <c r="P1425" s="482"/>
      <c r="Q1425" s="479"/>
      <c r="R1425" s="480"/>
      <c r="S1425" s="480"/>
      <c r="T1425" s="480"/>
      <c r="U1425" s="480"/>
      <c r="V1425" s="480"/>
      <c r="W1425" s="480"/>
      <c r="X1425" s="480"/>
      <c r="Y1425" s="483">
        <f t="shared" si="17"/>
        <v>0</v>
      </c>
      <c r="Z1425" s="484"/>
      <c r="AA1425" s="485"/>
      <c r="AB1425" s="486"/>
      <c r="AC1425" s="486"/>
      <c r="AD1425" s="486"/>
      <c r="AE1425" s="487"/>
      <c r="AF1425" s="449"/>
      <c r="AG1425" s="449"/>
      <c r="AH1425" s="449"/>
    </row>
    <row r="1426" ht="11.25" customHeight="1">
      <c r="A1426" s="431" t="str">
        <f>IF(B1426="","", YEAR(B1426))</f>
        <v/>
      </c>
      <c r="B1426" s="432"/>
      <c r="C1426" s="433"/>
      <c r="D1426" s="433"/>
      <c r="E1426" s="434" t="str">
        <f t="shared" ref="E1426:I1426" si="720">IFERROR(AVERAGE(L1426:L1429),"")</f>
        <v/>
      </c>
      <c r="F1426" s="434" t="str">
        <f t="shared" si="720"/>
        <v/>
      </c>
      <c r="G1426" s="435" t="str">
        <f t="shared" si="720"/>
        <v/>
      </c>
      <c r="H1426" s="435" t="str">
        <f t="shared" si="720"/>
        <v/>
      </c>
      <c r="I1426" s="436" t="str">
        <f t="shared" si="720"/>
        <v/>
      </c>
      <c r="J1426" s="437">
        <f>SUMIFS(PRODUCTION[KG],PRODUCTION[GRADE],"3X50",PRODUCTION[DATE],B1426,PRODUCTION[BATCH],C1426,PRODUCTION[SHIFT],D1426)</f>
        <v>0</v>
      </c>
      <c r="K1426" s="438" t="s">
        <v>1414</v>
      </c>
      <c r="L1426" s="443"/>
      <c r="M1426" s="440"/>
      <c r="N1426" s="441"/>
      <c r="O1426" s="441"/>
      <c r="P1426" s="442"/>
      <c r="Q1426" s="443"/>
      <c r="R1426" s="440"/>
      <c r="S1426" s="440"/>
      <c r="T1426" s="440"/>
      <c r="U1426" s="440"/>
      <c r="V1426" s="440"/>
      <c r="W1426" s="440"/>
      <c r="X1426" s="440"/>
      <c r="Y1426" s="444">
        <f t="shared" si="17"/>
        <v>0</v>
      </c>
      <c r="Z1426" s="445"/>
      <c r="AA1426" s="446">
        <f t="shared" ref="AA1426:AE1426" si="721">$J1426*E1426</f>
        <v>0</v>
      </c>
      <c r="AB1426" s="447">
        <f t="shared" si="721"/>
        <v>0</v>
      </c>
      <c r="AC1426" s="447">
        <f t="shared" si="721"/>
        <v>0</v>
      </c>
      <c r="AD1426" s="447">
        <f t="shared" si="721"/>
        <v>0</v>
      </c>
      <c r="AE1426" s="448">
        <f t="shared" si="721"/>
        <v>0</v>
      </c>
      <c r="AF1426" s="449"/>
      <c r="AG1426" s="449"/>
      <c r="AH1426" s="449"/>
    </row>
    <row r="1427" ht="11.25" customHeight="1">
      <c r="A1427" s="450"/>
      <c r="B1427" s="451"/>
      <c r="C1427" s="452"/>
      <c r="D1427" s="452"/>
      <c r="E1427" s="453"/>
      <c r="F1427" s="453"/>
      <c r="G1427" s="454"/>
      <c r="H1427" s="454"/>
      <c r="I1427" s="455"/>
      <c r="J1427" s="456"/>
      <c r="K1427" s="457" t="s">
        <v>1416</v>
      </c>
      <c r="L1427" s="458"/>
      <c r="M1427" s="459"/>
      <c r="N1427" s="460"/>
      <c r="O1427" s="460"/>
      <c r="P1427" s="461"/>
      <c r="Q1427" s="458"/>
      <c r="R1427" s="459"/>
      <c r="S1427" s="459"/>
      <c r="T1427" s="459"/>
      <c r="U1427" s="459"/>
      <c r="V1427" s="459"/>
      <c r="W1427" s="459"/>
      <c r="X1427" s="459"/>
      <c r="Y1427" s="462">
        <f t="shared" si="17"/>
        <v>0</v>
      </c>
      <c r="Z1427" s="463"/>
      <c r="AA1427" s="464"/>
      <c r="AB1427" s="465"/>
      <c r="AC1427" s="465"/>
      <c r="AD1427" s="465"/>
      <c r="AE1427" s="466"/>
      <c r="AF1427" s="449"/>
      <c r="AG1427" s="449"/>
      <c r="AH1427" s="449"/>
    </row>
    <row r="1428" ht="11.25" customHeight="1">
      <c r="A1428" s="450"/>
      <c r="B1428" s="451"/>
      <c r="C1428" s="452"/>
      <c r="D1428" s="452"/>
      <c r="E1428" s="453"/>
      <c r="F1428" s="453"/>
      <c r="G1428" s="454"/>
      <c r="H1428" s="454"/>
      <c r="I1428" s="455"/>
      <c r="J1428" s="456"/>
      <c r="K1428" s="467" t="s">
        <v>1417</v>
      </c>
      <c r="L1428" s="468"/>
      <c r="M1428" s="469"/>
      <c r="N1428" s="470"/>
      <c r="O1428" s="470"/>
      <c r="P1428" s="471"/>
      <c r="Q1428" s="468"/>
      <c r="R1428" s="469"/>
      <c r="S1428" s="469"/>
      <c r="T1428" s="469"/>
      <c r="U1428" s="469"/>
      <c r="V1428" s="469"/>
      <c r="W1428" s="469"/>
      <c r="X1428" s="469"/>
      <c r="Y1428" s="462">
        <f t="shared" si="17"/>
        <v>0</v>
      </c>
      <c r="Z1428" s="463"/>
      <c r="AA1428" s="464"/>
      <c r="AB1428" s="465"/>
      <c r="AC1428" s="465"/>
      <c r="AD1428" s="465"/>
      <c r="AE1428" s="466"/>
      <c r="AF1428" s="449"/>
      <c r="AG1428" s="449"/>
      <c r="AH1428" s="449"/>
    </row>
    <row r="1429" ht="11.25" customHeight="1">
      <c r="A1429" s="450"/>
      <c r="B1429" s="472"/>
      <c r="C1429" s="473"/>
      <c r="D1429" s="473"/>
      <c r="E1429" s="474"/>
      <c r="F1429" s="474"/>
      <c r="G1429" s="475"/>
      <c r="H1429" s="475"/>
      <c r="I1429" s="476"/>
      <c r="J1429" s="477"/>
      <c r="K1429" s="478" t="s">
        <v>1418</v>
      </c>
      <c r="L1429" s="479"/>
      <c r="M1429" s="480"/>
      <c r="N1429" s="481"/>
      <c r="O1429" s="481"/>
      <c r="P1429" s="482"/>
      <c r="Q1429" s="479"/>
      <c r="R1429" s="480"/>
      <c r="S1429" s="480"/>
      <c r="T1429" s="480"/>
      <c r="U1429" s="480"/>
      <c r="V1429" s="480"/>
      <c r="W1429" s="480"/>
      <c r="X1429" s="480"/>
      <c r="Y1429" s="483">
        <f t="shared" si="17"/>
        <v>0</v>
      </c>
      <c r="Z1429" s="484"/>
      <c r="AA1429" s="485"/>
      <c r="AB1429" s="486"/>
      <c r="AC1429" s="486"/>
      <c r="AD1429" s="486"/>
      <c r="AE1429" s="487"/>
      <c r="AF1429" s="449"/>
      <c r="AG1429" s="449"/>
      <c r="AH1429" s="449"/>
    </row>
    <row r="1430" ht="11.25" customHeight="1">
      <c r="A1430" s="431" t="str">
        <f>IF(B1430="","", YEAR(B1430))</f>
        <v/>
      </c>
      <c r="B1430" s="432"/>
      <c r="C1430" s="433"/>
      <c r="D1430" s="433"/>
      <c r="E1430" s="434" t="str">
        <f t="shared" ref="E1430:I1430" si="722">IFERROR(AVERAGE(L1430:L1433),"")</f>
        <v/>
      </c>
      <c r="F1430" s="434" t="str">
        <f t="shared" si="722"/>
        <v/>
      </c>
      <c r="G1430" s="435" t="str">
        <f t="shared" si="722"/>
        <v/>
      </c>
      <c r="H1430" s="435" t="str">
        <f t="shared" si="722"/>
        <v/>
      </c>
      <c r="I1430" s="436" t="str">
        <f t="shared" si="722"/>
        <v/>
      </c>
      <c r="J1430" s="437">
        <f>SUMIFS(PRODUCTION[KG],PRODUCTION[GRADE],"3X50",PRODUCTION[DATE],B1430,PRODUCTION[BATCH],C1430,PRODUCTION[SHIFT],D1430)</f>
        <v>0</v>
      </c>
      <c r="K1430" s="438" t="s">
        <v>1414</v>
      </c>
      <c r="L1430" s="443"/>
      <c r="M1430" s="440"/>
      <c r="N1430" s="441"/>
      <c r="O1430" s="441"/>
      <c r="P1430" s="442"/>
      <c r="Q1430" s="443"/>
      <c r="R1430" s="440"/>
      <c r="S1430" s="440"/>
      <c r="T1430" s="440"/>
      <c r="U1430" s="440"/>
      <c r="V1430" s="440"/>
      <c r="W1430" s="440"/>
      <c r="X1430" s="440"/>
      <c r="Y1430" s="444">
        <f t="shared" si="17"/>
        <v>0</v>
      </c>
      <c r="Z1430" s="445"/>
      <c r="AA1430" s="446">
        <f t="shared" ref="AA1430:AE1430" si="723">$J1430*E1430</f>
        <v>0</v>
      </c>
      <c r="AB1430" s="447">
        <f t="shared" si="723"/>
        <v>0</v>
      </c>
      <c r="AC1430" s="447">
        <f t="shared" si="723"/>
        <v>0</v>
      </c>
      <c r="AD1430" s="447">
        <f t="shared" si="723"/>
        <v>0</v>
      </c>
      <c r="AE1430" s="448">
        <f t="shared" si="723"/>
        <v>0</v>
      </c>
      <c r="AF1430" s="449"/>
      <c r="AG1430" s="449"/>
      <c r="AH1430" s="449"/>
    </row>
    <row r="1431" ht="11.25" customHeight="1">
      <c r="A1431" s="450"/>
      <c r="B1431" s="451"/>
      <c r="C1431" s="452"/>
      <c r="D1431" s="452"/>
      <c r="E1431" s="453"/>
      <c r="F1431" s="453"/>
      <c r="G1431" s="454"/>
      <c r="H1431" s="454"/>
      <c r="I1431" s="455"/>
      <c r="J1431" s="456"/>
      <c r="K1431" s="457" t="s">
        <v>1416</v>
      </c>
      <c r="L1431" s="458"/>
      <c r="M1431" s="459"/>
      <c r="N1431" s="460"/>
      <c r="O1431" s="460"/>
      <c r="P1431" s="461"/>
      <c r="Q1431" s="458"/>
      <c r="R1431" s="459"/>
      <c r="S1431" s="459"/>
      <c r="T1431" s="459"/>
      <c r="U1431" s="459"/>
      <c r="V1431" s="459"/>
      <c r="W1431" s="459"/>
      <c r="X1431" s="459"/>
      <c r="Y1431" s="462">
        <f t="shared" si="17"/>
        <v>0</v>
      </c>
      <c r="Z1431" s="463"/>
      <c r="AA1431" s="464"/>
      <c r="AB1431" s="465"/>
      <c r="AC1431" s="465"/>
      <c r="AD1431" s="465"/>
      <c r="AE1431" s="466"/>
      <c r="AF1431" s="449"/>
      <c r="AG1431" s="449"/>
      <c r="AH1431" s="449"/>
    </row>
    <row r="1432" ht="11.25" customHeight="1">
      <c r="A1432" s="450"/>
      <c r="B1432" s="451"/>
      <c r="C1432" s="452"/>
      <c r="D1432" s="452"/>
      <c r="E1432" s="453"/>
      <c r="F1432" s="453"/>
      <c r="G1432" s="454"/>
      <c r="H1432" s="454"/>
      <c r="I1432" s="455"/>
      <c r="J1432" s="456"/>
      <c r="K1432" s="467" t="s">
        <v>1417</v>
      </c>
      <c r="L1432" s="468"/>
      <c r="M1432" s="469"/>
      <c r="N1432" s="470"/>
      <c r="O1432" s="470"/>
      <c r="P1432" s="471"/>
      <c r="Q1432" s="468"/>
      <c r="R1432" s="469"/>
      <c r="S1432" s="469"/>
      <c r="T1432" s="469"/>
      <c r="U1432" s="469"/>
      <c r="V1432" s="469"/>
      <c r="W1432" s="469"/>
      <c r="X1432" s="469"/>
      <c r="Y1432" s="462">
        <f t="shared" si="17"/>
        <v>0</v>
      </c>
      <c r="Z1432" s="463"/>
      <c r="AA1432" s="464"/>
      <c r="AB1432" s="465"/>
      <c r="AC1432" s="465"/>
      <c r="AD1432" s="465"/>
      <c r="AE1432" s="466"/>
      <c r="AF1432" s="449"/>
      <c r="AG1432" s="449"/>
      <c r="AH1432" s="449"/>
    </row>
    <row r="1433" ht="11.25" customHeight="1">
      <c r="A1433" s="450"/>
      <c r="B1433" s="472"/>
      <c r="C1433" s="473"/>
      <c r="D1433" s="473"/>
      <c r="E1433" s="474"/>
      <c r="F1433" s="474"/>
      <c r="G1433" s="475"/>
      <c r="H1433" s="475"/>
      <c r="I1433" s="476"/>
      <c r="J1433" s="477"/>
      <c r="K1433" s="478" t="s">
        <v>1418</v>
      </c>
      <c r="L1433" s="479"/>
      <c r="M1433" s="480"/>
      <c r="N1433" s="481"/>
      <c r="O1433" s="481"/>
      <c r="P1433" s="482"/>
      <c r="Q1433" s="479"/>
      <c r="R1433" s="480"/>
      <c r="S1433" s="480"/>
      <c r="T1433" s="480"/>
      <c r="U1433" s="480"/>
      <c r="V1433" s="480"/>
      <c r="W1433" s="480"/>
      <c r="X1433" s="480"/>
      <c r="Y1433" s="483">
        <f t="shared" si="17"/>
        <v>0</v>
      </c>
      <c r="Z1433" s="484"/>
      <c r="AA1433" s="485"/>
      <c r="AB1433" s="486"/>
      <c r="AC1433" s="486"/>
      <c r="AD1433" s="486"/>
      <c r="AE1433" s="487"/>
      <c r="AF1433" s="449"/>
      <c r="AG1433" s="449"/>
      <c r="AH1433" s="449"/>
    </row>
    <row r="1434" ht="11.25" customHeight="1">
      <c r="A1434" s="431" t="str">
        <f>IF(B1434="","", YEAR(B1434))</f>
        <v/>
      </c>
      <c r="B1434" s="432"/>
      <c r="C1434" s="433"/>
      <c r="D1434" s="433"/>
      <c r="E1434" s="434" t="str">
        <f t="shared" ref="E1434:I1434" si="724">IFERROR(AVERAGE(L1434:L1437),"")</f>
        <v/>
      </c>
      <c r="F1434" s="434" t="str">
        <f t="shared" si="724"/>
        <v/>
      </c>
      <c r="G1434" s="435" t="str">
        <f t="shared" si="724"/>
        <v/>
      </c>
      <c r="H1434" s="435" t="str">
        <f t="shared" si="724"/>
        <v/>
      </c>
      <c r="I1434" s="436" t="str">
        <f t="shared" si="724"/>
        <v/>
      </c>
      <c r="J1434" s="437">
        <f>SUMIFS(PRODUCTION[KG],PRODUCTION[GRADE],"3X50",PRODUCTION[DATE],B1434,PRODUCTION[BATCH],C1434,PRODUCTION[SHIFT],D1434)</f>
        <v>0</v>
      </c>
      <c r="K1434" s="438" t="s">
        <v>1414</v>
      </c>
      <c r="L1434" s="443"/>
      <c r="M1434" s="440"/>
      <c r="N1434" s="441"/>
      <c r="O1434" s="441"/>
      <c r="P1434" s="442"/>
      <c r="Q1434" s="443"/>
      <c r="R1434" s="440"/>
      <c r="S1434" s="440"/>
      <c r="T1434" s="440"/>
      <c r="U1434" s="440"/>
      <c r="V1434" s="440"/>
      <c r="W1434" s="440"/>
      <c r="X1434" s="440"/>
      <c r="Y1434" s="444">
        <f t="shared" si="17"/>
        <v>0</v>
      </c>
      <c r="Z1434" s="445"/>
      <c r="AA1434" s="446">
        <f t="shared" ref="AA1434:AE1434" si="725">$J1434*E1434</f>
        <v>0</v>
      </c>
      <c r="AB1434" s="447">
        <f t="shared" si="725"/>
        <v>0</v>
      </c>
      <c r="AC1434" s="447">
        <f t="shared" si="725"/>
        <v>0</v>
      </c>
      <c r="AD1434" s="447">
        <f t="shared" si="725"/>
        <v>0</v>
      </c>
      <c r="AE1434" s="448">
        <f t="shared" si="725"/>
        <v>0</v>
      </c>
      <c r="AF1434" s="449"/>
      <c r="AG1434" s="449"/>
      <c r="AH1434" s="449"/>
    </row>
    <row r="1435" ht="11.25" customHeight="1">
      <c r="A1435" s="450"/>
      <c r="B1435" s="451"/>
      <c r="C1435" s="452"/>
      <c r="D1435" s="452"/>
      <c r="E1435" s="453"/>
      <c r="F1435" s="453"/>
      <c r="G1435" s="454"/>
      <c r="H1435" s="454"/>
      <c r="I1435" s="455"/>
      <c r="J1435" s="456"/>
      <c r="K1435" s="457" t="s">
        <v>1416</v>
      </c>
      <c r="L1435" s="458"/>
      <c r="M1435" s="459"/>
      <c r="N1435" s="460"/>
      <c r="O1435" s="460"/>
      <c r="P1435" s="461"/>
      <c r="Q1435" s="458"/>
      <c r="R1435" s="459"/>
      <c r="S1435" s="459"/>
      <c r="T1435" s="459"/>
      <c r="U1435" s="459"/>
      <c r="V1435" s="459"/>
      <c r="W1435" s="459"/>
      <c r="X1435" s="459"/>
      <c r="Y1435" s="462">
        <f t="shared" si="17"/>
        <v>0</v>
      </c>
      <c r="Z1435" s="463"/>
      <c r="AA1435" s="464"/>
      <c r="AB1435" s="465"/>
      <c r="AC1435" s="465"/>
      <c r="AD1435" s="465"/>
      <c r="AE1435" s="466"/>
      <c r="AF1435" s="449"/>
      <c r="AG1435" s="449"/>
      <c r="AH1435" s="449"/>
    </row>
    <row r="1436" ht="11.25" customHeight="1">
      <c r="A1436" s="450"/>
      <c r="B1436" s="451"/>
      <c r="C1436" s="452"/>
      <c r="D1436" s="452"/>
      <c r="E1436" s="453"/>
      <c r="F1436" s="453"/>
      <c r="G1436" s="454"/>
      <c r="H1436" s="454"/>
      <c r="I1436" s="455"/>
      <c r="J1436" s="456"/>
      <c r="K1436" s="467" t="s">
        <v>1417</v>
      </c>
      <c r="L1436" s="468"/>
      <c r="M1436" s="469"/>
      <c r="N1436" s="470"/>
      <c r="O1436" s="470"/>
      <c r="P1436" s="471"/>
      <c r="Q1436" s="468"/>
      <c r="R1436" s="469"/>
      <c r="S1436" s="469"/>
      <c r="T1436" s="469"/>
      <c r="U1436" s="469"/>
      <c r="V1436" s="469"/>
      <c r="W1436" s="469"/>
      <c r="X1436" s="469"/>
      <c r="Y1436" s="462">
        <f t="shared" si="17"/>
        <v>0</v>
      </c>
      <c r="Z1436" s="463"/>
      <c r="AA1436" s="464"/>
      <c r="AB1436" s="465"/>
      <c r="AC1436" s="465"/>
      <c r="AD1436" s="465"/>
      <c r="AE1436" s="466"/>
      <c r="AF1436" s="449"/>
      <c r="AG1436" s="449"/>
      <c r="AH1436" s="449"/>
    </row>
    <row r="1437" ht="11.25" customHeight="1">
      <c r="A1437" s="450"/>
      <c r="B1437" s="472"/>
      <c r="C1437" s="473"/>
      <c r="D1437" s="473"/>
      <c r="E1437" s="474"/>
      <c r="F1437" s="474"/>
      <c r="G1437" s="475"/>
      <c r="H1437" s="475"/>
      <c r="I1437" s="476"/>
      <c r="J1437" s="477"/>
      <c r="K1437" s="478" t="s">
        <v>1418</v>
      </c>
      <c r="L1437" s="479"/>
      <c r="M1437" s="480"/>
      <c r="N1437" s="481"/>
      <c r="O1437" s="481"/>
      <c r="P1437" s="482"/>
      <c r="Q1437" s="479"/>
      <c r="R1437" s="480"/>
      <c r="S1437" s="480"/>
      <c r="T1437" s="480"/>
      <c r="U1437" s="480"/>
      <c r="V1437" s="480"/>
      <c r="W1437" s="480"/>
      <c r="X1437" s="480"/>
      <c r="Y1437" s="483">
        <f t="shared" si="17"/>
        <v>0</v>
      </c>
      <c r="Z1437" s="484"/>
      <c r="AA1437" s="485"/>
      <c r="AB1437" s="486"/>
      <c r="AC1437" s="486"/>
      <c r="AD1437" s="486"/>
      <c r="AE1437" s="487"/>
      <c r="AF1437" s="449"/>
      <c r="AG1437" s="449"/>
      <c r="AH1437" s="449"/>
    </row>
    <row r="1438" ht="11.25" customHeight="1">
      <c r="A1438" s="431" t="str">
        <f>IF(B1438="","", YEAR(B1438))</f>
        <v/>
      </c>
      <c r="B1438" s="432"/>
      <c r="C1438" s="433"/>
      <c r="D1438" s="433"/>
      <c r="E1438" s="434" t="str">
        <f t="shared" ref="E1438:I1438" si="726">IFERROR(AVERAGE(L1438:L1441),"")</f>
        <v/>
      </c>
      <c r="F1438" s="434" t="str">
        <f t="shared" si="726"/>
        <v/>
      </c>
      <c r="G1438" s="435" t="str">
        <f t="shared" si="726"/>
        <v/>
      </c>
      <c r="H1438" s="435" t="str">
        <f t="shared" si="726"/>
        <v/>
      </c>
      <c r="I1438" s="436" t="str">
        <f t="shared" si="726"/>
        <v/>
      </c>
      <c r="J1438" s="437">
        <f>SUMIFS(PRODUCTION[KG],PRODUCTION[GRADE],"3X50",PRODUCTION[DATE],B1438,PRODUCTION[BATCH],C1438,PRODUCTION[SHIFT],D1438)</f>
        <v>0</v>
      </c>
      <c r="K1438" s="438" t="s">
        <v>1414</v>
      </c>
      <c r="L1438" s="443"/>
      <c r="M1438" s="440"/>
      <c r="N1438" s="441"/>
      <c r="O1438" s="441"/>
      <c r="P1438" s="442"/>
      <c r="Q1438" s="443"/>
      <c r="R1438" s="440"/>
      <c r="S1438" s="440"/>
      <c r="T1438" s="440"/>
      <c r="U1438" s="440"/>
      <c r="V1438" s="440"/>
      <c r="W1438" s="440"/>
      <c r="X1438" s="440"/>
      <c r="Y1438" s="444">
        <f t="shared" si="17"/>
        <v>0</v>
      </c>
      <c r="Z1438" s="445"/>
      <c r="AA1438" s="446">
        <f t="shared" ref="AA1438:AE1438" si="727">$J1438*E1438</f>
        <v>0</v>
      </c>
      <c r="AB1438" s="447">
        <f t="shared" si="727"/>
        <v>0</v>
      </c>
      <c r="AC1438" s="447">
        <f t="shared" si="727"/>
        <v>0</v>
      </c>
      <c r="AD1438" s="447">
        <f t="shared" si="727"/>
        <v>0</v>
      </c>
      <c r="AE1438" s="448">
        <f t="shared" si="727"/>
        <v>0</v>
      </c>
      <c r="AF1438" s="449"/>
      <c r="AG1438" s="449"/>
      <c r="AH1438" s="449"/>
    </row>
    <row r="1439" ht="11.25" customHeight="1">
      <c r="A1439" s="450"/>
      <c r="B1439" s="451"/>
      <c r="C1439" s="452"/>
      <c r="D1439" s="452"/>
      <c r="E1439" s="453"/>
      <c r="F1439" s="453"/>
      <c r="G1439" s="454"/>
      <c r="H1439" s="454"/>
      <c r="I1439" s="455"/>
      <c r="J1439" s="456"/>
      <c r="K1439" s="457" t="s">
        <v>1416</v>
      </c>
      <c r="L1439" s="458"/>
      <c r="M1439" s="459"/>
      <c r="N1439" s="460"/>
      <c r="O1439" s="460"/>
      <c r="P1439" s="461"/>
      <c r="Q1439" s="458"/>
      <c r="R1439" s="459"/>
      <c r="S1439" s="459"/>
      <c r="T1439" s="459"/>
      <c r="U1439" s="459"/>
      <c r="V1439" s="459"/>
      <c r="W1439" s="459"/>
      <c r="X1439" s="459"/>
      <c r="Y1439" s="462">
        <f t="shared" si="17"/>
        <v>0</v>
      </c>
      <c r="Z1439" s="463"/>
      <c r="AA1439" s="464"/>
      <c r="AB1439" s="465"/>
      <c r="AC1439" s="465"/>
      <c r="AD1439" s="465"/>
      <c r="AE1439" s="466"/>
      <c r="AF1439" s="449"/>
      <c r="AG1439" s="449"/>
      <c r="AH1439" s="449"/>
    </row>
    <row r="1440" ht="11.25" customHeight="1">
      <c r="A1440" s="450"/>
      <c r="B1440" s="451"/>
      <c r="C1440" s="452"/>
      <c r="D1440" s="452"/>
      <c r="E1440" s="453"/>
      <c r="F1440" s="453"/>
      <c r="G1440" s="454"/>
      <c r="H1440" s="454"/>
      <c r="I1440" s="455"/>
      <c r="J1440" s="456"/>
      <c r="K1440" s="467" t="s">
        <v>1417</v>
      </c>
      <c r="L1440" s="468"/>
      <c r="M1440" s="469"/>
      <c r="N1440" s="470"/>
      <c r="O1440" s="470"/>
      <c r="P1440" s="471"/>
      <c r="Q1440" s="468"/>
      <c r="R1440" s="469"/>
      <c r="S1440" s="469"/>
      <c r="T1440" s="469"/>
      <c r="U1440" s="469"/>
      <c r="V1440" s="469"/>
      <c r="W1440" s="469"/>
      <c r="X1440" s="469"/>
      <c r="Y1440" s="462">
        <f t="shared" si="17"/>
        <v>0</v>
      </c>
      <c r="Z1440" s="463"/>
      <c r="AA1440" s="464"/>
      <c r="AB1440" s="465"/>
      <c r="AC1440" s="465"/>
      <c r="AD1440" s="465"/>
      <c r="AE1440" s="466"/>
      <c r="AF1440" s="449"/>
      <c r="AG1440" s="449"/>
      <c r="AH1440" s="449"/>
    </row>
    <row r="1441" ht="11.25" customHeight="1">
      <c r="A1441" s="450"/>
      <c r="B1441" s="472"/>
      <c r="C1441" s="473"/>
      <c r="D1441" s="473"/>
      <c r="E1441" s="474"/>
      <c r="F1441" s="474"/>
      <c r="G1441" s="475"/>
      <c r="H1441" s="475"/>
      <c r="I1441" s="476"/>
      <c r="J1441" s="477"/>
      <c r="K1441" s="478" t="s">
        <v>1418</v>
      </c>
      <c r="L1441" s="479"/>
      <c r="M1441" s="480"/>
      <c r="N1441" s="481"/>
      <c r="O1441" s="481"/>
      <c r="P1441" s="482"/>
      <c r="Q1441" s="479"/>
      <c r="R1441" s="480"/>
      <c r="S1441" s="480"/>
      <c r="T1441" s="480"/>
      <c r="U1441" s="480"/>
      <c r="V1441" s="480"/>
      <c r="W1441" s="480"/>
      <c r="X1441" s="480"/>
      <c r="Y1441" s="483">
        <f t="shared" si="17"/>
        <v>0</v>
      </c>
      <c r="Z1441" s="484"/>
      <c r="AA1441" s="485"/>
      <c r="AB1441" s="486"/>
      <c r="AC1441" s="486"/>
      <c r="AD1441" s="486"/>
      <c r="AE1441" s="487"/>
      <c r="AF1441" s="449"/>
      <c r="AG1441" s="449"/>
      <c r="AH1441" s="449"/>
    </row>
    <row r="1442" ht="11.25" customHeight="1">
      <c r="A1442" s="431" t="str">
        <f>IF(B1442="","", YEAR(B1442))</f>
        <v/>
      </c>
      <c r="B1442" s="432"/>
      <c r="C1442" s="433"/>
      <c r="D1442" s="433"/>
      <c r="E1442" s="434" t="str">
        <f t="shared" ref="E1442:I1442" si="728">IFERROR(AVERAGE(L1442:L1445),"")</f>
        <v/>
      </c>
      <c r="F1442" s="434" t="str">
        <f t="shared" si="728"/>
        <v/>
      </c>
      <c r="G1442" s="435" t="str">
        <f t="shared" si="728"/>
        <v/>
      </c>
      <c r="H1442" s="435" t="str">
        <f t="shared" si="728"/>
        <v/>
      </c>
      <c r="I1442" s="436" t="str">
        <f t="shared" si="728"/>
        <v/>
      </c>
      <c r="J1442" s="437">
        <f>SUMIFS(PRODUCTION[KG],PRODUCTION[GRADE],"3X50",PRODUCTION[DATE],B1442,PRODUCTION[BATCH],C1442,PRODUCTION[SHIFT],D1442)</f>
        <v>0</v>
      </c>
      <c r="K1442" s="438" t="s">
        <v>1414</v>
      </c>
      <c r="L1442" s="443"/>
      <c r="M1442" s="440"/>
      <c r="N1442" s="441"/>
      <c r="O1442" s="441"/>
      <c r="P1442" s="442"/>
      <c r="Q1442" s="443"/>
      <c r="R1442" s="440"/>
      <c r="S1442" s="440"/>
      <c r="T1442" s="440"/>
      <c r="U1442" s="440"/>
      <c r="V1442" s="440"/>
      <c r="W1442" s="440"/>
      <c r="X1442" s="440"/>
      <c r="Y1442" s="444">
        <f t="shared" si="17"/>
        <v>0</v>
      </c>
      <c r="Z1442" s="445"/>
      <c r="AA1442" s="446">
        <f t="shared" ref="AA1442:AE1442" si="729">$J1442*E1442</f>
        <v>0</v>
      </c>
      <c r="AB1442" s="447">
        <f t="shared" si="729"/>
        <v>0</v>
      </c>
      <c r="AC1442" s="447">
        <f t="shared" si="729"/>
        <v>0</v>
      </c>
      <c r="AD1442" s="447">
        <f t="shared" si="729"/>
        <v>0</v>
      </c>
      <c r="AE1442" s="448">
        <f t="shared" si="729"/>
        <v>0</v>
      </c>
      <c r="AF1442" s="449"/>
      <c r="AG1442" s="449"/>
      <c r="AH1442" s="449"/>
    </row>
    <row r="1443" ht="11.25" customHeight="1">
      <c r="A1443" s="450"/>
      <c r="B1443" s="451"/>
      <c r="C1443" s="452"/>
      <c r="D1443" s="452"/>
      <c r="E1443" s="453"/>
      <c r="F1443" s="453"/>
      <c r="G1443" s="454"/>
      <c r="H1443" s="454"/>
      <c r="I1443" s="455"/>
      <c r="J1443" s="456"/>
      <c r="K1443" s="457" t="s">
        <v>1416</v>
      </c>
      <c r="L1443" s="458"/>
      <c r="M1443" s="459"/>
      <c r="N1443" s="460"/>
      <c r="O1443" s="460"/>
      <c r="P1443" s="461"/>
      <c r="Q1443" s="458"/>
      <c r="R1443" s="459"/>
      <c r="S1443" s="459"/>
      <c r="T1443" s="459"/>
      <c r="U1443" s="459"/>
      <c r="V1443" s="459"/>
      <c r="W1443" s="459"/>
      <c r="X1443" s="459"/>
      <c r="Y1443" s="462">
        <f t="shared" si="17"/>
        <v>0</v>
      </c>
      <c r="Z1443" s="463"/>
      <c r="AA1443" s="464"/>
      <c r="AB1443" s="465"/>
      <c r="AC1443" s="465"/>
      <c r="AD1443" s="465"/>
      <c r="AE1443" s="466"/>
      <c r="AF1443" s="449"/>
      <c r="AG1443" s="449"/>
      <c r="AH1443" s="449"/>
    </row>
    <row r="1444" ht="11.25" customHeight="1">
      <c r="A1444" s="450"/>
      <c r="B1444" s="451"/>
      <c r="C1444" s="452"/>
      <c r="D1444" s="452"/>
      <c r="E1444" s="453"/>
      <c r="F1444" s="453"/>
      <c r="G1444" s="454"/>
      <c r="H1444" s="454"/>
      <c r="I1444" s="455"/>
      <c r="J1444" s="456"/>
      <c r="K1444" s="467" t="s">
        <v>1417</v>
      </c>
      <c r="L1444" s="468"/>
      <c r="M1444" s="469"/>
      <c r="N1444" s="470"/>
      <c r="O1444" s="470"/>
      <c r="P1444" s="471"/>
      <c r="Q1444" s="468"/>
      <c r="R1444" s="469"/>
      <c r="S1444" s="469"/>
      <c r="T1444" s="469"/>
      <c r="U1444" s="469"/>
      <c r="V1444" s="469"/>
      <c r="W1444" s="469"/>
      <c r="X1444" s="469"/>
      <c r="Y1444" s="462">
        <f t="shared" si="17"/>
        <v>0</v>
      </c>
      <c r="Z1444" s="463"/>
      <c r="AA1444" s="464"/>
      <c r="AB1444" s="465"/>
      <c r="AC1444" s="465"/>
      <c r="AD1444" s="465"/>
      <c r="AE1444" s="466"/>
      <c r="AF1444" s="449"/>
      <c r="AG1444" s="449"/>
      <c r="AH1444" s="449"/>
    </row>
    <row r="1445" ht="11.25" customHeight="1">
      <c r="A1445" s="450"/>
      <c r="B1445" s="472"/>
      <c r="C1445" s="473"/>
      <c r="D1445" s="473"/>
      <c r="E1445" s="474"/>
      <c r="F1445" s="474"/>
      <c r="G1445" s="475"/>
      <c r="H1445" s="475"/>
      <c r="I1445" s="476"/>
      <c r="J1445" s="477"/>
      <c r="K1445" s="478" t="s">
        <v>1418</v>
      </c>
      <c r="L1445" s="479"/>
      <c r="M1445" s="480"/>
      <c r="N1445" s="481"/>
      <c r="O1445" s="481"/>
      <c r="P1445" s="482"/>
      <c r="Q1445" s="479"/>
      <c r="R1445" s="480"/>
      <c r="S1445" s="480"/>
      <c r="T1445" s="480"/>
      <c r="U1445" s="480"/>
      <c r="V1445" s="480"/>
      <c r="W1445" s="480"/>
      <c r="X1445" s="480"/>
      <c r="Y1445" s="483">
        <f t="shared" si="17"/>
        <v>0</v>
      </c>
      <c r="Z1445" s="484"/>
      <c r="AA1445" s="485"/>
      <c r="AB1445" s="486"/>
      <c r="AC1445" s="486"/>
      <c r="AD1445" s="486"/>
      <c r="AE1445" s="487"/>
      <c r="AF1445" s="449"/>
      <c r="AG1445" s="449"/>
      <c r="AH1445" s="449"/>
    </row>
    <row r="1446" ht="11.25" customHeight="1">
      <c r="A1446" s="431" t="str">
        <f>IF(B1446="","", YEAR(B1446))</f>
        <v/>
      </c>
      <c r="B1446" s="432"/>
      <c r="C1446" s="433"/>
      <c r="D1446" s="433"/>
      <c r="E1446" s="434" t="str">
        <f t="shared" ref="E1446:I1446" si="730">IFERROR(AVERAGE(L1446:L1449),"")</f>
        <v/>
      </c>
      <c r="F1446" s="434" t="str">
        <f t="shared" si="730"/>
        <v/>
      </c>
      <c r="G1446" s="435" t="str">
        <f t="shared" si="730"/>
        <v/>
      </c>
      <c r="H1446" s="435" t="str">
        <f t="shared" si="730"/>
        <v/>
      </c>
      <c r="I1446" s="436" t="str">
        <f t="shared" si="730"/>
        <v/>
      </c>
      <c r="J1446" s="437">
        <f>SUMIFS(PRODUCTION[KG],PRODUCTION[GRADE],"3X50",PRODUCTION[DATE],B1446,PRODUCTION[BATCH],C1446,PRODUCTION[SHIFT],D1446)</f>
        <v>0</v>
      </c>
      <c r="K1446" s="438" t="s">
        <v>1414</v>
      </c>
      <c r="L1446" s="443"/>
      <c r="M1446" s="440"/>
      <c r="N1446" s="441"/>
      <c r="O1446" s="441"/>
      <c r="P1446" s="442"/>
      <c r="Q1446" s="443"/>
      <c r="R1446" s="440"/>
      <c r="S1446" s="440"/>
      <c r="T1446" s="440"/>
      <c r="U1446" s="440"/>
      <c r="V1446" s="440"/>
      <c r="W1446" s="440"/>
      <c r="X1446" s="440"/>
      <c r="Y1446" s="444">
        <f t="shared" si="17"/>
        <v>0</v>
      </c>
      <c r="Z1446" s="445"/>
      <c r="AA1446" s="446">
        <f t="shared" ref="AA1446:AE1446" si="731">$J1446*E1446</f>
        <v>0</v>
      </c>
      <c r="AB1446" s="447">
        <f t="shared" si="731"/>
        <v>0</v>
      </c>
      <c r="AC1446" s="447">
        <f t="shared" si="731"/>
        <v>0</v>
      </c>
      <c r="AD1446" s="447">
        <f t="shared" si="731"/>
        <v>0</v>
      </c>
      <c r="AE1446" s="448">
        <f t="shared" si="731"/>
        <v>0</v>
      </c>
      <c r="AF1446" s="449"/>
      <c r="AG1446" s="449"/>
      <c r="AH1446" s="449"/>
    </row>
    <row r="1447" ht="11.25" customHeight="1">
      <c r="A1447" s="450"/>
      <c r="B1447" s="451"/>
      <c r="C1447" s="452"/>
      <c r="D1447" s="452"/>
      <c r="E1447" s="453"/>
      <c r="F1447" s="453"/>
      <c r="G1447" s="454"/>
      <c r="H1447" s="454"/>
      <c r="I1447" s="455"/>
      <c r="J1447" s="456"/>
      <c r="K1447" s="457" t="s">
        <v>1416</v>
      </c>
      <c r="L1447" s="458"/>
      <c r="M1447" s="459"/>
      <c r="N1447" s="460"/>
      <c r="O1447" s="460"/>
      <c r="P1447" s="461"/>
      <c r="Q1447" s="458"/>
      <c r="R1447" s="459"/>
      <c r="S1447" s="459"/>
      <c r="T1447" s="459"/>
      <c r="U1447" s="459"/>
      <c r="V1447" s="459"/>
      <c r="W1447" s="459"/>
      <c r="X1447" s="459"/>
      <c r="Y1447" s="462">
        <f t="shared" si="17"/>
        <v>0</v>
      </c>
      <c r="Z1447" s="463"/>
      <c r="AA1447" s="464"/>
      <c r="AB1447" s="465"/>
      <c r="AC1447" s="465"/>
      <c r="AD1447" s="465"/>
      <c r="AE1447" s="466"/>
      <c r="AF1447" s="449"/>
      <c r="AG1447" s="449"/>
      <c r="AH1447" s="449"/>
    </row>
    <row r="1448" ht="11.25" customHeight="1">
      <c r="A1448" s="450"/>
      <c r="B1448" s="451"/>
      <c r="C1448" s="452"/>
      <c r="D1448" s="452"/>
      <c r="E1448" s="453"/>
      <c r="F1448" s="453"/>
      <c r="G1448" s="454"/>
      <c r="H1448" s="454"/>
      <c r="I1448" s="455"/>
      <c r="J1448" s="456"/>
      <c r="K1448" s="467" t="s">
        <v>1417</v>
      </c>
      <c r="L1448" s="468"/>
      <c r="M1448" s="469"/>
      <c r="N1448" s="470"/>
      <c r="O1448" s="470"/>
      <c r="P1448" s="471"/>
      <c r="Q1448" s="468"/>
      <c r="R1448" s="469"/>
      <c r="S1448" s="469"/>
      <c r="T1448" s="469"/>
      <c r="U1448" s="469"/>
      <c r="V1448" s="469"/>
      <c r="W1448" s="469"/>
      <c r="X1448" s="469"/>
      <c r="Y1448" s="462">
        <f t="shared" si="17"/>
        <v>0</v>
      </c>
      <c r="Z1448" s="463"/>
      <c r="AA1448" s="464"/>
      <c r="AB1448" s="465"/>
      <c r="AC1448" s="465"/>
      <c r="AD1448" s="465"/>
      <c r="AE1448" s="466"/>
      <c r="AF1448" s="449"/>
      <c r="AG1448" s="449"/>
      <c r="AH1448" s="449"/>
    </row>
    <row r="1449" ht="11.25" customHeight="1">
      <c r="A1449" s="450"/>
      <c r="B1449" s="472"/>
      <c r="C1449" s="473"/>
      <c r="D1449" s="473"/>
      <c r="E1449" s="474"/>
      <c r="F1449" s="474"/>
      <c r="G1449" s="475"/>
      <c r="H1449" s="475"/>
      <c r="I1449" s="476"/>
      <c r="J1449" s="477"/>
      <c r="K1449" s="478" t="s">
        <v>1418</v>
      </c>
      <c r="L1449" s="479"/>
      <c r="M1449" s="480"/>
      <c r="N1449" s="481"/>
      <c r="O1449" s="481"/>
      <c r="P1449" s="482"/>
      <c r="Q1449" s="479"/>
      <c r="R1449" s="480"/>
      <c r="S1449" s="480"/>
      <c r="T1449" s="480"/>
      <c r="U1449" s="480"/>
      <c r="V1449" s="480"/>
      <c r="W1449" s="480"/>
      <c r="X1449" s="480"/>
      <c r="Y1449" s="483">
        <f t="shared" si="17"/>
        <v>0</v>
      </c>
      <c r="Z1449" s="484"/>
      <c r="AA1449" s="485"/>
      <c r="AB1449" s="486"/>
      <c r="AC1449" s="486"/>
      <c r="AD1449" s="486"/>
      <c r="AE1449" s="487"/>
      <c r="AF1449" s="449"/>
      <c r="AG1449" s="449"/>
      <c r="AH1449" s="449"/>
    </row>
    <row r="1450" ht="11.25" customHeight="1">
      <c r="A1450" s="431" t="str">
        <f>IF(B1450="","", YEAR(B1450))</f>
        <v/>
      </c>
      <c r="B1450" s="432"/>
      <c r="C1450" s="433"/>
      <c r="D1450" s="433"/>
      <c r="E1450" s="434" t="str">
        <f t="shared" ref="E1450:I1450" si="732">IFERROR(AVERAGE(L1450:L1453),"")</f>
        <v/>
      </c>
      <c r="F1450" s="434" t="str">
        <f t="shared" si="732"/>
        <v/>
      </c>
      <c r="G1450" s="435" t="str">
        <f t="shared" si="732"/>
        <v/>
      </c>
      <c r="H1450" s="435" t="str">
        <f t="shared" si="732"/>
        <v/>
      </c>
      <c r="I1450" s="436" t="str">
        <f t="shared" si="732"/>
        <v/>
      </c>
      <c r="J1450" s="437">
        <f>SUMIFS(PRODUCTION[KG],PRODUCTION[GRADE],"3X50",PRODUCTION[DATE],B1450,PRODUCTION[BATCH],C1450,PRODUCTION[SHIFT],D1450)</f>
        <v>0</v>
      </c>
      <c r="K1450" s="438" t="s">
        <v>1414</v>
      </c>
      <c r="L1450" s="443"/>
      <c r="M1450" s="440"/>
      <c r="N1450" s="441"/>
      <c r="O1450" s="441"/>
      <c r="P1450" s="442"/>
      <c r="Q1450" s="443"/>
      <c r="R1450" s="440"/>
      <c r="S1450" s="440"/>
      <c r="T1450" s="440"/>
      <c r="U1450" s="440"/>
      <c r="V1450" s="440"/>
      <c r="W1450" s="440"/>
      <c r="X1450" s="440"/>
      <c r="Y1450" s="444">
        <f t="shared" si="17"/>
        <v>0</v>
      </c>
      <c r="Z1450" s="445"/>
      <c r="AA1450" s="446">
        <f t="shared" ref="AA1450:AE1450" si="733">$J1450*E1450</f>
        <v>0</v>
      </c>
      <c r="AB1450" s="447">
        <f t="shared" si="733"/>
        <v>0</v>
      </c>
      <c r="AC1450" s="447">
        <f t="shared" si="733"/>
        <v>0</v>
      </c>
      <c r="AD1450" s="447">
        <f t="shared" si="733"/>
        <v>0</v>
      </c>
      <c r="AE1450" s="448">
        <f t="shared" si="733"/>
        <v>0</v>
      </c>
      <c r="AF1450" s="449"/>
      <c r="AG1450" s="449"/>
      <c r="AH1450" s="449"/>
    </row>
    <row r="1451" ht="11.25" customHeight="1">
      <c r="A1451" s="450"/>
      <c r="B1451" s="451"/>
      <c r="C1451" s="452"/>
      <c r="D1451" s="452"/>
      <c r="E1451" s="453"/>
      <c r="F1451" s="453"/>
      <c r="G1451" s="454"/>
      <c r="H1451" s="454"/>
      <c r="I1451" s="455"/>
      <c r="J1451" s="456"/>
      <c r="K1451" s="457" t="s">
        <v>1416</v>
      </c>
      <c r="L1451" s="458"/>
      <c r="M1451" s="459"/>
      <c r="N1451" s="460"/>
      <c r="O1451" s="460"/>
      <c r="P1451" s="461"/>
      <c r="Q1451" s="458"/>
      <c r="R1451" s="459"/>
      <c r="S1451" s="459"/>
      <c r="T1451" s="459"/>
      <c r="U1451" s="459"/>
      <c r="V1451" s="459"/>
      <c r="W1451" s="459"/>
      <c r="X1451" s="459"/>
      <c r="Y1451" s="462">
        <f t="shared" si="17"/>
        <v>0</v>
      </c>
      <c r="Z1451" s="463"/>
      <c r="AA1451" s="464"/>
      <c r="AB1451" s="465"/>
      <c r="AC1451" s="465"/>
      <c r="AD1451" s="465"/>
      <c r="AE1451" s="466"/>
      <c r="AF1451" s="449"/>
      <c r="AG1451" s="449"/>
      <c r="AH1451" s="449"/>
    </row>
    <row r="1452" ht="11.25" customHeight="1">
      <c r="A1452" s="450"/>
      <c r="B1452" s="451"/>
      <c r="C1452" s="452"/>
      <c r="D1452" s="452"/>
      <c r="E1452" s="453"/>
      <c r="F1452" s="453"/>
      <c r="G1452" s="454"/>
      <c r="H1452" s="454"/>
      <c r="I1452" s="455"/>
      <c r="J1452" s="456"/>
      <c r="K1452" s="467" t="s">
        <v>1417</v>
      </c>
      <c r="L1452" s="468"/>
      <c r="M1452" s="469"/>
      <c r="N1452" s="470"/>
      <c r="O1452" s="470"/>
      <c r="P1452" s="471"/>
      <c r="Q1452" s="468"/>
      <c r="R1452" s="469"/>
      <c r="S1452" s="469"/>
      <c r="T1452" s="469"/>
      <c r="U1452" s="469"/>
      <c r="V1452" s="469"/>
      <c r="W1452" s="469"/>
      <c r="X1452" s="469"/>
      <c r="Y1452" s="462">
        <f t="shared" si="17"/>
        <v>0</v>
      </c>
      <c r="Z1452" s="463"/>
      <c r="AA1452" s="464"/>
      <c r="AB1452" s="465"/>
      <c r="AC1452" s="465"/>
      <c r="AD1452" s="465"/>
      <c r="AE1452" s="466"/>
      <c r="AF1452" s="449"/>
      <c r="AG1452" s="449"/>
      <c r="AH1452" s="449"/>
    </row>
    <row r="1453" ht="11.25" customHeight="1">
      <c r="A1453" s="450"/>
      <c r="B1453" s="472"/>
      <c r="C1453" s="473"/>
      <c r="D1453" s="473"/>
      <c r="E1453" s="474"/>
      <c r="F1453" s="474"/>
      <c r="G1453" s="475"/>
      <c r="H1453" s="475"/>
      <c r="I1453" s="476"/>
      <c r="J1453" s="477"/>
      <c r="K1453" s="478" t="s">
        <v>1418</v>
      </c>
      <c r="L1453" s="479"/>
      <c r="M1453" s="480"/>
      <c r="N1453" s="481"/>
      <c r="O1453" s="481"/>
      <c r="P1453" s="482"/>
      <c r="Q1453" s="479"/>
      <c r="R1453" s="480"/>
      <c r="S1453" s="480"/>
      <c r="T1453" s="480"/>
      <c r="U1453" s="480"/>
      <c r="V1453" s="480"/>
      <c r="W1453" s="480"/>
      <c r="X1453" s="480"/>
      <c r="Y1453" s="483">
        <f t="shared" si="17"/>
        <v>0</v>
      </c>
      <c r="Z1453" s="484"/>
      <c r="AA1453" s="485"/>
      <c r="AB1453" s="486"/>
      <c r="AC1453" s="486"/>
      <c r="AD1453" s="486"/>
      <c r="AE1453" s="487"/>
      <c r="AF1453" s="449"/>
      <c r="AG1453" s="449"/>
      <c r="AH1453" s="449"/>
    </row>
    <row r="1454" ht="11.25" customHeight="1">
      <c r="A1454" s="431" t="str">
        <f>IF(B1454="","", YEAR(B1454))</f>
        <v/>
      </c>
      <c r="B1454" s="432"/>
      <c r="C1454" s="433"/>
      <c r="D1454" s="433"/>
      <c r="E1454" s="434" t="str">
        <f t="shared" ref="E1454:I1454" si="734">IFERROR(AVERAGE(L1454:L1457),"")</f>
        <v/>
      </c>
      <c r="F1454" s="434" t="str">
        <f t="shared" si="734"/>
        <v/>
      </c>
      <c r="G1454" s="435" t="str">
        <f t="shared" si="734"/>
        <v/>
      </c>
      <c r="H1454" s="435" t="str">
        <f t="shared" si="734"/>
        <v/>
      </c>
      <c r="I1454" s="436" t="str">
        <f t="shared" si="734"/>
        <v/>
      </c>
      <c r="J1454" s="437">
        <f>SUMIFS(PRODUCTION[KG],PRODUCTION[GRADE],"3X50",PRODUCTION[DATE],B1454,PRODUCTION[BATCH],C1454,PRODUCTION[SHIFT],D1454)</f>
        <v>0</v>
      </c>
      <c r="K1454" s="438" t="s">
        <v>1414</v>
      </c>
      <c r="L1454" s="443"/>
      <c r="M1454" s="440"/>
      <c r="N1454" s="441"/>
      <c r="O1454" s="441"/>
      <c r="P1454" s="442"/>
      <c r="Q1454" s="443"/>
      <c r="R1454" s="440"/>
      <c r="S1454" s="440"/>
      <c r="T1454" s="440"/>
      <c r="U1454" s="440"/>
      <c r="V1454" s="440"/>
      <c r="W1454" s="440"/>
      <c r="X1454" s="440"/>
      <c r="Y1454" s="444">
        <f t="shared" si="17"/>
        <v>0</v>
      </c>
      <c r="Z1454" s="445"/>
      <c r="AA1454" s="446">
        <f t="shared" ref="AA1454:AE1454" si="735">$J1454*E1454</f>
        <v>0</v>
      </c>
      <c r="AB1454" s="447">
        <f t="shared" si="735"/>
        <v>0</v>
      </c>
      <c r="AC1454" s="447">
        <f t="shared" si="735"/>
        <v>0</v>
      </c>
      <c r="AD1454" s="447">
        <f t="shared" si="735"/>
        <v>0</v>
      </c>
      <c r="AE1454" s="448">
        <f t="shared" si="735"/>
        <v>0</v>
      </c>
      <c r="AF1454" s="449"/>
      <c r="AG1454" s="449"/>
      <c r="AH1454" s="449"/>
    </row>
    <row r="1455" ht="11.25" customHeight="1">
      <c r="A1455" s="450"/>
      <c r="B1455" s="451"/>
      <c r="C1455" s="452"/>
      <c r="D1455" s="452"/>
      <c r="E1455" s="453"/>
      <c r="F1455" s="453"/>
      <c r="G1455" s="454"/>
      <c r="H1455" s="454"/>
      <c r="I1455" s="455"/>
      <c r="J1455" s="456"/>
      <c r="K1455" s="457" t="s">
        <v>1416</v>
      </c>
      <c r="L1455" s="458"/>
      <c r="M1455" s="459"/>
      <c r="N1455" s="460"/>
      <c r="O1455" s="460"/>
      <c r="P1455" s="461"/>
      <c r="Q1455" s="458"/>
      <c r="R1455" s="459"/>
      <c r="S1455" s="459"/>
      <c r="T1455" s="459"/>
      <c r="U1455" s="459"/>
      <c r="V1455" s="459"/>
      <c r="W1455" s="459"/>
      <c r="X1455" s="459"/>
      <c r="Y1455" s="462">
        <f t="shared" si="17"/>
        <v>0</v>
      </c>
      <c r="Z1455" s="463"/>
      <c r="AA1455" s="464"/>
      <c r="AB1455" s="465"/>
      <c r="AC1455" s="465"/>
      <c r="AD1455" s="465"/>
      <c r="AE1455" s="466"/>
      <c r="AF1455" s="449"/>
      <c r="AG1455" s="449"/>
      <c r="AH1455" s="449"/>
    </row>
    <row r="1456" ht="11.25" customHeight="1">
      <c r="A1456" s="450"/>
      <c r="B1456" s="451"/>
      <c r="C1456" s="452"/>
      <c r="D1456" s="452"/>
      <c r="E1456" s="453"/>
      <c r="F1456" s="453"/>
      <c r="G1456" s="454"/>
      <c r="H1456" s="454"/>
      <c r="I1456" s="455"/>
      <c r="J1456" s="456"/>
      <c r="K1456" s="467" t="s">
        <v>1417</v>
      </c>
      <c r="L1456" s="468"/>
      <c r="M1456" s="469"/>
      <c r="N1456" s="470"/>
      <c r="O1456" s="470"/>
      <c r="P1456" s="471"/>
      <c r="Q1456" s="468"/>
      <c r="R1456" s="469"/>
      <c r="S1456" s="469"/>
      <c r="T1456" s="469"/>
      <c r="U1456" s="469"/>
      <c r="V1456" s="469"/>
      <c r="W1456" s="469"/>
      <c r="X1456" s="469"/>
      <c r="Y1456" s="462">
        <f t="shared" si="17"/>
        <v>0</v>
      </c>
      <c r="Z1456" s="463"/>
      <c r="AA1456" s="464"/>
      <c r="AB1456" s="465"/>
      <c r="AC1456" s="465"/>
      <c r="AD1456" s="465"/>
      <c r="AE1456" s="466"/>
      <c r="AF1456" s="449"/>
      <c r="AG1456" s="449"/>
      <c r="AH1456" s="449"/>
    </row>
    <row r="1457" ht="11.25" customHeight="1">
      <c r="A1457" s="450"/>
      <c r="B1457" s="472"/>
      <c r="C1457" s="473"/>
      <c r="D1457" s="473"/>
      <c r="E1457" s="474"/>
      <c r="F1457" s="474"/>
      <c r="G1457" s="475"/>
      <c r="H1457" s="475"/>
      <c r="I1457" s="476"/>
      <c r="J1457" s="477"/>
      <c r="K1457" s="478" t="s">
        <v>1418</v>
      </c>
      <c r="L1457" s="479"/>
      <c r="M1457" s="480"/>
      <c r="N1457" s="481"/>
      <c r="O1457" s="481"/>
      <c r="P1457" s="482"/>
      <c r="Q1457" s="479"/>
      <c r="R1457" s="480"/>
      <c r="S1457" s="480"/>
      <c r="T1457" s="480"/>
      <c r="U1457" s="480"/>
      <c r="V1457" s="480"/>
      <c r="W1457" s="480"/>
      <c r="X1457" s="480"/>
      <c r="Y1457" s="483">
        <f t="shared" si="17"/>
        <v>0</v>
      </c>
      <c r="Z1457" s="484"/>
      <c r="AA1457" s="485"/>
      <c r="AB1457" s="486"/>
      <c r="AC1457" s="486"/>
      <c r="AD1457" s="486"/>
      <c r="AE1457" s="487"/>
      <c r="AF1457" s="449"/>
      <c r="AG1457" s="449"/>
      <c r="AH1457" s="449"/>
    </row>
    <row r="1458" ht="11.25" customHeight="1">
      <c r="A1458" s="431" t="str">
        <f>IF(B1458="","", YEAR(B1458))</f>
        <v/>
      </c>
      <c r="B1458" s="432"/>
      <c r="C1458" s="433"/>
      <c r="D1458" s="433"/>
      <c r="E1458" s="434" t="str">
        <f t="shared" ref="E1458:I1458" si="736">IFERROR(AVERAGE(L1458:L1461),"")</f>
        <v/>
      </c>
      <c r="F1458" s="434" t="str">
        <f t="shared" si="736"/>
        <v/>
      </c>
      <c r="G1458" s="435" t="str">
        <f t="shared" si="736"/>
        <v/>
      </c>
      <c r="H1458" s="435" t="str">
        <f t="shared" si="736"/>
        <v/>
      </c>
      <c r="I1458" s="436" t="str">
        <f t="shared" si="736"/>
        <v/>
      </c>
      <c r="J1458" s="437">
        <f>SUMIFS(PRODUCTION[KG],PRODUCTION[GRADE],"3X50",PRODUCTION[DATE],B1458,PRODUCTION[BATCH],C1458,PRODUCTION[SHIFT],D1458)</f>
        <v>0</v>
      </c>
      <c r="K1458" s="438" t="s">
        <v>1414</v>
      </c>
      <c r="L1458" s="443"/>
      <c r="M1458" s="440"/>
      <c r="N1458" s="441"/>
      <c r="O1458" s="441"/>
      <c r="P1458" s="442"/>
      <c r="Q1458" s="443"/>
      <c r="R1458" s="440"/>
      <c r="S1458" s="440"/>
      <c r="T1458" s="440"/>
      <c r="U1458" s="440"/>
      <c r="V1458" s="440"/>
      <c r="W1458" s="440"/>
      <c r="X1458" s="440"/>
      <c r="Y1458" s="444">
        <f t="shared" si="17"/>
        <v>0</v>
      </c>
      <c r="Z1458" s="445"/>
      <c r="AA1458" s="446">
        <f t="shared" ref="AA1458:AE1458" si="737">$J1458*E1458</f>
        <v>0</v>
      </c>
      <c r="AB1458" s="447">
        <f t="shared" si="737"/>
        <v>0</v>
      </c>
      <c r="AC1458" s="447">
        <f t="shared" si="737"/>
        <v>0</v>
      </c>
      <c r="AD1458" s="447">
        <f t="shared" si="737"/>
        <v>0</v>
      </c>
      <c r="AE1458" s="448">
        <f t="shared" si="737"/>
        <v>0</v>
      </c>
      <c r="AF1458" s="449"/>
      <c r="AG1458" s="449"/>
      <c r="AH1458" s="449"/>
    </row>
    <row r="1459" ht="11.25" customHeight="1">
      <c r="A1459" s="450"/>
      <c r="B1459" s="451"/>
      <c r="C1459" s="452"/>
      <c r="D1459" s="452"/>
      <c r="E1459" s="453"/>
      <c r="F1459" s="453"/>
      <c r="G1459" s="454"/>
      <c r="H1459" s="454"/>
      <c r="I1459" s="455"/>
      <c r="J1459" s="456"/>
      <c r="K1459" s="457" t="s">
        <v>1416</v>
      </c>
      <c r="L1459" s="458"/>
      <c r="M1459" s="459"/>
      <c r="N1459" s="460"/>
      <c r="O1459" s="460"/>
      <c r="P1459" s="461"/>
      <c r="Q1459" s="458"/>
      <c r="R1459" s="459"/>
      <c r="S1459" s="459"/>
      <c r="T1459" s="459"/>
      <c r="U1459" s="459"/>
      <c r="V1459" s="459"/>
      <c r="W1459" s="459"/>
      <c r="X1459" s="459"/>
      <c r="Y1459" s="462">
        <f t="shared" si="17"/>
        <v>0</v>
      </c>
      <c r="Z1459" s="463"/>
      <c r="AA1459" s="464"/>
      <c r="AB1459" s="465"/>
      <c r="AC1459" s="465"/>
      <c r="AD1459" s="465"/>
      <c r="AE1459" s="466"/>
      <c r="AF1459" s="449"/>
      <c r="AG1459" s="449"/>
      <c r="AH1459" s="449"/>
    </row>
    <row r="1460" ht="11.25" customHeight="1">
      <c r="A1460" s="450"/>
      <c r="B1460" s="451"/>
      <c r="C1460" s="452"/>
      <c r="D1460" s="452"/>
      <c r="E1460" s="453"/>
      <c r="F1460" s="453"/>
      <c r="G1460" s="454"/>
      <c r="H1460" s="454"/>
      <c r="I1460" s="455"/>
      <c r="J1460" s="456"/>
      <c r="K1460" s="467" t="s">
        <v>1417</v>
      </c>
      <c r="L1460" s="468"/>
      <c r="M1460" s="469"/>
      <c r="N1460" s="470"/>
      <c r="O1460" s="470"/>
      <c r="P1460" s="471"/>
      <c r="Q1460" s="468"/>
      <c r="R1460" s="469"/>
      <c r="S1460" s="469"/>
      <c r="T1460" s="469"/>
      <c r="U1460" s="469"/>
      <c r="V1460" s="469"/>
      <c r="W1460" s="469"/>
      <c r="X1460" s="469"/>
      <c r="Y1460" s="462">
        <f t="shared" si="17"/>
        <v>0</v>
      </c>
      <c r="Z1460" s="463"/>
      <c r="AA1460" s="464"/>
      <c r="AB1460" s="465"/>
      <c r="AC1460" s="465"/>
      <c r="AD1460" s="465"/>
      <c r="AE1460" s="466"/>
      <c r="AF1460" s="449"/>
      <c r="AG1460" s="449"/>
      <c r="AH1460" s="449"/>
    </row>
    <row r="1461" ht="11.25" customHeight="1">
      <c r="A1461" s="450"/>
      <c r="B1461" s="472"/>
      <c r="C1461" s="473"/>
      <c r="D1461" s="473"/>
      <c r="E1461" s="474"/>
      <c r="F1461" s="474"/>
      <c r="G1461" s="475"/>
      <c r="H1461" s="475"/>
      <c r="I1461" s="476"/>
      <c r="J1461" s="477"/>
      <c r="K1461" s="478" t="s">
        <v>1418</v>
      </c>
      <c r="L1461" s="479"/>
      <c r="M1461" s="480"/>
      <c r="N1461" s="481"/>
      <c r="O1461" s="481"/>
      <c r="P1461" s="482"/>
      <c r="Q1461" s="479"/>
      <c r="R1461" s="480"/>
      <c r="S1461" s="480"/>
      <c r="T1461" s="480"/>
      <c r="U1461" s="480"/>
      <c r="V1461" s="480"/>
      <c r="W1461" s="480"/>
      <c r="X1461" s="480"/>
      <c r="Y1461" s="483">
        <f t="shared" si="17"/>
        <v>0</v>
      </c>
      <c r="Z1461" s="484"/>
      <c r="AA1461" s="485"/>
      <c r="AB1461" s="486"/>
      <c r="AC1461" s="486"/>
      <c r="AD1461" s="486"/>
      <c r="AE1461" s="487"/>
      <c r="AF1461" s="449"/>
      <c r="AG1461" s="449"/>
      <c r="AH1461" s="449"/>
    </row>
    <row r="1462" ht="11.25" customHeight="1">
      <c r="A1462" s="431" t="str">
        <f>IF(B1462="","", YEAR(B1462))</f>
        <v/>
      </c>
      <c r="B1462" s="432"/>
      <c r="C1462" s="433"/>
      <c r="D1462" s="433"/>
      <c r="E1462" s="434" t="str">
        <f t="shared" ref="E1462:I1462" si="738">IFERROR(AVERAGE(L1462:L1465),"")</f>
        <v/>
      </c>
      <c r="F1462" s="434" t="str">
        <f t="shared" si="738"/>
        <v/>
      </c>
      <c r="G1462" s="435" t="str">
        <f t="shared" si="738"/>
        <v/>
      </c>
      <c r="H1462" s="435" t="str">
        <f t="shared" si="738"/>
        <v/>
      </c>
      <c r="I1462" s="436" t="str">
        <f t="shared" si="738"/>
        <v/>
      </c>
      <c r="J1462" s="437">
        <f>SUMIFS(PRODUCTION[KG],PRODUCTION[GRADE],"3X50",PRODUCTION[DATE],B1462,PRODUCTION[BATCH],C1462,PRODUCTION[SHIFT],D1462)</f>
        <v>0</v>
      </c>
      <c r="K1462" s="438" t="s">
        <v>1414</v>
      </c>
      <c r="L1462" s="443"/>
      <c r="M1462" s="440"/>
      <c r="N1462" s="441"/>
      <c r="O1462" s="441"/>
      <c r="P1462" s="442"/>
      <c r="Q1462" s="443"/>
      <c r="R1462" s="440"/>
      <c r="S1462" s="440"/>
      <c r="T1462" s="440"/>
      <c r="U1462" s="440"/>
      <c r="V1462" s="440"/>
      <c r="W1462" s="440"/>
      <c r="X1462" s="440"/>
      <c r="Y1462" s="444">
        <f t="shared" si="17"/>
        <v>0</v>
      </c>
      <c r="Z1462" s="445"/>
      <c r="AA1462" s="446">
        <f t="shared" ref="AA1462:AE1462" si="739">$J1462*E1462</f>
        <v>0</v>
      </c>
      <c r="AB1462" s="447">
        <f t="shared" si="739"/>
        <v>0</v>
      </c>
      <c r="AC1462" s="447">
        <f t="shared" si="739"/>
        <v>0</v>
      </c>
      <c r="AD1462" s="447">
        <f t="shared" si="739"/>
        <v>0</v>
      </c>
      <c r="AE1462" s="448">
        <f t="shared" si="739"/>
        <v>0</v>
      </c>
      <c r="AF1462" s="449"/>
      <c r="AG1462" s="449"/>
      <c r="AH1462" s="449"/>
    </row>
    <row r="1463" ht="11.25" customHeight="1">
      <c r="A1463" s="450"/>
      <c r="B1463" s="451"/>
      <c r="C1463" s="452"/>
      <c r="D1463" s="452"/>
      <c r="E1463" s="453"/>
      <c r="F1463" s="453"/>
      <c r="G1463" s="454"/>
      <c r="H1463" s="454"/>
      <c r="I1463" s="455"/>
      <c r="J1463" s="456"/>
      <c r="K1463" s="457" t="s">
        <v>1416</v>
      </c>
      <c r="L1463" s="458"/>
      <c r="M1463" s="459"/>
      <c r="N1463" s="460"/>
      <c r="O1463" s="460"/>
      <c r="P1463" s="461"/>
      <c r="Q1463" s="458"/>
      <c r="R1463" s="459"/>
      <c r="S1463" s="459"/>
      <c r="T1463" s="459"/>
      <c r="U1463" s="459"/>
      <c r="V1463" s="459"/>
      <c r="W1463" s="459"/>
      <c r="X1463" s="459"/>
      <c r="Y1463" s="462">
        <f t="shared" si="17"/>
        <v>0</v>
      </c>
      <c r="Z1463" s="463"/>
      <c r="AA1463" s="464"/>
      <c r="AB1463" s="465"/>
      <c r="AC1463" s="465"/>
      <c r="AD1463" s="465"/>
      <c r="AE1463" s="466"/>
      <c r="AF1463" s="449"/>
      <c r="AG1463" s="449"/>
      <c r="AH1463" s="449"/>
    </row>
    <row r="1464" ht="11.25" customHeight="1">
      <c r="A1464" s="450"/>
      <c r="B1464" s="451"/>
      <c r="C1464" s="452"/>
      <c r="D1464" s="452"/>
      <c r="E1464" s="453"/>
      <c r="F1464" s="453"/>
      <c r="G1464" s="454"/>
      <c r="H1464" s="454"/>
      <c r="I1464" s="455"/>
      <c r="J1464" s="456"/>
      <c r="K1464" s="467" t="s">
        <v>1417</v>
      </c>
      <c r="L1464" s="468"/>
      <c r="M1464" s="469"/>
      <c r="N1464" s="470"/>
      <c r="O1464" s="470"/>
      <c r="P1464" s="471"/>
      <c r="Q1464" s="468"/>
      <c r="R1464" s="469"/>
      <c r="S1464" s="469"/>
      <c r="T1464" s="469"/>
      <c r="U1464" s="469"/>
      <c r="V1464" s="469"/>
      <c r="W1464" s="469"/>
      <c r="X1464" s="469"/>
      <c r="Y1464" s="462">
        <f t="shared" si="17"/>
        <v>0</v>
      </c>
      <c r="Z1464" s="463"/>
      <c r="AA1464" s="464"/>
      <c r="AB1464" s="465"/>
      <c r="AC1464" s="465"/>
      <c r="AD1464" s="465"/>
      <c r="AE1464" s="466"/>
      <c r="AF1464" s="449"/>
      <c r="AG1464" s="449"/>
      <c r="AH1464" s="449"/>
    </row>
    <row r="1465" ht="11.25" customHeight="1">
      <c r="A1465" s="450"/>
      <c r="B1465" s="472"/>
      <c r="C1465" s="473"/>
      <c r="D1465" s="473"/>
      <c r="E1465" s="474"/>
      <c r="F1465" s="474"/>
      <c r="G1465" s="475"/>
      <c r="H1465" s="475"/>
      <c r="I1465" s="476"/>
      <c r="J1465" s="477"/>
      <c r="K1465" s="478" t="s">
        <v>1418</v>
      </c>
      <c r="L1465" s="479"/>
      <c r="M1465" s="480"/>
      <c r="N1465" s="481"/>
      <c r="O1465" s="481"/>
      <c r="P1465" s="482"/>
      <c r="Q1465" s="479"/>
      <c r="R1465" s="480"/>
      <c r="S1465" s="480"/>
      <c r="T1465" s="480"/>
      <c r="U1465" s="480"/>
      <c r="V1465" s="480"/>
      <c r="W1465" s="480"/>
      <c r="X1465" s="480"/>
      <c r="Y1465" s="483">
        <f t="shared" si="17"/>
        <v>0</v>
      </c>
      <c r="Z1465" s="484"/>
      <c r="AA1465" s="485"/>
      <c r="AB1465" s="486"/>
      <c r="AC1465" s="486"/>
      <c r="AD1465" s="486"/>
      <c r="AE1465" s="487"/>
      <c r="AF1465" s="449"/>
      <c r="AG1465" s="449"/>
      <c r="AH1465" s="449"/>
    </row>
    <row r="1466" ht="11.25" customHeight="1">
      <c r="A1466" s="431" t="str">
        <f>IF(B1466="","", YEAR(B1466))</f>
        <v/>
      </c>
      <c r="B1466" s="432"/>
      <c r="C1466" s="433"/>
      <c r="D1466" s="433"/>
      <c r="E1466" s="434" t="str">
        <f t="shared" ref="E1466:I1466" si="740">IFERROR(AVERAGE(L1466:L1469),"")</f>
        <v/>
      </c>
      <c r="F1466" s="434" t="str">
        <f t="shared" si="740"/>
        <v/>
      </c>
      <c r="G1466" s="435" t="str">
        <f t="shared" si="740"/>
        <v/>
      </c>
      <c r="H1466" s="435" t="str">
        <f t="shared" si="740"/>
        <v/>
      </c>
      <c r="I1466" s="436" t="str">
        <f t="shared" si="740"/>
        <v/>
      </c>
      <c r="J1466" s="437">
        <f>SUMIFS(PRODUCTION[KG],PRODUCTION[GRADE],"3X50",PRODUCTION[DATE],B1466,PRODUCTION[BATCH],C1466,PRODUCTION[SHIFT],D1466)</f>
        <v>0</v>
      </c>
      <c r="K1466" s="438" t="s">
        <v>1414</v>
      </c>
      <c r="L1466" s="443"/>
      <c r="M1466" s="440"/>
      <c r="N1466" s="441"/>
      <c r="O1466" s="441"/>
      <c r="P1466" s="442"/>
      <c r="Q1466" s="443"/>
      <c r="R1466" s="440"/>
      <c r="S1466" s="440"/>
      <c r="T1466" s="440"/>
      <c r="U1466" s="440"/>
      <c r="V1466" s="440"/>
      <c r="W1466" s="440"/>
      <c r="X1466" s="440"/>
      <c r="Y1466" s="444">
        <f t="shared" si="17"/>
        <v>0</v>
      </c>
      <c r="Z1466" s="445"/>
      <c r="AA1466" s="446">
        <f t="shared" ref="AA1466:AE1466" si="741">$J1466*E1466</f>
        <v>0</v>
      </c>
      <c r="AB1466" s="447">
        <f t="shared" si="741"/>
        <v>0</v>
      </c>
      <c r="AC1466" s="447">
        <f t="shared" si="741"/>
        <v>0</v>
      </c>
      <c r="AD1466" s="447">
        <f t="shared" si="741"/>
        <v>0</v>
      </c>
      <c r="AE1466" s="448">
        <f t="shared" si="741"/>
        <v>0</v>
      </c>
      <c r="AF1466" s="449"/>
      <c r="AG1466" s="449"/>
      <c r="AH1466" s="449"/>
    </row>
    <row r="1467" ht="11.25" customHeight="1">
      <c r="A1467" s="450"/>
      <c r="B1467" s="451"/>
      <c r="C1467" s="452"/>
      <c r="D1467" s="452"/>
      <c r="E1467" s="453"/>
      <c r="F1467" s="453"/>
      <c r="G1467" s="454"/>
      <c r="H1467" s="454"/>
      <c r="I1467" s="455"/>
      <c r="J1467" s="456"/>
      <c r="K1467" s="457" t="s">
        <v>1416</v>
      </c>
      <c r="L1467" s="458"/>
      <c r="M1467" s="459"/>
      <c r="N1467" s="460"/>
      <c r="O1467" s="460"/>
      <c r="P1467" s="461"/>
      <c r="Q1467" s="458"/>
      <c r="R1467" s="459"/>
      <c r="S1467" s="459"/>
      <c r="T1467" s="459"/>
      <c r="U1467" s="459"/>
      <c r="V1467" s="459"/>
      <c r="W1467" s="459"/>
      <c r="X1467" s="459"/>
      <c r="Y1467" s="462">
        <f t="shared" si="17"/>
        <v>0</v>
      </c>
      <c r="Z1467" s="463"/>
      <c r="AA1467" s="464"/>
      <c r="AB1467" s="465"/>
      <c r="AC1467" s="465"/>
      <c r="AD1467" s="465"/>
      <c r="AE1467" s="466"/>
      <c r="AF1467" s="449"/>
      <c r="AG1467" s="449"/>
      <c r="AH1467" s="449"/>
    </row>
    <row r="1468" ht="11.25" customHeight="1">
      <c r="A1468" s="450"/>
      <c r="B1468" s="451"/>
      <c r="C1468" s="452"/>
      <c r="D1468" s="452"/>
      <c r="E1468" s="453"/>
      <c r="F1468" s="453"/>
      <c r="G1468" s="454"/>
      <c r="H1468" s="454"/>
      <c r="I1468" s="455"/>
      <c r="J1468" s="456"/>
      <c r="K1468" s="467" t="s">
        <v>1417</v>
      </c>
      <c r="L1468" s="468"/>
      <c r="M1468" s="469"/>
      <c r="N1468" s="470"/>
      <c r="O1468" s="470"/>
      <c r="P1468" s="471"/>
      <c r="Q1468" s="468"/>
      <c r="R1468" s="469"/>
      <c r="S1468" s="469"/>
      <c r="T1468" s="469"/>
      <c r="U1468" s="469"/>
      <c r="V1468" s="469"/>
      <c r="W1468" s="469"/>
      <c r="X1468" s="469"/>
      <c r="Y1468" s="462">
        <f t="shared" si="17"/>
        <v>0</v>
      </c>
      <c r="Z1468" s="463"/>
      <c r="AA1468" s="464"/>
      <c r="AB1468" s="465"/>
      <c r="AC1468" s="465"/>
      <c r="AD1468" s="465"/>
      <c r="AE1468" s="466"/>
      <c r="AF1468" s="449"/>
      <c r="AG1468" s="449"/>
      <c r="AH1468" s="449"/>
    </row>
    <row r="1469" ht="11.25" customHeight="1">
      <c r="A1469" s="450"/>
      <c r="B1469" s="472"/>
      <c r="C1469" s="473"/>
      <c r="D1469" s="473"/>
      <c r="E1469" s="474"/>
      <c r="F1469" s="474"/>
      <c r="G1469" s="475"/>
      <c r="H1469" s="475"/>
      <c r="I1469" s="476"/>
      <c r="J1469" s="477"/>
      <c r="K1469" s="478" t="s">
        <v>1418</v>
      </c>
      <c r="L1469" s="479"/>
      <c r="M1469" s="480"/>
      <c r="N1469" s="481"/>
      <c r="O1469" s="481"/>
      <c r="P1469" s="482"/>
      <c r="Q1469" s="479"/>
      <c r="R1469" s="480"/>
      <c r="S1469" s="480"/>
      <c r="T1469" s="480"/>
      <c r="U1469" s="480"/>
      <c r="V1469" s="480"/>
      <c r="W1469" s="480"/>
      <c r="X1469" s="480"/>
      <c r="Y1469" s="483">
        <f t="shared" si="17"/>
        <v>0</v>
      </c>
      <c r="Z1469" s="484"/>
      <c r="AA1469" s="485"/>
      <c r="AB1469" s="486"/>
      <c r="AC1469" s="486"/>
      <c r="AD1469" s="486"/>
      <c r="AE1469" s="487"/>
      <c r="AF1469" s="449"/>
      <c r="AG1469" s="449"/>
      <c r="AH1469" s="449"/>
    </row>
    <row r="1470" ht="11.25" customHeight="1">
      <c r="A1470" s="431" t="str">
        <f>IF(B1470="","", YEAR(B1470))</f>
        <v/>
      </c>
      <c r="B1470" s="432"/>
      <c r="C1470" s="433"/>
      <c r="D1470" s="433"/>
      <c r="E1470" s="434" t="str">
        <f t="shared" ref="E1470:I1470" si="742">IFERROR(AVERAGE(L1470:L1473),"")</f>
        <v/>
      </c>
      <c r="F1470" s="434" t="str">
        <f t="shared" si="742"/>
        <v/>
      </c>
      <c r="G1470" s="435" t="str">
        <f t="shared" si="742"/>
        <v/>
      </c>
      <c r="H1470" s="435" t="str">
        <f t="shared" si="742"/>
        <v/>
      </c>
      <c r="I1470" s="436" t="str">
        <f t="shared" si="742"/>
        <v/>
      </c>
      <c r="J1470" s="437">
        <f>SUMIFS(PRODUCTION[KG],PRODUCTION[GRADE],"3X50",PRODUCTION[DATE],B1470,PRODUCTION[BATCH],C1470,PRODUCTION[SHIFT],D1470)</f>
        <v>0</v>
      </c>
      <c r="K1470" s="438" t="s">
        <v>1414</v>
      </c>
      <c r="L1470" s="443"/>
      <c r="M1470" s="440"/>
      <c r="N1470" s="441"/>
      <c r="O1470" s="441"/>
      <c r="P1470" s="442"/>
      <c r="Q1470" s="443"/>
      <c r="R1470" s="440"/>
      <c r="S1470" s="440"/>
      <c r="T1470" s="440"/>
      <c r="U1470" s="440"/>
      <c r="V1470" s="440"/>
      <c r="W1470" s="440"/>
      <c r="X1470" s="440"/>
      <c r="Y1470" s="444">
        <f t="shared" si="17"/>
        <v>0</v>
      </c>
      <c r="Z1470" s="445"/>
      <c r="AA1470" s="446">
        <f t="shared" ref="AA1470:AE1470" si="743">$J1470*E1470</f>
        <v>0</v>
      </c>
      <c r="AB1470" s="447">
        <f t="shared" si="743"/>
        <v>0</v>
      </c>
      <c r="AC1470" s="447">
        <f t="shared" si="743"/>
        <v>0</v>
      </c>
      <c r="AD1470" s="447">
        <f t="shared" si="743"/>
        <v>0</v>
      </c>
      <c r="AE1470" s="448">
        <f t="shared" si="743"/>
        <v>0</v>
      </c>
      <c r="AF1470" s="449"/>
      <c r="AG1470" s="449"/>
      <c r="AH1470" s="449"/>
    </row>
    <row r="1471" ht="11.25" customHeight="1">
      <c r="A1471" s="450"/>
      <c r="B1471" s="451"/>
      <c r="C1471" s="452"/>
      <c r="D1471" s="452"/>
      <c r="E1471" s="453"/>
      <c r="F1471" s="453"/>
      <c r="G1471" s="454"/>
      <c r="H1471" s="454"/>
      <c r="I1471" s="455"/>
      <c r="J1471" s="456"/>
      <c r="K1471" s="457" t="s">
        <v>1416</v>
      </c>
      <c r="L1471" s="458"/>
      <c r="M1471" s="459"/>
      <c r="N1471" s="460"/>
      <c r="O1471" s="460"/>
      <c r="P1471" s="461"/>
      <c r="Q1471" s="458"/>
      <c r="R1471" s="459"/>
      <c r="S1471" s="459"/>
      <c r="T1471" s="459"/>
      <c r="U1471" s="459"/>
      <c r="V1471" s="459"/>
      <c r="W1471" s="459"/>
      <c r="X1471" s="459"/>
      <c r="Y1471" s="462">
        <f t="shared" si="17"/>
        <v>0</v>
      </c>
      <c r="Z1471" s="463"/>
      <c r="AA1471" s="464"/>
      <c r="AB1471" s="465"/>
      <c r="AC1471" s="465"/>
      <c r="AD1471" s="465"/>
      <c r="AE1471" s="466"/>
      <c r="AF1471" s="449"/>
      <c r="AG1471" s="449"/>
      <c r="AH1471" s="449"/>
    </row>
    <row r="1472" ht="11.25" customHeight="1">
      <c r="A1472" s="450"/>
      <c r="B1472" s="451"/>
      <c r="C1472" s="452"/>
      <c r="D1472" s="452"/>
      <c r="E1472" s="453"/>
      <c r="F1472" s="453"/>
      <c r="G1472" s="454"/>
      <c r="H1472" s="454"/>
      <c r="I1472" s="455"/>
      <c r="J1472" s="456"/>
      <c r="K1472" s="467" t="s">
        <v>1417</v>
      </c>
      <c r="L1472" s="468"/>
      <c r="M1472" s="469"/>
      <c r="N1472" s="470"/>
      <c r="O1472" s="470"/>
      <c r="P1472" s="471"/>
      <c r="Q1472" s="468"/>
      <c r="R1472" s="469"/>
      <c r="S1472" s="469"/>
      <c r="T1472" s="469"/>
      <c r="U1472" s="469"/>
      <c r="V1472" s="469"/>
      <c r="W1472" s="469"/>
      <c r="X1472" s="469"/>
      <c r="Y1472" s="462">
        <f t="shared" si="17"/>
        <v>0</v>
      </c>
      <c r="Z1472" s="463"/>
      <c r="AA1472" s="464"/>
      <c r="AB1472" s="465"/>
      <c r="AC1472" s="465"/>
      <c r="AD1472" s="465"/>
      <c r="AE1472" s="466"/>
      <c r="AF1472" s="449"/>
      <c r="AG1472" s="449"/>
      <c r="AH1472" s="449"/>
    </row>
    <row r="1473" ht="11.25" customHeight="1">
      <c r="A1473" s="450"/>
      <c r="B1473" s="472"/>
      <c r="C1473" s="473"/>
      <c r="D1473" s="473"/>
      <c r="E1473" s="474"/>
      <c r="F1473" s="474"/>
      <c r="G1473" s="475"/>
      <c r="H1473" s="475"/>
      <c r="I1473" s="476"/>
      <c r="J1473" s="477"/>
      <c r="K1473" s="478" t="s">
        <v>1418</v>
      </c>
      <c r="L1473" s="479"/>
      <c r="M1473" s="480"/>
      <c r="N1473" s="481"/>
      <c r="O1473" s="481"/>
      <c r="P1473" s="482"/>
      <c r="Q1473" s="479"/>
      <c r="R1473" s="480"/>
      <c r="S1473" s="480"/>
      <c r="T1473" s="480"/>
      <c r="U1473" s="480"/>
      <c r="V1473" s="480"/>
      <c r="W1473" s="480"/>
      <c r="X1473" s="480"/>
      <c r="Y1473" s="483">
        <f t="shared" si="17"/>
        <v>0</v>
      </c>
      <c r="Z1473" s="484"/>
      <c r="AA1473" s="485"/>
      <c r="AB1473" s="486"/>
      <c r="AC1473" s="486"/>
      <c r="AD1473" s="486"/>
      <c r="AE1473" s="487"/>
      <c r="AF1473" s="449"/>
      <c r="AG1473" s="449"/>
      <c r="AH1473" s="449"/>
    </row>
    <row r="1474" ht="11.25" customHeight="1">
      <c r="A1474" s="431" t="str">
        <f>IF(B1474="","", YEAR(B1474))</f>
        <v/>
      </c>
      <c r="B1474" s="432"/>
      <c r="C1474" s="433"/>
      <c r="D1474" s="433"/>
      <c r="E1474" s="434" t="str">
        <f t="shared" ref="E1474:I1474" si="744">IFERROR(AVERAGE(L1474:L1477),"")</f>
        <v/>
      </c>
      <c r="F1474" s="434" t="str">
        <f t="shared" si="744"/>
        <v/>
      </c>
      <c r="G1474" s="435" t="str">
        <f t="shared" si="744"/>
        <v/>
      </c>
      <c r="H1474" s="435" t="str">
        <f t="shared" si="744"/>
        <v/>
      </c>
      <c r="I1474" s="436" t="str">
        <f t="shared" si="744"/>
        <v/>
      </c>
      <c r="J1474" s="437">
        <f>SUMIFS(PRODUCTION[KG],PRODUCTION[GRADE],"3X50",PRODUCTION[DATE],B1474,PRODUCTION[BATCH],C1474,PRODUCTION[SHIFT],D1474)</f>
        <v>0</v>
      </c>
      <c r="K1474" s="438" t="s">
        <v>1414</v>
      </c>
      <c r="L1474" s="443"/>
      <c r="M1474" s="440"/>
      <c r="N1474" s="441"/>
      <c r="O1474" s="441"/>
      <c r="P1474" s="442"/>
      <c r="Q1474" s="443"/>
      <c r="R1474" s="440"/>
      <c r="S1474" s="440"/>
      <c r="T1474" s="440"/>
      <c r="U1474" s="440"/>
      <c r="V1474" s="440"/>
      <c r="W1474" s="440"/>
      <c r="X1474" s="440"/>
      <c r="Y1474" s="444">
        <f t="shared" si="17"/>
        <v>0</v>
      </c>
      <c r="Z1474" s="445"/>
      <c r="AA1474" s="446">
        <f t="shared" ref="AA1474:AE1474" si="745">$J1474*E1474</f>
        <v>0</v>
      </c>
      <c r="AB1474" s="447">
        <f t="shared" si="745"/>
        <v>0</v>
      </c>
      <c r="AC1474" s="447">
        <f t="shared" si="745"/>
        <v>0</v>
      </c>
      <c r="AD1474" s="447">
        <f t="shared" si="745"/>
        <v>0</v>
      </c>
      <c r="AE1474" s="448">
        <f t="shared" si="745"/>
        <v>0</v>
      </c>
      <c r="AF1474" s="449"/>
      <c r="AG1474" s="449"/>
      <c r="AH1474" s="449"/>
    </row>
    <row r="1475" ht="11.25" customHeight="1">
      <c r="A1475" s="450"/>
      <c r="B1475" s="451"/>
      <c r="C1475" s="452"/>
      <c r="D1475" s="452"/>
      <c r="E1475" s="453"/>
      <c r="F1475" s="453"/>
      <c r="G1475" s="454"/>
      <c r="H1475" s="454"/>
      <c r="I1475" s="455"/>
      <c r="J1475" s="456"/>
      <c r="K1475" s="457" t="s">
        <v>1416</v>
      </c>
      <c r="L1475" s="458"/>
      <c r="M1475" s="459"/>
      <c r="N1475" s="460"/>
      <c r="O1475" s="460"/>
      <c r="P1475" s="461"/>
      <c r="Q1475" s="458"/>
      <c r="R1475" s="459"/>
      <c r="S1475" s="459"/>
      <c r="T1475" s="459"/>
      <c r="U1475" s="459"/>
      <c r="V1475" s="459"/>
      <c r="W1475" s="459"/>
      <c r="X1475" s="459"/>
      <c r="Y1475" s="462">
        <f t="shared" si="17"/>
        <v>0</v>
      </c>
      <c r="Z1475" s="463"/>
      <c r="AA1475" s="464"/>
      <c r="AB1475" s="465"/>
      <c r="AC1475" s="465"/>
      <c r="AD1475" s="465"/>
      <c r="AE1475" s="466"/>
      <c r="AF1475" s="449"/>
      <c r="AG1475" s="449"/>
      <c r="AH1475" s="449"/>
    </row>
    <row r="1476" ht="11.25" customHeight="1">
      <c r="A1476" s="450"/>
      <c r="B1476" s="451"/>
      <c r="C1476" s="452"/>
      <c r="D1476" s="452"/>
      <c r="E1476" s="453"/>
      <c r="F1476" s="453"/>
      <c r="G1476" s="454"/>
      <c r="H1476" s="454"/>
      <c r="I1476" s="455"/>
      <c r="J1476" s="456"/>
      <c r="K1476" s="467" t="s">
        <v>1417</v>
      </c>
      <c r="L1476" s="468"/>
      <c r="M1476" s="469"/>
      <c r="N1476" s="470"/>
      <c r="O1476" s="470"/>
      <c r="P1476" s="471"/>
      <c r="Q1476" s="468"/>
      <c r="R1476" s="469"/>
      <c r="S1476" s="469"/>
      <c r="T1476" s="469"/>
      <c r="U1476" s="469"/>
      <c r="V1476" s="469"/>
      <c r="W1476" s="469"/>
      <c r="X1476" s="469"/>
      <c r="Y1476" s="462">
        <f t="shared" si="17"/>
        <v>0</v>
      </c>
      <c r="Z1476" s="463"/>
      <c r="AA1476" s="464"/>
      <c r="AB1476" s="465"/>
      <c r="AC1476" s="465"/>
      <c r="AD1476" s="465"/>
      <c r="AE1476" s="466"/>
      <c r="AF1476" s="449"/>
      <c r="AG1476" s="449"/>
      <c r="AH1476" s="449"/>
    </row>
    <row r="1477" ht="11.25" customHeight="1">
      <c r="A1477" s="450"/>
      <c r="B1477" s="472"/>
      <c r="C1477" s="473"/>
      <c r="D1477" s="473"/>
      <c r="E1477" s="474"/>
      <c r="F1477" s="474"/>
      <c r="G1477" s="475"/>
      <c r="H1477" s="475"/>
      <c r="I1477" s="476"/>
      <c r="J1477" s="477"/>
      <c r="K1477" s="478" t="s">
        <v>1418</v>
      </c>
      <c r="L1477" s="479"/>
      <c r="M1477" s="480"/>
      <c r="N1477" s="481"/>
      <c r="O1477" s="481"/>
      <c r="P1477" s="482"/>
      <c r="Q1477" s="479"/>
      <c r="R1477" s="480"/>
      <c r="S1477" s="480"/>
      <c r="T1477" s="480"/>
      <c r="U1477" s="480"/>
      <c r="V1477" s="480"/>
      <c r="W1477" s="480"/>
      <c r="X1477" s="480"/>
      <c r="Y1477" s="483">
        <f t="shared" si="17"/>
        <v>0</v>
      </c>
      <c r="Z1477" s="484"/>
      <c r="AA1477" s="485"/>
      <c r="AB1477" s="486"/>
      <c r="AC1477" s="486"/>
      <c r="AD1477" s="486"/>
      <c r="AE1477" s="487"/>
      <c r="AF1477" s="449"/>
      <c r="AG1477" s="449"/>
      <c r="AH1477" s="449"/>
    </row>
    <row r="1478" ht="11.25" customHeight="1">
      <c r="A1478" s="431" t="str">
        <f>IF(B1478="","", YEAR(B1478))</f>
        <v/>
      </c>
      <c r="B1478" s="432"/>
      <c r="C1478" s="433"/>
      <c r="D1478" s="433"/>
      <c r="E1478" s="434" t="str">
        <f t="shared" ref="E1478:I1478" si="746">IFERROR(AVERAGE(L1478:L1481),"")</f>
        <v/>
      </c>
      <c r="F1478" s="434" t="str">
        <f t="shared" si="746"/>
        <v/>
      </c>
      <c r="G1478" s="435" t="str">
        <f t="shared" si="746"/>
        <v/>
      </c>
      <c r="H1478" s="435" t="str">
        <f t="shared" si="746"/>
        <v/>
      </c>
      <c r="I1478" s="436" t="str">
        <f t="shared" si="746"/>
        <v/>
      </c>
      <c r="J1478" s="437">
        <f>SUMIFS(PRODUCTION[KG],PRODUCTION[GRADE],"3X50",PRODUCTION[DATE],B1478,PRODUCTION[BATCH],C1478,PRODUCTION[SHIFT],D1478)</f>
        <v>0</v>
      </c>
      <c r="K1478" s="438" t="s">
        <v>1414</v>
      </c>
      <c r="L1478" s="443"/>
      <c r="M1478" s="440"/>
      <c r="N1478" s="441"/>
      <c r="O1478" s="441"/>
      <c r="P1478" s="442"/>
      <c r="Q1478" s="443"/>
      <c r="R1478" s="440"/>
      <c r="S1478" s="440"/>
      <c r="T1478" s="440"/>
      <c r="U1478" s="440"/>
      <c r="V1478" s="440"/>
      <c r="W1478" s="440"/>
      <c r="X1478" s="440"/>
      <c r="Y1478" s="444">
        <f t="shared" si="17"/>
        <v>0</v>
      </c>
      <c r="Z1478" s="445"/>
      <c r="AA1478" s="446">
        <f t="shared" ref="AA1478:AE1478" si="747">$J1478*E1478</f>
        <v>0</v>
      </c>
      <c r="AB1478" s="447">
        <f t="shared" si="747"/>
        <v>0</v>
      </c>
      <c r="AC1478" s="447">
        <f t="shared" si="747"/>
        <v>0</v>
      </c>
      <c r="AD1478" s="447">
        <f t="shared" si="747"/>
        <v>0</v>
      </c>
      <c r="AE1478" s="448">
        <f t="shared" si="747"/>
        <v>0</v>
      </c>
      <c r="AF1478" s="449"/>
      <c r="AG1478" s="449"/>
      <c r="AH1478" s="449"/>
    </row>
    <row r="1479" ht="11.25" customHeight="1">
      <c r="A1479" s="450"/>
      <c r="B1479" s="451"/>
      <c r="C1479" s="452"/>
      <c r="D1479" s="452"/>
      <c r="E1479" s="453"/>
      <c r="F1479" s="453"/>
      <c r="G1479" s="454"/>
      <c r="H1479" s="454"/>
      <c r="I1479" s="455"/>
      <c r="J1479" s="456"/>
      <c r="K1479" s="457" t="s">
        <v>1416</v>
      </c>
      <c r="L1479" s="458"/>
      <c r="M1479" s="459"/>
      <c r="N1479" s="460"/>
      <c r="O1479" s="460"/>
      <c r="P1479" s="461"/>
      <c r="Q1479" s="458"/>
      <c r="R1479" s="459"/>
      <c r="S1479" s="459"/>
      <c r="T1479" s="459"/>
      <c r="U1479" s="459"/>
      <c r="V1479" s="459"/>
      <c r="W1479" s="459"/>
      <c r="X1479" s="459"/>
      <c r="Y1479" s="462">
        <f t="shared" si="17"/>
        <v>0</v>
      </c>
      <c r="Z1479" s="463"/>
      <c r="AA1479" s="464"/>
      <c r="AB1479" s="465"/>
      <c r="AC1479" s="465"/>
      <c r="AD1479" s="465"/>
      <c r="AE1479" s="466"/>
      <c r="AF1479" s="449"/>
      <c r="AG1479" s="449"/>
      <c r="AH1479" s="449"/>
    </row>
    <row r="1480" ht="11.25" customHeight="1">
      <c r="A1480" s="450"/>
      <c r="B1480" s="451"/>
      <c r="C1480" s="452"/>
      <c r="D1480" s="452"/>
      <c r="E1480" s="453"/>
      <c r="F1480" s="453"/>
      <c r="G1480" s="454"/>
      <c r="H1480" s="454"/>
      <c r="I1480" s="455"/>
      <c r="J1480" s="456"/>
      <c r="K1480" s="467" t="s">
        <v>1417</v>
      </c>
      <c r="L1480" s="468"/>
      <c r="M1480" s="469"/>
      <c r="N1480" s="470"/>
      <c r="O1480" s="470"/>
      <c r="P1480" s="471"/>
      <c r="Q1480" s="468"/>
      <c r="R1480" s="469"/>
      <c r="S1480" s="469"/>
      <c r="T1480" s="469"/>
      <c r="U1480" s="469"/>
      <c r="V1480" s="469"/>
      <c r="W1480" s="469"/>
      <c r="X1480" s="469"/>
      <c r="Y1480" s="462">
        <f t="shared" si="17"/>
        <v>0</v>
      </c>
      <c r="Z1480" s="463"/>
      <c r="AA1480" s="464"/>
      <c r="AB1480" s="465"/>
      <c r="AC1480" s="465"/>
      <c r="AD1480" s="465"/>
      <c r="AE1480" s="466"/>
      <c r="AF1480" s="449"/>
      <c r="AG1480" s="449"/>
      <c r="AH1480" s="449"/>
    </row>
    <row r="1481" ht="11.25" customHeight="1">
      <c r="A1481" s="450"/>
      <c r="B1481" s="472"/>
      <c r="C1481" s="473"/>
      <c r="D1481" s="473"/>
      <c r="E1481" s="474"/>
      <c r="F1481" s="474"/>
      <c r="G1481" s="475"/>
      <c r="H1481" s="475"/>
      <c r="I1481" s="476"/>
      <c r="J1481" s="477"/>
      <c r="K1481" s="478" t="s">
        <v>1418</v>
      </c>
      <c r="L1481" s="479"/>
      <c r="M1481" s="480"/>
      <c r="N1481" s="481"/>
      <c r="O1481" s="481"/>
      <c r="P1481" s="482"/>
      <c r="Q1481" s="479"/>
      <c r="R1481" s="480"/>
      <c r="S1481" s="480"/>
      <c r="T1481" s="480"/>
      <c r="U1481" s="480"/>
      <c r="V1481" s="480"/>
      <c r="W1481" s="480"/>
      <c r="X1481" s="480"/>
      <c r="Y1481" s="483">
        <f t="shared" si="17"/>
        <v>0</v>
      </c>
      <c r="Z1481" s="484"/>
      <c r="AA1481" s="485"/>
      <c r="AB1481" s="486"/>
      <c r="AC1481" s="486"/>
      <c r="AD1481" s="486"/>
      <c r="AE1481" s="487"/>
      <c r="AF1481" s="449"/>
      <c r="AG1481" s="449"/>
      <c r="AH1481" s="449"/>
    </row>
    <row r="1482" ht="11.25" customHeight="1">
      <c r="A1482" s="431" t="str">
        <f>IF(B1482="","", YEAR(B1482))</f>
        <v/>
      </c>
      <c r="B1482" s="432"/>
      <c r="C1482" s="433"/>
      <c r="D1482" s="433"/>
      <c r="E1482" s="434" t="str">
        <f t="shared" ref="E1482:I1482" si="748">IFERROR(AVERAGE(L1482:L1485),"")</f>
        <v/>
      </c>
      <c r="F1482" s="434" t="str">
        <f t="shared" si="748"/>
        <v/>
      </c>
      <c r="G1482" s="435" t="str">
        <f t="shared" si="748"/>
        <v/>
      </c>
      <c r="H1482" s="435" t="str">
        <f t="shared" si="748"/>
        <v/>
      </c>
      <c r="I1482" s="436" t="str">
        <f t="shared" si="748"/>
        <v/>
      </c>
      <c r="J1482" s="437">
        <f>SUMIFS(PRODUCTION[KG],PRODUCTION[GRADE],"3X50",PRODUCTION[DATE],B1482,PRODUCTION[BATCH],C1482,PRODUCTION[SHIFT],D1482)</f>
        <v>0</v>
      </c>
      <c r="K1482" s="438" t="s">
        <v>1414</v>
      </c>
      <c r="L1482" s="443"/>
      <c r="M1482" s="440"/>
      <c r="N1482" s="441"/>
      <c r="O1482" s="441"/>
      <c r="P1482" s="442"/>
      <c r="Q1482" s="443"/>
      <c r="R1482" s="440"/>
      <c r="S1482" s="440"/>
      <c r="T1482" s="440"/>
      <c r="U1482" s="440"/>
      <c r="V1482" s="440"/>
      <c r="W1482" s="440"/>
      <c r="X1482" s="440"/>
      <c r="Y1482" s="444">
        <f t="shared" si="17"/>
        <v>0</v>
      </c>
      <c r="Z1482" s="445"/>
      <c r="AA1482" s="446">
        <f t="shared" ref="AA1482:AE1482" si="749">$J1482*E1482</f>
        <v>0</v>
      </c>
      <c r="AB1482" s="447">
        <f t="shared" si="749"/>
        <v>0</v>
      </c>
      <c r="AC1482" s="447">
        <f t="shared" si="749"/>
        <v>0</v>
      </c>
      <c r="AD1482" s="447">
        <f t="shared" si="749"/>
        <v>0</v>
      </c>
      <c r="AE1482" s="448">
        <f t="shared" si="749"/>
        <v>0</v>
      </c>
      <c r="AF1482" s="449"/>
      <c r="AG1482" s="449"/>
      <c r="AH1482" s="449"/>
    </row>
    <row r="1483" ht="11.25" customHeight="1">
      <c r="A1483" s="450"/>
      <c r="B1483" s="451"/>
      <c r="C1483" s="452"/>
      <c r="D1483" s="452"/>
      <c r="E1483" s="453"/>
      <c r="F1483" s="453"/>
      <c r="G1483" s="454"/>
      <c r="H1483" s="454"/>
      <c r="I1483" s="455"/>
      <c r="J1483" s="456"/>
      <c r="K1483" s="457" t="s">
        <v>1416</v>
      </c>
      <c r="L1483" s="458"/>
      <c r="M1483" s="459"/>
      <c r="N1483" s="460"/>
      <c r="O1483" s="460"/>
      <c r="P1483" s="461"/>
      <c r="Q1483" s="458"/>
      <c r="R1483" s="459"/>
      <c r="S1483" s="459"/>
      <c r="T1483" s="459"/>
      <c r="U1483" s="459"/>
      <c r="V1483" s="459"/>
      <c r="W1483" s="459"/>
      <c r="X1483" s="459"/>
      <c r="Y1483" s="462">
        <f t="shared" si="17"/>
        <v>0</v>
      </c>
      <c r="Z1483" s="463"/>
      <c r="AA1483" s="464"/>
      <c r="AB1483" s="465"/>
      <c r="AC1483" s="465"/>
      <c r="AD1483" s="465"/>
      <c r="AE1483" s="466"/>
      <c r="AF1483" s="449"/>
      <c r="AG1483" s="449"/>
      <c r="AH1483" s="449"/>
    </row>
    <row r="1484" ht="11.25" customHeight="1">
      <c r="A1484" s="450"/>
      <c r="B1484" s="451"/>
      <c r="C1484" s="452"/>
      <c r="D1484" s="452"/>
      <c r="E1484" s="453"/>
      <c r="F1484" s="453"/>
      <c r="G1484" s="454"/>
      <c r="H1484" s="454"/>
      <c r="I1484" s="455"/>
      <c r="J1484" s="456"/>
      <c r="K1484" s="467" t="s">
        <v>1417</v>
      </c>
      <c r="L1484" s="468"/>
      <c r="M1484" s="469"/>
      <c r="N1484" s="470"/>
      <c r="O1484" s="470"/>
      <c r="P1484" s="471"/>
      <c r="Q1484" s="468"/>
      <c r="R1484" s="469"/>
      <c r="S1484" s="469"/>
      <c r="T1484" s="469"/>
      <c r="U1484" s="469"/>
      <c r="V1484" s="469"/>
      <c r="W1484" s="469"/>
      <c r="X1484" s="469"/>
      <c r="Y1484" s="462">
        <f t="shared" si="17"/>
        <v>0</v>
      </c>
      <c r="Z1484" s="463"/>
      <c r="AA1484" s="464"/>
      <c r="AB1484" s="465"/>
      <c r="AC1484" s="465"/>
      <c r="AD1484" s="465"/>
      <c r="AE1484" s="466"/>
      <c r="AF1484" s="449"/>
      <c r="AG1484" s="449"/>
      <c r="AH1484" s="449"/>
    </row>
    <row r="1485" ht="11.25" customHeight="1">
      <c r="A1485" s="450"/>
      <c r="B1485" s="472"/>
      <c r="C1485" s="473"/>
      <c r="D1485" s="473"/>
      <c r="E1485" s="474"/>
      <c r="F1485" s="474"/>
      <c r="G1485" s="475"/>
      <c r="H1485" s="475"/>
      <c r="I1485" s="476"/>
      <c r="J1485" s="477"/>
      <c r="K1485" s="478" t="s">
        <v>1418</v>
      </c>
      <c r="L1485" s="479"/>
      <c r="M1485" s="480"/>
      <c r="N1485" s="481"/>
      <c r="O1485" s="481"/>
      <c r="P1485" s="482"/>
      <c r="Q1485" s="479"/>
      <c r="R1485" s="480"/>
      <c r="S1485" s="480"/>
      <c r="T1485" s="480"/>
      <c r="U1485" s="480"/>
      <c r="V1485" s="480"/>
      <c r="W1485" s="480"/>
      <c r="X1485" s="480"/>
      <c r="Y1485" s="483">
        <f t="shared" si="17"/>
        <v>0</v>
      </c>
      <c r="Z1485" s="484"/>
      <c r="AA1485" s="485"/>
      <c r="AB1485" s="486"/>
      <c r="AC1485" s="486"/>
      <c r="AD1485" s="486"/>
      <c r="AE1485" s="487"/>
      <c r="AF1485" s="449"/>
      <c r="AG1485" s="449"/>
      <c r="AH1485" s="449"/>
    </row>
    <row r="1486" ht="11.25" customHeight="1">
      <c r="A1486" s="431" t="str">
        <f>IF(B1486="","", YEAR(B1486))</f>
        <v/>
      </c>
      <c r="B1486" s="432"/>
      <c r="C1486" s="433"/>
      <c r="D1486" s="433"/>
      <c r="E1486" s="434" t="str">
        <f t="shared" ref="E1486:I1486" si="750">IFERROR(AVERAGE(L1486:L1489),"")</f>
        <v/>
      </c>
      <c r="F1486" s="434" t="str">
        <f t="shared" si="750"/>
        <v/>
      </c>
      <c r="G1486" s="435" t="str">
        <f t="shared" si="750"/>
        <v/>
      </c>
      <c r="H1486" s="435" t="str">
        <f t="shared" si="750"/>
        <v/>
      </c>
      <c r="I1486" s="436" t="str">
        <f t="shared" si="750"/>
        <v/>
      </c>
      <c r="J1486" s="437">
        <f>SUMIFS(PRODUCTION[KG],PRODUCTION[GRADE],"3X50",PRODUCTION[DATE],B1486,PRODUCTION[BATCH],C1486,PRODUCTION[SHIFT],D1486)</f>
        <v>0</v>
      </c>
      <c r="K1486" s="438" t="s">
        <v>1414</v>
      </c>
      <c r="L1486" s="443"/>
      <c r="M1486" s="440"/>
      <c r="N1486" s="441"/>
      <c r="O1486" s="441"/>
      <c r="P1486" s="442"/>
      <c r="Q1486" s="443"/>
      <c r="R1486" s="440"/>
      <c r="S1486" s="440"/>
      <c r="T1486" s="440"/>
      <c r="U1486" s="440"/>
      <c r="V1486" s="440"/>
      <c r="W1486" s="440"/>
      <c r="X1486" s="440"/>
      <c r="Y1486" s="444">
        <f t="shared" si="17"/>
        <v>0</v>
      </c>
      <c r="Z1486" s="445"/>
      <c r="AA1486" s="446">
        <f t="shared" ref="AA1486:AE1486" si="751">$J1486*E1486</f>
        <v>0</v>
      </c>
      <c r="AB1486" s="447">
        <f t="shared" si="751"/>
        <v>0</v>
      </c>
      <c r="AC1486" s="447">
        <f t="shared" si="751"/>
        <v>0</v>
      </c>
      <c r="AD1486" s="447">
        <f t="shared" si="751"/>
        <v>0</v>
      </c>
      <c r="AE1486" s="448">
        <f t="shared" si="751"/>
        <v>0</v>
      </c>
      <c r="AF1486" s="449"/>
      <c r="AG1486" s="449"/>
      <c r="AH1486" s="449"/>
    </row>
    <row r="1487" ht="11.25" customHeight="1">
      <c r="A1487" s="450"/>
      <c r="B1487" s="451"/>
      <c r="C1487" s="452"/>
      <c r="D1487" s="452"/>
      <c r="E1487" s="453"/>
      <c r="F1487" s="453"/>
      <c r="G1487" s="454"/>
      <c r="H1487" s="454"/>
      <c r="I1487" s="455"/>
      <c r="J1487" s="456"/>
      <c r="K1487" s="457" t="s">
        <v>1416</v>
      </c>
      <c r="L1487" s="458"/>
      <c r="M1487" s="459"/>
      <c r="N1487" s="460"/>
      <c r="O1487" s="460"/>
      <c r="P1487" s="461"/>
      <c r="Q1487" s="458"/>
      <c r="R1487" s="459"/>
      <c r="S1487" s="459"/>
      <c r="T1487" s="459"/>
      <c r="U1487" s="459"/>
      <c r="V1487" s="459"/>
      <c r="W1487" s="459"/>
      <c r="X1487" s="459"/>
      <c r="Y1487" s="462">
        <f t="shared" si="17"/>
        <v>0</v>
      </c>
      <c r="Z1487" s="463"/>
      <c r="AA1487" s="464"/>
      <c r="AB1487" s="465"/>
      <c r="AC1487" s="465"/>
      <c r="AD1487" s="465"/>
      <c r="AE1487" s="466"/>
      <c r="AF1487" s="449"/>
      <c r="AG1487" s="449"/>
      <c r="AH1487" s="449"/>
    </row>
    <row r="1488" ht="11.25" customHeight="1">
      <c r="A1488" s="450"/>
      <c r="B1488" s="451"/>
      <c r="C1488" s="452"/>
      <c r="D1488" s="452"/>
      <c r="E1488" s="453"/>
      <c r="F1488" s="453"/>
      <c r="G1488" s="454"/>
      <c r="H1488" s="454"/>
      <c r="I1488" s="455"/>
      <c r="J1488" s="456"/>
      <c r="K1488" s="467" t="s">
        <v>1417</v>
      </c>
      <c r="L1488" s="468"/>
      <c r="M1488" s="469"/>
      <c r="N1488" s="470"/>
      <c r="O1488" s="470"/>
      <c r="P1488" s="471"/>
      <c r="Q1488" s="468"/>
      <c r="R1488" s="469"/>
      <c r="S1488" s="469"/>
      <c r="T1488" s="469"/>
      <c r="U1488" s="469"/>
      <c r="V1488" s="469"/>
      <c r="W1488" s="469"/>
      <c r="X1488" s="469"/>
      <c r="Y1488" s="462">
        <f t="shared" si="17"/>
        <v>0</v>
      </c>
      <c r="Z1488" s="463"/>
      <c r="AA1488" s="464"/>
      <c r="AB1488" s="465"/>
      <c r="AC1488" s="465"/>
      <c r="AD1488" s="465"/>
      <c r="AE1488" s="466"/>
      <c r="AF1488" s="449"/>
      <c r="AG1488" s="449"/>
      <c r="AH1488" s="449"/>
    </row>
    <row r="1489" ht="11.25" customHeight="1">
      <c r="A1489" s="450"/>
      <c r="B1489" s="472"/>
      <c r="C1489" s="473"/>
      <c r="D1489" s="473"/>
      <c r="E1489" s="474"/>
      <c r="F1489" s="474"/>
      <c r="G1489" s="475"/>
      <c r="H1489" s="475"/>
      <c r="I1489" s="476"/>
      <c r="J1489" s="477"/>
      <c r="K1489" s="478" t="s">
        <v>1418</v>
      </c>
      <c r="L1489" s="479"/>
      <c r="M1489" s="480"/>
      <c r="N1489" s="481"/>
      <c r="O1489" s="481"/>
      <c r="P1489" s="482"/>
      <c r="Q1489" s="479"/>
      <c r="R1489" s="480"/>
      <c r="S1489" s="480"/>
      <c r="T1489" s="480"/>
      <c r="U1489" s="480"/>
      <c r="V1489" s="480"/>
      <c r="W1489" s="480"/>
      <c r="X1489" s="480"/>
      <c r="Y1489" s="483">
        <f t="shared" si="17"/>
        <v>0</v>
      </c>
      <c r="Z1489" s="484"/>
      <c r="AA1489" s="485"/>
      <c r="AB1489" s="486"/>
      <c r="AC1489" s="486"/>
      <c r="AD1489" s="486"/>
      <c r="AE1489" s="487"/>
      <c r="AF1489" s="449"/>
      <c r="AG1489" s="449"/>
      <c r="AH1489" s="449"/>
    </row>
    <row r="1490" ht="11.25" customHeight="1">
      <c r="A1490" s="431" t="str">
        <f>IF(B1490="","", YEAR(B1490))</f>
        <v/>
      </c>
      <c r="B1490" s="432"/>
      <c r="C1490" s="433"/>
      <c r="D1490" s="433"/>
      <c r="E1490" s="434" t="str">
        <f t="shared" ref="E1490:I1490" si="752">IFERROR(AVERAGE(L1490:L1493),"")</f>
        <v/>
      </c>
      <c r="F1490" s="434" t="str">
        <f t="shared" si="752"/>
        <v/>
      </c>
      <c r="G1490" s="435" t="str">
        <f t="shared" si="752"/>
        <v/>
      </c>
      <c r="H1490" s="435" t="str">
        <f t="shared" si="752"/>
        <v/>
      </c>
      <c r="I1490" s="436" t="str">
        <f t="shared" si="752"/>
        <v/>
      </c>
      <c r="J1490" s="437">
        <f>SUMIFS(PRODUCTION[KG],PRODUCTION[GRADE],"3X50",PRODUCTION[DATE],B1490,PRODUCTION[BATCH],C1490,PRODUCTION[SHIFT],D1490)</f>
        <v>0</v>
      </c>
      <c r="K1490" s="438" t="s">
        <v>1414</v>
      </c>
      <c r="L1490" s="443"/>
      <c r="M1490" s="440"/>
      <c r="N1490" s="441"/>
      <c r="O1490" s="441"/>
      <c r="P1490" s="442"/>
      <c r="Q1490" s="443"/>
      <c r="R1490" s="440"/>
      <c r="S1490" s="440"/>
      <c r="T1490" s="440"/>
      <c r="U1490" s="440"/>
      <c r="V1490" s="440"/>
      <c r="W1490" s="440"/>
      <c r="X1490" s="440"/>
      <c r="Y1490" s="444">
        <f t="shared" si="17"/>
        <v>0</v>
      </c>
      <c r="Z1490" s="445"/>
      <c r="AA1490" s="446">
        <f t="shared" ref="AA1490:AE1490" si="753">$J1490*E1490</f>
        <v>0</v>
      </c>
      <c r="AB1490" s="447">
        <f t="shared" si="753"/>
        <v>0</v>
      </c>
      <c r="AC1490" s="447">
        <f t="shared" si="753"/>
        <v>0</v>
      </c>
      <c r="AD1490" s="447">
        <f t="shared" si="753"/>
        <v>0</v>
      </c>
      <c r="AE1490" s="448">
        <f t="shared" si="753"/>
        <v>0</v>
      </c>
      <c r="AF1490" s="449"/>
      <c r="AG1490" s="449"/>
      <c r="AH1490" s="449"/>
    </row>
    <row r="1491" ht="11.25" customHeight="1">
      <c r="A1491" s="450"/>
      <c r="B1491" s="451"/>
      <c r="C1491" s="452"/>
      <c r="D1491" s="452"/>
      <c r="E1491" s="453"/>
      <c r="F1491" s="453"/>
      <c r="G1491" s="454"/>
      <c r="H1491" s="454"/>
      <c r="I1491" s="455"/>
      <c r="J1491" s="456"/>
      <c r="K1491" s="457" t="s">
        <v>1416</v>
      </c>
      <c r="L1491" s="458"/>
      <c r="M1491" s="459"/>
      <c r="N1491" s="460"/>
      <c r="O1491" s="460"/>
      <c r="P1491" s="461"/>
      <c r="Q1491" s="458"/>
      <c r="R1491" s="459"/>
      <c r="S1491" s="459"/>
      <c r="T1491" s="459"/>
      <c r="U1491" s="459"/>
      <c r="V1491" s="459"/>
      <c r="W1491" s="459"/>
      <c r="X1491" s="459"/>
      <c r="Y1491" s="462">
        <f t="shared" si="17"/>
        <v>0</v>
      </c>
      <c r="Z1491" s="463"/>
      <c r="AA1491" s="464"/>
      <c r="AB1491" s="465"/>
      <c r="AC1491" s="465"/>
      <c r="AD1491" s="465"/>
      <c r="AE1491" s="466"/>
      <c r="AF1491" s="449"/>
      <c r="AG1491" s="449"/>
      <c r="AH1491" s="449"/>
    </row>
    <row r="1492" ht="11.25" customHeight="1">
      <c r="A1492" s="450"/>
      <c r="B1492" s="451"/>
      <c r="C1492" s="452"/>
      <c r="D1492" s="452"/>
      <c r="E1492" s="453"/>
      <c r="F1492" s="453"/>
      <c r="G1492" s="454"/>
      <c r="H1492" s="454"/>
      <c r="I1492" s="455"/>
      <c r="J1492" s="456"/>
      <c r="K1492" s="467" t="s">
        <v>1417</v>
      </c>
      <c r="L1492" s="468"/>
      <c r="M1492" s="469"/>
      <c r="N1492" s="470"/>
      <c r="O1492" s="470"/>
      <c r="P1492" s="471"/>
      <c r="Q1492" s="468"/>
      <c r="R1492" s="469"/>
      <c r="S1492" s="469"/>
      <c r="T1492" s="469"/>
      <c r="U1492" s="469"/>
      <c r="V1492" s="469"/>
      <c r="W1492" s="469"/>
      <c r="X1492" s="469"/>
      <c r="Y1492" s="462">
        <f t="shared" si="17"/>
        <v>0</v>
      </c>
      <c r="Z1492" s="463"/>
      <c r="AA1492" s="464"/>
      <c r="AB1492" s="465"/>
      <c r="AC1492" s="465"/>
      <c r="AD1492" s="465"/>
      <c r="AE1492" s="466"/>
      <c r="AF1492" s="449"/>
      <c r="AG1492" s="449"/>
      <c r="AH1492" s="449"/>
    </row>
    <row r="1493" ht="11.25" customHeight="1">
      <c r="A1493" s="450"/>
      <c r="B1493" s="472"/>
      <c r="C1493" s="473"/>
      <c r="D1493" s="473"/>
      <c r="E1493" s="474"/>
      <c r="F1493" s="474"/>
      <c r="G1493" s="475"/>
      <c r="H1493" s="475"/>
      <c r="I1493" s="476"/>
      <c r="J1493" s="477"/>
      <c r="K1493" s="478" t="s">
        <v>1418</v>
      </c>
      <c r="L1493" s="479"/>
      <c r="M1493" s="480"/>
      <c r="N1493" s="481"/>
      <c r="O1493" s="481"/>
      <c r="P1493" s="482"/>
      <c r="Q1493" s="479"/>
      <c r="R1493" s="480"/>
      <c r="S1493" s="480"/>
      <c r="T1493" s="480"/>
      <c r="U1493" s="480"/>
      <c r="V1493" s="480"/>
      <c r="W1493" s="480"/>
      <c r="X1493" s="480"/>
      <c r="Y1493" s="483">
        <f t="shared" si="17"/>
        <v>0</v>
      </c>
      <c r="Z1493" s="484"/>
      <c r="AA1493" s="485"/>
      <c r="AB1493" s="486"/>
      <c r="AC1493" s="486"/>
      <c r="AD1493" s="486"/>
      <c r="AE1493" s="487"/>
      <c r="AF1493" s="449"/>
      <c r="AG1493" s="449"/>
      <c r="AH1493" s="449"/>
    </row>
    <row r="1494" ht="11.25" customHeight="1">
      <c r="A1494" s="431" t="str">
        <f>IF(B1494="","", YEAR(B1494))</f>
        <v/>
      </c>
      <c r="B1494" s="432"/>
      <c r="C1494" s="433"/>
      <c r="D1494" s="433"/>
      <c r="E1494" s="434" t="str">
        <f t="shared" ref="E1494:I1494" si="754">IFERROR(AVERAGE(L1494:L1497),"")</f>
        <v/>
      </c>
      <c r="F1494" s="434" t="str">
        <f t="shared" si="754"/>
        <v/>
      </c>
      <c r="G1494" s="435" t="str">
        <f t="shared" si="754"/>
        <v/>
      </c>
      <c r="H1494" s="435" t="str">
        <f t="shared" si="754"/>
        <v/>
      </c>
      <c r="I1494" s="436" t="str">
        <f t="shared" si="754"/>
        <v/>
      </c>
      <c r="J1494" s="437">
        <f>SUMIFS(PRODUCTION[KG],PRODUCTION[GRADE],"3X50",PRODUCTION[DATE],B1494,PRODUCTION[BATCH],C1494,PRODUCTION[SHIFT],D1494)</f>
        <v>0</v>
      </c>
      <c r="K1494" s="438" t="s">
        <v>1414</v>
      </c>
      <c r="L1494" s="443"/>
      <c r="M1494" s="440"/>
      <c r="N1494" s="441"/>
      <c r="O1494" s="441"/>
      <c r="P1494" s="442"/>
      <c r="Q1494" s="443"/>
      <c r="R1494" s="440"/>
      <c r="S1494" s="440"/>
      <c r="T1494" s="440"/>
      <c r="U1494" s="440"/>
      <c r="V1494" s="440"/>
      <c r="W1494" s="440"/>
      <c r="X1494" s="440"/>
      <c r="Y1494" s="444">
        <f t="shared" si="17"/>
        <v>0</v>
      </c>
      <c r="Z1494" s="445"/>
      <c r="AA1494" s="446">
        <f t="shared" ref="AA1494:AE1494" si="755">$J1494*E1494</f>
        <v>0</v>
      </c>
      <c r="AB1494" s="447">
        <f t="shared" si="755"/>
        <v>0</v>
      </c>
      <c r="AC1494" s="447">
        <f t="shared" si="755"/>
        <v>0</v>
      </c>
      <c r="AD1494" s="447">
        <f t="shared" si="755"/>
        <v>0</v>
      </c>
      <c r="AE1494" s="448">
        <f t="shared" si="755"/>
        <v>0</v>
      </c>
      <c r="AF1494" s="449"/>
      <c r="AG1494" s="449"/>
      <c r="AH1494" s="449"/>
    </row>
    <row r="1495" ht="11.25" customHeight="1">
      <c r="A1495" s="450"/>
      <c r="B1495" s="451"/>
      <c r="C1495" s="452"/>
      <c r="D1495" s="452"/>
      <c r="E1495" s="453"/>
      <c r="F1495" s="453"/>
      <c r="G1495" s="454"/>
      <c r="H1495" s="454"/>
      <c r="I1495" s="455"/>
      <c r="J1495" s="456"/>
      <c r="K1495" s="457" t="s">
        <v>1416</v>
      </c>
      <c r="L1495" s="458"/>
      <c r="M1495" s="459"/>
      <c r="N1495" s="460"/>
      <c r="O1495" s="460"/>
      <c r="P1495" s="461"/>
      <c r="Q1495" s="458"/>
      <c r="R1495" s="459"/>
      <c r="S1495" s="459"/>
      <c r="T1495" s="459"/>
      <c r="U1495" s="459"/>
      <c r="V1495" s="459"/>
      <c r="W1495" s="459"/>
      <c r="X1495" s="459"/>
      <c r="Y1495" s="462">
        <f t="shared" si="17"/>
        <v>0</v>
      </c>
      <c r="Z1495" s="463"/>
      <c r="AA1495" s="464"/>
      <c r="AB1495" s="465"/>
      <c r="AC1495" s="465"/>
      <c r="AD1495" s="465"/>
      <c r="AE1495" s="466"/>
      <c r="AF1495" s="449"/>
      <c r="AG1495" s="449"/>
      <c r="AH1495" s="449"/>
    </row>
    <row r="1496" ht="11.25" customHeight="1">
      <c r="A1496" s="450"/>
      <c r="B1496" s="451"/>
      <c r="C1496" s="452"/>
      <c r="D1496" s="452"/>
      <c r="E1496" s="453"/>
      <c r="F1496" s="453"/>
      <c r="G1496" s="454"/>
      <c r="H1496" s="454"/>
      <c r="I1496" s="455"/>
      <c r="J1496" s="456"/>
      <c r="K1496" s="467" t="s">
        <v>1417</v>
      </c>
      <c r="L1496" s="468"/>
      <c r="M1496" s="469"/>
      <c r="N1496" s="470"/>
      <c r="O1496" s="470"/>
      <c r="P1496" s="471"/>
      <c r="Q1496" s="468"/>
      <c r="R1496" s="469"/>
      <c r="S1496" s="469"/>
      <c r="T1496" s="469"/>
      <c r="U1496" s="469"/>
      <c r="V1496" s="469"/>
      <c r="W1496" s="469"/>
      <c r="X1496" s="469"/>
      <c r="Y1496" s="462">
        <f t="shared" si="17"/>
        <v>0</v>
      </c>
      <c r="Z1496" s="463"/>
      <c r="AA1496" s="464"/>
      <c r="AB1496" s="465"/>
      <c r="AC1496" s="465"/>
      <c r="AD1496" s="465"/>
      <c r="AE1496" s="466"/>
      <c r="AF1496" s="449"/>
      <c r="AG1496" s="449"/>
      <c r="AH1496" s="449"/>
    </row>
    <row r="1497" ht="11.25" customHeight="1">
      <c r="A1497" s="450"/>
      <c r="B1497" s="472"/>
      <c r="C1497" s="473"/>
      <c r="D1497" s="473"/>
      <c r="E1497" s="474"/>
      <c r="F1497" s="474"/>
      <c r="G1497" s="475"/>
      <c r="H1497" s="475"/>
      <c r="I1497" s="476"/>
      <c r="J1497" s="477"/>
      <c r="K1497" s="478" t="s">
        <v>1418</v>
      </c>
      <c r="L1497" s="479"/>
      <c r="M1497" s="480"/>
      <c r="N1497" s="481"/>
      <c r="O1497" s="481"/>
      <c r="P1497" s="482"/>
      <c r="Q1497" s="479"/>
      <c r="R1497" s="480"/>
      <c r="S1497" s="480"/>
      <c r="T1497" s="480"/>
      <c r="U1497" s="480"/>
      <c r="V1497" s="480"/>
      <c r="W1497" s="480"/>
      <c r="X1497" s="480"/>
      <c r="Y1497" s="483">
        <f t="shared" si="17"/>
        <v>0</v>
      </c>
      <c r="Z1497" s="484"/>
      <c r="AA1497" s="485"/>
      <c r="AB1497" s="486"/>
      <c r="AC1497" s="486"/>
      <c r="AD1497" s="486"/>
      <c r="AE1497" s="487"/>
      <c r="AF1497" s="449"/>
      <c r="AG1497" s="449"/>
      <c r="AH1497" s="449"/>
    </row>
    <row r="1498" ht="11.25" customHeight="1">
      <c r="A1498" s="431" t="str">
        <f>IF(B1498="","", YEAR(B1498))</f>
        <v/>
      </c>
      <c r="B1498" s="432"/>
      <c r="C1498" s="433"/>
      <c r="D1498" s="433"/>
      <c r="E1498" s="434" t="str">
        <f t="shared" ref="E1498:I1498" si="756">IFERROR(AVERAGE(L1498:L1501),"")</f>
        <v/>
      </c>
      <c r="F1498" s="434" t="str">
        <f t="shared" si="756"/>
        <v/>
      </c>
      <c r="G1498" s="435" t="str">
        <f t="shared" si="756"/>
        <v/>
      </c>
      <c r="H1498" s="435" t="str">
        <f t="shared" si="756"/>
        <v/>
      </c>
      <c r="I1498" s="436" t="str">
        <f t="shared" si="756"/>
        <v/>
      </c>
      <c r="J1498" s="437">
        <f>SUMIFS(PRODUCTION[KG],PRODUCTION[GRADE],"3X50",PRODUCTION[DATE],B1498,PRODUCTION[BATCH],C1498,PRODUCTION[SHIFT],D1498)</f>
        <v>0</v>
      </c>
      <c r="K1498" s="438" t="s">
        <v>1414</v>
      </c>
      <c r="L1498" s="443"/>
      <c r="M1498" s="440"/>
      <c r="N1498" s="441"/>
      <c r="O1498" s="441"/>
      <c r="P1498" s="442"/>
      <c r="Q1498" s="443"/>
      <c r="R1498" s="440"/>
      <c r="S1498" s="440"/>
      <c r="T1498" s="440"/>
      <c r="U1498" s="440"/>
      <c r="V1498" s="440"/>
      <c r="W1498" s="440"/>
      <c r="X1498" s="440"/>
      <c r="Y1498" s="444">
        <f t="shared" si="17"/>
        <v>0</v>
      </c>
      <c r="Z1498" s="445"/>
      <c r="AA1498" s="446">
        <f t="shared" ref="AA1498:AE1498" si="757">$J1498*E1498</f>
        <v>0</v>
      </c>
      <c r="AB1498" s="447">
        <f t="shared" si="757"/>
        <v>0</v>
      </c>
      <c r="AC1498" s="447">
        <f t="shared" si="757"/>
        <v>0</v>
      </c>
      <c r="AD1498" s="447">
        <f t="shared" si="757"/>
        <v>0</v>
      </c>
      <c r="AE1498" s="448">
        <f t="shared" si="757"/>
        <v>0</v>
      </c>
      <c r="AF1498" s="449"/>
      <c r="AG1498" s="449"/>
      <c r="AH1498" s="449"/>
    </row>
    <row r="1499" ht="11.25" customHeight="1">
      <c r="A1499" s="450"/>
      <c r="B1499" s="451"/>
      <c r="C1499" s="452"/>
      <c r="D1499" s="452"/>
      <c r="E1499" s="453"/>
      <c r="F1499" s="453"/>
      <c r="G1499" s="454"/>
      <c r="H1499" s="454"/>
      <c r="I1499" s="455"/>
      <c r="J1499" s="456"/>
      <c r="K1499" s="457" t="s">
        <v>1416</v>
      </c>
      <c r="L1499" s="458"/>
      <c r="M1499" s="459"/>
      <c r="N1499" s="460"/>
      <c r="O1499" s="460"/>
      <c r="P1499" s="461"/>
      <c r="Q1499" s="458"/>
      <c r="R1499" s="459"/>
      <c r="S1499" s="459"/>
      <c r="T1499" s="459"/>
      <c r="U1499" s="459"/>
      <c r="V1499" s="459"/>
      <c r="W1499" s="459"/>
      <c r="X1499" s="459"/>
      <c r="Y1499" s="462">
        <f t="shared" si="17"/>
        <v>0</v>
      </c>
      <c r="Z1499" s="463"/>
      <c r="AA1499" s="464"/>
      <c r="AB1499" s="465"/>
      <c r="AC1499" s="465"/>
      <c r="AD1499" s="465"/>
      <c r="AE1499" s="466"/>
      <c r="AF1499" s="449"/>
      <c r="AG1499" s="449"/>
      <c r="AH1499" s="449"/>
    </row>
    <row r="1500" ht="11.25" customHeight="1">
      <c r="A1500" s="450"/>
      <c r="B1500" s="451"/>
      <c r="C1500" s="452"/>
      <c r="D1500" s="452"/>
      <c r="E1500" s="453"/>
      <c r="F1500" s="453"/>
      <c r="G1500" s="454"/>
      <c r="H1500" s="454"/>
      <c r="I1500" s="455"/>
      <c r="J1500" s="456"/>
      <c r="K1500" s="467" t="s">
        <v>1417</v>
      </c>
      <c r="L1500" s="468"/>
      <c r="M1500" s="469"/>
      <c r="N1500" s="470"/>
      <c r="O1500" s="470"/>
      <c r="P1500" s="471"/>
      <c r="Q1500" s="468"/>
      <c r="R1500" s="469"/>
      <c r="S1500" s="469"/>
      <c r="T1500" s="469"/>
      <c r="U1500" s="469"/>
      <c r="V1500" s="469"/>
      <c r="W1500" s="469"/>
      <c r="X1500" s="469"/>
      <c r="Y1500" s="462">
        <f t="shared" si="17"/>
        <v>0</v>
      </c>
      <c r="Z1500" s="463"/>
      <c r="AA1500" s="464"/>
      <c r="AB1500" s="465"/>
      <c r="AC1500" s="465"/>
      <c r="AD1500" s="465"/>
      <c r="AE1500" s="466"/>
      <c r="AF1500" s="449"/>
      <c r="AG1500" s="449"/>
      <c r="AH1500" s="449"/>
    </row>
    <row r="1501" ht="11.25" customHeight="1">
      <c r="A1501" s="450"/>
      <c r="B1501" s="472"/>
      <c r="C1501" s="473"/>
      <c r="D1501" s="473"/>
      <c r="E1501" s="474"/>
      <c r="F1501" s="474"/>
      <c r="G1501" s="475"/>
      <c r="H1501" s="475"/>
      <c r="I1501" s="476"/>
      <c r="J1501" s="477"/>
      <c r="K1501" s="478" t="s">
        <v>1418</v>
      </c>
      <c r="L1501" s="479"/>
      <c r="M1501" s="480"/>
      <c r="N1501" s="481"/>
      <c r="O1501" s="481"/>
      <c r="P1501" s="482"/>
      <c r="Q1501" s="479"/>
      <c r="R1501" s="480"/>
      <c r="S1501" s="480"/>
      <c r="T1501" s="480"/>
      <c r="U1501" s="480"/>
      <c r="V1501" s="480"/>
      <c r="W1501" s="480"/>
      <c r="X1501" s="480"/>
      <c r="Y1501" s="483">
        <f t="shared" si="17"/>
        <v>0</v>
      </c>
      <c r="Z1501" s="484"/>
      <c r="AA1501" s="485"/>
      <c r="AB1501" s="486"/>
      <c r="AC1501" s="486"/>
      <c r="AD1501" s="486"/>
      <c r="AE1501" s="487"/>
      <c r="AF1501" s="449"/>
      <c r="AG1501" s="449"/>
      <c r="AH1501" s="449"/>
    </row>
    <row r="1502" ht="11.25" customHeight="1">
      <c r="A1502" s="431" t="str">
        <f>IF(B1502="","", YEAR(B1502))</f>
        <v/>
      </c>
      <c r="B1502" s="432"/>
      <c r="C1502" s="433"/>
      <c r="D1502" s="433"/>
      <c r="E1502" s="434" t="str">
        <f t="shared" ref="E1502:I1502" si="758">IFERROR(AVERAGE(L1502:L1505),"")</f>
        <v/>
      </c>
      <c r="F1502" s="434" t="str">
        <f t="shared" si="758"/>
        <v/>
      </c>
      <c r="G1502" s="435" t="str">
        <f t="shared" si="758"/>
        <v/>
      </c>
      <c r="H1502" s="435" t="str">
        <f t="shared" si="758"/>
        <v/>
      </c>
      <c r="I1502" s="436" t="str">
        <f t="shared" si="758"/>
        <v/>
      </c>
      <c r="J1502" s="437">
        <f>SUMIFS(PRODUCTION[KG],PRODUCTION[GRADE],"3X50",PRODUCTION[DATE],B1502,PRODUCTION[BATCH],C1502,PRODUCTION[SHIFT],D1502)</f>
        <v>0</v>
      </c>
      <c r="K1502" s="438" t="s">
        <v>1414</v>
      </c>
      <c r="L1502" s="443"/>
      <c r="M1502" s="440"/>
      <c r="N1502" s="441"/>
      <c r="O1502" s="441"/>
      <c r="P1502" s="442"/>
      <c r="Q1502" s="443"/>
      <c r="R1502" s="440"/>
      <c r="S1502" s="440"/>
      <c r="T1502" s="440"/>
      <c r="U1502" s="440"/>
      <c r="V1502" s="440"/>
      <c r="W1502" s="440"/>
      <c r="X1502" s="440"/>
      <c r="Y1502" s="444">
        <f t="shared" si="17"/>
        <v>0</v>
      </c>
      <c r="Z1502" s="445"/>
      <c r="AA1502" s="446">
        <f t="shared" ref="AA1502:AE1502" si="759">$J1502*E1502</f>
        <v>0</v>
      </c>
      <c r="AB1502" s="447">
        <f t="shared" si="759"/>
        <v>0</v>
      </c>
      <c r="AC1502" s="447">
        <f t="shared" si="759"/>
        <v>0</v>
      </c>
      <c r="AD1502" s="447">
        <f t="shared" si="759"/>
        <v>0</v>
      </c>
      <c r="AE1502" s="448">
        <f t="shared" si="759"/>
        <v>0</v>
      </c>
      <c r="AF1502" s="449"/>
      <c r="AG1502" s="449"/>
      <c r="AH1502" s="449"/>
    </row>
    <row r="1503" ht="11.25" customHeight="1">
      <c r="A1503" s="450"/>
      <c r="B1503" s="451"/>
      <c r="C1503" s="452"/>
      <c r="D1503" s="452"/>
      <c r="E1503" s="453"/>
      <c r="F1503" s="453"/>
      <c r="G1503" s="454"/>
      <c r="H1503" s="454"/>
      <c r="I1503" s="455"/>
      <c r="J1503" s="456"/>
      <c r="K1503" s="457" t="s">
        <v>1416</v>
      </c>
      <c r="L1503" s="458"/>
      <c r="M1503" s="459"/>
      <c r="N1503" s="460"/>
      <c r="O1503" s="460"/>
      <c r="P1503" s="461"/>
      <c r="Q1503" s="458"/>
      <c r="R1503" s="459"/>
      <c r="S1503" s="459"/>
      <c r="T1503" s="459"/>
      <c r="U1503" s="459"/>
      <c r="V1503" s="459"/>
      <c r="W1503" s="459"/>
      <c r="X1503" s="459"/>
      <c r="Y1503" s="462">
        <f t="shared" si="17"/>
        <v>0</v>
      </c>
      <c r="Z1503" s="463"/>
      <c r="AA1503" s="464"/>
      <c r="AB1503" s="465"/>
      <c r="AC1503" s="465"/>
      <c r="AD1503" s="465"/>
      <c r="AE1503" s="466"/>
      <c r="AF1503" s="449"/>
      <c r="AG1503" s="449"/>
      <c r="AH1503" s="449"/>
    </row>
    <row r="1504" ht="11.25" customHeight="1">
      <c r="A1504" s="450"/>
      <c r="B1504" s="451"/>
      <c r="C1504" s="452"/>
      <c r="D1504" s="452"/>
      <c r="E1504" s="453"/>
      <c r="F1504" s="453"/>
      <c r="G1504" s="454"/>
      <c r="H1504" s="454"/>
      <c r="I1504" s="455"/>
      <c r="J1504" s="456"/>
      <c r="K1504" s="467" t="s">
        <v>1417</v>
      </c>
      <c r="L1504" s="468"/>
      <c r="M1504" s="469"/>
      <c r="N1504" s="470"/>
      <c r="O1504" s="470"/>
      <c r="P1504" s="471"/>
      <c r="Q1504" s="468"/>
      <c r="R1504" s="469"/>
      <c r="S1504" s="469"/>
      <c r="T1504" s="469"/>
      <c r="U1504" s="469"/>
      <c r="V1504" s="469"/>
      <c r="W1504" s="469"/>
      <c r="X1504" s="469"/>
      <c r="Y1504" s="462">
        <f t="shared" si="17"/>
        <v>0</v>
      </c>
      <c r="Z1504" s="463"/>
      <c r="AA1504" s="464"/>
      <c r="AB1504" s="465"/>
      <c r="AC1504" s="465"/>
      <c r="AD1504" s="465"/>
      <c r="AE1504" s="466"/>
      <c r="AF1504" s="449"/>
      <c r="AG1504" s="449"/>
      <c r="AH1504" s="449"/>
    </row>
    <row r="1505" ht="11.25" customHeight="1">
      <c r="A1505" s="450"/>
      <c r="B1505" s="472"/>
      <c r="C1505" s="473"/>
      <c r="D1505" s="473"/>
      <c r="E1505" s="474"/>
      <c r="F1505" s="474"/>
      <c r="G1505" s="475"/>
      <c r="H1505" s="475"/>
      <c r="I1505" s="476"/>
      <c r="J1505" s="477"/>
      <c r="K1505" s="478" t="s">
        <v>1418</v>
      </c>
      <c r="L1505" s="479"/>
      <c r="M1505" s="480"/>
      <c r="N1505" s="481"/>
      <c r="O1505" s="481"/>
      <c r="P1505" s="482"/>
      <c r="Q1505" s="479"/>
      <c r="R1505" s="480"/>
      <c r="S1505" s="480"/>
      <c r="T1505" s="480"/>
      <c r="U1505" s="480"/>
      <c r="V1505" s="480"/>
      <c r="W1505" s="480"/>
      <c r="X1505" s="480"/>
      <c r="Y1505" s="483">
        <f t="shared" si="17"/>
        <v>0</v>
      </c>
      <c r="Z1505" s="484"/>
      <c r="AA1505" s="485"/>
      <c r="AB1505" s="486"/>
      <c r="AC1505" s="486"/>
      <c r="AD1505" s="486"/>
      <c r="AE1505" s="487"/>
      <c r="AF1505" s="449"/>
      <c r="AG1505" s="449"/>
      <c r="AH1505" s="449"/>
    </row>
    <row r="1506" ht="11.25" customHeight="1">
      <c r="A1506" s="431" t="str">
        <f>IF(B1506="","", YEAR(B1506))</f>
        <v/>
      </c>
      <c r="B1506" s="432"/>
      <c r="C1506" s="433"/>
      <c r="D1506" s="433"/>
      <c r="E1506" s="434" t="str">
        <f t="shared" ref="E1506:I1506" si="760">IFERROR(AVERAGE(L1506:L1509),"")</f>
        <v/>
      </c>
      <c r="F1506" s="434" t="str">
        <f t="shared" si="760"/>
        <v/>
      </c>
      <c r="G1506" s="435" t="str">
        <f t="shared" si="760"/>
        <v/>
      </c>
      <c r="H1506" s="435" t="str">
        <f t="shared" si="760"/>
        <v/>
      </c>
      <c r="I1506" s="436" t="str">
        <f t="shared" si="760"/>
        <v/>
      </c>
      <c r="J1506" s="437">
        <f>SUMIFS(PRODUCTION[KG],PRODUCTION[GRADE],"3X50",PRODUCTION[DATE],B1506,PRODUCTION[BATCH],C1506,PRODUCTION[SHIFT],D1506)</f>
        <v>0</v>
      </c>
      <c r="K1506" s="438" t="s">
        <v>1414</v>
      </c>
      <c r="L1506" s="443"/>
      <c r="M1506" s="440"/>
      <c r="N1506" s="441"/>
      <c r="O1506" s="441"/>
      <c r="P1506" s="442"/>
      <c r="Q1506" s="443"/>
      <c r="R1506" s="440"/>
      <c r="S1506" s="440"/>
      <c r="T1506" s="440"/>
      <c r="U1506" s="440"/>
      <c r="V1506" s="440"/>
      <c r="W1506" s="440"/>
      <c r="X1506" s="440"/>
      <c r="Y1506" s="444">
        <f t="shared" si="17"/>
        <v>0</v>
      </c>
      <c r="Z1506" s="445"/>
      <c r="AA1506" s="446">
        <f t="shared" ref="AA1506:AE1506" si="761">$J1506*E1506</f>
        <v>0</v>
      </c>
      <c r="AB1506" s="447">
        <f t="shared" si="761"/>
        <v>0</v>
      </c>
      <c r="AC1506" s="447">
        <f t="shared" si="761"/>
        <v>0</v>
      </c>
      <c r="AD1506" s="447">
        <f t="shared" si="761"/>
        <v>0</v>
      </c>
      <c r="AE1506" s="448">
        <f t="shared" si="761"/>
        <v>0</v>
      </c>
      <c r="AF1506" s="449"/>
      <c r="AG1506" s="449"/>
      <c r="AH1506" s="449"/>
    </row>
    <row r="1507" ht="11.25" customHeight="1">
      <c r="A1507" s="450"/>
      <c r="B1507" s="451"/>
      <c r="C1507" s="452"/>
      <c r="D1507" s="452"/>
      <c r="E1507" s="453"/>
      <c r="F1507" s="453"/>
      <c r="G1507" s="454"/>
      <c r="H1507" s="454"/>
      <c r="I1507" s="455"/>
      <c r="J1507" s="456"/>
      <c r="K1507" s="457" t="s">
        <v>1416</v>
      </c>
      <c r="L1507" s="458"/>
      <c r="M1507" s="459"/>
      <c r="N1507" s="460"/>
      <c r="O1507" s="460"/>
      <c r="P1507" s="461"/>
      <c r="Q1507" s="458"/>
      <c r="R1507" s="459"/>
      <c r="S1507" s="459"/>
      <c r="T1507" s="459"/>
      <c r="U1507" s="459"/>
      <c r="V1507" s="459"/>
      <c r="W1507" s="459"/>
      <c r="X1507" s="459"/>
      <c r="Y1507" s="462">
        <f t="shared" si="17"/>
        <v>0</v>
      </c>
      <c r="Z1507" s="463"/>
      <c r="AA1507" s="464"/>
      <c r="AB1507" s="465"/>
      <c r="AC1507" s="465"/>
      <c r="AD1507" s="465"/>
      <c r="AE1507" s="466"/>
      <c r="AF1507" s="449"/>
      <c r="AG1507" s="449"/>
      <c r="AH1507" s="449"/>
    </row>
    <row r="1508" ht="11.25" customHeight="1">
      <c r="A1508" s="450"/>
      <c r="B1508" s="451"/>
      <c r="C1508" s="452"/>
      <c r="D1508" s="452"/>
      <c r="E1508" s="453"/>
      <c r="F1508" s="453"/>
      <c r="G1508" s="454"/>
      <c r="H1508" s="454"/>
      <c r="I1508" s="455"/>
      <c r="J1508" s="456"/>
      <c r="K1508" s="467" t="s">
        <v>1417</v>
      </c>
      <c r="L1508" s="468"/>
      <c r="M1508" s="469"/>
      <c r="N1508" s="470"/>
      <c r="O1508" s="470"/>
      <c r="P1508" s="471"/>
      <c r="Q1508" s="468"/>
      <c r="R1508" s="469"/>
      <c r="S1508" s="469"/>
      <c r="T1508" s="469"/>
      <c r="U1508" s="469"/>
      <c r="V1508" s="469"/>
      <c r="W1508" s="469"/>
      <c r="X1508" s="469"/>
      <c r="Y1508" s="462">
        <f t="shared" si="17"/>
        <v>0</v>
      </c>
      <c r="Z1508" s="463"/>
      <c r="AA1508" s="464"/>
      <c r="AB1508" s="465"/>
      <c r="AC1508" s="465"/>
      <c r="AD1508" s="465"/>
      <c r="AE1508" s="466"/>
      <c r="AF1508" s="449"/>
      <c r="AG1508" s="449"/>
      <c r="AH1508" s="449"/>
    </row>
    <row r="1509" ht="11.25" customHeight="1">
      <c r="A1509" s="450"/>
      <c r="B1509" s="472"/>
      <c r="C1509" s="473"/>
      <c r="D1509" s="473"/>
      <c r="E1509" s="474"/>
      <c r="F1509" s="474"/>
      <c r="G1509" s="475"/>
      <c r="H1509" s="475"/>
      <c r="I1509" s="476"/>
      <c r="J1509" s="477"/>
      <c r="K1509" s="478" t="s">
        <v>1418</v>
      </c>
      <c r="L1509" s="479"/>
      <c r="M1509" s="480"/>
      <c r="N1509" s="481"/>
      <c r="O1509" s="481"/>
      <c r="P1509" s="482"/>
      <c r="Q1509" s="479"/>
      <c r="R1509" s="480"/>
      <c r="S1509" s="480"/>
      <c r="T1509" s="480"/>
      <c r="U1509" s="480"/>
      <c r="V1509" s="480"/>
      <c r="W1509" s="480"/>
      <c r="X1509" s="480"/>
      <c r="Y1509" s="483">
        <f t="shared" si="17"/>
        <v>0</v>
      </c>
      <c r="Z1509" s="484"/>
      <c r="AA1509" s="485"/>
      <c r="AB1509" s="486"/>
      <c r="AC1509" s="486"/>
      <c r="AD1509" s="486"/>
      <c r="AE1509" s="487"/>
      <c r="AF1509" s="449"/>
      <c r="AG1509" s="449"/>
      <c r="AH1509" s="449"/>
    </row>
    <row r="1510" ht="11.25" customHeight="1">
      <c r="A1510" s="431" t="str">
        <f>IF(B1510="","", YEAR(B1510))</f>
        <v/>
      </c>
      <c r="B1510" s="432"/>
      <c r="C1510" s="433"/>
      <c r="D1510" s="433"/>
      <c r="E1510" s="434" t="str">
        <f t="shared" ref="E1510:I1510" si="762">IFERROR(AVERAGE(L1510:L1513),"")</f>
        <v/>
      </c>
      <c r="F1510" s="434" t="str">
        <f t="shared" si="762"/>
        <v/>
      </c>
      <c r="G1510" s="435" t="str">
        <f t="shared" si="762"/>
        <v/>
      </c>
      <c r="H1510" s="435" t="str">
        <f t="shared" si="762"/>
        <v/>
      </c>
      <c r="I1510" s="436" t="str">
        <f t="shared" si="762"/>
        <v/>
      </c>
      <c r="J1510" s="437">
        <f>SUMIFS(PRODUCTION[KG],PRODUCTION[GRADE],"3X50",PRODUCTION[DATE],B1510,PRODUCTION[BATCH],C1510,PRODUCTION[SHIFT],D1510)</f>
        <v>0</v>
      </c>
      <c r="K1510" s="438" t="s">
        <v>1414</v>
      </c>
      <c r="L1510" s="443"/>
      <c r="M1510" s="440"/>
      <c r="N1510" s="441"/>
      <c r="O1510" s="441"/>
      <c r="P1510" s="442"/>
      <c r="Q1510" s="443"/>
      <c r="R1510" s="440"/>
      <c r="S1510" s="440"/>
      <c r="T1510" s="440"/>
      <c r="U1510" s="440"/>
      <c r="V1510" s="440"/>
      <c r="W1510" s="440"/>
      <c r="X1510" s="440"/>
      <c r="Y1510" s="444">
        <f t="shared" si="17"/>
        <v>0</v>
      </c>
      <c r="Z1510" s="445"/>
      <c r="AA1510" s="446">
        <f t="shared" ref="AA1510:AE1510" si="763">$J1510*E1510</f>
        <v>0</v>
      </c>
      <c r="AB1510" s="447">
        <f t="shared" si="763"/>
        <v>0</v>
      </c>
      <c r="AC1510" s="447">
        <f t="shared" si="763"/>
        <v>0</v>
      </c>
      <c r="AD1510" s="447">
        <f t="shared" si="763"/>
        <v>0</v>
      </c>
      <c r="AE1510" s="448">
        <f t="shared" si="763"/>
        <v>0</v>
      </c>
      <c r="AF1510" s="449"/>
      <c r="AG1510" s="449"/>
      <c r="AH1510" s="449"/>
    </row>
    <row r="1511" ht="11.25" customHeight="1">
      <c r="A1511" s="450"/>
      <c r="B1511" s="451"/>
      <c r="C1511" s="452"/>
      <c r="D1511" s="452"/>
      <c r="E1511" s="453"/>
      <c r="F1511" s="453"/>
      <c r="G1511" s="454"/>
      <c r="H1511" s="454"/>
      <c r="I1511" s="455"/>
      <c r="J1511" s="456"/>
      <c r="K1511" s="457" t="s">
        <v>1416</v>
      </c>
      <c r="L1511" s="458"/>
      <c r="M1511" s="459"/>
      <c r="N1511" s="460"/>
      <c r="O1511" s="460"/>
      <c r="P1511" s="461"/>
      <c r="Q1511" s="458"/>
      <c r="R1511" s="459"/>
      <c r="S1511" s="459"/>
      <c r="T1511" s="459"/>
      <c r="U1511" s="459"/>
      <c r="V1511" s="459"/>
      <c r="W1511" s="459"/>
      <c r="X1511" s="459"/>
      <c r="Y1511" s="462">
        <f t="shared" si="17"/>
        <v>0</v>
      </c>
      <c r="Z1511" s="463"/>
      <c r="AA1511" s="464"/>
      <c r="AB1511" s="465"/>
      <c r="AC1511" s="465"/>
      <c r="AD1511" s="465"/>
      <c r="AE1511" s="466"/>
      <c r="AF1511" s="449"/>
      <c r="AG1511" s="449"/>
      <c r="AH1511" s="449"/>
    </row>
    <row r="1512" ht="11.25" customHeight="1">
      <c r="A1512" s="450"/>
      <c r="B1512" s="451"/>
      <c r="C1512" s="452"/>
      <c r="D1512" s="452"/>
      <c r="E1512" s="453"/>
      <c r="F1512" s="453"/>
      <c r="G1512" s="454"/>
      <c r="H1512" s="454"/>
      <c r="I1512" s="455"/>
      <c r="J1512" s="456"/>
      <c r="K1512" s="467" t="s">
        <v>1417</v>
      </c>
      <c r="L1512" s="468"/>
      <c r="M1512" s="469"/>
      <c r="N1512" s="470"/>
      <c r="O1512" s="470"/>
      <c r="P1512" s="471"/>
      <c r="Q1512" s="468"/>
      <c r="R1512" s="469"/>
      <c r="S1512" s="469"/>
      <c r="T1512" s="469"/>
      <c r="U1512" s="469"/>
      <c r="V1512" s="469"/>
      <c r="W1512" s="469"/>
      <c r="X1512" s="469"/>
      <c r="Y1512" s="462">
        <f t="shared" si="17"/>
        <v>0</v>
      </c>
      <c r="Z1512" s="463"/>
      <c r="AA1512" s="464"/>
      <c r="AB1512" s="465"/>
      <c r="AC1512" s="465"/>
      <c r="AD1512" s="465"/>
      <c r="AE1512" s="466"/>
      <c r="AF1512" s="449"/>
      <c r="AG1512" s="449"/>
      <c r="AH1512" s="449"/>
    </row>
    <row r="1513" ht="11.25" customHeight="1">
      <c r="A1513" s="450"/>
      <c r="B1513" s="472"/>
      <c r="C1513" s="473"/>
      <c r="D1513" s="473"/>
      <c r="E1513" s="474"/>
      <c r="F1513" s="474"/>
      <c r="G1513" s="475"/>
      <c r="H1513" s="475"/>
      <c r="I1513" s="476"/>
      <c r="J1513" s="477"/>
      <c r="K1513" s="478" t="s">
        <v>1418</v>
      </c>
      <c r="L1513" s="479"/>
      <c r="M1513" s="480"/>
      <c r="N1513" s="481"/>
      <c r="O1513" s="481"/>
      <c r="P1513" s="482"/>
      <c r="Q1513" s="479"/>
      <c r="R1513" s="480"/>
      <c r="S1513" s="480"/>
      <c r="T1513" s="480"/>
      <c r="U1513" s="480"/>
      <c r="V1513" s="480"/>
      <c r="W1513" s="480"/>
      <c r="X1513" s="480"/>
      <c r="Y1513" s="483">
        <f t="shared" si="17"/>
        <v>0</v>
      </c>
      <c r="Z1513" s="484"/>
      <c r="AA1513" s="485"/>
      <c r="AB1513" s="486"/>
      <c r="AC1513" s="486"/>
      <c r="AD1513" s="486"/>
      <c r="AE1513" s="487"/>
      <c r="AF1513" s="449"/>
      <c r="AG1513" s="449"/>
      <c r="AH1513" s="449"/>
    </row>
    <row r="1514" ht="11.25" customHeight="1">
      <c r="A1514" s="431" t="str">
        <f>IF(B1514="","", YEAR(B1514))</f>
        <v/>
      </c>
      <c r="B1514" s="432"/>
      <c r="C1514" s="433"/>
      <c r="D1514" s="433"/>
      <c r="E1514" s="434" t="str">
        <f t="shared" ref="E1514:I1514" si="764">IFERROR(AVERAGE(L1514:L1517),"")</f>
        <v/>
      </c>
      <c r="F1514" s="434" t="str">
        <f t="shared" si="764"/>
        <v/>
      </c>
      <c r="G1514" s="435" t="str">
        <f t="shared" si="764"/>
        <v/>
      </c>
      <c r="H1514" s="435" t="str">
        <f t="shared" si="764"/>
        <v/>
      </c>
      <c r="I1514" s="436" t="str">
        <f t="shared" si="764"/>
        <v/>
      </c>
      <c r="J1514" s="437">
        <f>SUMIFS(PRODUCTION[KG],PRODUCTION[GRADE],"3X50",PRODUCTION[DATE],B1514,PRODUCTION[BATCH],C1514,PRODUCTION[SHIFT],D1514)</f>
        <v>0</v>
      </c>
      <c r="K1514" s="438" t="s">
        <v>1414</v>
      </c>
      <c r="L1514" s="443"/>
      <c r="M1514" s="440"/>
      <c r="N1514" s="441"/>
      <c r="O1514" s="441"/>
      <c r="P1514" s="442"/>
      <c r="Q1514" s="443"/>
      <c r="R1514" s="440"/>
      <c r="S1514" s="440"/>
      <c r="T1514" s="440"/>
      <c r="U1514" s="440"/>
      <c r="V1514" s="440"/>
      <c r="W1514" s="440"/>
      <c r="X1514" s="440"/>
      <c r="Y1514" s="444">
        <f t="shared" si="17"/>
        <v>0</v>
      </c>
      <c r="Z1514" s="445"/>
      <c r="AA1514" s="446">
        <f t="shared" ref="AA1514:AE1514" si="765">$J1514*E1514</f>
        <v>0</v>
      </c>
      <c r="AB1514" s="447">
        <f t="shared" si="765"/>
        <v>0</v>
      </c>
      <c r="AC1514" s="447">
        <f t="shared" si="765"/>
        <v>0</v>
      </c>
      <c r="AD1514" s="447">
        <f t="shared" si="765"/>
        <v>0</v>
      </c>
      <c r="AE1514" s="448">
        <f t="shared" si="765"/>
        <v>0</v>
      </c>
      <c r="AF1514" s="449"/>
      <c r="AG1514" s="449"/>
      <c r="AH1514" s="449"/>
    </row>
    <row r="1515" ht="11.25" customHeight="1">
      <c r="A1515" s="450"/>
      <c r="B1515" s="451"/>
      <c r="C1515" s="452"/>
      <c r="D1515" s="452"/>
      <c r="E1515" s="453"/>
      <c r="F1515" s="453"/>
      <c r="G1515" s="454"/>
      <c r="H1515" s="454"/>
      <c r="I1515" s="455"/>
      <c r="J1515" s="456"/>
      <c r="K1515" s="457" t="s">
        <v>1416</v>
      </c>
      <c r="L1515" s="458"/>
      <c r="M1515" s="459"/>
      <c r="N1515" s="460"/>
      <c r="O1515" s="460"/>
      <c r="P1515" s="461"/>
      <c r="Q1515" s="458"/>
      <c r="R1515" s="459"/>
      <c r="S1515" s="459"/>
      <c r="T1515" s="459"/>
      <c r="U1515" s="459"/>
      <c r="V1515" s="459"/>
      <c r="W1515" s="459"/>
      <c r="X1515" s="459"/>
      <c r="Y1515" s="462">
        <f t="shared" si="17"/>
        <v>0</v>
      </c>
      <c r="Z1515" s="463"/>
      <c r="AA1515" s="464"/>
      <c r="AB1515" s="465"/>
      <c r="AC1515" s="465"/>
      <c r="AD1515" s="465"/>
      <c r="AE1515" s="466"/>
      <c r="AF1515" s="449"/>
      <c r="AG1515" s="449"/>
      <c r="AH1515" s="449"/>
    </row>
    <row r="1516" ht="11.25" customHeight="1">
      <c r="A1516" s="450"/>
      <c r="B1516" s="451"/>
      <c r="C1516" s="452"/>
      <c r="D1516" s="452"/>
      <c r="E1516" s="453"/>
      <c r="F1516" s="453"/>
      <c r="G1516" s="454"/>
      <c r="H1516" s="454"/>
      <c r="I1516" s="455"/>
      <c r="J1516" s="456"/>
      <c r="K1516" s="467" t="s">
        <v>1417</v>
      </c>
      <c r="L1516" s="468"/>
      <c r="M1516" s="469"/>
      <c r="N1516" s="470"/>
      <c r="O1516" s="470"/>
      <c r="P1516" s="471"/>
      <c r="Q1516" s="468"/>
      <c r="R1516" s="469"/>
      <c r="S1516" s="469"/>
      <c r="T1516" s="469"/>
      <c r="U1516" s="469"/>
      <c r="V1516" s="469"/>
      <c r="W1516" s="469"/>
      <c r="X1516" s="469"/>
      <c r="Y1516" s="462">
        <f t="shared" si="17"/>
        <v>0</v>
      </c>
      <c r="Z1516" s="463"/>
      <c r="AA1516" s="464"/>
      <c r="AB1516" s="465"/>
      <c r="AC1516" s="465"/>
      <c r="AD1516" s="465"/>
      <c r="AE1516" s="466"/>
      <c r="AF1516" s="449"/>
      <c r="AG1516" s="449"/>
      <c r="AH1516" s="449"/>
    </row>
    <row r="1517" ht="11.25" customHeight="1">
      <c r="A1517" s="450"/>
      <c r="B1517" s="472"/>
      <c r="C1517" s="473"/>
      <c r="D1517" s="473"/>
      <c r="E1517" s="474"/>
      <c r="F1517" s="474"/>
      <c r="G1517" s="475"/>
      <c r="H1517" s="475"/>
      <c r="I1517" s="476"/>
      <c r="J1517" s="477"/>
      <c r="K1517" s="478" t="s">
        <v>1418</v>
      </c>
      <c r="L1517" s="479"/>
      <c r="M1517" s="480"/>
      <c r="N1517" s="481"/>
      <c r="O1517" s="481"/>
      <c r="P1517" s="482"/>
      <c r="Q1517" s="479"/>
      <c r="R1517" s="480"/>
      <c r="S1517" s="480"/>
      <c r="T1517" s="480"/>
      <c r="U1517" s="480"/>
      <c r="V1517" s="480"/>
      <c r="W1517" s="480"/>
      <c r="X1517" s="480"/>
      <c r="Y1517" s="483">
        <f t="shared" si="17"/>
        <v>0</v>
      </c>
      <c r="Z1517" s="484"/>
      <c r="AA1517" s="485"/>
      <c r="AB1517" s="486"/>
      <c r="AC1517" s="486"/>
      <c r="AD1517" s="486"/>
      <c r="AE1517" s="487"/>
      <c r="AF1517" s="449"/>
      <c r="AG1517" s="449"/>
      <c r="AH1517" s="449"/>
    </row>
    <row r="1518" ht="11.25" customHeight="1">
      <c r="A1518" s="431" t="str">
        <f>IF(B1518="","", YEAR(B1518))</f>
        <v/>
      </c>
      <c r="B1518" s="432"/>
      <c r="C1518" s="433"/>
      <c r="D1518" s="433"/>
      <c r="E1518" s="434" t="str">
        <f t="shared" ref="E1518:I1518" si="766">IFERROR(AVERAGE(L1518:L1521),"")</f>
        <v/>
      </c>
      <c r="F1518" s="434" t="str">
        <f t="shared" si="766"/>
        <v/>
      </c>
      <c r="G1518" s="435" t="str">
        <f t="shared" si="766"/>
        <v/>
      </c>
      <c r="H1518" s="435" t="str">
        <f t="shared" si="766"/>
        <v/>
      </c>
      <c r="I1518" s="436" t="str">
        <f t="shared" si="766"/>
        <v/>
      </c>
      <c r="J1518" s="437">
        <f>SUMIFS(PRODUCTION[KG],PRODUCTION[GRADE],"3X50",PRODUCTION[DATE],B1518,PRODUCTION[BATCH],C1518,PRODUCTION[SHIFT],D1518)</f>
        <v>0</v>
      </c>
      <c r="K1518" s="438" t="s">
        <v>1414</v>
      </c>
      <c r="L1518" s="443"/>
      <c r="M1518" s="440"/>
      <c r="N1518" s="441"/>
      <c r="O1518" s="441"/>
      <c r="P1518" s="442"/>
      <c r="Q1518" s="443"/>
      <c r="R1518" s="440"/>
      <c r="S1518" s="440"/>
      <c r="T1518" s="440"/>
      <c r="U1518" s="440"/>
      <c r="V1518" s="440"/>
      <c r="W1518" s="440"/>
      <c r="X1518" s="440"/>
      <c r="Y1518" s="444">
        <f t="shared" si="17"/>
        <v>0</v>
      </c>
      <c r="Z1518" s="445"/>
      <c r="AA1518" s="446">
        <f t="shared" ref="AA1518:AE1518" si="767">$J1518*E1518</f>
        <v>0</v>
      </c>
      <c r="AB1518" s="447">
        <f t="shared" si="767"/>
        <v>0</v>
      </c>
      <c r="AC1518" s="447">
        <f t="shared" si="767"/>
        <v>0</v>
      </c>
      <c r="AD1518" s="447">
        <f t="shared" si="767"/>
        <v>0</v>
      </c>
      <c r="AE1518" s="448">
        <f t="shared" si="767"/>
        <v>0</v>
      </c>
      <c r="AF1518" s="449"/>
      <c r="AG1518" s="449"/>
      <c r="AH1518" s="449"/>
    </row>
    <row r="1519" ht="11.25" customHeight="1">
      <c r="A1519" s="450"/>
      <c r="B1519" s="451"/>
      <c r="C1519" s="452"/>
      <c r="D1519" s="452"/>
      <c r="E1519" s="453"/>
      <c r="F1519" s="453"/>
      <c r="G1519" s="454"/>
      <c r="H1519" s="454"/>
      <c r="I1519" s="455"/>
      <c r="J1519" s="456"/>
      <c r="K1519" s="457" t="s">
        <v>1416</v>
      </c>
      <c r="L1519" s="458"/>
      <c r="M1519" s="459"/>
      <c r="N1519" s="460"/>
      <c r="O1519" s="460"/>
      <c r="P1519" s="461"/>
      <c r="Q1519" s="458"/>
      <c r="R1519" s="459"/>
      <c r="S1519" s="459"/>
      <c r="T1519" s="459"/>
      <c r="U1519" s="459"/>
      <c r="V1519" s="459"/>
      <c r="W1519" s="459"/>
      <c r="X1519" s="459"/>
      <c r="Y1519" s="462">
        <f t="shared" si="17"/>
        <v>0</v>
      </c>
      <c r="Z1519" s="463"/>
      <c r="AA1519" s="464"/>
      <c r="AB1519" s="465"/>
      <c r="AC1519" s="465"/>
      <c r="AD1519" s="465"/>
      <c r="AE1519" s="466"/>
      <c r="AF1519" s="449"/>
      <c r="AG1519" s="449"/>
      <c r="AH1519" s="449"/>
    </row>
    <row r="1520" ht="11.25" customHeight="1">
      <c r="A1520" s="450"/>
      <c r="B1520" s="451"/>
      <c r="C1520" s="452"/>
      <c r="D1520" s="452"/>
      <c r="E1520" s="453"/>
      <c r="F1520" s="453"/>
      <c r="G1520" s="454"/>
      <c r="H1520" s="454"/>
      <c r="I1520" s="455"/>
      <c r="J1520" s="456"/>
      <c r="K1520" s="467" t="s">
        <v>1417</v>
      </c>
      <c r="L1520" s="468"/>
      <c r="M1520" s="469"/>
      <c r="N1520" s="470"/>
      <c r="O1520" s="470"/>
      <c r="P1520" s="471"/>
      <c r="Q1520" s="468"/>
      <c r="R1520" s="469"/>
      <c r="S1520" s="469"/>
      <c r="T1520" s="469"/>
      <c r="U1520" s="469"/>
      <c r="V1520" s="469"/>
      <c r="W1520" s="469"/>
      <c r="X1520" s="469"/>
      <c r="Y1520" s="462">
        <f t="shared" si="17"/>
        <v>0</v>
      </c>
      <c r="Z1520" s="463"/>
      <c r="AA1520" s="464"/>
      <c r="AB1520" s="465"/>
      <c r="AC1520" s="465"/>
      <c r="AD1520" s="465"/>
      <c r="AE1520" s="466"/>
      <c r="AF1520" s="449"/>
      <c r="AG1520" s="449"/>
      <c r="AH1520" s="449"/>
    </row>
    <row r="1521" ht="11.25" customHeight="1">
      <c r="A1521" s="450"/>
      <c r="B1521" s="472"/>
      <c r="C1521" s="473"/>
      <c r="D1521" s="473"/>
      <c r="E1521" s="474"/>
      <c r="F1521" s="474"/>
      <c r="G1521" s="475"/>
      <c r="H1521" s="475"/>
      <c r="I1521" s="476"/>
      <c r="J1521" s="477"/>
      <c r="K1521" s="478" t="s">
        <v>1418</v>
      </c>
      <c r="L1521" s="479"/>
      <c r="M1521" s="480"/>
      <c r="N1521" s="481"/>
      <c r="O1521" s="481"/>
      <c r="P1521" s="482"/>
      <c r="Q1521" s="479"/>
      <c r="R1521" s="480"/>
      <c r="S1521" s="480"/>
      <c r="T1521" s="480"/>
      <c r="U1521" s="480"/>
      <c r="V1521" s="480"/>
      <c r="W1521" s="480"/>
      <c r="X1521" s="480"/>
      <c r="Y1521" s="483">
        <f t="shared" si="17"/>
        <v>0</v>
      </c>
      <c r="Z1521" s="484"/>
      <c r="AA1521" s="485"/>
      <c r="AB1521" s="486"/>
      <c r="AC1521" s="486"/>
      <c r="AD1521" s="486"/>
      <c r="AE1521" s="487"/>
      <c r="AF1521" s="449"/>
      <c r="AG1521" s="449"/>
      <c r="AH1521" s="449"/>
    </row>
    <row r="1522" ht="11.25" customHeight="1">
      <c r="A1522" s="431" t="str">
        <f>IF(B1522="","", YEAR(B1522))</f>
        <v/>
      </c>
      <c r="B1522" s="432"/>
      <c r="C1522" s="433"/>
      <c r="D1522" s="433"/>
      <c r="E1522" s="434" t="str">
        <f t="shared" ref="E1522:I1522" si="768">IFERROR(AVERAGE(L1522:L1525),"")</f>
        <v/>
      </c>
      <c r="F1522" s="434" t="str">
        <f t="shared" si="768"/>
        <v/>
      </c>
      <c r="G1522" s="435" t="str">
        <f t="shared" si="768"/>
        <v/>
      </c>
      <c r="H1522" s="435" t="str">
        <f t="shared" si="768"/>
        <v/>
      </c>
      <c r="I1522" s="436" t="str">
        <f t="shared" si="768"/>
        <v/>
      </c>
      <c r="J1522" s="437">
        <f>SUMIFS(PRODUCTION[KG],PRODUCTION[GRADE],"3X50",PRODUCTION[DATE],B1522,PRODUCTION[BATCH],C1522,PRODUCTION[SHIFT],D1522)</f>
        <v>0</v>
      </c>
      <c r="K1522" s="438" t="s">
        <v>1414</v>
      </c>
      <c r="L1522" s="443"/>
      <c r="M1522" s="440"/>
      <c r="N1522" s="441"/>
      <c r="O1522" s="441"/>
      <c r="P1522" s="442"/>
      <c r="Q1522" s="443"/>
      <c r="R1522" s="440"/>
      <c r="S1522" s="440"/>
      <c r="T1522" s="440"/>
      <c r="U1522" s="440"/>
      <c r="V1522" s="440"/>
      <c r="W1522" s="440"/>
      <c r="X1522" s="440"/>
      <c r="Y1522" s="444">
        <f t="shared" si="17"/>
        <v>0</v>
      </c>
      <c r="Z1522" s="445"/>
      <c r="AA1522" s="446">
        <f t="shared" ref="AA1522:AE1522" si="769">$J1522*E1522</f>
        <v>0</v>
      </c>
      <c r="AB1522" s="447">
        <f t="shared" si="769"/>
        <v>0</v>
      </c>
      <c r="AC1522" s="447">
        <f t="shared" si="769"/>
        <v>0</v>
      </c>
      <c r="AD1522" s="447">
        <f t="shared" si="769"/>
        <v>0</v>
      </c>
      <c r="AE1522" s="448">
        <f t="shared" si="769"/>
        <v>0</v>
      </c>
      <c r="AF1522" s="449"/>
      <c r="AG1522" s="449"/>
      <c r="AH1522" s="449"/>
    </row>
    <row r="1523" ht="11.25" customHeight="1">
      <c r="A1523" s="450"/>
      <c r="B1523" s="451"/>
      <c r="C1523" s="452"/>
      <c r="D1523" s="452"/>
      <c r="E1523" s="453"/>
      <c r="F1523" s="453"/>
      <c r="G1523" s="454"/>
      <c r="H1523" s="454"/>
      <c r="I1523" s="455"/>
      <c r="J1523" s="456"/>
      <c r="K1523" s="457" t="s">
        <v>1416</v>
      </c>
      <c r="L1523" s="458"/>
      <c r="M1523" s="459"/>
      <c r="N1523" s="460"/>
      <c r="O1523" s="460"/>
      <c r="P1523" s="461"/>
      <c r="Q1523" s="458"/>
      <c r="R1523" s="459"/>
      <c r="S1523" s="459"/>
      <c r="T1523" s="459"/>
      <c r="U1523" s="459"/>
      <c r="V1523" s="459"/>
      <c r="W1523" s="459"/>
      <c r="X1523" s="459"/>
      <c r="Y1523" s="462">
        <f t="shared" si="17"/>
        <v>0</v>
      </c>
      <c r="Z1523" s="463"/>
      <c r="AA1523" s="464"/>
      <c r="AB1523" s="465"/>
      <c r="AC1523" s="465"/>
      <c r="AD1523" s="465"/>
      <c r="AE1523" s="466"/>
      <c r="AF1523" s="449"/>
      <c r="AG1523" s="449"/>
      <c r="AH1523" s="449"/>
    </row>
    <row r="1524" ht="11.25" customHeight="1">
      <c r="A1524" s="450"/>
      <c r="B1524" s="451"/>
      <c r="C1524" s="452"/>
      <c r="D1524" s="452"/>
      <c r="E1524" s="453"/>
      <c r="F1524" s="453"/>
      <c r="G1524" s="454"/>
      <c r="H1524" s="454"/>
      <c r="I1524" s="455"/>
      <c r="J1524" s="456"/>
      <c r="K1524" s="467" t="s">
        <v>1417</v>
      </c>
      <c r="L1524" s="468"/>
      <c r="M1524" s="469"/>
      <c r="N1524" s="470"/>
      <c r="O1524" s="470"/>
      <c r="P1524" s="471"/>
      <c r="Q1524" s="468"/>
      <c r="R1524" s="469"/>
      <c r="S1524" s="469"/>
      <c r="T1524" s="469"/>
      <c r="U1524" s="469"/>
      <c r="V1524" s="469"/>
      <c r="W1524" s="469"/>
      <c r="X1524" s="469"/>
      <c r="Y1524" s="462">
        <f t="shared" si="17"/>
        <v>0</v>
      </c>
      <c r="Z1524" s="463"/>
      <c r="AA1524" s="464"/>
      <c r="AB1524" s="465"/>
      <c r="AC1524" s="465"/>
      <c r="AD1524" s="465"/>
      <c r="AE1524" s="466"/>
      <c r="AF1524" s="449"/>
      <c r="AG1524" s="449"/>
      <c r="AH1524" s="449"/>
    </row>
    <row r="1525" ht="11.25" customHeight="1">
      <c r="A1525" s="450"/>
      <c r="B1525" s="472"/>
      <c r="C1525" s="473"/>
      <c r="D1525" s="473"/>
      <c r="E1525" s="474"/>
      <c r="F1525" s="474"/>
      <c r="G1525" s="475"/>
      <c r="H1525" s="475"/>
      <c r="I1525" s="476"/>
      <c r="J1525" s="477"/>
      <c r="K1525" s="478" t="s">
        <v>1418</v>
      </c>
      <c r="L1525" s="479"/>
      <c r="M1525" s="480"/>
      <c r="N1525" s="481"/>
      <c r="O1525" s="481"/>
      <c r="P1525" s="482"/>
      <c r="Q1525" s="479"/>
      <c r="R1525" s="480"/>
      <c r="S1525" s="480"/>
      <c r="T1525" s="480"/>
      <c r="U1525" s="480"/>
      <c r="V1525" s="480"/>
      <c r="W1525" s="480"/>
      <c r="X1525" s="480"/>
      <c r="Y1525" s="483">
        <f t="shared" si="17"/>
        <v>0</v>
      </c>
      <c r="Z1525" s="484"/>
      <c r="AA1525" s="485"/>
      <c r="AB1525" s="486"/>
      <c r="AC1525" s="486"/>
      <c r="AD1525" s="486"/>
      <c r="AE1525" s="487"/>
      <c r="AF1525" s="449"/>
      <c r="AG1525" s="449"/>
      <c r="AH1525" s="449"/>
    </row>
    <row r="1526" ht="11.25" customHeight="1">
      <c r="A1526" s="431" t="str">
        <f>IF(B1526="","", YEAR(B1526))</f>
        <v/>
      </c>
      <c r="B1526" s="432"/>
      <c r="C1526" s="433"/>
      <c r="D1526" s="433"/>
      <c r="E1526" s="434" t="str">
        <f t="shared" ref="E1526:I1526" si="770">IFERROR(AVERAGE(L1526:L1529),"")</f>
        <v/>
      </c>
      <c r="F1526" s="434" t="str">
        <f t="shared" si="770"/>
        <v/>
      </c>
      <c r="G1526" s="435" t="str">
        <f t="shared" si="770"/>
        <v/>
      </c>
      <c r="H1526" s="435" t="str">
        <f t="shared" si="770"/>
        <v/>
      </c>
      <c r="I1526" s="436" t="str">
        <f t="shared" si="770"/>
        <v/>
      </c>
      <c r="J1526" s="437">
        <f>SUMIFS(PRODUCTION[KG],PRODUCTION[GRADE],"3X50",PRODUCTION[DATE],B1526,PRODUCTION[BATCH],C1526,PRODUCTION[SHIFT],D1526)</f>
        <v>0</v>
      </c>
      <c r="K1526" s="438" t="s">
        <v>1414</v>
      </c>
      <c r="L1526" s="443"/>
      <c r="M1526" s="440"/>
      <c r="N1526" s="441"/>
      <c r="O1526" s="441"/>
      <c r="P1526" s="442"/>
      <c r="Q1526" s="443"/>
      <c r="R1526" s="440"/>
      <c r="S1526" s="440"/>
      <c r="T1526" s="440"/>
      <c r="U1526" s="440"/>
      <c r="V1526" s="440"/>
      <c r="W1526" s="440"/>
      <c r="X1526" s="440"/>
      <c r="Y1526" s="444">
        <f t="shared" si="17"/>
        <v>0</v>
      </c>
      <c r="Z1526" s="445"/>
      <c r="AA1526" s="446">
        <f t="shared" ref="AA1526:AE1526" si="771">$J1526*E1526</f>
        <v>0</v>
      </c>
      <c r="AB1526" s="447">
        <f t="shared" si="771"/>
        <v>0</v>
      </c>
      <c r="AC1526" s="447">
        <f t="shared" si="771"/>
        <v>0</v>
      </c>
      <c r="AD1526" s="447">
        <f t="shared" si="771"/>
        <v>0</v>
      </c>
      <c r="AE1526" s="448">
        <f t="shared" si="771"/>
        <v>0</v>
      </c>
      <c r="AF1526" s="449"/>
      <c r="AG1526" s="449"/>
      <c r="AH1526" s="449"/>
    </row>
    <row r="1527" ht="11.25" customHeight="1">
      <c r="A1527" s="450"/>
      <c r="B1527" s="451"/>
      <c r="C1527" s="452"/>
      <c r="D1527" s="452"/>
      <c r="E1527" s="453"/>
      <c r="F1527" s="453"/>
      <c r="G1527" s="454"/>
      <c r="H1527" s="454"/>
      <c r="I1527" s="455"/>
      <c r="J1527" s="456"/>
      <c r="K1527" s="457" t="s">
        <v>1416</v>
      </c>
      <c r="L1527" s="458"/>
      <c r="M1527" s="459"/>
      <c r="N1527" s="460"/>
      <c r="O1527" s="460"/>
      <c r="P1527" s="461"/>
      <c r="Q1527" s="458"/>
      <c r="R1527" s="459"/>
      <c r="S1527" s="459"/>
      <c r="T1527" s="459"/>
      <c r="U1527" s="459"/>
      <c r="V1527" s="459"/>
      <c r="W1527" s="459"/>
      <c r="X1527" s="459"/>
      <c r="Y1527" s="462">
        <f t="shared" si="17"/>
        <v>0</v>
      </c>
      <c r="Z1527" s="463"/>
      <c r="AA1527" s="464"/>
      <c r="AB1527" s="465"/>
      <c r="AC1527" s="465"/>
      <c r="AD1527" s="465"/>
      <c r="AE1527" s="466"/>
      <c r="AF1527" s="449"/>
      <c r="AG1527" s="449"/>
      <c r="AH1527" s="449"/>
    </row>
    <row r="1528" ht="11.25" customHeight="1">
      <c r="A1528" s="450"/>
      <c r="B1528" s="451"/>
      <c r="C1528" s="452"/>
      <c r="D1528" s="452"/>
      <c r="E1528" s="453"/>
      <c r="F1528" s="453"/>
      <c r="G1528" s="454"/>
      <c r="H1528" s="454"/>
      <c r="I1528" s="455"/>
      <c r="J1528" s="456"/>
      <c r="K1528" s="467" t="s">
        <v>1417</v>
      </c>
      <c r="L1528" s="468"/>
      <c r="M1528" s="469"/>
      <c r="N1528" s="470"/>
      <c r="O1528" s="470"/>
      <c r="P1528" s="471"/>
      <c r="Q1528" s="468"/>
      <c r="R1528" s="469"/>
      <c r="S1528" s="469"/>
      <c r="T1528" s="469"/>
      <c r="U1528" s="469"/>
      <c r="V1528" s="469"/>
      <c r="W1528" s="469"/>
      <c r="X1528" s="469"/>
      <c r="Y1528" s="462">
        <f t="shared" si="17"/>
        <v>0</v>
      </c>
      <c r="Z1528" s="463"/>
      <c r="AA1528" s="464"/>
      <c r="AB1528" s="465"/>
      <c r="AC1528" s="465"/>
      <c r="AD1528" s="465"/>
      <c r="AE1528" s="466"/>
      <c r="AF1528" s="449"/>
      <c r="AG1528" s="449"/>
      <c r="AH1528" s="449"/>
    </row>
    <row r="1529" ht="11.25" customHeight="1">
      <c r="A1529" s="450"/>
      <c r="B1529" s="472"/>
      <c r="C1529" s="473"/>
      <c r="D1529" s="473"/>
      <c r="E1529" s="474"/>
      <c r="F1529" s="474"/>
      <c r="G1529" s="475"/>
      <c r="H1529" s="475"/>
      <c r="I1529" s="476"/>
      <c r="J1529" s="477"/>
      <c r="K1529" s="478" t="s">
        <v>1418</v>
      </c>
      <c r="L1529" s="479"/>
      <c r="M1529" s="480"/>
      <c r="N1529" s="481"/>
      <c r="O1529" s="481"/>
      <c r="P1529" s="482"/>
      <c r="Q1529" s="479"/>
      <c r="R1529" s="480"/>
      <c r="S1529" s="480"/>
      <c r="T1529" s="480"/>
      <c r="U1529" s="480"/>
      <c r="V1529" s="480"/>
      <c r="W1529" s="480"/>
      <c r="X1529" s="480"/>
      <c r="Y1529" s="483">
        <f t="shared" si="17"/>
        <v>0</v>
      </c>
      <c r="Z1529" s="484"/>
      <c r="AA1529" s="485"/>
      <c r="AB1529" s="486"/>
      <c r="AC1529" s="486"/>
      <c r="AD1529" s="486"/>
      <c r="AE1529" s="487"/>
      <c r="AF1529" s="449"/>
      <c r="AG1529" s="449"/>
      <c r="AH1529" s="449"/>
    </row>
    <row r="1530" ht="11.25" customHeight="1">
      <c r="A1530" s="431" t="str">
        <f>IF(B1530="","", YEAR(B1530))</f>
        <v/>
      </c>
      <c r="B1530" s="432"/>
      <c r="C1530" s="433"/>
      <c r="D1530" s="433"/>
      <c r="E1530" s="434" t="str">
        <f t="shared" ref="E1530:I1530" si="772">IFERROR(AVERAGE(L1530:L1533),"")</f>
        <v/>
      </c>
      <c r="F1530" s="434" t="str">
        <f t="shared" si="772"/>
        <v/>
      </c>
      <c r="G1530" s="435" t="str">
        <f t="shared" si="772"/>
        <v/>
      </c>
      <c r="H1530" s="435" t="str">
        <f t="shared" si="772"/>
        <v/>
      </c>
      <c r="I1530" s="436" t="str">
        <f t="shared" si="772"/>
        <v/>
      </c>
      <c r="J1530" s="437">
        <f>SUMIFS(PRODUCTION[KG],PRODUCTION[GRADE],"3X50",PRODUCTION[DATE],B1530,PRODUCTION[BATCH],C1530,PRODUCTION[SHIFT],D1530)</f>
        <v>0</v>
      </c>
      <c r="K1530" s="438" t="s">
        <v>1414</v>
      </c>
      <c r="L1530" s="443"/>
      <c r="M1530" s="440"/>
      <c r="N1530" s="441"/>
      <c r="O1530" s="441"/>
      <c r="P1530" s="442"/>
      <c r="Q1530" s="443"/>
      <c r="R1530" s="440"/>
      <c r="S1530" s="440"/>
      <c r="T1530" s="440"/>
      <c r="U1530" s="440"/>
      <c r="V1530" s="440"/>
      <c r="W1530" s="440"/>
      <c r="X1530" s="440"/>
      <c r="Y1530" s="444">
        <f t="shared" si="17"/>
        <v>0</v>
      </c>
      <c r="Z1530" s="445"/>
      <c r="AA1530" s="446">
        <f t="shared" ref="AA1530:AE1530" si="773">$J1530*E1530</f>
        <v>0</v>
      </c>
      <c r="AB1530" s="447">
        <f t="shared" si="773"/>
        <v>0</v>
      </c>
      <c r="AC1530" s="447">
        <f t="shared" si="773"/>
        <v>0</v>
      </c>
      <c r="AD1530" s="447">
        <f t="shared" si="773"/>
        <v>0</v>
      </c>
      <c r="AE1530" s="448">
        <f t="shared" si="773"/>
        <v>0</v>
      </c>
      <c r="AF1530" s="449"/>
      <c r="AG1530" s="449"/>
      <c r="AH1530" s="449"/>
    </row>
    <row r="1531" ht="11.25" customHeight="1">
      <c r="A1531" s="450"/>
      <c r="B1531" s="451"/>
      <c r="C1531" s="452"/>
      <c r="D1531" s="452"/>
      <c r="E1531" s="453"/>
      <c r="F1531" s="453"/>
      <c r="G1531" s="454"/>
      <c r="H1531" s="454"/>
      <c r="I1531" s="455"/>
      <c r="J1531" s="456"/>
      <c r="K1531" s="457" t="s">
        <v>1416</v>
      </c>
      <c r="L1531" s="458"/>
      <c r="M1531" s="459"/>
      <c r="N1531" s="460"/>
      <c r="O1531" s="460"/>
      <c r="P1531" s="461"/>
      <c r="Q1531" s="458"/>
      <c r="R1531" s="459"/>
      <c r="S1531" s="459"/>
      <c r="T1531" s="459"/>
      <c r="U1531" s="459"/>
      <c r="V1531" s="459"/>
      <c r="W1531" s="459"/>
      <c r="X1531" s="459"/>
      <c r="Y1531" s="462">
        <f t="shared" si="17"/>
        <v>0</v>
      </c>
      <c r="Z1531" s="463"/>
      <c r="AA1531" s="464"/>
      <c r="AB1531" s="465"/>
      <c r="AC1531" s="465"/>
      <c r="AD1531" s="465"/>
      <c r="AE1531" s="466"/>
      <c r="AF1531" s="449"/>
      <c r="AG1531" s="449"/>
      <c r="AH1531" s="449"/>
    </row>
    <row r="1532" ht="11.25" customHeight="1">
      <c r="A1532" s="450"/>
      <c r="B1532" s="451"/>
      <c r="C1532" s="452"/>
      <c r="D1532" s="452"/>
      <c r="E1532" s="453"/>
      <c r="F1532" s="453"/>
      <c r="G1532" s="454"/>
      <c r="H1532" s="454"/>
      <c r="I1532" s="455"/>
      <c r="J1532" s="456"/>
      <c r="K1532" s="467" t="s">
        <v>1417</v>
      </c>
      <c r="L1532" s="468"/>
      <c r="M1532" s="469"/>
      <c r="N1532" s="470"/>
      <c r="O1532" s="470"/>
      <c r="P1532" s="471"/>
      <c r="Q1532" s="468"/>
      <c r="R1532" s="469"/>
      <c r="S1532" s="469"/>
      <c r="T1532" s="469"/>
      <c r="U1532" s="469"/>
      <c r="V1532" s="469"/>
      <c r="W1532" s="469"/>
      <c r="X1532" s="469"/>
      <c r="Y1532" s="462">
        <f t="shared" si="17"/>
        <v>0</v>
      </c>
      <c r="Z1532" s="463"/>
      <c r="AA1532" s="464"/>
      <c r="AB1532" s="465"/>
      <c r="AC1532" s="465"/>
      <c r="AD1532" s="465"/>
      <c r="AE1532" s="466"/>
      <c r="AF1532" s="449"/>
      <c r="AG1532" s="449"/>
      <c r="AH1532" s="449"/>
    </row>
    <row r="1533" ht="11.25" customHeight="1">
      <c r="A1533" s="450"/>
      <c r="B1533" s="472"/>
      <c r="C1533" s="473"/>
      <c r="D1533" s="473"/>
      <c r="E1533" s="474"/>
      <c r="F1533" s="474"/>
      <c r="G1533" s="475"/>
      <c r="H1533" s="475"/>
      <c r="I1533" s="476"/>
      <c r="J1533" s="477"/>
      <c r="K1533" s="478" t="s">
        <v>1418</v>
      </c>
      <c r="L1533" s="479"/>
      <c r="M1533" s="480"/>
      <c r="N1533" s="481"/>
      <c r="O1533" s="481"/>
      <c r="P1533" s="482"/>
      <c r="Q1533" s="479"/>
      <c r="R1533" s="480"/>
      <c r="S1533" s="480"/>
      <c r="T1533" s="480"/>
      <c r="U1533" s="480"/>
      <c r="V1533" s="480"/>
      <c r="W1533" s="480"/>
      <c r="X1533" s="480"/>
      <c r="Y1533" s="483">
        <f t="shared" si="17"/>
        <v>0</v>
      </c>
      <c r="Z1533" s="484"/>
      <c r="AA1533" s="485"/>
      <c r="AB1533" s="486"/>
      <c r="AC1533" s="486"/>
      <c r="AD1533" s="486"/>
      <c r="AE1533" s="487"/>
      <c r="AF1533" s="449"/>
      <c r="AG1533" s="449"/>
      <c r="AH1533" s="449"/>
    </row>
    <row r="1534" ht="11.25" customHeight="1">
      <c r="A1534" s="431" t="str">
        <f>IF(B1534="","", YEAR(B1534))</f>
        <v/>
      </c>
      <c r="B1534" s="432"/>
      <c r="C1534" s="433"/>
      <c r="D1534" s="433"/>
      <c r="E1534" s="434" t="str">
        <f t="shared" ref="E1534:I1534" si="774">IFERROR(AVERAGE(L1534:L1537),"")</f>
        <v/>
      </c>
      <c r="F1534" s="434" t="str">
        <f t="shared" si="774"/>
        <v/>
      </c>
      <c r="G1534" s="435" t="str">
        <f t="shared" si="774"/>
        <v/>
      </c>
      <c r="H1534" s="435" t="str">
        <f t="shared" si="774"/>
        <v/>
      </c>
      <c r="I1534" s="436" t="str">
        <f t="shared" si="774"/>
        <v/>
      </c>
      <c r="J1534" s="437">
        <f>SUMIFS(PRODUCTION[KG],PRODUCTION[GRADE],"3X50",PRODUCTION[DATE],B1534,PRODUCTION[BATCH],C1534,PRODUCTION[SHIFT],D1534)</f>
        <v>0</v>
      </c>
      <c r="K1534" s="438" t="s">
        <v>1414</v>
      </c>
      <c r="L1534" s="443"/>
      <c r="M1534" s="440"/>
      <c r="N1534" s="441"/>
      <c r="O1534" s="441"/>
      <c r="P1534" s="442"/>
      <c r="Q1534" s="443"/>
      <c r="R1534" s="440"/>
      <c r="S1534" s="440"/>
      <c r="T1534" s="440"/>
      <c r="U1534" s="440"/>
      <c r="V1534" s="440"/>
      <c r="W1534" s="440"/>
      <c r="X1534" s="440"/>
      <c r="Y1534" s="444">
        <f t="shared" si="17"/>
        <v>0</v>
      </c>
      <c r="Z1534" s="445"/>
      <c r="AA1534" s="446">
        <f t="shared" ref="AA1534:AE1534" si="775">$J1534*E1534</f>
        <v>0</v>
      </c>
      <c r="AB1534" s="447">
        <f t="shared" si="775"/>
        <v>0</v>
      </c>
      <c r="AC1534" s="447">
        <f t="shared" si="775"/>
        <v>0</v>
      </c>
      <c r="AD1534" s="447">
        <f t="shared" si="775"/>
        <v>0</v>
      </c>
      <c r="AE1534" s="448">
        <f t="shared" si="775"/>
        <v>0</v>
      </c>
      <c r="AF1534" s="449"/>
      <c r="AG1534" s="449"/>
      <c r="AH1534" s="449"/>
    </row>
    <row r="1535" ht="11.25" customHeight="1">
      <c r="A1535" s="450"/>
      <c r="B1535" s="451"/>
      <c r="C1535" s="452"/>
      <c r="D1535" s="452"/>
      <c r="E1535" s="453"/>
      <c r="F1535" s="453"/>
      <c r="G1535" s="454"/>
      <c r="H1535" s="454"/>
      <c r="I1535" s="455"/>
      <c r="J1535" s="456"/>
      <c r="K1535" s="457" t="s">
        <v>1416</v>
      </c>
      <c r="L1535" s="458"/>
      <c r="M1535" s="459"/>
      <c r="N1535" s="460"/>
      <c r="O1535" s="460"/>
      <c r="P1535" s="461"/>
      <c r="Q1535" s="458"/>
      <c r="R1535" s="459"/>
      <c r="S1535" s="459"/>
      <c r="T1535" s="459"/>
      <c r="U1535" s="459"/>
      <c r="V1535" s="459"/>
      <c r="W1535" s="459"/>
      <c r="X1535" s="459"/>
      <c r="Y1535" s="462">
        <f t="shared" si="17"/>
        <v>0</v>
      </c>
      <c r="Z1535" s="463"/>
      <c r="AA1535" s="464"/>
      <c r="AB1535" s="465"/>
      <c r="AC1535" s="465"/>
      <c r="AD1535" s="465"/>
      <c r="AE1535" s="466"/>
      <c r="AF1535" s="449"/>
      <c r="AG1535" s="449"/>
      <c r="AH1535" s="449"/>
    </row>
    <row r="1536" ht="11.25" customHeight="1">
      <c r="A1536" s="450"/>
      <c r="B1536" s="451"/>
      <c r="C1536" s="452"/>
      <c r="D1536" s="452"/>
      <c r="E1536" s="453"/>
      <c r="F1536" s="453"/>
      <c r="G1536" s="454"/>
      <c r="H1536" s="454"/>
      <c r="I1536" s="455"/>
      <c r="J1536" s="456"/>
      <c r="K1536" s="467" t="s">
        <v>1417</v>
      </c>
      <c r="L1536" s="468"/>
      <c r="M1536" s="469"/>
      <c r="N1536" s="470"/>
      <c r="O1536" s="470"/>
      <c r="P1536" s="471"/>
      <c r="Q1536" s="468"/>
      <c r="R1536" s="469"/>
      <c r="S1536" s="469"/>
      <c r="T1536" s="469"/>
      <c r="U1536" s="469"/>
      <c r="V1536" s="469"/>
      <c r="W1536" s="469"/>
      <c r="X1536" s="469"/>
      <c r="Y1536" s="462">
        <f t="shared" si="17"/>
        <v>0</v>
      </c>
      <c r="Z1536" s="463"/>
      <c r="AA1536" s="464"/>
      <c r="AB1536" s="465"/>
      <c r="AC1536" s="465"/>
      <c r="AD1536" s="465"/>
      <c r="AE1536" s="466"/>
      <c r="AF1536" s="449"/>
      <c r="AG1536" s="449"/>
      <c r="AH1536" s="449"/>
    </row>
    <row r="1537" ht="11.25" customHeight="1">
      <c r="A1537" s="450"/>
      <c r="B1537" s="472"/>
      <c r="C1537" s="473"/>
      <c r="D1537" s="473"/>
      <c r="E1537" s="474"/>
      <c r="F1537" s="474"/>
      <c r="G1537" s="475"/>
      <c r="H1537" s="475"/>
      <c r="I1537" s="476"/>
      <c r="J1537" s="477"/>
      <c r="K1537" s="478" t="s">
        <v>1418</v>
      </c>
      <c r="L1537" s="479"/>
      <c r="M1537" s="480"/>
      <c r="N1537" s="481"/>
      <c r="O1537" s="481"/>
      <c r="P1537" s="482"/>
      <c r="Q1537" s="479"/>
      <c r="R1537" s="480"/>
      <c r="S1537" s="480"/>
      <c r="T1537" s="480"/>
      <c r="U1537" s="480"/>
      <c r="V1537" s="480"/>
      <c r="W1537" s="480"/>
      <c r="X1537" s="480"/>
      <c r="Y1537" s="483">
        <f t="shared" si="17"/>
        <v>0</v>
      </c>
      <c r="Z1537" s="484"/>
      <c r="AA1537" s="485"/>
      <c r="AB1537" s="486"/>
      <c r="AC1537" s="486"/>
      <c r="AD1537" s="486"/>
      <c r="AE1537" s="487"/>
      <c r="AF1537" s="449"/>
      <c r="AG1537" s="449"/>
      <c r="AH1537" s="449"/>
    </row>
    <row r="1538" ht="11.25" customHeight="1">
      <c r="A1538" s="431" t="str">
        <f>IF(B1538="","", YEAR(B1538))</f>
        <v/>
      </c>
      <c r="B1538" s="432"/>
      <c r="C1538" s="433"/>
      <c r="D1538" s="433"/>
      <c r="E1538" s="434" t="str">
        <f t="shared" ref="E1538:I1538" si="776">IFERROR(AVERAGE(L1538:L1541),"")</f>
        <v/>
      </c>
      <c r="F1538" s="434" t="str">
        <f t="shared" si="776"/>
        <v/>
      </c>
      <c r="G1538" s="435" t="str">
        <f t="shared" si="776"/>
        <v/>
      </c>
      <c r="H1538" s="435" t="str">
        <f t="shared" si="776"/>
        <v/>
      </c>
      <c r="I1538" s="436" t="str">
        <f t="shared" si="776"/>
        <v/>
      </c>
      <c r="J1538" s="437">
        <f>SUMIFS(PRODUCTION[KG],PRODUCTION[GRADE],"3X50",PRODUCTION[DATE],B1538,PRODUCTION[BATCH],C1538,PRODUCTION[SHIFT],D1538)</f>
        <v>0</v>
      </c>
      <c r="K1538" s="438" t="s">
        <v>1414</v>
      </c>
      <c r="L1538" s="443"/>
      <c r="M1538" s="440"/>
      <c r="N1538" s="441"/>
      <c r="O1538" s="441"/>
      <c r="P1538" s="442"/>
      <c r="Q1538" s="443"/>
      <c r="R1538" s="440"/>
      <c r="S1538" s="440"/>
      <c r="T1538" s="440"/>
      <c r="U1538" s="440"/>
      <c r="V1538" s="440"/>
      <c r="W1538" s="440"/>
      <c r="X1538" s="440"/>
      <c r="Y1538" s="444">
        <f t="shared" si="17"/>
        <v>0</v>
      </c>
      <c r="Z1538" s="445"/>
      <c r="AA1538" s="446">
        <f t="shared" ref="AA1538:AE1538" si="777">$J1538*E1538</f>
        <v>0</v>
      </c>
      <c r="AB1538" s="447">
        <f t="shared" si="777"/>
        <v>0</v>
      </c>
      <c r="AC1538" s="447">
        <f t="shared" si="777"/>
        <v>0</v>
      </c>
      <c r="AD1538" s="447">
        <f t="shared" si="777"/>
        <v>0</v>
      </c>
      <c r="AE1538" s="448">
        <f t="shared" si="777"/>
        <v>0</v>
      </c>
      <c r="AF1538" s="449"/>
      <c r="AG1538" s="449"/>
      <c r="AH1538" s="449"/>
    </row>
    <row r="1539" ht="11.25" customHeight="1">
      <c r="A1539" s="450"/>
      <c r="B1539" s="451"/>
      <c r="C1539" s="452"/>
      <c r="D1539" s="452"/>
      <c r="E1539" s="453"/>
      <c r="F1539" s="453"/>
      <c r="G1539" s="454"/>
      <c r="H1539" s="454"/>
      <c r="I1539" s="455"/>
      <c r="J1539" s="456"/>
      <c r="K1539" s="457" t="s">
        <v>1416</v>
      </c>
      <c r="L1539" s="458"/>
      <c r="M1539" s="459"/>
      <c r="N1539" s="460"/>
      <c r="O1539" s="460"/>
      <c r="P1539" s="461"/>
      <c r="Q1539" s="458"/>
      <c r="R1539" s="459"/>
      <c r="S1539" s="459"/>
      <c r="T1539" s="459"/>
      <c r="U1539" s="459"/>
      <c r="V1539" s="459"/>
      <c r="W1539" s="459"/>
      <c r="X1539" s="459"/>
      <c r="Y1539" s="462">
        <f t="shared" si="17"/>
        <v>0</v>
      </c>
      <c r="Z1539" s="463"/>
      <c r="AA1539" s="464"/>
      <c r="AB1539" s="465"/>
      <c r="AC1539" s="465"/>
      <c r="AD1539" s="465"/>
      <c r="AE1539" s="466"/>
      <c r="AF1539" s="449"/>
      <c r="AG1539" s="449"/>
      <c r="AH1539" s="449"/>
    </row>
    <row r="1540" ht="11.25" customHeight="1">
      <c r="A1540" s="450"/>
      <c r="B1540" s="451"/>
      <c r="C1540" s="452"/>
      <c r="D1540" s="452"/>
      <c r="E1540" s="453"/>
      <c r="F1540" s="453"/>
      <c r="G1540" s="454"/>
      <c r="H1540" s="454"/>
      <c r="I1540" s="455"/>
      <c r="J1540" s="456"/>
      <c r="K1540" s="467" t="s">
        <v>1417</v>
      </c>
      <c r="L1540" s="468"/>
      <c r="M1540" s="469"/>
      <c r="N1540" s="470"/>
      <c r="O1540" s="470"/>
      <c r="P1540" s="471"/>
      <c r="Q1540" s="468"/>
      <c r="R1540" s="469"/>
      <c r="S1540" s="469"/>
      <c r="T1540" s="469"/>
      <c r="U1540" s="469"/>
      <c r="V1540" s="469"/>
      <c r="W1540" s="469"/>
      <c r="X1540" s="469"/>
      <c r="Y1540" s="462">
        <f t="shared" si="17"/>
        <v>0</v>
      </c>
      <c r="Z1540" s="463"/>
      <c r="AA1540" s="464"/>
      <c r="AB1540" s="465"/>
      <c r="AC1540" s="465"/>
      <c r="AD1540" s="465"/>
      <c r="AE1540" s="466"/>
      <c r="AF1540" s="449"/>
      <c r="AG1540" s="449"/>
      <c r="AH1540" s="449"/>
    </row>
    <row r="1541" ht="11.25" customHeight="1">
      <c r="A1541" s="450"/>
      <c r="B1541" s="472"/>
      <c r="C1541" s="473"/>
      <c r="D1541" s="473"/>
      <c r="E1541" s="474"/>
      <c r="F1541" s="474"/>
      <c r="G1541" s="475"/>
      <c r="H1541" s="475"/>
      <c r="I1541" s="476"/>
      <c r="J1541" s="477"/>
      <c r="K1541" s="478" t="s">
        <v>1418</v>
      </c>
      <c r="L1541" s="479"/>
      <c r="M1541" s="480"/>
      <c r="N1541" s="481"/>
      <c r="O1541" s="481"/>
      <c r="P1541" s="482"/>
      <c r="Q1541" s="479"/>
      <c r="R1541" s="480"/>
      <c r="S1541" s="480"/>
      <c r="T1541" s="480"/>
      <c r="U1541" s="480"/>
      <c r="V1541" s="480"/>
      <c r="W1541" s="480"/>
      <c r="X1541" s="480"/>
      <c r="Y1541" s="483">
        <f t="shared" si="17"/>
        <v>0</v>
      </c>
      <c r="Z1541" s="484"/>
      <c r="AA1541" s="485"/>
      <c r="AB1541" s="486"/>
      <c r="AC1541" s="486"/>
      <c r="AD1541" s="486"/>
      <c r="AE1541" s="487"/>
      <c r="AF1541" s="449"/>
      <c r="AG1541" s="449"/>
      <c r="AH1541" s="449"/>
    </row>
    <row r="1542" ht="11.25" customHeight="1">
      <c r="A1542" s="431" t="str">
        <f>IF(B1542="","", YEAR(B1542))</f>
        <v/>
      </c>
      <c r="B1542" s="432"/>
      <c r="C1542" s="433"/>
      <c r="D1542" s="433"/>
      <c r="E1542" s="434" t="str">
        <f t="shared" ref="E1542:I1542" si="778">IFERROR(AVERAGE(L1542:L1545),"")</f>
        <v/>
      </c>
      <c r="F1542" s="434" t="str">
        <f t="shared" si="778"/>
        <v/>
      </c>
      <c r="G1542" s="435" t="str">
        <f t="shared" si="778"/>
        <v/>
      </c>
      <c r="H1542" s="435" t="str">
        <f t="shared" si="778"/>
        <v/>
      </c>
      <c r="I1542" s="436" t="str">
        <f t="shared" si="778"/>
        <v/>
      </c>
      <c r="J1542" s="437">
        <f>SUMIFS(PRODUCTION[KG],PRODUCTION[GRADE],"3X50",PRODUCTION[DATE],B1542,PRODUCTION[BATCH],C1542,PRODUCTION[SHIFT],D1542)</f>
        <v>0</v>
      </c>
      <c r="K1542" s="438" t="s">
        <v>1414</v>
      </c>
      <c r="L1542" s="443"/>
      <c r="M1542" s="440"/>
      <c r="N1542" s="441"/>
      <c r="O1542" s="441"/>
      <c r="P1542" s="442"/>
      <c r="Q1542" s="443"/>
      <c r="R1542" s="440"/>
      <c r="S1542" s="440"/>
      <c r="T1542" s="440"/>
      <c r="U1542" s="440"/>
      <c r="V1542" s="440"/>
      <c r="W1542" s="440"/>
      <c r="X1542" s="440"/>
      <c r="Y1542" s="444">
        <f t="shared" si="17"/>
        <v>0</v>
      </c>
      <c r="Z1542" s="445"/>
      <c r="AA1542" s="446">
        <f t="shared" ref="AA1542:AE1542" si="779">$J1542*E1542</f>
        <v>0</v>
      </c>
      <c r="AB1542" s="447">
        <f t="shared" si="779"/>
        <v>0</v>
      </c>
      <c r="AC1542" s="447">
        <f t="shared" si="779"/>
        <v>0</v>
      </c>
      <c r="AD1542" s="447">
        <f t="shared" si="779"/>
        <v>0</v>
      </c>
      <c r="AE1542" s="448">
        <f t="shared" si="779"/>
        <v>0</v>
      </c>
      <c r="AF1542" s="449"/>
      <c r="AG1542" s="449"/>
      <c r="AH1542" s="449"/>
    </row>
    <row r="1543" ht="11.25" customHeight="1">
      <c r="A1543" s="450"/>
      <c r="B1543" s="451"/>
      <c r="C1543" s="452"/>
      <c r="D1543" s="452"/>
      <c r="E1543" s="453"/>
      <c r="F1543" s="453"/>
      <c r="G1543" s="454"/>
      <c r="H1543" s="454"/>
      <c r="I1543" s="455"/>
      <c r="J1543" s="456"/>
      <c r="K1543" s="457" t="s">
        <v>1416</v>
      </c>
      <c r="L1543" s="458"/>
      <c r="M1543" s="459"/>
      <c r="N1543" s="460"/>
      <c r="O1543" s="460"/>
      <c r="P1543" s="461"/>
      <c r="Q1543" s="458"/>
      <c r="R1543" s="459"/>
      <c r="S1543" s="459"/>
      <c r="T1543" s="459"/>
      <c r="U1543" s="459"/>
      <c r="V1543" s="459"/>
      <c r="W1543" s="459"/>
      <c r="X1543" s="459"/>
      <c r="Y1543" s="462">
        <f t="shared" si="17"/>
        <v>0</v>
      </c>
      <c r="Z1543" s="463"/>
      <c r="AA1543" s="464"/>
      <c r="AB1543" s="465"/>
      <c r="AC1543" s="465"/>
      <c r="AD1543" s="465"/>
      <c r="AE1543" s="466"/>
      <c r="AF1543" s="449"/>
      <c r="AG1543" s="449"/>
      <c r="AH1543" s="449"/>
    </row>
    <row r="1544" ht="11.25" customHeight="1">
      <c r="A1544" s="450"/>
      <c r="B1544" s="451"/>
      <c r="C1544" s="452"/>
      <c r="D1544" s="452"/>
      <c r="E1544" s="453"/>
      <c r="F1544" s="453"/>
      <c r="G1544" s="454"/>
      <c r="H1544" s="454"/>
      <c r="I1544" s="455"/>
      <c r="J1544" s="456"/>
      <c r="K1544" s="467" t="s">
        <v>1417</v>
      </c>
      <c r="L1544" s="468"/>
      <c r="M1544" s="469"/>
      <c r="N1544" s="470"/>
      <c r="O1544" s="470"/>
      <c r="P1544" s="471"/>
      <c r="Q1544" s="468"/>
      <c r="R1544" s="469"/>
      <c r="S1544" s="469"/>
      <c r="T1544" s="469"/>
      <c r="U1544" s="469"/>
      <c r="V1544" s="469"/>
      <c r="W1544" s="469"/>
      <c r="X1544" s="469"/>
      <c r="Y1544" s="462">
        <f t="shared" si="17"/>
        <v>0</v>
      </c>
      <c r="Z1544" s="463"/>
      <c r="AA1544" s="464"/>
      <c r="AB1544" s="465"/>
      <c r="AC1544" s="465"/>
      <c r="AD1544" s="465"/>
      <c r="AE1544" s="466"/>
      <c r="AF1544" s="449"/>
      <c r="AG1544" s="449"/>
      <c r="AH1544" s="449"/>
    </row>
    <row r="1545" ht="11.25" customHeight="1">
      <c r="A1545" s="450"/>
      <c r="B1545" s="472"/>
      <c r="C1545" s="473"/>
      <c r="D1545" s="473"/>
      <c r="E1545" s="474"/>
      <c r="F1545" s="474"/>
      <c r="G1545" s="475"/>
      <c r="H1545" s="475"/>
      <c r="I1545" s="476"/>
      <c r="J1545" s="477"/>
      <c r="K1545" s="478" t="s">
        <v>1418</v>
      </c>
      <c r="L1545" s="479"/>
      <c r="M1545" s="480"/>
      <c r="N1545" s="481"/>
      <c r="O1545" s="481"/>
      <c r="P1545" s="482"/>
      <c r="Q1545" s="479"/>
      <c r="R1545" s="480"/>
      <c r="S1545" s="480"/>
      <c r="T1545" s="480"/>
      <c r="U1545" s="480"/>
      <c r="V1545" s="480"/>
      <c r="W1545" s="480"/>
      <c r="X1545" s="480"/>
      <c r="Y1545" s="483">
        <f t="shared" si="17"/>
        <v>0</v>
      </c>
      <c r="Z1545" s="484"/>
      <c r="AA1545" s="485"/>
      <c r="AB1545" s="486"/>
      <c r="AC1545" s="486"/>
      <c r="AD1545" s="486"/>
      <c r="AE1545" s="487"/>
      <c r="AF1545" s="449"/>
      <c r="AG1545" s="449"/>
      <c r="AH1545" s="449"/>
    </row>
    <row r="1546" ht="11.25" customHeight="1">
      <c r="A1546" s="431" t="str">
        <f>IF(B1546="","", YEAR(B1546))</f>
        <v/>
      </c>
      <c r="B1546" s="432"/>
      <c r="C1546" s="433"/>
      <c r="D1546" s="433"/>
      <c r="E1546" s="434" t="str">
        <f t="shared" ref="E1546:I1546" si="780">IFERROR(AVERAGE(L1546:L1549),"")</f>
        <v/>
      </c>
      <c r="F1546" s="434" t="str">
        <f t="shared" si="780"/>
        <v/>
      </c>
      <c r="G1546" s="435" t="str">
        <f t="shared" si="780"/>
        <v/>
      </c>
      <c r="H1546" s="435" t="str">
        <f t="shared" si="780"/>
        <v/>
      </c>
      <c r="I1546" s="436" t="str">
        <f t="shared" si="780"/>
        <v/>
      </c>
      <c r="J1546" s="437">
        <f>SUMIFS(PRODUCTION[KG],PRODUCTION[GRADE],"3X50",PRODUCTION[DATE],B1546,PRODUCTION[BATCH],C1546,PRODUCTION[SHIFT],D1546)</f>
        <v>0</v>
      </c>
      <c r="K1546" s="438" t="s">
        <v>1414</v>
      </c>
      <c r="L1546" s="443"/>
      <c r="M1546" s="440"/>
      <c r="N1546" s="441"/>
      <c r="O1546" s="441"/>
      <c r="P1546" s="442"/>
      <c r="Q1546" s="443"/>
      <c r="R1546" s="440"/>
      <c r="S1546" s="440"/>
      <c r="T1546" s="440"/>
      <c r="U1546" s="440"/>
      <c r="V1546" s="440"/>
      <c r="W1546" s="440"/>
      <c r="X1546" s="440"/>
      <c r="Y1546" s="444">
        <f t="shared" si="17"/>
        <v>0</v>
      </c>
      <c r="Z1546" s="445"/>
      <c r="AA1546" s="446">
        <f t="shared" ref="AA1546:AE1546" si="781">$J1546*E1546</f>
        <v>0</v>
      </c>
      <c r="AB1546" s="447">
        <f t="shared" si="781"/>
        <v>0</v>
      </c>
      <c r="AC1546" s="447">
        <f t="shared" si="781"/>
        <v>0</v>
      </c>
      <c r="AD1546" s="447">
        <f t="shared" si="781"/>
        <v>0</v>
      </c>
      <c r="AE1546" s="448">
        <f t="shared" si="781"/>
        <v>0</v>
      </c>
      <c r="AF1546" s="449"/>
      <c r="AG1546" s="449"/>
      <c r="AH1546" s="449"/>
    </row>
    <row r="1547" ht="11.25" customHeight="1">
      <c r="A1547" s="450"/>
      <c r="B1547" s="451"/>
      <c r="C1547" s="452"/>
      <c r="D1547" s="452"/>
      <c r="E1547" s="453"/>
      <c r="F1547" s="453"/>
      <c r="G1547" s="454"/>
      <c r="H1547" s="454"/>
      <c r="I1547" s="455"/>
      <c r="J1547" s="456"/>
      <c r="K1547" s="457" t="s">
        <v>1416</v>
      </c>
      <c r="L1547" s="458"/>
      <c r="M1547" s="459"/>
      <c r="N1547" s="460"/>
      <c r="O1547" s="460"/>
      <c r="P1547" s="461"/>
      <c r="Q1547" s="458"/>
      <c r="R1547" s="459"/>
      <c r="S1547" s="459"/>
      <c r="T1547" s="459"/>
      <c r="U1547" s="459"/>
      <c r="V1547" s="459"/>
      <c r="W1547" s="459"/>
      <c r="X1547" s="459"/>
      <c r="Y1547" s="462">
        <f t="shared" si="17"/>
        <v>0</v>
      </c>
      <c r="Z1547" s="463"/>
      <c r="AA1547" s="464"/>
      <c r="AB1547" s="465"/>
      <c r="AC1547" s="465"/>
      <c r="AD1547" s="465"/>
      <c r="AE1547" s="466"/>
      <c r="AF1547" s="449"/>
      <c r="AG1547" s="449"/>
      <c r="AH1547" s="449"/>
    </row>
    <row r="1548" ht="11.25" customHeight="1">
      <c r="A1548" s="450"/>
      <c r="B1548" s="451"/>
      <c r="C1548" s="452"/>
      <c r="D1548" s="452"/>
      <c r="E1548" s="453"/>
      <c r="F1548" s="453"/>
      <c r="G1548" s="454"/>
      <c r="H1548" s="454"/>
      <c r="I1548" s="455"/>
      <c r="J1548" s="456"/>
      <c r="K1548" s="467" t="s">
        <v>1417</v>
      </c>
      <c r="L1548" s="468"/>
      <c r="M1548" s="469"/>
      <c r="N1548" s="470"/>
      <c r="O1548" s="470"/>
      <c r="P1548" s="471"/>
      <c r="Q1548" s="468"/>
      <c r="R1548" s="469"/>
      <c r="S1548" s="469"/>
      <c r="T1548" s="469"/>
      <c r="U1548" s="469"/>
      <c r="V1548" s="469"/>
      <c r="W1548" s="469"/>
      <c r="X1548" s="469"/>
      <c r="Y1548" s="462">
        <f t="shared" si="17"/>
        <v>0</v>
      </c>
      <c r="Z1548" s="463"/>
      <c r="AA1548" s="464"/>
      <c r="AB1548" s="465"/>
      <c r="AC1548" s="465"/>
      <c r="AD1548" s="465"/>
      <c r="AE1548" s="466"/>
      <c r="AF1548" s="449"/>
      <c r="AG1548" s="449"/>
      <c r="AH1548" s="449"/>
    </row>
    <row r="1549" ht="11.25" customHeight="1">
      <c r="A1549" s="450"/>
      <c r="B1549" s="472"/>
      <c r="C1549" s="473"/>
      <c r="D1549" s="473"/>
      <c r="E1549" s="474"/>
      <c r="F1549" s="474"/>
      <c r="G1549" s="475"/>
      <c r="H1549" s="475"/>
      <c r="I1549" s="476"/>
      <c r="J1549" s="477"/>
      <c r="K1549" s="478" t="s">
        <v>1418</v>
      </c>
      <c r="L1549" s="479"/>
      <c r="M1549" s="480"/>
      <c r="N1549" s="481"/>
      <c r="O1549" s="481"/>
      <c r="P1549" s="482"/>
      <c r="Q1549" s="479"/>
      <c r="R1549" s="480"/>
      <c r="S1549" s="480"/>
      <c r="T1549" s="480"/>
      <c r="U1549" s="480"/>
      <c r="V1549" s="480"/>
      <c r="W1549" s="480"/>
      <c r="X1549" s="480"/>
      <c r="Y1549" s="483">
        <f t="shared" si="17"/>
        <v>0</v>
      </c>
      <c r="Z1549" s="484"/>
      <c r="AA1549" s="485"/>
      <c r="AB1549" s="486"/>
      <c r="AC1549" s="486"/>
      <c r="AD1549" s="486"/>
      <c r="AE1549" s="487"/>
      <c r="AF1549" s="449"/>
      <c r="AG1549" s="449"/>
      <c r="AH1549" s="449"/>
    </row>
    <row r="1550" ht="11.25" customHeight="1">
      <c r="A1550" s="431" t="str">
        <f>IF(B1550="","", YEAR(B1550))</f>
        <v/>
      </c>
      <c r="B1550" s="432"/>
      <c r="C1550" s="433"/>
      <c r="D1550" s="433"/>
      <c r="E1550" s="434" t="str">
        <f t="shared" ref="E1550:I1550" si="782">IFERROR(AVERAGE(L1550:L1553),"")</f>
        <v/>
      </c>
      <c r="F1550" s="434" t="str">
        <f t="shared" si="782"/>
        <v/>
      </c>
      <c r="G1550" s="435" t="str">
        <f t="shared" si="782"/>
        <v/>
      </c>
      <c r="H1550" s="435" t="str">
        <f t="shared" si="782"/>
        <v/>
      </c>
      <c r="I1550" s="436" t="str">
        <f t="shared" si="782"/>
        <v/>
      </c>
      <c r="J1550" s="437">
        <f>SUMIFS(PRODUCTION[KG],PRODUCTION[GRADE],"3X50",PRODUCTION[DATE],B1550,PRODUCTION[BATCH],C1550,PRODUCTION[SHIFT],D1550)</f>
        <v>0</v>
      </c>
      <c r="K1550" s="438" t="s">
        <v>1414</v>
      </c>
      <c r="L1550" s="443"/>
      <c r="M1550" s="440"/>
      <c r="N1550" s="441"/>
      <c r="O1550" s="441"/>
      <c r="P1550" s="442"/>
      <c r="Q1550" s="443"/>
      <c r="R1550" s="440"/>
      <c r="S1550" s="440"/>
      <c r="T1550" s="440"/>
      <c r="U1550" s="440"/>
      <c r="V1550" s="440"/>
      <c r="W1550" s="440"/>
      <c r="X1550" s="440"/>
      <c r="Y1550" s="444">
        <f t="shared" si="17"/>
        <v>0</v>
      </c>
      <c r="Z1550" s="445"/>
      <c r="AA1550" s="446">
        <f t="shared" ref="AA1550:AE1550" si="783">$J1550*E1550</f>
        <v>0</v>
      </c>
      <c r="AB1550" s="447">
        <f t="shared" si="783"/>
        <v>0</v>
      </c>
      <c r="AC1550" s="447">
        <f t="shared" si="783"/>
        <v>0</v>
      </c>
      <c r="AD1550" s="447">
        <f t="shared" si="783"/>
        <v>0</v>
      </c>
      <c r="AE1550" s="448">
        <f t="shared" si="783"/>
        <v>0</v>
      </c>
      <c r="AF1550" s="449"/>
      <c r="AG1550" s="449"/>
      <c r="AH1550" s="449"/>
    </row>
    <row r="1551" ht="11.25" customHeight="1">
      <c r="A1551" s="450"/>
      <c r="B1551" s="451"/>
      <c r="C1551" s="452"/>
      <c r="D1551" s="452"/>
      <c r="E1551" s="453"/>
      <c r="F1551" s="453"/>
      <c r="G1551" s="454"/>
      <c r="H1551" s="454"/>
      <c r="I1551" s="455"/>
      <c r="J1551" s="456"/>
      <c r="K1551" s="457" t="s">
        <v>1416</v>
      </c>
      <c r="L1551" s="458"/>
      <c r="M1551" s="459"/>
      <c r="N1551" s="460"/>
      <c r="O1551" s="460"/>
      <c r="P1551" s="461"/>
      <c r="Q1551" s="458"/>
      <c r="R1551" s="459"/>
      <c r="S1551" s="459"/>
      <c r="T1551" s="459"/>
      <c r="U1551" s="459"/>
      <c r="V1551" s="459"/>
      <c r="W1551" s="459"/>
      <c r="X1551" s="459"/>
      <c r="Y1551" s="462">
        <f t="shared" si="17"/>
        <v>0</v>
      </c>
      <c r="Z1551" s="463"/>
      <c r="AA1551" s="464"/>
      <c r="AB1551" s="465"/>
      <c r="AC1551" s="465"/>
      <c r="AD1551" s="465"/>
      <c r="AE1551" s="466"/>
      <c r="AF1551" s="449"/>
      <c r="AG1551" s="449"/>
      <c r="AH1551" s="449"/>
    </row>
    <row r="1552" ht="11.25" customHeight="1">
      <c r="A1552" s="450"/>
      <c r="B1552" s="451"/>
      <c r="C1552" s="452"/>
      <c r="D1552" s="452"/>
      <c r="E1552" s="453"/>
      <c r="F1552" s="453"/>
      <c r="G1552" s="454"/>
      <c r="H1552" s="454"/>
      <c r="I1552" s="455"/>
      <c r="J1552" s="456"/>
      <c r="K1552" s="467" t="s">
        <v>1417</v>
      </c>
      <c r="L1552" s="468"/>
      <c r="M1552" s="469"/>
      <c r="N1552" s="470"/>
      <c r="O1552" s="470"/>
      <c r="P1552" s="471"/>
      <c r="Q1552" s="468"/>
      <c r="R1552" s="469"/>
      <c r="S1552" s="469"/>
      <c r="T1552" s="469"/>
      <c r="U1552" s="469"/>
      <c r="V1552" s="469"/>
      <c r="W1552" s="469"/>
      <c r="X1552" s="469"/>
      <c r="Y1552" s="462">
        <f t="shared" si="17"/>
        <v>0</v>
      </c>
      <c r="Z1552" s="463"/>
      <c r="AA1552" s="464"/>
      <c r="AB1552" s="465"/>
      <c r="AC1552" s="465"/>
      <c r="AD1552" s="465"/>
      <c r="AE1552" s="466"/>
      <c r="AF1552" s="449"/>
      <c r="AG1552" s="449"/>
      <c r="AH1552" s="449"/>
    </row>
    <row r="1553" ht="11.25" customHeight="1">
      <c r="A1553" s="450"/>
      <c r="B1553" s="472"/>
      <c r="C1553" s="473"/>
      <c r="D1553" s="473"/>
      <c r="E1553" s="474"/>
      <c r="F1553" s="474"/>
      <c r="G1553" s="475"/>
      <c r="H1553" s="475"/>
      <c r="I1553" s="476"/>
      <c r="J1553" s="477"/>
      <c r="K1553" s="478" t="s">
        <v>1418</v>
      </c>
      <c r="L1553" s="479"/>
      <c r="M1553" s="480"/>
      <c r="N1553" s="481"/>
      <c r="O1553" s="481"/>
      <c r="P1553" s="482"/>
      <c r="Q1553" s="479"/>
      <c r="R1553" s="480"/>
      <c r="S1553" s="480"/>
      <c r="T1553" s="480"/>
      <c r="U1553" s="480"/>
      <c r="V1553" s="480"/>
      <c r="W1553" s="480"/>
      <c r="X1553" s="480"/>
      <c r="Y1553" s="483">
        <f t="shared" si="17"/>
        <v>0</v>
      </c>
      <c r="Z1553" s="484"/>
      <c r="AA1553" s="485"/>
      <c r="AB1553" s="486"/>
      <c r="AC1553" s="486"/>
      <c r="AD1553" s="486"/>
      <c r="AE1553" s="487"/>
      <c r="AF1553" s="449"/>
      <c r="AG1553" s="449"/>
      <c r="AH1553" s="449"/>
    </row>
    <row r="1554" ht="11.25" customHeight="1">
      <c r="A1554" s="431" t="str">
        <f>IF(B1554="","", YEAR(B1554))</f>
        <v/>
      </c>
      <c r="B1554" s="432"/>
      <c r="C1554" s="433"/>
      <c r="D1554" s="433"/>
      <c r="E1554" s="434" t="str">
        <f t="shared" ref="E1554:I1554" si="784">IFERROR(AVERAGE(L1554:L1557),"")</f>
        <v/>
      </c>
      <c r="F1554" s="434" t="str">
        <f t="shared" si="784"/>
        <v/>
      </c>
      <c r="G1554" s="435" t="str">
        <f t="shared" si="784"/>
        <v/>
      </c>
      <c r="H1554" s="435" t="str">
        <f t="shared" si="784"/>
        <v/>
      </c>
      <c r="I1554" s="436" t="str">
        <f t="shared" si="784"/>
        <v/>
      </c>
      <c r="J1554" s="437">
        <f>SUMIFS(PRODUCTION[KG],PRODUCTION[GRADE],"3X50",PRODUCTION[DATE],B1554,PRODUCTION[BATCH],C1554,PRODUCTION[SHIFT],D1554)</f>
        <v>0</v>
      </c>
      <c r="K1554" s="438" t="s">
        <v>1414</v>
      </c>
      <c r="L1554" s="443"/>
      <c r="M1554" s="440"/>
      <c r="N1554" s="441"/>
      <c r="O1554" s="441"/>
      <c r="P1554" s="442"/>
      <c r="Q1554" s="443"/>
      <c r="R1554" s="440"/>
      <c r="S1554" s="440"/>
      <c r="T1554" s="440"/>
      <c r="U1554" s="440"/>
      <c r="V1554" s="440"/>
      <c r="W1554" s="440"/>
      <c r="X1554" s="440"/>
      <c r="Y1554" s="444">
        <f t="shared" si="17"/>
        <v>0</v>
      </c>
      <c r="Z1554" s="445"/>
      <c r="AA1554" s="446">
        <f t="shared" ref="AA1554:AE1554" si="785">$J1554*E1554</f>
        <v>0</v>
      </c>
      <c r="AB1554" s="447">
        <f t="shared" si="785"/>
        <v>0</v>
      </c>
      <c r="AC1554" s="447">
        <f t="shared" si="785"/>
        <v>0</v>
      </c>
      <c r="AD1554" s="447">
        <f t="shared" si="785"/>
        <v>0</v>
      </c>
      <c r="AE1554" s="448">
        <f t="shared" si="785"/>
        <v>0</v>
      </c>
      <c r="AF1554" s="449"/>
      <c r="AG1554" s="449"/>
      <c r="AH1554" s="449"/>
    </row>
    <row r="1555" ht="11.25" customHeight="1">
      <c r="A1555" s="450"/>
      <c r="B1555" s="451"/>
      <c r="C1555" s="452"/>
      <c r="D1555" s="452"/>
      <c r="E1555" s="453"/>
      <c r="F1555" s="453"/>
      <c r="G1555" s="454"/>
      <c r="H1555" s="454"/>
      <c r="I1555" s="455"/>
      <c r="J1555" s="456"/>
      <c r="K1555" s="457" t="s">
        <v>1416</v>
      </c>
      <c r="L1555" s="458"/>
      <c r="M1555" s="459"/>
      <c r="N1555" s="460"/>
      <c r="O1555" s="460"/>
      <c r="P1555" s="461"/>
      <c r="Q1555" s="458"/>
      <c r="R1555" s="459"/>
      <c r="S1555" s="459"/>
      <c r="T1555" s="459"/>
      <c r="U1555" s="459"/>
      <c r="V1555" s="459"/>
      <c r="W1555" s="459"/>
      <c r="X1555" s="459"/>
      <c r="Y1555" s="462">
        <f t="shared" si="17"/>
        <v>0</v>
      </c>
      <c r="Z1555" s="463"/>
      <c r="AA1555" s="464"/>
      <c r="AB1555" s="465"/>
      <c r="AC1555" s="465"/>
      <c r="AD1555" s="465"/>
      <c r="AE1555" s="466"/>
      <c r="AF1555" s="449"/>
      <c r="AG1555" s="449"/>
      <c r="AH1555" s="449"/>
    </row>
    <row r="1556" ht="11.25" customHeight="1">
      <c r="A1556" s="450"/>
      <c r="B1556" s="451"/>
      <c r="C1556" s="452"/>
      <c r="D1556" s="452"/>
      <c r="E1556" s="453"/>
      <c r="F1556" s="453"/>
      <c r="G1556" s="454"/>
      <c r="H1556" s="454"/>
      <c r="I1556" s="455"/>
      <c r="J1556" s="456"/>
      <c r="K1556" s="467" t="s">
        <v>1417</v>
      </c>
      <c r="L1556" s="468"/>
      <c r="M1556" s="469"/>
      <c r="N1556" s="470"/>
      <c r="O1556" s="470"/>
      <c r="P1556" s="471"/>
      <c r="Q1556" s="468"/>
      <c r="R1556" s="469"/>
      <c r="S1556" s="469"/>
      <c r="T1556" s="469"/>
      <c r="U1556" s="469"/>
      <c r="V1556" s="469"/>
      <c r="W1556" s="469"/>
      <c r="X1556" s="469"/>
      <c r="Y1556" s="462">
        <f t="shared" si="17"/>
        <v>0</v>
      </c>
      <c r="Z1556" s="463"/>
      <c r="AA1556" s="464"/>
      <c r="AB1556" s="465"/>
      <c r="AC1556" s="465"/>
      <c r="AD1556" s="465"/>
      <c r="AE1556" s="466"/>
      <c r="AF1556" s="449"/>
      <c r="AG1556" s="449"/>
      <c r="AH1556" s="449"/>
    </row>
    <row r="1557" ht="11.25" customHeight="1">
      <c r="A1557" s="450"/>
      <c r="B1557" s="472"/>
      <c r="C1557" s="473"/>
      <c r="D1557" s="473"/>
      <c r="E1557" s="474"/>
      <c r="F1557" s="474"/>
      <c r="G1557" s="475"/>
      <c r="H1557" s="475"/>
      <c r="I1557" s="476"/>
      <c r="J1557" s="477"/>
      <c r="K1557" s="478" t="s">
        <v>1418</v>
      </c>
      <c r="L1557" s="479"/>
      <c r="M1557" s="480"/>
      <c r="N1557" s="481"/>
      <c r="O1557" s="481"/>
      <c r="P1557" s="482"/>
      <c r="Q1557" s="479"/>
      <c r="R1557" s="480"/>
      <c r="S1557" s="480"/>
      <c r="T1557" s="480"/>
      <c r="U1557" s="480"/>
      <c r="V1557" s="480"/>
      <c r="W1557" s="480"/>
      <c r="X1557" s="480"/>
      <c r="Y1557" s="483">
        <f t="shared" si="17"/>
        <v>0</v>
      </c>
      <c r="Z1557" s="484"/>
      <c r="AA1557" s="485"/>
      <c r="AB1557" s="486"/>
      <c r="AC1557" s="486"/>
      <c r="AD1557" s="486"/>
      <c r="AE1557" s="487"/>
      <c r="AF1557" s="449"/>
      <c r="AG1557" s="449"/>
      <c r="AH1557" s="449"/>
    </row>
    <row r="1558" ht="11.25" customHeight="1">
      <c r="A1558" s="431" t="str">
        <f>IF(B1558="","", YEAR(B1558))</f>
        <v/>
      </c>
      <c r="B1558" s="432"/>
      <c r="C1558" s="433"/>
      <c r="D1558" s="433"/>
      <c r="E1558" s="434" t="str">
        <f t="shared" ref="E1558:I1558" si="786">IFERROR(AVERAGE(L1558:L1561),"")</f>
        <v/>
      </c>
      <c r="F1558" s="434" t="str">
        <f t="shared" si="786"/>
        <v/>
      </c>
      <c r="G1558" s="435" t="str">
        <f t="shared" si="786"/>
        <v/>
      </c>
      <c r="H1558" s="435" t="str">
        <f t="shared" si="786"/>
        <v/>
      </c>
      <c r="I1558" s="436" t="str">
        <f t="shared" si="786"/>
        <v/>
      </c>
      <c r="J1558" s="437">
        <f>SUMIFS(PRODUCTION[KG],PRODUCTION[GRADE],"3X50",PRODUCTION[DATE],B1558,PRODUCTION[BATCH],C1558,PRODUCTION[SHIFT],D1558)</f>
        <v>0</v>
      </c>
      <c r="K1558" s="438" t="s">
        <v>1414</v>
      </c>
      <c r="L1558" s="443"/>
      <c r="M1558" s="440"/>
      <c r="N1558" s="441"/>
      <c r="O1558" s="441"/>
      <c r="P1558" s="442"/>
      <c r="Q1558" s="443"/>
      <c r="R1558" s="440"/>
      <c r="S1558" s="440"/>
      <c r="T1558" s="440"/>
      <c r="U1558" s="440"/>
      <c r="V1558" s="440"/>
      <c r="W1558" s="440"/>
      <c r="X1558" s="440"/>
      <c r="Y1558" s="444">
        <f t="shared" si="17"/>
        <v>0</v>
      </c>
      <c r="Z1558" s="445"/>
      <c r="AA1558" s="446">
        <f t="shared" ref="AA1558:AE1558" si="787">$J1558*E1558</f>
        <v>0</v>
      </c>
      <c r="AB1558" s="447">
        <f t="shared" si="787"/>
        <v>0</v>
      </c>
      <c r="AC1558" s="447">
        <f t="shared" si="787"/>
        <v>0</v>
      </c>
      <c r="AD1558" s="447">
        <f t="shared" si="787"/>
        <v>0</v>
      </c>
      <c r="AE1558" s="448">
        <f t="shared" si="787"/>
        <v>0</v>
      </c>
      <c r="AF1558" s="449"/>
      <c r="AG1558" s="449"/>
      <c r="AH1558" s="449"/>
    </row>
    <row r="1559" ht="11.25" customHeight="1">
      <c r="A1559" s="450"/>
      <c r="B1559" s="451"/>
      <c r="C1559" s="452"/>
      <c r="D1559" s="452"/>
      <c r="E1559" s="453"/>
      <c r="F1559" s="453"/>
      <c r="G1559" s="454"/>
      <c r="H1559" s="454"/>
      <c r="I1559" s="455"/>
      <c r="J1559" s="456"/>
      <c r="K1559" s="457" t="s">
        <v>1416</v>
      </c>
      <c r="L1559" s="458"/>
      <c r="M1559" s="459"/>
      <c r="N1559" s="460"/>
      <c r="O1559" s="460"/>
      <c r="P1559" s="461"/>
      <c r="Q1559" s="458"/>
      <c r="R1559" s="459"/>
      <c r="S1559" s="459"/>
      <c r="T1559" s="459"/>
      <c r="U1559" s="459"/>
      <c r="V1559" s="459"/>
      <c r="W1559" s="459"/>
      <c r="X1559" s="459"/>
      <c r="Y1559" s="462">
        <f t="shared" si="17"/>
        <v>0</v>
      </c>
      <c r="Z1559" s="463"/>
      <c r="AA1559" s="464"/>
      <c r="AB1559" s="465"/>
      <c r="AC1559" s="465"/>
      <c r="AD1559" s="465"/>
      <c r="AE1559" s="466"/>
      <c r="AF1559" s="449"/>
      <c r="AG1559" s="449"/>
      <c r="AH1559" s="449"/>
    </row>
    <row r="1560" ht="11.25" customHeight="1">
      <c r="A1560" s="450"/>
      <c r="B1560" s="451"/>
      <c r="C1560" s="452"/>
      <c r="D1560" s="452"/>
      <c r="E1560" s="453"/>
      <c r="F1560" s="453"/>
      <c r="G1560" s="454"/>
      <c r="H1560" s="454"/>
      <c r="I1560" s="455"/>
      <c r="J1560" s="456"/>
      <c r="K1560" s="467" t="s">
        <v>1417</v>
      </c>
      <c r="L1560" s="468"/>
      <c r="M1560" s="469"/>
      <c r="N1560" s="470"/>
      <c r="O1560" s="470"/>
      <c r="P1560" s="471"/>
      <c r="Q1560" s="468"/>
      <c r="R1560" s="469"/>
      <c r="S1560" s="469"/>
      <c r="T1560" s="469"/>
      <c r="U1560" s="469"/>
      <c r="V1560" s="469"/>
      <c r="W1560" s="469"/>
      <c r="X1560" s="469"/>
      <c r="Y1560" s="462">
        <f t="shared" si="17"/>
        <v>0</v>
      </c>
      <c r="Z1560" s="463"/>
      <c r="AA1560" s="464"/>
      <c r="AB1560" s="465"/>
      <c r="AC1560" s="465"/>
      <c r="AD1560" s="465"/>
      <c r="AE1560" s="466"/>
      <c r="AF1560" s="449"/>
      <c r="AG1560" s="449"/>
      <c r="AH1560" s="449"/>
    </row>
    <row r="1561" ht="11.25" customHeight="1">
      <c r="A1561" s="450"/>
      <c r="B1561" s="472"/>
      <c r="C1561" s="473"/>
      <c r="D1561" s="473"/>
      <c r="E1561" s="474"/>
      <c r="F1561" s="474"/>
      <c r="G1561" s="475"/>
      <c r="H1561" s="475"/>
      <c r="I1561" s="476"/>
      <c r="J1561" s="477"/>
      <c r="K1561" s="478" t="s">
        <v>1418</v>
      </c>
      <c r="L1561" s="479"/>
      <c r="M1561" s="480"/>
      <c r="N1561" s="481"/>
      <c r="O1561" s="481"/>
      <c r="P1561" s="482"/>
      <c r="Q1561" s="479"/>
      <c r="R1561" s="480"/>
      <c r="S1561" s="480"/>
      <c r="T1561" s="480"/>
      <c r="U1561" s="480"/>
      <c r="V1561" s="480"/>
      <c r="W1561" s="480"/>
      <c r="X1561" s="480"/>
      <c r="Y1561" s="483">
        <f t="shared" si="17"/>
        <v>0</v>
      </c>
      <c r="Z1561" s="484"/>
      <c r="AA1561" s="485"/>
      <c r="AB1561" s="486"/>
      <c r="AC1561" s="486"/>
      <c r="AD1561" s="486"/>
      <c r="AE1561" s="487"/>
      <c r="AF1561" s="449"/>
      <c r="AG1561" s="449"/>
      <c r="AH1561" s="449"/>
    </row>
    <row r="1562" ht="11.25" customHeight="1">
      <c r="A1562" s="431" t="str">
        <f>IF(B1562="","", YEAR(B1562))</f>
        <v/>
      </c>
      <c r="B1562" s="432"/>
      <c r="C1562" s="433"/>
      <c r="D1562" s="433"/>
      <c r="E1562" s="434" t="str">
        <f t="shared" ref="E1562:I1562" si="788">IFERROR(AVERAGE(L1562:L1565),"")</f>
        <v/>
      </c>
      <c r="F1562" s="434" t="str">
        <f t="shared" si="788"/>
        <v/>
      </c>
      <c r="G1562" s="435" t="str">
        <f t="shared" si="788"/>
        <v/>
      </c>
      <c r="H1562" s="435" t="str">
        <f t="shared" si="788"/>
        <v/>
      </c>
      <c r="I1562" s="436" t="str">
        <f t="shared" si="788"/>
        <v/>
      </c>
      <c r="J1562" s="437">
        <f>SUMIFS(PRODUCTION[KG],PRODUCTION[GRADE],"3X50",PRODUCTION[DATE],B1562,PRODUCTION[BATCH],C1562,PRODUCTION[SHIFT],D1562)</f>
        <v>0</v>
      </c>
      <c r="K1562" s="438" t="s">
        <v>1414</v>
      </c>
      <c r="L1562" s="443"/>
      <c r="M1562" s="440"/>
      <c r="N1562" s="441"/>
      <c r="O1562" s="441"/>
      <c r="P1562" s="442"/>
      <c r="Q1562" s="443"/>
      <c r="R1562" s="440"/>
      <c r="S1562" s="440"/>
      <c r="T1562" s="440"/>
      <c r="U1562" s="440"/>
      <c r="V1562" s="440"/>
      <c r="W1562" s="440"/>
      <c r="X1562" s="440"/>
      <c r="Y1562" s="444">
        <f t="shared" si="17"/>
        <v>0</v>
      </c>
      <c r="Z1562" s="445"/>
      <c r="AA1562" s="446">
        <f t="shared" ref="AA1562:AE1562" si="789">$J1562*E1562</f>
        <v>0</v>
      </c>
      <c r="AB1562" s="447">
        <f t="shared" si="789"/>
        <v>0</v>
      </c>
      <c r="AC1562" s="447">
        <f t="shared" si="789"/>
        <v>0</v>
      </c>
      <c r="AD1562" s="447">
        <f t="shared" si="789"/>
        <v>0</v>
      </c>
      <c r="AE1562" s="448">
        <f t="shared" si="789"/>
        <v>0</v>
      </c>
      <c r="AF1562" s="449"/>
      <c r="AG1562" s="449"/>
      <c r="AH1562" s="449"/>
    </row>
    <row r="1563" ht="11.25" customHeight="1">
      <c r="A1563" s="450"/>
      <c r="B1563" s="451"/>
      <c r="C1563" s="452"/>
      <c r="D1563" s="452"/>
      <c r="E1563" s="453"/>
      <c r="F1563" s="453"/>
      <c r="G1563" s="454"/>
      <c r="H1563" s="454"/>
      <c r="I1563" s="455"/>
      <c r="J1563" s="456"/>
      <c r="K1563" s="457" t="s">
        <v>1416</v>
      </c>
      <c r="L1563" s="458"/>
      <c r="M1563" s="459"/>
      <c r="N1563" s="460"/>
      <c r="O1563" s="460"/>
      <c r="P1563" s="461"/>
      <c r="Q1563" s="458"/>
      <c r="R1563" s="459"/>
      <c r="S1563" s="459"/>
      <c r="T1563" s="459"/>
      <c r="U1563" s="459"/>
      <c r="V1563" s="459"/>
      <c r="W1563" s="459"/>
      <c r="X1563" s="459"/>
      <c r="Y1563" s="462">
        <f t="shared" si="17"/>
        <v>0</v>
      </c>
      <c r="Z1563" s="463"/>
      <c r="AA1563" s="464"/>
      <c r="AB1563" s="465"/>
      <c r="AC1563" s="465"/>
      <c r="AD1563" s="465"/>
      <c r="AE1563" s="466"/>
      <c r="AF1563" s="449"/>
      <c r="AG1563" s="449"/>
      <c r="AH1563" s="449"/>
    </row>
    <row r="1564" ht="11.25" customHeight="1">
      <c r="A1564" s="450"/>
      <c r="B1564" s="451"/>
      <c r="C1564" s="452"/>
      <c r="D1564" s="452"/>
      <c r="E1564" s="453"/>
      <c r="F1564" s="453"/>
      <c r="G1564" s="454"/>
      <c r="H1564" s="454"/>
      <c r="I1564" s="455"/>
      <c r="J1564" s="456"/>
      <c r="K1564" s="467" t="s">
        <v>1417</v>
      </c>
      <c r="L1564" s="468"/>
      <c r="M1564" s="469"/>
      <c r="N1564" s="470"/>
      <c r="O1564" s="470"/>
      <c r="P1564" s="471"/>
      <c r="Q1564" s="468"/>
      <c r="R1564" s="469"/>
      <c r="S1564" s="469"/>
      <c r="T1564" s="469"/>
      <c r="U1564" s="469"/>
      <c r="V1564" s="469"/>
      <c r="W1564" s="469"/>
      <c r="X1564" s="469"/>
      <c r="Y1564" s="462">
        <f t="shared" si="17"/>
        <v>0</v>
      </c>
      <c r="Z1564" s="463"/>
      <c r="AA1564" s="464"/>
      <c r="AB1564" s="465"/>
      <c r="AC1564" s="465"/>
      <c r="AD1564" s="465"/>
      <c r="AE1564" s="466"/>
      <c r="AF1564" s="449"/>
      <c r="AG1564" s="449"/>
      <c r="AH1564" s="449"/>
    </row>
    <row r="1565" ht="11.25" customHeight="1">
      <c r="A1565" s="450"/>
      <c r="B1565" s="472"/>
      <c r="C1565" s="473"/>
      <c r="D1565" s="473"/>
      <c r="E1565" s="474"/>
      <c r="F1565" s="474"/>
      <c r="G1565" s="475"/>
      <c r="H1565" s="475"/>
      <c r="I1565" s="476"/>
      <c r="J1565" s="477"/>
      <c r="K1565" s="478" t="s">
        <v>1418</v>
      </c>
      <c r="L1565" s="479"/>
      <c r="M1565" s="480"/>
      <c r="N1565" s="481"/>
      <c r="O1565" s="481"/>
      <c r="P1565" s="482"/>
      <c r="Q1565" s="479"/>
      <c r="R1565" s="480"/>
      <c r="S1565" s="480"/>
      <c r="T1565" s="480"/>
      <c r="U1565" s="480"/>
      <c r="V1565" s="480"/>
      <c r="W1565" s="480"/>
      <c r="X1565" s="480"/>
      <c r="Y1565" s="483">
        <f t="shared" si="17"/>
        <v>0</v>
      </c>
      <c r="Z1565" s="484"/>
      <c r="AA1565" s="485"/>
      <c r="AB1565" s="486"/>
      <c r="AC1565" s="486"/>
      <c r="AD1565" s="486"/>
      <c r="AE1565" s="487"/>
      <c r="AF1565" s="449"/>
      <c r="AG1565" s="449"/>
      <c r="AH1565" s="449"/>
    </row>
    <row r="1566" ht="11.25" customHeight="1">
      <c r="A1566" s="431" t="str">
        <f>IF(B1566="","", YEAR(B1566))</f>
        <v/>
      </c>
      <c r="B1566" s="432"/>
      <c r="C1566" s="433"/>
      <c r="D1566" s="433"/>
      <c r="E1566" s="434" t="str">
        <f t="shared" ref="E1566:I1566" si="790">IFERROR(AVERAGE(L1566:L1569),"")</f>
        <v/>
      </c>
      <c r="F1566" s="434" t="str">
        <f t="shared" si="790"/>
        <v/>
      </c>
      <c r="G1566" s="435" t="str">
        <f t="shared" si="790"/>
        <v/>
      </c>
      <c r="H1566" s="435" t="str">
        <f t="shared" si="790"/>
        <v/>
      </c>
      <c r="I1566" s="436" t="str">
        <f t="shared" si="790"/>
        <v/>
      </c>
      <c r="J1566" s="437">
        <f>SUMIFS(PRODUCTION[KG],PRODUCTION[GRADE],"3X50",PRODUCTION[DATE],B1566,PRODUCTION[BATCH],C1566,PRODUCTION[SHIFT],D1566)</f>
        <v>0</v>
      </c>
      <c r="K1566" s="438" t="s">
        <v>1414</v>
      </c>
      <c r="L1566" s="443"/>
      <c r="M1566" s="440"/>
      <c r="N1566" s="441"/>
      <c r="O1566" s="441"/>
      <c r="P1566" s="442"/>
      <c r="Q1566" s="443"/>
      <c r="R1566" s="440"/>
      <c r="S1566" s="440"/>
      <c r="T1566" s="440"/>
      <c r="U1566" s="440"/>
      <c r="V1566" s="440"/>
      <c r="W1566" s="440"/>
      <c r="X1566" s="440"/>
      <c r="Y1566" s="444">
        <f t="shared" si="17"/>
        <v>0</v>
      </c>
      <c r="Z1566" s="445"/>
      <c r="AA1566" s="446">
        <f t="shared" ref="AA1566:AE1566" si="791">$J1566*E1566</f>
        <v>0</v>
      </c>
      <c r="AB1566" s="447">
        <f t="shared" si="791"/>
        <v>0</v>
      </c>
      <c r="AC1566" s="447">
        <f t="shared" si="791"/>
        <v>0</v>
      </c>
      <c r="AD1566" s="447">
        <f t="shared" si="791"/>
        <v>0</v>
      </c>
      <c r="AE1566" s="448">
        <f t="shared" si="791"/>
        <v>0</v>
      </c>
      <c r="AF1566" s="449"/>
      <c r="AG1566" s="449"/>
      <c r="AH1566" s="449"/>
    </row>
    <row r="1567" ht="11.25" customHeight="1">
      <c r="A1567" s="450"/>
      <c r="B1567" s="451"/>
      <c r="C1567" s="452"/>
      <c r="D1567" s="452"/>
      <c r="E1567" s="453"/>
      <c r="F1567" s="453"/>
      <c r="G1567" s="454"/>
      <c r="H1567" s="454"/>
      <c r="I1567" s="455"/>
      <c r="J1567" s="456"/>
      <c r="K1567" s="457" t="s">
        <v>1416</v>
      </c>
      <c r="L1567" s="458"/>
      <c r="M1567" s="459"/>
      <c r="N1567" s="460"/>
      <c r="O1567" s="460"/>
      <c r="P1567" s="461"/>
      <c r="Q1567" s="458"/>
      <c r="R1567" s="459"/>
      <c r="S1567" s="459"/>
      <c r="T1567" s="459"/>
      <c r="U1567" s="459"/>
      <c r="V1567" s="459"/>
      <c r="W1567" s="459"/>
      <c r="X1567" s="459"/>
      <c r="Y1567" s="462">
        <f t="shared" si="17"/>
        <v>0</v>
      </c>
      <c r="Z1567" s="463"/>
      <c r="AA1567" s="464"/>
      <c r="AB1567" s="465"/>
      <c r="AC1567" s="465"/>
      <c r="AD1567" s="465"/>
      <c r="AE1567" s="466"/>
      <c r="AF1567" s="449"/>
      <c r="AG1567" s="449"/>
      <c r="AH1567" s="449"/>
    </row>
    <row r="1568" ht="11.25" customHeight="1">
      <c r="A1568" s="450"/>
      <c r="B1568" s="451"/>
      <c r="C1568" s="452"/>
      <c r="D1568" s="452"/>
      <c r="E1568" s="453"/>
      <c r="F1568" s="453"/>
      <c r="G1568" s="454"/>
      <c r="H1568" s="454"/>
      <c r="I1568" s="455"/>
      <c r="J1568" s="456"/>
      <c r="K1568" s="467" t="s">
        <v>1417</v>
      </c>
      <c r="L1568" s="468"/>
      <c r="M1568" s="469"/>
      <c r="N1568" s="470"/>
      <c r="O1568" s="470"/>
      <c r="P1568" s="471"/>
      <c r="Q1568" s="468"/>
      <c r="R1568" s="469"/>
      <c r="S1568" s="469"/>
      <c r="T1568" s="469"/>
      <c r="U1568" s="469"/>
      <c r="V1568" s="469"/>
      <c r="W1568" s="469"/>
      <c r="X1568" s="469"/>
      <c r="Y1568" s="462">
        <f t="shared" si="17"/>
        <v>0</v>
      </c>
      <c r="Z1568" s="463"/>
      <c r="AA1568" s="464"/>
      <c r="AB1568" s="465"/>
      <c r="AC1568" s="465"/>
      <c r="AD1568" s="465"/>
      <c r="AE1568" s="466"/>
      <c r="AF1568" s="449"/>
      <c r="AG1568" s="449"/>
      <c r="AH1568" s="449"/>
    </row>
    <row r="1569" ht="11.25" customHeight="1">
      <c r="A1569" s="450"/>
      <c r="B1569" s="472"/>
      <c r="C1569" s="473"/>
      <c r="D1569" s="473"/>
      <c r="E1569" s="474"/>
      <c r="F1569" s="474"/>
      <c r="G1569" s="475"/>
      <c r="H1569" s="475"/>
      <c r="I1569" s="476"/>
      <c r="J1569" s="477"/>
      <c r="K1569" s="478" t="s">
        <v>1418</v>
      </c>
      <c r="L1569" s="479"/>
      <c r="M1569" s="480"/>
      <c r="N1569" s="481"/>
      <c r="O1569" s="481"/>
      <c r="P1569" s="482"/>
      <c r="Q1569" s="479"/>
      <c r="R1569" s="480"/>
      <c r="S1569" s="480"/>
      <c r="T1569" s="480"/>
      <c r="U1569" s="480"/>
      <c r="V1569" s="480"/>
      <c r="W1569" s="480"/>
      <c r="X1569" s="480"/>
      <c r="Y1569" s="483">
        <f t="shared" si="17"/>
        <v>0</v>
      </c>
      <c r="Z1569" s="484"/>
      <c r="AA1569" s="485"/>
      <c r="AB1569" s="486"/>
      <c r="AC1569" s="486"/>
      <c r="AD1569" s="486"/>
      <c r="AE1569" s="487"/>
      <c r="AF1569" s="449"/>
      <c r="AG1569" s="449"/>
      <c r="AH1569" s="449"/>
    </row>
    <row r="1570" ht="11.25" customHeight="1">
      <c r="A1570" s="431" t="str">
        <f>IF(B1570="","", YEAR(B1570))</f>
        <v/>
      </c>
      <c r="B1570" s="432"/>
      <c r="C1570" s="433"/>
      <c r="D1570" s="433"/>
      <c r="E1570" s="434" t="str">
        <f t="shared" ref="E1570:I1570" si="792">IFERROR(AVERAGE(L1570:L1573),"")</f>
        <v/>
      </c>
      <c r="F1570" s="434" t="str">
        <f t="shared" si="792"/>
        <v/>
      </c>
      <c r="G1570" s="435" t="str">
        <f t="shared" si="792"/>
        <v/>
      </c>
      <c r="H1570" s="435" t="str">
        <f t="shared" si="792"/>
        <v/>
      </c>
      <c r="I1570" s="436" t="str">
        <f t="shared" si="792"/>
        <v/>
      </c>
      <c r="J1570" s="437">
        <f>SUMIFS(PRODUCTION[KG],PRODUCTION[GRADE],"3X50",PRODUCTION[DATE],B1570,PRODUCTION[BATCH],C1570,PRODUCTION[SHIFT],D1570)</f>
        <v>0</v>
      </c>
      <c r="K1570" s="438" t="s">
        <v>1414</v>
      </c>
      <c r="L1570" s="443"/>
      <c r="M1570" s="440"/>
      <c r="N1570" s="441"/>
      <c r="O1570" s="441"/>
      <c r="P1570" s="442"/>
      <c r="Q1570" s="443"/>
      <c r="R1570" s="440"/>
      <c r="S1570" s="440"/>
      <c r="T1570" s="440"/>
      <c r="U1570" s="440"/>
      <c r="V1570" s="440"/>
      <c r="W1570" s="440"/>
      <c r="X1570" s="440"/>
      <c r="Y1570" s="444">
        <f t="shared" si="17"/>
        <v>0</v>
      </c>
      <c r="Z1570" s="445"/>
      <c r="AA1570" s="446">
        <f t="shared" ref="AA1570:AE1570" si="793">$J1570*E1570</f>
        <v>0</v>
      </c>
      <c r="AB1570" s="447">
        <f t="shared" si="793"/>
        <v>0</v>
      </c>
      <c r="AC1570" s="447">
        <f t="shared" si="793"/>
        <v>0</v>
      </c>
      <c r="AD1570" s="447">
        <f t="shared" si="793"/>
        <v>0</v>
      </c>
      <c r="AE1570" s="448">
        <f t="shared" si="793"/>
        <v>0</v>
      </c>
      <c r="AF1570" s="449"/>
      <c r="AG1570" s="449"/>
      <c r="AH1570" s="449"/>
    </row>
    <row r="1571" ht="11.25" customHeight="1">
      <c r="A1571" s="450"/>
      <c r="B1571" s="451"/>
      <c r="C1571" s="452"/>
      <c r="D1571" s="452"/>
      <c r="E1571" s="453"/>
      <c r="F1571" s="453"/>
      <c r="G1571" s="454"/>
      <c r="H1571" s="454"/>
      <c r="I1571" s="455"/>
      <c r="J1571" s="456"/>
      <c r="K1571" s="457" t="s">
        <v>1416</v>
      </c>
      <c r="L1571" s="458"/>
      <c r="M1571" s="459"/>
      <c r="N1571" s="460"/>
      <c r="O1571" s="460"/>
      <c r="P1571" s="461"/>
      <c r="Q1571" s="458"/>
      <c r="R1571" s="459"/>
      <c r="S1571" s="459"/>
      <c r="T1571" s="459"/>
      <c r="U1571" s="459"/>
      <c r="V1571" s="459"/>
      <c r="W1571" s="459"/>
      <c r="X1571" s="459"/>
      <c r="Y1571" s="462">
        <f t="shared" si="17"/>
        <v>0</v>
      </c>
      <c r="Z1571" s="463"/>
      <c r="AA1571" s="464"/>
      <c r="AB1571" s="465"/>
      <c r="AC1571" s="465"/>
      <c r="AD1571" s="465"/>
      <c r="AE1571" s="466"/>
      <c r="AF1571" s="449"/>
      <c r="AG1571" s="449"/>
      <c r="AH1571" s="449"/>
    </row>
    <row r="1572" ht="11.25" customHeight="1">
      <c r="A1572" s="450"/>
      <c r="B1572" s="451"/>
      <c r="C1572" s="452"/>
      <c r="D1572" s="452"/>
      <c r="E1572" s="453"/>
      <c r="F1572" s="453"/>
      <c r="G1572" s="454"/>
      <c r="H1572" s="454"/>
      <c r="I1572" s="455"/>
      <c r="J1572" s="456"/>
      <c r="K1572" s="467" t="s">
        <v>1417</v>
      </c>
      <c r="L1572" s="468"/>
      <c r="M1572" s="469"/>
      <c r="N1572" s="470"/>
      <c r="O1572" s="470"/>
      <c r="P1572" s="471"/>
      <c r="Q1572" s="468"/>
      <c r="R1572" s="469"/>
      <c r="S1572" s="469"/>
      <c r="T1572" s="469"/>
      <c r="U1572" s="469"/>
      <c r="V1572" s="469"/>
      <c r="W1572" s="469"/>
      <c r="X1572" s="469"/>
      <c r="Y1572" s="462">
        <f t="shared" si="17"/>
        <v>0</v>
      </c>
      <c r="Z1572" s="463"/>
      <c r="AA1572" s="464"/>
      <c r="AB1572" s="465"/>
      <c r="AC1572" s="465"/>
      <c r="AD1572" s="465"/>
      <c r="AE1572" s="466"/>
      <c r="AF1572" s="449"/>
      <c r="AG1572" s="449"/>
      <c r="AH1572" s="449"/>
    </row>
    <row r="1573" ht="11.25" customHeight="1">
      <c r="A1573" s="450"/>
      <c r="B1573" s="472"/>
      <c r="C1573" s="473"/>
      <c r="D1573" s="473"/>
      <c r="E1573" s="474"/>
      <c r="F1573" s="474"/>
      <c r="G1573" s="475"/>
      <c r="H1573" s="475"/>
      <c r="I1573" s="476"/>
      <c r="J1573" s="477"/>
      <c r="K1573" s="478" t="s">
        <v>1418</v>
      </c>
      <c r="L1573" s="479"/>
      <c r="M1573" s="480"/>
      <c r="N1573" s="481"/>
      <c r="O1573" s="481"/>
      <c r="P1573" s="482"/>
      <c r="Q1573" s="479"/>
      <c r="R1573" s="480"/>
      <c r="S1573" s="480"/>
      <c r="T1573" s="480"/>
      <c r="U1573" s="480"/>
      <c r="V1573" s="480"/>
      <c r="W1573" s="480"/>
      <c r="X1573" s="480"/>
      <c r="Y1573" s="483">
        <f t="shared" si="17"/>
        <v>0</v>
      </c>
      <c r="Z1573" s="484"/>
      <c r="AA1573" s="485"/>
      <c r="AB1573" s="486"/>
      <c r="AC1573" s="486"/>
      <c r="AD1573" s="486"/>
      <c r="AE1573" s="487"/>
      <c r="AF1573" s="449"/>
      <c r="AG1573" s="449"/>
      <c r="AH1573" s="449"/>
    </row>
    <row r="1574" ht="11.25" customHeight="1">
      <c r="A1574" s="431" t="str">
        <f>IF(B1574="","", YEAR(B1574))</f>
        <v/>
      </c>
      <c r="B1574" s="432"/>
      <c r="C1574" s="433"/>
      <c r="D1574" s="433"/>
      <c r="E1574" s="434" t="str">
        <f t="shared" ref="E1574:I1574" si="794">IFERROR(AVERAGE(L1574:L1577),"")</f>
        <v/>
      </c>
      <c r="F1574" s="434" t="str">
        <f t="shared" si="794"/>
        <v/>
      </c>
      <c r="G1574" s="435" t="str">
        <f t="shared" si="794"/>
        <v/>
      </c>
      <c r="H1574" s="435" t="str">
        <f t="shared" si="794"/>
        <v/>
      </c>
      <c r="I1574" s="436" t="str">
        <f t="shared" si="794"/>
        <v/>
      </c>
      <c r="J1574" s="437">
        <f>SUMIFS(PRODUCTION[KG],PRODUCTION[GRADE],"3X50",PRODUCTION[DATE],B1574,PRODUCTION[BATCH],C1574,PRODUCTION[SHIFT],D1574)</f>
        <v>0</v>
      </c>
      <c r="K1574" s="438" t="s">
        <v>1414</v>
      </c>
      <c r="L1574" s="443"/>
      <c r="M1574" s="440"/>
      <c r="N1574" s="441"/>
      <c r="O1574" s="441"/>
      <c r="P1574" s="442"/>
      <c r="Q1574" s="443"/>
      <c r="R1574" s="440"/>
      <c r="S1574" s="440"/>
      <c r="T1574" s="440"/>
      <c r="U1574" s="440"/>
      <c r="V1574" s="440"/>
      <c r="W1574" s="440"/>
      <c r="X1574" s="440"/>
      <c r="Y1574" s="444">
        <f t="shared" si="17"/>
        <v>0</v>
      </c>
      <c r="Z1574" s="445"/>
      <c r="AA1574" s="446">
        <f t="shared" ref="AA1574:AE1574" si="795">$J1574*E1574</f>
        <v>0</v>
      </c>
      <c r="AB1574" s="447">
        <f t="shared" si="795"/>
        <v>0</v>
      </c>
      <c r="AC1574" s="447">
        <f t="shared" si="795"/>
        <v>0</v>
      </c>
      <c r="AD1574" s="447">
        <f t="shared" si="795"/>
        <v>0</v>
      </c>
      <c r="AE1574" s="448">
        <f t="shared" si="795"/>
        <v>0</v>
      </c>
      <c r="AF1574" s="449"/>
      <c r="AG1574" s="449"/>
      <c r="AH1574" s="449"/>
    </row>
    <row r="1575" ht="11.25" customHeight="1">
      <c r="A1575" s="450"/>
      <c r="B1575" s="451"/>
      <c r="C1575" s="452"/>
      <c r="D1575" s="452"/>
      <c r="E1575" s="453"/>
      <c r="F1575" s="453"/>
      <c r="G1575" s="454"/>
      <c r="H1575" s="454"/>
      <c r="I1575" s="455"/>
      <c r="J1575" s="456"/>
      <c r="K1575" s="457" t="s">
        <v>1416</v>
      </c>
      <c r="L1575" s="458"/>
      <c r="M1575" s="459"/>
      <c r="N1575" s="460"/>
      <c r="O1575" s="460"/>
      <c r="P1575" s="461"/>
      <c r="Q1575" s="458"/>
      <c r="R1575" s="459"/>
      <c r="S1575" s="459"/>
      <c r="T1575" s="459"/>
      <c r="U1575" s="459"/>
      <c r="V1575" s="459"/>
      <c r="W1575" s="459"/>
      <c r="X1575" s="459"/>
      <c r="Y1575" s="462">
        <f t="shared" si="17"/>
        <v>0</v>
      </c>
      <c r="Z1575" s="463"/>
      <c r="AA1575" s="464"/>
      <c r="AB1575" s="465"/>
      <c r="AC1575" s="465"/>
      <c r="AD1575" s="465"/>
      <c r="AE1575" s="466"/>
      <c r="AF1575" s="449"/>
      <c r="AG1575" s="449"/>
      <c r="AH1575" s="449"/>
    </row>
    <row r="1576" ht="11.25" customHeight="1">
      <c r="A1576" s="450"/>
      <c r="B1576" s="451"/>
      <c r="C1576" s="452"/>
      <c r="D1576" s="452"/>
      <c r="E1576" s="453"/>
      <c r="F1576" s="453"/>
      <c r="G1576" s="454"/>
      <c r="H1576" s="454"/>
      <c r="I1576" s="455"/>
      <c r="J1576" s="456"/>
      <c r="K1576" s="467" t="s">
        <v>1417</v>
      </c>
      <c r="L1576" s="468"/>
      <c r="M1576" s="469"/>
      <c r="N1576" s="470"/>
      <c r="O1576" s="470"/>
      <c r="P1576" s="471"/>
      <c r="Q1576" s="468"/>
      <c r="R1576" s="469"/>
      <c r="S1576" s="469"/>
      <c r="T1576" s="469"/>
      <c r="U1576" s="469"/>
      <c r="V1576" s="469"/>
      <c r="W1576" s="469"/>
      <c r="X1576" s="469"/>
      <c r="Y1576" s="462">
        <f t="shared" si="17"/>
        <v>0</v>
      </c>
      <c r="Z1576" s="463"/>
      <c r="AA1576" s="464"/>
      <c r="AB1576" s="465"/>
      <c r="AC1576" s="465"/>
      <c r="AD1576" s="465"/>
      <c r="AE1576" s="466"/>
      <c r="AF1576" s="449"/>
      <c r="AG1576" s="449"/>
      <c r="AH1576" s="449"/>
    </row>
    <row r="1577" ht="11.25" customHeight="1">
      <c r="A1577" s="450"/>
      <c r="B1577" s="472"/>
      <c r="C1577" s="473"/>
      <c r="D1577" s="473"/>
      <c r="E1577" s="474"/>
      <c r="F1577" s="474"/>
      <c r="G1577" s="475"/>
      <c r="H1577" s="475"/>
      <c r="I1577" s="476"/>
      <c r="J1577" s="477"/>
      <c r="K1577" s="478" t="s">
        <v>1418</v>
      </c>
      <c r="L1577" s="479"/>
      <c r="M1577" s="480"/>
      <c r="N1577" s="481"/>
      <c r="O1577" s="481"/>
      <c r="P1577" s="482"/>
      <c r="Q1577" s="479"/>
      <c r="R1577" s="480"/>
      <c r="S1577" s="480"/>
      <c r="T1577" s="480"/>
      <c r="U1577" s="480"/>
      <c r="V1577" s="480"/>
      <c r="W1577" s="480"/>
      <c r="X1577" s="480"/>
      <c r="Y1577" s="483">
        <f t="shared" si="17"/>
        <v>0</v>
      </c>
      <c r="Z1577" s="484"/>
      <c r="AA1577" s="485"/>
      <c r="AB1577" s="486"/>
      <c r="AC1577" s="486"/>
      <c r="AD1577" s="486"/>
      <c r="AE1577" s="487"/>
      <c r="AF1577" s="449"/>
      <c r="AG1577" s="449"/>
      <c r="AH1577" s="449"/>
    </row>
    <row r="1578" ht="11.25" customHeight="1">
      <c r="A1578" s="431" t="str">
        <f>IF(B1578="","", YEAR(B1578))</f>
        <v/>
      </c>
      <c r="B1578" s="432"/>
      <c r="C1578" s="433"/>
      <c r="D1578" s="433"/>
      <c r="E1578" s="434" t="str">
        <f t="shared" ref="E1578:I1578" si="796">IFERROR(AVERAGE(L1578:L1581),"")</f>
        <v/>
      </c>
      <c r="F1578" s="434" t="str">
        <f t="shared" si="796"/>
        <v/>
      </c>
      <c r="G1578" s="435" t="str">
        <f t="shared" si="796"/>
        <v/>
      </c>
      <c r="H1578" s="435" t="str">
        <f t="shared" si="796"/>
        <v/>
      </c>
      <c r="I1578" s="436" t="str">
        <f t="shared" si="796"/>
        <v/>
      </c>
      <c r="J1578" s="437">
        <f>SUMIFS(PRODUCTION[KG],PRODUCTION[GRADE],"3X50",PRODUCTION[DATE],B1578,PRODUCTION[BATCH],C1578,PRODUCTION[SHIFT],D1578)</f>
        <v>0</v>
      </c>
      <c r="K1578" s="438" t="s">
        <v>1414</v>
      </c>
      <c r="L1578" s="443"/>
      <c r="M1578" s="440"/>
      <c r="N1578" s="441"/>
      <c r="O1578" s="441"/>
      <c r="P1578" s="442"/>
      <c r="Q1578" s="443"/>
      <c r="R1578" s="440"/>
      <c r="S1578" s="440"/>
      <c r="T1578" s="440"/>
      <c r="U1578" s="440"/>
      <c r="V1578" s="440"/>
      <c r="W1578" s="440"/>
      <c r="X1578" s="440"/>
      <c r="Y1578" s="444">
        <f t="shared" si="17"/>
        <v>0</v>
      </c>
      <c r="Z1578" s="445"/>
      <c r="AA1578" s="446">
        <f t="shared" ref="AA1578:AE1578" si="797">$J1578*E1578</f>
        <v>0</v>
      </c>
      <c r="AB1578" s="447">
        <f t="shared" si="797"/>
        <v>0</v>
      </c>
      <c r="AC1578" s="447">
        <f t="shared" si="797"/>
        <v>0</v>
      </c>
      <c r="AD1578" s="447">
        <f t="shared" si="797"/>
        <v>0</v>
      </c>
      <c r="AE1578" s="448">
        <f t="shared" si="797"/>
        <v>0</v>
      </c>
      <c r="AF1578" s="449"/>
      <c r="AG1578" s="449"/>
      <c r="AH1578" s="449"/>
    </row>
    <row r="1579" ht="11.25" customHeight="1">
      <c r="A1579" s="450"/>
      <c r="B1579" s="451"/>
      <c r="C1579" s="452"/>
      <c r="D1579" s="452"/>
      <c r="E1579" s="453"/>
      <c r="F1579" s="453"/>
      <c r="G1579" s="454"/>
      <c r="H1579" s="454"/>
      <c r="I1579" s="455"/>
      <c r="J1579" s="456"/>
      <c r="K1579" s="457" t="s">
        <v>1416</v>
      </c>
      <c r="L1579" s="458"/>
      <c r="M1579" s="459"/>
      <c r="N1579" s="460"/>
      <c r="O1579" s="460"/>
      <c r="P1579" s="461"/>
      <c r="Q1579" s="458"/>
      <c r="R1579" s="459"/>
      <c r="S1579" s="459"/>
      <c r="T1579" s="459"/>
      <c r="U1579" s="459"/>
      <c r="V1579" s="459"/>
      <c r="W1579" s="459"/>
      <c r="X1579" s="459"/>
      <c r="Y1579" s="462">
        <f t="shared" si="17"/>
        <v>0</v>
      </c>
      <c r="Z1579" s="463"/>
      <c r="AA1579" s="464"/>
      <c r="AB1579" s="465"/>
      <c r="AC1579" s="465"/>
      <c r="AD1579" s="465"/>
      <c r="AE1579" s="466"/>
      <c r="AF1579" s="449"/>
      <c r="AG1579" s="449"/>
      <c r="AH1579" s="449"/>
    </row>
    <row r="1580" ht="11.25" customHeight="1">
      <c r="A1580" s="450"/>
      <c r="B1580" s="451"/>
      <c r="C1580" s="452"/>
      <c r="D1580" s="452"/>
      <c r="E1580" s="453"/>
      <c r="F1580" s="453"/>
      <c r="G1580" s="454"/>
      <c r="H1580" s="454"/>
      <c r="I1580" s="455"/>
      <c r="J1580" s="456"/>
      <c r="K1580" s="467" t="s">
        <v>1417</v>
      </c>
      <c r="L1580" s="468"/>
      <c r="M1580" s="469"/>
      <c r="N1580" s="470"/>
      <c r="O1580" s="470"/>
      <c r="P1580" s="471"/>
      <c r="Q1580" s="468"/>
      <c r="R1580" s="469"/>
      <c r="S1580" s="469"/>
      <c r="T1580" s="469"/>
      <c r="U1580" s="469"/>
      <c r="V1580" s="469"/>
      <c r="W1580" s="469"/>
      <c r="X1580" s="469"/>
      <c r="Y1580" s="462">
        <f t="shared" si="17"/>
        <v>0</v>
      </c>
      <c r="Z1580" s="463"/>
      <c r="AA1580" s="464"/>
      <c r="AB1580" s="465"/>
      <c r="AC1580" s="465"/>
      <c r="AD1580" s="465"/>
      <c r="AE1580" s="466"/>
      <c r="AF1580" s="449"/>
      <c r="AG1580" s="449"/>
      <c r="AH1580" s="449"/>
    </row>
    <row r="1581" ht="11.25" customHeight="1">
      <c r="A1581" s="450"/>
      <c r="B1581" s="472"/>
      <c r="C1581" s="473"/>
      <c r="D1581" s="473"/>
      <c r="E1581" s="474"/>
      <c r="F1581" s="474"/>
      <c r="G1581" s="475"/>
      <c r="H1581" s="475"/>
      <c r="I1581" s="476"/>
      <c r="J1581" s="477"/>
      <c r="K1581" s="478" t="s">
        <v>1418</v>
      </c>
      <c r="L1581" s="479"/>
      <c r="M1581" s="480"/>
      <c r="N1581" s="481"/>
      <c r="O1581" s="481"/>
      <c r="P1581" s="482"/>
      <c r="Q1581" s="479"/>
      <c r="R1581" s="480"/>
      <c r="S1581" s="480"/>
      <c r="T1581" s="480"/>
      <c r="U1581" s="480"/>
      <c r="V1581" s="480"/>
      <c r="W1581" s="480"/>
      <c r="X1581" s="480"/>
      <c r="Y1581" s="483">
        <f t="shared" si="17"/>
        <v>0</v>
      </c>
      <c r="Z1581" s="484"/>
      <c r="AA1581" s="485"/>
      <c r="AB1581" s="486"/>
      <c r="AC1581" s="486"/>
      <c r="AD1581" s="486"/>
      <c r="AE1581" s="487"/>
      <c r="AF1581" s="449"/>
      <c r="AG1581" s="449"/>
      <c r="AH1581" s="449"/>
    </row>
    <row r="1582" ht="11.25" customHeight="1">
      <c r="A1582" s="431" t="str">
        <f>IF(B1582="","", YEAR(B1582))</f>
        <v/>
      </c>
      <c r="B1582" s="432"/>
      <c r="C1582" s="433"/>
      <c r="D1582" s="433"/>
      <c r="E1582" s="434" t="str">
        <f t="shared" ref="E1582:I1582" si="798">IFERROR(AVERAGE(L1582:L1585),"")</f>
        <v/>
      </c>
      <c r="F1582" s="434" t="str">
        <f t="shared" si="798"/>
        <v/>
      </c>
      <c r="G1582" s="435" t="str">
        <f t="shared" si="798"/>
        <v/>
      </c>
      <c r="H1582" s="435" t="str">
        <f t="shared" si="798"/>
        <v/>
      </c>
      <c r="I1582" s="436" t="str">
        <f t="shared" si="798"/>
        <v/>
      </c>
      <c r="J1582" s="437">
        <f>SUMIFS(PRODUCTION[KG],PRODUCTION[GRADE],"3X50",PRODUCTION[DATE],B1582,PRODUCTION[BATCH],C1582,PRODUCTION[SHIFT],D1582)</f>
        <v>0</v>
      </c>
      <c r="K1582" s="438" t="s">
        <v>1414</v>
      </c>
      <c r="L1582" s="443"/>
      <c r="M1582" s="440"/>
      <c r="N1582" s="441"/>
      <c r="O1582" s="441"/>
      <c r="P1582" s="442"/>
      <c r="Q1582" s="443"/>
      <c r="R1582" s="440"/>
      <c r="S1582" s="440"/>
      <c r="T1582" s="440"/>
      <c r="U1582" s="440"/>
      <c r="V1582" s="440"/>
      <c r="W1582" s="440"/>
      <c r="X1582" s="440"/>
      <c r="Y1582" s="444">
        <f t="shared" si="17"/>
        <v>0</v>
      </c>
      <c r="Z1582" s="445"/>
      <c r="AA1582" s="446">
        <f t="shared" ref="AA1582:AE1582" si="799">$J1582*E1582</f>
        <v>0</v>
      </c>
      <c r="AB1582" s="447">
        <f t="shared" si="799"/>
        <v>0</v>
      </c>
      <c r="AC1582" s="447">
        <f t="shared" si="799"/>
        <v>0</v>
      </c>
      <c r="AD1582" s="447">
        <f t="shared" si="799"/>
        <v>0</v>
      </c>
      <c r="AE1582" s="448">
        <f t="shared" si="799"/>
        <v>0</v>
      </c>
      <c r="AF1582" s="449"/>
      <c r="AG1582" s="449"/>
      <c r="AH1582" s="449"/>
    </row>
    <row r="1583" ht="11.25" customHeight="1">
      <c r="A1583" s="450"/>
      <c r="B1583" s="451"/>
      <c r="C1583" s="452"/>
      <c r="D1583" s="452"/>
      <c r="E1583" s="453"/>
      <c r="F1583" s="453"/>
      <c r="G1583" s="454"/>
      <c r="H1583" s="454"/>
      <c r="I1583" s="455"/>
      <c r="J1583" s="456"/>
      <c r="K1583" s="457" t="s">
        <v>1416</v>
      </c>
      <c r="L1583" s="458"/>
      <c r="M1583" s="459"/>
      <c r="N1583" s="460"/>
      <c r="O1583" s="460"/>
      <c r="P1583" s="461"/>
      <c r="Q1583" s="458"/>
      <c r="R1583" s="459"/>
      <c r="S1583" s="459"/>
      <c r="T1583" s="459"/>
      <c r="U1583" s="459"/>
      <c r="V1583" s="459"/>
      <c r="W1583" s="459"/>
      <c r="X1583" s="459"/>
      <c r="Y1583" s="462">
        <f t="shared" si="17"/>
        <v>0</v>
      </c>
      <c r="Z1583" s="463"/>
      <c r="AA1583" s="464"/>
      <c r="AB1583" s="465"/>
      <c r="AC1583" s="465"/>
      <c r="AD1583" s="465"/>
      <c r="AE1583" s="466"/>
      <c r="AF1583" s="449"/>
      <c r="AG1583" s="449"/>
      <c r="AH1583" s="449"/>
    </row>
    <row r="1584" ht="11.25" customHeight="1">
      <c r="A1584" s="450"/>
      <c r="B1584" s="451"/>
      <c r="C1584" s="452"/>
      <c r="D1584" s="452"/>
      <c r="E1584" s="453"/>
      <c r="F1584" s="453"/>
      <c r="G1584" s="454"/>
      <c r="H1584" s="454"/>
      <c r="I1584" s="455"/>
      <c r="J1584" s="456"/>
      <c r="K1584" s="467" t="s">
        <v>1417</v>
      </c>
      <c r="L1584" s="468"/>
      <c r="M1584" s="469"/>
      <c r="N1584" s="470"/>
      <c r="O1584" s="470"/>
      <c r="P1584" s="471"/>
      <c r="Q1584" s="468"/>
      <c r="R1584" s="469"/>
      <c r="S1584" s="469"/>
      <c r="T1584" s="469"/>
      <c r="U1584" s="469"/>
      <c r="V1584" s="469"/>
      <c r="W1584" s="469"/>
      <c r="X1584" s="469"/>
      <c r="Y1584" s="462">
        <f t="shared" si="17"/>
        <v>0</v>
      </c>
      <c r="Z1584" s="463"/>
      <c r="AA1584" s="464"/>
      <c r="AB1584" s="465"/>
      <c r="AC1584" s="465"/>
      <c r="AD1584" s="465"/>
      <c r="AE1584" s="466"/>
      <c r="AF1584" s="449"/>
      <c r="AG1584" s="449"/>
      <c r="AH1584" s="449"/>
    </row>
    <row r="1585" ht="11.25" customHeight="1">
      <c r="A1585" s="450"/>
      <c r="B1585" s="472"/>
      <c r="C1585" s="473"/>
      <c r="D1585" s="473"/>
      <c r="E1585" s="474"/>
      <c r="F1585" s="474"/>
      <c r="G1585" s="475"/>
      <c r="H1585" s="475"/>
      <c r="I1585" s="476"/>
      <c r="J1585" s="477"/>
      <c r="K1585" s="478" t="s">
        <v>1418</v>
      </c>
      <c r="L1585" s="479"/>
      <c r="M1585" s="480"/>
      <c r="N1585" s="481"/>
      <c r="O1585" s="481"/>
      <c r="P1585" s="482"/>
      <c r="Q1585" s="479"/>
      <c r="R1585" s="480"/>
      <c r="S1585" s="480"/>
      <c r="T1585" s="480"/>
      <c r="U1585" s="480"/>
      <c r="V1585" s="480"/>
      <c r="W1585" s="480"/>
      <c r="X1585" s="480"/>
      <c r="Y1585" s="483">
        <f t="shared" si="17"/>
        <v>0</v>
      </c>
      <c r="Z1585" s="484"/>
      <c r="AA1585" s="485"/>
      <c r="AB1585" s="486"/>
      <c r="AC1585" s="486"/>
      <c r="AD1585" s="486"/>
      <c r="AE1585" s="487"/>
      <c r="AF1585" s="449"/>
      <c r="AG1585" s="449"/>
      <c r="AH1585" s="449"/>
    </row>
    <row r="1586" ht="11.25" customHeight="1">
      <c r="A1586" s="431" t="str">
        <f>IF(B1586="","", YEAR(B1586))</f>
        <v/>
      </c>
      <c r="B1586" s="432"/>
      <c r="C1586" s="433"/>
      <c r="D1586" s="433"/>
      <c r="E1586" s="434" t="str">
        <f t="shared" ref="E1586:I1586" si="800">IFERROR(AVERAGE(L1586:L1589),"")</f>
        <v/>
      </c>
      <c r="F1586" s="434" t="str">
        <f t="shared" si="800"/>
        <v/>
      </c>
      <c r="G1586" s="435" t="str">
        <f t="shared" si="800"/>
        <v/>
      </c>
      <c r="H1586" s="435" t="str">
        <f t="shared" si="800"/>
        <v/>
      </c>
      <c r="I1586" s="436" t="str">
        <f t="shared" si="800"/>
        <v/>
      </c>
      <c r="J1586" s="437">
        <f>SUMIFS(PRODUCTION[KG],PRODUCTION[GRADE],"3X50",PRODUCTION[DATE],B1586,PRODUCTION[BATCH],C1586,PRODUCTION[SHIFT],D1586)</f>
        <v>0</v>
      </c>
      <c r="K1586" s="438" t="s">
        <v>1414</v>
      </c>
      <c r="L1586" s="443"/>
      <c r="M1586" s="440"/>
      <c r="N1586" s="441"/>
      <c r="O1586" s="441"/>
      <c r="P1586" s="442"/>
      <c r="Q1586" s="443"/>
      <c r="R1586" s="440"/>
      <c r="S1586" s="440"/>
      <c r="T1586" s="440"/>
      <c r="U1586" s="440"/>
      <c r="V1586" s="440"/>
      <c r="W1586" s="440"/>
      <c r="X1586" s="440"/>
      <c r="Y1586" s="444">
        <f t="shared" si="17"/>
        <v>0</v>
      </c>
      <c r="Z1586" s="445"/>
      <c r="AA1586" s="446">
        <f t="shared" ref="AA1586:AE1586" si="801">$J1586*E1586</f>
        <v>0</v>
      </c>
      <c r="AB1586" s="447">
        <f t="shared" si="801"/>
        <v>0</v>
      </c>
      <c r="AC1586" s="447">
        <f t="shared" si="801"/>
        <v>0</v>
      </c>
      <c r="AD1586" s="447">
        <f t="shared" si="801"/>
        <v>0</v>
      </c>
      <c r="AE1586" s="448">
        <f t="shared" si="801"/>
        <v>0</v>
      </c>
      <c r="AF1586" s="449"/>
      <c r="AG1586" s="449"/>
      <c r="AH1586" s="449"/>
    </row>
    <row r="1587" ht="11.25" customHeight="1">
      <c r="A1587" s="450"/>
      <c r="B1587" s="451"/>
      <c r="C1587" s="452"/>
      <c r="D1587" s="452"/>
      <c r="E1587" s="453"/>
      <c r="F1587" s="453"/>
      <c r="G1587" s="454"/>
      <c r="H1587" s="454"/>
      <c r="I1587" s="455"/>
      <c r="J1587" s="456"/>
      <c r="K1587" s="457" t="s">
        <v>1416</v>
      </c>
      <c r="L1587" s="458"/>
      <c r="M1587" s="459"/>
      <c r="N1587" s="460"/>
      <c r="O1587" s="460"/>
      <c r="P1587" s="461"/>
      <c r="Q1587" s="458"/>
      <c r="R1587" s="459"/>
      <c r="S1587" s="459"/>
      <c r="T1587" s="459"/>
      <c r="U1587" s="459"/>
      <c r="V1587" s="459"/>
      <c r="W1587" s="459"/>
      <c r="X1587" s="459"/>
      <c r="Y1587" s="462">
        <f t="shared" si="17"/>
        <v>0</v>
      </c>
      <c r="Z1587" s="463"/>
      <c r="AA1587" s="464"/>
      <c r="AB1587" s="465"/>
      <c r="AC1587" s="465"/>
      <c r="AD1587" s="465"/>
      <c r="AE1587" s="466"/>
      <c r="AF1587" s="449"/>
      <c r="AG1587" s="449"/>
      <c r="AH1587" s="449"/>
    </row>
    <row r="1588" ht="11.25" customHeight="1">
      <c r="A1588" s="450"/>
      <c r="B1588" s="451"/>
      <c r="C1588" s="452"/>
      <c r="D1588" s="452"/>
      <c r="E1588" s="453"/>
      <c r="F1588" s="453"/>
      <c r="G1588" s="454"/>
      <c r="H1588" s="454"/>
      <c r="I1588" s="455"/>
      <c r="J1588" s="456"/>
      <c r="K1588" s="467" t="s">
        <v>1417</v>
      </c>
      <c r="L1588" s="468"/>
      <c r="M1588" s="469"/>
      <c r="N1588" s="470"/>
      <c r="O1588" s="470"/>
      <c r="P1588" s="471"/>
      <c r="Q1588" s="468"/>
      <c r="R1588" s="469"/>
      <c r="S1588" s="469"/>
      <c r="T1588" s="469"/>
      <c r="U1588" s="469"/>
      <c r="V1588" s="469"/>
      <c r="W1588" s="469"/>
      <c r="X1588" s="469"/>
      <c r="Y1588" s="462">
        <f t="shared" si="17"/>
        <v>0</v>
      </c>
      <c r="Z1588" s="463"/>
      <c r="AA1588" s="464"/>
      <c r="AB1588" s="465"/>
      <c r="AC1588" s="465"/>
      <c r="AD1588" s="465"/>
      <c r="AE1588" s="466"/>
      <c r="AF1588" s="449"/>
      <c r="AG1588" s="449"/>
      <c r="AH1588" s="449"/>
    </row>
    <row r="1589" ht="11.25" customHeight="1">
      <c r="A1589" s="450"/>
      <c r="B1589" s="472"/>
      <c r="C1589" s="473"/>
      <c r="D1589" s="473"/>
      <c r="E1589" s="474"/>
      <c r="F1589" s="474"/>
      <c r="G1589" s="475"/>
      <c r="H1589" s="475"/>
      <c r="I1589" s="476"/>
      <c r="J1589" s="477"/>
      <c r="K1589" s="478" t="s">
        <v>1418</v>
      </c>
      <c r="L1589" s="479"/>
      <c r="M1589" s="480"/>
      <c r="N1589" s="481"/>
      <c r="O1589" s="481"/>
      <c r="P1589" s="482"/>
      <c r="Q1589" s="479"/>
      <c r="R1589" s="480"/>
      <c r="S1589" s="480"/>
      <c r="T1589" s="480"/>
      <c r="U1589" s="480"/>
      <c r="V1589" s="480"/>
      <c r="W1589" s="480"/>
      <c r="X1589" s="480"/>
      <c r="Y1589" s="483">
        <f t="shared" si="17"/>
        <v>0</v>
      </c>
      <c r="Z1589" s="484"/>
      <c r="AA1589" s="485"/>
      <c r="AB1589" s="486"/>
      <c r="AC1589" s="486"/>
      <c r="AD1589" s="486"/>
      <c r="AE1589" s="487"/>
      <c r="AF1589" s="449"/>
      <c r="AG1589" s="449"/>
      <c r="AH1589" s="449"/>
    </row>
    <row r="1590" ht="11.25" customHeight="1">
      <c r="A1590" s="431" t="str">
        <f>IF(B1590="","", YEAR(B1590))</f>
        <v/>
      </c>
      <c r="B1590" s="432"/>
      <c r="C1590" s="433"/>
      <c r="D1590" s="433"/>
      <c r="E1590" s="434" t="str">
        <f t="shared" ref="E1590:I1590" si="802">IFERROR(AVERAGE(L1590:L1593),"")</f>
        <v/>
      </c>
      <c r="F1590" s="434" t="str">
        <f t="shared" si="802"/>
        <v/>
      </c>
      <c r="G1590" s="435" t="str">
        <f t="shared" si="802"/>
        <v/>
      </c>
      <c r="H1590" s="435" t="str">
        <f t="shared" si="802"/>
        <v/>
      </c>
      <c r="I1590" s="436" t="str">
        <f t="shared" si="802"/>
        <v/>
      </c>
      <c r="J1590" s="437">
        <f>SUMIFS(PRODUCTION[KG],PRODUCTION[GRADE],"3X50",PRODUCTION[DATE],B1590,PRODUCTION[BATCH],C1590,PRODUCTION[SHIFT],D1590)</f>
        <v>0</v>
      </c>
      <c r="K1590" s="438" t="s">
        <v>1414</v>
      </c>
      <c r="L1590" s="443"/>
      <c r="M1590" s="440"/>
      <c r="N1590" s="441"/>
      <c r="O1590" s="441"/>
      <c r="P1590" s="442"/>
      <c r="Q1590" s="443"/>
      <c r="R1590" s="440"/>
      <c r="S1590" s="440"/>
      <c r="T1590" s="440"/>
      <c r="U1590" s="440"/>
      <c r="V1590" s="440"/>
      <c r="W1590" s="440"/>
      <c r="X1590" s="440"/>
      <c r="Y1590" s="444">
        <f t="shared" si="17"/>
        <v>0</v>
      </c>
      <c r="Z1590" s="445"/>
      <c r="AA1590" s="446">
        <f t="shared" ref="AA1590:AE1590" si="803">$J1590*E1590</f>
        <v>0</v>
      </c>
      <c r="AB1590" s="447">
        <f t="shared" si="803"/>
        <v>0</v>
      </c>
      <c r="AC1590" s="447">
        <f t="shared" si="803"/>
        <v>0</v>
      </c>
      <c r="AD1590" s="447">
        <f t="shared" si="803"/>
        <v>0</v>
      </c>
      <c r="AE1590" s="448">
        <f t="shared" si="803"/>
        <v>0</v>
      </c>
      <c r="AF1590" s="449"/>
      <c r="AG1590" s="449"/>
      <c r="AH1590" s="449"/>
    </row>
    <row r="1591" ht="11.25" customHeight="1">
      <c r="A1591" s="450"/>
      <c r="B1591" s="451"/>
      <c r="C1591" s="452"/>
      <c r="D1591" s="452"/>
      <c r="E1591" s="453"/>
      <c r="F1591" s="453"/>
      <c r="G1591" s="454"/>
      <c r="H1591" s="454"/>
      <c r="I1591" s="455"/>
      <c r="J1591" s="456"/>
      <c r="K1591" s="457" t="s">
        <v>1416</v>
      </c>
      <c r="L1591" s="458"/>
      <c r="M1591" s="459"/>
      <c r="N1591" s="460"/>
      <c r="O1591" s="460"/>
      <c r="P1591" s="461"/>
      <c r="Q1591" s="458"/>
      <c r="R1591" s="459"/>
      <c r="S1591" s="459"/>
      <c r="T1591" s="459"/>
      <c r="U1591" s="459"/>
      <c r="V1591" s="459"/>
      <c r="W1591" s="459"/>
      <c r="X1591" s="459"/>
      <c r="Y1591" s="462">
        <f t="shared" si="17"/>
        <v>0</v>
      </c>
      <c r="Z1591" s="463"/>
      <c r="AA1591" s="464"/>
      <c r="AB1591" s="465"/>
      <c r="AC1591" s="465"/>
      <c r="AD1591" s="465"/>
      <c r="AE1591" s="466"/>
      <c r="AF1591" s="449"/>
      <c r="AG1591" s="449"/>
      <c r="AH1591" s="449"/>
    </row>
    <row r="1592" ht="11.25" customHeight="1">
      <c r="A1592" s="450"/>
      <c r="B1592" s="451"/>
      <c r="C1592" s="452"/>
      <c r="D1592" s="452"/>
      <c r="E1592" s="453"/>
      <c r="F1592" s="453"/>
      <c r="G1592" s="454"/>
      <c r="H1592" s="454"/>
      <c r="I1592" s="455"/>
      <c r="J1592" s="456"/>
      <c r="K1592" s="467" t="s">
        <v>1417</v>
      </c>
      <c r="L1592" s="468"/>
      <c r="M1592" s="469"/>
      <c r="N1592" s="470"/>
      <c r="O1592" s="470"/>
      <c r="P1592" s="471"/>
      <c r="Q1592" s="468"/>
      <c r="R1592" s="469"/>
      <c r="S1592" s="469"/>
      <c r="T1592" s="469"/>
      <c r="U1592" s="469"/>
      <c r="V1592" s="469"/>
      <c r="W1592" s="469"/>
      <c r="X1592" s="469"/>
      <c r="Y1592" s="462">
        <f t="shared" si="17"/>
        <v>0</v>
      </c>
      <c r="Z1592" s="463"/>
      <c r="AA1592" s="464"/>
      <c r="AB1592" s="465"/>
      <c r="AC1592" s="465"/>
      <c r="AD1592" s="465"/>
      <c r="AE1592" s="466"/>
      <c r="AF1592" s="449"/>
      <c r="AG1592" s="449"/>
      <c r="AH1592" s="449"/>
    </row>
    <row r="1593" ht="11.25" customHeight="1">
      <c r="A1593" s="450"/>
      <c r="B1593" s="472"/>
      <c r="C1593" s="473"/>
      <c r="D1593" s="473"/>
      <c r="E1593" s="474"/>
      <c r="F1593" s="474"/>
      <c r="G1593" s="475"/>
      <c r="H1593" s="475"/>
      <c r="I1593" s="476"/>
      <c r="J1593" s="477"/>
      <c r="K1593" s="478" t="s">
        <v>1418</v>
      </c>
      <c r="L1593" s="479"/>
      <c r="M1593" s="480"/>
      <c r="N1593" s="481"/>
      <c r="O1593" s="481"/>
      <c r="P1593" s="482"/>
      <c r="Q1593" s="479"/>
      <c r="R1593" s="480"/>
      <c r="S1593" s="480"/>
      <c r="T1593" s="480"/>
      <c r="U1593" s="480"/>
      <c r="V1593" s="480"/>
      <c r="W1593" s="480"/>
      <c r="X1593" s="480"/>
      <c r="Y1593" s="483">
        <f t="shared" si="17"/>
        <v>0</v>
      </c>
      <c r="Z1593" s="484"/>
      <c r="AA1593" s="485"/>
      <c r="AB1593" s="486"/>
      <c r="AC1593" s="486"/>
      <c r="AD1593" s="486"/>
      <c r="AE1593" s="487"/>
      <c r="AF1593" s="449"/>
      <c r="AG1593" s="449"/>
      <c r="AH1593" s="449"/>
    </row>
    <row r="1594" ht="11.25" customHeight="1">
      <c r="A1594" s="431" t="str">
        <f>IF(B1594="","", YEAR(B1594))</f>
        <v/>
      </c>
      <c r="B1594" s="432"/>
      <c r="C1594" s="433"/>
      <c r="D1594" s="433"/>
      <c r="E1594" s="434" t="str">
        <f t="shared" ref="E1594:I1594" si="804">IFERROR(AVERAGE(L1594:L1597),"")</f>
        <v/>
      </c>
      <c r="F1594" s="434" t="str">
        <f t="shared" si="804"/>
        <v/>
      </c>
      <c r="G1594" s="435" t="str">
        <f t="shared" si="804"/>
        <v/>
      </c>
      <c r="H1594" s="435" t="str">
        <f t="shared" si="804"/>
        <v/>
      </c>
      <c r="I1594" s="436" t="str">
        <f t="shared" si="804"/>
        <v/>
      </c>
      <c r="J1594" s="437">
        <f>SUMIFS(PRODUCTION[KG],PRODUCTION[GRADE],"3X50",PRODUCTION[DATE],B1594,PRODUCTION[BATCH],C1594,PRODUCTION[SHIFT],D1594)</f>
        <v>0</v>
      </c>
      <c r="K1594" s="438" t="s">
        <v>1414</v>
      </c>
      <c r="L1594" s="443"/>
      <c r="M1594" s="440"/>
      <c r="N1594" s="441"/>
      <c r="O1594" s="441"/>
      <c r="P1594" s="442"/>
      <c r="Q1594" s="443"/>
      <c r="R1594" s="440"/>
      <c r="S1594" s="440"/>
      <c r="T1594" s="440"/>
      <c r="U1594" s="440"/>
      <c r="V1594" s="440"/>
      <c r="W1594" s="440"/>
      <c r="X1594" s="440"/>
      <c r="Y1594" s="444">
        <f t="shared" si="17"/>
        <v>0</v>
      </c>
      <c r="Z1594" s="445"/>
      <c r="AA1594" s="446">
        <f t="shared" ref="AA1594:AE1594" si="805">$J1594*E1594</f>
        <v>0</v>
      </c>
      <c r="AB1594" s="447">
        <f t="shared" si="805"/>
        <v>0</v>
      </c>
      <c r="AC1594" s="447">
        <f t="shared" si="805"/>
        <v>0</v>
      </c>
      <c r="AD1594" s="447">
        <f t="shared" si="805"/>
        <v>0</v>
      </c>
      <c r="AE1594" s="448">
        <f t="shared" si="805"/>
        <v>0</v>
      </c>
      <c r="AF1594" s="449"/>
      <c r="AG1594" s="449"/>
      <c r="AH1594" s="449"/>
    </row>
    <row r="1595" ht="11.25" customHeight="1">
      <c r="A1595" s="450"/>
      <c r="B1595" s="451"/>
      <c r="C1595" s="452"/>
      <c r="D1595" s="452"/>
      <c r="E1595" s="453"/>
      <c r="F1595" s="453"/>
      <c r="G1595" s="454"/>
      <c r="H1595" s="454"/>
      <c r="I1595" s="455"/>
      <c r="J1595" s="456"/>
      <c r="K1595" s="457" t="s">
        <v>1416</v>
      </c>
      <c r="L1595" s="458"/>
      <c r="M1595" s="459"/>
      <c r="N1595" s="460"/>
      <c r="O1595" s="460"/>
      <c r="P1595" s="461"/>
      <c r="Q1595" s="458"/>
      <c r="R1595" s="459"/>
      <c r="S1595" s="459"/>
      <c r="T1595" s="459"/>
      <c r="U1595" s="459"/>
      <c r="V1595" s="459"/>
      <c r="W1595" s="459"/>
      <c r="X1595" s="459"/>
      <c r="Y1595" s="462">
        <f t="shared" si="17"/>
        <v>0</v>
      </c>
      <c r="Z1595" s="463"/>
      <c r="AA1595" s="464"/>
      <c r="AB1595" s="465"/>
      <c r="AC1595" s="465"/>
      <c r="AD1595" s="465"/>
      <c r="AE1595" s="466"/>
      <c r="AF1595" s="449"/>
      <c r="AG1595" s="449"/>
      <c r="AH1595" s="449"/>
    </row>
    <row r="1596" ht="11.25" customHeight="1">
      <c r="A1596" s="450"/>
      <c r="B1596" s="451"/>
      <c r="C1596" s="452"/>
      <c r="D1596" s="452"/>
      <c r="E1596" s="453"/>
      <c r="F1596" s="453"/>
      <c r="G1596" s="454"/>
      <c r="H1596" s="454"/>
      <c r="I1596" s="455"/>
      <c r="J1596" s="456"/>
      <c r="K1596" s="467" t="s">
        <v>1417</v>
      </c>
      <c r="L1596" s="468"/>
      <c r="M1596" s="469"/>
      <c r="N1596" s="470"/>
      <c r="O1596" s="470"/>
      <c r="P1596" s="471"/>
      <c r="Q1596" s="468"/>
      <c r="R1596" s="469"/>
      <c r="S1596" s="469"/>
      <c r="T1596" s="469"/>
      <c r="U1596" s="469"/>
      <c r="V1596" s="469"/>
      <c r="W1596" s="469"/>
      <c r="X1596" s="469"/>
      <c r="Y1596" s="462">
        <f t="shared" si="17"/>
        <v>0</v>
      </c>
      <c r="Z1596" s="463"/>
      <c r="AA1596" s="464"/>
      <c r="AB1596" s="465"/>
      <c r="AC1596" s="465"/>
      <c r="AD1596" s="465"/>
      <c r="AE1596" s="466"/>
      <c r="AF1596" s="449"/>
      <c r="AG1596" s="449"/>
      <c r="AH1596" s="449"/>
    </row>
    <row r="1597" ht="11.25" customHeight="1">
      <c r="A1597" s="450"/>
      <c r="B1597" s="472"/>
      <c r="C1597" s="473"/>
      <c r="D1597" s="473"/>
      <c r="E1597" s="474"/>
      <c r="F1597" s="474"/>
      <c r="G1597" s="475"/>
      <c r="H1597" s="475"/>
      <c r="I1597" s="476"/>
      <c r="J1597" s="477"/>
      <c r="K1597" s="478" t="s">
        <v>1418</v>
      </c>
      <c r="L1597" s="479"/>
      <c r="M1597" s="480"/>
      <c r="N1597" s="481"/>
      <c r="O1597" s="481"/>
      <c r="P1597" s="482"/>
      <c r="Q1597" s="479"/>
      <c r="R1597" s="480"/>
      <c r="S1597" s="480"/>
      <c r="T1597" s="480"/>
      <c r="U1597" s="480"/>
      <c r="V1597" s="480"/>
      <c r="W1597" s="480"/>
      <c r="X1597" s="480"/>
      <c r="Y1597" s="483">
        <f t="shared" si="17"/>
        <v>0</v>
      </c>
      <c r="Z1597" s="484"/>
      <c r="AA1597" s="485"/>
      <c r="AB1597" s="486"/>
      <c r="AC1597" s="486"/>
      <c r="AD1597" s="486"/>
      <c r="AE1597" s="487"/>
      <c r="AF1597" s="449"/>
      <c r="AG1597" s="449"/>
      <c r="AH1597" s="449"/>
    </row>
    <row r="1598" ht="11.25" customHeight="1">
      <c r="A1598" s="431" t="str">
        <f>IF(B1598="","", YEAR(B1598))</f>
        <v/>
      </c>
      <c r="B1598" s="432"/>
      <c r="C1598" s="433"/>
      <c r="D1598" s="433"/>
      <c r="E1598" s="434" t="str">
        <f t="shared" ref="E1598:I1598" si="806">IFERROR(AVERAGE(L1598:L1601),"")</f>
        <v/>
      </c>
      <c r="F1598" s="434" t="str">
        <f t="shared" si="806"/>
        <v/>
      </c>
      <c r="G1598" s="435" t="str">
        <f t="shared" si="806"/>
        <v/>
      </c>
      <c r="H1598" s="435" t="str">
        <f t="shared" si="806"/>
        <v/>
      </c>
      <c r="I1598" s="436" t="str">
        <f t="shared" si="806"/>
        <v/>
      </c>
      <c r="J1598" s="437">
        <f>SUMIFS(PRODUCTION[KG],PRODUCTION[GRADE],"3X50",PRODUCTION[DATE],B1598,PRODUCTION[BATCH],C1598,PRODUCTION[SHIFT],D1598)</f>
        <v>0</v>
      </c>
      <c r="K1598" s="438" t="s">
        <v>1414</v>
      </c>
      <c r="L1598" s="443"/>
      <c r="M1598" s="440"/>
      <c r="N1598" s="441"/>
      <c r="O1598" s="441"/>
      <c r="P1598" s="442"/>
      <c r="Q1598" s="443"/>
      <c r="R1598" s="440"/>
      <c r="S1598" s="440"/>
      <c r="T1598" s="440"/>
      <c r="U1598" s="440"/>
      <c r="V1598" s="440"/>
      <c r="W1598" s="440"/>
      <c r="X1598" s="440"/>
      <c r="Y1598" s="444">
        <f t="shared" si="17"/>
        <v>0</v>
      </c>
      <c r="Z1598" s="445"/>
      <c r="AA1598" s="446">
        <f t="shared" ref="AA1598:AE1598" si="807">$J1598*E1598</f>
        <v>0</v>
      </c>
      <c r="AB1598" s="447">
        <f t="shared" si="807"/>
        <v>0</v>
      </c>
      <c r="AC1598" s="447">
        <f t="shared" si="807"/>
        <v>0</v>
      </c>
      <c r="AD1598" s="447">
        <f t="shared" si="807"/>
        <v>0</v>
      </c>
      <c r="AE1598" s="448">
        <f t="shared" si="807"/>
        <v>0</v>
      </c>
      <c r="AF1598" s="449"/>
      <c r="AG1598" s="449"/>
      <c r="AH1598" s="449"/>
    </row>
    <row r="1599" ht="11.25" customHeight="1">
      <c r="A1599" s="450"/>
      <c r="B1599" s="451"/>
      <c r="C1599" s="452"/>
      <c r="D1599" s="452"/>
      <c r="E1599" s="453"/>
      <c r="F1599" s="453"/>
      <c r="G1599" s="454"/>
      <c r="H1599" s="454"/>
      <c r="I1599" s="455"/>
      <c r="J1599" s="456"/>
      <c r="K1599" s="457" t="s">
        <v>1416</v>
      </c>
      <c r="L1599" s="458"/>
      <c r="M1599" s="459"/>
      <c r="N1599" s="460"/>
      <c r="O1599" s="460"/>
      <c r="P1599" s="461"/>
      <c r="Q1599" s="458"/>
      <c r="R1599" s="459"/>
      <c r="S1599" s="459"/>
      <c r="T1599" s="459"/>
      <c r="U1599" s="459"/>
      <c r="V1599" s="459"/>
      <c r="W1599" s="459"/>
      <c r="X1599" s="459"/>
      <c r="Y1599" s="462">
        <f t="shared" si="17"/>
        <v>0</v>
      </c>
      <c r="Z1599" s="463"/>
      <c r="AA1599" s="464"/>
      <c r="AB1599" s="465"/>
      <c r="AC1599" s="465"/>
      <c r="AD1599" s="465"/>
      <c r="AE1599" s="466"/>
      <c r="AF1599" s="449"/>
      <c r="AG1599" s="449"/>
      <c r="AH1599" s="449"/>
    </row>
    <row r="1600" ht="11.25" customHeight="1">
      <c r="A1600" s="450"/>
      <c r="B1600" s="451"/>
      <c r="C1600" s="452"/>
      <c r="D1600" s="452"/>
      <c r="E1600" s="453"/>
      <c r="F1600" s="453"/>
      <c r="G1600" s="454"/>
      <c r="H1600" s="454"/>
      <c r="I1600" s="455"/>
      <c r="J1600" s="456"/>
      <c r="K1600" s="467" t="s">
        <v>1417</v>
      </c>
      <c r="L1600" s="468"/>
      <c r="M1600" s="469"/>
      <c r="N1600" s="470"/>
      <c r="O1600" s="470"/>
      <c r="P1600" s="471"/>
      <c r="Q1600" s="468"/>
      <c r="R1600" s="469"/>
      <c r="S1600" s="469"/>
      <c r="T1600" s="469"/>
      <c r="U1600" s="469"/>
      <c r="V1600" s="469"/>
      <c r="W1600" s="469"/>
      <c r="X1600" s="469"/>
      <c r="Y1600" s="462">
        <f t="shared" si="17"/>
        <v>0</v>
      </c>
      <c r="Z1600" s="463"/>
      <c r="AA1600" s="464"/>
      <c r="AB1600" s="465"/>
      <c r="AC1600" s="465"/>
      <c r="AD1600" s="465"/>
      <c r="AE1600" s="466"/>
      <c r="AF1600" s="449"/>
      <c r="AG1600" s="449"/>
      <c r="AH1600" s="449"/>
    </row>
    <row r="1601" ht="11.25" customHeight="1">
      <c r="A1601" s="450"/>
      <c r="B1601" s="472"/>
      <c r="C1601" s="473"/>
      <c r="D1601" s="473"/>
      <c r="E1601" s="474"/>
      <c r="F1601" s="474"/>
      <c r="G1601" s="475"/>
      <c r="H1601" s="475"/>
      <c r="I1601" s="476"/>
      <c r="J1601" s="477"/>
      <c r="K1601" s="478" t="s">
        <v>1418</v>
      </c>
      <c r="L1601" s="479"/>
      <c r="M1601" s="480"/>
      <c r="N1601" s="481"/>
      <c r="O1601" s="481"/>
      <c r="P1601" s="482"/>
      <c r="Q1601" s="479"/>
      <c r="R1601" s="480"/>
      <c r="S1601" s="480"/>
      <c r="T1601" s="480"/>
      <c r="U1601" s="480"/>
      <c r="V1601" s="480"/>
      <c r="W1601" s="480"/>
      <c r="X1601" s="480"/>
      <c r="Y1601" s="483">
        <f t="shared" si="17"/>
        <v>0</v>
      </c>
      <c r="Z1601" s="484"/>
      <c r="AA1601" s="485"/>
      <c r="AB1601" s="486"/>
      <c r="AC1601" s="486"/>
      <c r="AD1601" s="486"/>
      <c r="AE1601" s="487"/>
      <c r="AF1601" s="449"/>
      <c r="AG1601" s="449"/>
      <c r="AH1601" s="449"/>
    </row>
    <row r="1602" ht="11.25" customHeight="1">
      <c r="A1602" s="431" t="str">
        <f>IF(B1602="","", YEAR(B1602))</f>
        <v/>
      </c>
      <c r="B1602" s="432"/>
      <c r="C1602" s="433"/>
      <c r="D1602" s="433"/>
      <c r="E1602" s="434" t="str">
        <f t="shared" ref="E1602:I1602" si="808">IFERROR(AVERAGE(L1602:L1605),"")</f>
        <v/>
      </c>
      <c r="F1602" s="434" t="str">
        <f t="shared" si="808"/>
        <v/>
      </c>
      <c r="G1602" s="435" t="str">
        <f t="shared" si="808"/>
        <v/>
      </c>
      <c r="H1602" s="435" t="str">
        <f t="shared" si="808"/>
        <v/>
      </c>
      <c r="I1602" s="436" t="str">
        <f t="shared" si="808"/>
        <v/>
      </c>
      <c r="J1602" s="437">
        <f>SUMIFS(PRODUCTION[KG],PRODUCTION[GRADE],"3X50",PRODUCTION[DATE],B1602,PRODUCTION[BATCH],C1602,PRODUCTION[SHIFT],D1602)</f>
        <v>0</v>
      </c>
      <c r="K1602" s="438" t="s">
        <v>1414</v>
      </c>
      <c r="L1602" s="443"/>
      <c r="M1602" s="440"/>
      <c r="N1602" s="441"/>
      <c r="O1602" s="441"/>
      <c r="P1602" s="442"/>
      <c r="Q1602" s="443"/>
      <c r="R1602" s="440"/>
      <c r="S1602" s="440"/>
      <c r="T1602" s="440"/>
      <c r="U1602" s="440"/>
      <c r="V1602" s="440"/>
      <c r="W1602" s="440"/>
      <c r="X1602" s="440"/>
      <c r="Y1602" s="444">
        <f t="shared" si="17"/>
        <v>0</v>
      </c>
      <c r="Z1602" s="445"/>
      <c r="AA1602" s="446">
        <f t="shared" ref="AA1602:AE1602" si="809">$J1602*E1602</f>
        <v>0</v>
      </c>
      <c r="AB1602" s="447">
        <f t="shared" si="809"/>
        <v>0</v>
      </c>
      <c r="AC1602" s="447">
        <f t="shared" si="809"/>
        <v>0</v>
      </c>
      <c r="AD1602" s="447">
        <f t="shared" si="809"/>
        <v>0</v>
      </c>
      <c r="AE1602" s="448">
        <f t="shared" si="809"/>
        <v>0</v>
      </c>
      <c r="AF1602" s="449"/>
      <c r="AG1602" s="449"/>
      <c r="AH1602" s="449"/>
    </row>
    <row r="1603" ht="11.25" customHeight="1">
      <c r="A1603" s="450"/>
      <c r="B1603" s="451"/>
      <c r="C1603" s="452"/>
      <c r="D1603" s="452"/>
      <c r="E1603" s="453"/>
      <c r="F1603" s="453"/>
      <c r="G1603" s="454"/>
      <c r="H1603" s="454"/>
      <c r="I1603" s="455"/>
      <c r="J1603" s="456"/>
      <c r="K1603" s="457" t="s">
        <v>1416</v>
      </c>
      <c r="L1603" s="458"/>
      <c r="M1603" s="459"/>
      <c r="N1603" s="460"/>
      <c r="O1603" s="460"/>
      <c r="P1603" s="461"/>
      <c r="Q1603" s="458"/>
      <c r="R1603" s="459"/>
      <c r="S1603" s="459"/>
      <c r="T1603" s="459"/>
      <c r="U1603" s="459"/>
      <c r="V1603" s="459"/>
      <c r="W1603" s="459"/>
      <c r="X1603" s="459"/>
      <c r="Y1603" s="462">
        <f t="shared" si="17"/>
        <v>0</v>
      </c>
      <c r="Z1603" s="463"/>
      <c r="AA1603" s="464"/>
      <c r="AB1603" s="465"/>
      <c r="AC1603" s="465"/>
      <c r="AD1603" s="465"/>
      <c r="AE1603" s="466"/>
      <c r="AF1603" s="449"/>
      <c r="AG1603" s="449"/>
      <c r="AH1603" s="449"/>
    </row>
    <row r="1604" ht="11.25" customHeight="1">
      <c r="A1604" s="450"/>
      <c r="B1604" s="451"/>
      <c r="C1604" s="452"/>
      <c r="D1604" s="452"/>
      <c r="E1604" s="453"/>
      <c r="F1604" s="453"/>
      <c r="G1604" s="454"/>
      <c r="H1604" s="454"/>
      <c r="I1604" s="455"/>
      <c r="J1604" s="456"/>
      <c r="K1604" s="467" t="s">
        <v>1417</v>
      </c>
      <c r="L1604" s="468"/>
      <c r="M1604" s="469"/>
      <c r="N1604" s="470"/>
      <c r="O1604" s="470"/>
      <c r="P1604" s="471"/>
      <c r="Q1604" s="468"/>
      <c r="R1604" s="469"/>
      <c r="S1604" s="469"/>
      <c r="T1604" s="469"/>
      <c r="U1604" s="469"/>
      <c r="V1604" s="469"/>
      <c r="W1604" s="469"/>
      <c r="X1604" s="469"/>
      <c r="Y1604" s="462">
        <f t="shared" si="17"/>
        <v>0</v>
      </c>
      <c r="Z1604" s="463"/>
      <c r="AA1604" s="464"/>
      <c r="AB1604" s="465"/>
      <c r="AC1604" s="465"/>
      <c r="AD1604" s="465"/>
      <c r="AE1604" s="466"/>
      <c r="AF1604" s="449"/>
      <c r="AG1604" s="449"/>
      <c r="AH1604" s="449"/>
    </row>
    <row r="1605" ht="11.25" customHeight="1">
      <c r="A1605" s="450"/>
      <c r="B1605" s="472"/>
      <c r="C1605" s="473"/>
      <c r="D1605" s="473"/>
      <c r="E1605" s="474"/>
      <c r="F1605" s="474"/>
      <c r="G1605" s="475"/>
      <c r="H1605" s="475"/>
      <c r="I1605" s="476"/>
      <c r="J1605" s="477"/>
      <c r="K1605" s="478" t="s">
        <v>1418</v>
      </c>
      <c r="L1605" s="479"/>
      <c r="M1605" s="480"/>
      <c r="N1605" s="481"/>
      <c r="O1605" s="481"/>
      <c r="P1605" s="482"/>
      <c r="Q1605" s="479"/>
      <c r="R1605" s="480"/>
      <c r="S1605" s="480"/>
      <c r="T1605" s="480"/>
      <c r="U1605" s="480"/>
      <c r="V1605" s="480"/>
      <c r="W1605" s="480"/>
      <c r="X1605" s="480"/>
      <c r="Y1605" s="483">
        <f t="shared" si="17"/>
        <v>0</v>
      </c>
      <c r="Z1605" s="484"/>
      <c r="AA1605" s="485"/>
      <c r="AB1605" s="486"/>
      <c r="AC1605" s="486"/>
      <c r="AD1605" s="486"/>
      <c r="AE1605" s="487"/>
      <c r="AF1605" s="449"/>
      <c r="AG1605" s="449"/>
      <c r="AH1605" s="449"/>
    </row>
    <row r="1606" ht="11.25" customHeight="1">
      <c r="A1606" s="431" t="str">
        <f>IF(B1606="","", YEAR(B1606))</f>
        <v/>
      </c>
      <c r="B1606" s="432"/>
      <c r="C1606" s="433"/>
      <c r="D1606" s="433"/>
      <c r="E1606" s="434" t="str">
        <f t="shared" ref="E1606:I1606" si="810">IFERROR(AVERAGE(L1606:L1609),"")</f>
        <v/>
      </c>
      <c r="F1606" s="434" t="str">
        <f t="shared" si="810"/>
        <v/>
      </c>
      <c r="G1606" s="435" t="str">
        <f t="shared" si="810"/>
        <v/>
      </c>
      <c r="H1606" s="435" t="str">
        <f t="shared" si="810"/>
        <v/>
      </c>
      <c r="I1606" s="436" t="str">
        <f t="shared" si="810"/>
        <v/>
      </c>
      <c r="J1606" s="437">
        <f>SUMIFS(PRODUCTION[KG],PRODUCTION[GRADE],"3X50",PRODUCTION[DATE],B1606,PRODUCTION[BATCH],C1606,PRODUCTION[SHIFT],D1606)</f>
        <v>0</v>
      </c>
      <c r="K1606" s="438" t="s">
        <v>1414</v>
      </c>
      <c r="L1606" s="443"/>
      <c r="M1606" s="440"/>
      <c r="N1606" s="441"/>
      <c r="O1606" s="441"/>
      <c r="P1606" s="442"/>
      <c r="Q1606" s="443"/>
      <c r="R1606" s="440"/>
      <c r="S1606" s="440"/>
      <c r="T1606" s="440"/>
      <c r="U1606" s="440"/>
      <c r="V1606" s="440"/>
      <c r="W1606" s="440"/>
      <c r="X1606" s="440"/>
      <c r="Y1606" s="444">
        <f t="shared" si="17"/>
        <v>0</v>
      </c>
      <c r="Z1606" s="445"/>
      <c r="AA1606" s="446">
        <f t="shared" ref="AA1606:AE1606" si="811">$J1606*E1606</f>
        <v>0</v>
      </c>
      <c r="AB1606" s="447">
        <f t="shared" si="811"/>
        <v>0</v>
      </c>
      <c r="AC1606" s="447">
        <f t="shared" si="811"/>
        <v>0</v>
      </c>
      <c r="AD1606" s="447">
        <f t="shared" si="811"/>
        <v>0</v>
      </c>
      <c r="AE1606" s="448">
        <f t="shared" si="811"/>
        <v>0</v>
      </c>
      <c r="AF1606" s="449"/>
      <c r="AG1606" s="449"/>
      <c r="AH1606" s="449"/>
    </row>
    <row r="1607" ht="11.25" customHeight="1">
      <c r="A1607" s="450"/>
      <c r="B1607" s="451"/>
      <c r="C1607" s="452"/>
      <c r="D1607" s="452"/>
      <c r="E1607" s="453"/>
      <c r="F1607" s="453"/>
      <c r="G1607" s="454"/>
      <c r="H1607" s="454"/>
      <c r="I1607" s="455"/>
      <c r="J1607" s="456"/>
      <c r="K1607" s="457" t="s">
        <v>1416</v>
      </c>
      <c r="L1607" s="458"/>
      <c r="M1607" s="459"/>
      <c r="N1607" s="460"/>
      <c r="O1607" s="460"/>
      <c r="P1607" s="461"/>
      <c r="Q1607" s="458"/>
      <c r="R1607" s="459"/>
      <c r="S1607" s="459"/>
      <c r="T1607" s="459"/>
      <c r="U1607" s="459"/>
      <c r="V1607" s="459"/>
      <c r="W1607" s="459"/>
      <c r="X1607" s="459"/>
      <c r="Y1607" s="462">
        <f t="shared" si="17"/>
        <v>0</v>
      </c>
      <c r="Z1607" s="463"/>
      <c r="AA1607" s="464"/>
      <c r="AB1607" s="465"/>
      <c r="AC1607" s="465"/>
      <c r="AD1607" s="465"/>
      <c r="AE1607" s="466"/>
      <c r="AF1607" s="449"/>
      <c r="AG1607" s="449"/>
      <c r="AH1607" s="449"/>
    </row>
    <row r="1608" ht="11.25" customHeight="1">
      <c r="A1608" s="450"/>
      <c r="B1608" s="451"/>
      <c r="C1608" s="452"/>
      <c r="D1608" s="452"/>
      <c r="E1608" s="453"/>
      <c r="F1608" s="453"/>
      <c r="G1608" s="454"/>
      <c r="H1608" s="454"/>
      <c r="I1608" s="455"/>
      <c r="J1608" s="456"/>
      <c r="K1608" s="467" t="s">
        <v>1417</v>
      </c>
      <c r="L1608" s="468"/>
      <c r="M1608" s="469"/>
      <c r="N1608" s="470"/>
      <c r="O1608" s="470"/>
      <c r="P1608" s="471"/>
      <c r="Q1608" s="468"/>
      <c r="R1608" s="469"/>
      <c r="S1608" s="469"/>
      <c r="T1608" s="469"/>
      <c r="U1608" s="469"/>
      <c r="V1608" s="469"/>
      <c r="W1608" s="469"/>
      <c r="X1608" s="469"/>
      <c r="Y1608" s="462">
        <f t="shared" si="17"/>
        <v>0</v>
      </c>
      <c r="Z1608" s="463"/>
      <c r="AA1608" s="464"/>
      <c r="AB1608" s="465"/>
      <c r="AC1608" s="465"/>
      <c r="AD1608" s="465"/>
      <c r="AE1608" s="466"/>
      <c r="AF1608" s="449"/>
      <c r="AG1608" s="449"/>
      <c r="AH1608" s="449"/>
    </row>
    <row r="1609" ht="11.25" customHeight="1">
      <c r="A1609" s="450"/>
      <c r="B1609" s="472"/>
      <c r="C1609" s="473"/>
      <c r="D1609" s="473"/>
      <c r="E1609" s="474"/>
      <c r="F1609" s="474"/>
      <c r="G1609" s="475"/>
      <c r="H1609" s="475"/>
      <c r="I1609" s="476"/>
      <c r="J1609" s="477"/>
      <c r="K1609" s="478" t="s">
        <v>1418</v>
      </c>
      <c r="L1609" s="479"/>
      <c r="M1609" s="480"/>
      <c r="N1609" s="481"/>
      <c r="O1609" s="481"/>
      <c r="P1609" s="482"/>
      <c r="Q1609" s="479"/>
      <c r="R1609" s="480"/>
      <c r="S1609" s="480"/>
      <c r="T1609" s="480"/>
      <c r="U1609" s="480"/>
      <c r="V1609" s="480"/>
      <c r="W1609" s="480"/>
      <c r="X1609" s="480"/>
      <c r="Y1609" s="483">
        <f t="shared" si="17"/>
        <v>0</v>
      </c>
      <c r="Z1609" s="484"/>
      <c r="AA1609" s="485"/>
      <c r="AB1609" s="486"/>
      <c r="AC1609" s="486"/>
      <c r="AD1609" s="486"/>
      <c r="AE1609" s="487"/>
      <c r="AF1609" s="449"/>
      <c r="AG1609" s="449"/>
      <c r="AH1609" s="449"/>
    </row>
    <row r="1610" ht="11.25" customHeight="1">
      <c r="A1610" s="431" t="str">
        <f>IF(B1610="","", YEAR(B1610))</f>
        <v/>
      </c>
      <c r="B1610" s="432"/>
      <c r="C1610" s="433"/>
      <c r="D1610" s="433"/>
      <c r="E1610" s="434" t="str">
        <f t="shared" ref="E1610:I1610" si="812">IFERROR(AVERAGE(L1610:L1613),"")</f>
        <v/>
      </c>
      <c r="F1610" s="434" t="str">
        <f t="shared" si="812"/>
        <v/>
      </c>
      <c r="G1610" s="435" t="str">
        <f t="shared" si="812"/>
        <v/>
      </c>
      <c r="H1610" s="435" t="str">
        <f t="shared" si="812"/>
        <v/>
      </c>
      <c r="I1610" s="436" t="str">
        <f t="shared" si="812"/>
        <v/>
      </c>
      <c r="J1610" s="437">
        <f>SUMIFS(PRODUCTION[KG],PRODUCTION[GRADE],"3X50",PRODUCTION[DATE],B1610,PRODUCTION[BATCH],C1610,PRODUCTION[SHIFT],D1610)</f>
        <v>0</v>
      </c>
      <c r="K1610" s="438" t="s">
        <v>1414</v>
      </c>
      <c r="L1610" s="443"/>
      <c r="M1610" s="440"/>
      <c r="N1610" s="441"/>
      <c r="O1610" s="441"/>
      <c r="P1610" s="442"/>
      <c r="Q1610" s="443"/>
      <c r="R1610" s="440"/>
      <c r="S1610" s="440"/>
      <c r="T1610" s="440"/>
      <c r="U1610" s="440"/>
      <c r="V1610" s="440"/>
      <c r="W1610" s="440"/>
      <c r="X1610" s="440"/>
      <c r="Y1610" s="444">
        <f t="shared" si="17"/>
        <v>0</v>
      </c>
      <c r="Z1610" s="445"/>
      <c r="AA1610" s="446">
        <f t="shared" ref="AA1610:AE1610" si="813">$J1610*E1610</f>
        <v>0</v>
      </c>
      <c r="AB1610" s="447">
        <f t="shared" si="813"/>
        <v>0</v>
      </c>
      <c r="AC1610" s="447">
        <f t="shared" si="813"/>
        <v>0</v>
      </c>
      <c r="AD1610" s="447">
        <f t="shared" si="813"/>
        <v>0</v>
      </c>
      <c r="AE1610" s="448">
        <f t="shared" si="813"/>
        <v>0</v>
      </c>
      <c r="AF1610" s="449"/>
      <c r="AG1610" s="449"/>
      <c r="AH1610" s="449"/>
    </row>
    <row r="1611" ht="11.25" customHeight="1">
      <c r="A1611" s="450"/>
      <c r="B1611" s="451"/>
      <c r="C1611" s="452"/>
      <c r="D1611" s="452"/>
      <c r="E1611" s="453"/>
      <c r="F1611" s="453"/>
      <c r="G1611" s="454"/>
      <c r="H1611" s="454"/>
      <c r="I1611" s="455"/>
      <c r="J1611" s="456"/>
      <c r="K1611" s="457" t="s">
        <v>1416</v>
      </c>
      <c r="L1611" s="458"/>
      <c r="M1611" s="459"/>
      <c r="N1611" s="460"/>
      <c r="O1611" s="460"/>
      <c r="P1611" s="461"/>
      <c r="Q1611" s="458"/>
      <c r="R1611" s="459"/>
      <c r="S1611" s="459"/>
      <c r="T1611" s="459"/>
      <c r="U1611" s="459"/>
      <c r="V1611" s="459"/>
      <c r="W1611" s="459"/>
      <c r="X1611" s="459"/>
      <c r="Y1611" s="462">
        <f t="shared" si="17"/>
        <v>0</v>
      </c>
      <c r="Z1611" s="463"/>
      <c r="AA1611" s="464"/>
      <c r="AB1611" s="465"/>
      <c r="AC1611" s="465"/>
      <c r="AD1611" s="465"/>
      <c r="AE1611" s="466"/>
      <c r="AF1611" s="449"/>
      <c r="AG1611" s="449"/>
      <c r="AH1611" s="449"/>
    </row>
    <row r="1612" ht="11.25" customHeight="1">
      <c r="A1612" s="450"/>
      <c r="B1612" s="451"/>
      <c r="C1612" s="452"/>
      <c r="D1612" s="452"/>
      <c r="E1612" s="453"/>
      <c r="F1612" s="453"/>
      <c r="G1612" s="454"/>
      <c r="H1612" s="454"/>
      <c r="I1612" s="455"/>
      <c r="J1612" s="456"/>
      <c r="K1612" s="467" t="s">
        <v>1417</v>
      </c>
      <c r="L1612" s="468"/>
      <c r="M1612" s="469"/>
      <c r="N1612" s="470"/>
      <c r="O1612" s="470"/>
      <c r="P1612" s="471"/>
      <c r="Q1612" s="468"/>
      <c r="R1612" s="469"/>
      <c r="S1612" s="469"/>
      <c r="T1612" s="469"/>
      <c r="U1612" s="469"/>
      <c r="V1612" s="469"/>
      <c r="W1612" s="469"/>
      <c r="X1612" s="469"/>
      <c r="Y1612" s="462">
        <f t="shared" si="17"/>
        <v>0</v>
      </c>
      <c r="Z1612" s="463"/>
      <c r="AA1612" s="464"/>
      <c r="AB1612" s="465"/>
      <c r="AC1612" s="465"/>
      <c r="AD1612" s="465"/>
      <c r="AE1612" s="466"/>
      <c r="AF1612" s="449"/>
      <c r="AG1612" s="449"/>
      <c r="AH1612" s="449"/>
    </row>
    <row r="1613" ht="11.25" customHeight="1">
      <c r="A1613" s="450"/>
      <c r="B1613" s="472"/>
      <c r="C1613" s="473"/>
      <c r="D1613" s="473"/>
      <c r="E1613" s="474"/>
      <c r="F1613" s="474"/>
      <c r="G1613" s="475"/>
      <c r="H1613" s="475"/>
      <c r="I1613" s="476"/>
      <c r="J1613" s="477"/>
      <c r="K1613" s="478" t="s">
        <v>1418</v>
      </c>
      <c r="L1613" s="479"/>
      <c r="M1613" s="480"/>
      <c r="N1613" s="481"/>
      <c r="O1613" s="481"/>
      <c r="P1613" s="482"/>
      <c r="Q1613" s="479"/>
      <c r="R1613" s="480"/>
      <c r="S1613" s="480"/>
      <c r="T1613" s="480"/>
      <c r="U1613" s="480"/>
      <c r="V1613" s="480"/>
      <c r="W1613" s="480"/>
      <c r="X1613" s="480"/>
      <c r="Y1613" s="483">
        <f t="shared" si="17"/>
        <v>0</v>
      </c>
      <c r="Z1613" s="484"/>
      <c r="AA1613" s="485"/>
      <c r="AB1613" s="486"/>
      <c r="AC1613" s="486"/>
      <c r="AD1613" s="486"/>
      <c r="AE1613" s="487"/>
      <c r="AF1613" s="449"/>
      <c r="AG1613" s="449"/>
      <c r="AH1613" s="449"/>
    </row>
    <row r="1614" ht="11.25" customHeight="1">
      <c r="A1614" s="431" t="str">
        <f>IF(B1614="","", YEAR(B1614))</f>
        <v/>
      </c>
      <c r="B1614" s="432"/>
      <c r="C1614" s="433"/>
      <c r="D1614" s="433"/>
      <c r="E1614" s="434" t="str">
        <f t="shared" ref="E1614:I1614" si="814">IFERROR(AVERAGE(L1614:L1617),"")</f>
        <v/>
      </c>
      <c r="F1614" s="434" t="str">
        <f t="shared" si="814"/>
        <v/>
      </c>
      <c r="G1614" s="435" t="str">
        <f t="shared" si="814"/>
        <v/>
      </c>
      <c r="H1614" s="435" t="str">
        <f t="shared" si="814"/>
        <v/>
      </c>
      <c r="I1614" s="436" t="str">
        <f t="shared" si="814"/>
        <v/>
      </c>
      <c r="J1614" s="437">
        <f>SUMIFS(PRODUCTION[KG],PRODUCTION[GRADE],"3X50",PRODUCTION[DATE],B1614,PRODUCTION[BATCH],C1614,PRODUCTION[SHIFT],D1614)</f>
        <v>0</v>
      </c>
      <c r="K1614" s="438" t="s">
        <v>1414</v>
      </c>
      <c r="L1614" s="443"/>
      <c r="M1614" s="440"/>
      <c r="N1614" s="441"/>
      <c r="O1614" s="441"/>
      <c r="P1614" s="442"/>
      <c r="Q1614" s="443"/>
      <c r="R1614" s="440"/>
      <c r="S1614" s="440"/>
      <c r="T1614" s="440"/>
      <c r="U1614" s="440"/>
      <c r="V1614" s="440"/>
      <c r="W1614" s="440"/>
      <c r="X1614" s="440"/>
      <c r="Y1614" s="444">
        <f t="shared" si="17"/>
        <v>0</v>
      </c>
      <c r="Z1614" s="445"/>
      <c r="AA1614" s="446">
        <f t="shared" ref="AA1614:AE1614" si="815">$J1614*E1614</f>
        <v>0</v>
      </c>
      <c r="AB1614" s="447">
        <f t="shared" si="815"/>
        <v>0</v>
      </c>
      <c r="AC1614" s="447">
        <f t="shared" si="815"/>
        <v>0</v>
      </c>
      <c r="AD1614" s="447">
        <f t="shared" si="815"/>
        <v>0</v>
      </c>
      <c r="AE1614" s="448">
        <f t="shared" si="815"/>
        <v>0</v>
      </c>
      <c r="AF1614" s="449"/>
      <c r="AG1614" s="449"/>
      <c r="AH1614" s="449"/>
    </row>
    <row r="1615" ht="11.25" customHeight="1">
      <c r="A1615" s="450"/>
      <c r="B1615" s="451"/>
      <c r="C1615" s="452"/>
      <c r="D1615" s="452"/>
      <c r="E1615" s="453"/>
      <c r="F1615" s="453"/>
      <c r="G1615" s="454"/>
      <c r="H1615" s="454"/>
      <c r="I1615" s="455"/>
      <c r="J1615" s="456"/>
      <c r="K1615" s="457" t="s">
        <v>1416</v>
      </c>
      <c r="L1615" s="458"/>
      <c r="M1615" s="459"/>
      <c r="N1615" s="460"/>
      <c r="O1615" s="460"/>
      <c r="P1615" s="461"/>
      <c r="Q1615" s="458"/>
      <c r="R1615" s="459"/>
      <c r="S1615" s="459"/>
      <c r="T1615" s="459"/>
      <c r="U1615" s="459"/>
      <c r="V1615" s="459"/>
      <c r="W1615" s="459"/>
      <c r="X1615" s="459"/>
      <c r="Y1615" s="462">
        <f t="shared" si="17"/>
        <v>0</v>
      </c>
      <c r="Z1615" s="463"/>
      <c r="AA1615" s="464"/>
      <c r="AB1615" s="465"/>
      <c r="AC1615" s="465"/>
      <c r="AD1615" s="465"/>
      <c r="AE1615" s="466"/>
      <c r="AF1615" s="449"/>
      <c r="AG1615" s="449"/>
      <c r="AH1615" s="449"/>
    </row>
    <row r="1616" ht="11.25" customHeight="1">
      <c r="A1616" s="450"/>
      <c r="B1616" s="451"/>
      <c r="C1616" s="452"/>
      <c r="D1616" s="452"/>
      <c r="E1616" s="453"/>
      <c r="F1616" s="453"/>
      <c r="G1616" s="454"/>
      <c r="H1616" s="454"/>
      <c r="I1616" s="455"/>
      <c r="J1616" s="456"/>
      <c r="K1616" s="467" t="s">
        <v>1417</v>
      </c>
      <c r="L1616" s="468"/>
      <c r="M1616" s="469"/>
      <c r="N1616" s="470"/>
      <c r="O1616" s="470"/>
      <c r="P1616" s="471"/>
      <c r="Q1616" s="468"/>
      <c r="R1616" s="469"/>
      <c r="S1616" s="469"/>
      <c r="T1616" s="469"/>
      <c r="U1616" s="469"/>
      <c r="V1616" s="469"/>
      <c r="W1616" s="469"/>
      <c r="X1616" s="469"/>
      <c r="Y1616" s="462">
        <f t="shared" si="17"/>
        <v>0</v>
      </c>
      <c r="Z1616" s="463"/>
      <c r="AA1616" s="464"/>
      <c r="AB1616" s="465"/>
      <c r="AC1616" s="465"/>
      <c r="AD1616" s="465"/>
      <c r="AE1616" s="466"/>
      <c r="AF1616" s="449"/>
      <c r="AG1616" s="449"/>
      <c r="AH1616" s="449"/>
    </row>
    <row r="1617" ht="11.25" customHeight="1">
      <c r="A1617" s="450"/>
      <c r="B1617" s="472"/>
      <c r="C1617" s="473"/>
      <c r="D1617" s="473"/>
      <c r="E1617" s="474"/>
      <c r="F1617" s="474"/>
      <c r="G1617" s="475"/>
      <c r="H1617" s="475"/>
      <c r="I1617" s="476"/>
      <c r="J1617" s="477"/>
      <c r="K1617" s="478" t="s">
        <v>1418</v>
      </c>
      <c r="L1617" s="479"/>
      <c r="M1617" s="480"/>
      <c r="N1617" s="481"/>
      <c r="O1617" s="481"/>
      <c r="P1617" s="482"/>
      <c r="Q1617" s="479"/>
      <c r="R1617" s="480"/>
      <c r="S1617" s="480"/>
      <c r="T1617" s="480"/>
      <c r="U1617" s="480"/>
      <c r="V1617" s="480"/>
      <c r="W1617" s="480"/>
      <c r="X1617" s="480"/>
      <c r="Y1617" s="483">
        <f t="shared" si="17"/>
        <v>0</v>
      </c>
      <c r="Z1617" s="484"/>
      <c r="AA1617" s="485"/>
      <c r="AB1617" s="486"/>
      <c r="AC1617" s="486"/>
      <c r="AD1617" s="486"/>
      <c r="AE1617" s="487"/>
      <c r="AF1617" s="449"/>
      <c r="AG1617" s="449"/>
      <c r="AH1617" s="449"/>
    </row>
    <row r="1618" ht="11.25" customHeight="1">
      <c r="A1618" s="431" t="str">
        <f>IF(B1618="","", YEAR(B1618))</f>
        <v/>
      </c>
      <c r="B1618" s="432"/>
      <c r="C1618" s="433"/>
      <c r="D1618" s="433"/>
      <c r="E1618" s="434" t="str">
        <f t="shared" ref="E1618:I1618" si="816">IFERROR(AVERAGE(L1618:L1621),"")</f>
        <v/>
      </c>
      <c r="F1618" s="434" t="str">
        <f t="shared" si="816"/>
        <v/>
      </c>
      <c r="G1618" s="435" t="str">
        <f t="shared" si="816"/>
        <v/>
      </c>
      <c r="H1618" s="435" t="str">
        <f t="shared" si="816"/>
        <v/>
      </c>
      <c r="I1618" s="436" t="str">
        <f t="shared" si="816"/>
        <v/>
      </c>
      <c r="J1618" s="437">
        <f>SUMIFS(PRODUCTION[KG],PRODUCTION[GRADE],"3X50",PRODUCTION[DATE],B1618,PRODUCTION[BATCH],C1618,PRODUCTION[SHIFT],D1618)</f>
        <v>0</v>
      </c>
      <c r="K1618" s="438" t="s">
        <v>1414</v>
      </c>
      <c r="L1618" s="443"/>
      <c r="M1618" s="440"/>
      <c r="N1618" s="441"/>
      <c r="O1618" s="441"/>
      <c r="P1618" s="442"/>
      <c r="Q1618" s="443"/>
      <c r="R1618" s="440"/>
      <c r="S1618" s="440"/>
      <c r="T1618" s="440"/>
      <c r="U1618" s="440"/>
      <c r="V1618" s="440"/>
      <c r="W1618" s="440"/>
      <c r="X1618" s="440"/>
      <c r="Y1618" s="444">
        <f t="shared" si="17"/>
        <v>0</v>
      </c>
      <c r="Z1618" s="445"/>
      <c r="AA1618" s="446">
        <f t="shared" ref="AA1618:AE1618" si="817">$J1618*E1618</f>
        <v>0</v>
      </c>
      <c r="AB1618" s="447">
        <f t="shared" si="817"/>
        <v>0</v>
      </c>
      <c r="AC1618" s="447">
        <f t="shared" si="817"/>
        <v>0</v>
      </c>
      <c r="AD1618" s="447">
        <f t="shared" si="817"/>
        <v>0</v>
      </c>
      <c r="AE1618" s="448">
        <f t="shared" si="817"/>
        <v>0</v>
      </c>
      <c r="AF1618" s="449"/>
      <c r="AG1618" s="449"/>
      <c r="AH1618" s="449"/>
    </row>
    <row r="1619" ht="11.25" customHeight="1">
      <c r="A1619" s="450"/>
      <c r="B1619" s="451"/>
      <c r="C1619" s="452"/>
      <c r="D1619" s="452"/>
      <c r="E1619" s="453"/>
      <c r="F1619" s="453"/>
      <c r="G1619" s="454"/>
      <c r="H1619" s="454"/>
      <c r="I1619" s="455"/>
      <c r="J1619" s="456"/>
      <c r="K1619" s="457" t="s">
        <v>1416</v>
      </c>
      <c r="L1619" s="458"/>
      <c r="M1619" s="459"/>
      <c r="N1619" s="460"/>
      <c r="O1619" s="460"/>
      <c r="P1619" s="461"/>
      <c r="Q1619" s="458"/>
      <c r="R1619" s="459"/>
      <c r="S1619" s="459"/>
      <c r="T1619" s="459"/>
      <c r="U1619" s="459"/>
      <c r="V1619" s="459"/>
      <c r="W1619" s="459"/>
      <c r="X1619" s="459"/>
      <c r="Y1619" s="462">
        <f t="shared" si="17"/>
        <v>0</v>
      </c>
      <c r="Z1619" s="463"/>
      <c r="AA1619" s="464"/>
      <c r="AB1619" s="465"/>
      <c r="AC1619" s="465"/>
      <c r="AD1619" s="465"/>
      <c r="AE1619" s="466"/>
      <c r="AF1619" s="449"/>
      <c r="AG1619" s="449"/>
      <c r="AH1619" s="449"/>
    </row>
    <row r="1620" ht="11.25" customHeight="1">
      <c r="A1620" s="450"/>
      <c r="B1620" s="451"/>
      <c r="C1620" s="452"/>
      <c r="D1620" s="452"/>
      <c r="E1620" s="453"/>
      <c r="F1620" s="453"/>
      <c r="G1620" s="454"/>
      <c r="H1620" s="454"/>
      <c r="I1620" s="455"/>
      <c r="J1620" s="456"/>
      <c r="K1620" s="467" t="s">
        <v>1417</v>
      </c>
      <c r="L1620" s="468"/>
      <c r="M1620" s="469"/>
      <c r="N1620" s="470"/>
      <c r="O1620" s="470"/>
      <c r="P1620" s="471"/>
      <c r="Q1620" s="468"/>
      <c r="R1620" s="469"/>
      <c r="S1620" s="469"/>
      <c r="T1620" s="469"/>
      <c r="U1620" s="469"/>
      <c r="V1620" s="469"/>
      <c r="W1620" s="469"/>
      <c r="X1620" s="469"/>
      <c r="Y1620" s="462">
        <f t="shared" si="17"/>
        <v>0</v>
      </c>
      <c r="Z1620" s="463"/>
      <c r="AA1620" s="464"/>
      <c r="AB1620" s="465"/>
      <c r="AC1620" s="465"/>
      <c r="AD1620" s="465"/>
      <c r="AE1620" s="466"/>
      <c r="AF1620" s="449"/>
      <c r="AG1620" s="449"/>
      <c r="AH1620" s="449"/>
    </row>
    <row r="1621" ht="11.25" customHeight="1">
      <c r="A1621" s="450"/>
      <c r="B1621" s="472"/>
      <c r="C1621" s="473"/>
      <c r="D1621" s="473"/>
      <c r="E1621" s="474"/>
      <c r="F1621" s="474"/>
      <c r="G1621" s="475"/>
      <c r="H1621" s="475"/>
      <c r="I1621" s="476"/>
      <c r="J1621" s="477"/>
      <c r="K1621" s="478" t="s">
        <v>1418</v>
      </c>
      <c r="L1621" s="479"/>
      <c r="M1621" s="480"/>
      <c r="N1621" s="481"/>
      <c r="O1621" s="481"/>
      <c r="P1621" s="482"/>
      <c r="Q1621" s="479"/>
      <c r="R1621" s="480"/>
      <c r="S1621" s="480"/>
      <c r="T1621" s="480"/>
      <c r="U1621" s="480"/>
      <c r="V1621" s="480"/>
      <c r="W1621" s="480"/>
      <c r="X1621" s="480"/>
      <c r="Y1621" s="483">
        <f t="shared" si="17"/>
        <v>0</v>
      </c>
      <c r="Z1621" s="484"/>
      <c r="AA1621" s="485"/>
      <c r="AB1621" s="486"/>
      <c r="AC1621" s="486"/>
      <c r="AD1621" s="486"/>
      <c r="AE1621" s="487"/>
      <c r="AF1621" s="449"/>
      <c r="AG1621" s="449"/>
      <c r="AH1621" s="449"/>
    </row>
    <row r="1622" ht="11.25" customHeight="1">
      <c r="A1622" s="431" t="str">
        <f>IF(B1622="","", YEAR(B1622))</f>
        <v/>
      </c>
      <c r="B1622" s="432"/>
      <c r="C1622" s="433"/>
      <c r="D1622" s="433"/>
      <c r="E1622" s="434" t="str">
        <f t="shared" ref="E1622:I1622" si="818">IFERROR(AVERAGE(L1622:L1625),"")</f>
        <v/>
      </c>
      <c r="F1622" s="434" t="str">
        <f t="shared" si="818"/>
        <v/>
      </c>
      <c r="G1622" s="435" t="str">
        <f t="shared" si="818"/>
        <v/>
      </c>
      <c r="H1622" s="435" t="str">
        <f t="shared" si="818"/>
        <v/>
      </c>
      <c r="I1622" s="436" t="str">
        <f t="shared" si="818"/>
        <v/>
      </c>
      <c r="J1622" s="437">
        <f>SUMIFS(PRODUCTION[KG],PRODUCTION[GRADE],"3X50",PRODUCTION[DATE],B1622,PRODUCTION[BATCH],C1622,PRODUCTION[SHIFT],D1622)</f>
        <v>0</v>
      </c>
      <c r="K1622" s="438" t="s">
        <v>1414</v>
      </c>
      <c r="L1622" s="443"/>
      <c r="M1622" s="440"/>
      <c r="N1622" s="441"/>
      <c r="O1622" s="441"/>
      <c r="P1622" s="442"/>
      <c r="Q1622" s="443"/>
      <c r="R1622" s="440"/>
      <c r="S1622" s="440"/>
      <c r="T1622" s="440"/>
      <c r="U1622" s="440"/>
      <c r="V1622" s="440"/>
      <c r="W1622" s="440"/>
      <c r="X1622" s="440"/>
      <c r="Y1622" s="444">
        <f t="shared" si="17"/>
        <v>0</v>
      </c>
      <c r="Z1622" s="445"/>
      <c r="AA1622" s="446">
        <f t="shared" ref="AA1622:AE1622" si="819">$J1622*E1622</f>
        <v>0</v>
      </c>
      <c r="AB1622" s="447">
        <f t="shared" si="819"/>
        <v>0</v>
      </c>
      <c r="AC1622" s="447">
        <f t="shared" si="819"/>
        <v>0</v>
      </c>
      <c r="AD1622" s="447">
        <f t="shared" si="819"/>
        <v>0</v>
      </c>
      <c r="AE1622" s="448">
        <f t="shared" si="819"/>
        <v>0</v>
      </c>
      <c r="AF1622" s="449"/>
      <c r="AG1622" s="449"/>
      <c r="AH1622" s="449"/>
    </row>
    <row r="1623" ht="11.25" customHeight="1">
      <c r="A1623" s="450"/>
      <c r="B1623" s="451"/>
      <c r="C1623" s="452"/>
      <c r="D1623" s="452"/>
      <c r="E1623" s="453"/>
      <c r="F1623" s="453"/>
      <c r="G1623" s="454"/>
      <c r="H1623" s="454"/>
      <c r="I1623" s="455"/>
      <c r="J1623" s="456"/>
      <c r="K1623" s="457" t="s">
        <v>1416</v>
      </c>
      <c r="L1623" s="458"/>
      <c r="M1623" s="459"/>
      <c r="N1623" s="460"/>
      <c r="O1623" s="460"/>
      <c r="P1623" s="461"/>
      <c r="Q1623" s="458"/>
      <c r="R1623" s="459"/>
      <c r="S1623" s="459"/>
      <c r="T1623" s="459"/>
      <c r="U1623" s="459"/>
      <c r="V1623" s="459"/>
      <c r="W1623" s="459"/>
      <c r="X1623" s="459"/>
      <c r="Y1623" s="462">
        <f t="shared" si="17"/>
        <v>0</v>
      </c>
      <c r="Z1623" s="463"/>
      <c r="AA1623" s="464"/>
      <c r="AB1623" s="465"/>
      <c r="AC1623" s="465"/>
      <c r="AD1623" s="465"/>
      <c r="AE1623" s="466"/>
      <c r="AF1623" s="449"/>
      <c r="AG1623" s="449"/>
      <c r="AH1623" s="449"/>
    </row>
    <row r="1624" ht="11.25" customHeight="1">
      <c r="A1624" s="450"/>
      <c r="B1624" s="451"/>
      <c r="C1624" s="452"/>
      <c r="D1624" s="452"/>
      <c r="E1624" s="453"/>
      <c r="F1624" s="453"/>
      <c r="G1624" s="454"/>
      <c r="H1624" s="454"/>
      <c r="I1624" s="455"/>
      <c r="J1624" s="456"/>
      <c r="K1624" s="467" t="s">
        <v>1417</v>
      </c>
      <c r="L1624" s="468"/>
      <c r="M1624" s="469"/>
      <c r="N1624" s="470"/>
      <c r="O1624" s="470"/>
      <c r="P1624" s="471"/>
      <c r="Q1624" s="468"/>
      <c r="R1624" s="469"/>
      <c r="S1624" s="469"/>
      <c r="T1624" s="469"/>
      <c r="U1624" s="469"/>
      <c r="V1624" s="469"/>
      <c r="W1624" s="469"/>
      <c r="X1624" s="469"/>
      <c r="Y1624" s="462">
        <f t="shared" si="17"/>
        <v>0</v>
      </c>
      <c r="Z1624" s="463"/>
      <c r="AA1624" s="464"/>
      <c r="AB1624" s="465"/>
      <c r="AC1624" s="465"/>
      <c r="AD1624" s="465"/>
      <c r="AE1624" s="466"/>
      <c r="AF1624" s="449"/>
      <c r="AG1624" s="449"/>
      <c r="AH1624" s="449"/>
    </row>
    <row r="1625" ht="11.25" customHeight="1">
      <c r="A1625" s="450"/>
      <c r="B1625" s="472"/>
      <c r="C1625" s="473"/>
      <c r="D1625" s="473"/>
      <c r="E1625" s="474"/>
      <c r="F1625" s="474"/>
      <c r="G1625" s="475"/>
      <c r="H1625" s="475"/>
      <c r="I1625" s="476"/>
      <c r="J1625" s="477"/>
      <c r="K1625" s="478" t="s">
        <v>1418</v>
      </c>
      <c r="L1625" s="479"/>
      <c r="M1625" s="480"/>
      <c r="N1625" s="481"/>
      <c r="O1625" s="481"/>
      <c r="P1625" s="482"/>
      <c r="Q1625" s="479"/>
      <c r="R1625" s="480"/>
      <c r="S1625" s="480"/>
      <c r="T1625" s="480"/>
      <c r="U1625" s="480"/>
      <c r="V1625" s="480"/>
      <c r="W1625" s="480"/>
      <c r="X1625" s="480"/>
      <c r="Y1625" s="483">
        <f t="shared" si="17"/>
        <v>0</v>
      </c>
      <c r="Z1625" s="484"/>
      <c r="AA1625" s="485"/>
      <c r="AB1625" s="486"/>
      <c r="AC1625" s="486"/>
      <c r="AD1625" s="486"/>
      <c r="AE1625" s="487"/>
      <c r="AF1625" s="449"/>
      <c r="AG1625" s="449"/>
      <c r="AH1625" s="449"/>
    </row>
    <row r="1626" ht="11.25" customHeight="1">
      <c r="A1626" s="431" t="str">
        <f>IF(B1626="","", YEAR(B1626))</f>
        <v/>
      </c>
      <c r="B1626" s="432"/>
      <c r="C1626" s="433"/>
      <c r="D1626" s="433"/>
      <c r="E1626" s="434" t="str">
        <f t="shared" ref="E1626:I1626" si="820">IFERROR(AVERAGE(L1626:L1629),"")</f>
        <v/>
      </c>
      <c r="F1626" s="434" t="str">
        <f t="shared" si="820"/>
        <v/>
      </c>
      <c r="G1626" s="435" t="str">
        <f t="shared" si="820"/>
        <v/>
      </c>
      <c r="H1626" s="435" t="str">
        <f t="shared" si="820"/>
        <v/>
      </c>
      <c r="I1626" s="436" t="str">
        <f t="shared" si="820"/>
        <v/>
      </c>
      <c r="J1626" s="437">
        <f>SUMIFS(PRODUCTION[KG],PRODUCTION[GRADE],"3X50",PRODUCTION[DATE],B1626,PRODUCTION[BATCH],C1626,PRODUCTION[SHIFT],D1626)</f>
        <v>0</v>
      </c>
      <c r="K1626" s="438" t="s">
        <v>1414</v>
      </c>
      <c r="L1626" s="443"/>
      <c r="M1626" s="440"/>
      <c r="N1626" s="441"/>
      <c r="O1626" s="441"/>
      <c r="P1626" s="442"/>
      <c r="Q1626" s="443"/>
      <c r="R1626" s="440"/>
      <c r="S1626" s="440"/>
      <c r="T1626" s="440"/>
      <c r="U1626" s="440"/>
      <c r="V1626" s="440"/>
      <c r="W1626" s="440"/>
      <c r="X1626" s="440"/>
      <c r="Y1626" s="444">
        <f t="shared" si="17"/>
        <v>0</v>
      </c>
      <c r="Z1626" s="445"/>
      <c r="AA1626" s="446">
        <f t="shared" ref="AA1626:AE1626" si="821">$J1626*E1626</f>
        <v>0</v>
      </c>
      <c r="AB1626" s="447">
        <f t="shared" si="821"/>
        <v>0</v>
      </c>
      <c r="AC1626" s="447">
        <f t="shared" si="821"/>
        <v>0</v>
      </c>
      <c r="AD1626" s="447">
        <f t="shared" si="821"/>
        <v>0</v>
      </c>
      <c r="AE1626" s="448">
        <f t="shared" si="821"/>
        <v>0</v>
      </c>
      <c r="AF1626" s="449"/>
      <c r="AG1626" s="449"/>
      <c r="AH1626" s="449"/>
    </row>
    <row r="1627" ht="11.25" customHeight="1">
      <c r="A1627" s="450"/>
      <c r="B1627" s="451"/>
      <c r="C1627" s="452"/>
      <c r="D1627" s="452"/>
      <c r="E1627" s="453"/>
      <c r="F1627" s="453"/>
      <c r="G1627" s="454"/>
      <c r="H1627" s="454"/>
      <c r="I1627" s="455"/>
      <c r="J1627" s="456"/>
      <c r="K1627" s="457" t="s">
        <v>1416</v>
      </c>
      <c r="L1627" s="458"/>
      <c r="M1627" s="459"/>
      <c r="N1627" s="460"/>
      <c r="O1627" s="460"/>
      <c r="P1627" s="461"/>
      <c r="Q1627" s="458"/>
      <c r="R1627" s="459"/>
      <c r="S1627" s="459"/>
      <c r="T1627" s="459"/>
      <c r="U1627" s="459"/>
      <c r="V1627" s="459"/>
      <c r="W1627" s="459"/>
      <c r="X1627" s="459"/>
      <c r="Y1627" s="462">
        <f t="shared" si="17"/>
        <v>0</v>
      </c>
      <c r="Z1627" s="463"/>
      <c r="AA1627" s="464"/>
      <c r="AB1627" s="465"/>
      <c r="AC1627" s="465"/>
      <c r="AD1627" s="465"/>
      <c r="AE1627" s="466"/>
      <c r="AF1627" s="449"/>
      <c r="AG1627" s="449"/>
      <c r="AH1627" s="449"/>
    </row>
    <row r="1628" ht="11.25" customHeight="1">
      <c r="A1628" s="450"/>
      <c r="B1628" s="451"/>
      <c r="C1628" s="452"/>
      <c r="D1628" s="452"/>
      <c r="E1628" s="453"/>
      <c r="F1628" s="453"/>
      <c r="G1628" s="454"/>
      <c r="H1628" s="454"/>
      <c r="I1628" s="455"/>
      <c r="J1628" s="456"/>
      <c r="K1628" s="467" t="s">
        <v>1417</v>
      </c>
      <c r="L1628" s="468"/>
      <c r="M1628" s="469"/>
      <c r="N1628" s="470"/>
      <c r="O1628" s="470"/>
      <c r="P1628" s="471"/>
      <c r="Q1628" s="468"/>
      <c r="R1628" s="469"/>
      <c r="S1628" s="469"/>
      <c r="T1628" s="469"/>
      <c r="U1628" s="469"/>
      <c r="V1628" s="469"/>
      <c r="W1628" s="469"/>
      <c r="X1628" s="469"/>
      <c r="Y1628" s="462">
        <f t="shared" si="17"/>
        <v>0</v>
      </c>
      <c r="Z1628" s="463"/>
      <c r="AA1628" s="464"/>
      <c r="AB1628" s="465"/>
      <c r="AC1628" s="465"/>
      <c r="AD1628" s="465"/>
      <c r="AE1628" s="466"/>
      <c r="AF1628" s="449"/>
      <c r="AG1628" s="449"/>
      <c r="AH1628" s="449"/>
    </row>
    <row r="1629" ht="11.25" customHeight="1">
      <c r="A1629" s="450"/>
      <c r="B1629" s="472"/>
      <c r="C1629" s="473"/>
      <c r="D1629" s="473"/>
      <c r="E1629" s="474"/>
      <c r="F1629" s="474"/>
      <c r="G1629" s="475"/>
      <c r="H1629" s="475"/>
      <c r="I1629" s="476"/>
      <c r="J1629" s="477"/>
      <c r="K1629" s="478" t="s">
        <v>1418</v>
      </c>
      <c r="L1629" s="479"/>
      <c r="M1629" s="480"/>
      <c r="N1629" s="481"/>
      <c r="O1629" s="481"/>
      <c r="P1629" s="482"/>
      <c r="Q1629" s="479"/>
      <c r="R1629" s="480"/>
      <c r="S1629" s="480"/>
      <c r="T1629" s="480"/>
      <c r="U1629" s="480"/>
      <c r="V1629" s="480"/>
      <c r="W1629" s="480"/>
      <c r="X1629" s="480"/>
      <c r="Y1629" s="483">
        <f t="shared" si="17"/>
        <v>0</v>
      </c>
      <c r="Z1629" s="484"/>
      <c r="AA1629" s="485"/>
      <c r="AB1629" s="486"/>
      <c r="AC1629" s="486"/>
      <c r="AD1629" s="486"/>
      <c r="AE1629" s="487"/>
      <c r="AF1629" s="449"/>
      <c r="AG1629" s="449"/>
      <c r="AH1629" s="449"/>
    </row>
    <row r="1630" ht="11.25" customHeight="1">
      <c r="A1630" s="431" t="str">
        <f>IF(B1630="","", YEAR(B1630))</f>
        <v/>
      </c>
      <c r="B1630" s="432"/>
      <c r="C1630" s="433"/>
      <c r="D1630" s="433"/>
      <c r="E1630" s="434" t="str">
        <f t="shared" ref="E1630:I1630" si="822">IFERROR(AVERAGE(L1630:L1633),"")</f>
        <v/>
      </c>
      <c r="F1630" s="434" t="str">
        <f t="shared" si="822"/>
        <v/>
      </c>
      <c r="G1630" s="435" t="str">
        <f t="shared" si="822"/>
        <v/>
      </c>
      <c r="H1630" s="435" t="str">
        <f t="shared" si="822"/>
        <v/>
      </c>
      <c r="I1630" s="436" t="str">
        <f t="shared" si="822"/>
        <v/>
      </c>
      <c r="J1630" s="437">
        <f>SUMIFS(PRODUCTION[KG],PRODUCTION[GRADE],"3X50",PRODUCTION[DATE],B1630,PRODUCTION[BATCH],C1630,PRODUCTION[SHIFT],D1630)</f>
        <v>0</v>
      </c>
      <c r="K1630" s="438" t="s">
        <v>1414</v>
      </c>
      <c r="L1630" s="443"/>
      <c r="M1630" s="440"/>
      <c r="N1630" s="441"/>
      <c r="O1630" s="441"/>
      <c r="P1630" s="442"/>
      <c r="Q1630" s="443"/>
      <c r="R1630" s="440"/>
      <c r="S1630" s="440"/>
      <c r="T1630" s="440"/>
      <c r="U1630" s="440"/>
      <c r="V1630" s="440"/>
      <c r="W1630" s="440"/>
      <c r="X1630" s="440"/>
      <c r="Y1630" s="444">
        <f t="shared" si="17"/>
        <v>0</v>
      </c>
      <c r="Z1630" s="445"/>
      <c r="AA1630" s="446">
        <f t="shared" ref="AA1630:AE1630" si="823">$J1630*E1630</f>
        <v>0</v>
      </c>
      <c r="AB1630" s="447">
        <f t="shared" si="823"/>
        <v>0</v>
      </c>
      <c r="AC1630" s="447">
        <f t="shared" si="823"/>
        <v>0</v>
      </c>
      <c r="AD1630" s="447">
        <f t="shared" si="823"/>
        <v>0</v>
      </c>
      <c r="AE1630" s="448">
        <f t="shared" si="823"/>
        <v>0</v>
      </c>
      <c r="AF1630" s="449"/>
      <c r="AG1630" s="449"/>
      <c r="AH1630" s="449"/>
    </row>
    <row r="1631" ht="11.25" customHeight="1">
      <c r="A1631" s="450"/>
      <c r="B1631" s="451"/>
      <c r="C1631" s="452"/>
      <c r="D1631" s="452"/>
      <c r="E1631" s="453"/>
      <c r="F1631" s="453"/>
      <c r="G1631" s="454"/>
      <c r="H1631" s="454"/>
      <c r="I1631" s="455"/>
      <c r="J1631" s="456"/>
      <c r="K1631" s="457" t="s">
        <v>1416</v>
      </c>
      <c r="L1631" s="458"/>
      <c r="M1631" s="459"/>
      <c r="N1631" s="460"/>
      <c r="O1631" s="460"/>
      <c r="P1631" s="461"/>
      <c r="Q1631" s="458"/>
      <c r="R1631" s="459"/>
      <c r="S1631" s="459"/>
      <c r="T1631" s="459"/>
      <c r="U1631" s="459"/>
      <c r="V1631" s="459"/>
      <c r="W1631" s="459"/>
      <c r="X1631" s="459"/>
      <c r="Y1631" s="462">
        <f t="shared" si="17"/>
        <v>0</v>
      </c>
      <c r="Z1631" s="463"/>
      <c r="AA1631" s="464"/>
      <c r="AB1631" s="465"/>
      <c r="AC1631" s="465"/>
      <c r="AD1631" s="465"/>
      <c r="AE1631" s="466"/>
      <c r="AF1631" s="449"/>
      <c r="AG1631" s="449"/>
      <c r="AH1631" s="449"/>
    </row>
    <row r="1632" ht="11.25" customHeight="1">
      <c r="A1632" s="450"/>
      <c r="B1632" s="451"/>
      <c r="C1632" s="452"/>
      <c r="D1632" s="452"/>
      <c r="E1632" s="453"/>
      <c r="F1632" s="453"/>
      <c r="G1632" s="454"/>
      <c r="H1632" s="454"/>
      <c r="I1632" s="455"/>
      <c r="J1632" s="456"/>
      <c r="K1632" s="467" t="s">
        <v>1417</v>
      </c>
      <c r="L1632" s="468"/>
      <c r="M1632" s="469"/>
      <c r="N1632" s="470"/>
      <c r="O1632" s="470"/>
      <c r="P1632" s="471"/>
      <c r="Q1632" s="468"/>
      <c r="R1632" s="469"/>
      <c r="S1632" s="469"/>
      <c r="T1632" s="469"/>
      <c r="U1632" s="469"/>
      <c r="V1632" s="469"/>
      <c r="W1632" s="469"/>
      <c r="X1632" s="469"/>
      <c r="Y1632" s="462">
        <f t="shared" si="17"/>
        <v>0</v>
      </c>
      <c r="Z1632" s="463"/>
      <c r="AA1632" s="464"/>
      <c r="AB1632" s="465"/>
      <c r="AC1632" s="465"/>
      <c r="AD1632" s="465"/>
      <c r="AE1632" s="466"/>
      <c r="AF1632" s="449"/>
      <c r="AG1632" s="449"/>
      <c r="AH1632" s="449"/>
    </row>
    <row r="1633" ht="11.25" customHeight="1">
      <c r="A1633" s="450"/>
      <c r="B1633" s="472"/>
      <c r="C1633" s="473"/>
      <c r="D1633" s="473"/>
      <c r="E1633" s="474"/>
      <c r="F1633" s="474"/>
      <c r="G1633" s="475"/>
      <c r="H1633" s="475"/>
      <c r="I1633" s="476"/>
      <c r="J1633" s="477"/>
      <c r="K1633" s="478" t="s">
        <v>1418</v>
      </c>
      <c r="L1633" s="479"/>
      <c r="M1633" s="480"/>
      <c r="N1633" s="481"/>
      <c r="O1633" s="481"/>
      <c r="P1633" s="482"/>
      <c r="Q1633" s="479"/>
      <c r="R1633" s="480"/>
      <c r="S1633" s="480"/>
      <c r="T1633" s="480"/>
      <c r="U1633" s="480"/>
      <c r="V1633" s="480"/>
      <c r="W1633" s="480"/>
      <c r="X1633" s="480"/>
      <c r="Y1633" s="483">
        <f t="shared" si="17"/>
        <v>0</v>
      </c>
      <c r="Z1633" s="484"/>
      <c r="AA1633" s="485"/>
      <c r="AB1633" s="486"/>
      <c r="AC1633" s="486"/>
      <c r="AD1633" s="486"/>
      <c r="AE1633" s="487"/>
      <c r="AF1633" s="449"/>
      <c r="AG1633" s="449"/>
      <c r="AH1633" s="449"/>
    </row>
    <row r="1634" ht="11.25" customHeight="1">
      <c r="A1634" s="431" t="str">
        <f>IF(B1634="","", YEAR(B1634))</f>
        <v/>
      </c>
      <c r="B1634" s="432"/>
      <c r="C1634" s="433"/>
      <c r="D1634" s="433"/>
      <c r="E1634" s="434" t="str">
        <f t="shared" ref="E1634:I1634" si="824">IFERROR(AVERAGE(L1634:L1637),"")</f>
        <v/>
      </c>
      <c r="F1634" s="434" t="str">
        <f t="shared" si="824"/>
        <v/>
      </c>
      <c r="G1634" s="435" t="str">
        <f t="shared" si="824"/>
        <v/>
      </c>
      <c r="H1634" s="435" t="str">
        <f t="shared" si="824"/>
        <v/>
      </c>
      <c r="I1634" s="436" t="str">
        <f t="shared" si="824"/>
        <v/>
      </c>
      <c r="J1634" s="437">
        <f>SUMIFS(PRODUCTION[KG],PRODUCTION[GRADE],"3X50",PRODUCTION[DATE],B1634,PRODUCTION[BATCH],C1634,PRODUCTION[SHIFT],D1634)</f>
        <v>0</v>
      </c>
      <c r="K1634" s="438" t="s">
        <v>1414</v>
      </c>
      <c r="L1634" s="443"/>
      <c r="M1634" s="440"/>
      <c r="N1634" s="441"/>
      <c r="O1634" s="441"/>
      <c r="P1634" s="442"/>
      <c r="Q1634" s="443"/>
      <c r="R1634" s="440"/>
      <c r="S1634" s="440"/>
      <c r="T1634" s="440"/>
      <c r="U1634" s="440"/>
      <c r="V1634" s="440"/>
      <c r="W1634" s="440"/>
      <c r="X1634" s="440"/>
      <c r="Y1634" s="444">
        <f t="shared" si="17"/>
        <v>0</v>
      </c>
      <c r="Z1634" s="445"/>
      <c r="AA1634" s="446">
        <f t="shared" ref="AA1634:AE1634" si="825">$J1634*E1634</f>
        <v>0</v>
      </c>
      <c r="AB1634" s="447">
        <f t="shared" si="825"/>
        <v>0</v>
      </c>
      <c r="AC1634" s="447">
        <f t="shared" si="825"/>
        <v>0</v>
      </c>
      <c r="AD1634" s="447">
        <f t="shared" si="825"/>
        <v>0</v>
      </c>
      <c r="AE1634" s="448">
        <f t="shared" si="825"/>
        <v>0</v>
      </c>
      <c r="AF1634" s="449"/>
      <c r="AG1634" s="449"/>
      <c r="AH1634" s="449"/>
    </row>
    <row r="1635" ht="11.25" customHeight="1">
      <c r="A1635" s="450"/>
      <c r="B1635" s="451"/>
      <c r="C1635" s="452"/>
      <c r="D1635" s="452"/>
      <c r="E1635" s="453"/>
      <c r="F1635" s="453"/>
      <c r="G1635" s="454"/>
      <c r="H1635" s="454"/>
      <c r="I1635" s="455"/>
      <c r="J1635" s="456"/>
      <c r="K1635" s="457" t="s">
        <v>1416</v>
      </c>
      <c r="L1635" s="458"/>
      <c r="M1635" s="459"/>
      <c r="N1635" s="460"/>
      <c r="O1635" s="460"/>
      <c r="P1635" s="461"/>
      <c r="Q1635" s="458"/>
      <c r="R1635" s="459"/>
      <c r="S1635" s="459"/>
      <c r="T1635" s="459"/>
      <c r="U1635" s="459"/>
      <c r="V1635" s="459"/>
      <c r="W1635" s="459"/>
      <c r="X1635" s="459"/>
      <c r="Y1635" s="462">
        <f t="shared" si="17"/>
        <v>0</v>
      </c>
      <c r="Z1635" s="463"/>
      <c r="AA1635" s="464"/>
      <c r="AB1635" s="465"/>
      <c r="AC1635" s="465"/>
      <c r="AD1635" s="465"/>
      <c r="AE1635" s="466"/>
      <c r="AF1635" s="449"/>
      <c r="AG1635" s="449"/>
      <c r="AH1635" s="449"/>
    </row>
    <row r="1636" ht="11.25" customHeight="1">
      <c r="A1636" s="450"/>
      <c r="B1636" s="451"/>
      <c r="C1636" s="452"/>
      <c r="D1636" s="452"/>
      <c r="E1636" s="453"/>
      <c r="F1636" s="453"/>
      <c r="G1636" s="454"/>
      <c r="H1636" s="454"/>
      <c r="I1636" s="455"/>
      <c r="J1636" s="456"/>
      <c r="K1636" s="467" t="s">
        <v>1417</v>
      </c>
      <c r="L1636" s="468"/>
      <c r="M1636" s="469"/>
      <c r="N1636" s="470"/>
      <c r="O1636" s="470"/>
      <c r="P1636" s="471"/>
      <c r="Q1636" s="468"/>
      <c r="R1636" s="469"/>
      <c r="S1636" s="469"/>
      <c r="T1636" s="469"/>
      <c r="U1636" s="469"/>
      <c r="V1636" s="469"/>
      <c r="W1636" s="469"/>
      <c r="X1636" s="469"/>
      <c r="Y1636" s="462">
        <f t="shared" si="17"/>
        <v>0</v>
      </c>
      <c r="Z1636" s="463"/>
      <c r="AA1636" s="464"/>
      <c r="AB1636" s="465"/>
      <c r="AC1636" s="465"/>
      <c r="AD1636" s="465"/>
      <c r="AE1636" s="466"/>
      <c r="AF1636" s="449"/>
      <c r="AG1636" s="449"/>
      <c r="AH1636" s="449"/>
    </row>
    <row r="1637" ht="11.25" customHeight="1">
      <c r="A1637" s="450"/>
      <c r="B1637" s="472"/>
      <c r="C1637" s="473"/>
      <c r="D1637" s="473"/>
      <c r="E1637" s="474"/>
      <c r="F1637" s="474"/>
      <c r="G1637" s="475"/>
      <c r="H1637" s="475"/>
      <c r="I1637" s="476"/>
      <c r="J1637" s="477"/>
      <c r="K1637" s="478" t="s">
        <v>1418</v>
      </c>
      <c r="L1637" s="479"/>
      <c r="M1637" s="480"/>
      <c r="N1637" s="481"/>
      <c r="O1637" s="481"/>
      <c r="P1637" s="482"/>
      <c r="Q1637" s="479"/>
      <c r="R1637" s="480"/>
      <c r="S1637" s="480"/>
      <c r="T1637" s="480"/>
      <c r="U1637" s="480"/>
      <c r="V1637" s="480"/>
      <c r="W1637" s="480"/>
      <c r="X1637" s="480"/>
      <c r="Y1637" s="483">
        <f t="shared" si="17"/>
        <v>0</v>
      </c>
      <c r="Z1637" s="484"/>
      <c r="AA1637" s="485"/>
      <c r="AB1637" s="486"/>
      <c r="AC1637" s="486"/>
      <c r="AD1637" s="486"/>
      <c r="AE1637" s="487"/>
      <c r="AF1637" s="449"/>
      <c r="AG1637" s="449"/>
      <c r="AH1637" s="449"/>
    </row>
    <row r="1638" ht="11.25" customHeight="1">
      <c r="A1638" s="431" t="str">
        <f>IF(B1638="","", YEAR(B1638))</f>
        <v/>
      </c>
      <c r="B1638" s="432"/>
      <c r="C1638" s="433"/>
      <c r="D1638" s="433"/>
      <c r="E1638" s="434" t="str">
        <f t="shared" ref="E1638:I1638" si="826">IFERROR(AVERAGE(L1638:L1641),"")</f>
        <v/>
      </c>
      <c r="F1638" s="434" t="str">
        <f t="shared" si="826"/>
        <v/>
      </c>
      <c r="G1638" s="435" t="str">
        <f t="shared" si="826"/>
        <v/>
      </c>
      <c r="H1638" s="435" t="str">
        <f t="shared" si="826"/>
        <v/>
      </c>
      <c r="I1638" s="436" t="str">
        <f t="shared" si="826"/>
        <v/>
      </c>
      <c r="J1638" s="437">
        <f>SUMIFS(PRODUCTION[KG],PRODUCTION[GRADE],"3X50",PRODUCTION[DATE],B1638,PRODUCTION[BATCH],C1638,PRODUCTION[SHIFT],D1638)</f>
        <v>0</v>
      </c>
      <c r="K1638" s="438" t="s">
        <v>1414</v>
      </c>
      <c r="L1638" s="443"/>
      <c r="M1638" s="440"/>
      <c r="N1638" s="441"/>
      <c r="O1638" s="441"/>
      <c r="P1638" s="442"/>
      <c r="Q1638" s="443"/>
      <c r="R1638" s="440"/>
      <c r="S1638" s="440"/>
      <c r="T1638" s="440"/>
      <c r="U1638" s="440"/>
      <c r="V1638" s="440"/>
      <c r="W1638" s="440"/>
      <c r="X1638" s="440"/>
      <c r="Y1638" s="444">
        <f t="shared" si="17"/>
        <v>0</v>
      </c>
      <c r="Z1638" s="445"/>
      <c r="AA1638" s="446">
        <f t="shared" ref="AA1638:AE1638" si="827">$J1638*E1638</f>
        <v>0</v>
      </c>
      <c r="AB1638" s="447">
        <f t="shared" si="827"/>
        <v>0</v>
      </c>
      <c r="AC1638" s="447">
        <f t="shared" si="827"/>
        <v>0</v>
      </c>
      <c r="AD1638" s="447">
        <f t="shared" si="827"/>
        <v>0</v>
      </c>
      <c r="AE1638" s="448">
        <f t="shared" si="827"/>
        <v>0</v>
      </c>
      <c r="AF1638" s="449"/>
      <c r="AG1638" s="449"/>
      <c r="AH1638" s="449"/>
    </row>
    <row r="1639" ht="11.25" customHeight="1">
      <c r="A1639" s="450"/>
      <c r="B1639" s="451"/>
      <c r="C1639" s="452"/>
      <c r="D1639" s="452"/>
      <c r="E1639" s="453"/>
      <c r="F1639" s="453"/>
      <c r="G1639" s="454"/>
      <c r="H1639" s="454"/>
      <c r="I1639" s="455"/>
      <c r="J1639" s="456"/>
      <c r="K1639" s="457" t="s">
        <v>1416</v>
      </c>
      <c r="L1639" s="458"/>
      <c r="M1639" s="459"/>
      <c r="N1639" s="460"/>
      <c r="O1639" s="460"/>
      <c r="P1639" s="461"/>
      <c r="Q1639" s="458"/>
      <c r="R1639" s="459"/>
      <c r="S1639" s="459"/>
      <c r="T1639" s="459"/>
      <c r="U1639" s="459"/>
      <c r="V1639" s="459"/>
      <c r="W1639" s="459"/>
      <c r="X1639" s="459"/>
      <c r="Y1639" s="462">
        <f t="shared" si="17"/>
        <v>0</v>
      </c>
      <c r="Z1639" s="463"/>
      <c r="AA1639" s="464"/>
      <c r="AB1639" s="465"/>
      <c r="AC1639" s="465"/>
      <c r="AD1639" s="465"/>
      <c r="AE1639" s="466"/>
      <c r="AF1639" s="449"/>
      <c r="AG1639" s="449"/>
      <c r="AH1639" s="449"/>
    </row>
    <row r="1640" ht="11.25" customHeight="1">
      <c r="A1640" s="450"/>
      <c r="B1640" s="451"/>
      <c r="C1640" s="452"/>
      <c r="D1640" s="452"/>
      <c r="E1640" s="453"/>
      <c r="F1640" s="453"/>
      <c r="G1640" s="454"/>
      <c r="H1640" s="454"/>
      <c r="I1640" s="455"/>
      <c r="J1640" s="456"/>
      <c r="K1640" s="467" t="s">
        <v>1417</v>
      </c>
      <c r="L1640" s="468"/>
      <c r="M1640" s="469"/>
      <c r="N1640" s="470"/>
      <c r="O1640" s="470"/>
      <c r="P1640" s="471"/>
      <c r="Q1640" s="468"/>
      <c r="R1640" s="469"/>
      <c r="S1640" s="469"/>
      <c r="T1640" s="469"/>
      <c r="U1640" s="469"/>
      <c r="V1640" s="469"/>
      <c r="W1640" s="469"/>
      <c r="X1640" s="469"/>
      <c r="Y1640" s="462">
        <f t="shared" si="17"/>
        <v>0</v>
      </c>
      <c r="Z1640" s="463"/>
      <c r="AA1640" s="464"/>
      <c r="AB1640" s="465"/>
      <c r="AC1640" s="465"/>
      <c r="AD1640" s="465"/>
      <c r="AE1640" s="466"/>
      <c r="AF1640" s="449"/>
      <c r="AG1640" s="449"/>
      <c r="AH1640" s="449"/>
    </row>
    <row r="1641" ht="11.25" customHeight="1">
      <c r="A1641" s="450"/>
      <c r="B1641" s="472"/>
      <c r="C1641" s="473"/>
      <c r="D1641" s="473"/>
      <c r="E1641" s="474"/>
      <c r="F1641" s="474"/>
      <c r="G1641" s="475"/>
      <c r="H1641" s="475"/>
      <c r="I1641" s="476"/>
      <c r="J1641" s="477"/>
      <c r="K1641" s="478" t="s">
        <v>1418</v>
      </c>
      <c r="L1641" s="479"/>
      <c r="M1641" s="480"/>
      <c r="N1641" s="481"/>
      <c r="O1641" s="481"/>
      <c r="P1641" s="482"/>
      <c r="Q1641" s="479"/>
      <c r="R1641" s="480"/>
      <c r="S1641" s="480"/>
      <c r="T1641" s="480"/>
      <c r="U1641" s="480"/>
      <c r="V1641" s="480"/>
      <c r="W1641" s="480"/>
      <c r="X1641" s="480"/>
      <c r="Y1641" s="483">
        <f t="shared" si="17"/>
        <v>0</v>
      </c>
      <c r="Z1641" s="484"/>
      <c r="AA1641" s="485"/>
      <c r="AB1641" s="486"/>
      <c r="AC1641" s="486"/>
      <c r="AD1641" s="486"/>
      <c r="AE1641" s="487"/>
      <c r="AF1641" s="449"/>
      <c r="AG1641" s="449"/>
      <c r="AH1641" s="449"/>
    </row>
    <row r="1642" ht="11.25" customHeight="1">
      <c r="A1642" s="431" t="str">
        <f>IF(B1642="","", YEAR(B1642))</f>
        <v/>
      </c>
      <c r="B1642" s="432"/>
      <c r="C1642" s="433"/>
      <c r="D1642" s="433"/>
      <c r="E1642" s="434" t="str">
        <f t="shared" ref="E1642:I1642" si="828">IFERROR(AVERAGE(L1642:L1645),"")</f>
        <v/>
      </c>
      <c r="F1642" s="434" t="str">
        <f t="shared" si="828"/>
        <v/>
      </c>
      <c r="G1642" s="435" t="str">
        <f t="shared" si="828"/>
        <v/>
      </c>
      <c r="H1642" s="435" t="str">
        <f t="shared" si="828"/>
        <v/>
      </c>
      <c r="I1642" s="436" t="str">
        <f t="shared" si="828"/>
        <v/>
      </c>
      <c r="J1642" s="437">
        <f>SUMIFS(PRODUCTION[KG],PRODUCTION[GRADE],"3X50",PRODUCTION[DATE],B1642,PRODUCTION[BATCH],C1642,PRODUCTION[SHIFT],D1642)</f>
        <v>0</v>
      </c>
      <c r="K1642" s="438" t="s">
        <v>1414</v>
      </c>
      <c r="L1642" s="443"/>
      <c r="M1642" s="440"/>
      <c r="N1642" s="441"/>
      <c r="O1642" s="441"/>
      <c r="P1642" s="442"/>
      <c r="Q1642" s="443"/>
      <c r="R1642" s="440"/>
      <c r="S1642" s="440"/>
      <c r="T1642" s="440"/>
      <c r="U1642" s="440"/>
      <c r="V1642" s="440"/>
      <c r="W1642" s="440"/>
      <c r="X1642" s="440"/>
      <c r="Y1642" s="444">
        <f t="shared" si="17"/>
        <v>0</v>
      </c>
      <c r="Z1642" s="445"/>
      <c r="AA1642" s="446">
        <f t="shared" ref="AA1642:AE1642" si="829">$J1642*E1642</f>
        <v>0</v>
      </c>
      <c r="AB1642" s="447">
        <f t="shared" si="829"/>
        <v>0</v>
      </c>
      <c r="AC1642" s="447">
        <f t="shared" si="829"/>
        <v>0</v>
      </c>
      <c r="AD1642" s="447">
        <f t="shared" si="829"/>
        <v>0</v>
      </c>
      <c r="AE1642" s="448">
        <f t="shared" si="829"/>
        <v>0</v>
      </c>
      <c r="AF1642" s="449"/>
      <c r="AG1642" s="449"/>
      <c r="AH1642" s="449"/>
    </row>
    <row r="1643" ht="11.25" customHeight="1">
      <c r="A1643" s="450"/>
      <c r="B1643" s="451"/>
      <c r="C1643" s="452"/>
      <c r="D1643" s="452"/>
      <c r="E1643" s="453"/>
      <c r="F1643" s="453"/>
      <c r="G1643" s="454"/>
      <c r="H1643" s="454"/>
      <c r="I1643" s="455"/>
      <c r="J1643" s="456"/>
      <c r="K1643" s="457" t="s">
        <v>1416</v>
      </c>
      <c r="L1643" s="458"/>
      <c r="M1643" s="459"/>
      <c r="N1643" s="460"/>
      <c r="O1643" s="460"/>
      <c r="P1643" s="461"/>
      <c r="Q1643" s="458"/>
      <c r="R1643" s="459"/>
      <c r="S1643" s="459"/>
      <c r="T1643" s="459"/>
      <c r="U1643" s="459"/>
      <c r="V1643" s="459"/>
      <c r="W1643" s="459"/>
      <c r="X1643" s="459"/>
      <c r="Y1643" s="462">
        <f t="shared" si="17"/>
        <v>0</v>
      </c>
      <c r="Z1643" s="463"/>
      <c r="AA1643" s="464"/>
      <c r="AB1643" s="465"/>
      <c r="AC1643" s="465"/>
      <c r="AD1643" s="465"/>
      <c r="AE1643" s="466"/>
      <c r="AF1643" s="449"/>
      <c r="AG1643" s="449"/>
      <c r="AH1643" s="449"/>
    </row>
    <row r="1644" ht="11.25" customHeight="1">
      <c r="A1644" s="450"/>
      <c r="B1644" s="451"/>
      <c r="C1644" s="452"/>
      <c r="D1644" s="452"/>
      <c r="E1644" s="453"/>
      <c r="F1644" s="453"/>
      <c r="G1644" s="454"/>
      <c r="H1644" s="454"/>
      <c r="I1644" s="455"/>
      <c r="J1644" s="456"/>
      <c r="K1644" s="467" t="s">
        <v>1417</v>
      </c>
      <c r="L1644" s="468"/>
      <c r="M1644" s="469"/>
      <c r="N1644" s="470"/>
      <c r="O1644" s="470"/>
      <c r="P1644" s="471"/>
      <c r="Q1644" s="468"/>
      <c r="R1644" s="469"/>
      <c r="S1644" s="469"/>
      <c r="T1644" s="469"/>
      <c r="U1644" s="469"/>
      <c r="V1644" s="469"/>
      <c r="W1644" s="469"/>
      <c r="X1644" s="469"/>
      <c r="Y1644" s="462">
        <f t="shared" si="17"/>
        <v>0</v>
      </c>
      <c r="Z1644" s="463"/>
      <c r="AA1644" s="464"/>
      <c r="AB1644" s="465"/>
      <c r="AC1644" s="465"/>
      <c r="AD1644" s="465"/>
      <c r="AE1644" s="466"/>
      <c r="AF1644" s="449"/>
      <c r="AG1644" s="449"/>
      <c r="AH1644" s="449"/>
    </row>
    <row r="1645" ht="11.25" customHeight="1">
      <c r="A1645" s="450"/>
      <c r="B1645" s="472"/>
      <c r="C1645" s="473"/>
      <c r="D1645" s="473"/>
      <c r="E1645" s="474"/>
      <c r="F1645" s="474"/>
      <c r="G1645" s="475"/>
      <c r="H1645" s="475"/>
      <c r="I1645" s="476"/>
      <c r="J1645" s="477"/>
      <c r="K1645" s="478" t="s">
        <v>1418</v>
      </c>
      <c r="L1645" s="479"/>
      <c r="M1645" s="480"/>
      <c r="N1645" s="481"/>
      <c r="O1645" s="481"/>
      <c r="P1645" s="482"/>
      <c r="Q1645" s="479"/>
      <c r="R1645" s="480"/>
      <c r="S1645" s="480"/>
      <c r="T1645" s="480"/>
      <c r="U1645" s="480"/>
      <c r="V1645" s="480"/>
      <c r="W1645" s="480"/>
      <c r="X1645" s="480"/>
      <c r="Y1645" s="483">
        <f t="shared" si="17"/>
        <v>0</v>
      </c>
      <c r="Z1645" s="484"/>
      <c r="AA1645" s="485"/>
      <c r="AB1645" s="486"/>
      <c r="AC1645" s="486"/>
      <c r="AD1645" s="486"/>
      <c r="AE1645" s="487"/>
      <c r="AF1645" s="449"/>
      <c r="AG1645" s="449"/>
      <c r="AH1645" s="449"/>
    </row>
    <row r="1646" ht="11.25" customHeight="1">
      <c r="A1646" s="431" t="str">
        <f>IF(B1646="","", YEAR(B1646))</f>
        <v/>
      </c>
      <c r="B1646" s="432"/>
      <c r="C1646" s="433"/>
      <c r="D1646" s="433"/>
      <c r="E1646" s="434" t="str">
        <f t="shared" ref="E1646:I1646" si="830">IFERROR(AVERAGE(L1646:L1649),"")</f>
        <v/>
      </c>
      <c r="F1646" s="434" t="str">
        <f t="shared" si="830"/>
        <v/>
      </c>
      <c r="G1646" s="435" t="str">
        <f t="shared" si="830"/>
        <v/>
      </c>
      <c r="H1646" s="435" t="str">
        <f t="shared" si="830"/>
        <v/>
      </c>
      <c r="I1646" s="436" t="str">
        <f t="shared" si="830"/>
        <v/>
      </c>
      <c r="J1646" s="437">
        <f>SUMIFS(PRODUCTION[KG],PRODUCTION[GRADE],"3X50",PRODUCTION[DATE],B1646,PRODUCTION[BATCH],C1646,PRODUCTION[SHIFT],D1646)</f>
        <v>0</v>
      </c>
      <c r="K1646" s="438" t="s">
        <v>1414</v>
      </c>
      <c r="L1646" s="443"/>
      <c r="M1646" s="440"/>
      <c r="N1646" s="441"/>
      <c r="O1646" s="441"/>
      <c r="P1646" s="442"/>
      <c r="Q1646" s="443"/>
      <c r="R1646" s="440"/>
      <c r="S1646" s="440"/>
      <c r="T1646" s="440"/>
      <c r="U1646" s="440"/>
      <c r="V1646" s="440"/>
      <c r="W1646" s="440"/>
      <c r="X1646" s="440"/>
      <c r="Y1646" s="444">
        <f t="shared" si="17"/>
        <v>0</v>
      </c>
      <c r="Z1646" s="445"/>
      <c r="AA1646" s="446">
        <f t="shared" ref="AA1646:AE1646" si="831">$J1646*E1646</f>
        <v>0</v>
      </c>
      <c r="AB1646" s="447">
        <f t="shared" si="831"/>
        <v>0</v>
      </c>
      <c r="AC1646" s="447">
        <f t="shared" si="831"/>
        <v>0</v>
      </c>
      <c r="AD1646" s="447">
        <f t="shared" si="831"/>
        <v>0</v>
      </c>
      <c r="AE1646" s="448">
        <f t="shared" si="831"/>
        <v>0</v>
      </c>
      <c r="AF1646" s="449"/>
      <c r="AG1646" s="449"/>
      <c r="AH1646" s="449"/>
    </row>
    <row r="1647" ht="11.25" customHeight="1">
      <c r="A1647" s="450"/>
      <c r="B1647" s="451"/>
      <c r="C1647" s="452"/>
      <c r="D1647" s="452"/>
      <c r="E1647" s="453"/>
      <c r="F1647" s="453"/>
      <c r="G1647" s="454"/>
      <c r="H1647" s="454"/>
      <c r="I1647" s="455"/>
      <c r="J1647" s="456"/>
      <c r="K1647" s="457" t="s">
        <v>1416</v>
      </c>
      <c r="L1647" s="458"/>
      <c r="M1647" s="459"/>
      <c r="N1647" s="460"/>
      <c r="O1647" s="460"/>
      <c r="P1647" s="461"/>
      <c r="Q1647" s="458"/>
      <c r="R1647" s="459"/>
      <c r="S1647" s="459"/>
      <c r="T1647" s="459"/>
      <c r="U1647" s="459"/>
      <c r="V1647" s="459"/>
      <c r="W1647" s="459"/>
      <c r="X1647" s="459"/>
      <c r="Y1647" s="462">
        <f t="shared" si="17"/>
        <v>0</v>
      </c>
      <c r="Z1647" s="463"/>
      <c r="AA1647" s="464"/>
      <c r="AB1647" s="465"/>
      <c r="AC1647" s="465"/>
      <c r="AD1647" s="465"/>
      <c r="AE1647" s="466"/>
      <c r="AF1647" s="449"/>
      <c r="AG1647" s="449"/>
      <c r="AH1647" s="449"/>
    </row>
    <row r="1648" ht="11.25" customHeight="1">
      <c r="A1648" s="450"/>
      <c r="B1648" s="451"/>
      <c r="C1648" s="452"/>
      <c r="D1648" s="452"/>
      <c r="E1648" s="453"/>
      <c r="F1648" s="453"/>
      <c r="G1648" s="454"/>
      <c r="H1648" s="454"/>
      <c r="I1648" s="455"/>
      <c r="J1648" s="456"/>
      <c r="K1648" s="467" t="s">
        <v>1417</v>
      </c>
      <c r="L1648" s="468"/>
      <c r="M1648" s="469"/>
      <c r="N1648" s="470"/>
      <c r="O1648" s="470"/>
      <c r="P1648" s="471"/>
      <c r="Q1648" s="468"/>
      <c r="R1648" s="469"/>
      <c r="S1648" s="469"/>
      <c r="T1648" s="469"/>
      <c r="U1648" s="469"/>
      <c r="V1648" s="469"/>
      <c r="W1648" s="469"/>
      <c r="X1648" s="469"/>
      <c r="Y1648" s="462">
        <f t="shared" si="17"/>
        <v>0</v>
      </c>
      <c r="Z1648" s="463"/>
      <c r="AA1648" s="464"/>
      <c r="AB1648" s="465"/>
      <c r="AC1648" s="465"/>
      <c r="AD1648" s="465"/>
      <c r="AE1648" s="466"/>
      <c r="AF1648" s="449"/>
      <c r="AG1648" s="449"/>
      <c r="AH1648" s="449"/>
    </row>
    <row r="1649" ht="11.25" customHeight="1">
      <c r="A1649" s="450"/>
      <c r="B1649" s="472"/>
      <c r="C1649" s="473"/>
      <c r="D1649" s="473"/>
      <c r="E1649" s="474"/>
      <c r="F1649" s="474"/>
      <c r="G1649" s="475"/>
      <c r="H1649" s="475"/>
      <c r="I1649" s="476"/>
      <c r="J1649" s="477"/>
      <c r="K1649" s="478" t="s">
        <v>1418</v>
      </c>
      <c r="L1649" s="479"/>
      <c r="M1649" s="480"/>
      <c r="N1649" s="481"/>
      <c r="O1649" s="481"/>
      <c r="P1649" s="482"/>
      <c r="Q1649" s="479"/>
      <c r="R1649" s="480"/>
      <c r="S1649" s="480"/>
      <c r="T1649" s="480"/>
      <c r="U1649" s="480"/>
      <c r="V1649" s="480"/>
      <c r="W1649" s="480"/>
      <c r="X1649" s="480"/>
      <c r="Y1649" s="483">
        <f t="shared" si="17"/>
        <v>0</v>
      </c>
      <c r="Z1649" s="484"/>
      <c r="AA1649" s="485"/>
      <c r="AB1649" s="486"/>
      <c r="AC1649" s="486"/>
      <c r="AD1649" s="486"/>
      <c r="AE1649" s="487"/>
      <c r="AF1649" s="449"/>
      <c r="AG1649" s="449"/>
      <c r="AH1649" s="449"/>
    </row>
    <row r="1650" ht="11.25" customHeight="1">
      <c r="A1650" s="431" t="str">
        <f>IF(B1650="","", YEAR(B1650))</f>
        <v/>
      </c>
      <c r="B1650" s="432"/>
      <c r="C1650" s="433"/>
      <c r="D1650" s="433"/>
      <c r="E1650" s="434" t="str">
        <f t="shared" ref="E1650:I1650" si="832">IFERROR(AVERAGE(L1650:L1653),"")</f>
        <v/>
      </c>
      <c r="F1650" s="434" t="str">
        <f t="shared" si="832"/>
        <v/>
      </c>
      <c r="G1650" s="435" t="str">
        <f t="shared" si="832"/>
        <v/>
      </c>
      <c r="H1650" s="435" t="str">
        <f t="shared" si="832"/>
        <v/>
      </c>
      <c r="I1650" s="436" t="str">
        <f t="shared" si="832"/>
        <v/>
      </c>
      <c r="J1650" s="437">
        <f>SUMIFS(PRODUCTION[KG],PRODUCTION[GRADE],"3X50",PRODUCTION[DATE],B1650,PRODUCTION[BATCH],C1650,PRODUCTION[SHIFT],D1650)</f>
        <v>0</v>
      </c>
      <c r="K1650" s="438" t="s">
        <v>1414</v>
      </c>
      <c r="L1650" s="443"/>
      <c r="M1650" s="440"/>
      <c r="N1650" s="441"/>
      <c r="O1650" s="441"/>
      <c r="P1650" s="442"/>
      <c r="Q1650" s="443"/>
      <c r="R1650" s="440"/>
      <c r="S1650" s="440"/>
      <c r="T1650" s="440"/>
      <c r="U1650" s="440"/>
      <c r="V1650" s="440"/>
      <c r="W1650" s="440"/>
      <c r="X1650" s="440"/>
      <c r="Y1650" s="444">
        <f t="shared" si="17"/>
        <v>0</v>
      </c>
      <c r="Z1650" s="445"/>
      <c r="AA1650" s="446">
        <f t="shared" ref="AA1650:AE1650" si="833">$J1650*E1650</f>
        <v>0</v>
      </c>
      <c r="AB1650" s="447">
        <f t="shared" si="833"/>
        <v>0</v>
      </c>
      <c r="AC1650" s="447">
        <f t="shared" si="833"/>
        <v>0</v>
      </c>
      <c r="AD1650" s="447">
        <f t="shared" si="833"/>
        <v>0</v>
      </c>
      <c r="AE1650" s="448">
        <f t="shared" si="833"/>
        <v>0</v>
      </c>
      <c r="AF1650" s="449"/>
      <c r="AG1650" s="449"/>
      <c r="AH1650" s="449"/>
    </row>
    <row r="1651" ht="11.25" customHeight="1">
      <c r="A1651" s="450"/>
      <c r="B1651" s="451"/>
      <c r="C1651" s="452"/>
      <c r="D1651" s="452"/>
      <c r="E1651" s="453"/>
      <c r="F1651" s="453"/>
      <c r="G1651" s="454"/>
      <c r="H1651" s="454"/>
      <c r="I1651" s="455"/>
      <c r="J1651" s="456"/>
      <c r="K1651" s="457" t="s">
        <v>1416</v>
      </c>
      <c r="L1651" s="458"/>
      <c r="M1651" s="459"/>
      <c r="N1651" s="460"/>
      <c r="O1651" s="460"/>
      <c r="P1651" s="461"/>
      <c r="Q1651" s="458"/>
      <c r="R1651" s="459"/>
      <c r="S1651" s="459"/>
      <c r="T1651" s="459"/>
      <c r="U1651" s="459"/>
      <c r="V1651" s="459"/>
      <c r="W1651" s="459"/>
      <c r="X1651" s="459"/>
      <c r="Y1651" s="462">
        <f t="shared" si="17"/>
        <v>0</v>
      </c>
      <c r="Z1651" s="463"/>
      <c r="AA1651" s="464"/>
      <c r="AB1651" s="465"/>
      <c r="AC1651" s="465"/>
      <c r="AD1651" s="465"/>
      <c r="AE1651" s="466"/>
      <c r="AF1651" s="449"/>
      <c r="AG1651" s="449"/>
      <c r="AH1651" s="449"/>
    </row>
    <row r="1652" ht="11.25" customHeight="1">
      <c r="A1652" s="450"/>
      <c r="B1652" s="451"/>
      <c r="C1652" s="452"/>
      <c r="D1652" s="452"/>
      <c r="E1652" s="453"/>
      <c r="F1652" s="453"/>
      <c r="G1652" s="454"/>
      <c r="H1652" s="454"/>
      <c r="I1652" s="455"/>
      <c r="J1652" s="456"/>
      <c r="K1652" s="467" t="s">
        <v>1417</v>
      </c>
      <c r="L1652" s="468"/>
      <c r="M1652" s="469"/>
      <c r="N1652" s="470"/>
      <c r="O1652" s="470"/>
      <c r="P1652" s="471"/>
      <c r="Q1652" s="468"/>
      <c r="R1652" s="469"/>
      <c r="S1652" s="469"/>
      <c r="T1652" s="469"/>
      <c r="U1652" s="469"/>
      <c r="V1652" s="469"/>
      <c r="W1652" s="469"/>
      <c r="X1652" s="469"/>
      <c r="Y1652" s="462">
        <f t="shared" si="17"/>
        <v>0</v>
      </c>
      <c r="Z1652" s="463"/>
      <c r="AA1652" s="464"/>
      <c r="AB1652" s="465"/>
      <c r="AC1652" s="465"/>
      <c r="AD1652" s="465"/>
      <c r="AE1652" s="466"/>
      <c r="AF1652" s="449"/>
      <c r="AG1652" s="449"/>
      <c r="AH1652" s="449"/>
    </row>
    <row r="1653" ht="11.25" customHeight="1">
      <c r="A1653" s="450"/>
      <c r="B1653" s="472"/>
      <c r="C1653" s="473"/>
      <c r="D1653" s="473"/>
      <c r="E1653" s="474"/>
      <c r="F1653" s="474"/>
      <c r="G1653" s="475"/>
      <c r="H1653" s="475"/>
      <c r="I1653" s="476"/>
      <c r="J1653" s="477"/>
      <c r="K1653" s="478" t="s">
        <v>1418</v>
      </c>
      <c r="L1653" s="479"/>
      <c r="M1653" s="480"/>
      <c r="N1653" s="481"/>
      <c r="O1653" s="481"/>
      <c r="P1653" s="482"/>
      <c r="Q1653" s="479"/>
      <c r="R1653" s="480"/>
      <c r="S1653" s="480"/>
      <c r="T1653" s="480"/>
      <c r="U1653" s="480"/>
      <c r="V1653" s="480"/>
      <c r="W1653" s="480"/>
      <c r="X1653" s="480"/>
      <c r="Y1653" s="483">
        <f t="shared" si="17"/>
        <v>0</v>
      </c>
      <c r="Z1653" s="484"/>
      <c r="AA1653" s="485"/>
      <c r="AB1653" s="486"/>
      <c r="AC1653" s="486"/>
      <c r="AD1653" s="486"/>
      <c r="AE1653" s="487"/>
      <c r="AF1653" s="449"/>
      <c r="AG1653" s="449"/>
      <c r="AH1653" s="449"/>
    </row>
    <row r="1654" ht="11.25" customHeight="1">
      <c r="A1654" s="431" t="str">
        <f>IF(B1654="","", YEAR(B1654))</f>
        <v/>
      </c>
      <c r="B1654" s="432"/>
      <c r="C1654" s="433"/>
      <c r="D1654" s="433"/>
      <c r="E1654" s="434" t="str">
        <f t="shared" ref="E1654:I1654" si="834">IFERROR(AVERAGE(L1654:L1657),"")</f>
        <v/>
      </c>
      <c r="F1654" s="434" t="str">
        <f t="shared" si="834"/>
        <v/>
      </c>
      <c r="G1654" s="435" t="str">
        <f t="shared" si="834"/>
        <v/>
      </c>
      <c r="H1654" s="435" t="str">
        <f t="shared" si="834"/>
        <v/>
      </c>
      <c r="I1654" s="436" t="str">
        <f t="shared" si="834"/>
        <v/>
      </c>
      <c r="J1654" s="437">
        <f>SUMIFS(PRODUCTION[KG],PRODUCTION[GRADE],"3X50",PRODUCTION[DATE],B1654,PRODUCTION[BATCH],C1654,PRODUCTION[SHIFT],D1654)</f>
        <v>0</v>
      </c>
      <c r="K1654" s="438" t="s">
        <v>1414</v>
      </c>
      <c r="L1654" s="443"/>
      <c r="M1654" s="440"/>
      <c r="N1654" s="441"/>
      <c r="O1654" s="441"/>
      <c r="P1654" s="442"/>
      <c r="Q1654" s="443"/>
      <c r="R1654" s="440"/>
      <c r="S1654" s="440"/>
      <c r="T1654" s="440"/>
      <c r="U1654" s="440"/>
      <c r="V1654" s="440"/>
      <c r="W1654" s="440"/>
      <c r="X1654" s="440"/>
      <c r="Y1654" s="444">
        <f t="shared" si="17"/>
        <v>0</v>
      </c>
      <c r="Z1654" s="445"/>
      <c r="AA1654" s="446">
        <f t="shared" ref="AA1654:AE1654" si="835">$J1654*E1654</f>
        <v>0</v>
      </c>
      <c r="AB1654" s="447">
        <f t="shared" si="835"/>
        <v>0</v>
      </c>
      <c r="AC1654" s="447">
        <f t="shared" si="835"/>
        <v>0</v>
      </c>
      <c r="AD1654" s="447">
        <f t="shared" si="835"/>
        <v>0</v>
      </c>
      <c r="AE1654" s="448">
        <f t="shared" si="835"/>
        <v>0</v>
      </c>
      <c r="AF1654" s="449"/>
      <c r="AG1654" s="449"/>
      <c r="AH1654" s="449"/>
    </row>
    <row r="1655" ht="11.25" customHeight="1">
      <c r="A1655" s="450"/>
      <c r="B1655" s="451"/>
      <c r="C1655" s="452"/>
      <c r="D1655" s="452"/>
      <c r="E1655" s="453"/>
      <c r="F1655" s="453"/>
      <c r="G1655" s="454"/>
      <c r="H1655" s="454"/>
      <c r="I1655" s="455"/>
      <c r="J1655" s="456"/>
      <c r="K1655" s="457" t="s">
        <v>1416</v>
      </c>
      <c r="L1655" s="458"/>
      <c r="M1655" s="459"/>
      <c r="N1655" s="460"/>
      <c r="O1655" s="460"/>
      <c r="P1655" s="461"/>
      <c r="Q1655" s="458"/>
      <c r="R1655" s="459"/>
      <c r="S1655" s="459"/>
      <c r="T1655" s="459"/>
      <c r="U1655" s="459"/>
      <c r="V1655" s="459"/>
      <c r="W1655" s="459"/>
      <c r="X1655" s="459"/>
      <c r="Y1655" s="462">
        <f t="shared" si="17"/>
        <v>0</v>
      </c>
      <c r="Z1655" s="463"/>
      <c r="AA1655" s="464"/>
      <c r="AB1655" s="465"/>
      <c r="AC1655" s="465"/>
      <c r="AD1655" s="465"/>
      <c r="AE1655" s="466"/>
      <c r="AF1655" s="449"/>
      <c r="AG1655" s="449"/>
      <c r="AH1655" s="449"/>
    </row>
    <row r="1656" ht="11.25" customHeight="1">
      <c r="A1656" s="450"/>
      <c r="B1656" s="451"/>
      <c r="C1656" s="452"/>
      <c r="D1656" s="452"/>
      <c r="E1656" s="453"/>
      <c r="F1656" s="453"/>
      <c r="G1656" s="454"/>
      <c r="H1656" s="454"/>
      <c r="I1656" s="455"/>
      <c r="J1656" s="456"/>
      <c r="K1656" s="467" t="s">
        <v>1417</v>
      </c>
      <c r="L1656" s="468"/>
      <c r="M1656" s="469"/>
      <c r="N1656" s="470"/>
      <c r="O1656" s="470"/>
      <c r="P1656" s="471"/>
      <c r="Q1656" s="468"/>
      <c r="R1656" s="469"/>
      <c r="S1656" s="469"/>
      <c r="T1656" s="469"/>
      <c r="U1656" s="469"/>
      <c r="V1656" s="469"/>
      <c r="W1656" s="469"/>
      <c r="X1656" s="469"/>
      <c r="Y1656" s="462">
        <f t="shared" si="17"/>
        <v>0</v>
      </c>
      <c r="Z1656" s="463"/>
      <c r="AA1656" s="464"/>
      <c r="AB1656" s="465"/>
      <c r="AC1656" s="465"/>
      <c r="AD1656" s="465"/>
      <c r="AE1656" s="466"/>
      <c r="AF1656" s="449"/>
      <c r="AG1656" s="449"/>
      <c r="AH1656" s="449"/>
    </row>
    <row r="1657" ht="11.25" customHeight="1">
      <c r="A1657" s="450"/>
      <c r="B1657" s="472"/>
      <c r="C1657" s="473"/>
      <c r="D1657" s="473"/>
      <c r="E1657" s="474"/>
      <c r="F1657" s="474"/>
      <c r="G1657" s="475"/>
      <c r="H1657" s="475"/>
      <c r="I1657" s="476"/>
      <c r="J1657" s="477"/>
      <c r="K1657" s="478" t="s">
        <v>1418</v>
      </c>
      <c r="L1657" s="479"/>
      <c r="M1657" s="480"/>
      <c r="N1657" s="481"/>
      <c r="O1657" s="481"/>
      <c r="P1657" s="482"/>
      <c r="Q1657" s="479"/>
      <c r="R1657" s="480"/>
      <c r="S1657" s="480"/>
      <c r="T1657" s="480"/>
      <c r="U1657" s="480"/>
      <c r="V1657" s="480"/>
      <c r="W1657" s="480"/>
      <c r="X1657" s="480"/>
      <c r="Y1657" s="483">
        <f t="shared" si="17"/>
        <v>0</v>
      </c>
      <c r="Z1657" s="484"/>
      <c r="AA1657" s="485"/>
      <c r="AB1657" s="486"/>
      <c r="AC1657" s="486"/>
      <c r="AD1657" s="486"/>
      <c r="AE1657" s="487"/>
      <c r="AF1657" s="449"/>
      <c r="AG1657" s="449"/>
      <c r="AH1657" s="449"/>
    </row>
    <row r="1658" ht="11.25" customHeight="1">
      <c r="A1658" s="431" t="str">
        <f>IF(B1658="","", YEAR(B1658))</f>
        <v/>
      </c>
      <c r="B1658" s="432"/>
      <c r="C1658" s="433"/>
      <c r="D1658" s="433"/>
      <c r="E1658" s="434" t="str">
        <f t="shared" ref="E1658:I1658" si="836">IFERROR(AVERAGE(L1658:L1661),"")</f>
        <v/>
      </c>
      <c r="F1658" s="434" t="str">
        <f t="shared" si="836"/>
        <v/>
      </c>
      <c r="G1658" s="435" t="str">
        <f t="shared" si="836"/>
        <v/>
      </c>
      <c r="H1658" s="435" t="str">
        <f t="shared" si="836"/>
        <v/>
      </c>
      <c r="I1658" s="436" t="str">
        <f t="shared" si="836"/>
        <v/>
      </c>
      <c r="J1658" s="437">
        <f>SUMIFS(PRODUCTION[KG],PRODUCTION[GRADE],"3X50",PRODUCTION[DATE],B1658,PRODUCTION[BATCH],C1658,PRODUCTION[SHIFT],D1658)</f>
        <v>0</v>
      </c>
      <c r="K1658" s="438" t="s">
        <v>1414</v>
      </c>
      <c r="L1658" s="443"/>
      <c r="M1658" s="440"/>
      <c r="N1658" s="441"/>
      <c r="O1658" s="441"/>
      <c r="P1658" s="442"/>
      <c r="Q1658" s="443"/>
      <c r="R1658" s="440"/>
      <c r="S1658" s="440"/>
      <c r="T1658" s="440"/>
      <c r="U1658" s="440"/>
      <c r="V1658" s="440"/>
      <c r="W1658" s="440"/>
      <c r="X1658" s="440"/>
      <c r="Y1658" s="444">
        <f t="shared" si="17"/>
        <v>0</v>
      </c>
      <c r="Z1658" s="445"/>
      <c r="AA1658" s="446">
        <f t="shared" ref="AA1658:AE1658" si="837">$J1658*E1658</f>
        <v>0</v>
      </c>
      <c r="AB1658" s="447">
        <f t="shared" si="837"/>
        <v>0</v>
      </c>
      <c r="AC1658" s="447">
        <f t="shared" si="837"/>
        <v>0</v>
      </c>
      <c r="AD1658" s="447">
        <f t="shared" si="837"/>
        <v>0</v>
      </c>
      <c r="AE1658" s="448">
        <f t="shared" si="837"/>
        <v>0</v>
      </c>
      <c r="AF1658" s="449"/>
      <c r="AG1658" s="449"/>
      <c r="AH1658" s="449"/>
    </row>
    <row r="1659" ht="11.25" customHeight="1">
      <c r="A1659" s="450"/>
      <c r="B1659" s="451"/>
      <c r="C1659" s="452"/>
      <c r="D1659" s="452"/>
      <c r="E1659" s="453"/>
      <c r="F1659" s="453"/>
      <c r="G1659" s="454"/>
      <c r="H1659" s="454"/>
      <c r="I1659" s="455"/>
      <c r="J1659" s="456"/>
      <c r="K1659" s="457" t="s">
        <v>1416</v>
      </c>
      <c r="L1659" s="458"/>
      <c r="M1659" s="459"/>
      <c r="N1659" s="460"/>
      <c r="O1659" s="460"/>
      <c r="P1659" s="461"/>
      <c r="Q1659" s="458"/>
      <c r="R1659" s="459"/>
      <c r="S1659" s="459"/>
      <c r="T1659" s="459"/>
      <c r="U1659" s="459"/>
      <c r="V1659" s="459"/>
      <c r="W1659" s="459"/>
      <c r="X1659" s="459"/>
      <c r="Y1659" s="462">
        <f t="shared" si="17"/>
        <v>0</v>
      </c>
      <c r="Z1659" s="463"/>
      <c r="AA1659" s="464"/>
      <c r="AB1659" s="465"/>
      <c r="AC1659" s="465"/>
      <c r="AD1659" s="465"/>
      <c r="AE1659" s="466"/>
      <c r="AF1659" s="449"/>
      <c r="AG1659" s="449"/>
      <c r="AH1659" s="449"/>
    </row>
    <row r="1660" ht="11.25" customHeight="1">
      <c r="A1660" s="450"/>
      <c r="B1660" s="451"/>
      <c r="C1660" s="452"/>
      <c r="D1660" s="452"/>
      <c r="E1660" s="453"/>
      <c r="F1660" s="453"/>
      <c r="G1660" s="454"/>
      <c r="H1660" s="454"/>
      <c r="I1660" s="455"/>
      <c r="J1660" s="456"/>
      <c r="K1660" s="467" t="s">
        <v>1417</v>
      </c>
      <c r="L1660" s="468"/>
      <c r="M1660" s="469"/>
      <c r="N1660" s="470"/>
      <c r="O1660" s="470"/>
      <c r="P1660" s="471"/>
      <c r="Q1660" s="468"/>
      <c r="R1660" s="469"/>
      <c r="S1660" s="469"/>
      <c r="T1660" s="469"/>
      <c r="U1660" s="469"/>
      <c r="V1660" s="469"/>
      <c r="W1660" s="469"/>
      <c r="X1660" s="469"/>
      <c r="Y1660" s="462">
        <f t="shared" si="17"/>
        <v>0</v>
      </c>
      <c r="Z1660" s="463"/>
      <c r="AA1660" s="464"/>
      <c r="AB1660" s="465"/>
      <c r="AC1660" s="465"/>
      <c r="AD1660" s="465"/>
      <c r="AE1660" s="466"/>
      <c r="AF1660" s="449"/>
      <c r="AG1660" s="449"/>
      <c r="AH1660" s="449"/>
    </row>
    <row r="1661" ht="11.25" customHeight="1">
      <c r="A1661" s="450"/>
      <c r="B1661" s="472"/>
      <c r="C1661" s="473"/>
      <c r="D1661" s="473"/>
      <c r="E1661" s="474"/>
      <c r="F1661" s="474"/>
      <c r="G1661" s="475"/>
      <c r="H1661" s="475"/>
      <c r="I1661" s="476"/>
      <c r="J1661" s="477"/>
      <c r="K1661" s="478" t="s">
        <v>1418</v>
      </c>
      <c r="L1661" s="479"/>
      <c r="M1661" s="480"/>
      <c r="N1661" s="481"/>
      <c r="O1661" s="481"/>
      <c r="P1661" s="482"/>
      <c r="Q1661" s="479"/>
      <c r="R1661" s="480"/>
      <c r="S1661" s="480"/>
      <c r="T1661" s="480"/>
      <c r="U1661" s="480"/>
      <c r="V1661" s="480"/>
      <c r="W1661" s="480"/>
      <c r="X1661" s="480"/>
      <c r="Y1661" s="483">
        <f t="shared" si="17"/>
        <v>0</v>
      </c>
      <c r="Z1661" s="484"/>
      <c r="AA1661" s="485"/>
      <c r="AB1661" s="486"/>
      <c r="AC1661" s="486"/>
      <c r="AD1661" s="486"/>
      <c r="AE1661" s="487"/>
      <c r="AF1661" s="449"/>
      <c r="AG1661" s="449"/>
      <c r="AH1661" s="449"/>
    </row>
    <row r="1662" ht="11.25" customHeight="1">
      <c r="A1662" s="431" t="str">
        <f>IF(B1662="","", YEAR(B1662))</f>
        <v/>
      </c>
      <c r="B1662" s="432"/>
      <c r="C1662" s="433"/>
      <c r="D1662" s="433"/>
      <c r="E1662" s="434" t="str">
        <f t="shared" ref="E1662:I1662" si="838">IFERROR(AVERAGE(L1662:L1665),"")</f>
        <v/>
      </c>
      <c r="F1662" s="434" t="str">
        <f t="shared" si="838"/>
        <v/>
      </c>
      <c r="G1662" s="435" t="str">
        <f t="shared" si="838"/>
        <v/>
      </c>
      <c r="H1662" s="435" t="str">
        <f t="shared" si="838"/>
        <v/>
      </c>
      <c r="I1662" s="436" t="str">
        <f t="shared" si="838"/>
        <v/>
      </c>
      <c r="J1662" s="437">
        <f>SUMIFS(PRODUCTION[KG],PRODUCTION[GRADE],"3X50",PRODUCTION[DATE],B1662,PRODUCTION[BATCH],C1662,PRODUCTION[SHIFT],D1662)</f>
        <v>0</v>
      </c>
      <c r="K1662" s="438" t="s">
        <v>1414</v>
      </c>
      <c r="L1662" s="443"/>
      <c r="M1662" s="440"/>
      <c r="N1662" s="441"/>
      <c r="O1662" s="441"/>
      <c r="P1662" s="442"/>
      <c r="Q1662" s="443"/>
      <c r="R1662" s="440"/>
      <c r="S1662" s="440"/>
      <c r="T1662" s="440"/>
      <c r="U1662" s="440"/>
      <c r="V1662" s="440"/>
      <c r="W1662" s="440"/>
      <c r="X1662" s="440"/>
      <c r="Y1662" s="444">
        <f t="shared" si="17"/>
        <v>0</v>
      </c>
      <c r="Z1662" s="445"/>
      <c r="AA1662" s="446">
        <f t="shared" ref="AA1662:AE1662" si="839">$J1662*E1662</f>
        <v>0</v>
      </c>
      <c r="AB1662" s="447">
        <f t="shared" si="839"/>
        <v>0</v>
      </c>
      <c r="AC1662" s="447">
        <f t="shared" si="839"/>
        <v>0</v>
      </c>
      <c r="AD1662" s="447">
        <f t="shared" si="839"/>
        <v>0</v>
      </c>
      <c r="AE1662" s="448">
        <f t="shared" si="839"/>
        <v>0</v>
      </c>
      <c r="AF1662" s="449"/>
      <c r="AG1662" s="449"/>
      <c r="AH1662" s="449"/>
    </row>
    <row r="1663" ht="11.25" customHeight="1">
      <c r="A1663" s="450"/>
      <c r="B1663" s="451"/>
      <c r="C1663" s="452"/>
      <c r="D1663" s="452"/>
      <c r="E1663" s="453"/>
      <c r="F1663" s="453"/>
      <c r="G1663" s="454"/>
      <c r="H1663" s="454"/>
      <c r="I1663" s="455"/>
      <c r="J1663" s="456"/>
      <c r="K1663" s="457" t="s">
        <v>1416</v>
      </c>
      <c r="L1663" s="458"/>
      <c r="M1663" s="459"/>
      <c r="N1663" s="460"/>
      <c r="O1663" s="460"/>
      <c r="P1663" s="461"/>
      <c r="Q1663" s="458"/>
      <c r="R1663" s="459"/>
      <c r="S1663" s="459"/>
      <c r="T1663" s="459"/>
      <c r="U1663" s="459"/>
      <c r="V1663" s="459"/>
      <c r="W1663" s="459"/>
      <c r="X1663" s="459"/>
      <c r="Y1663" s="462">
        <f t="shared" si="17"/>
        <v>0</v>
      </c>
      <c r="Z1663" s="463"/>
      <c r="AA1663" s="464"/>
      <c r="AB1663" s="465"/>
      <c r="AC1663" s="465"/>
      <c r="AD1663" s="465"/>
      <c r="AE1663" s="466"/>
      <c r="AF1663" s="449"/>
      <c r="AG1663" s="449"/>
      <c r="AH1663" s="449"/>
    </row>
    <row r="1664" ht="11.25" customHeight="1">
      <c r="A1664" s="450"/>
      <c r="B1664" s="451"/>
      <c r="C1664" s="452"/>
      <c r="D1664" s="452"/>
      <c r="E1664" s="453"/>
      <c r="F1664" s="453"/>
      <c r="G1664" s="454"/>
      <c r="H1664" s="454"/>
      <c r="I1664" s="455"/>
      <c r="J1664" s="456"/>
      <c r="K1664" s="467" t="s">
        <v>1417</v>
      </c>
      <c r="L1664" s="468"/>
      <c r="M1664" s="469"/>
      <c r="N1664" s="470"/>
      <c r="O1664" s="470"/>
      <c r="P1664" s="471"/>
      <c r="Q1664" s="468"/>
      <c r="R1664" s="469"/>
      <c r="S1664" s="469"/>
      <c r="T1664" s="469"/>
      <c r="U1664" s="469"/>
      <c r="V1664" s="469"/>
      <c r="W1664" s="469"/>
      <c r="X1664" s="469"/>
      <c r="Y1664" s="462">
        <f t="shared" si="17"/>
        <v>0</v>
      </c>
      <c r="Z1664" s="463"/>
      <c r="AA1664" s="464"/>
      <c r="AB1664" s="465"/>
      <c r="AC1664" s="465"/>
      <c r="AD1664" s="465"/>
      <c r="AE1664" s="466"/>
      <c r="AF1664" s="449"/>
      <c r="AG1664" s="449"/>
      <c r="AH1664" s="449"/>
    </row>
    <row r="1665" ht="11.25" customHeight="1">
      <c r="A1665" s="450"/>
      <c r="B1665" s="472"/>
      <c r="C1665" s="473"/>
      <c r="D1665" s="473"/>
      <c r="E1665" s="474"/>
      <c r="F1665" s="474"/>
      <c r="G1665" s="475"/>
      <c r="H1665" s="475"/>
      <c r="I1665" s="476"/>
      <c r="J1665" s="477"/>
      <c r="K1665" s="478" t="s">
        <v>1418</v>
      </c>
      <c r="L1665" s="479"/>
      <c r="M1665" s="480"/>
      <c r="N1665" s="481"/>
      <c r="O1665" s="481"/>
      <c r="P1665" s="482"/>
      <c r="Q1665" s="479"/>
      <c r="R1665" s="480"/>
      <c r="S1665" s="480"/>
      <c r="T1665" s="480"/>
      <c r="U1665" s="480"/>
      <c r="V1665" s="480"/>
      <c r="W1665" s="480"/>
      <c r="X1665" s="480"/>
      <c r="Y1665" s="483">
        <f t="shared" si="17"/>
        <v>0</v>
      </c>
      <c r="Z1665" s="484"/>
      <c r="AA1665" s="485"/>
      <c r="AB1665" s="486"/>
      <c r="AC1665" s="486"/>
      <c r="AD1665" s="486"/>
      <c r="AE1665" s="487"/>
      <c r="AF1665" s="449"/>
      <c r="AG1665" s="449"/>
      <c r="AH1665" s="449"/>
    </row>
    <row r="1666" ht="11.25" customHeight="1">
      <c r="A1666" s="431" t="str">
        <f>IF(B1666="","", YEAR(B1666))</f>
        <v/>
      </c>
      <c r="B1666" s="432"/>
      <c r="C1666" s="433"/>
      <c r="D1666" s="433"/>
      <c r="E1666" s="434" t="str">
        <f t="shared" ref="E1666:I1666" si="840">IFERROR(AVERAGE(L1666:L1669),"")</f>
        <v/>
      </c>
      <c r="F1666" s="434" t="str">
        <f t="shared" si="840"/>
        <v/>
      </c>
      <c r="G1666" s="435" t="str">
        <f t="shared" si="840"/>
        <v/>
      </c>
      <c r="H1666" s="435" t="str">
        <f t="shared" si="840"/>
        <v/>
      </c>
      <c r="I1666" s="436" t="str">
        <f t="shared" si="840"/>
        <v/>
      </c>
      <c r="J1666" s="437">
        <f>SUMIFS(PRODUCTION[KG],PRODUCTION[GRADE],"3X50",PRODUCTION[DATE],B1666,PRODUCTION[BATCH],C1666,PRODUCTION[SHIFT],D1666)</f>
        <v>0</v>
      </c>
      <c r="K1666" s="438" t="s">
        <v>1414</v>
      </c>
      <c r="L1666" s="443"/>
      <c r="M1666" s="440"/>
      <c r="N1666" s="441"/>
      <c r="O1666" s="441"/>
      <c r="P1666" s="442"/>
      <c r="Q1666" s="443"/>
      <c r="R1666" s="440"/>
      <c r="S1666" s="440"/>
      <c r="T1666" s="440"/>
      <c r="U1666" s="440"/>
      <c r="V1666" s="440"/>
      <c r="W1666" s="440"/>
      <c r="X1666" s="440"/>
      <c r="Y1666" s="444">
        <f t="shared" si="17"/>
        <v>0</v>
      </c>
      <c r="Z1666" s="445"/>
      <c r="AA1666" s="446">
        <f t="shared" ref="AA1666:AE1666" si="841">$J1666*E1666</f>
        <v>0</v>
      </c>
      <c r="AB1666" s="447">
        <f t="shared" si="841"/>
        <v>0</v>
      </c>
      <c r="AC1666" s="447">
        <f t="shared" si="841"/>
        <v>0</v>
      </c>
      <c r="AD1666" s="447">
        <f t="shared" si="841"/>
        <v>0</v>
      </c>
      <c r="AE1666" s="448">
        <f t="shared" si="841"/>
        <v>0</v>
      </c>
      <c r="AF1666" s="449"/>
      <c r="AG1666" s="449"/>
      <c r="AH1666" s="449"/>
    </row>
    <row r="1667" ht="11.25" customHeight="1">
      <c r="A1667" s="450"/>
      <c r="B1667" s="451"/>
      <c r="C1667" s="452"/>
      <c r="D1667" s="452"/>
      <c r="E1667" s="453"/>
      <c r="F1667" s="453"/>
      <c r="G1667" s="454"/>
      <c r="H1667" s="454"/>
      <c r="I1667" s="455"/>
      <c r="J1667" s="456"/>
      <c r="K1667" s="457" t="s">
        <v>1416</v>
      </c>
      <c r="L1667" s="458"/>
      <c r="M1667" s="459"/>
      <c r="N1667" s="460"/>
      <c r="O1667" s="460"/>
      <c r="P1667" s="461"/>
      <c r="Q1667" s="458"/>
      <c r="R1667" s="459"/>
      <c r="S1667" s="459"/>
      <c r="T1667" s="459"/>
      <c r="U1667" s="459"/>
      <c r="V1667" s="459"/>
      <c r="W1667" s="459"/>
      <c r="X1667" s="459"/>
      <c r="Y1667" s="462">
        <f t="shared" si="17"/>
        <v>0</v>
      </c>
      <c r="Z1667" s="463"/>
      <c r="AA1667" s="464"/>
      <c r="AB1667" s="465"/>
      <c r="AC1667" s="465"/>
      <c r="AD1667" s="465"/>
      <c r="AE1667" s="466"/>
      <c r="AF1667" s="449"/>
      <c r="AG1667" s="449"/>
      <c r="AH1667" s="449"/>
    </row>
    <row r="1668" ht="11.25" customHeight="1">
      <c r="A1668" s="450"/>
      <c r="B1668" s="451"/>
      <c r="C1668" s="452"/>
      <c r="D1668" s="452"/>
      <c r="E1668" s="453"/>
      <c r="F1668" s="453"/>
      <c r="G1668" s="454"/>
      <c r="H1668" s="454"/>
      <c r="I1668" s="455"/>
      <c r="J1668" s="456"/>
      <c r="K1668" s="467" t="s">
        <v>1417</v>
      </c>
      <c r="L1668" s="468"/>
      <c r="M1668" s="469"/>
      <c r="N1668" s="470"/>
      <c r="O1668" s="470"/>
      <c r="P1668" s="471"/>
      <c r="Q1668" s="468"/>
      <c r="R1668" s="469"/>
      <c r="S1668" s="469"/>
      <c r="T1668" s="469"/>
      <c r="U1668" s="469"/>
      <c r="V1668" s="469"/>
      <c r="W1668" s="469"/>
      <c r="X1668" s="469"/>
      <c r="Y1668" s="462">
        <f t="shared" si="17"/>
        <v>0</v>
      </c>
      <c r="Z1668" s="463"/>
      <c r="AA1668" s="464"/>
      <c r="AB1668" s="465"/>
      <c r="AC1668" s="465"/>
      <c r="AD1668" s="465"/>
      <c r="AE1668" s="466"/>
      <c r="AF1668" s="449"/>
      <c r="AG1668" s="449"/>
      <c r="AH1668" s="449"/>
    </row>
    <row r="1669" ht="11.25" customHeight="1">
      <c r="A1669" s="450"/>
      <c r="B1669" s="472"/>
      <c r="C1669" s="473"/>
      <c r="D1669" s="473"/>
      <c r="E1669" s="474"/>
      <c r="F1669" s="474"/>
      <c r="G1669" s="475"/>
      <c r="H1669" s="475"/>
      <c r="I1669" s="476"/>
      <c r="J1669" s="477"/>
      <c r="K1669" s="478" t="s">
        <v>1418</v>
      </c>
      <c r="L1669" s="479"/>
      <c r="M1669" s="480"/>
      <c r="N1669" s="481"/>
      <c r="O1669" s="481"/>
      <c r="P1669" s="482"/>
      <c r="Q1669" s="479"/>
      <c r="R1669" s="480"/>
      <c r="S1669" s="480"/>
      <c r="T1669" s="480"/>
      <c r="U1669" s="480"/>
      <c r="V1669" s="480"/>
      <c r="W1669" s="480"/>
      <c r="X1669" s="480"/>
      <c r="Y1669" s="483">
        <f t="shared" si="17"/>
        <v>0</v>
      </c>
      <c r="Z1669" s="484"/>
      <c r="AA1669" s="485"/>
      <c r="AB1669" s="486"/>
      <c r="AC1669" s="486"/>
      <c r="AD1669" s="486"/>
      <c r="AE1669" s="487"/>
      <c r="AF1669" s="449"/>
      <c r="AG1669" s="449"/>
      <c r="AH1669" s="449"/>
    </row>
    <row r="1670" ht="11.25" customHeight="1">
      <c r="A1670" s="431" t="str">
        <f>IF(B1670="","", YEAR(B1670))</f>
        <v/>
      </c>
      <c r="B1670" s="432"/>
      <c r="C1670" s="433"/>
      <c r="D1670" s="433"/>
      <c r="E1670" s="434" t="str">
        <f t="shared" ref="E1670:I1670" si="842">IFERROR(AVERAGE(L1670:L1673),"")</f>
        <v/>
      </c>
      <c r="F1670" s="434" t="str">
        <f t="shared" si="842"/>
        <v/>
      </c>
      <c r="G1670" s="435" t="str">
        <f t="shared" si="842"/>
        <v/>
      </c>
      <c r="H1670" s="435" t="str">
        <f t="shared" si="842"/>
        <v/>
      </c>
      <c r="I1670" s="436" t="str">
        <f t="shared" si="842"/>
        <v/>
      </c>
      <c r="J1670" s="437">
        <f>SUMIFS(PRODUCTION[KG],PRODUCTION[GRADE],"3X50",PRODUCTION[DATE],B1670,PRODUCTION[BATCH],C1670,PRODUCTION[SHIFT],D1670)</f>
        <v>0</v>
      </c>
      <c r="K1670" s="438" t="s">
        <v>1414</v>
      </c>
      <c r="L1670" s="443"/>
      <c r="M1670" s="440"/>
      <c r="N1670" s="441"/>
      <c r="O1670" s="441"/>
      <c r="P1670" s="442"/>
      <c r="Q1670" s="443"/>
      <c r="R1670" s="440"/>
      <c r="S1670" s="440"/>
      <c r="T1670" s="440"/>
      <c r="U1670" s="440"/>
      <c r="V1670" s="440"/>
      <c r="W1670" s="440"/>
      <c r="X1670" s="440"/>
      <c r="Y1670" s="444">
        <f t="shared" si="17"/>
        <v>0</v>
      </c>
      <c r="Z1670" s="445"/>
      <c r="AA1670" s="446">
        <f t="shared" ref="AA1670:AE1670" si="843">$J1670*E1670</f>
        <v>0</v>
      </c>
      <c r="AB1670" s="447">
        <f t="shared" si="843"/>
        <v>0</v>
      </c>
      <c r="AC1670" s="447">
        <f t="shared" si="843"/>
        <v>0</v>
      </c>
      <c r="AD1670" s="447">
        <f t="shared" si="843"/>
        <v>0</v>
      </c>
      <c r="AE1670" s="448">
        <f t="shared" si="843"/>
        <v>0</v>
      </c>
      <c r="AF1670" s="449"/>
      <c r="AG1670" s="449"/>
      <c r="AH1670" s="449"/>
    </row>
    <row r="1671" ht="11.25" customHeight="1">
      <c r="A1671" s="450"/>
      <c r="B1671" s="451"/>
      <c r="C1671" s="452"/>
      <c r="D1671" s="452"/>
      <c r="E1671" s="453"/>
      <c r="F1671" s="453"/>
      <c r="G1671" s="454"/>
      <c r="H1671" s="454"/>
      <c r="I1671" s="455"/>
      <c r="J1671" s="456"/>
      <c r="K1671" s="457" t="s">
        <v>1416</v>
      </c>
      <c r="L1671" s="458"/>
      <c r="M1671" s="459"/>
      <c r="N1671" s="460"/>
      <c r="O1671" s="460"/>
      <c r="P1671" s="461"/>
      <c r="Q1671" s="458"/>
      <c r="R1671" s="459"/>
      <c r="S1671" s="459"/>
      <c r="T1671" s="459"/>
      <c r="U1671" s="459"/>
      <c r="V1671" s="459"/>
      <c r="W1671" s="459"/>
      <c r="X1671" s="459"/>
      <c r="Y1671" s="462">
        <f t="shared" si="17"/>
        <v>0</v>
      </c>
      <c r="Z1671" s="463"/>
      <c r="AA1671" s="464"/>
      <c r="AB1671" s="465"/>
      <c r="AC1671" s="465"/>
      <c r="AD1671" s="465"/>
      <c r="AE1671" s="466"/>
      <c r="AF1671" s="449"/>
      <c r="AG1671" s="449"/>
      <c r="AH1671" s="449"/>
    </row>
    <row r="1672" ht="11.25" customHeight="1">
      <c r="A1672" s="450"/>
      <c r="B1672" s="451"/>
      <c r="C1672" s="452"/>
      <c r="D1672" s="452"/>
      <c r="E1672" s="453"/>
      <c r="F1672" s="453"/>
      <c r="G1672" s="454"/>
      <c r="H1672" s="454"/>
      <c r="I1672" s="455"/>
      <c r="J1672" s="456"/>
      <c r="K1672" s="467" t="s">
        <v>1417</v>
      </c>
      <c r="L1672" s="468"/>
      <c r="M1672" s="469"/>
      <c r="N1672" s="470"/>
      <c r="O1672" s="470"/>
      <c r="P1672" s="471"/>
      <c r="Q1672" s="468"/>
      <c r="R1672" s="469"/>
      <c r="S1672" s="469"/>
      <c r="T1672" s="469"/>
      <c r="U1672" s="469"/>
      <c r="V1672" s="469"/>
      <c r="W1672" s="469"/>
      <c r="X1672" s="469"/>
      <c r="Y1672" s="462">
        <f t="shared" si="17"/>
        <v>0</v>
      </c>
      <c r="Z1672" s="463"/>
      <c r="AA1672" s="464"/>
      <c r="AB1672" s="465"/>
      <c r="AC1672" s="465"/>
      <c r="AD1672" s="465"/>
      <c r="AE1672" s="466"/>
      <c r="AF1672" s="449"/>
      <c r="AG1672" s="449"/>
      <c r="AH1672" s="449"/>
    </row>
    <row r="1673" ht="11.25" customHeight="1">
      <c r="A1673" s="450"/>
      <c r="B1673" s="472"/>
      <c r="C1673" s="473"/>
      <c r="D1673" s="473"/>
      <c r="E1673" s="474"/>
      <c r="F1673" s="474"/>
      <c r="G1673" s="475"/>
      <c r="H1673" s="475"/>
      <c r="I1673" s="476"/>
      <c r="J1673" s="477"/>
      <c r="K1673" s="478" t="s">
        <v>1418</v>
      </c>
      <c r="L1673" s="479"/>
      <c r="M1673" s="480"/>
      <c r="N1673" s="481"/>
      <c r="O1673" s="481"/>
      <c r="P1673" s="482"/>
      <c r="Q1673" s="479"/>
      <c r="R1673" s="480"/>
      <c r="S1673" s="480"/>
      <c r="T1673" s="480"/>
      <c r="U1673" s="480"/>
      <c r="V1673" s="480"/>
      <c r="W1673" s="480"/>
      <c r="X1673" s="480"/>
      <c r="Y1673" s="483">
        <f t="shared" si="17"/>
        <v>0</v>
      </c>
      <c r="Z1673" s="484"/>
      <c r="AA1673" s="485"/>
      <c r="AB1673" s="486"/>
      <c r="AC1673" s="486"/>
      <c r="AD1673" s="486"/>
      <c r="AE1673" s="487"/>
      <c r="AF1673" s="449"/>
      <c r="AG1673" s="449"/>
      <c r="AH1673" s="449"/>
    </row>
    <row r="1674" ht="11.25" customHeight="1">
      <c r="A1674" s="431" t="str">
        <f>IF(B1674="","", YEAR(B1674))</f>
        <v/>
      </c>
      <c r="B1674" s="432"/>
      <c r="C1674" s="433"/>
      <c r="D1674" s="433"/>
      <c r="E1674" s="434" t="str">
        <f t="shared" ref="E1674:I1674" si="844">IFERROR(AVERAGE(L1674:L1677),"")</f>
        <v/>
      </c>
      <c r="F1674" s="434" t="str">
        <f t="shared" si="844"/>
        <v/>
      </c>
      <c r="G1674" s="435" t="str">
        <f t="shared" si="844"/>
        <v/>
      </c>
      <c r="H1674" s="435" t="str">
        <f t="shared" si="844"/>
        <v/>
      </c>
      <c r="I1674" s="436" t="str">
        <f t="shared" si="844"/>
        <v/>
      </c>
      <c r="J1674" s="437">
        <f>SUMIFS(PRODUCTION[KG],PRODUCTION[GRADE],"3X50",PRODUCTION[DATE],B1674,PRODUCTION[BATCH],C1674,PRODUCTION[SHIFT],D1674)</f>
        <v>0</v>
      </c>
      <c r="K1674" s="438" t="s">
        <v>1414</v>
      </c>
      <c r="L1674" s="443"/>
      <c r="M1674" s="440"/>
      <c r="N1674" s="441"/>
      <c r="O1674" s="441"/>
      <c r="P1674" s="442"/>
      <c r="Q1674" s="443"/>
      <c r="R1674" s="440"/>
      <c r="S1674" s="440"/>
      <c r="T1674" s="440"/>
      <c r="U1674" s="440"/>
      <c r="V1674" s="440"/>
      <c r="W1674" s="440"/>
      <c r="X1674" s="440"/>
      <c r="Y1674" s="444">
        <f t="shared" si="17"/>
        <v>0</v>
      </c>
      <c r="Z1674" s="445"/>
      <c r="AA1674" s="446">
        <f t="shared" ref="AA1674:AE1674" si="845">$J1674*E1674</f>
        <v>0</v>
      </c>
      <c r="AB1674" s="447">
        <f t="shared" si="845"/>
        <v>0</v>
      </c>
      <c r="AC1674" s="447">
        <f t="shared" si="845"/>
        <v>0</v>
      </c>
      <c r="AD1674" s="447">
        <f t="shared" si="845"/>
        <v>0</v>
      </c>
      <c r="AE1674" s="448">
        <f t="shared" si="845"/>
        <v>0</v>
      </c>
      <c r="AF1674" s="449"/>
      <c r="AG1674" s="449"/>
      <c r="AH1674" s="449"/>
    </row>
    <row r="1675" ht="11.25" customHeight="1">
      <c r="A1675" s="450"/>
      <c r="B1675" s="451"/>
      <c r="C1675" s="452"/>
      <c r="D1675" s="452"/>
      <c r="E1675" s="453"/>
      <c r="F1675" s="453"/>
      <c r="G1675" s="454"/>
      <c r="H1675" s="454"/>
      <c r="I1675" s="455"/>
      <c r="J1675" s="456"/>
      <c r="K1675" s="457" t="s">
        <v>1416</v>
      </c>
      <c r="L1675" s="458"/>
      <c r="M1675" s="459"/>
      <c r="N1675" s="460"/>
      <c r="O1675" s="460"/>
      <c r="P1675" s="461"/>
      <c r="Q1675" s="458"/>
      <c r="R1675" s="459"/>
      <c r="S1675" s="459"/>
      <c r="T1675" s="459"/>
      <c r="U1675" s="459"/>
      <c r="V1675" s="459"/>
      <c r="W1675" s="459"/>
      <c r="X1675" s="459"/>
      <c r="Y1675" s="462">
        <f t="shared" si="17"/>
        <v>0</v>
      </c>
      <c r="Z1675" s="463"/>
      <c r="AA1675" s="464"/>
      <c r="AB1675" s="465"/>
      <c r="AC1675" s="465"/>
      <c r="AD1675" s="465"/>
      <c r="AE1675" s="466"/>
      <c r="AF1675" s="449"/>
      <c r="AG1675" s="449"/>
      <c r="AH1675" s="449"/>
    </row>
    <row r="1676" ht="11.25" customHeight="1">
      <c r="A1676" s="450"/>
      <c r="B1676" s="451"/>
      <c r="C1676" s="452"/>
      <c r="D1676" s="452"/>
      <c r="E1676" s="453"/>
      <c r="F1676" s="453"/>
      <c r="G1676" s="454"/>
      <c r="H1676" s="454"/>
      <c r="I1676" s="455"/>
      <c r="J1676" s="456"/>
      <c r="K1676" s="467" t="s">
        <v>1417</v>
      </c>
      <c r="L1676" s="468"/>
      <c r="M1676" s="469"/>
      <c r="N1676" s="470"/>
      <c r="O1676" s="470"/>
      <c r="P1676" s="471"/>
      <c r="Q1676" s="468"/>
      <c r="R1676" s="469"/>
      <c r="S1676" s="469"/>
      <c r="T1676" s="469"/>
      <c r="U1676" s="469"/>
      <c r="V1676" s="469"/>
      <c r="W1676" s="469"/>
      <c r="X1676" s="469"/>
      <c r="Y1676" s="462">
        <f t="shared" si="17"/>
        <v>0</v>
      </c>
      <c r="Z1676" s="463"/>
      <c r="AA1676" s="464"/>
      <c r="AB1676" s="465"/>
      <c r="AC1676" s="465"/>
      <c r="AD1676" s="465"/>
      <c r="AE1676" s="466"/>
      <c r="AF1676" s="449"/>
      <c r="AG1676" s="449"/>
      <c r="AH1676" s="449"/>
    </row>
    <row r="1677" ht="11.25" customHeight="1">
      <c r="A1677" s="450"/>
      <c r="B1677" s="472"/>
      <c r="C1677" s="473"/>
      <c r="D1677" s="473"/>
      <c r="E1677" s="474"/>
      <c r="F1677" s="474"/>
      <c r="G1677" s="475"/>
      <c r="H1677" s="475"/>
      <c r="I1677" s="476"/>
      <c r="J1677" s="477"/>
      <c r="K1677" s="478" t="s">
        <v>1418</v>
      </c>
      <c r="L1677" s="479"/>
      <c r="M1677" s="480"/>
      <c r="N1677" s="481"/>
      <c r="O1677" s="481"/>
      <c r="P1677" s="482"/>
      <c r="Q1677" s="479"/>
      <c r="R1677" s="480"/>
      <c r="S1677" s="480"/>
      <c r="T1677" s="480"/>
      <c r="U1677" s="480"/>
      <c r="V1677" s="480"/>
      <c r="W1677" s="480"/>
      <c r="X1677" s="480"/>
      <c r="Y1677" s="483">
        <f t="shared" si="17"/>
        <v>0</v>
      </c>
      <c r="Z1677" s="484"/>
      <c r="AA1677" s="485"/>
      <c r="AB1677" s="486"/>
      <c r="AC1677" s="486"/>
      <c r="AD1677" s="486"/>
      <c r="AE1677" s="487"/>
      <c r="AF1677" s="449"/>
      <c r="AG1677" s="449"/>
      <c r="AH1677" s="449"/>
    </row>
    <row r="1678" ht="11.25" customHeight="1">
      <c r="A1678" s="431" t="str">
        <f>IF(B1678="","", YEAR(B1678))</f>
        <v/>
      </c>
      <c r="B1678" s="432"/>
      <c r="C1678" s="433"/>
      <c r="D1678" s="433"/>
      <c r="E1678" s="434" t="str">
        <f t="shared" ref="E1678:I1678" si="846">IFERROR(AVERAGE(L1678:L1681),"")</f>
        <v/>
      </c>
      <c r="F1678" s="434" t="str">
        <f t="shared" si="846"/>
        <v/>
      </c>
      <c r="G1678" s="435" t="str">
        <f t="shared" si="846"/>
        <v/>
      </c>
      <c r="H1678" s="435" t="str">
        <f t="shared" si="846"/>
        <v/>
      </c>
      <c r="I1678" s="436" t="str">
        <f t="shared" si="846"/>
        <v/>
      </c>
      <c r="J1678" s="437">
        <f>SUMIFS(PRODUCTION[KG],PRODUCTION[GRADE],"3X50",PRODUCTION[DATE],B1678,PRODUCTION[BATCH],C1678,PRODUCTION[SHIFT],D1678)</f>
        <v>0</v>
      </c>
      <c r="K1678" s="438" t="s">
        <v>1414</v>
      </c>
      <c r="L1678" s="443"/>
      <c r="M1678" s="440"/>
      <c r="N1678" s="441"/>
      <c r="O1678" s="441"/>
      <c r="P1678" s="442"/>
      <c r="Q1678" s="443"/>
      <c r="R1678" s="440"/>
      <c r="S1678" s="440"/>
      <c r="T1678" s="440"/>
      <c r="U1678" s="440"/>
      <c r="V1678" s="440"/>
      <c r="W1678" s="440"/>
      <c r="X1678" s="440"/>
      <c r="Y1678" s="444">
        <f t="shared" si="17"/>
        <v>0</v>
      </c>
      <c r="Z1678" s="445"/>
      <c r="AA1678" s="446">
        <f t="shared" ref="AA1678:AE1678" si="847">$J1678*E1678</f>
        <v>0</v>
      </c>
      <c r="AB1678" s="447">
        <f t="shared" si="847"/>
        <v>0</v>
      </c>
      <c r="AC1678" s="447">
        <f t="shared" si="847"/>
        <v>0</v>
      </c>
      <c r="AD1678" s="447">
        <f t="shared" si="847"/>
        <v>0</v>
      </c>
      <c r="AE1678" s="448">
        <f t="shared" si="847"/>
        <v>0</v>
      </c>
      <c r="AF1678" s="449"/>
      <c r="AG1678" s="449"/>
      <c r="AH1678" s="449"/>
    </row>
    <row r="1679" ht="11.25" customHeight="1">
      <c r="A1679" s="450"/>
      <c r="B1679" s="451"/>
      <c r="C1679" s="452"/>
      <c r="D1679" s="452"/>
      <c r="E1679" s="453"/>
      <c r="F1679" s="453"/>
      <c r="G1679" s="454"/>
      <c r="H1679" s="454"/>
      <c r="I1679" s="455"/>
      <c r="J1679" s="456"/>
      <c r="K1679" s="457" t="s">
        <v>1416</v>
      </c>
      <c r="L1679" s="458"/>
      <c r="M1679" s="459"/>
      <c r="N1679" s="460"/>
      <c r="O1679" s="460"/>
      <c r="P1679" s="461"/>
      <c r="Q1679" s="458"/>
      <c r="R1679" s="459"/>
      <c r="S1679" s="459"/>
      <c r="T1679" s="459"/>
      <c r="U1679" s="459"/>
      <c r="V1679" s="459"/>
      <c r="W1679" s="459"/>
      <c r="X1679" s="459"/>
      <c r="Y1679" s="462">
        <f t="shared" si="17"/>
        <v>0</v>
      </c>
      <c r="Z1679" s="463"/>
      <c r="AA1679" s="464"/>
      <c r="AB1679" s="465"/>
      <c r="AC1679" s="465"/>
      <c r="AD1679" s="465"/>
      <c r="AE1679" s="466"/>
      <c r="AF1679" s="449"/>
      <c r="AG1679" s="449"/>
      <c r="AH1679" s="449"/>
    </row>
    <row r="1680" ht="11.25" customHeight="1">
      <c r="A1680" s="450"/>
      <c r="B1680" s="451"/>
      <c r="C1680" s="452"/>
      <c r="D1680" s="452"/>
      <c r="E1680" s="453"/>
      <c r="F1680" s="453"/>
      <c r="G1680" s="454"/>
      <c r="H1680" s="454"/>
      <c r="I1680" s="455"/>
      <c r="J1680" s="456"/>
      <c r="K1680" s="467" t="s">
        <v>1417</v>
      </c>
      <c r="L1680" s="468"/>
      <c r="M1680" s="469"/>
      <c r="N1680" s="470"/>
      <c r="O1680" s="470"/>
      <c r="P1680" s="471"/>
      <c r="Q1680" s="468"/>
      <c r="R1680" s="469"/>
      <c r="S1680" s="469"/>
      <c r="T1680" s="469"/>
      <c r="U1680" s="469"/>
      <c r="V1680" s="469"/>
      <c r="W1680" s="469"/>
      <c r="X1680" s="469"/>
      <c r="Y1680" s="462">
        <f t="shared" si="17"/>
        <v>0</v>
      </c>
      <c r="Z1680" s="463"/>
      <c r="AA1680" s="464"/>
      <c r="AB1680" s="465"/>
      <c r="AC1680" s="465"/>
      <c r="AD1680" s="465"/>
      <c r="AE1680" s="466"/>
      <c r="AF1680" s="449"/>
      <c r="AG1680" s="449"/>
      <c r="AH1680" s="449"/>
    </row>
    <row r="1681" ht="11.25" customHeight="1">
      <c r="A1681" s="450"/>
      <c r="B1681" s="472"/>
      <c r="C1681" s="473"/>
      <c r="D1681" s="473"/>
      <c r="E1681" s="474"/>
      <c r="F1681" s="474"/>
      <c r="G1681" s="475"/>
      <c r="H1681" s="475"/>
      <c r="I1681" s="476"/>
      <c r="J1681" s="477"/>
      <c r="K1681" s="478" t="s">
        <v>1418</v>
      </c>
      <c r="L1681" s="479"/>
      <c r="M1681" s="480"/>
      <c r="N1681" s="481"/>
      <c r="O1681" s="481"/>
      <c r="P1681" s="482"/>
      <c r="Q1681" s="479"/>
      <c r="R1681" s="480"/>
      <c r="S1681" s="480"/>
      <c r="T1681" s="480"/>
      <c r="U1681" s="480"/>
      <c r="V1681" s="480"/>
      <c r="W1681" s="480"/>
      <c r="X1681" s="480"/>
      <c r="Y1681" s="483">
        <f t="shared" si="17"/>
        <v>0</v>
      </c>
      <c r="Z1681" s="484"/>
      <c r="AA1681" s="485"/>
      <c r="AB1681" s="486"/>
      <c r="AC1681" s="486"/>
      <c r="AD1681" s="486"/>
      <c r="AE1681" s="487"/>
      <c r="AF1681" s="449"/>
      <c r="AG1681" s="449"/>
      <c r="AH1681" s="449"/>
    </row>
    <row r="1682" ht="11.25" customHeight="1">
      <c r="A1682" s="431" t="str">
        <f>IF(B1682="","", YEAR(B1682))</f>
        <v/>
      </c>
      <c r="B1682" s="432"/>
      <c r="C1682" s="433"/>
      <c r="D1682" s="433"/>
      <c r="E1682" s="434" t="str">
        <f t="shared" ref="E1682:I1682" si="848">IFERROR(AVERAGE(L1682:L1685),"")</f>
        <v/>
      </c>
      <c r="F1682" s="434" t="str">
        <f t="shared" si="848"/>
        <v/>
      </c>
      <c r="G1682" s="435" t="str">
        <f t="shared" si="848"/>
        <v/>
      </c>
      <c r="H1682" s="435" t="str">
        <f t="shared" si="848"/>
        <v/>
      </c>
      <c r="I1682" s="436" t="str">
        <f t="shared" si="848"/>
        <v/>
      </c>
      <c r="J1682" s="437">
        <f>SUMIFS(PRODUCTION[KG],PRODUCTION[GRADE],"3X50",PRODUCTION[DATE],B1682,PRODUCTION[BATCH],C1682,PRODUCTION[SHIFT],D1682)</f>
        <v>0</v>
      </c>
      <c r="K1682" s="438" t="s">
        <v>1414</v>
      </c>
      <c r="L1682" s="443"/>
      <c r="M1682" s="440"/>
      <c r="N1682" s="441"/>
      <c r="O1682" s="441"/>
      <c r="P1682" s="442"/>
      <c r="Q1682" s="443"/>
      <c r="R1682" s="440"/>
      <c r="S1682" s="440"/>
      <c r="T1682" s="440"/>
      <c r="U1682" s="440"/>
      <c r="V1682" s="440"/>
      <c r="W1682" s="440"/>
      <c r="X1682" s="440"/>
      <c r="Y1682" s="444">
        <f t="shared" si="17"/>
        <v>0</v>
      </c>
      <c r="Z1682" s="445"/>
      <c r="AA1682" s="446">
        <f t="shared" ref="AA1682:AE1682" si="849">$J1682*E1682</f>
        <v>0</v>
      </c>
      <c r="AB1682" s="447">
        <f t="shared" si="849"/>
        <v>0</v>
      </c>
      <c r="AC1682" s="447">
        <f t="shared" si="849"/>
        <v>0</v>
      </c>
      <c r="AD1682" s="447">
        <f t="shared" si="849"/>
        <v>0</v>
      </c>
      <c r="AE1682" s="448">
        <f t="shared" si="849"/>
        <v>0</v>
      </c>
      <c r="AF1682" s="449"/>
      <c r="AG1682" s="449"/>
      <c r="AH1682" s="449"/>
    </row>
    <row r="1683" ht="11.25" customHeight="1">
      <c r="A1683" s="450"/>
      <c r="B1683" s="451"/>
      <c r="C1683" s="452"/>
      <c r="D1683" s="452"/>
      <c r="E1683" s="453"/>
      <c r="F1683" s="453"/>
      <c r="G1683" s="454"/>
      <c r="H1683" s="454"/>
      <c r="I1683" s="455"/>
      <c r="J1683" s="456"/>
      <c r="K1683" s="457" t="s">
        <v>1416</v>
      </c>
      <c r="L1683" s="458"/>
      <c r="M1683" s="459"/>
      <c r="N1683" s="460"/>
      <c r="O1683" s="460"/>
      <c r="P1683" s="461"/>
      <c r="Q1683" s="458"/>
      <c r="R1683" s="459"/>
      <c r="S1683" s="459"/>
      <c r="T1683" s="459"/>
      <c r="U1683" s="459"/>
      <c r="V1683" s="459"/>
      <c r="W1683" s="459"/>
      <c r="X1683" s="459"/>
      <c r="Y1683" s="462">
        <f t="shared" si="17"/>
        <v>0</v>
      </c>
      <c r="Z1683" s="463"/>
      <c r="AA1683" s="464"/>
      <c r="AB1683" s="465"/>
      <c r="AC1683" s="465"/>
      <c r="AD1683" s="465"/>
      <c r="AE1683" s="466"/>
      <c r="AF1683" s="449"/>
      <c r="AG1683" s="449"/>
      <c r="AH1683" s="449"/>
    </row>
    <row r="1684" ht="11.25" customHeight="1">
      <c r="A1684" s="450"/>
      <c r="B1684" s="451"/>
      <c r="C1684" s="452"/>
      <c r="D1684" s="452"/>
      <c r="E1684" s="453"/>
      <c r="F1684" s="453"/>
      <c r="G1684" s="454"/>
      <c r="H1684" s="454"/>
      <c r="I1684" s="455"/>
      <c r="J1684" s="456"/>
      <c r="K1684" s="467" t="s">
        <v>1417</v>
      </c>
      <c r="L1684" s="468"/>
      <c r="M1684" s="469"/>
      <c r="N1684" s="470"/>
      <c r="O1684" s="470"/>
      <c r="P1684" s="471"/>
      <c r="Q1684" s="468"/>
      <c r="R1684" s="469"/>
      <c r="S1684" s="469"/>
      <c r="T1684" s="469"/>
      <c r="U1684" s="469"/>
      <c r="V1684" s="469"/>
      <c r="W1684" s="469"/>
      <c r="X1684" s="469"/>
      <c r="Y1684" s="462">
        <f t="shared" si="17"/>
        <v>0</v>
      </c>
      <c r="Z1684" s="463"/>
      <c r="AA1684" s="464"/>
      <c r="AB1684" s="465"/>
      <c r="AC1684" s="465"/>
      <c r="AD1684" s="465"/>
      <c r="AE1684" s="466"/>
      <c r="AF1684" s="449"/>
      <c r="AG1684" s="449"/>
      <c r="AH1684" s="449"/>
    </row>
    <row r="1685" ht="11.25" customHeight="1">
      <c r="A1685" s="450"/>
      <c r="B1685" s="472"/>
      <c r="C1685" s="473"/>
      <c r="D1685" s="473"/>
      <c r="E1685" s="474"/>
      <c r="F1685" s="474"/>
      <c r="G1685" s="475"/>
      <c r="H1685" s="475"/>
      <c r="I1685" s="476"/>
      <c r="J1685" s="477"/>
      <c r="K1685" s="478" t="s">
        <v>1418</v>
      </c>
      <c r="L1685" s="479"/>
      <c r="M1685" s="480"/>
      <c r="N1685" s="481"/>
      <c r="O1685" s="481"/>
      <c r="P1685" s="482"/>
      <c r="Q1685" s="479"/>
      <c r="R1685" s="480"/>
      <c r="S1685" s="480"/>
      <c r="T1685" s="480"/>
      <c r="U1685" s="480"/>
      <c r="V1685" s="480"/>
      <c r="W1685" s="480"/>
      <c r="X1685" s="480"/>
      <c r="Y1685" s="483">
        <f t="shared" si="17"/>
        <v>0</v>
      </c>
      <c r="Z1685" s="484"/>
      <c r="AA1685" s="485"/>
      <c r="AB1685" s="486"/>
      <c r="AC1685" s="486"/>
      <c r="AD1685" s="486"/>
      <c r="AE1685" s="487"/>
      <c r="AF1685" s="449"/>
      <c r="AG1685" s="449"/>
      <c r="AH1685" s="449"/>
    </row>
    <row r="1686" ht="11.25" customHeight="1">
      <c r="A1686" s="431" t="str">
        <f>IF(B1686="","", YEAR(B1686))</f>
        <v/>
      </c>
      <c r="B1686" s="432"/>
      <c r="C1686" s="433"/>
      <c r="D1686" s="433"/>
      <c r="E1686" s="434" t="str">
        <f t="shared" ref="E1686:I1686" si="850">IFERROR(AVERAGE(L1686:L1689),"")</f>
        <v/>
      </c>
      <c r="F1686" s="434" t="str">
        <f t="shared" si="850"/>
        <v/>
      </c>
      <c r="G1686" s="435" t="str">
        <f t="shared" si="850"/>
        <v/>
      </c>
      <c r="H1686" s="435" t="str">
        <f t="shared" si="850"/>
        <v/>
      </c>
      <c r="I1686" s="436" t="str">
        <f t="shared" si="850"/>
        <v/>
      </c>
      <c r="J1686" s="437">
        <f>SUMIFS(PRODUCTION[KG],PRODUCTION[GRADE],"3X50",PRODUCTION[DATE],B1686,PRODUCTION[BATCH],C1686,PRODUCTION[SHIFT],D1686)</f>
        <v>0</v>
      </c>
      <c r="K1686" s="438" t="s">
        <v>1414</v>
      </c>
      <c r="L1686" s="443"/>
      <c r="M1686" s="440"/>
      <c r="N1686" s="441"/>
      <c r="O1686" s="441"/>
      <c r="P1686" s="442"/>
      <c r="Q1686" s="443"/>
      <c r="R1686" s="440"/>
      <c r="S1686" s="440"/>
      <c r="T1686" s="440"/>
      <c r="U1686" s="440"/>
      <c r="V1686" s="440"/>
      <c r="W1686" s="440"/>
      <c r="X1686" s="440"/>
      <c r="Y1686" s="444">
        <f t="shared" si="17"/>
        <v>0</v>
      </c>
      <c r="Z1686" s="445"/>
      <c r="AA1686" s="446">
        <f t="shared" ref="AA1686:AE1686" si="851">$J1686*E1686</f>
        <v>0</v>
      </c>
      <c r="AB1686" s="447">
        <f t="shared" si="851"/>
        <v>0</v>
      </c>
      <c r="AC1686" s="447">
        <f t="shared" si="851"/>
        <v>0</v>
      </c>
      <c r="AD1686" s="447">
        <f t="shared" si="851"/>
        <v>0</v>
      </c>
      <c r="AE1686" s="448">
        <f t="shared" si="851"/>
        <v>0</v>
      </c>
      <c r="AF1686" s="449"/>
      <c r="AG1686" s="449"/>
      <c r="AH1686" s="449"/>
    </row>
    <row r="1687" ht="11.25" customHeight="1">
      <c r="A1687" s="450"/>
      <c r="B1687" s="451"/>
      <c r="C1687" s="452"/>
      <c r="D1687" s="452"/>
      <c r="E1687" s="453"/>
      <c r="F1687" s="453"/>
      <c r="G1687" s="454"/>
      <c r="H1687" s="454"/>
      <c r="I1687" s="455"/>
      <c r="J1687" s="456"/>
      <c r="K1687" s="457" t="s">
        <v>1416</v>
      </c>
      <c r="L1687" s="458"/>
      <c r="M1687" s="459"/>
      <c r="N1687" s="460"/>
      <c r="O1687" s="460"/>
      <c r="P1687" s="461"/>
      <c r="Q1687" s="458"/>
      <c r="R1687" s="459"/>
      <c r="S1687" s="459"/>
      <c r="T1687" s="459"/>
      <c r="U1687" s="459"/>
      <c r="V1687" s="459"/>
      <c r="W1687" s="459"/>
      <c r="X1687" s="459"/>
      <c r="Y1687" s="462">
        <f t="shared" si="17"/>
        <v>0</v>
      </c>
      <c r="Z1687" s="463"/>
      <c r="AA1687" s="464"/>
      <c r="AB1687" s="465"/>
      <c r="AC1687" s="465"/>
      <c r="AD1687" s="465"/>
      <c r="AE1687" s="466"/>
      <c r="AF1687" s="449"/>
      <c r="AG1687" s="449"/>
      <c r="AH1687" s="449"/>
    </row>
    <row r="1688" ht="11.25" customHeight="1">
      <c r="A1688" s="450"/>
      <c r="B1688" s="451"/>
      <c r="C1688" s="452"/>
      <c r="D1688" s="452"/>
      <c r="E1688" s="453"/>
      <c r="F1688" s="453"/>
      <c r="G1688" s="454"/>
      <c r="H1688" s="454"/>
      <c r="I1688" s="455"/>
      <c r="J1688" s="456"/>
      <c r="K1688" s="467" t="s">
        <v>1417</v>
      </c>
      <c r="L1688" s="468"/>
      <c r="M1688" s="469"/>
      <c r="N1688" s="470"/>
      <c r="O1688" s="470"/>
      <c r="P1688" s="471"/>
      <c r="Q1688" s="468"/>
      <c r="R1688" s="469"/>
      <c r="S1688" s="469"/>
      <c r="T1688" s="469"/>
      <c r="U1688" s="469"/>
      <c r="V1688" s="469"/>
      <c r="W1688" s="469"/>
      <c r="X1688" s="469"/>
      <c r="Y1688" s="462">
        <f t="shared" si="17"/>
        <v>0</v>
      </c>
      <c r="Z1688" s="463"/>
      <c r="AA1688" s="464"/>
      <c r="AB1688" s="465"/>
      <c r="AC1688" s="465"/>
      <c r="AD1688" s="465"/>
      <c r="AE1688" s="466"/>
      <c r="AF1688" s="449"/>
      <c r="AG1688" s="449"/>
      <c r="AH1688" s="449"/>
    </row>
    <row r="1689" ht="11.25" customHeight="1">
      <c r="A1689" s="450"/>
      <c r="B1689" s="472"/>
      <c r="C1689" s="473"/>
      <c r="D1689" s="473"/>
      <c r="E1689" s="474"/>
      <c r="F1689" s="474"/>
      <c r="G1689" s="475"/>
      <c r="H1689" s="475"/>
      <c r="I1689" s="476"/>
      <c r="J1689" s="477"/>
      <c r="K1689" s="478" t="s">
        <v>1418</v>
      </c>
      <c r="L1689" s="479"/>
      <c r="M1689" s="480"/>
      <c r="N1689" s="481"/>
      <c r="O1689" s="481"/>
      <c r="P1689" s="482"/>
      <c r="Q1689" s="479"/>
      <c r="R1689" s="480"/>
      <c r="S1689" s="480"/>
      <c r="T1689" s="480"/>
      <c r="U1689" s="480"/>
      <c r="V1689" s="480"/>
      <c r="W1689" s="480"/>
      <c r="X1689" s="480"/>
      <c r="Y1689" s="483">
        <f t="shared" si="17"/>
        <v>0</v>
      </c>
      <c r="Z1689" s="484"/>
      <c r="AA1689" s="485"/>
      <c r="AB1689" s="486"/>
      <c r="AC1689" s="486"/>
      <c r="AD1689" s="486"/>
      <c r="AE1689" s="487"/>
      <c r="AF1689" s="449"/>
      <c r="AG1689" s="449"/>
      <c r="AH1689" s="449"/>
    </row>
    <row r="1690" ht="11.25" customHeight="1">
      <c r="A1690" s="431" t="str">
        <f>IF(B1690="","", YEAR(B1690))</f>
        <v/>
      </c>
      <c r="B1690" s="432"/>
      <c r="C1690" s="433"/>
      <c r="D1690" s="433"/>
      <c r="E1690" s="434" t="str">
        <f t="shared" ref="E1690:I1690" si="852">IFERROR(AVERAGE(L1690:L1693),"")</f>
        <v/>
      </c>
      <c r="F1690" s="434" t="str">
        <f t="shared" si="852"/>
        <v/>
      </c>
      <c r="G1690" s="435" t="str">
        <f t="shared" si="852"/>
        <v/>
      </c>
      <c r="H1690" s="435" t="str">
        <f t="shared" si="852"/>
        <v/>
      </c>
      <c r="I1690" s="436" t="str">
        <f t="shared" si="852"/>
        <v/>
      </c>
      <c r="J1690" s="437">
        <f>SUMIFS(PRODUCTION[KG],PRODUCTION[GRADE],"3X50",PRODUCTION[DATE],B1690,PRODUCTION[BATCH],C1690,PRODUCTION[SHIFT],D1690)</f>
        <v>0</v>
      </c>
      <c r="K1690" s="438" t="s">
        <v>1414</v>
      </c>
      <c r="L1690" s="443"/>
      <c r="M1690" s="440"/>
      <c r="N1690" s="441"/>
      <c r="O1690" s="441"/>
      <c r="P1690" s="442"/>
      <c r="Q1690" s="443"/>
      <c r="R1690" s="440"/>
      <c r="S1690" s="440"/>
      <c r="T1690" s="440"/>
      <c r="U1690" s="440"/>
      <c r="V1690" s="440"/>
      <c r="W1690" s="440"/>
      <c r="X1690" s="440"/>
      <c r="Y1690" s="444">
        <f t="shared" si="17"/>
        <v>0</v>
      </c>
      <c r="Z1690" s="445"/>
      <c r="AA1690" s="446">
        <f t="shared" ref="AA1690:AE1690" si="853">$J1690*E1690</f>
        <v>0</v>
      </c>
      <c r="AB1690" s="447">
        <f t="shared" si="853"/>
        <v>0</v>
      </c>
      <c r="AC1690" s="447">
        <f t="shared" si="853"/>
        <v>0</v>
      </c>
      <c r="AD1690" s="447">
        <f t="shared" si="853"/>
        <v>0</v>
      </c>
      <c r="AE1690" s="448">
        <f t="shared" si="853"/>
        <v>0</v>
      </c>
      <c r="AF1690" s="449"/>
      <c r="AG1690" s="449"/>
      <c r="AH1690" s="449"/>
    </row>
    <row r="1691" ht="11.25" customHeight="1">
      <c r="A1691" s="450"/>
      <c r="B1691" s="451"/>
      <c r="C1691" s="452"/>
      <c r="D1691" s="452"/>
      <c r="E1691" s="453"/>
      <c r="F1691" s="453"/>
      <c r="G1691" s="454"/>
      <c r="H1691" s="454"/>
      <c r="I1691" s="455"/>
      <c r="J1691" s="456"/>
      <c r="K1691" s="457" t="s">
        <v>1416</v>
      </c>
      <c r="L1691" s="458"/>
      <c r="M1691" s="459"/>
      <c r="N1691" s="460"/>
      <c r="O1691" s="460"/>
      <c r="P1691" s="461"/>
      <c r="Q1691" s="458"/>
      <c r="R1691" s="459"/>
      <c r="S1691" s="459"/>
      <c r="T1691" s="459"/>
      <c r="U1691" s="459"/>
      <c r="V1691" s="459"/>
      <c r="W1691" s="459"/>
      <c r="X1691" s="459"/>
      <c r="Y1691" s="462">
        <f t="shared" si="17"/>
        <v>0</v>
      </c>
      <c r="Z1691" s="463"/>
      <c r="AA1691" s="464"/>
      <c r="AB1691" s="465"/>
      <c r="AC1691" s="465"/>
      <c r="AD1691" s="465"/>
      <c r="AE1691" s="466"/>
      <c r="AF1691" s="449"/>
      <c r="AG1691" s="449"/>
      <c r="AH1691" s="449"/>
    </row>
    <row r="1692" ht="11.25" customHeight="1">
      <c r="A1692" s="450"/>
      <c r="B1692" s="451"/>
      <c r="C1692" s="452"/>
      <c r="D1692" s="452"/>
      <c r="E1692" s="453"/>
      <c r="F1692" s="453"/>
      <c r="G1692" s="454"/>
      <c r="H1692" s="454"/>
      <c r="I1692" s="455"/>
      <c r="J1692" s="456"/>
      <c r="K1692" s="467" t="s">
        <v>1417</v>
      </c>
      <c r="L1692" s="468"/>
      <c r="M1692" s="469"/>
      <c r="N1692" s="470"/>
      <c r="O1692" s="470"/>
      <c r="P1692" s="471"/>
      <c r="Q1692" s="468"/>
      <c r="R1692" s="469"/>
      <c r="S1692" s="469"/>
      <c r="T1692" s="469"/>
      <c r="U1692" s="469"/>
      <c r="V1692" s="469"/>
      <c r="W1692" s="469"/>
      <c r="X1692" s="469"/>
      <c r="Y1692" s="462">
        <f t="shared" si="17"/>
        <v>0</v>
      </c>
      <c r="Z1692" s="463"/>
      <c r="AA1692" s="464"/>
      <c r="AB1692" s="465"/>
      <c r="AC1692" s="465"/>
      <c r="AD1692" s="465"/>
      <c r="AE1692" s="466"/>
      <c r="AF1692" s="449"/>
      <c r="AG1692" s="449"/>
      <c r="AH1692" s="449"/>
    </row>
    <row r="1693" ht="11.25" customHeight="1">
      <c r="A1693" s="450"/>
      <c r="B1693" s="472"/>
      <c r="C1693" s="473"/>
      <c r="D1693" s="473"/>
      <c r="E1693" s="474"/>
      <c r="F1693" s="474"/>
      <c r="G1693" s="475"/>
      <c r="H1693" s="475"/>
      <c r="I1693" s="476"/>
      <c r="J1693" s="477"/>
      <c r="K1693" s="478" t="s">
        <v>1418</v>
      </c>
      <c r="L1693" s="479"/>
      <c r="M1693" s="480"/>
      <c r="N1693" s="481"/>
      <c r="O1693" s="481"/>
      <c r="P1693" s="482"/>
      <c r="Q1693" s="479"/>
      <c r="R1693" s="480"/>
      <c r="S1693" s="480"/>
      <c r="T1693" s="480"/>
      <c r="U1693" s="480"/>
      <c r="V1693" s="480"/>
      <c r="W1693" s="480"/>
      <c r="X1693" s="480"/>
      <c r="Y1693" s="483">
        <f t="shared" si="17"/>
        <v>0</v>
      </c>
      <c r="Z1693" s="484"/>
      <c r="AA1693" s="485"/>
      <c r="AB1693" s="486"/>
      <c r="AC1693" s="486"/>
      <c r="AD1693" s="486"/>
      <c r="AE1693" s="487"/>
      <c r="AF1693" s="449"/>
      <c r="AG1693" s="449"/>
      <c r="AH1693" s="449"/>
    </row>
    <row r="1694" ht="11.25" customHeight="1">
      <c r="A1694" s="431" t="str">
        <f>IF(B1694="","", YEAR(B1694))</f>
        <v/>
      </c>
      <c r="B1694" s="432"/>
      <c r="C1694" s="433"/>
      <c r="D1694" s="433"/>
      <c r="E1694" s="434" t="str">
        <f t="shared" ref="E1694:I1694" si="854">IFERROR(AVERAGE(L1694:L1697),"")</f>
        <v/>
      </c>
      <c r="F1694" s="434" t="str">
        <f t="shared" si="854"/>
        <v/>
      </c>
      <c r="G1694" s="435" t="str">
        <f t="shared" si="854"/>
        <v/>
      </c>
      <c r="H1694" s="435" t="str">
        <f t="shared" si="854"/>
        <v/>
      </c>
      <c r="I1694" s="436" t="str">
        <f t="shared" si="854"/>
        <v/>
      </c>
      <c r="J1694" s="437">
        <f>SUMIFS(PRODUCTION[KG],PRODUCTION[GRADE],"3X50",PRODUCTION[DATE],B1694,PRODUCTION[BATCH],C1694,PRODUCTION[SHIFT],D1694)</f>
        <v>0</v>
      </c>
      <c r="K1694" s="438" t="s">
        <v>1414</v>
      </c>
      <c r="L1694" s="443"/>
      <c r="M1694" s="440"/>
      <c r="N1694" s="441"/>
      <c r="O1694" s="441"/>
      <c r="P1694" s="442"/>
      <c r="Q1694" s="443"/>
      <c r="R1694" s="440"/>
      <c r="S1694" s="440"/>
      <c r="T1694" s="440"/>
      <c r="U1694" s="440"/>
      <c r="V1694" s="440"/>
      <c r="W1694" s="440"/>
      <c r="X1694" s="440"/>
      <c r="Y1694" s="444">
        <f t="shared" si="17"/>
        <v>0</v>
      </c>
      <c r="Z1694" s="445"/>
      <c r="AA1694" s="446">
        <f t="shared" ref="AA1694:AE1694" si="855">$J1694*E1694</f>
        <v>0</v>
      </c>
      <c r="AB1694" s="447">
        <f t="shared" si="855"/>
        <v>0</v>
      </c>
      <c r="AC1694" s="447">
        <f t="shared" si="855"/>
        <v>0</v>
      </c>
      <c r="AD1694" s="447">
        <f t="shared" si="855"/>
        <v>0</v>
      </c>
      <c r="AE1694" s="448">
        <f t="shared" si="855"/>
        <v>0</v>
      </c>
      <c r="AF1694" s="449"/>
      <c r="AG1694" s="449"/>
      <c r="AH1694" s="449"/>
    </row>
    <row r="1695" ht="11.25" customHeight="1">
      <c r="A1695" s="450"/>
      <c r="B1695" s="451"/>
      <c r="C1695" s="452"/>
      <c r="D1695" s="452"/>
      <c r="E1695" s="453"/>
      <c r="F1695" s="453"/>
      <c r="G1695" s="454"/>
      <c r="H1695" s="454"/>
      <c r="I1695" s="455"/>
      <c r="J1695" s="456"/>
      <c r="K1695" s="457" t="s">
        <v>1416</v>
      </c>
      <c r="L1695" s="458"/>
      <c r="M1695" s="459"/>
      <c r="N1695" s="460"/>
      <c r="O1695" s="460"/>
      <c r="P1695" s="461"/>
      <c r="Q1695" s="458"/>
      <c r="R1695" s="459"/>
      <c r="S1695" s="459"/>
      <c r="T1695" s="459"/>
      <c r="U1695" s="459"/>
      <c r="V1695" s="459"/>
      <c r="W1695" s="459"/>
      <c r="X1695" s="459"/>
      <c r="Y1695" s="462">
        <f t="shared" si="17"/>
        <v>0</v>
      </c>
      <c r="Z1695" s="463"/>
      <c r="AA1695" s="464"/>
      <c r="AB1695" s="465"/>
      <c r="AC1695" s="465"/>
      <c r="AD1695" s="465"/>
      <c r="AE1695" s="466"/>
      <c r="AF1695" s="449"/>
      <c r="AG1695" s="449"/>
      <c r="AH1695" s="449"/>
    </row>
    <row r="1696" ht="11.25" customHeight="1">
      <c r="A1696" s="450"/>
      <c r="B1696" s="451"/>
      <c r="C1696" s="452"/>
      <c r="D1696" s="452"/>
      <c r="E1696" s="453"/>
      <c r="F1696" s="453"/>
      <c r="G1696" s="454"/>
      <c r="H1696" s="454"/>
      <c r="I1696" s="455"/>
      <c r="J1696" s="456"/>
      <c r="K1696" s="467" t="s">
        <v>1417</v>
      </c>
      <c r="L1696" s="468"/>
      <c r="M1696" s="469"/>
      <c r="N1696" s="470"/>
      <c r="O1696" s="470"/>
      <c r="P1696" s="471"/>
      <c r="Q1696" s="468"/>
      <c r="R1696" s="469"/>
      <c r="S1696" s="469"/>
      <c r="T1696" s="469"/>
      <c r="U1696" s="469"/>
      <c r="V1696" s="469"/>
      <c r="W1696" s="469"/>
      <c r="X1696" s="469"/>
      <c r="Y1696" s="462">
        <f t="shared" si="17"/>
        <v>0</v>
      </c>
      <c r="Z1696" s="463"/>
      <c r="AA1696" s="464"/>
      <c r="AB1696" s="465"/>
      <c r="AC1696" s="465"/>
      <c r="AD1696" s="465"/>
      <c r="AE1696" s="466"/>
      <c r="AF1696" s="449"/>
      <c r="AG1696" s="449"/>
      <c r="AH1696" s="449"/>
    </row>
    <row r="1697" ht="11.25" customHeight="1">
      <c r="A1697" s="450"/>
      <c r="B1697" s="472"/>
      <c r="C1697" s="473"/>
      <c r="D1697" s="473"/>
      <c r="E1697" s="474"/>
      <c r="F1697" s="474"/>
      <c r="G1697" s="475"/>
      <c r="H1697" s="475"/>
      <c r="I1697" s="476"/>
      <c r="J1697" s="477"/>
      <c r="K1697" s="478" t="s">
        <v>1418</v>
      </c>
      <c r="L1697" s="479"/>
      <c r="M1697" s="480"/>
      <c r="N1697" s="481"/>
      <c r="O1697" s="481"/>
      <c r="P1697" s="482"/>
      <c r="Q1697" s="479"/>
      <c r="R1697" s="480"/>
      <c r="S1697" s="480"/>
      <c r="T1697" s="480"/>
      <c r="U1697" s="480"/>
      <c r="V1697" s="480"/>
      <c r="W1697" s="480"/>
      <c r="X1697" s="480"/>
      <c r="Y1697" s="483">
        <f t="shared" si="17"/>
        <v>0</v>
      </c>
      <c r="Z1697" s="484"/>
      <c r="AA1697" s="485"/>
      <c r="AB1697" s="486"/>
      <c r="AC1697" s="486"/>
      <c r="AD1697" s="486"/>
      <c r="AE1697" s="487"/>
      <c r="AF1697" s="449"/>
      <c r="AG1697" s="449"/>
      <c r="AH1697" s="449"/>
    </row>
    <row r="1698" ht="11.25" customHeight="1">
      <c r="A1698" s="431" t="str">
        <f>IF(B1698="","", YEAR(B1698))</f>
        <v/>
      </c>
      <c r="B1698" s="432"/>
      <c r="C1698" s="433"/>
      <c r="D1698" s="433"/>
      <c r="E1698" s="434" t="str">
        <f t="shared" ref="E1698:I1698" si="856">IFERROR(AVERAGE(L1698:L1701),"")</f>
        <v/>
      </c>
      <c r="F1698" s="434" t="str">
        <f t="shared" si="856"/>
        <v/>
      </c>
      <c r="G1698" s="435" t="str">
        <f t="shared" si="856"/>
        <v/>
      </c>
      <c r="H1698" s="435" t="str">
        <f t="shared" si="856"/>
        <v/>
      </c>
      <c r="I1698" s="436" t="str">
        <f t="shared" si="856"/>
        <v/>
      </c>
      <c r="J1698" s="437">
        <f>SUMIFS(PRODUCTION[KG],PRODUCTION[GRADE],"3X50",PRODUCTION[DATE],B1698,PRODUCTION[BATCH],C1698,PRODUCTION[SHIFT],D1698)</f>
        <v>0</v>
      </c>
      <c r="K1698" s="438" t="s">
        <v>1414</v>
      </c>
      <c r="L1698" s="443"/>
      <c r="M1698" s="440"/>
      <c r="N1698" s="441"/>
      <c r="O1698" s="441"/>
      <c r="P1698" s="442"/>
      <c r="Q1698" s="443"/>
      <c r="R1698" s="440"/>
      <c r="S1698" s="440"/>
      <c r="T1698" s="440"/>
      <c r="U1698" s="440"/>
      <c r="V1698" s="440"/>
      <c r="W1698" s="440"/>
      <c r="X1698" s="440"/>
      <c r="Y1698" s="444">
        <f t="shared" si="17"/>
        <v>0</v>
      </c>
      <c r="Z1698" s="445"/>
      <c r="AA1698" s="446">
        <f t="shared" ref="AA1698:AE1698" si="857">$J1698*E1698</f>
        <v>0</v>
      </c>
      <c r="AB1698" s="447">
        <f t="shared" si="857"/>
        <v>0</v>
      </c>
      <c r="AC1698" s="447">
        <f t="shared" si="857"/>
        <v>0</v>
      </c>
      <c r="AD1698" s="447">
        <f t="shared" si="857"/>
        <v>0</v>
      </c>
      <c r="AE1698" s="448">
        <f t="shared" si="857"/>
        <v>0</v>
      </c>
      <c r="AF1698" s="449"/>
      <c r="AG1698" s="449"/>
      <c r="AH1698" s="449"/>
    </row>
    <row r="1699" ht="11.25" customHeight="1">
      <c r="A1699" s="450"/>
      <c r="B1699" s="451"/>
      <c r="C1699" s="452"/>
      <c r="D1699" s="452"/>
      <c r="E1699" s="453"/>
      <c r="F1699" s="453"/>
      <c r="G1699" s="454"/>
      <c r="H1699" s="454"/>
      <c r="I1699" s="455"/>
      <c r="J1699" s="456"/>
      <c r="K1699" s="457" t="s">
        <v>1416</v>
      </c>
      <c r="L1699" s="458"/>
      <c r="M1699" s="459"/>
      <c r="N1699" s="460"/>
      <c r="O1699" s="460"/>
      <c r="P1699" s="461"/>
      <c r="Q1699" s="458"/>
      <c r="R1699" s="459"/>
      <c r="S1699" s="459"/>
      <c r="T1699" s="459"/>
      <c r="U1699" s="459"/>
      <c r="V1699" s="459"/>
      <c r="W1699" s="459"/>
      <c r="X1699" s="459"/>
      <c r="Y1699" s="462">
        <f t="shared" si="17"/>
        <v>0</v>
      </c>
      <c r="Z1699" s="463"/>
      <c r="AA1699" s="464"/>
      <c r="AB1699" s="465"/>
      <c r="AC1699" s="465"/>
      <c r="AD1699" s="465"/>
      <c r="AE1699" s="466"/>
      <c r="AF1699" s="449"/>
      <c r="AG1699" s="449"/>
      <c r="AH1699" s="449"/>
    </row>
    <row r="1700" ht="11.25" customHeight="1">
      <c r="A1700" s="450"/>
      <c r="B1700" s="451"/>
      <c r="C1700" s="452"/>
      <c r="D1700" s="452"/>
      <c r="E1700" s="453"/>
      <c r="F1700" s="453"/>
      <c r="G1700" s="454"/>
      <c r="H1700" s="454"/>
      <c r="I1700" s="455"/>
      <c r="J1700" s="456"/>
      <c r="K1700" s="467" t="s">
        <v>1417</v>
      </c>
      <c r="L1700" s="468"/>
      <c r="M1700" s="469"/>
      <c r="N1700" s="470"/>
      <c r="O1700" s="470"/>
      <c r="P1700" s="471"/>
      <c r="Q1700" s="468"/>
      <c r="R1700" s="469"/>
      <c r="S1700" s="469"/>
      <c r="T1700" s="469"/>
      <c r="U1700" s="469"/>
      <c r="V1700" s="469"/>
      <c r="W1700" s="469"/>
      <c r="X1700" s="469"/>
      <c r="Y1700" s="462">
        <f t="shared" si="17"/>
        <v>0</v>
      </c>
      <c r="Z1700" s="463"/>
      <c r="AA1700" s="464"/>
      <c r="AB1700" s="465"/>
      <c r="AC1700" s="465"/>
      <c r="AD1700" s="465"/>
      <c r="AE1700" s="466"/>
      <c r="AF1700" s="449"/>
      <c r="AG1700" s="449"/>
      <c r="AH1700" s="449"/>
    </row>
    <row r="1701" ht="11.25" customHeight="1">
      <c r="A1701" s="450"/>
      <c r="B1701" s="472"/>
      <c r="C1701" s="473"/>
      <c r="D1701" s="473"/>
      <c r="E1701" s="474"/>
      <c r="F1701" s="474"/>
      <c r="G1701" s="475"/>
      <c r="H1701" s="475"/>
      <c r="I1701" s="476"/>
      <c r="J1701" s="477"/>
      <c r="K1701" s="478" t="s">
        <v>1418</v>
      </c>
      <c r="L1701" s="479"/>
      <c r="M1701" s="480"/>
      <c r="N1701" s="481"/>
      <c r="O1701" s="481"/>
      <c r="P1701" s="482"/>
      <c r="Q1701" s="479"/>
      <c r="R1701" s="480"/>
      <c r="S1701" s="480"/>
      <c r="T1701" s="480"/>
      <c r="U1701" s="480"/>
      <c r="V1701" s="480"/>
      <c r="W1701" s="480"/>
      <c r="X1701" s="480"/>
      <c r="Y1701" s="483">
        <f t="shared" si="17"/>
        <v>0</v>
      </c>
      <c r="Z1701" s="484"/>
      <c r="AA1701" s="485"/>
      <c r="AB1701" s="486"/>
      <c r="AC1701" s="486"/>
      <c r="AD1701" s="486"/>
      <c r="AE1701" s="487"/>
      <c r="AF1701" s="449"/>
      <c r="AG1701" s="449"/>
      <c r="AH1701" s="449"/>
    </row>
    <row r="1702" ht="11.25" customHeight="1">
      <c r="A1702" s="431" t="str">
        <f>IF(B1702="","", YEAR(B1702))</f>
        <v/>
      </c>
      <c r="B1702" s="432"/>
      <c r="C1702" s="433"/>
      <c r="D1702" s="433"/>
      <c r="E1702" s="434" t="str">
        <f t="shared" ref="E1702:I1702" si="858">IFERROR(AVERAGE(L1702:L1705),"")</f>
        <v/>
      </c>
      <c r="F1702" s="434" t="str">
        <f t="shared" si="858"/>
        <v/>
      </c>
      <c r="G1702" s="435" t="str">
        <f t="shared" si="858"/>
        <v/>
      </c>
      <c r="H1702" s="435" t="str">
        <f t="shared" si="858"/>
        <v/>
      </c>
      <c r="I1702" s="436" t="str">
        <f t="shared" si="858"/>
        <v/>
      </c>
      <c r="J1702" s="437">
        <f>SUMIFS(PRODUCTION[KG],PRODUCTION[GRADE],"3X50",PRODUCTION[DATE],B1702,PRODUCTION[BATCH],C1702,PRODUCTION[SHIFT],D1702)</f>
        <v>0</v>
      </c>
      <c r="K1702" s="438" t="s">
        <v>1414</v>
      </c>
      <c r="L1702" s="443"/>
      <c r="M1702" s="440"/>
      <c r="N1702" s="441"/>
      <c r="O1702" s="441"/>
      <c r="P1702" s="442"/>
      <c r="Q1702" s="443"/>
      <c r="R1702" s="440"/>
      <c r="S1702" s="440"/>
      <c r="T1702" s="440"/>
      <c r="U1702" s="440"/>
      <c r="V1702" s="440"/>
      <c r="W1702" s="440"/>
      <c r="X1702" s="440"/>
      <c r="Y1702" s="444">
        <f t="shared" si="17"/>
        <v>0</v>
      </c>
      <c r="Z1702" s="445"/>
      <c r="AA1702" s="446">
        <f t="shared" ref="AA1702:AE1702" si="859">$J1702*E1702</f>
        <v>0</v>
      </c>
      <c r="AB1702" s="447">
        <f t="shared" si="859"/>
        <v>0</v>
      </c>
      <c r="AC1702" s="447">
        <f t="shared" si="859"/>
        <v>0</v>
      </c>
      <c r="AD1702" s="447">
        <f t="shared" si="859"/>
        <v>0</v>
      </c>
      <c r="AE1702" s="448">
        <f t="shared" si="859"/>
        <v>0</v>
      </c>
      <c r="AF1702" s="449"/>
      <c r="AG1702" s="449"/>
      <c r="AH1702" s="449"/>
    </row>
    <row r="1703" ht="11.25" customHeight="1">
      <c r="A1703" s="450"/>
      <c r="B1703" s="451"/>
      <c r="C1703" s="452"/>
      <c r="D1703" s="452"/>
      <c r="E1703" s="453"/>
      <c r="F1703" s="453"/>
      <c r="G1703" s="454"/>
      <c r="H1703" s="454"/>
      <c r="I1703" s="455"/>
      <c r="J1703" s="456"/>
      <c r="K1703" s="457" t="s">
        <v>1416</v>
      </c>
      <c r="L1703" s="458"/>
      <c r="M1703" s="459"/>
      <c r="N1703" s="460"/>
      <c r="O1703" s="460"/>
      <c r="P1703" s="461"/>
      <c r="Q1703" s="458"/>
      <c r="R1703" s="459"/>
      <c r="S1703" s="459"/>
      <c r="T1703" s="459"/>
      <c r="U1703" s="459"/>
      <c r="V1703" s="459"/>
      <c r="W1703" s="459"/>
      <c r="X1703" s="459"/>
      <c r="Y1703" s="462">
        <f t="shared" si="17"/>
        <v>0</v>
      </c>
      <c r="Z1703" s="463"/>
      <c r="AA1703" s="464"/>
      <c r="AB1703" s="465"/>
      <c r="AC1703" s="465"/>
      <c r="AD1703" s="465"/>
      <c r="AE1703" s="466"/>
      <c r="AF1703" s="449"/>
      <c r="AG1703" s="449"/>
      <c r="AH1703" s="449"/>
    </row>
    <row r="1704" ht="11.25" customHeight="1">
      <c r="A1704" s="450"/>
      <c r="B1704" s="451"/>
      <c r="C1704" s="452"/>
      <c r="D1704" s="452"/>
      <c r="E1704" s="453"/>
      <c r="F1704" s="453"/>
      <c r="G1704" s="454"/>
      <c r="H1704" s="454"/>
      <c r="I1704" s="455"/>
      <c r="J1704" s="456"/>
      <c r="K1704" s="467" t="s">
        <v>1417</v>
      </c>
      <c r="L1704" s="468"/>
      <c r="M1704" s="469"/>
      <c r="N1704" s="470"/>
      <c r="O1704" s="470"/>
      <c r="P1704" s="471"/>
      <c r="Q1704" s="468"/>
      <c r="R1704" s="469"/>
      <c r="S1704" s="469"/>
      <c r="T1704" s="469"/>
      <c r="U1704" s="469"/>
      <c r="V1704" s="469"/>
      <c r="W1704" s="469"/>
      <c r="X1704" s="469"/>
      <c r="Y1704" s="462">
        <f t="shared" si="17"/>
        <v>0</v>
      </c>
      <c r="Z1704" s="463"/>
      <c r="AA1704" s="464"/>
      <c r="AB1704" s="465"/>
      <c r="AC1704" s="465"/>
      <c r="AD1704" s="465"/>
      <c r="AE1704" s="466"/>
      <c r="AF1704" s="449"/>
      <c r="AG1704" s="449"/>
      <c r="AH1704" s="449"/>
    </row>
    <row r="1705" ht="11.25" customHeight="1">
      <c r="A1705" s="450"/>
      <c r="B1705" s="472"/>
      <c r="C1705" s="473"/>
      <c r="D1705" s="473"/>
      <c r="E1705" s="474"/>
      <c r="F1705" s="474"/>
      <c r="G1705" s="475"/>
      <c r="H1705" s="475"/>
      <c r="I1705" s="476"/>
      <c r="J1705" s="477"/>
      <c r="K1705" s="478" t="s">
        <v>1418</v>
      </c>
      <c r="L1705" s="479"/>
      <c r="M1705" s="480"/>
      <c r="N1705" s="481"/>
      <c r="O1705" s="481"/>
      <c r="P1705" s="482"/>
      <c r="Q1705" s="479"/>
      <c r="R1705" s="480"/>
      <c r="S1705" s="480"/>
      <c r="T1705" s="480"/>
      <c r="U1705" s="480"/>
      <c r="V1705" s="480"/>
      <c r="W1705" s="480"/>
      <c r="X1705" s="480"/>
      <c r="Y1705" s="483">
        <f t="shared" si="17"/>
        <v>0</v>
      </c>
      <c r="Z1705" s="484"/>
      <c r="AA1705" s="485"/>
      <c r="AB1705" s="486"/>
      <c r="AC1705" s="486"/>
      <c r="AD1705" s="486"/>
      <c r="AE1705" s="487"/>
      <c r="AF1705" s="449"/>
      <c r="AG1705" s="449"/>
      <c r="AH1705" s="449"/>
    </row>
    <row r="1706" ht="11.25" customHeight="1">
      <c r="A1706" s="431" t="str">
        <f>IF(B1706="","", YEAR(B1706))</f>
        <v/>
      </c>
      <c r="B1706" s="432"/>
      <c r="C1706" s="433"/>
      <c r="D1706" s="433"/>
      <c r="E1706" s="434" t="str">
        <f t="shared" ref="E1706:I1706" si="860">IFERROR(AVERAGE(L1706:L1709),"")</f>
        <v/>
      </c>
      <c r="F1706" s="434" t="str">
        <f t="shared" si="860"/>
        <v/>
      </c>
      <c r="G1706" s="435" t="str">
        <f t="shared" si="860"/>
        <v/>
      </c>
      <c r="H1706" s="435" t="str">
        <f t="shared" si="860"/>
        <v/>
      </c>
      <c r="I1706" s="436" t="str">
        <f t="shared" si="860"/>
        <v/>
      </c>
      <c r="J1706" s="437">
        <f>SUMIFS(PRODUCTION[KG],PRODUCTION[GRADE],"3X50",PRODUCTION[DATE],B1706,PRODUCTION[BATCH],C1706,PRODUCTION[SHIFT],D1706)</f>
        <v>0</v>
      </c>
      <c r="K1706" s="438" t="s">
        <v>1414</v>
      </c>
      <c r="L1706" s="443"/>
      <c r="M1706" s="440"/>
      <c r="N1706" s="441"/>
      <c r="O1706" s="441"/>
      <c r="P1706" s="442"/>
      <c r="Q1706" s="443"/>
      <c r="R1706" s="440"/>
      <c r="S1706" s="440"/>
      <c r="T1706" s="440"/>
      <c r="U1706" s="440"/>
      <c r="V1706" s="440"/>
      <c r="W1706" s="440"/>
      <c r="X1706" s="440"/>
      <c r="Y1706" s="444">
        <f t="shared" si="17"/>
        <v>0</v>
      </c>
      <c r="Z1706" s="445"/>
      <c r="AA1706" s="446">
        <f t="shared" ref="AA1706:AE1706" si="861">$J1706*E1706</f>
        <v>0</v>
      </c>
      <c r="AB1706" s="447">
        <f t="shared" si="861"/>
        <v>0</v>
      </c>
      <c r="AC1706" s="447">
        <f t="shared" si="861"/>
        <v>0</v>
      </c>
      <c r="AD1706" s="447">
        <f t="shared" si="861"/>
        <v>0</v>
      </c>
      <c r="AE1706" s="448">
        <f t="shared" si="861"/>
        <v>0</v>
      </c>
      <c r="AF1706" s="449"/>
      <c r="AG1706" s="449"/>
      <c r="AH1706" s="449"/>
    </row>
    <row r="1707" ht="11.25" customHeight="1">
      <c r="A1707" s="450"/>
      <c r="B1707" s="451"/>
      <c r="C1707" s="452"/>
      <c r="D1707" s="452"/>
      <c r="E1707" s="453"/>
      <c r="F1707" s="453"/>
      <c r="G1707" s="454"/>
      <c r="H1707" s="454"/>
      <c r="I1707" s="455"/>
      <c r="J1707" s="456"/>
      <c r="K1707" s="457" t="s">
        <v>1416</v>
      </c>
      <c r="L1707" s="458"/>
      <c r="M1707" s="459"/>
      <c r="N1707" s="460"/>
      <c r="O1707" s="460"/>
      <c r="P1707" s="461"/>
      <c r="Q1707" s="458"/>
      <c r="R1707" s="459"/>
      <c r="S1707" s="459"/>
      <c r="T1707" s="459"/>
      <c r="U1707" s="459"/>
      <c r="V1707" s="459"/>
      <c r="W1707" s="459"/>
      <c r="X1707" s="459"/>
      <c r="Y1707" s="462">
        <f t="shared" si="17"/>
        <v>0</v>
      </c>
      <c r="Z1707" s="463"/>
      <c r="AA1707" s="464"/>
      <c r="AB1707" s="465"/>
      <c r="AC1707" s="465"/>
      <c r="AD1707" s="465"/>
      <c r="AE1707" s="466"/>
      <c r="AF1707" s="449"/>
      <c r="AG1707" s="449"/>
      <c r="AH1707" s="449"/>
    </row>
    <row r="1708" ht="11.25" customHeight="1">
      <c r="A1708" s="450"/>
      <c r="B1708" s="451"/>
      <c r="C1708" s="452"/>
      <c r="D1708" s="452"/>
      <c r="E1708" s="453"/>
      <c r="F1708" s="453"/>
      <c r="G1708" s="454"/>
      <c r="H1708" s="454"/>
      <c r="I1708" s="455"/>
      <c r="J1708" s="456"/>
      <c r="K1708" s="467" t="s">
        <v>1417</v>
      </c>
      <c r="L1708" s="468"/>
      <c r="M1708" s="469"/>
      <c r="N1708" s="470"/>
      <c r="O1708" s="470"/>
      <c r="P1708" s="471"/>
      <c r="Q1708" s="468"/>
      <c r="R1708" s="469"/>
      <c r="S1708" s="469"/>
      <c r="T1708" s="469"/>
      <c r="U1708" s="469"/>
      <c r="V1708" s="469"/>
      <c r="W1708" s="469"/>
      <c r="X1708" s="469"/>
      <c r="Y1708" s="462">
        <f t="shared" si="17"/>
        <v>0</v>
      </c>
      <c r="Z1708" s="463"/>
      <c r="AA1708" s="464"/>
      <c r="AB1708" s="465"/>
      <c r="AC1708" s="465"/>
      <c r="AD1708" s="465"/>
      <c r="AE1708" s="466"/>
      <c r="AF1708" s="449"/>
      <c r="AG1708" s="449"/>
      <c r="AH1708" s="449"/>
    </row>
    <row r="1709" ht="11.25" customHeight="1">
      <c r="A1709" s="450"/>
      <c r="B1709" s="472"/>
      <c r="C1709" s="473"/>
      <c r="D1709" s="473"/>
      <c r="E1709" s="474"/>
      <c r="F1709" s="474"/>
      <c r="G1709" s="475"/>
      <c r="H1709" s="475"/>
      <c r="I1709" s="476"/>
      <c r="J1709" s="477"/>
      <c r="K1709" s="478" t="s">
        <v>1418</v>
      </c>
      <c r="L1709" s="479"/>
      <c r="M1709" s="480"/>
      <c r="N1709" s="481"/>
      <c r="O1709" s="481"/>
      <c r="P1709" s="482"/>
      <c r="Q1709" s="479"/>
      <c r="R1709" s="480"/>
      <c r="S1709" s="480"/>
      <c r="T1709" s="480"/>
      <c r="U1709" s="480"/>
      <c r="V1709" s="480"/>
      <c r="W1709" s="480"/>
      <c r="X1709" s="480"/>
      <c r="Y1709" s="483">
        <f t="shared" si="17"/>
        <v>0</v>
      </c>
      <c r="Z1709" s="484"/>
      <c r="AA1709" s="485"/>
      <c r="AB1709" s="486"/>
      <c r="AC1709" s="486"/>
      <c r="AD1709" s="486"/>
      <c r="AE1709" s="487"/>
      <c r="AF1709" s="449"/>
      <c r="AG1709" s="449"/>
      <c r="AH1709" s="449"/>
    </row>
    <row r="1710" ht="11.25" customHeight="1">
      <c r="A1710" s="431" t="str">
        <f>IF(B1710="","", YEAR(B1710))</f>
        <v/>
      </c>
      <c r="B1710" s="432"/>
      <c r="C1710" s="433"/>
      <c r="D1710" s="433"/>
      <c r="E1710" s="434" t="str">
        <f t="shared" ref="E1710:I1710" si="862">IFERROR(AVERAGE(L1710:L1713),"")</f>
        <v/>
      </c>
      <c r="F1710" s="434" t="str">
        <f t="shared" si="862"/>
        <v/>
      </c>
      <c r="G1710" s="435" t="str">
        <f t="shared" si="862"/>
        <v/>
      </c>
      <c r="H1710" s="435" t="str">
        <f t="shared" si="862"/>
        <v/>
      </c>
      <c r="I1710" s="436" t="str">
        <f t="shared" si="862"/>
        <v/>
      </c>
      <c r="J1710" s="437">
        <f>SUMIFS(PRODUCTION[KG],PRODUCTION[GRADE],"3X50",PRODUCTION[DATE],B1710,PRODUCTION[BATCH],C1710,PRODUCTION[SHIFT],D1710)</f>
        <v>0</v>
      </c>
      <c r="K1710" s="438" t="s">
        <v>1414</v>
      </c>
      <c r="L1710" s="443"/>
      <c r="M1710" s="440"/>
      <c r="N1710" s="441"/>
      <c r="O1710" s="441"/>
      <c r="P1710" s="442"/>
      <c r="Q1710" s="443"/>
      <c r="R1710" s="440"/>
      <c r="S1710" s="440"/>
      <c r="T1710" s="440"/>
      <c r="U1710" s="440"/>
      <c r="V1710" s="440"/>
      <c r="W1710" s="440"/>
      <c r="X1710" s="440"/>
      <c r="Y1710" s="444">
        <f t="shared" si="17"/>
        <v>0</v>
      </c>
      <c r="Z1710" s="445"/>
      <c r="AA1710" s="446">
        <f t="shared" ref="AA1710:AE1710" si="863">$J1710*E1710</f>
        <v>0</v>
      </c>
      <c r="AB1710" s="447">
        <f t="shared" si="863"/>
        <v>0</v>
      </c>
      <c r="AC1710" s="447">
        <f t="shared" si="863"/>
        <v>0</v>
      </c>
      <c r="AD1710" s="447">
        <f t="shared" si="863"/>
        <v>0</v>
      </c>
      <c r="AE1710" s="448">
        <f t="shared" si="863"/>
        <v>0</v>
      </c>
      <c r="AF1710" s="449"/>
      <c r="AG1710" s="449"/>
      <c r="AH1710" s="449"/>
    </row>
    <row r="1711" ht="11.25" customHeight="1">
      <c r="A1711" s="450"/>
      <c r="B1711" s="451"/>
      <c r="C1711" s="452"/>
      <c r="D1711" s="452"/>
      <c r="E1711" s="453"/>
      <c r="F1711" s="453"/>
      <c r="G1711" s="454"/>
      <c r="H1711" s="454"/>
      <c r="I1711" s="455"/>
      <c r="J1711" s="456"/>
      <c r="K1711" s="457" t="s">
        <v>1416</v>
      </c>
      <c r="L1711" s="458"/>
      <c r="M1711" s="459"/>
      <c r="N1711" s="460"/>
      <c r="O1711" s="460"/>
      <c r="P1711" s="461"/>
      <c r="Q1711" s="458"/>
      <c r="R1711" s="459"/>
      <c r="S1711" s="459"/>
      <c r="T1711" s="459"/>
      <c r="U1711" s="459"/>
      <c r="V1711" s="459"/>
      <c r="W1711" s="459"/>
      <c r="X1711" s="459"/>
      <c r="Y1711" s="462">
        <f t="shared" si="17"/>
        <v>0</v>
      </c>
      <c r="Z1711" s="463"/>
      <c r="AA1711" s="464"/>
      <c r="AB1711" s="465"/>
      <c r="AC1711" s="465"/>
      <c r="AD1711" s="465"/>
      <c r="AE1711" s="466"/>
      <c r="AF1711" s="449"/>
      <c r="AG1711" s="449"/>
      <c r="AH1711" s="449"/>
    </row>
    <row r="1712" ht="11.25" customHeight="1">
      <c r="A1712" s="450"/>
      <c r="B1712" s="451"/>
      <c r="C1712" s="452"/>
      <c r="D1712" s="452"/>
      <c r="E1712" s="453"/>
      <c r="F1712" s="453"/>
      <c r="G1712" s="454"/>
      <c r="H1712" s="454"/>
      <c r="I1712" s="455"/>
      <c r="J1712" s="456"/>
      <c r="K1712" s="467" t="s">
        <v>1417</v>
      </c>
      <c r="L1712" s="468"/>
      <c r="M1712" s="469"/>
      <c r="N1712" s="470"/>
      <c r="O1712" s="470"/>
      <c r="P1712" s="471"/>
      <c r="Q1712" s="468"/>
      <c r="R1712" s="469"/>
      <c r="S1712" s="469"/>
      <c r="T1712" s="469"/>
      <c r="U1712" s="469"/>
      <c r="V1712" s="469"/>
      <c r="W1712" s="469"/>
      <c r="X1712" s="469"/>
      <c r="Y1712" s="462">
        <f t="shared" si="17"/>
        <v>0</v>
      </c>
      <c r="Z1712" s="463"/>
      <c r="AA1712" s="464"/>
      <c r="AB1712" s="465"/>
      <c r="AC1712" s="465"/>
      <c r="AD1712" s="465"/>
      <c r="AE1712" s="466"/>
      <c r="AF1712" s="449"/>
      <c r="AG1712" s="449"/>
      <c r="AH1712" s="449"/>
    </row>
    <row r="1713" ht="11.25" customHeight="1">
      <c r="A1713" s="450"/>
      <c r="B1713" s="472"/>
      <c r="C1713" s="473"/>
      <c r="D1713" s="473"/>
      <c r="E1713" s="474"/>
      <c r="F1713" s="474"/>
      <c r="G1713" s="475"/>
      <c r="H1713" s="475"/>
      <c r="I1713" s="476"/>
      <c r="J1713" s="477"/>
      <c r="K1713" s="478" t="s">
        <v>1418</v>
      </c>
      <c r="L1713" s="479"/>
      <c r="M1713" s="480"/>
      <c r="N1713" s="481"/>
      <c r="O1713" s="481"/>
      <c r="P1713" s="482"/>
      <c r="Q1713" s="479"/>
      <c r="R1713" s="480"/>
      <c r="S1713" s="480"/>
      <c r="T1713" s="480"/>
      <c r="U1713" s="480"/>
      <c r="V1713" s="480"/>
      <c r="W1713" s="480"/>
      <c r="X1713" s="480"/>
      <c r="Y1713" s="483">
        <f t="shared" si="17"/>
        <v>0</v>
      </c>
      <c r="Z1713" s="484"/>
      <c r="AA1713" s="485"/>
      <c r="AB1713" s="486"/>
      <c r="AC1713" s="486"/>
      <c r="AD1713" s="486"/>
      <c r="AE1713" s="487"/>
      <c r="AF1713" s="449"/>
      <c r="AG1713" s="449"/>
      <c r="AH1713" s="449"/>
    </row>
    <row r="1714" ht="11.25" customHeight="1">
      <c r="A1714" s="431" t="str">
        <f>IF(B1714="","", YEAR(B1714))</f>
        <v/>
      </c>
      <c r="B1714" s="432"/>
      <c r="C1714" s="433"/>
      <c r="D1714" s="433"/>
      <c r="E1714" s="434" t="str">
        <f t="shared" ref="E1714:I1714" si="864">IFERROR(AVERAGE(L1714:L1717),"")</f>
        <v/>
      </c>
      <c r="F1714" s="434" t="str">
        <f t="shared" si="864"/>
        <v/>
      </c>
      <c r="G1714" s="435" t="str">
        <f t="shared" si="864"/>
        <v/>
      </c>
      <c r="H1714" s="435" t="str">
        <f t="shared" si="864"/>
        <v/>
      </c>
      <c r="I1714" s="436" t="str">
        <f t="shared" si="864"/>
        <v/>
      </c>
      <c r="J1714" s="437">
        <f>SUMIFS(PRODUCTION[KG],PRODUCTION[GRADE],"3X50",PRODUCTION[DATE],B1714,PRODUCTION[BATCH],C1714,PRODUCTION[SHIFT],D1714)</f>
        <v>0</v>
      </c>
      <c r="K1714" s="438" t="s">
        <v>1414</v>
      </c>
      <c r="L1714" s="443"/>
      <c r="M1714" s="440"/>
      <c r="N1714" s="441"/>
      <c r="O1714" s="441"/>
      <c r="P1714" s="442"/>
      <c r="Q1714" s="443"/>
      <c r="R1714" s="440"/>
      <c r="S1714" s="440"/>
      <c r="T1714" s="440"/>
      <c r="U1714" s="440"/>
      <c r="V1714" s="440"/>
      <c r="W1714" s="440"/>
      <c r="X1714" s="440"/>
      <c r="Y1714" s="444">
        <f t="shared" si="17"/>
        <v>0</v>
      </c>
      <c r="Z1714" s="445"/>
      <c r="AA1714" s="446">
        <f t="shared" ref="AA1714:AE1714" si="865">$J1714*E1714</f>
        <v>0</v>
      </c>
      <c r="AB1714" s="447">
        <f t="shared" si="865"/>
        <v>0</v>
      </c>
      <c r="AC1714" s="447">
        <f t="shared" si="865"/>
        <v>0</v>
      </c>
      <c r="AD1714" s="447">
        <f t="shared" si="865"/>
        <v>0</v>
      </c>
      <c r="AE1714" s="448">
        <f t="shared" si="865"/>
        <v>0</v>
      </c>
      <c r="AF1714" s="449"/>
      <c r="AG1714" s="449"/>
      <c r="AH1714" s="449"/>
    </row>
    <row r="1715" ht="11.25" customHeight="1">
      <c r="A1715" s="450"/>
      <c r="B1715" s="451"/>
      <c r="C1715" s="452"/>
      <c r="D1715" s="452"/>
      <c r="E1715" s="453"/>
      <c r="F1715" s="453"/>
      <c r="G1715" s="454"/>
      <c r="H1715" s="454"/>
      <c r="I1715" s="455"/>
      <c r="J1715" s="456"/>
      <c r="K1715" s="457" t="s">
        <v>1416</v>
      </c>
      <c r="L1715" s="458"/>
      <c r="M1715" s="459"/>
      <c r="N1715" s="460"/>
      <c r="O1715" s="460"/>
      <c r="P1715" s="461"/>
      <c r="Q1715" s="458"/>
      <c r="R1715" s="459"/>
      <c r="S1715" s="459"/>
      <c r="T1715" s="459"/>
      <c r="U1715" s="459"/>
      <c r="V1715" s="459"/>
      <c r="W1715" s="459"/>
      <c r="X1715" s="459"/>
      <c r="Y1715" s="462">
        <f t="shared" si="17"/>
        <v>0</v>
      </c>
      <c r="Z1715" s="463"/>
      <c r="AA1715" s="464"/>
      <c r="AB1715" s="465"/>
      <c r="AC1715" s="465"/>
      <c r="AD1715" s="465"/>
      <c r="AE1715" s="466"/>
      <c r="AF1715" s="449"/>
      <c r="AG1715" s="449"/>
      <c r="AH1715" s="449"/>
    </row>
    <row r="1716" ht="11.25" customHeight="1">
      <c r="A1716" s="450"/>
      <c r="B1716" s="451"/>
      <c r="C1716" s="452"/>
      <c r="D1716" s="452"/>
      <c r="E1716" s="453"/>
      <c r="F1716" s="453"/>
      <c r="G1716" s="454"/>
      <c r="H1716" s="454"/>
      <c r="I1716" s="455"/>
      <c r="J1716" s="456"/>
      <c r="K1716" s="467" t="s">
        <v>1417</v>
      </c>
      <c r="L1716" s="468"/>
      <c r="M1716" s="469"/>
      <c r="N1716" s="470"/>
      <c r="O1716" s="470"/>
      <c r="P1716" s="471"/>
      <c r="Q1716" s="468"/>
      <c r="R1716" s="469"/>
      <c r="S1716" s="469"/>
      <c r="T1716" s="469"/>
      <c r="U1716" s="469"/>
      <c r="V1716" s="469"/>
      <c r="W1716" s="469"/>
      <c r="X1716" s="469"/>
      <c r="Y1716" s="462">
        <f t="shared" si="17"/>
        <v>0</v>
      </c>
      <c r="Z1716" s="463"/>
      <c r="AA1716" s="464"/>
      <c r="AB1716" s="465"/>
      <c r="AC1716" s="465"/>
      <c r="AD1716" s="465"/>
      <c r="AE1716" s="466"/>
      <c r="AF1716" s="449"/>
      <c r="AG1716" s="449"/>
      <c r="AH1716" s="449"/>
    </row>
    <row r="1717" ht="11.25" customHeight="1">
      <c r="A1717" s="450"/>
      <c r="B1717" s="472"/>
      <c r="C1717" s="473"/>
      <c r="D1717" s="473"/>
      <c r="E1717" s="474"/>
      <c r="F1717" s="474"/>
      <c r="G1717" s="475"/>
      <c r="H1717" s="475"/>
      <c r="I1717" s="476"/>
      <c r="J1717" s="477"/>
      <c r="K1717" s="478" t="s">
        <v>1418</v>
      </c>
      <c r="L1717" s="479"/>
      <c r="M1717" s="480"/>
      <c r="N1717" s="481"/>
      <c r="O1717" s="481"/>
      <c r="P1717" s="482"/>
      <c r="Q1717" s="479"/>
      <c r="R1717" s="480"/>
      <c r="S1717" s="480"/>
      <c r="T1717" s="480"/>
      <c r="U1717" s="480"/>
      <c r="V1717" s="480"/>
      <c r="W1717" s="480"/>
      <c r="X1717" s="480"/>
      <c r="Y1717" s="483">
        <f t="shared" si="17"/>
        <v>0</v>
      </c>
      <c r="Z1717" s="484"/>
      <c r="AA1717" s="485"/>
      <c r="AB1717" s="486"/>
      <c r="AC1717" s="486"/>
      <c r="AD1717" s="486"/>
      <c r="AE1717" s="487"/>
      <c r="AF1717" s="449"/>
      <c r="AG1717" s="449"/>
      <c r="AH1717" s="449"/>
    </row>
    <row r="1718" ht="11.25" customHeight="1">
      <c r="A1718" s="431" t="str">
        <f>IF(B1718="","", YEAR(B1718))</f>
        <v/>
      </c>
      <c r="B1718" s="432"/>
      <c r="C1718" s="433"/>
      <c r="D1718" s="433"/>
      <c r="E1718" s="434" t="str">
        <f t="shared" ref="E1718:I1718" si="866">IFERROR(AVERAGE(L1718:L1721),"")</f>
        <v/>
      </c>
      <c r="F1718" s="434" t="str">
        <f t="shared" si="866"/>
        <v/>
      </c>
      <c r="G1718" s="435" t="str">
        <f t="shared" si="866"/>
        <v/>
      </c>
      <c r="H1718" s="435" t="str">
        <f t="shared" si="866"/>
        <v/>
      </c>
      <c r="I1718" s="436" t="str">
        <f t="shared" si="866"/>
        <v/>
      </c>
      <c r="J1718" s="437">
        <f>SUMIFS(PRODUCTION[KG],PRODUCTION[GRADE],"3X50",PRODUCTION[DATE],B1718,PRODUCTION[BATCH],C1718,PRODUCTION[SHIFT],D1718)</f>
        <v>0</v>
      </c>
      <c r="K1718" s="438" t="s">
        <v>1414</v>
      </c>
      <c r="L1718" s="443"/>
      <c r="M1718" s="440"/>
      <c r="N1718" s="441"/>
      <c r="O1718" s="441"/>
      <c r="P1718" s="442"/>
      <c r="Q1718" s="443"/>
      <c r="R1718" s="440"/>
      <c r="S1718" s="440"/>
      <c r="T1718" s="440"/>
      <c r="U1718" s="440"/>
      <c r="V1718" s="440"/>
      <c r="W1718" s="440"/>
      <c r="X1718" s="440"/>
      <c r="Y1718" s="444">
        <f t="shared" si="17"/>
        <v>0</v>
      </c>
      <c r="Z1718" s="445"/>
      <c r="AA1718" s="446">
        <f t="shared" ref="AA1718:AE1718" si="867">$J1718*E1718</f>
        <v>0</v>
      </c>
      <c r="AB1718" s="447">
        <f t="shared" si="867"/>
        <v>0</v>
      </c>
      <c r="AC1718" s="447">
        <f t="shared" si="867"/>
        <v>0</v>
      </c>
      <c r="AD1718" s="447">
        <f t="shared" si="867"/>
        <v>0</v>
      </c>
      <c r="AE1718" s="448">
        <f t="shared" si="867"/>
        <v>0</v>
      </c>
      <c r="AF1718" s="449"/>
      <c r="AG1718" s="449"/>
      <c r="AH1718" s="449"/>
    </row>
    <row r="1719" ht="11.25" customHeight="1">
      <c r="A1719" s="450"/>
      <c r="B1719" s="451"/>
      <c r="C1719" s="452"/>
      <c r="D1719" s="452"/>
      <c r="E1719" s="453"/>
      <c r="F1719" s="453"/>
      <c r="G1719" s="454"/>
      <c r="H1719" s="454"/>
      <c r="I1719" s="455"/>
      <c r="J1719" s="456"/>
      <c r="K1719" s="457" t="s">
        <v>1416</v>
      </c>
      <c r="L1719" s="458"/>
      <c r="M1719" s="459"/>
      <c r="N1719" s="460"/>
      <c r="O1719" s="460"/>
      <c r="P1719" s="461"/>
      <c r="Q1719" s="458"/>
      <c r="R1719" s="459"/>
      <c r="S1719" s="459"/>
      <c r="T1719" s="459"/>
      <c r="U1719" s="459"/>
      <c r="V1719" s="459"/>
      <c r="W1719" s="459"/>
      <c r="X1719" s="459"/>
      <c r="Y1719" s="462">
        <f t="shared" si="17"/>
        <v>0</v>
      </c>
      <c r="Z1719" s="463"/>
      <c r="AA1719" s="464"/>
      <c r="AB1719" s="465"/>
      <c r="AC1719" s="465"/>
      <c r="AD1719" s="465"/>
      <c r="AE1719" s="466"/>
      <c r="AF1719" s="449"/>
      <c r="AG1719" s="449"/>
      <c r="AH1719" s="449"/>
    </row>
    <row r="1720" ht="11.25" customHeight="1">
      <c r="A1720" s="450"/>
      <c r="B1720" s="451"/>
      <c r="C1720" s="452"/>
      <c r="D1720" s="452"/>
      <c r="E1720" s="453"/>
      <c r="F1720" s="453"/>
      <c r="G1720" s="454"/>
      <c r="H1720" s="454"/>
      <c r="I1720" s="455"/>
      <c r="J1720" s="456"/>
      <c r="K1720" s="467" t="s">
        <v>1417</v>
      </c>
      <c r="L1720" s="468"/>
      <c r="M1720" s="469"/>
      <c r="N1720" s="470"/>
      <c r="O1720" s="470"/>
      <c r="P1720" s="471"/>
      <c r="Q1720" s="468"/>
      <c r="R1720" s="469"/>
      <c r="S1720" s="469"/>
      <c r="T1720" s="469"/>
      <c r="U1720" s="469"/>
      <c r="V1720" s="469"/>
      <c r="W1720" s="469"/>
      <c r="X1720" s="469"/>
      <c r="Y1720" s="462">
        <f t="shared" si="17"/>
        <v>0</v>
      </c>
      <c r="Z1720" s="463"/>
      <c r="AA1720" s="464"/>
      <c r="AB1720" s="465"/>
      <c r="AC1720" s="465"/>
      <c r="AD1720" s="465"/>
      <c r="AE1720" s="466"/>
      <c r="AF1720" s="449"/>
      <c r="AG1720" s="449"/>
      <c r="AH1720" s="449"/>
    </row>
    <row r="1721" ht="11.25" customHeight="1">
      <c r="A1721" s="450"/>
      <c r="B1721" s="472"/>
      <c r="C1721" s="473"/>
      <c r="D1721" s="473"/>
      <c r="E1721" s="474"/>
      <c r="F1721" s="474"/>
      <c r="G1721" s="475"/>
      <c r="H1721" s="475"/>
      <c r="I1721" s="476"/>
      <c r="J1721" s="477"/>
      <c r="K1721" s="478" t="s">
        <v>1418</v>
      </c>
      <c r="L1721" s="479"/>
      <c r="M1721" s="480"/>
      <c r="N1721" s="481"/>
      <c r="O1721" s="481"/>
      <c r="P1721" s="482"/>
      <c r="Q1721" s="479"/>
      <c r="R1721" s="480"/>
      <c r="S1721" s="480"/>
      <c r="T1721" s="480"/>
      <c r="U1721" s="480"/>
      <c r="V1721" s="480"/>
      <c r="W1721" s="480"/>
      <c r="X1721" s="480"/>
      <c r="Y1721" s="483">
        <f t="shared" si="17"/>
        <v>0</v>
      </c>
      <c r="Z1721" s="484"/>
      <c r="AA1721" s="485"/>
      <c r="AB1721" s="486"/>
      <c r="AC1721" s="486"/>
      <c r="AD1721" s="486"/>
      <c r="AE1721" s="487"/>
      <c r="AF1721" s="449"/>
      <c r="AG1721" s="449"/>
      <c r="AH1721" s="449"/>
    </row>
    <row r="1722" ht="11.25" customHeight="1">
      <c r="A1722" s="431" t="str">
        <f>IF(B1722="","", YEAR(B1722))</f>
        <v/>
      </c>
      <c r="B1722" s="432"/>
      <c r="C1722" s="433"/>
      <c r="D1722" s="433"/>
      <c r="E1722" s="434" t="str">
        <f t="shared" ref="E1722:I1722" si="868">IFERROR(AVERAGE(L1722:L1725),"")</f>
        <v/>
      </c>
      <c r="F1722" s="434" t="str">
        <f t="shared" si="868"/>
        <v/>
      </c>
      <c r="G1722" s="435" t="str">
        <f t="shared" si="868"/>
        <v/>
      </c>
      <c r="H1722" s="435" t="str">
        <f t="shared" si="868"/>
        <v/>
      </c>
      <c r="I1722" s="436" t="str">
        <f t="shared" si="868"/>
        <v/>
      </c>
      <c r="J1722" s="437">
        <f>SUMIFS(PRODUCTION[KG],PRODUCTION[GRADE],"3X50",PRODUCTION[DATE],B1722,PRODUCTION[BATCH],C1722,PRODUCTION[SHIFT],D1722)</f>
        <v>0</v>
      </c>
      <c r="K1722" s="438" t="s">
        <v>1414</v>
      </c>
      <c r="L1722" s="443"/>
      <c r="M1722" s="440"/>
      <c r="N1722" s="441"/>
      <c r="O1722" s="441"/>
      <c r="P1722" s="442"/>
      <c r="Q1722" s="443"/>
      <c r="R1722" s="440"/>
      <c r="S1722" s="440"/>
      <c r="T1722" s="440"/>
      <c r="U1722" s="440"/>
      <c r="V1722" s="440"/>
      <c r="W1722" s="440"/>
      <c r="X1722" s="440"/>
      <c r="Y1722" s="444">
        <f t="shared" si="17"/>
        <v>0</v>
      </c>
      <c r="Z1722" s="445"/>
      <c r="AA1722" s="446">
        <f t="shared" ref="AA1722:AE1722" si="869">$J1722*E1722</f>
        <v>0</v>
      </c>
      <c r="AB1722" s="447">
        <f t="shared" si="869"/>
        <v>0</v>
      </c>
      <c r="AC1722" s="447">
        <f t="shared" si="869"/>
        <v>0</v>
      </c>
      <c r="AD1722" s="447">
        <f t="shared" si="869"/>
        <v>0</v>
      </c>
      <c r="AE1722" s="448">
        <f t="shared" si="869"/>
        <v>0</v>
      </c>
      <c r="AF1722" s="449"/>
      <c r="AG1722" s="449"/>
      <c r="AH1722" s="449"/>
    </row>
    <row r="1723" ht="11.25" customHeight="1">
      <c r="A1723" s="450"/>
      <c r="B1723" s="451"/>
      <c r="C1723" s="452"/>
      <c r="D1723" s="452"/>
      <c r="E1723" s="453"/>
      <c r="F1723" s="453"/>
      <c r="G1723" s="454"/>
      <c r="H1723" s="454"/>
      <c r="I1723" s="455"/>
      <c r="J1723" s="456"/>
      <c r="K1723" s="457" t="s">
        <v>1416</v>
      </c>
      <c r="L1723" s="458"/>
      <c r="M1723" s="459"/>
      <c r="N1723" s="460"/>
      <c r="O1723" s="460"/>
      <c r="P1723" s="461"/>
      <c r="Q1723" s="458"/>
      <c r="R1723" s="459"/>
      <c r="S1723" s="459"/>
      <c r="T1723" s="459"/>
      <c r="U1723" s="459"/>
      <c r="V1723" s="459"/>
      <c r="W1723" s="459"/>
      <c r="X1723" s="459"/>
      <c r="Y1723" s="462">
        <f t="shared" si="17"/>
        <v>0</v>
      </c>
      <c r="Z1723" s="463"/>
      <c r="AA1723" s="464"/>
      <c r="AB1723" s="465"/>
      <c r="AC1723" s="465"/>
      <c r="AD1723" s="465"/>
      <c r="AE1723" s="466"/>
      <c r="AF1723" s="449"/>
      <c r="AG1723" s="449"/>
      <c r="AH1723" s="449"/>
    </row>
    <row r="1724" ht="11.25" customHeight="1">
      <c r="A1724" s="450"/>
      <c r="B1724" s="451"/>
      <c r="C1724" s="452"/>
      <c r="D1724" s="452"/>
      <c r="E1724" s="453"/>
      <c r="F1724" s="453"/>
      <c r="G1724" s="454"/>
      <c r="H1724" s="454"/>
      <c r="I1724" s="455"/>
      <c r="J1724" s="456"/>
      <c r="K1724" s="467" t="s">
        <v>1417</v>
      </c>
      <c r="L1724" s="468"/>
      <c r="M1724" s="469"/>
      <c r="N1724" s="470"/>
      <c r="O1724" s="470"/>
      <c r="P1724" s="471"/>
      <c r="Q1724" s="468"/>
      <c r="R1724" s="469"/>
      <c r="S1724" s="469"/>
      <c r="T1724" s="469"/>
      <c r="U1724" s="469"/>
      <c r="V1724" s="469"/>
      <c r="W1724" s="469"/>
      <c r="X1724" s="469"/>
      <c r="Y1724" s="462">
        <f t="shared" si="17"/>
        <v>0</v>
      </c>
      <c r="Z1724" s="463"/>
      <c r="AA1724" s="464"/>
      <c r="AB1724" s="465"/>
      <c r="AC1724" s="465"/>
      <c r="AD1724" s="465"/>
      <c r="AE1724" s="466"/>
      <c r="AF1724" s="449"/>
      <c r="AG1724" s="449"/>
      <c r="AH1724" s="449"/>
    </row>
    <row r="1725" ht="11.25" customHeight="1">
      <c r="A1725" s="450"/>
      <c r="B1725" s="472"/>
      <c r="C1725" s="473"/>
      <c r="D1725" s="473"/>
      <c r="E1725" s="474"/>
      <c r="F1725" s="474"/>
      <c r="G1725" s="475"/>
      <c r="H1725" s="475"/>
      <c r="I1725" s="476"/>
      <c r="J1725" s="477"/>
      <c r="K1725" s="478" t="s">
        <v>1418</v>
      </c>
      <c r="L1725" s="479"/>
      <c r="M1725" s="480"/>
      <c r="N1725" s="481"/>
      <c r="O1725" s="481"/>
      <c r="P1725" s="482"/>
      <c r="Q1725" s="479"/>
      <c r="R1725" s="480"/>
      <c r="S1725" s="480"/>
      <c r="T1725" s="480"/>
      <c r="U1725" s="480"/>
      <c r="V1725" s="480"/>
      <c r="W1725" s="480"/>
      <c r="X1725" s="480"/>
      <c r="Y1725" s="483">
        <f t="shared" si="17"/>
        <v>0</v>
      </c>
      <c r="Z1725" s="484"/>
      <c r="AA1725" s="485"/>
      <c r="AB1725" s="486"/>
      <c r="AC1725" s="486"/>
      <c r="AD1725" s="486"/>
      <c r="AE1725" s="487"/>
      <c r="AF1725" s="449"/>
      <c r="AG1725" s="449"/>
      <c r="AH1725" s="449"/>
    </row>
    <row r="1726" ht="11.25" customHeight="1">
      <c r="A1726" s="431" t="str">
        <f>IF(B1726="","", YEAR(B1726))</f>
        <v/>
      </c>
      <c r="B1726" s="432"/>
      <c r="C1726" s="433"/>
      <c r="D1726" s="433"/>
      <c r="E1726" s="434" t="str">
        <f t="shared" ref="E1726:I1726" si="870">IFERROR(AVERAGE(L1726:L1729),"")</f>
        <v/>
      </c>
      <c r="F1726" s="434" t="str">
        <f t="shared" si="870"/>
        <v/>
      </c>
      <c r="G1726" s="435" t="str">
        <f t="shared" si="870"/>
        <v/>
      </c>
      <c r="H1726" s="435" t="str">
        <f t="shared" si="870"/>
        <v/>
      </c>
      <c r="I1726" s="436" t="str">
        <f t="shared" si="870"/>
        <v/>
      </c>
      <c r="J1726" s="437">
        <f>SUMIFS(PRODUCTION[KG],PRODUCTION[GRADE],"3X50",PRODUCTION[DATE],B1726,PRODUCTION[BATCH],C1726,PRODUCTION[SHIFT],D1726)</f>
        <v>0</v>
      </c>
      <c r="K1726" s="438" t="s">
        <v>1414</v>
      </c>
      <c r="L1726" s="443"/>
      <c r="M1726" s="440"/>
      <c r="N1726" s="441"/>
      <c r="O1726" s="441"/>
      <c r="P1726" s="442"/>
      <c r="Q1726" s="443"/>
      <c r="R1726" s="440"/>
      <c r="S1726" s="440"/>
      <c r="T1726" s="440"/>
      <c r="U1726" s="440"/>
      <c r="V1726" s="440"/>
      <c r="W1726" s="440"/>
      <c r="X1726" s="440"/>
      <c r="Y1726" s="444">
        <f t="shared" si="17"/>
        <v>0</v>
      </c>
      <c r="Z1726" s="445"/>
      <c r="AA1726" s="446">
        <f t="shared" ref="AA1726:AE1726" si="871">$J1726*E1726</f>
        <v>0</v>
      </c>
      <c r="AB1726" s="447">
        <f t="shared" si="871"/>
        <v>0</v>
      </c>
      <c r="AC1726" s="447">
        <f t="shared" si="871"/>
        <v>0</v>
      </c>
      <c r="AD1726" s="447">
        <f t="shared" si="871"/>
        <v>0</v>
      </c>
      <c r="AE1726" s="448">
        <f t="shared" si="871"/>
        <v>0</v>
      </c>
      <c r="AF1726" s="449"/>
      <c r="AG1726" s="449"/>
      <c r="AH1726" s="449"/>
    </row>
    <row r="1727" ht="11.25" customHeight="1">
      <c r="A1727" s="450"/>
      <c r="B1727" s="451"/>
      <c r="C1727" s="452"/>
      <c r="D1727" s="452"/>
      <c r="E1727" s="453"/>
      <c r="F1727" s="453"/>
      <c r="G1727" s="454"/>
      <c r="H1727" s="454"/>
      <c r="I1727" s="455"/>
      <c r="J1727" s="456"/>
      <c r="K1727" s="457" t="s">
        <v>1416</v>
      </c>
      <c r="L1727" s="458"/>
      <c r="M1727" s="459"/>
      <c r="N1727" s="460"/>
      <c r="O1727" s="460"/>
      <c r="P1727" s="461"/>
      <c r="Q1727" s="458"/>
      <c r="R1727" s="459"/>
      <c r="S1727" s="459"/>
      <c r="T1727" s="459"/>
      <c r="U1727" s="459"/>
      <c r="V1727" s="459"/>
      <c r="W1727" s="459"/>
      <c r="X1727" s="459"/>
      <c r="Y1727" s="462">
        <f t="shared" si="17"/>
        <v>0</v>
      </c>
      <c r="Z1727" s="463"/>
      <c r="AA1727" s="464"/>
      <c r="AB1727" s="465"/>
      <c r="AC1727" s="465"/>
      <c r="AD1727" s="465"/>
      <c r="AE1727" s="466"/>
      <c r="AF1727" s="449"/>
      <c r="AG1727" s="449"/>
      <c r="AH1727" s="449"/>
    </row>
    <row r="1728" ht="11.25" customHeight="1">
      <c r="A1728" s="450"/>
      <c r="B1728" s="451"/>
      <c r="C1728" s="452"/>
      <c r="D1728" s="452"/>
      <c r="E1728" s="453"/>
      <c r="F1728" s="453"/>
      <c r="G1728" s="454"/>
      <c r="H1728" s="454"/>
      <c r="I1728" s="455"/>
      <c r="J1728" s="456"/>
      <c r="K1728" s="467" t="s">
        <v>1417</v>
      </c>
      <c r="L1728" s="468"/>
      <c r="M1728" s="469"/>
      <c r="N1728" s="470"/>
      <c r="O1728" s="470"/>
      <c r="P1728" s="471"/>
      <c r="Q1728" s="468"/>
      <c r="R1728" s="469"/>
      <c r="S1728" s="469"/>
      <c r="T1728" s="469"/>
      <c r="U1728" s="469"/>
      <c r="V1728" s="469"/>
      <c r="W1728" s="469"/>
      <c r="X1728" s="469"/>
      <c r="Y1728" s="462">
        <f t="shared" si="17"/>
        <v>0</v>
      </c>
      <c r="Z1728" s="463"/>
      <c r="AA1728" s="464"/>
      <c r="AB1728" s="465"/>
      <c r="AC1728" s="465"/>
      <c r="AD1728" s="465"/>
      <c r="AE1728" s="466"/>
      <c r="AF1728" s="449"/>
      <c r="AG1728" s="449"/>
      <c r="AH1728" s="449"/>
    </row>
    <row r="1729" ht="11.25" customHeight="1">
      <c r="A1729" s="450"/>
      <c r="B1729" s="472"/>
      <c r="C1729" s="473"/>
      <c r="D1729" s="473"/>
      <c r="E1729" s="474"/>
      <c r="F1729" s="474"/>
      <c r="G1729" s="475"/>
      <c r="H1729" s="475"/>
      <c r="I1729" s="476"/>
      <c r="J1729" s="477"/>
      <c r="K1729" s="478" t="s">
        <v>1418</v>
      </c>
      <c r="L1729" s="479"/>
      <c r="M1729" s="480"/>
      <c r="N1729" s="481"/>
      <c r="O1729" s="481"/>
      <c r="P1729" s="482"/>
      <c r="Q1729" s="479"/>
      <c r="R1729" s="480"/>
      <c r="S1729" s="480"/>
      <c r="T1729" s="480"/>
      <c r="U1729" s="480"/>
      <c r="V1729" s="480"/>
      <c r="W1729" s="480"/>
      <c r="X1729" s="480"/>
      <c r="Y1729" s="483">
        <f t="shared" si="17"/>
        <v>0</v>
      </c>
      <c r="Z1729" s="484"/>
      <c r="AA1729" s="485"/>
      <c r="AB1729" s="486"/>
      <c r="AC1729" s="486"/>
      <c r="AD1729" s="486"/>
      <c r="AE1729" s="487"/>
      <c r="AF1729" s="449"/>
      <c r="AG1729" s="449"/>
      <c r="AH1729" s="449"/>
    </row>
    <row r="1730" ht="11.25" customHeight="1">
      <c r="A1730" s="431" t="str">
        <f>IF(B1730="","", YEAR(B1730))</f>
        <v/>
      </c>
      <c r="B1730" s="432"/>
      <c r="C1730" s="433"/>
      <c r="D1730" s="433"/>
      <c r="E1730" s="434" t="str">
        <f t="shared" ref="E1730:I1730" si="872">IFERROR(AVERAGE(L1730:L1733),"")</f>
        <v/>
      </c>
      <c r="F1730" s="434" t="str">
        <f t="shared" si="872"/>
        <v/>
      </c>
      <c r="G1730" s="435" t="str">
        <f t="shared" si="872"/>
        <v/>
      </c>
      <c r="H1730" s="435" t="str">
        <f t="shared" si="872"/>
        <v/>
      </c>
      <c r="I1730" s="436" t="str">
        <f t="shared" si="872"/>
        <v/>
      </c>
      <c r="J1730" s="437">
        <f>SUMIFS(PRODUCTION[KG],PRODUCTION[GRADE],"3X50",PRODUCTION[DATE],B1730,PRODUCTION[BATCH],C1730,PRODUCTION[SHIFT],D1730)</f>
        <v>0</v>
      </c>
      <c r="K1730" s="438" t="s">
        <v>1414</v>
      </c>
      <c r="L1730" s="443"/>
      <c r="M1730" s="440"/>
      <c r="N1730" s="441"/>
      <c r="O1730" s="441"/>
      <c r="P1730" s="442"/>
      <c r="Q1730" s="443"/>
      <c r="R1730" s="440"/>
      <c r="S1730" s="440"/>
      <c r="T1730" s="440"/>
      <c r="U1730" s="440"/>
      <c r="V1730" s="440"/>
      <c r="W1730" s="440"/>
      <c r="X1730" s="440"/>
      <c r="Y1730" s="444">
        <f t="shared" si="17"/>
        <v>0</v>
      </c>
      <c r="Z1730" s="445"/>
      <c r="AA1730" s="446">
        <f t="shared" ref="AA1730:AE1730" si="873">$J1730*E1730</f>
        <v>0</v>
      </c>
      <c r="AB1730" s="447">
        <f t="shared" si="873"/>
        <v>0</v>
      </c>
      <c r="AC1730" s="447">
        <f t="shared" si="873"/>
        <v>0</v>
      </c>
      <c r="AD1730" s="447">
        <f t="shared" si="873"/>
        <v>0</v>
      </c>
      <c r="AE1730" s="448">
        <f t="shared" si="873"/>
        <v>0</v>
      </c>
      <c r="AF1730" s="449"/>
      <c r="AG1730" s="449"/>
      <c r="AH1730" s="449"/>
    </row>
    <row r="1731" ht="11.25" customHeight="1">
      <c r="A1731" s="450"/>
      <c r="B1731" s="451"/>
      <c r="C1731" s="452"/>
      <c r="D1731" s="452"/>
      <c r="E1731" s="453"/>
      <c r="F1731" s="453"/>
      <c r="G1731" s="454"/>
      <c r="H1731" s="454"/>
      <c r="I1731" s="455"/>
      <c r="J1731" s="456"/>
      <c r="K1731" s="457" t="s">
        <v>1416</v>
      </c>
      <c r="L1731" s="458"/>
      <c r="M1731" s="459"/>
      <c r="N1731" s="460"/>
      <c r="O1731" s="460"/>
      <c r="P1731" s="461"/>
      <c r="Q1731" s="458"/>
      <c r="R1731" s="459"/>
      <c r="S1731" s="459"/>
      <c r="T1731" s="459"/>
      <c r="U1731" s="459"/>
      <c r="V1731" s="459"/>
      <c r="W1731" s="459"/>
      <c r="X1731" s="459"/>
      <c r="Y1731" s="462">
        <f t="shared" si="17"/>
        <v>0</v>
      </c>
      <c r="Z1731" s="463"/>
      <c r="AA1731" s="464"/>
      <c r="AB1731" s="465"/>
      <c r="AC1731" s="465"/>
      <c r="AD1731" s="465"/>
      <c r="AE1731" s="466"/>
      <c r="AF1731" s="449"/>
      <c r="AG1731" s="449"/>
      <c r="AH1731" s="449"/>
    </row>
    <row r="1732" ht="11.25" customHeight="1">
      <c r="A1732" s="450"/>
      <c r="B1732" s="451"/>
      <c r="C1732" s="452"/>
      <c r="D1732" s="452"/>
      <c r="E1732" s="453"/>
      <c r="F1732" s="453"/>
      <c r="G1732" s="454"/>
      <c r="H1732" s="454"/>
      <c r="I1732" s="455"/>
      <c r="J1732" s="456"/>
      <c r="K1732" s="467" t="s">
        <v>1417</v>
      </c>
      <c r="L1732" s="468"/>
      <c r="M1732" s="469"/>
      <c r="N1732" s="470"/>
      <c r="O1732" s="470"/>
      <c r="P1732" s="471"/>
      <c r="Q1732" s="468"/>
      <c r="R1732" s="469"/>
      <c r="S1732" s="469"/>
      <c r="T1732" s="469"/>
      <c r="U1732" s="469"/>
      <c r="V1732" s="469"/>
      <c r="W1732" s="469"/>
      <c r="X1732" s="469"/>
      <c r="Y1732" s="462">
        <f t="shared" si="17"/>
        <v>0</v>
      </c>
      <c r="Z1732" s="463"/>
      <c r="AA1732" s="464"/>
      <c r="AB1732" s="465"/>
      <c r="AC1732" s="465"/>
      <c r="AD1732" s="465"/>
      <c r="AE1732" s="466"/>
      <c r="AF1732" s="449"/>
      <c r="AG1732" s="449"/>
      <c r="AH1732" s="449"/>
    </row>
    <row r="1733" ht="11.25" customHeight="1">
      <c r="A1733" s="450"/>
      <c r="B1733" s="472"/>
      <c r="C1733" s="473"/>
      <c r="D1733" s="473"/>
      <c r="E1733" s="474"/>
      <c r="F1733" s="474"/>
      <c r="G1733" s="475"/>
      <c r="H1733" s="475"/>
      <c r="I1733" s="476"/>
      <c r="J1733" s="477"/>
      <c r="K1733" s="478" t="s">
        <v>1418</v>
      </c>
      <c r="L1733" s="479"/>
      <c r="M1733" s="480"/>
      <c r="N1733" s="481"/>
      <c r="O1733" s="481"/>
      <c r="P1733" s="482"/>
      <c r="Q1733" s="479"/>
      <c r="R1733" s="480"/>
      <c r="S1733" s="480"/>
      <c r="T1733" s="480"/>
      <c r="U1733" s="480"/>
      <c r="V1733" s="480"/>
      <c r="W1733" s="480"/>
      <c r="X1733" s="480"/>
      <c r="Y1733" s="483">
        <f t="shared" si="17"/>
        <v>0</v>
      </c>
      <c r="Z1733" s="484"/>
      <c r="AA1733" s="485"/>
      <c r="AB1733" s="486"/>
      <c r="AC1733" s="486"/>
      <c r="AD1733" s="486"/>
      <c r="AE1733" s="487"/>
      <c r="AF1733" s="449"/>
      <c r="AG1733" s="449"/>
      <c r="AH1733" s="449"/>
    </row>
    <row r="1734" ht="11.25" customHeight="1">
      <c r="A1734" s="431" t="str">
        <f>IF(B1734="","", YEAR(B1734))</f>
        <v/>
      </c>
      <c r="B1734" s="432"/>
      <c r="C1734" s="433"/>
      <c r="D1734" s="433"/>
      <c r="E1734" s="434" t="str">
        <f t="shared" ref="E1734:I1734" si="874">IFERROR(AVERAGE(L1734:L1737),"")</f>
        <v/>
      </c>
      <c r="F1734" s="434" t="str">
        <f t="shared" si="874"/>
        <v/>
      </c>
      <c r="G1734" s="435" t="str">
        <f t="shared" si="874"/>
        <v/>
      </c>
      <c r="H1734" s="435" t="str">
        <f t="shared" si="874"/>
        <v/>
      </c>
      <c r="I1734" s="436" t="str">
        <f t="shared" si="874"/>
        <v/>
      </c>
      <c r="J1734" s="437">
        <f>SUMIFS(PRODUCTION[KG],PRODUCTION[GRADE],"3X50",PRODUCTION[DATE],B1734,PRODUCTION[BATCH],C1734,PRODUCTION[SHIFT],D1734)</f>
        <v>0</v>
      </c>
      <c r="K1734" s="438" t="s">
        <v>1414</v>
      </c>
      <c r="L1734" s="443"/>
      <c r="M1734" s="440"/>
      <c r="N1734" s="441"/>
      <c r="O1734" s="441"/>
      <c r="P1734" s="442"/>
      <c r="Q1734" s="443"/>
      <c r="R1734" s="440"/>
      <c r="S1734" s="440"/>
      <c r="T1734" s="440"/>
      <c r="U1734" s="440"/>
      <c r="V1734" s="440"/>
      <c r="W1734" s="440"/>
      <c r="X1734" s="440"/>
      <c r="Y1734" s="444">
        <f t="shared" si="17"/>
        <v>0</v>
      </c>
      <c r="Z1734" s="445"/>
      <c r="AA1734" s="446">
        <f t="shared" ref="AA1734:AE1734" si="875">$J1734*E1734</f>
        <v>0</v>
      </c>
      <c r="AB1734" s="447">
        <f t="shared" si="875"/>
        <v>0</v>
      </c>
      <c r="AC1734" s="447">
        <f t="shared" si="875"/>
        <v>0</v>
      </c>
      <c r="AD1734" s="447">
        <f t="shared" si="875"/>
        <v>0</v>
      </c>
      <c r="AE1734" s="448">
        <f t="shared" si="875"/>
        <v>0</v>
      </c>
      <c r="AF1734" s="449"/>
      <c r="AG1734" s="449"/>
      <c r="AH1734" s="449"/>
    </row>
    <row r="1735" ht="11.25" customHeight="1">
      <c r="A1735" s="450"/>
      <c r="B1735" s="451"/>
      <c r="C1735" s="452"/>
      <c r="D1735" s="452"/>
      <c r="E1735" s="453"/>
      <c r="F1735" s="453"/>
      <c r="G1735" s="454"/>
      <c r="H1735" s="454"/>
      <c r="I1735" s="455"/>
      <c r="J1735" s="456"/>
      <c r="K1735" s="457" t="s">
        <v>1416</v>
      </c>
      <c r="L1735" s="458"/>
      <c r="M1735" s="459"/>
      <c r="N1735" s="460"/>
      <c r="O1735" s="460"/>
      <c r="P1735" s="461"/>
      <c r="Q1735" s="458"/>
      <c r="R1735" s="459"/>
      <c r="S1735" s="459"/>
      <c r="T1735" s="459"/>
      <c r="U1735" s="459"/>
      <c r="V1735" s="459"/>
      <c r="W1735" s="459"/>
      <c r="X1735" s="459"/>
      <c r="Y1735" s="462">
        <f t="shared" si="17"/>
        <v>0</v>
      </c>
      <c r="Z1735" s="463"/>
      <c r="AA1735" s="464"/>
      <c r="AB1735" s="465"/>
      <c r="AC1735" s="465"/>
      <c r="AD1735" s="465"/>
      <c r="AE1735" s="466"/>
      <c r="AF1735" s="449"/>
      <c r="AG1735" s="449"/>
      <c r="AH1735" s="449"/>
    </row>
    <row r="1736" ht="11.25" customHeight="1">
      <c r="A1736" s="450"/>
      <c r="B1736" s="451"/>
      <c r="C1736" s="452"/>
      <c r="D1736" s="452"/>
      <c r="E1736" s="453"/>
      <c r="F1736" s="453"/>
      <c r="G1736" s="454"/>
      <c r="H1736" s="454"/>
      <c r="I1736" s="455"/>
      <c r="J1736" s="456"/>
      <c r="K1736" s="467" t="s">
        <v>1417</v>
      </c>
      <c r="L1736" s="468"/>
      <c r="M1736" s="469"/>
      <c r="N1736" s="470"/>
      <c r="O1736" s="470"/>
      <c r="P1736" s="471"/>
      <c r="Q1736" s="468"/>
      <c r="R1736" s="469"/>
      <c r="S1736" s="469"/>
      <c r="T1736" s="469"/>
      <c r="U1736" s="469"/>
      <c r="V1736" s="469"/>
      <c r="W1736" s="469"/>
      <c r="X1736" s="469"/>
      <c r="Y1736" s="462">
        <f t="shared" si="17"/>
        <v>0</v>
      </c>
      <c r="Z1736" s="463"/>
      <c r="AA1736" s="464"/>
      <c r="AB1736" s="465"/>
      <c r="AC1736" s="465"/>
      <c r="AD1736" s="465"/>
      <c r="AE1736" s="466"/>
      <c r="AF1736" s="449"/>
      <c r="AG1736" s="449"/>
      <c r="AH1736" s="449"/>
    </row>
    <row r="1737" ht="11.25" customHeight="1">
      <c r="A1737" s="450"/>
      <c r="B1737" s="472"/>
      <c r="C1737" s="473"/>
      <c r="D1737" s="473"/>
      <c r="E1737" s="474"/>
      <c r="F1737" s="474"/>
      <c r="G1737" s="475"/>
      <c r="H1737" s="475"/>
      <c r="I1737" s="476"/>
      <c r="J1737" s="477"/>
      <c r="K1737" s="478" t="s">
        <v>1418</v>
      </c>
      <c r="L1737" s="479"/>
      <c r="M1737" s="480"/>
      <c r="N1737" s="481"/>
      <c r="O1737" s="481"/>
      <c r="P1737" s="482"/>
      <c r="Q1737" s="479"/>
      <c r="R1737" s="480"/>
      <c r="S1737" s="480"/>
      <c r="T1737" s="480"/>
      <c r="U1737" s="480"/>
      <c r="V1737" s="480"/>
      <c r="W1737" s="480"/>
      <c r="X1737" s="480"/>
      <c r="Y1737" s="483">
        <f t="shared" si="17"/>
        <v>0</v>
      </c>
      <c r="Z1737" s="484"/>
      <c r="AA1737" s="485"/>
      <c r="AB1737" s="486"/>
      <c r="AC1737" s="486"/>
      <c r="AD1737" s="486"/>
      <c r="AE1737" s="487"/>
      <c r="AF1737" s="449"/>
      <c r="AG1737" s="449"/>
      <c r="AH1737" s="449"/>
    </row>
    <row r="1738" ht="11.25" customHeight="1">
      <c r="A1738" s="431" t="str">
        <f>IF(B1738="","", YEAR(B1738))</f>
        <v/>
      </c>
      <c r="B1738" s="432"/>
      <c r="C1738" s="433"/>
      <c r="D1738" s="433"/>
      <c r="E1738" s="434" t="str">
        <f t="shared" ref="E1738:I1738" si="876">IFERROR(AVERAGE(L1738:L1741),"")</f>
        <v/>
      </c>
      <c r="F1738" s="434" t="str">
        <f t="shared" si="876"/>
        <v/>
      </c>
      <c r="G1738" s="435" t="str">
        <f t="shared" si="876"/>
        <v/>
      </c>
      <c r="H1738" s="435" t="str">
        <f t="shared" si="876"/>
        <v/>
      </c>
      <c r="I1738" s="436" t="str">
        <f t="shared" si="876"/>
        <v/>
      </c>
      <c r="J1738" s="437">
        <f>SUMIFS(PRODUCTION[KG],PRODUCTION[GRADE],"3X50",PRODUCTION[DATE],B1738,PRODUCTION[BATCH],C1738,PRODUCTION[SHIFT],D1738)</f>
        <v>0</v>
      </c>
      <c r="K1738" s="438" t="s">
        <v>1414</v>
      </c>
      <c r="L1738" s="443"/>
      <c r="M1738" s="440"/>
      <c r="N1738" s="441"/>
      <c r="O1738" s="441"/>
      <c r="P1738" s="442"/>
      <c r="Q1738" s="443"/>
      <c r="R1738" s="440"/>
      <c r="S1738" s="440"/>
      <c r="T1738" s="440"/>
      <c r="U1738" s="440"/>
      <c r="V1738" s="440"/>
      <c r="W1738" s="440"/>
      <c r="X1738" s="440"/>
      <c r="Y1738" s="444">
        <f t="shared" si="17"/>
        <v>0</v>
      </c>
      <c r="Z1738" s="445"/>
      <c r="AA1738" s="446">
        <f t="shared" ref="AA1738:AE1738" si="877">$J1738*E1738</f>
        <v>0</v>
      </c>
      <c r="AB1738" s="447">
        <f t="shared" si="877"/>
        <v>0</v>
      </c>
      <c r="AC1738" s="447">
        <f t="shared" si="877"/>
        <v>0</v>
      </c>
      <c r="AD1738" s="447">
        <f t="shared" si="877"/>
        <v>0</v>
      </c>
      <c r="AE1738" s="448">
        <f t="shared" si="877"/>
        <v>0</v>
      </c>
      <c r="AF1738" s="449"/>
      <c r="AG1738" s="449"/>
      <c r="AH1738" s="449"/>
    </row>
    <row r="1739" ht="11.25" customHeight="1">
      <c r="A1739" s="450"/>
      <c r="B1739" s="451"/>
      <c r="C1739" s="452"/>
      <c r="D1739" s="452"/>
      <c r="E1739" s="453"/>
      <c r="F1739" s="453"/>
      <c r="G1739" s="454"/>
      <c r="H1739" s="454"/>
      <c r="I1739" s="455"/>
      <c r="J1739" s="456"/>
      <c r="K1739" s="457" t="s">
        <v>1416</v>
      </c>
      <c r="L1739" s="458"/>
      <c r="M1739" s="459"/>
      <c r="N1739" s="460"/>
      <c r="O1739" s="460"/>
      <c r="P1739" s="461"/>
      <c r="Q1739" s="458"/>
      <c r="R1739" s="459"/>
      <c r="S1739" s="459"/>
      <c r="T1739" s="459"/>
      <c r="U1739" s="459"/>
      <c r="V1739" s="459"/>
      <c r="W1739" s="459"/>
      <c r="X1739" s="459"/>
      <c r="Y1739" s="462">
        <f t="shared" si="17"/>
        <v>0</v>
      </c>
      <c r="Z1739" s="463"/>
      <c r="AA1739" s="464"/>
      <c r="AB1739" s="465"/>
      <c r="AC1739" s="465"/>
      <c r="AD1739" s="465"/>
      <c r="AE1739" s="466"/>
      <c r="AF1739" s="449"/>
      <c r="AG1739" s="449"/>
      <c r="AH1739" s="449"/>
    </row>
    <row r="1740" ht="11.25" customHeight="1">
      <c r="A1740" s="450"/>
      <c r="B1740" s="451"/>
      <c r="C1740" s="452"/>
      <c r="D1740" s="452"/>
      <c r="E1740" s="453"/>
      <c r="F1740" s="453"/>
      <c r="G1740" s="454"/>
      <c r="H1740" s="454"/>
      <c r="I1740" s="455"/>
      <c r="J1740" s="456"/>
      <c r="K1740" s="467" t="s">
        <v>1417</v>
      </c>
      <c r="L1740" s="468"/>
      <c r="M1740" s="469"/>
      <c r="N1740" s="470"/>
      <c r="O1740" s="470"/>
      <c r="P1740" s="471"/>
      <c r="Q1740" s="468"/>
      <c r="R1740" s="469"/>
      <c r="S1740" s="469"/>
      <c r="T1740" s="469"/>
      <c r="U1740" s="469"/>
      <c r="V1740" s="469"/>
      <c r="W1740" s="469"/>
      <c r="X1740" s="469"/>
      <c r="Y1740" s="462">
        <f t="shared" si="17"/>
        <v>0</v>
      </c>
      <c r="Z1740" s="463"/>
      <c r="AA1740" s="464"/>
      <c r="AB1740" s="465"/>
      <c r="AC1740" s="465"/>
      <c r="AD1740" s="465"/>
      <c r="AE1740" s="466"/>
      <c r="AF1740" s="449"/>
      <c r="AG1740" s="449"/>
      <c r="AH1740" s="449"/>
    </row>
    <row r="1741" ht="11.25" customHeight="1">
      <c r="A1741" s="450"/>
      <c r="B1741" s="472"/>
      <c r="C1741" s="473"/>
      <c r="D1741" s="473"/>
      <c r="E1741" s="474"/>
      <c r="F1741" s="474"/>
      <c r="G1741" s="475"/>
      <c r="H1741" s="475"/>
      <c r="I1741" s="476"/>
      <c r="J1741" s="477"/>
      <c r="K1741" s="478" t="s">
        <v>1418</v>
      </c>
      <c r="L1741" s="479"/>
      <c r="M1741" s="480"/>
      <c r="N1741" s="481"/>
      <c r="O1741" s="481"/>
      <c r="P1741" s="482"/>
      <c r="Q1741" s="479"/>
      <c r="R1741" s="480"/>
      <c r="S1741" s="480"/>
      <c r="T1741" s="480"/>
      <c r="U1741" s="480"/>
      <c r="V1741" s="480"/>
      <c r="W1741" s="480"/>
      <c r="X1741" s="480"/>
      <c r="Y1741" s="483">
        <f t="shared" si="17"/>
        <v>0</v>
      </c>
      <c r="Z1741" s="484"/>
      <c r="AA1741" s="485"/>
      <c r="AB1741" s="486"/>
      <c r="AC1741" s="486"/>
      <c r="AD1741" s="486"/>
      <c r="AE1741" s="487"/>
      <c r="AF1741" s="449"/>
      <c r="AG1741" s="449"/>
      <c r="AH1741" s="449"/>
    </row>
    <row r="1742" ht="11.25" customHeight="1">
      <c r="A1742" s="431" t="str">
        <f>IF(B1742="","", YEAR(B1742))</f>
        <v/>
      </c>
      <c r="B1742" s="432"/>
      <c r="C1742" s="433"/>
      <c r="D1742" s="433"/>
      <c r="E1742" s="434" t="str">
        <f t="shared" ref="E1742:I1742" si="878">IFERROR(AVERAGE(L1742:L1745),"")</f>
        <v/>
      </c>
      <c r="F1742" s="434" t="str">
        <f t="shared" si="878"/>
        <v/>
      </c>
      <c r="G1742" s="435" t="str">
        <f t="shared" si="878"/>
        <v/>
      </c>
      <c r="H1742" s="435" t="str">
        <f t="shared" si="878"/>
        <v/>
      </c>
      <c r="I1742" s="436" t="str">
        <f t="shared" si="878"/>
        <v/>
      </c>
      <c r="J1742" s="437">
        <f>SUMIFS(PRODUCTION[KG],PRODUCTION[GRADE],"3X50",PRODUCTION[DATE],B1742,PRODUCTION[BATCH],C1742,PRODUCTION[SHIFT],D1742)</f>
        <v>0</v>
      </c>
      <c r="K1742" s="438" t="s">
        <v>1414</v>
      </c>
      <c r="L1742" s="443"/>
      <c r="M1742" s="440"/>
      <c r="N1742" s="441"/>
      <c r="O1742" s="441"/>
      <c r="P1742" s="442"/>
      <c r="Q1742" s="443"/>
      <c r="R1742" s="440"/>
      <c r="S1742" s="440"/>
      <c r="T1742" s="440"/>
      <c r="U1742" s="440"/>
      <c r="V1742" s="440"/>
      <c r="W1742" s="440"/>
      <c r="X1742" s="440"/>
      <c r="Y1742" s="444">
        <f t="shared" si="17"/>
        <v>0</v>
      </c>
      <c r="Z1742" s="445"/>
      <c r="AA1742" s="446">
        <f t="shared" ref="AA1742:AE1742" si="879">$J1742*E1742</f>
        <v>0</v>
      </c>
      <c r="AB1742" s="447">
        <f t="shared" si="879"/>
        <v>0</v>
      </c>
      <c r="AC1742" s="447">
        <f t="shared" si="879"/>
        <v>0</v>
      </c>
      <c r="AD1742" s="447">
        <f t="shared" si="879"/>
        <v>0</v>
      </c>
      <c r="AE1742" s="448">
        <f t="shared" si="879"/>
        <v>0</v>
      </c>
      <c r="AF1742" s="449"/>
      <c r="AG1742" s="449"/>
      <c r="AH1742" s="449"/>
    </row>
    <row r="1743" ht="11.25" customHeight="1">
      <c r="A1743" s="450"/>
      <c r="B1743" s="451"/>
      <c r="C1743" s="452"/>
      <c r="D1743" s="452"/>
      <c r="E1743" s="453"/>
      <c r="F1743" s="453"/>
      <c r="G1743" s="454"/>
      <c r="H1743" s="454"/>
      <c r="I1743" s="455"/>
      <c r="J1743" s="456"/>
      <c r="K1743" s="457" t="s">
        <v>1416</v>
      </c>
      <c r="L1743" s="458"/>
      <c r="M1743" s="459"/>
      <c r="N1743" s="460"/>
      <c r="O1743" s="460"/>
      <c r="P1743" s="461"/>
      <c r="Q1743" s="458"/>
      <c r="R1743" s="459"/>
      <c r="S1743" s="459"/>
      <c r="T1743" s="459"/>
      <c r="U1743" s="459"/>
      <c r="V1743" s="459"/>
      <c r="W1743" s="459"/>
      <c r="X1743" s="459"/>
      <c r="Y1743" s="462">
        <f t="shared" si="17"/>
        <v>0</v>
      </c>
      <c r="Z1743" s="463"/>
      <c r="AA1743" s="464"/>
      <c r="AB1743" s="465"/>
      <c r="AC1743" s="465"/>
      <c r="AD1743" s="465"/>
      <c r="AE1743" s="466"/>
      <c r="AF1743" s="449"/>
      <c r="AG1743" s="449"/>
      <c r="AH1743" s="449"/>
    </row>
    <row r="1744" ht="11.25" customHeight="1">
      <c r="A1744" s="450"/>
      <c r="B1744" s="451"/>
      <c r="C1744" s="452"/>
      <c r="D1744" s="452"/>
      <c r="E1744" s="453"/>
      <c r="F1744" s="453"/>
      <c r="G1744" s="454"/>
      <c r="H1744" s="454"/>
      <c r="I1744" s="455"/>
      <c r="J1744" s="456"/>
      <c r="K1744" s="467" t="s">
        <v>1417</v>
      </c>
      <c r="L1744" s="468"/>
      <c r="M1744" s="469"/>
      <c r="N1744" s="470"/>
      <c r="O1744" s="470"/>
      <c r="P1744" s="471"/>
      <c r="Q1744" s="468"/>
      <c r="R1744" s="469"/>
      <c r="S1744" s="469"/>
      <c r="T1744" s="469"/>
      <c r="U1744" s="469"/>
      <c r="V1744" s="469"/>
      <c r="W1744" s="469"/>
      <c r="X1744" s="469"/>
      <c r="Y1744" s="462">
        <f t="shared" si="17"/>
        <v>0</v>
      </c>
      <c r="Z1744" s="463"/>
      <c r="AA1744" s="464"/>
      <c r="AB1744" s="465"/>
      <c r="AC1744" s="465"/>
      <c r="AD1744" s="465"/>
      <c r="AE1744" s="466"/>
      <c r="AF1744" s="449"/>
      <c r="AG1744" s="449"/>
      <c r="AH1744" s="449"/>
    </row>
    <row r="1745" ht="11.25" customHeight="1">
      <c r="A1745" s="450"/>
      <c r="B1745" s="472"/>
      <c r="C1745" s="473"/>
      <c r="D1745" s="473"/>
      <c r="E1745" s="474"/>
      <c r="F1745" s="474"/>
      <c r="G1745" s="475"/>
      <c r="H1745" s="475"/>
      <c r="I1745" s="476"/>
      <c r="J1745" s="477"/>
      <c r="K1745" s="478" t="s">
        <v>1418</v>
      </c>
      <c r="L1745" s="479"/>
      <c r="M1745" s="480"/>
      <c r="N1745" s="481"/>
      <c r="O1745" s="481"/>
      <c r="P1745" s="482"/>
      <c r="Q1745" s="479"/>
      <c r="R1745" s="480"/>
      <c r="S1745" s="480"/>
      <c r="T1745" s="480"/>
      <c r="U1745" s="480"/>
      <c r="V1745" s="480"/>
      <c r="W1745" s="480"/>
      <c r="X1745" s="480"/>
      <c r="Y1745" s="483">
        <f t="shared" si="17"/>
        <v>0</v>
      </c>
      <c r="Z1745" s="484"/>
      <c r="AA1745" s="485"/>
      <c r="AB1745" s="486"/>
      <c r="AC1745" s="486"/>
      <c r="AD1745" s="486"/>
      <c r="AE1745" s="487"/>
      <c r="AF1745" s="449"/>
      <c r="AG1745" s="449"/>
      <c r="AH1745" s="449"/>
    </row>
    <row r="1746" ht="11.25" customHeight="1">
      <c r="A1746" s="431" t="str">
        <f>IF(B1746="","", YEAR(B1746))</f>
        <v/>
      </c>
      <c r="B1746" s="432"/>
      <c r="C1746" s="433"/>
      <c r="D1746" s="433"/>
      <c r="E1746" s="434" t="str">
        <f t="shared" ref="E1746:I1746" si="880">IFERROR(AVERAGE(L1746:L1749),"")</f>
        <v/>
      </c>
      <c r="F1746" s="434" t="str">
        <f t="shared" si="880"/>
        <v/>
      </c>
      <c r="G1746" s="435" t="str">
        <f t="shared" si="880"/>
        <v/>
      </c>
      <c r="H1746" s="435" t="str">
        <f t="shared" si="880"/>
        <v/>
      </c>
      <c r="I1746" s="436" t="str">
        <f t="shared" si="880"/>
        <v/>
      </c>
      <c r="J1746" s="437">
        <f>SUMIFS(PRODUCTION[KG],PRODUCTION[GRADE],"3X50",PRODUCTION[DATE],B1746,PRODUCTION[BATCH],C1746,PRODUCTION[SHIFT],D1746)</f>
        <v>0</v>
      </c>
      <c r="K1746" s="438" t="s">
        <v>1414</v>
      </c>
      <c r="L1746" s="443"/>
      <c r="M1746" s="440"/>
      <c r="N1746" s="441"/>
      <c r="O1746" s="441"/>
      <c r="P1746" s="442"/>
      <c r="Q1746" s="443"/>
      <c r="R1746" s="440"/>
      <c r="S1746" s="440"/>
      <c r="T1746" s="440"/>
      <c r="U1746" s="440"/>
      <c r="V1746" s="440"/>
      <c r="W1746" s="440"/>
      <c r="X1746" s="440"/>
      <c r="Y1746" s="444">
        <f t="shared" si="17"/>
        <v>0</v>
      </c>
      <c r="Z1746" s="445"/>
      <c r="AA1746" s="446">
        <f t="shared" ref="AA1746:AE1746" si="881">$J1746*E1746</f>
        <v>0</v>
      </c>
      <c r="AB1746" s="447">
        <f t="shared" si="881"/>
        <v>0</v>
      </c>
      <c r="AC1746" s="447">
        <f t="shared" si="881"/>
        <v>0</v>
      </c>
      <c r="AD1746" s="447">
        <f t="shared" si="881"/>
        <v>0</v>
      </c>
      <c r="AE1746" s="448">
        <f t="shared" si="881"/>
        <v>0</v>
      </c>
      <c r="AF1746" s="449"/>
      <c r="AG1746" s="449"/>
      <c r="AH1746" s="449"/>
    </row>
    <row r="1747" ht="11.25" customHeight="1">
      <c r="A1747" s="450"/>
      <c r="B1747" s="451"/>
      <c r="C1747" s="452"/>
      <c r="D1747" s="452"/>
      <c r="E1747" s="453"/>
      <c r="F1747" s="453"/>
      <c r="G1747" s="454"/>
      <c r="H1747" s="454"/>
      <c r="I1747" s="455"/>
      <c r="J1747" s="456"/>
      <c r="K1747" s="457" t="s">
        <v>1416</v>
      </c>
      <c r="L1747" s="458"/>
      <c r="M1747" s="459"/>
      <c r="N1747" s="460"/>
      <c r="O1747" s="460"/>
      <c r="P1747" s="461"/>
      <c r="Q1747" s="458"/>
      <c r="R1747" s="459"/>
      <c r="S1747" s="459"/>
      <c r="T1747" s="459"/>
      <c r="U1747" s="459"/>
      <c r="V1747" s="459"/>
      <c r="W1747" s="459"/>
      <c r="X1747" s="459"/>
      <c r="Y1747" s="462">
        <f t="shared" si="17"/>
        <v>0</v>
      </c>
      <c r="Z1747" s="463"/>
      <c r="AA1747" s="464"/>
      <c r="AB1747" s="465"/>
      <c r="AC1747" s="465"/>
      <c r="AD1747" s="465"/>
      <c r="AE1747" s="466"/>
      <c r="AF1747" s="449"/>
      <c r="AG1747" s="449"/>
      <c r="AH1747" s="449"/>
    </row>
    <row r="1748" ht="11.25" customHeight="1">
      <c r="A1748" s="450"/>
      <c r="B1748" s="451"/>
      <c r="C1748" s="452"/>
      <c r="D1748" s="452"/>
      <c r="E1748" s="453"/>
      <c r="F1748" s="453"/>
      <c r="G1748" s="454"/>
      <c r="H1748" s="454"/>
      <c r="I1748" s="455"/>
      <c r="J1748" s="456"/>
      <c r="K1748" s="467" t="s">
        <v>1417</v>
      </c>
      <c r="L1748" s="468"/>
      <c r="M1748" s="469"/>
      <c r="N1748" s="470"/>
      <c r="O1748" s="470"/>
      <c r="P1748" s="471"/>
      <c r="Q1748" s="468"/>
      <c r="R1748" s="469"/>
      <c r="S1748" s="469"/>
      <c r="T1748" s="469"/>
      <c r="U1748" s="469"/>
      <c r="V1748" s="469"/>
      <c r="W1748" s="469"/>
      <c r="X1748" s="469"/>
      <c r="Y1748" s="462">
        <f t="shared" si="17"/>
        <v>0</v>
      </c>
      <c r="Z1748" s="463"/>
      <c r="AA1748" s="464"/>
      <c r="AB1748" s="465"/>
      <c r="AC1748" s="465"/>
      <c r="AD1748" s="465"/>
      <c r="AE1748" s="466"/>
      <c r="AF1748" s="449"/>
      <c r="AG1748" s="449"/>
      <c r="AH1748" s="449"/>
    </row>
    <row r="1749" ht="11.25" customHeight="1">
      <c r="A1749" s="450"/>
      <c r="B1749" s="472"/>
      <c r="C1749" s="473"/>
      <c r="D1749" s="473"/>
      <c r="E1749" s="474"/>
      <c r="F1749" s="474"/>
      <c r="G1749" s="475"/>
      <c r="H1749" s="475"/>
      <c r="I1749" s="476"/>
      <c r="J1749" s="477"/>
      <c r="K1749" s="478" t="s">
        <v>1418</v>
      </c>
      <c r="L1749" s="479"/>
      <c r="M1749" s="480"/>
      <c r="N1749" s="481"/>
      <c r="O1749" s="481"/>
      <c r="P1749" s="482"/>
      <c r="Q1749" s="479"/>
      <c r="R1749" s="480"/>
      <c r="S1749" s="480"/>
      <c r="T1749" s="480"/>
      <c r="U1749" s="480"/>
      <c r="V1749" s="480"/>
      <c r="W1749" s="480"/>
      <c r="X1749" s="480"/>
      <c r="Y1749" s="483">
        <f t="shared" si="17"/>
        <v>0</v>
      </c>
      <c r="Z1749" s="484"/>
      <c r="AA1749" s="485"/>
      <c r="AB1749" s="486"/>
      <c r="AC1749" s="486"/>
      <c r="AD1749" s="486"/>
      <c r="AE1749" s="487"/>
      <c r="AF1749" s="449"/>
      <c r="AG1749" s="449"/>
      <c r="AH1749" s="449"/>
    </row>
    <row r="1750" ht="11.25" customHeight="1">
      <c r="A1750" s="431" t="str">
        <f>IF(B1750="","", YEAR(B1750))</f>
        <v/>
      </c>
      <c r="B1750" s="432"/>
      <c r="C1750" s="433"/>
      <c r="D1750" s="433"/>
      <c r="E1750" s="434" t="str">
        <f t="shared" ref="E1750:I1750" si="882">IFERROR(AVERAGE(L1750:L1753),"")</f>
        <v/>
      </c>
      <c r="F1750" s="434" t="str">
        <f t="shared" si="882"/>
        <v/>
      </c>
      <c r="G1750" s="435" t="str">
        <f t="shared" si="882"/>
        <v/>
      </c>
      <c r="H1750" s="435" t="str">
        <f t="shared" si="882"/>
        <v/>
      </c>
      <c r="I1750" s="436" t="str">
        <f t="shared" si="882"/>
        <v/>
      </c>
      <c r="J1750" s="437">
        <f>SUMIFS(PRODUCTION[KG],PRODUCTION[GRADE],"3X50",PRODUCTION[DATE],B1750,PRODUCTION[BATCH],C1750,PRODUCTION[SHIFT],D1750)</f>
        <v>0</v>
      </c>
      <c r="K1750" s="438" t="s">
        <v>1414</v>
      </c>
      <c r="L1750" s="443"/>
      <c r="M1750" s="440"/>
      <c r="N1750" s="441"/>
      <c r="O1750" s="441"/>
      <c r="P1750" s="442"/>
      <c r="Q1750" s="443"/>
      <c r="R1750" s="440"/>
      <c r="S1750" s="440"/>
      <c r="T1750" s="440"/>
      <c r="U1750" s="440"/>
      <c r="V1750" s="440"/>
      <c r="W1750" s="440"/>
      <c r="X1750" s="440"/>
      <c r="Y1750" s="444">
        <f t="shared" si="17"/>
        <v>0</v>
      </c>
      <c r="Z1750" s="445"/>
      <c r="AA1750" s="446">
        <f t="shared" ref="AA1750:AE1750" si="883">$J1750*E1750</f>
        <v>0</v>
      </c>
      <c r="AB1750" s="447">
        <f t="shared" si="883"/>
        <v>0</v>
      </c>
      <c r="AC1750" s="447">
        <f t="shared" si="883"/>
        <v>0</v>
      </c>
      <c r="AD1750" s="447">
        <f t="shared" si="883"/>
        <v>0</v>
      </c>
      <c r="AE1750" s="448">
        <f t="shared" si="883"/>
        <v>0</v>
      </c>
      <c r="AF1750" s="449"/>
      <c r="AG1750" s="449"/>
      <c r="AH1750" s="449"/>
    </row>
    <row r="1751" ht="11.25" customHeight="1">
      <c r="A1751" s="450"/>
      <c r="B1751" s="451"/>
      <c r="C1751" s="452"/>
      <c r="D1751" s="452"/>
      <c r="E1751" s="453"/>
      <c r="F1751" s="453"/>
      <c r="G1751" s="454"/>
      <c r="H1751" s="454"/>
      <c r="I1751" s="455"/>
      <c r="J1751" s="456"/>
      <c r="K1751" s="457" t="s">
        <v>1416</v>
      </c>
      <c r="L1751" s="458"/>
      <c r="M1751" s="459"/>
      <c r="N1751" s="460"/>
      <c r="O1751" s="460"/>
      <c r="P1751" s="461"/>
      <c r="Q1751" s="458"/>
      <c r="R1751" s="459"/>
      <c r="S1751" s="459"/>
      <c r="T1751" s="459"/>
      <c r="U1751" s="459"/>
      <c r="V1751" s="459"/>
      <c r="W1751" s="459"/>
      <c r="X1751" s="459"/>
      <c r="Y1751" s="462">
        <f t="shared" si="17"/>
        <v>0</v>
      </c>
      <c r="Z1751" s="463"/>
      <c r="AA1751" s="464"/>
      <c r="AB1751" s="465"/>
      <c r="AC1751" s="465"/>
      <c r="AD1751" s="465"/>
      <c r="AE1751" s="466"/>
      <c r="AF1751" s="449"/>
      <c r="AG1751" s="449"/>
      <c r="AH1751" s="449"/>
    </row>
    <row r="1752" ht="11.25" customHeight="1">
      <c r="A1752" s="450"/>
      <c r="B1752" s="451"/>
      <c r="C1752" s="452"/>
      <c r="D1752" s="452"/>
      <c r="E1752" s="453"/>
      <c r="F1752" s="453"/>
      <c r="G1752" s="454"/>
      <c r="H1752" s="454"/>
      <c r="I1752" s="455"/>
      <c r="J1752" s="456"/>
      <c r="K1752" s="467" t="s">
        <v>1417</v>
      </c>
      <c r="L1752" s="468"/>
      <c r="M1752" s="469"/>
      <c r="N1752" s="470"/>
      <c r="O1752" s="470"/>
      <c r="P1752" s="471"/>
      <c r="Q1752" s="468"/>
      <c r="R1752" s="469"/>
      <c r="S1752" s="469"/>
      <c r="T1752" s="469"/>
      <c r="U1752" s="469"/>
      <c r="V1752" s="469"/>
      <c r="W1752" s="469"/>
      <c r="X1752" s="469"/>
      <c r="Y1752" s="462">
        <f t="shared" si="17"/>
        <v>0</v>
      </c>
      <c r="Z1752" s="463"/>
      <c r="AA1752" s="464"/>
      <c r="AB1752" s="465"/>
      <c r="AC1752" s="465"/>
      <c r="AD1752" s="465"/>
      <c r="AE1752" s="466"/>
      <c r="AF1752" s="449"/>
      <c r="AG1752" s="449"/>
      <c r="AH1752" s="449"/>
    </row>
    <row r="1753" ht="11.25" customHeight="1">
      <c r="A1753" s="450"/>
      <c r="B1753" s="472"/>
      <c r="C1753" s="473"/>
      <c r="D1753" s="473"/>
      <c r="E1753" s="474"/>
      <c r="F1753" s="474"/>
      <c r="G1753" s="475"/>
      <c r="H1753" s="475"/>
      <c r="I1753" s="476"/>
      <c r="J1753" s="477"/>
      <c r="K1753" s="478" t="s">
        <v>1418</v>
      </c>
      <c r="L1753" s="479"/>
      <c r="M1753" s="480"/>
      <c r="N1753" s="481"/>
      <c r="O1753" s="481"/>
      <c r="P1753" s="482"/>
      <c r="Q1753" s="479"/>
      <c r="R1753" s="480"/>
      <c r="S1753" s="480"/>
      <c r="T1753" s="480"/>
      <c r="U1753" s="480"/>
      <c r="V1753" s="480"/>
      <c r="W1753" s="480"/>
      <c r="X1753" s="480"/>
      <c r="Y1753" s="483">
        <f t="shared" si="17"/>
        <v>0</v>
      </c>
      <c r="Z1753" s="484"/>
      <c r="AA1753" s="485"/>
      <c r="AB1753" s="486"/>
      <c r="AC1753" s="486"/>
      <c r="AD1753" s="486"/>
      <c r="AE1753" s="487"/>
      <c r="AF1753" s="449"/>
      <c r="AG1753" s="449"/>
      <c r="AH1753" s="449"/>
    </row>
    <row r="1754" ht="11.25" customHeight="1">
      <c r="A1754" s="431" t="str">
        <f>IF(B1754="","", YEAR(B1754))</f>
        <v/>
      </c>
      <c r="B1754" s="432"/>
      <c r="C1754" s="433"/>
      <c r="D1754" s="433"/>
      <c r="E1754" s="434" t="str">
        <f t="shared" ref="E1754:I1754" si="884">IFERROR(AVERAGE(L1754:L1757),"")</f>
        <v/>
      </c>
      <c r="F1754" s="434" t="str">
        <f t="shared" si="884"/>
        <v/>
      </c>
      <c r="G1754" s="435" t="str">
        <f t="shared" si="884"/>
        <v/>
      </c>
      <c r="H1754" s="435" t="str">
        <f t="shared" si="884"/>
        <v/>
      </c>
      <c r="I1754" s="436" t="str">
        <f t="shared" si="884"/>
        <v/>
      </c>
      <c r="J1754" s="437">
        <f>SUMIFS(PRODUCTION[KG],PRODUCTION[GRADE],"3X50",PRODUCTION[DATE],B1754,PRODUCTION[BATCH],C1754,PRODUCTION[SHIFT],D1754)</f>
        <v>0</v>
      </c>
      <c r="K1754" s="438" t="s">
        <v>1414</v>
      </c>
      <c r="L1754" s="443"/>
      <c r="M1754" s="440"/>
      <c r="N1754" s="441"/>
      <c r="O1754" s="441"/>
      <c r="P1754" s="442"/>
      <c r="Q1754" s="443"/>
      <c r="R1754" s="440"/>
      <c r="S1754" s="440"/>
      <c r="T1754" s="440"/>
      <c r="U1754" s="440"/>
      <c r="V1754" s="440"/>
      <c r="W1754" s="440"/>
      <c r="X1754" s="440"/>
      <c r="Y1754" s="444">
        <f t="shared" si="17"/>
        <v>0</v>
      </c>
      <c r="Z1754" s="445"/>
      <c r="AA1754" s="446">
        <f t="shared" ref="AA1754:AE1754" si="885">$J1754*E1754</f>
        <v>0</v>
      </c>
      <c r="AB1754" s="447">
        <f t="shared" si="885"/>
        <v>0</v>
      </c>
      <c r="AC1754" s="447">
        <f t="shared" si="885"/>
        <v>0</v>
      </c>
      <c r="AD1754" s="447">
        <f t="shared" si="885"/>
        <v>0</v>
      </c>
      <c r="AE1754" s="448">
        <f t="shared" si="885"/>
        <v>0</v>
      </c>
      <c r="AF1754" s="449"/>
      <c r="AG1754" s="449"/>
      <c r="AH1754" s="449"/>
    </row>
    <row r="1755" ht="11.25" customHeight="1">
      <c r="A1755" s="450"/>
      <c r="B1755" s="451"/>
      <c r="C1755" s="452"/>
      <c r="D1755" s="452"/>
      <c r="E1755" s="453"/>
      <c r="F1755" s="453"/>
      <c r="G1755" s="454"/>
      <c r="H1755" s="454"/>
      <c r="I1755" s="455"/>
      <c r="J1755" s="456"/>
      <c r="K1755" s="457" t="s">
        <v>1416</v>
      </c>
      <c r="L1755" s="458"/>
      <c r="M1755" s="459"/>
      <c r="N1755" s="460"/>
      <c r="O1755" s="460"/>
      <c r="P1755" s="461"/>
      <c r="Q1755" s="458"/>
      <c r="R1755" s="459"/>
      <c r="S1755" s="459"/>
      <c r="T1755" s="459"/>
      <c r="U1755" s="459"/>
      <c r="V1755" s="459"/>
      <c r="W1755" s="459"/>
      <c r="X1755" s="459"/>
      <c r="Y1755" s="462">
        <f t="shared" si="17"/>
        <v>0</v>
      </c>
      <c r="Z1755" s="463"/>
      <c r="AA1755" s="464"/>
      <c r="AB1755" s="465"/>
      <c r="AC1755" s="465"/>
      <c r="AD1755" s="465"/>
      <c r="AE1755" s="466"/>
      <c r="AF1755" s="449"/>
      <c r="AG1755" s="449"/>
      <c r="AH1755" s="449"/>
    </row>
    <row r="1756" ht="11.25" customHeight="1">
      <c r="A1756" s="450"/>
      <c r="B1756" s="451"/>
      <c r="C1756" s="452"/>
      <c r="D1756" s="452"/>
      <c r="E1756" s="453"/>
      <c r="F1756" s="453"/>
      <c r="G1756" s="454"/>
      <c r="H1756" s="454"/>
      <c r="I1756" s="455"/>
      <c r="J1756" s="456"/>
      <c r="K1756" s="467" t="s">
        <v>1417</v>
      </c>
      <c r="L1756" s="468"/>
      <c r="M1756" s="469"/>
      <c r="N1756" s="470"/>
      <c r="O1756" s="470"/>
      <c r="P1756" s="471"/>
      <c r="Q1756" s="468"/>
      <c r="R1756" s="469"/>
      <c r="S1756" s="469"/>
      <c r="T1756" s="469"/>
      <c r="U1756" s="469"/>
      <c r="V1756" s="469"/>
      <c r="W1756" s="469"/>
      <c r="X1756" s="469"/>
      <c r="Y1756" s="462">
        <f t="shared" si="17"/>
        <v>0</v>
      </c>
      <c r="Z1756" s="463"/>
      <c r="AA1756" s="464"/>
      <c r="AB1756" s="465"/>
      <c r="AC1756" s="465"/>
      <c r="AD1756" s="465"/>
      <c r="AE1756" s="466"/>
      <c r="AF1756" s="449"/>
      <c r="AG1756" s="449"/>
      <c r="AH1756" s="449"/>
    </row>
    <row r="1757" ht="11.25" customHeight="1">
      <c r="A1757" s="450"/>
      <c r="B1757" s="472"/>
      <c r="C1757" s="473"/>
      <c r="D1757" s="473"/>
      <c r="E1757" s="474"/>
      <c r="F1757" s="474"/>
      <c r="G1757" s="475"/>
      <c r="H1757" s="475"/>
      <c r="I1757" s="476"/>
      <c r="J1757" s="477"/>
      <c r="K1757" s="478" t="s">
        <v>1418</v>
      </c>
      <c r="L1757" s="479"/>
      <c r="M1757" s="480"/>
      <c r="N1757" s="481"/>
      <c r="O1757" s="481"/>
      <c r="P1757" s="482"/>
      <c r="Q1757" s="479"/>
      <c r="R1757" s="480"/>
      <c r="S1757" s="480"/>
      <c r="T1757" s="480"/>
      <c r="U1757" s="480"/>
      <c r="V1757" s="480"/>
      <c r="W1757" s="480"/>
      <c r="X1757" s="480"/>
      <c r="Y1757" s="483">
        <f t="shared" si="17"/>
        <v>0</v>
      </c>
      <c r="Z1757" s="484"/>
      <c r="AA1757" s="485"/>
      <c r="AB1757" s="486"/>
      <c r="AC1757" s="486"/>
      <c r="AD1757" s="486"/>
      <c r="AE1757" s="487"/>
      <c r="AF1757" s="449"/>
      <c r="AG1757" s="449"/>
      <c r="AH1757" s="449"/>
    </row>
    <row r="1758" ht="11.25" customHeight="1">
      <c r="A1758" s="431" t="str">
        <f>IF(B1758="","", YEAR(B1758))</f>
        <v/>
      </c>
      <c r="B1758" s="432"/>
      <c r="C1758" s="433"/>
      <c r="D1758" s="433"/>
      <c r="E1758" s="434" t="str">
        <f t="shared" ref="E1758:I1758" si="886">IFERROR(AVERAGE(L1758:L1761),"")</f>
        <v/>
      </c>
      <c r="F1758" s="434" t="str">
        <f t="shared" si="886"/>
        <v/>
      </c>
      <c r="G1758" s="435" t="str">
        <f t="shared" si="886"/>
        <v/>
      </c>
      <c r="H1758" s="435" t="str">
        <f t="shared" si="886"/>
        <v/>
      </c>
      <c r="I1758" s="436" t="str">
        <f t="shared" si="886"/>
        <v/>
      </c>
      <c r="J1758" s="437">
        <f>SUMIFS(PRODUCTION[KG],PRODUCTION[GRADE],"3X50",PRODUCTION[DATE],B1758,PRODUCTION[BATCH],C1758,PRODUCTION[SHIFT],D1758)</f>
        <v>0</v>
      </c>
      <c r="K1758" s="438" t="s">
        <v>1414</v>
      </c>
      <c r="L1758" s="443"/>
      <c r="M1758" s="440"/>
      <c r="N1758" s="441"/>
      <c r="O1758" s="441"/>
      <c r="P1758" s="442"/>
      <c r="Q1758" s="443"/>
      <c r="R1758" s="440"/>
      <c r="S1758" s="440"/>
      <c r="T1758" s="440"/>
      <c r="U1758" s="440"/>
      <c r="V1758" s="440"/>
      <c r="W1758" s="440"/>
      <c r="X1758" s="440"/>
      <c r="Y1758" s="444">
        <f t="shared" si="17"/>
        <v>0</v>
      </c>
      <c r="Z1758" s="445"/>
      <c r="AA1758" s="446">
        <f t="shared" ref="AA1758:AE1758" si="887">$J1758*E1758</f>
        <v>0</v>
      </c>
      <c r="AB1758" s="447">
        <f t="shared" si="887"/>
        <v>0</v>
      </c>
      <c r="AC1758" s="447">
        <f t="shared" si="887"/>
        <v>0</v>
      </c>
      <c r="AD1758" s="447">
        <f t="shared" si="887"/>
        <v>0</v>
      </c>
      <c r="AE1758" s="448">
        <f t="shared" si="887"/>
        <v>0</v>
      </c>
      <c r="AF1758" s="449"/>
      <c r="AG1758" s="449"/>
      <c r="AH1758" s="449"/>
    </row>
    <row r="1759" ht="11.25" customHeight="1">
      <c r="A1759" s="450"/>
      <c r="B1759" s="451"/>
      <c r="C1759" s="452"/>
      <c r="D1759" s="452"/>
      <c r="E1759" s="453"/>
      <c r="F1759" s="453"/>
      <c r="G1759" s="454"/>
      <c r="H1759" s="454"/>
      <c r="I1759" s="455"/>
      <c r="J1759" s="456"/>
      <c r="K1759" s="457" t="s">
        <v>1416</v>
      </c>
      <c r="L1759" s="458"/>
      <c r="M1759" s="459"/>
      <c r="N1759" s="460"/>
      <c r="O1759" s="460"/>
      <c r="P1759" s="461"/>
      <c r="Q1759" s="458"/>
      <c r="R1759" s="459"/>
      <c r="S1759" s="459"/>
      <c r="T1759" s="459"/>
      <c r="U1759" s="459"/>
      <c r="V1759" s="459"/>
      <c r="W1759" s="459"/>
      <c r="X1759" s="459"/>
      <c r="Y1759" s="462">
        <f t="shared" si="17"/>
        <v>0</v>
      </c>
      <c r="Z1759" s="463"/>
      <c r="AA1759" s="464"/>
      <c r="AB1759" s="465"/>
      <c r="AC1759" s="465"/>
      <c r="AD1759" s="465"/>
      <c r="AE1759" s="466"/>
      <c r="AF1759" s="449"/>
      <c r="AG1759" s="449"/>
      <c r="AH1759" s="449"/>
    </row>
    <row r="1760" ht="11.25" customHeight="1">
      <c r="A1760" s="450"/>
      <c r="B1760" s="451"/>
      <c r="C1760" s="452"/>
      <c r="D1760" s="452"/>
      <c r="E1760" s="453"/>
      <c r="F1760" s="453"/>
      <c r="G1760" s="454"/>
      <c r="H1760" s="454"/>
      <c r="I1760" s="455"/>
      <c r="J1760" s="456"/>
      <c r="K1760" s="467" t="s">
        <v>1417</v>
      </c>
      <c r="L1760" s="468"/>
      <c r="M1760" s="469"/>
      <c r="N1760" s="470"/>
      <c r="O1760" s="470"/>
      <c r="P1760" s="471"/>
      <c r="Q1760" s="468"/>
      <c r="R1760" s="469"/>
      <c r="S1760" s="469"/>
      <c r="T1760" s="469"/>
      <c r="U1760" s="469"/>
      <c r="V1760" s="469"/>
      <c r="W1760" s="469"/>
      <c r="X1760" s="469"/>
      <c r="Y1760" s="462">
        <f t="shared" si="17"/>
        <v>0</v>
      </c>
      <c r="Z1760" s="463"/>
      <c r="AA1760" s="464"/>
      <c r="AB1760" s="465"/>
      <c r="AC1760" s="465"/>
      <c r="AD1760" s="465"/>
      <c r="AE1760" s="466"/>
      <c r="AF1760" s="449"/>
      <c r="AG1760" s="449"/>
      <c r="AH1760" s="449"/>
    </row>
    <row r="1761" ht="11.25" customHeight="1">
      <c r="A1761" s="450"/>
      <c r="B1761" s="472"/>
      <c r="C1761" s="473"/>
      <c r="D1761" s="473"/>
      <c r="E1761" s="474"/>
      <c r="F1761" s="474"/>
      <c r="G1761" s="475"/>
      <c r="H1761" s="475"/>
      <c r="I1761" s="476"/>
      <c r="J1761" s="477"/>
      <c r="K1761" s="478" t="s">
        <v>1418</v>
      </c>
      <c r="L1761" s="479"/>
      <c r="M1761" s="480"/>
      <c r="N1761" s="481"/>
      <c r="O1761" s="481"/>
      <c r="P1761" s="482"/>
      <c r="Q1761" s="479"/>
      <c r="R1761" s="480"/>
      <c r="S1761" s="480"/>
      <c r="T1761" s="480"/>
      <c r="U1761" s="480"/>
      <c r="V1761" s="480"/>
      <c r="W1761" s="480"/>
      <c r="X1761" s="480"/>
      <c r="Y1761" s="483">
        <f t="shared" si="17"/>
        <v>0</v>
      </c>
      <c r="Z1761" s="484"/>
      <c r="AA1761" s="485"/>
      <c r="AB1761" s="486"/>
      <c r="AC1761" s="486"/>
      <c r="AD1761" s="486"/>
      <c r="AE1761" s="487"/>
      <c r="AF1761" s="449"/>
      <c r="AG1761" s="449"/>
      <c r="AH1761" s="449"/>
    </row>
    <row r="1762" ht="11.25" customHeight="1">
      <c r="A1762" s="431" t="str">
        <f>IF(B1762="","", YEAR(B1762))</f>
        <v/>
      </c>
      <c r="B1762" s="432"/>
      <c r="C1762" s="433"/>
      <c r="D1762" s="433"/>
      <c r="E1762" s="434" t="str">
        <f t="shared" ref="E1762:I1762" si="888">IFERROR(AVERAGE(L1762:L1765),"")</f>
        <v/>
      </c>
      <c r="F1762" s="434" t="str">
        <f t="shared" si="888"/>
        <v/>
      </c>
      <c r="G1762" s="435" t="str">
        <f t="shared" si="888"/>
        <v/>
      </c>
      <c r="H1762" s="435" t="str">
        <f t="shared" si="888"/>
        <v/>
      </c>
      <c r="I1762" s="436" t="str">
        <f t="shared" si="888"/>
        <v/>
      </c>
      <c r="J1762" s="437">
        <f>SUMIFS(PRODUCTION[KG],PRODUCTION[GRADE],"3X50",PRODUCTION[DATE],B1762,PRODUCTION[BATCH],C1762,PRODUCTION[SHIFT],D1762)</f>
        <v>0</v>
      </c>
      <c r="K1762" s="438" t="s">
        <v>1414</v>
      </c>
      <c r="L1762" s="443"/>
      <c r="M1762" s="440"/>
      <c r="N1762" s="441"/>
      <c r="O1762" s="441"/>
      <c r="P1762" s="442"/>
      <c r="Q1762" s="443"/>
      <c r="R1762" s="440"/>
      <c r="S1762" s="440"/>
      <c r="T1762" s="440"/>
      <c r="U1762" s="440"/>
      <c r="V1762" s="440"/>
      <c r="W1762" s="440"/>
      <c r="X1762" s="440"/>
      <c r="Y1762" s="444">
        <f t="shared" si="17"/>
        <v>0</v>
      </c>
      <c r="Z1762" s="445"/>
      <c r="AA1762" s="446">
        <f t="shared" ref="AA1762:AE1762" si="889">$J1762*E1762</f>
        <v>0</v>
      </c>
      <c r="AB1762" s="447">
        <f t="shared" si="889"/>
        <v>0</v>
      </c>
      <c r="AC1762" s="447">
        <f t="shared" si="889"/>
        <v>0</v>
      </c>
      <c r="AD1762" s="447">
        <f t="shared" si="889"/>
        <v>0</v>
      </c>
      <c r="AE1762" s="448">
        <f t="shared" si="889"/>
        <v>0</v>
      </c>
      <c r="AF1762" s="449"/>
      <c r="AG1762" s="449"/>
      <c r="AH1762" s="449"/>
    </row>
    <row r="1763" ht="11.25" customHeight="1">
      <c r="A1763" s="450"/>
      <c r="B1763" s="451"/>
      <c r="C1763" s="452"/>
      <c r="D1763" s="452"/>
      <c r="E1763" s="453"/>
      <c r="F1763" s="453"/>
      <c r="G1763" s="454"/>
      <c r="H1763" s="454"/>
      <c r="I1763" s="455"/>
      <c r="J1763" s="456"/>
      <c r="K1763" s="457" t="s">
        <v>1416</v>
      </c>
      <c r="L1763" s="458"/>
      <c r="M1763" s="459"/>
      <c r="N1763" s="460"/>
      <c r="O1763" s="460"/>
      <c r="P1763" s="461"/>
      <c r="Q1763" s="458"/>
      <c r="R1763" s="459"/>
      <c r="S1763" s="459"/>
      <c r="T1763" s="459"/>
      <c r="U1763" s="459"/>
      <c r="V1763" s="459"/>
      <c r="W1763" s="459"/>
      <c r="X1763" s="459"/>
      <c r="Y1763" s="462">
        <f t="shared" si="17"/>
        <v>0</v>
      </c>
      <c r="Z1763" s="463"/>
      <c r="AA1763" s="464"/>
      <c r="AB1763" s="465"/>
      <c r="AC1763" s="465"/>
      <c r="AD1763" s="465"/>
      <c r="AE1763" s="466"/>
      <c r="AF1763" s="449"/>
      <c r="AG1763" s="449"/>
      <c r="AH1763" s="449"/>
    </row>
    <row r="1764" ht="11.25" customHeight="1">
      <c r="A1764" s="450"/>
      <c r="B1764" s="451"/>
      <c r="C1764" s="452"/>
      <c r="D1764" s="452"/>
      <c r="E1764" s="453"/>
      <c r="F1764" s="453"/>
      <c r="G1764" s="454"/>
      <c r="H1764" s="454"/>
      <c r="I1764" s="455"/>
      <c r="J1764" s="456"/>
      <c r="K1764" s="467" t="s">
        <v>1417</v>
      </c>
      <c r="L1764" s="468"/>
      <c r="M1764" s="469"/>
      <c r="N1764" s="470"/>
      <c r="O1764" s="470"/>
      <c r="P1764" s="471"/>
      <c r="Q1764" s="468"/>
      <c r="R1764" s="469"/>
      <c r="S1764" s="469"/>
      <c r="T1764" s="469"/>
      <c r="U1764" s="469"/>
      <c r="V1764" s="469"/>
      <c r="W1764" s="469"/>
      <c r="X1764" s="469"/>
      <c r="Y1764" s="462">
        <f t="shared" si="17"/>
        <v>0</v>
      </c>
      <c r="Z1764" s="463"/>
      <c r="AA1764" s="464"/>
      <c r="AB1764" s="465"/>
      <c r="AC1764" s="465"/>
      <c r="AD1764" s="465"/>
      <c r="AE1764" s="466"/>
      <c r="AF1764" s="449"/>
      <c r="AG1764" s="449"/>
      <c r="AH1764" s="449"/>
    </row>
    <row r="1765" ht="11.25" customHeight="1">
      <c r="A1765" s="450"/>
      <c r="B1765" s="472"/>
      <c r="C1765" s="473"/>
      <c r="D1765" s="473"/>
      <c r="E1765" s="474"/>
      <c r="F1765" s="474"/>
      <c r="G1765" s="475"/>
      <c r="H1765" s="475"/>
      <c r="I1765" s="476"/>
      <c r="J1765" s="477"/>
      <c r="K1765" s="478" t="s">
        <v>1418</v>
      </c>
      <c r="L1765" s="479"/>
      <c r="M1765" s="480"/>
      <c r="N1765" s="481"/>
      <c r="O1765" s="481"/>
      <c r="P1765" s="482"/>
      <c r="Q1765" s="479"/>
      <c r="R1765" s="480"/>
      <c r="S1765" s="480"/>
      <c r="T1765" s="480"/>
      <c r="U1765" s="480"/>
      <c r="V1765" s="480"/>
      <c r="W1765" s="480"/>
      <c r="X1765" s="480"/>
      <c r="Y1765" s="483">
        <f t="shared" si="17"/>
        <v>0</v>
      </c>
      <c r="Z1765" s="484"/>
      <c r="AA1765" s="485"/>
      <c r="AB1765" s="486"/>
      <c r="AC1765" s="486"/>
      <c r="AD1765" s="486"/>
      <c r="AE1765" s="487"/>
      <c r="AF1765" s="449"/>
      <c r="AG1765" s="449"/>
      <c r="AH1765" s="449"/>
    </row>
    <row r="1766" ht="11.25" customHeight="1">
      <c r="A1766" s="431" t="str">
        <f>IF(B1766="","", YEAR(B1766))</f>
        <v/>
      </c>
      <c r="B1766" s="432"/>
      <c r="C1766" s="433"/>
      <c r="D1766" s="433"/>
      <c r="E1766" s="434" t="str">
        <f t="shared" ref="E1766:I1766" si="890">IFERROR(AVERAGE(L1766:L1769),"")</f>
        <v/>
      </c>
      <c r="F1766" s="434" t="str">
        <f t="shared" si="890"/>
        <v/>
      </c>
      <c r="G1766" s="435" t="str">
        <f t="shared" si="890"/>
        <v/>
      </c>
      <c r="H1766" s="435" t="str">
        <f t="shared" si="890"/>
        <v/>
      </c>
      <c r="I1766" s="436" t="str">
        <f t="shared" si="890"/>
        <v/>
      </c>
      <c r="J1766" s="437">
        <f>SUMIFS(PRODUCTION[KG],PRODUCTION[GRADE],"3X50",PRODUCTION[DATE],B1766,PRODUCTION[BATCH],C1766,PRODUCTION[SHIFT],D1766)</f>
        <v>0</v>
      </c>
      <c r="K1766" s="438" t="s">
        <v>1414</v>
      </c>
      <c r="L1766" s="443"/>
      <c r="M1766" s="440"/>
      <c r="N1766" s="441"/>
      <c r="O1766" s="441"/>
      <c r="P1766" s="442"/>
      <c r="Q1766" s="443"/>
      <c r="R1766" s="440"/>
      <c r="S1766" s="440"/>
      <c r="T1766" s="440"/>
      <c r="U1766" s="440"/>
      <c r="V1766" s="440"/>
      <c r="W1766" s="440"/>
      <c r="X1766" s="440"/>
      <c r="Y1766" s="444">
        <f t="shared" si="17"/>
        <v>0</v>
      </c>
      <c r="Z1766" s="445"/>
      <c r="AA1766" s="446">
        <f t="shared" ref="AA1766:AE1766" si="891">$J1766*E1766</f>
        <v>0</v>
      </c>
      <c r="AB1766" s="447">
        <f t="shared" si="891"/>
        <v>0</v>
      </c>
      <c r="AC1766" s="447">
        <f t="shared" si="891"/>
        <v>0</v>
      </c>
      <c r="AD1766" s="447">
        <f t="shared" si="891"/>
        <v>0</v>
      </c>
      <c r="AE1766" s="448">
        <f t="shared" si="891"/>
        <v>0</v>
      </c>
      <c r="AF1766" s="449"/>
      <c r="AG1766" s="449"/>
      <c r="AH1766" s="449"/>
    </row>
    <row r="1767" ht="11.25" customHeight="1">
      <c r="A1767" s="450"/>
      <c r="B1767" s="451"/>
      <c r="C1767" s="452"/>
      <c r="D1767" s="452"/>
      <c r="E1767" s="453"/>
      <c r="F1767" s="453"/>
      <c r="G1767" s="454"/>
      <c r="H1767" s="454"/>
      <c r="I1767" s="455"/>
      <c r="J1767" s="456"/>
      <c r="K1767" s="457" t="s">
        <v>1416</v>
      </c>
      <c r="L1767" s="458"/>
      <c r="M1767" s="459"/>
      <c r="N1767" s="460"/>
      <c r="O1767" s="460"/>
      <c r="P1767" s="461"/>
      <c r="Q1767" s="458"/>
      <c r="R1767" s="459"/>
      <c r="S1767" s="459"/>
      <c r="T1767" s="459"/>
      <c r="U1767" s="459"/>
      <c r="V1767" s="459"/>
      <c r="W1767" s="459"/>
      <c r="X1767" s="459"/>
      <c r="Y1767" s="462">
        <f t="shared" si="17"/>
        <v>0</v>
      </c>
      <c r="Z1767" s="463"/>
      <c r="AA1767" s="464"/>
      <c r="AB1767" s="465"/>
      <c r="AC1767" s="465"/>
      <c r="AD1767" s="465"/>
      <c r="AE1767" s="466"/>
      <c r="AF1767" s="449"/>
      <c r="AG1767" s="449"/>
      <c r="AH1767" s="449"/>
    </row>
    <row r="1768" ht="11.25" customHeight="1">
      <c r="A1768" s="450"/>
      <c r="B1768" s="451"/>
      <c r="C1768" s="452"/>
      <c r="D1768" s="452"/>
      <c r="E1768" s="453"/>
      <c r="F1768" s="453"/>
      <c r="G1768" s="454"/>
      <c r="H1768" s="454"/>
      <c r="I1768" s="455"/>
      <c r="J1768" s="456"/>
      <c r="K1768" s="467" t="s">
        <v>1417</v>
      </c>
      <c r="L1768" s="468"/>
      <c r="M1768" s="469"/>
      <c r="N1768" s="470"/>
      <c r="O1768" s="470"/>
      <c r="P1768" s="471"/>
      <c r="Q1768" s="468"/>
      <c r="R1768" s="469"/>
      <c r="S1768" s="469"/>
      <c r="T1768" s="469"/>
      <c r="U1768" s="469"/>
      <c r="V1768" s="469"/>
      <c r="W1768" s="469"/>
      <c r="X1768" s="469"/>
      <c r="Y1768" s="462">
        <f t="shared" si="17"/>
        <v>0</v>
      </c>
      <c r="Z1768" s="463"/>
      <c r="AA1768" s="464"/>
      <c r="AB1768" s="465"/>
      <c r="AC1768" s="465"/>
      <c r="AD1768" s="465"/>
      <c r="AE1768" s="466"/>
      <c r="AF1768" s="449"/>
      <c r="AG1768" s="449"/>
      <c r="AH1768" s="449"/>
    </row>
    <row r="1769" ht="11.25" customHeight="1">
      <c r="A1769" s="450"/>
      <c r="B1769" s="472"/>
      <c r="C1769" s="473"/>
      <c r="D1769" s="473"/>
      <c r="E1769" s="474"/>
      <c r="F1769" s="474"/>
      <c r="G1769" s="475"/>
      <c r="H1769" s="475"/>
      <c r="I1769" s="476"/>
      <c r="J1769" s="477"/>
      <c r="K1769" s="478" t="s">
        <v>1418</v>
      </c>
      <c r="L1769" s="479"/>
      <c r="M1769" s="480"/>
      <c r="N1769" s="481"/>
      <c r="O1769" s="481"/>
      <c r="P1769" s="482"/>
      <c r="Q1769" s="479"/>
      <c r="R1769" s="480"/>
      <c r="S1769" s="480"/>
      <c r="T1769" s="480"/>
      <c r="U1769" s="480"/>
      <c r="V1769" s="480"/>
      <c r="W1769" s="480"/>
      <c r="X1769" s="480"/>
      <c r="Y1769" s="483">
        <f t="shared" si="17"/>
        <v>0</v>
      </c>
      <c r="Z1769" s="484"/>
      <c r="AA1769" s="485"/>
      <c r="AB1769" s="486"/>
      <c r="AC1769" s="486"/>
      <c r="AD1769" s="486"/>
      <c r="AE1769" s="487"/>
      <c r="AF1769" s="449"/>
      <c r="AG1769" s="449"/>
      <c r="AH1769" s="449"/>
    </row>
    <row r="1770" ht="11.25" customHeight="1">
      <c r="A1770" s="431" t="str">
        <f>IF(B1770="","", YEAR(B1770))</f>
        <v/>
      </c>
      <c r="B1770" s="432"/>
      <c r="C1770" s="433"/>
      <c r="D1770" s="433"/>
      <c r="E1770" s="434" t="str">
        <f t="shared" ref="E1770:I1770" si="892">IFERROR(AVERAGE(L1770:L1773),"")</f>
        <v/>
      </c>
      <c r="F1770" s="434" t="str">
        <f t="shared" si="892"/>
        <v/>
      </c>
      <c r="G1770" s="435" t="str">
        <f t="shared" si="892"/>
        <v/>
      </c>
      <c r="H1770" s="435" t="str">
        <f t="shared" si="892"/>
        <v/>
      </c>
      <c r="I1770" s="436" t="str">
        <f t="shared" si="892"/>
        <v/>
      </c>
      <c r="J1770" s="437">
        <f>SUMIFS(PRODUCTION[KG],PRODUCTION[GRADE],"3X50",PRODUCTION[DATE],B1770,PRODUCTION[BATCH],C1770,PRODUCTION[SHIFT],D1770)</f>
        <v>0</v>
      </c>
      <c r="K1770" s="438" t="s">
        <v>1414</v>
      </c>
      <c r="L1770" s="443"/>
      <c r="M1770" s="440"/>
      <c r="N1770" s="441"/>
      <c r="O1770" s="441"/>
      <c r="P1770" s="442"/>
      <c r="Q1770" s="443"/>
      <c r="R1770" s="440"/>
      <c r="S1770" s="440"/>
      <c r="T1770" s="440"/>
      <c r="U1770" s="440"/>
      <c r="V1770" s="440"/>
      <c r="W1770" s="440"/>
      <c r="X1770" s="440"/>
      <c r="Y1770" s="444">
        <f t="shared" si="17"/>
        <v>0</v>
      </c>
      <c r="Z1770" s="445"/>
      <c r="AA1770" s="446">
        <f t="shared" ref="AA1770:AE1770" si="893">$J1770*E1770</f>
        <v>0</v>
      </c>
      <c r="AB1770" s="447">
        <f t="shared" si="893"/>
        <v>0</v>
      </c>
      <c r="AC1770" s="447">
        <f t="shared" si="893"/>
        <v>0</v>
      </c>
      <c r="AD1770" s="447">
        <f t="shared" si="893"/>
        <v>0</v>
      </c>
      <c r="AE1770" s="448">
        <f t="shared" si="893"/>
        <v>0</v>
      </c>
      <c r="AF1770" s="449"/>
      <c r="AG1770" s="449"/>
      <c r="AH1770" s="449"/>
    </row>
    <row r="1771" ht="11.25" customHeight="1">
      <c r="A1771" s="450"/>
      <c r="B1771" s="451"/>
      <c r="C1771" s="452"/>
      <c r="D1771" s="452"/>
      <c r="E1771" s="453"/>
      <c r="F1771" s="453"/>
      <c r="G1771" s="454"/>
      <c r="H1771" s="454"/>
      <c r="I1771" s="455"/>
      <c r="J1771" s="456"/>
      <c r="K1771" s="457" t="s">
        <v>1416</v>
      </c>
      <c r="L1771" s="458"/>
      <c r="M1771" s="459"/>
      <c r="N1771" s="460"/>
      <c r="O1771" s="460"/>
      <c r="P1771" s="461"/>
      <c r="Q1771" s="458"/>
      <c r="R1771" s="459"/>
      <c r="S1771" s="459"/>
      <c r="T1771" s="459"/>
      <c r="U1771" s="459"/>
      <c r="V1771" s="459"/>
      <c r="W1771" s="459"/>
      <c r="X1771" s="459"/>
      <c r="Y1771" s="462">
        <f t="shared" si="17"/>
        <v>0</v>
      </c>
      <c r="Z1771" s="463"/>
      <c r="AA1771" s="464"/>
      <c r="AB1771" s="465"/>
      <c r="AC1771" s="465"/>
      <c r="AD1771" s="465"/>
      <c r="AE1771" s="466"/>
      <c r="AF1771" s="449"/>
      <c r="AG1771" s="449"/>
      <c r="AH1771" s="449"/>
    </row>
    <row r="1772" ht="11.25" customHeight="1">
      <c r="A1772" s="450"/>
      <c r="B1772" s="451"/>
      <c r="C1772" s="452"/>
      <c r="D1772" s="452"/>
      <c r="E1772" s="453"/>
      <c r="F1772" s="453"/>
      <c r="G1772" s="454"/>
      <c r="H1772" s="454"/>
      <c r="I1772" s="455"/>
      <c r="J1772" s="456"/>
      <c r="K1772" s="467" t="s">
        <v>1417</v>
      </c>
      <c r="L1772" s="468"/>
      <c r="M1772" s="469"/>
      <c r="N1772" s="470"/>
      <c r="O1772" s="470"/>
      <c r="P1772" s="471"/>
      <c r="Q1772" s="468"/>
      <c r="R1772" s="469"/>
      <c r="S1772" s="469"/>
      <c r="T1772" s="469"/>
      <c r="U1772" s="469"/>
      <c r="V1772" s="469"/>
      <c r="W1772" s="469"/>
      <c r="X1772" s="469"/>
      <c r="Y1772" s="462">
        <f t="shared" si="17"/>
        <v>0</v>
      </c>
      <c r="Z1772" s="463"/>
      <c r="AA1772" s="464"/>
      <c r="AB1772" s="465"/>
      <c r="AC1772" s="465"/>
      <c r="AD1772" s="465"/>
      <c r="AE1772" s="466"/>
      <c r="AF1772" s="449"/>
      <c r="AG1772" s="449"/>
      <c r="AH1772" s="449"/>
    </row>
    <row r="1773" ht="11.25" customHeight="1">
      <c r="A1773" s="450"/>
      <c r="B1773" s="472"/>
      <c r="C1773" s="473"/>
      <c r="D1773" s="473"/>
      <c r="E1773" s="474"/>
      <c r="F1773" s="474"/>
      <c r="G1773" s="475"/>
      <c r="H1773" s="475"/>
      <c r="I1773" s="476"/>
      <c r="J1773" s="477"/>
      <c r="K1773" s="478" t="s">
        <v>1418</v>
      </c>
      <c r="L1773" s="479"/>
      <c r="M1773" s="480"/>
      <c r="N1773" s="481"/>
      <c r="O1773" s="481"/>
      <c r="P1773" s="482"/>
      <c r="Q1773" s="479"/>
      <c r="R1773" s="480"/>
      <c r="S1773" s="480"/>
      <c r="T1773" s="480"/>
      <c r="U1773" s="480"/>
      <c r="V1773" s="480"/>
      <c r="W1773" s="480"/>
      <c r="X1773" s="480"/>
      <c r="Y1773" s="483">
        <f t="shared" si="17"/>
        <v>0</v>
      </c>
      <c r="Z1773" s="484"/>
      <c r="AA1773" s="485"/>
      <c r="AB1773" s="486"/>
      <c r="AC1773" s="486"/>
      <c r="AD1773" s="486"/>
      <c r="AE1773" s="487"/>
      <c r="AF1773" s="449"/>
      <c r="AG1773" s="449"/>
      <c r="AH1773" s="449"/>
    </row>
    <row r="1774" ht="11.25" customHeight="1">
      <c r="A1774" s="431" t="str">
        <f>IF(B1774="","", YEAR(B1774))</f>
        <v/>
      </c>
      <c r="B1774" s="432"/>
      <c r="C1774" s="433"/>
      <c r="D1774" s="433"/>
      <c r="E1774" s="434" t="str">
        <f t="shared" ref="E1774:I1774" si="894">IFERROR(AVERAGE(L1774:L1777),"")</f>
        <v/>
      </c>
      <c r="F1774" s="434" t="str">
        <f t="shared" si="894"/>
        <v/>
      </c>
      <c r="G1774" s="435" t="str">
        <f t="shared" si="894"/>
        <v/>
      </c>
      <c r="H1774" s="435" t="str">
        <f t="shared" si="894"/>
        <v/>
      </c>
      <c r="I1774" s="436" t="str">
        <f t="shared" si="894"/>
        <v/>
      </c>
      <c r="J1774" s="437">
        <f>SUMIFS(PRODUCTION[KG],PRODUCTION[GRADE],"3X50",PRODUCTION[DATE],B1774,PRODUCTION[BATCH],C1774,PRODUCTION[SHIFT],D1774)</f>
        <v>0</v>
      </c>
      <c r="K1774" s="438" t="s">
        <v>1414</v>
      </c>
      <c r="L1774" s="443"/>
      <c r="M1774" s="440"/>
      <c r="N1774" s="441"/>
      <c r="O1774" s="441"/>
      <c r="P1774" s="442"/>
      <c r="Q1774" s="443"/>
      <c r="R1774" s="440"/>
      <c r="S1774" s="440"/>
      <c r="T1774" s="440"/>
      <c r="U1774" s="440"/>
      <c r="V1774" s="440"/>
      <c r="W1774" s="440"/>
      <c r="X1774" s="440"/>
      <c r="Y1774" s="444">
        <f t="shared" si="17"/>
        <v>0</v>
      </c>
      <c r="Z1774" s="445"/>
      <c r="AA1774" s="446">
        <f t="shared" ref="AA1774:AE1774" si="895">$J1774*E1774</f>
        <v>0</v>
      </c>
      <c r="AB1774" s="447">
        <f t="shared" si="895"/>
        <v>0</v>
      </c>
      <c r="AC1774" s="447">
        <f t="shared" si="895"/>
        <v>0</v>
      </c>
      <c r="AD1774" s="447">
        <f t="shared" si="895"/>
        <v>0</v>
      </c>
      <c r="AE1774" s="448">
        <f t="shared" si="895"/>
        <v>0</v>
      </c>
      <c r="AF1774" s="449"/>
      <c r="AG1774" s="449"/>
      <c r="AH1774" s="449"/>
    </row>
    <row r="1775" ht="11.25" customHeight="1">
      <c r="A1775" s="450"/>
      <c r="B1775" s="451"/>
      <c r="C1775" s="452"/>
      <c r="D1775" s="452"/>
      <c r="E1775" s="453"/>
      <c r="F1775" s="453"/>
      <c r="G1775" s="454"/>
      <c r="H1775" s="454"/>
      <c r="I1775" s="455"/>
      <c r="J1775" s="456"/>
      <c r="K1775" s="457" t="s">
        <v>1416</v>
      </c>
      <c r="L1775" s="458"/>
      <c r="M1775" s="459"/>
      <c r="N1775" s="460"/>
      <c r="O1775" s="460"/>
      <c r="P1775" s="461"/>
      <c r="Q1775" s="458"/>
      <c r="R1775" s="459"/>
      <c r="S1775" s="459"/>
      <c r="T1775" s="459"/>
      <c r="U1775" s="459"/>
      <c r="V1775" s="459"/>
      <c r="W1775" s="459"/>
      <c r="X1775" s="459"/>
      <c r="Y1775" s="462">
        <f t="shared" si="17"/>
        <v>0</v>
      </c>
      <c r="Z1775" s="463"/>
      <c r="AA1775" s="464"/>
      <c r="AB1775" s="465"/>
      <c r="AC1775" s="465"/>
      <c r="AD1775" s="465"/>
      <c r="AE1775" s="466"/>
      <c r="AF1775" s="449"/>
      <c r="AG1775" s="449"/>
      <c r="AH1775" s="449"/>
    </row>
    <row r="1776" ht="11.25" customHeight="1">
      <c r="A1776" s="450"/>
      <c r="B1776" s="451"/>
      <c r="C1776" s="452"/>
      <c r="D1776" s="452"/>
      <c r="E1776" s="453"/>
      <c r="F1776" s="453"/>
      <c r="G1776" s="454"/>
      <c r="H1776" s="454"/>
      <c r="I1776" s="455"/>
      <c r="J1776" s="456"/>
      <c r="K1776" s="467" t="s">
        <v>1417</v>
      </c>
      <c r="L1776" s="468"/>
      <c r="M1776" s="469"/>
      <c r="N1776" s="470"/>
      <c r="O1776" s="470"/>
      <c r="P1776" s="471"/>
      <c r="Q1776" s="468"/>
      <c r="R1776" s="469"/>
      <c r="S1776" s="469"/>
      <c r="T1776" s="469"/>
      <c r="U1776" s="469"/>
      <c r="V1776" s="469"/>
      <c r="W1776" s="469"/>
      <c r="X1776" s="469"/>
      <c r="Y1776" s="462">
        <f t="shared" si="17"/>
        <v>0</v>
      </c>
      <c r="Z1776" s="463"/>
      <c r="AA1776" s="464"/>
      <c r="AB1776" s="465"/>
      <c r="AC1776" s="465"/>
      <c r="AD1776" s="465"/>
      <c r="AE1776" s="466"/>
      <c r="AF1776" s="449"/>
      <c r="AG1776" s="449"/>
      <c r="AH1776" s="449"/>
    </row>
    <row r="1777" ht="11.25" customHeight="1">
      <c r="A1777" s="450"/>
      <c r="B1777" s="472"/>
      <c r="C1777" s="473"/>
      <c r="D1777" s="473"/>
      <c r="E1777" s="474"/>
      <c r="F1777" s="474"/>
      <c r="G1777" s="475"/>
      <c r="H1777" s="475"/>
      <c r="I1777" s="476"/>
      <c r="J1777" s="477"/>
      <c r="K1777" s="478" t="s">
        <v>1418</v>
      </c>
      <c r="L1777" s="479"/>
      <c r="M1777" s="480"/>
      <c r="N1777" s="481"/>
      <c r="O1777" s="481"/>
      <c r="P1777" s="482"/>
      <c r="Q1777" s="479"/>
      <c r="R1777" s="480"/>
      <c r="S1777" s="480"/>
      <c r="T1777" s="480"/>
      <c r="U1777" s="480"/>
      <c r="V1777" s="480"/>
      <c r="W1777" s="480"/>
      <c r="X1777" s="480"/>
      <c r="Y1777" s="483">
        <f t="shared" si="17"/>
        <v>0</v>
      </c>
      <c r="Z1777" s="484"/>
      <c r="AA1777" s="485"/>
      <c r="AB1777" s="486"/>
      <c r="AC1777" s="486"/>
      <c r="AD1777" s="486"/>
      <c r="AE1777" s="487"/>
      <c r="AF1777" s="449"/>
      <c r="AG1777" s="449"/>
      <c r="AH1777" s="449"/>
    </row>
    <row r="1778" ht="11.25" customHeight="1">
      <c r="A1778" s="431" t="str">
        <f>IF(B1778="","", YEAR(B1778))</f>
        <v/>
      </c>
      <c r="B1778" s="432"/>
      <c r="C1778" s="433"/>
      <c r="D1778" s="433"/>
      <c r="E1778" s="434" t="str">
        <f t="shared" ref="E1778:I1778" si="896">IFERROR(AVERAGE(L1778:L1781),"")</f>
        <v/>
      </c>
      <c r="F1778" s="434" t="str">
        <f t="shared" si="896"/>
        <v/>
      </c>
      <c r="G1778" s="435" t="str">
        <f t="shared" si="896"/>
        <v/>
      </c>
      <c r="H1778" s="435" t="str">
        <f t="shared" si="896"/>
        <v/>
      </c>
      <c r="I1778" s="436" t="str">
        <f t="shared" si="896"/>
        <v/>
      </c>
      <c r="J1778" s="437">
        <f>SUMIFS(PRODUCTION[KG],PRODUCTION[GRADE],"3X50",PRODUCTION[DATE],B1778,PRODUCTION[BATCH],C1778,PRODUCTION[SHIFT],D1778)</f>
        <v>0</v>
      </c>
      <c r="K1778" s="438" t="s">
        <v>1414</v>
      </c>
      <c r="L1778" s="443"/>
      <c r="M1778" s="440"/>
      <c r="N1778" s="441"/>
      <c r="O1778" s="441"/>
      <c r="P1778" s="442"/>
      <c r="Q1778" s="443"/>
      <c r="R1778" s="440"/>
      <c r="S1778" s="440"/>
      <c r="T1778" s="440"/>
      <c r="U1778" s="440"/>
      <c r="V1778" s="440"/>
      <c r="W1778" s="440"/>
      <c r="X1778" s="440"/>
      <c r="Y1778" s="444">
        <f t="shared" si="17"/>
        <v>0</v>
      </c>
      <c r="Z1778" s="445"/>
      <c r="AA1778" s="446">
        <f t="shared" ref="AA1778:AE1778" si="897">$J1778*E1778</f>
        <v>0</v>
      </c>
      <c r="AB1778" s="447">
        <f t="shared" si="897"/>
        <v>0</v>
      </c>
      <c r="AC1778" s="447">
        <f t="shared" si="897"/>
        <v>0</v>
      </c>
      <c r="AD1778" s="447">
        <f t="shared" si="897"/>
        <v>0</v>
      </c>
      <c r="AE1778" s="448">
        <f t="shared" si="897"/>
        <v>0</v>
      </c>
      <c r="AF1778" s="449"/>
      <c r="AG1778" s="449"/>
      <c r="AH1778" s="449"/>
    </row>
    <row r="1779" ht="11.25" customHeight="1">
      <c r="A1779" s="450"/>
      <c r="B1779" s="451"/>
      <c r="C1779" s="452"/>
      <c r="D1779" s="452"/>
      <c r="E1779" s="453"/>
      <c r="F1779" s="453"/>
      <c r="G1779" s="454"/>
      <c r="H1779" s="454"/>
      <c r="I1779" s="455"/>
      <c r="J1779" s="456"/>
      <c r="K1779" s="457" t="s">
        <v>1416</v>
      </c>
      <c r="L1779" s="458"/>
      <c r="M1779" s="459"/>
      <c r="N1779" s="460"/>
      <c r="O1779" s="460"/>
      <c r="P1779" s="461"/>
      <c r="Q1779" s="458"/>
      <c r="R1779" s="459"/>
      <c r="S1779" s="459"/>
      <c r="T1779" s="459"/>
      <c r="U1779" s="459"/>
      <c r="V1779" s="459"/>
      <c r="W1779" s="459"/>
      <c r="X1779" s="459"/>
      <c r="Y1779" s="462">
        <f t="shared" si="17"/>
        <v>0</v>
      </c>
      <c r="Z1779" s="463"/>
      <c r="AA1779" s="464"/>
      <c r="AB1779" s="465"/>
      <c r="AC1779" s="465"/>
      <c r="AD1779" s="465"/>
      <c r="AE1779" s="466"/>
      <c r="AF1779" s="449"/>
      <c r="AG1779" s="449"/>
      <c r="AH1779" s="449"/>
    </row>
    <row r="1780" ht="11.25" customHeight="1">
      <c r="A1780" s="450"/>
      <c r="B1780" s="451"/>
      <c r="C1780" s="452"/>
      <c r="D1780" s="452"/>
      <c r="E1780" s="453"/>
      <c r="F1780" s="453"/>
      <c r="G1780" s="454"/>
      <c r="H1780" s="454"/>
      <c r="I1780" s="455"/>
      <c r="J1780" s="456"/>
      <c r="K1780" s="467" t="s">
        <v>1417</v>
      </c>
      <c r="L1780" s="468"/>
      <c r="M1780" s="469"/>
      <c r="N1780" s="470"/>
      <c r="O1780" s="470"/>
      <c r="P1780" s="471"/>
      <c r="Q1780" s="468"/>
      <c r="R1780" s="469"/>
      <c r="S1780" s="469"/>
      <c r="T1780" s="469"/>
      <c r="U1780" s="469"/>
      <c r="V1780" s="469"/>
      <c r="W1780" s="469"/>
      <c r="X1780" s="469"/>
      <c r="Y1780" s="462">
        <f t="shared" si="17"/>
        <v>0</v>
      </c>
      <c r="Z1780" s="463"/>
      <c r="AA1780" s="464"/>
      <c r="AB1780" s="465"/>
      <c r="AC1780" s="465"/>
      <c r="AD1780" s="465"/>
      <c r="AE1780" s="466"/>
      <c r="AF1780" s="449"/>
      <c r="AG1780" s="449"/>
      <c r="AH1780" s="449"/>
    </row>
    <row r="1781" ht="11.25" customHeight="1">
      <c r="A1781" s="450"/>
      <c r="B1781" s="472"/>
      <c r="C1781" s="473"/>
      <c r="D1781" s="473"/>
      <c r="E1781" s="474"/>
      <c r="F1781" s="474"/>
      <c r="G1781" s="475"/>
      <c r="H1781" s="475"/>
      <c r="I1781" s="476"/>
      <c r="J1781" s="477"/>
      <c r="K1781" s="478" t="s">
        <v>1418</v>
      </c>
      <c r="L1781" s="479"/>
      <c r="M1781" s="480"/>
      <c r="N1781" s="481"/>
      <c r="O1781" s="481"/>
      <c r="P1781" s="482"/>
      <c r="Q1781" s="479"/>
      <c r="R1781" s="480"/>
      <c r="S1781" s="480"/>
      <c r="T1781" s="480"/>
      <c r="U1781" s="480"/>
      <c r="V1781" s="480"/>
      <c r="W1781" s="480"/>
      <c r="X1781" s="480"/>
      <c r="Y1781" s="483">
        <f t="shared" si="17"/>
        <v>0</v>
      </c>
      <c r="Z1781" s="484"/>
      <c r="AA1781" s="485"/>
      <c r="AB1781" s="486"/>
      <c r="AC1781" s="486"/>
      <c r="AD1781" s="486"/>
      <c r="AE1781" s="487"/>
      <c r="AF1781" s="449"/>
      <c r="AG1781" s="449"/>
      <c r="AH1781" s="449"/>
    </row>
    <row r="1782" ht="11.25" customHeight="1">
      <c r="A1782" s="431" t="str">
        <f>IF(B1782="","", YEAR(B1782))</f>
        <v/>
      </c>
      <c r="B1782" s="432"/>
      <c r="C1782" s="433"/>
      <c r="D1782" s="433"/>
      <c r="E1782" s="434" t="str">
        <f t="shared" ref="E1782:I1782" si="898">IFERROR(AVERAGE(L1782:L1785),"")</f>
        <v/>
      </c>
      <c r="F1782" s="434" t="str">
        <f t="shared" si="898"/>
        <v/>
      </c>
      <c r="G1782" s="435" t="str">
        <f t="shared" si="898"/>
        <v/>
      </c>
      <c r="H1782" s="435" t="str">
        <f t="shared" si="898"/>
        <v/>
      </c>
      <c r="I1782" s="436" t="str">
        <f t="shared" si="898"/>
        <v/>
      </c>
      <c r="J1782" s="437">
        <f>SUMIFS(PRODUCTION[KG],PRODUCTION[GRADE],"3X50",PRODUCTION[DATE],B1782,PRODUCTION[BATCH],C1782,PRODUCTION[SHIFT],D1782)</f>
        <v>0</v>
      </c>
      <c r="K1782" s="438" t="s">
        <v>1414</v>
      </c>
      <c r="L1782" s="443"/>
      <c r="M1782" s="440"/>
      <c r="N1782" s="441"/>
      <c r="O1782" s="441"/>
      <c r="P1782" s="442"/>
      <c r="Q1782" s="443"/>
      <c r="R1782" s="440"/>
      <c r="S1782" s="440"/>
      <c r="T1782" s="440"/>
      <c r="U1782" s="440"/>
      <c r="V1782" s="440"/>
      <c r="W1782" s="440"/>
      <c r="X1782" s="440"/>
      <c r="Y1782" s="444">
        <f t="shared" si="17"/>
        <v>0</v>
      </c>
      <c r="Z1782" s="445"/>
      <c r="AA1782" s="446">
        <f t="shared" ref="AA1782:AE1782" si="899">$J1782*E1782</f>
        <v>0</v>
      </c>
      <c r="AB1782" s="447">
        <f t="shared" si="899"/>
        <v>0</v>
      </c>
      <c r="AC1782" s="447">
        <f t="shared" si="899"/>
        <v>0</v>
      </c>
      <c r="AD1782" s="447">
        <f t="shared" si="899"/>
        <v>0</v>
      </c>
      <c r="AE1782" s="448">
        <f t="shared" si="899"/>
        <v>0</v>
      </c>
      <c r="AF1782" s="449"/>
      <c r="AG1782" s="449"/>
      <c r="AH1782" s="449"/>
    </row>
    <row r="1783" ht="11.25" customHeight="1">
      <c r="A1783" s="450"/>
      <c r="B1783" s="451"/>
      <c r="C1783" s="452"/>
      <c r="D1783" s="452"/>
      <c r="E1783" s="453"/>
      <c r="F1783" s="453"/>
      <c r="G1783" s="454"/>
      <c r="H1783" s="454"/>
      <c r="I1783" s="455"/>
      <c r="J1783" s="456"/>
      <c r="K1783" s="457" t="s">
        <v>1416</v>
      </c>
      <c r="L1783" s="458"/>
      <c r="M1783" s="459"/>
      <c r="N1783" s="460"/>
      <c r="O1783" s="460"/>
      <c r="P1783" s="461"/>
      <c r="Q1783" s="458"/>
      <c r="R1783" s="459"/>
      <c r="S1783" s="459"/>
      <c r="T1783" s="459"/>
      <c r="U1783" s="459"/>
      <c r="V1783" s="459"/>
      <c r="W1783" s="459"/>
      <c r="X1783" s="459"/>
      <c r="Y1783" s="462">
        <f t="shared" si="17"/>
        <v>0</v>
      </c>
      <c r="Z1783" s="463"/>
      <c r="AA1783" s="464"/>
      <c r="AB1783" s="465"/>
      <c r="AC1783" s="465"/>
      <c r="AD1783" s="465"/>
      <c r="AE1783" s="466"/>
      <c r="AF1783" s="449"/>
      <c r="AG1783" s="449"/>
      <c r="AH1783" s="449"/>
    </row>
    <row r="1784" ht="11.25" customHeight="1">
      <c r="A1784" s="450"/>
      <c r="B1784" s="451"/>
      <c r="C1784" s="452"/>
      <c r="D1784" s="452"/>
      <c r="E1784" s="453"/>
      <c r="F1784" s="453"/>
      <c r="G1784" s="454"/>
      <c r="H1784" s="454"/>
      <c r="I1784" s="455"/>
      <c r="J1784" s="456"/>
      <c r="K1784" s="467" t="s">
        <v>1417</v>
      </c>
      <c r="L1784" s="468"/>
      <c r="M1784" s="469"/>
      <c r="N1784" s="470"/>
      <c r="O1784" s="470"/>
      <c r="P1784" s="471"/>
      <c r="Q1784" s="468"/>
      <c r="R1784" s="469"/>
      <c r="S1784" s="469"/>
      <c r="T1784" s="469"/>
      <c r="U1784" s="469"/>
      <c r="V1784" s="469"/>
      <c r="W1784" s="469"/>
      <c r="X1784" s="469"/>
      <c r="Y1784" s="462">
        <f t="shared" si="17"/>
        <v>0</v>
      </c>
      <c r="Z1784" s="463"/>
      <c r="AA1784" s="464"/>
      <c r="AB1784" s="465"/>
      <c r="AC1784" s="465"/>
      <c r="AD1784" s="465"/>
      <c r="AE1784" s="466"/>
      <c r="AF1784" s="449"/>
      <c r="AG1784" s="449"/>
      <c r="AH1784" s="449"/>
    </row>
    <row r="1785" ht="11.25" customHeight="1">
      <c r="A1785" s="450"/>
      <c r="B1785" s="472"/>
      <c r="C1785" s="473"/>
      <c r="D1785" s="473"/>
      <c r="E1785" s="474"/>
      <c r="F1785" s="474"/>
      <c r="G1785" s="475"/>
      <c r="H1785" s="475"/>
      <c r="I1785" s="476"/>
      <c r="J1785" s="477"/>
      <c r="K1785" s="478" t="s">
        <v>1418</v>
      </c>
      <c r="L1785" s="479"/>
      <c r="M1785" s="480"/>
      <c r="N1785" s="481"/>
      <c r="O1785" s="481"/>
      <c r="P1785" s="482"/>
      <c r="Q1785" s="479"/>
      <c r="R1785" s="480"/>
      <c r="S1785" s="480"/>
      <c r="T1785" s="480"/>
      <c r="U1785" s="480"/>
      <c r="V1785" s="480"/>
      <c r="W1785" s="480"/>
      <c r="X1785" s="480"/>
      <c r="Y1785" s="483">
        <f t="shared" si="17"/>
        <v>0</v>
      </c>
      <c r="Z1785" s="484"/>
      <c r="AA1785" s="485"/>
      <c r="AB1785" s="486"/>
      <c r="AC1785" s="486"/>
      <c r="AD1785" s="486"/>
      <c r="AE1785" s="487"/>
      <c r="AF1785" s="449"/>
      <c r="AG1785" s="449"/>
      <c r="AH1785" s="449"/>
    </row>
    <row r="1786" ht="11.25" customHeight="1">
      <c r="A1786" s="431" t="str">
        <f>IF(B1786="","", YEAR(B1786))</f>
        <v/>
      </c>
      <c r="B1786" s="432"/>
      <c r="C1786" s="433"/>
      <c r="D1786" s="433"/>
      <c r="E1786" s="434" t="str">
        <f t="shared" ref="E1786:I1786" si="900">IFERROR(AVERAGE(L1786:L1789),"")</f>
        <v/>
      </c>
      <c r="F1786" s="434" t="str">
        <f t="shared" si="900"/>
        <v/>
      </c>
      <c r="G1786" s="435" t="str">
        <f t="shared" si="900"/>
        <v/>
      </c>
      <c r="H1786" s="435" t="str">
        <f t="shared" si="900"/>
        <v/>
      </c>
      <c r="I1786" s="436" t="str">
        <f t="shared" si="900"/>
        <v/>
      </c>
      <c r="J1786" s="437">
        <f>SUMIFS(PRODUCTION[KG],PRODUCTION[GRADE],"3X50",PRODUCTION[DATE],B1786,PRODUCTION[BATCH],C1786,PRODUCTION[SHIFT],D1786)</f>
        <v>0</v>
      </c>
      <c r="K1786" s="438" t="s">
        <v>1414</v>
      </c>
      <c r="L1786" s="443"/>
      <c r="M1786" s="440"/>
      <c r="N1786" s="441"/>
      <c r="O1786" s="441"/>
      <c r="P1786" s="442"/>
      <c r="Q1786" s="443"/>
      <c r="R1786" s="440"/>
      <c r="S1786" s="440"/>
      <c r="T1786" s="440"/>
      <c r="U1786" s="440"/>
      <c r="V1786" s="440"/>
      <c r="W1786" s="440"/>
      <c r="X1786" s="440"/>
      <c r="Y1786" s="444">
        <f t="shared" si="17"/>
        <v>0</v>
      </c>
      <c r="Z1786" s="445"/>
      <c r="AA1786" s="446">
        <f t="shared" ref="AA1786:AE1786" si="901">$J1786*E1786</f>
        <v>0</v>
      </c>
      <c r="AB1786" s="447">
        <f t="shared" si="901"/>
        <v>0</v>
      </c>
      <c r="AC1786" s="447">
        <f t="shared" si="901"/>
        <v>0</v>
      </c>
      <c r="AD1786" s="447">
        <f t="shared" si="901"/>
        <v>0</v>
      </c>
      <c r="AE1786" s="448">
        <f t="shared" si="901"/>
        <v>0</v>
      </c>
      <c r="AF1786" s="449"/>
      <c r="AG1786" s="449"/>
      <c r="AH1786" s="449"/>
    </row>
    <row r="1787" ht="11.25" customHeight="1">
      <c r="A1787" s="450"/>
      <c r="B1787" s="451"/>
      <c r="C1787" s="452"/>
      <c r="D1787" s="452"/>
      <c r="E1787" s="453"/>
      <c r="F1787" s="453"/>
      <c r="G1787" s="454"/>
      <c r="H1787" s="454"/>
      <c r="I1787" s="455"/>
      <c r="J1787" s="456"/>
      <c r="K1787" s="457" t="s">
        <v>1416</v>
      </c>
      <c r="L1787" s="458"/>
      <c r="M1787" s="459"/>
      <c r="N1787" s="460"/>
      <c r="O1787" s="460"/>
      <c r="P1787" s="461"/>
      <c r="Q1787" s="458"/>
      <c r="R1787" s="459"/>
      <c r="S1787" s="459"/>
      <c r="T1787" s="459"/>
      <c r="U1787" s="459"/>
      <c r="V1787" s="459"/>
      <c r="W1787" s="459"/>
      <c r="X1787" s="459"/>
      <c r="Y1787" s="462">
        <f t="shared" si="17"/>
        <v>0</v>
      </c>
      <c r="Z1787" s="463"/>
      <c r="AA1787" s="464"/>
      <c r="AB1787" s="465"/>
      <c r="AC1787" s="465"/>
      <c r="AD1787" s="465"/>
      <c r="AE1787" s="466"/>
      <c r="AF1787" s="449"/>
      <c r="AG1787" s="449"/>
      <c r="AH1787" s="449"/>
    </row>
    <row r="1788" ht="11.25" customHeight="1">
      <c r="A1788" s="450"/>
      <c r="B1788" s="451"/>
      <c r="C1788" s="452"/>
      <c r="D1788" s="452"/>
      <c r="E1788" s="453"/>
      <c r="F1788" s="453"/>
      <c r="G1788" s="454"/>
      <c r="H1788" s="454"/>
      <c r="I1788" s="455"/>
      <c r="J1788" s="456"/>
      <c r="K1788" s="467" t="s">
        <v>1417</v>
      </c>
      <c r="L1788" s="468"/>
      <c r="M1788" s="469"/>
      <c r="N1788" s="470"/>
      <c r="O1788" s="470"/>
      <c r="P1788" s="471"/>
      <c r="Q1788" s="468"/>
      <c r="R1788" s="469"/>
      <c r="S1788" s="469"/>
      <c r="T1788" s="469"/>
      <c r="U1788" s="469"/>
      <c r="V1788" s="469"/>
      <c r="W1788" s="469"/>
      <c r="X1788" s="469"/>
      <c r="Y1788" s="462">
        <f t="shared" si="17"/>
        <v>0</v>
      </c>
      <c r="Z1788" s="463"/>
      <c r="AA1788" s="464"/>
      <c r="AB1788" s="465"/>
      <c r="AC1788" s="465"/>
      <c r="AD1788" s="465"/>
      <c r="AE1788" s="466"/>
      <c r="AF1788" s="449"/>
      <c r="AG1788" s="449"/>
      <c r="AH1788" s="449"/>
    </row>
    <row r="1789" ht="11.25" customHeight="1">
      <c r="A1789" s="450"/>
      <c r="B1789" s="472"/>
      <c r="C1789" s="473"/>
      <c r="D1789" s="473"/>
      <c r="E1789" s="474"/>
      <c r="F1789" s="474"/>
      <c r="G1789" s="475"/>
      <c r="H1789" s="475"/>
      <c r="I1789" s="476"/>
      <c r="J1789" s="477"/>
      <c r="K1789" s="478" t="s">
        <v>1418</v>
      </c>
      <c r="L1789" s="479"/>
      <c r="M1789" s="480"/>
      <c r="N1789" s="481"/>
      <c r="O1789" s="481"/>
      <c r="P1789" s="482"/>
      <c r="Q1789" s="479"/>
      <c r="R1789" s="480"/>
      <c r="S1789" s="480"/>
      <c r="T1789" s="480"/>
      <c r="U1789" s="480"/>
      <c r="V1789" s="480"/>
      <c r="W1789" s="480"/>
      <c r="X1789" s="480"/>
      <c r="Y1789" s="483">
        <f t="shared" si="17"/>
        <v>0</v>
      </c>
      <c r="Z1789" s="484"/>
      <c r="AA1789" s="485"/>
      <c r="AB1789" s="486"/>
      <c r="AC1789" s="486"/>
      <c r="AD1789" s="486"/>
      <c r="AE1789" s="487"/>
      <c r="AF1789" s="449"/>
      <c r="AG1789" s="449"/>
      <c r="AH1789" s="449"/>
    </row>
    <row r="1790" ht="11.25" customHeight="1">
      <c r="A1790" s="431" t="str">
        <f>IF(B1790="","", YEAR(B1790))</f>
        <v/>
      </c>
      <c r="B1790" s="432"/>
      <c r="C1790" s="433"/>
      <c r="D1790" s="433"/>
      <c r="E1790" s="434" t="str">
        <f t="shared" ref="E1790:I1790" si="902">IFERROR(AVERAGE(L1790:L1793),"")</f>
        <v/>
      </c>
      <c r="F1790" s="434" t="str">
        <f t="shared" si="902"/>
        <v/>
      </c>
      <c r="G1790" s="435" t="str">
        <f t="shared" si="902"/>
        <v/>
      </c>
      <c r="H1790" s="435" t="str">
        <f t="shared" si="902"/>
        <v/>
      </c>
      <c r="I1790" s="436" t="str">
        <f t="shared" si="902"/>
        <v/>
      </c>
      <c r="J1790" s="437">
        <f>SUMIFS(PRODUCTION[KG],PRODUCTION[GRADE],"3X50",PRODUCTION[DATE],B1790,PRODUCTION[BATCH],C1790,PRODUCTION[SHIFT],D1790)</f>
        <v>0</v>
      </c>
      <c r="K1790" s="438" t="s">
        <v>1414</v>
      </c>
      <c r="L1790" s="443"/>
      <c r="M1790" s="440"/>
      <c r="N1790" s="441"/>
      <c r="O1790" s="441"/>
      <c r="P1790" s="442"/>
      <c r="Q1790" s="443"/>
      <c r="R1790" s="440"/>
      <c r="S1790" s="440"/>
      <c r="T1790" s="440"/>
      <c r="U1790" s="440"/>
      <c r="V1790" s="440"/>
      <c r="W1790" s="440"/>
      <c r="X1790" s="440"/>
      <c r="Y1790" s="444">
        <f t="shared" si="17"/>
        <v>0</v>
      </c>
      <c r="Z1790" s="445"/>
      <c r="AA1790" s="446">
        <f t="shared" ref="AA1790:AE1790" si="903">$J1790*E1790</f>
        <v>0</v>
      </c>
      <c r="AB1790" s="447">
        <f t="shared" si="903"/>
        <v>0</v>
      </c>
      <c r="AC1790" s="447">
        <f t="shared" si="903"/>
        <v>0</v>
      </c>
      <c r="AD1790" s="447">
        <f t="shared" si="903"/>
        <v>0</v>
      </c>
      <c r="AE1790" s="448">
        <f t="shared" si="903"/>
        <v>0</v>
      </c>
      <c r="AF1790" s="449"/>
      <c r="AG1790" s="449"/>
      <c r="AH1790" s="449"/>
    </row>
    <row r="1791" ht="11.25" customHeight="1">
      <c r="A1791" s="450"/>
      <c r="B1791" s="451"/>
      <c r="C1791" s="452"/>
      <c r="D1791" s="452"/>
      <c r="E1791" s="453"/>
      <c r="F1791" s="453"/>
      <c r="G1791" s="454"/>
      <c r="H1791" s="454"/>
      <c r="I1791" s="455"/>
      <c r="J1791" s="456"/>
      <c r="K1791" s="457" t="s">
        <v>1416</v>
      </c>
      <c r="L1791" s="458"/>
      <c r="M1791" s="459"/>
      <c r="N1791" s="460"/>
      <c r="O1791" s="460"/>
      <c r="P1791" s="461"/>
      <c r="Q1791" s="458"/>
      <c r="R1791" s="459"/>
      <c r="S1791" s="459"/>
      <c r="T1791" s="459"/>
      <c r="U1791" s="459"/>
      <c r="V1791" s="459"/>
      <c r="W1791" s="459"/>
      <c r="X1791" s="459"/>
      <c r="Y1791" s="462">
        <f t="shared" si="17"/>
        <v>0</v>
      </c>
      <c r="Z1791" s="463"/>
      <c r="AA1791" s="464"/>
      <c r="AB1791" s="465"/>
      <c r="AC1791" s="465"/>
      <c r="AD1791" s="465"/>
      <c r="AE1791" s="466"/>
      <c r="AF1791" s="449"/>
      <c r="AG1791" s="449"/>
      <c r="AH1791" s="449"/>
    </row>
    <row r="1792" ht="11.25" customHeight="1">
      <c r="A1792" s="450"/>
      <c r="B1792" s="451"/>
      <c r="C1792" s="452"/>
      <c r="D1792" s="452"/>
      <c r="E1792" s="453"/>
      <c r="F1792" s="453"/>
      <c r="G1792" s="454"/>
      <c r="H1792" s="454"/>
      <c r="I1792" s="455"/>
      <c r="J1792" s="456"/>
      <c r="K1792" s="467" t="s">
        <v>1417</v>
      </c>
      <c r="L1792" s="468"/>
      <c r="M1792" s="469"/>
      <c r="N1792" s="470"/>
      <c r="O1792" s="470"/>
      <c r="P1792" s="471"/>
      <c r="Q1792" s="468"/>
      <c r="R1792" s="469"/>
      <c r="S1792" s="469"/>
      <c r="T1792" s="469"/>
      <c r="U1792" s="469"/>
      <c r="V1792" s="469"/>
      <c r="W1792" s="469"/>
      <c r="X1792" s="469"/>
      <c r="Y1792" s="462">
        <f t="shared" si="17"/>
        <v>0</v>
      </c>
      <c r="Z1792" s="463"/>
      <c r="AA1792" s="464"/>
      <c r="AB1792" s="465"/>
      <c r="AC1792" s="465"/>
      <c r="AD1792" s="465"/>
      <c r="AE1792" s="466"/>
      <c r="AF1792" s="449"/>
      <c r="AG1792" s="449"/>
      <c r="AH1792" s="449"/>
    </row>
    <row r="1793" ht="11.25" customHeight="1">
      <c r="A1793" s="450"/>
      <c r="B1793" s="472"/>
      <c r="C1793" s="473"/>
      <c r="D1793" s="473"/>
      <c r="E1793" s="474"/>
      <c r="F1793" s="474"/>
      <c r="G1793" s="475"/>
      <c r="H1793" s="475"/>
      <c r="I1793" s="476"/>
      <c r="J1793" s="477"/>
      <c r="K1793" s="478" t="s">
        <v>1418</v>
      </c>
      <c r="L1793" s="479"/>
      <c r="M1793" s="480"/>
      <c r="N1793" s="481"/>
      <c r="O1793" s="481"/>
      <c r="P1793" s="482"/>
      <c r="Q1793" s="479"/>
      <c r="R1793" s="480"/>
      <c r="S1793" s="480"/>
      <c r="T1793" s="480"/>
      <c r="U1793" s="480"/>
      <c r="V1793" s="480"/>
      <c r="W1793" s="480"/>
      <c r="X1793" s="480"/>
      <c r="Y1793" s="483">
        <f t="shared" si="17"/>
        <v>0</v>
      </c>
      <c r="Z1793" s="484"/>
      <c r="AA1793" s="485"/>
      <c r="AB1793" s="486"/>
      <c r="AC1793" s="486"/>
      <c r="AD1793" s="486"/>
      <c r="AE1793" s="487"/>
      <c r="AF1793" s="449"/>
      <c r="AG1793" s="449"/>
      <c r="AH1793" s="449"/>
    </row>
    <row r="1794" ht="11.25" customHeight="1">
      <c r="A1794" s="431" t="str">
        <f>IF(B1794="","", YEAR(B1794))</f>
        <v/>
      </c>
      <c r="B1794" s="432"/>
      <c r="C1794" s="433"/>
      <c r="D1794" s="433"/>
      <c r="E1794" s="434" t="str">
        <f t="shared" ref="E1794:I1794" si="904">IFERROR(AVERAGE(L1794:L1797),"")</f>
        <v/>
      </c>
      <c r="F1794" s="434" t="str">
        <f t="shared" si="904"/>
        <v/>
      </c>
      <c r="G1794" s="435" t="str">
        <f t="shared" si="904"/>
        <v/>
      </c>
      <c r="H1794" s="435" t="str">
        <f t="shared" si="904"/>
        <v/>
      </c>
      <c r="I1794" s="436" t="str">
        <f t="shared" si="904"/>
        <v/>
      </c>
      <c r="J1794" s="437">
        <f>SUMIFS(PRODUCTION[KG],PRODUCTION[GRADE],"3X50",PRODUCTION[DATE],B1794,PRODUCTION[BATCH],C1794,PRODUCTION[SHIFT],D1794)</f>
        <v>0</v>
      </c>
      <c r="K1794" s="438" t="s">
        <v>1414</v>
      </c>
      <c r="L1794" s="443"/>
      <c r="M1794" s="440"/>
      <c r="N1794" s="441"/>
      <c r="O1794" s="441"/>
      <c r="P1794" s="442"/>
      <c r="Q1794" s="443"/>
      <c r="R1794" s="440"/>
      <c r="S1794" s="440"/>
      <c r="T1794" s="440"/>
      <c r="U1794" s="440"/>
      <c r="V1794" s="440"/>
      <c r="W1794" s="440"/>
      <c r="X1794" s="440"/>
      <c r="Y1794" s="444">
        <f t="shared" si="17"/>
        <v>0</v>
      </c>
      <c r="Z1794" s="445"/>
      <c r="AA1794" s="446">
        <f t="shared" ref="AA1794:AE1794" si="905">$J1794*E1794</f>
        <v>0</v>
      </c>
      <c r="AB1794" s="447">
        <f t="shared" si="905"/>
        <v>0</v>
      </c>
      <c r="AC1794" s="447">
        <f t="shared" si="905"/>
        <v>0</v>
      </c>
      <c r="AD1794" s="447">
        <f t="shared" si="905"/>
        <v>0</v>
      </c>
      <c r="AE1794" s="448">
        <f t="shared" si="905"/>
        <v>0</v>
      </c>
      <c r="AF1794" s="449"/>
      <c r="AG1794" s="449"/>
      <c r="AH1794" s="449"/>
    </row>
    <row r="1795" ht="11.25" customHeight="1">
      <c r="A1795" s="450"/>
      <c r="B1795" s="451"/>
      <c r="C1795" s="452"/>
      <c r="D1795" s="452"/>
      <c r="E1795" s="453"/>
      <c r="F1795" s="453"/>
      <c r="G1795" s="454"/>
      <c r="H1795" s="454"/>
      <c r="I1795" s="455"/>
      <c r="J1795" s="456"/>
      <c r="K1795" s="457" t="s">
        <v>1416</v>
      </c>
      <c r="L1795" s="458"/>
      <c r="M1795" s="459"/>
      <c r="N1795" s="460"/>
      <c r="O1795" s="460"/>
      <c r="P1795" s="461"/>
      <c r="Q1795" s="458"/>
      <c r="R1795" s="459"/>
      <c r="S1795" s="459"/>
      <c r="T1795" s="459"/>
      <c r="U1795" s="459"/>
      <c r="V1795" s="459"/>
      <c r="W1795" s="459"/>
      <c r="X1795" s="459"/>
      <c r="Y1795" s="462">
        <f t="shared" si="17"/>
        <v>0</v>
      </c>
      <c r="Z1795" s="463"/>
      <c r="AA1795" s="464"/>
      <c r="AB1795" s="465"/>
      <c r="AC1795" s="465"/>
      <c r="AD1795" s="465"/>
      <c r="AE1795" s="466"/>
      <c r="AF1795" s="449"/>
      <c r="AG1795" s="449"/>
      <c r="AH1795" s="449"/>
    </row>
    <row r="1796" ht="11.25" customHeight="1">
      <c r="A1796" s="450"/>
      <c r="B1796" s="451"/>
      <c r="C1796" s="452"/>
      <c r="D1796" s="452"/>
      <c r="E1796" s="453"/>
      <c r="F1796" s="453"/>
      <c r="G1796" s="454"/>
      <c r="H1796" s="454"/>
      <c r="I1796" s="455"/>
      <c r="J1796" s="456"/>
      <c r="K1796" s="467" t="s">
        <v>1417</v>
      </c>
      <c r="L1796" s="468"/>
      <c r="M1796" s="469"/>
      <c r="N1796" s="470"/>
      <c r="O1796" s="470"/>
      <c r="P1796" s="471"/>
      <c r="Q1796" s="468"/>
      <c r="R1796" s="469"/>
      <c r="S1796" s="469"/>
      <c r="T1796" s="469"/>
      <c r="U1796" s="469"/>
      <c r="V1796" s="469"/>
      <c r="W1796" s="469"/>
      <c r="X1796" s="469"/>
      <c r="Y1796" s="462">
        <f t="shared" si="17"/>
        <v>0</v>
      </c>
      <c r="Z1796" s="463"/>
      <c r="AA1796" s="464"/>
      <c r="AB1796" s="465"/>
      <c r="AC1796" s="465"/>
      <c r="AD1796" s="465"/>
      <c r="AE1796" s="466"/>
      <c r="AF1796" s="449"/>
      <c r="AG1796" s="449"/>
      <c r="AH1796" s="449"/>
    </row>
    <row r="1797" ht="11.25" customHeight="1">
      <c r="A1797" s="450"/>
      <c r="B1797" s="472"/>
      <c r="C1797" s="473"/>
      <c r="D1797" s="473"/>
      <c r="E1797" s="474"/>
      <c r="F1797" s="474"/>
      <c r="G1797" s="475"/>
      <c r="H1797" s="475"/>
      <c r="I1797" s="476"/>
      <c r="J1797" s="477"/>
      <c r="K1797" s="478" t="s">
        <v>1418</v>
      </c>
      <c r="L1797" s="479"/>
      <c r="M1797" s="480"/>
      <c r="N1797" s="481"/>
      <c r="O1797" s="481"/>
      <c r="P1797" s="482"/>
      <c r="Q1797" s="479"/>
      <c r="R1797" s="480"/>
      <c r="S1797" s="480"/>
      <c r="T1797" s="480"/>
      <c r="U1797" s="480"/>
      <c r="V1797" s="480"/>
      <c r="W1797" s="480"/>
      <c r="X1797" s="480"/>
      <c r="Y1797" s="483">
        <f t="shared" si="17"/>
        <v>0</v>
      </c>
      <c r="Z1797" s="484"/>
      <c r="AA1797" s="485"/>
      <c r="AB1797" s="486"/>
      <c r="AC1797" s="486"/>
      <c r="AD1797" s="486"/>
      <c r="AE1797" s="487"/>
      <c r="AF1797" s="449"/>
      <c r="AG1797" s="449"/>
      <c r="AH1797" s="449"/>
    </row>
    <row r="1798" ht="11.25" customHeight="1">
      <c r="A1798" s="431" t="str">
        <f>IF(B1798="","", YEAR(B1798))</f>
        <v/>
      </c>
      <c r="B1798" s="432"/>
      <c r="C1798" s="433"/>
      <c r="D1798" s="433"/>
      <c r="E1798" s="434" t="str">
        <f t="shared" ref="E1798:I1798" si="906">IFERROR(AVERAGE(L1798:L1801),"")</f>
        <v/>
      </c>
      <c r="F1798" s="434" t="str">
        <f t="shared" si="906"/>
        <v/>
      </c>
      <c r="G1798" s="435" t="str">
        <f t="shared" si="906"/>
        <v/>
      </c>
      <c r="H1798" s="435" t="str">
        <f t="shared" si="906"/>
        <v/>
      </c>
      <c r="I1798" s="436" t="str">
        <f t="shared" si="906"/>
        <v/>
      </c>
      <c r="J1798" s="437">
        <f>SUMIFS(PRODUCTION[KG],PRODUCTION[GRADE],"3X50",PRODUCTION[DATE],B1798,PRODUCTION[BATCH],C1798,PRODUCTION[SHIFT],D1798)</f>
        <v>0</v>
      </c>
      <c r="K1798" s="438" t="s">
        <v>1414</v>
      </c>
      <c r="L1798" s="443"/>
      <c r="M1798" s="440"/>
      <c r="N1798" s="441"/>
      <c r="O1798" s="441"/>
      <c r="P1798" s="442"/>
      <c r="Q1798" s="443"/>
      <c r="R1798" s="440"/>
      <c r="S1798" s="440"/>
      <c r="T1798" s="440"/>
      <c r="U1798" s="440"/>
      <c r="V1798" s="440"/>
      <c r="W1798" s="440"/>
      <c r="X1798" s="440"/>
      <c r="Y1798" s="444">
        <f t="shared" si="17"/>
        <v>0</v>
      </c>
      <c r="Z1798" s="445"/>
      <c r="AA1798" s="446">
        <f t="shared" ref="AA1798:AE1798" si="907">$J1798*E1798</f>
        <v>0</v>
      </c>
      <c r="AB1798" s="447">
        <f t="shared" si="907"/>
        <v>0</v>
      </c>
      <c r="AC1798" s="447">
        <f t="shared" si="907"/>
        <v>0</v>
      </c>
      <c r="AD1798" s="447">
        <f t="shared" si="907"/>
        <v>0</v>
      </c>
      <c r="AE1798" s="448">
        <f t="shared" si="907"/>
        <v>0</v>
      </c>
      <c r="AF1798" s="449"/>
      <c r="AG1798" s="449"/>
      <c r="AH1798" s="449"/>
    </row>
    <row r="1799" ht="11.25" customHeight="1">
      <c r="A1799" s="450"/>
      <c r="B1799" s="451"/>
      <c r="C1799" s="452"/>
      <c r="D1799" s="452"/>
      <c r="E1799" s="453"/>
      <c r="F1799" s="453"/>
      <c r="G1799" s="454"/>
      <c r="H1799" s="454"/>
      <c r="I1799" s="455"/>
      <c r="J1799" s="456"/>
      <c r="K1799" s="457" t="s">
        <v>1416</v>
      </c>
      <c r="L1799" s="458"/>
      <c r="M1799" s="459"/>
      <c r="N1799" s="460"/>
      <c r="O1799" s="460"/>
      <c r="P1799" s="461"/>
      <c r="Q1799" s="458"/>
      <c r="R1799" s="459"/>
      <c r="S1799" s="459"/>
      <c r="T1799" s="459"/>
      <c r="U1799" s="459"/>
      <c r="V1799" s="459"/>
      <c r="W1799" s="459"/>
      <c r="X1799" s="459"/>
      <c r="Y1799" s="462">
        <f t="shared" si="17"/>
        <v>0</v>
      </c>
      <c r="Z1799" s="463"/>
      <c r="AA1799" s="464"/>
      <c r="AB1799" s="465"/>
      <c r="AC1799" s="465"/>
      <c r="AD1799" s="465"/>
      <c r="AE1799" s="466"/>
      <c r="AF1799" s="449"/>
      <c r="AG1799" s="449"/>
      <c r="AH1799" s="449"/>
    </row>
    <row r="1800" ht="11.25" customHeight="1">
      <c r="A1800" s="450"/>
      <c r="B1800" s="451"/>
      <c r="C1800" s="452"/>
      <c r="D1800" s="452"/>
      <c r="E1800" s="453"/>
      <c r="F1800" s="453"/>
      <c r="G1800" s="454"/>
      <c r="H1800" s="454"/>
      <c r="I1800" s="455"/>
      <c r="J1800" s="456"/>
      <c r="K1800" s="467" t="s">
        <v>1417</v>
      </c>
      <c r="L1800" s="468"/>
      <c r="M1800" s="469"/>
      <c r="N1800" s="470"/>
      <c r="O1800" s="470"/>
      <c r="P1800" s="471"/>
      <c r="Q1800" s="468"/>
      <c r="R1800" s="469"/>
      <c r="S1800" s="469"/>
      <c r="T1800" s="469"/>
      <c r="U1800" s="469"/>
      <c r="V1800" s="469"/>
      <c r="W1800" s="469"/>
      <c r="X1800" s="469"/>
      <c r="Y1800" s="462">
        <f t="shared" si="17"/>
        <v>0</v>
      </c>
      <c r="Z1800" s="463"/>
      <c r="AA1800" s="464"/>
      <c r="AB1800" s="465"/>
      <c r="AC1800" s="465"/>
      <c r="AD1800" s="465"/>
      <c r="AE1800" s="466"/>
      <c r="AF1800" s="449"/>
      <c r="AG1800" s="449"/>
      <c r="AH1800" s="449"/>
    </row>
    <row r="1801" ht="11.25" customHeight="1">
      <c r="A1801" s="450"/>
      <c r="B1801" s="472"/>
      <c r="C1801" s="473"/>
      <c r="D1801" s="473"/>
      <c r="E1801" s="474"/>
      <c r="F1801" s="474"/>
      <c r="G1801" s="475"/>
      <c r="H1801" s="475"/>
      <c r="I1801" s="476"/>
      <c r="J1801" s="477"/>
      <c r="K1801" s="478" t="s">
        <v>1418</v>
      </c>
      <c r="L1801" s="479"/>
      <c r="M1801" s="480"/>
      <c r="N1801" s="481"/>
      <c r="O1801" s="481"/>
      <c r="P1801" s="482"/>
      <c r="Q1801" s="479"/>
      <c r="R1801" s="480"/>
      <c r="S1801" s="480"/>
      <c r="T1801" s="480"/>
      <c r="U1801" s="480"/>
      <c r="V1801" s="480"/>
      <c r="W1801" s="480"/>
      <c r="X1801" s="480"/>
      <c r="Y1801" s="483">
        <f t="shared" si="17"/>
        <v>0</v>
      </c>
      <c r="Z1801" s="484"/>
      <c r="AA1801" s="485"/>
      <c r="AB1801" s="486"/>
      <c r="AC1801" s="486"/>
      <c r="AD1801" s="486"/>
      <c r="AE1801" s="487"/>
      <c r="AF1801" s="449"/>
      <c r="AG1801" s="449"/>
      <c r="AH1801" s="449"/>
    </row>
    <row r="1802" ht="11.25" customHeight="1">
      <c r="A1802" s="431" t="str">
        <f>IF(B1802="","", YEAR(B1802))</f>
        <v/>
      </c>
      <c r="B1802" s="432"/>
      <c r="C1802" s="433"/>
      <c r="D1802" s="433"/>
      <c r="E1802" s="434" t="str">
        <f t="shared" ref="E1802:I1802" si="908">IFERROR(AVERAGE(L1802:L1805),"")</f>
        <v/>
      </c>
      <c r="F1802" s="434" t="str">
        <f t="shared" si="908"/>
        <v/>
      </c>
      <c r="G1802" s="435" t="str">
        <f t="shared" si="908"/>
        <v/>
      </c>
      <c r="H1802" s="435" t="str">
        <f t="shared" si="908"/>
        <v/>
      </c>
      <c r="I1802" s="436" t="str">
        <f t="shared" si="908"/>
        <v/>
      </c>
      <c r="J1802" s="437">
        <f>SUMIFS(PRODUCTION[KG],PRODUCTION[GRADE],"3X50",PRODUCTION[DATE],B1802,PRODUCTION[BATCH],C1802,PRODUCTION[SHIFT],D1802)</f>
        <v>0</v>
      </c>
      <c r="K1802" s="438" t="s">
        <v>1414</v>
      </c>
      <c r="L1802" s="443"/>
      <c r="M1802" s="440"/>
      <c r="N1802" s="441"/>
      <c r="O1802" s="441"/>
      <c r="P1802" s="442"/>
      <c r="Q1802" s="443"/>
      <c r="R1802" s="440"/>
      <c r="S1802" s="440"/>
      <c r="T1802" s="440"/>
      <c r="U1802" s="440"/>
      <c r="V1802" s="440"/>
      <c r="W1802" s="440"/>
      <c r="X1802" s="440"/>
      <c r="Y1802" s="444">
        <f t="shared" si="17"/>
        <v>0</v>
      </c>
      <c r="Z1802" s="445"/>
      <c r="AA1802" s="446">
        <f t="shared" ref="AA1802:AE1802" si="909">$J1802*E1802</f>
        <v>0</v>
      </c>
      <c r="AB1802" s="447">
        <f t="shared" si="909"/>
        <v>0</v>
      </c>
      <c r="AC1802" s="447">
        <f t="shared" si="909"/>
        <v>0</v>
      </c>
      <c r="AD1802" s="447">
        <f t="shared" si="909"/>
        <v>0</v>
      </c>
      <c r="AE1802" s="448">
        <f t="shared" si="909"/>
        <v>0</v>
      </c>
      <c r="AF1802" s="449"/>
      <c r="AG1802" s="449"/>
      <c r="AH1802" s="449"/>
    </row>
    <row r="1803" ht="11.25" customHeight="1">
      <c r="A1803" s="450"/>
      <c r="B1803" s="451"/>
      <c r="C1803" s="452"/>
      <c r="D1803" s="452"/>
      <c r="E1803" s="453"/>
      <c r="F1803" s="453"/>
      <c r="G1803" s="454"/>
      <c r="H1803" s="454"/>
      <c r="I1803" s="455"/>
      <c r="J1803" s="456"/>
      <c r="K1803" s="457" t="s">
        <v>1416</v>
      </c>
      <c r="L1803" s="458"/>
      <c r="M1803" s="459"/>
      <c r="N1803" s="460"/>
      <c r="O1803" s="460"/>
      <c r="P1803" s="461"/>
      <c r="Q1803" s="458"/>
      <c r="R1803" s="459"/>
      <c r="S1803" s="459"/>
      <c r="T1803" s="459"/>
      <c r="U1803" s="459"/>
      <c r="V1803" s="459"/>
      <c r="W1803" s="459"/>
      <c r="X1803" s="459"/>
      <c r="Y1803" s="462">
        <f t="shared" si="17"/>
        <v>0</v>
      </c>
      <c r="Z1803" s="463"/>
      <c r="AA1803" s="464"/>
      <c r="AB1803" s="465"/>
      <c r="AC1803" s="465"/>
      <c r="AD1803" s="465"/>
      <c r="AE1803" s="466"/>
      <c r="AF1803" s="449"/>
      <c r="AG1803" s="449"/>
      <c r="AH1803" s="449"/>
    </row>
    <row r="1804" ht="11.25" customHeight="1">
      <c r="A1804" s="450"/>
      <c r="B1804" s="451"/>
      <c r="C1804" s="452"/>
      <c r="D1804" s="452"/>
      <c r="E1804" s="453"/>
      <c r="F1804" s="453"/>
      <c r="G1804" s="454"/>
      <c r="H1804" s="454"/>
      <c r="I1804" s="455"/>
      <c r="J1804" s="456"/>
      <c r="K1804" s="467" t="s">
        <v>1417</v>
      </c>
      <c r="L1804" s="468"/>
      <c r="M1804" s="469"/>
      <c r="N1804" s="470"/>
      <c r="O1804" s="470"/>
      <c r="P1804" s="471"/>
      <c r="Q1804" s="468"/>
      <c r="R1804" s="469"/>
      <c r="S1804" s="469"/>
      <c r="T1804" s="469"/>
      <c r="U1804" s="469"/>
      <c r="V1804" s="469"/>
      <c r="W1804" s="469"/>
      <c r="X1804" s="469"/>
      <c r="Y1804" s="462">
        <f t="shared" si="17"/>
        <v>0</v>
      </c>
      <c r="Z1804" s="463"/>
      <c r="AA1804" s="464"/>
      <c r="AB1804" s="465"/>
      <c r="AC1804" s="465"/>
      <c r="AD1804" s="465"/>
      <c r="AE1804" s="466"/>
      <c r="AF1804" s="449"/>
      <c r="AG1804" s="449"/>
      <c r="AH1804" s="449"/>
    </row>
    <row r="1805" ht="11.25" customHeight="1">
      <c r="A1805" s="450"/>
      <c r="B1805" s="472"/>
      <c r="C1805" s="473"/>
      <c r="D1805" s="473"/>
      <c r="E1805" s="474"/>
      <c r="F1805" s="474"/>
      <c r="G1805" s="475"/>
      <c r="H1805" s="475"/>
      <c r="I1805" s="476"/>
      <c r="J1805" s="477"/>
      <c r="K1805" s="478" t="s">
        <v>1418</v>
      </c>
      <c r="L1805" s="479"/>
      <c r="M1805" s="480"/>
      <c r="N1805" s="481"/>
      <c r="O1805" s="481"/>
      <c r="P1805" s="482"/>
      <c r="Q1805" s="479"/>
      <c r="R1805" s="480"/>
      <c r="S1805" s="480"/>
      <c r="T1805" s="480"/>
      <c r="U1805" s="480"/>
      <c r="V1805" s="480"/>
      <c r="W1805" s="480"/>
      <c r="X1805" s="480"/>
      <c r="Y1805" s="483">
        <f t="shared" si="17"/>
        <v>0</v>
      </c>
      <c r="Z1805" s="484"/>
      <c r="AA1805" s="485"/>
      <c r="AB1805" s="486"/>
      <c r="AC1805" s="486"/>
      <c r="AD1805" s="486"/>
      <c r="AE1805" s="487"/>
      <c r="AF1805" s="449"/>
      <c r="AG1805" s="449"/>
      <c r="AH1805" s="449"/>
    </row>
    <row r="1806" ht="11.25" customHeight="1">
      <c r="A1806" s="431" t="str">
        <f>IF(B1806="","", YEAR(B1806))</f>
        <v/>
      </c>
      <c r="B1806" s="432"/>
      <c r="C1806" s="433"/>
      <c r="D1806" s="433"/>
      <c r="E1806" s="434" t="str">
        <f t="shared" ref="E1806:I1806" si="910">IFERROR(AVERAGE(L1806:L1809),"")</f>
        <v/>
      </c>
      <c r="F1806" s="434" t="str">
        <f t="shared" si="910"/>
        <v/>
      </c>
      <c r="G1806" s="435" t="str">
        <f t="shared" si="910"/>
        <v/>
      </c>
      <c r="H1806" s="435" t="str">
        <f t="shared" si="910"/>
        <v/>
      </c>
      <c r="I1806" s="436" t="str">
        <f t="shared" si="910"/>
        <v/>
      </c>
      <c r="J1806" s="437">
        <f>SUMIFS(PRODUCTION[KG],PRODUCTION[GRADE],"3X50",PRODUCTION[DATE],B1806,PRODUCTION[BATCH],C1806,PRODUCTION[SHIFT],D1806)</f>
        <v>0</v>
      </c>
      <c r="K1806" s="438" t="s">
        <v>1414</v>
      </c>
      <c r="L1806" s="443"/>
      <c r="M1806" s="440"/>
      <c r="N1806" s="441"/>
      <c r="O1806" s="441"/>
      <c r="P1806" s="442"/>
      <c r="Q1806" s="443"/>
      <c r="R1806" s="440"/>
      <c r="S1806" s="440"/>
      <c r="T1806" s="440"/>
      <c r="U1806" s="440"/>
      <c r="V1806" s="440"/>
      <c r="W1806" s="440"/>
      <c r="X1806" s="440"/>
      <c r="Y1806" s="444">
        <f t="shared" si="17"/>
        <v>0</v>
      </c>
      <c r="Z1806" s="445"/>
      <c r="AA1806" s="446">
        <f t="shared" ref="AA1806:AE1806" si="911">$J1806*E1806</f>
        <v>0</v>
      </c>
      <c r="AB1806" s="447">
        <f t="shared" si="911"/>
        <v>0</v>
      </c>
      <c r="AC1806" s="447">
        <f t="shared" si="911"/>
        <v>0</v>
      </c>
      <c r="AD1806" s="447">
        <f t="shared" si="911"/>
        <v>0</v>
      </c>
      <c r="AE1806" s="448">
        <f t="shared" si="911"/>
        <v>0</v>
      </c>
      <c r="AF1806" s="449"/>
      <c r="AG1806" s="449"/>
      <c r="AH1806" s="449"/>
    </row>
    <row r="1807" ht="11.25" customHeight="1">
      <c r="A1807" s="450"/>
      <c r="B1807" s="451"/>
      <c r="C1807" s="452"/>
      <c r="D1807" s="452"/>
      <c r="E1807" s="453"/>
      <c r="F1807" s="453"/>
      <c r="G1807" s="454"/>
      <c r="H1807" s="454"/>
      <c r="I1807" s="455"/>
      <c r="J1807" s="456"/>
      <c r="K1807" s="457" t="s">
        <v>1416</v>
      </c>
      <c r="L1807" s="458"/>
      <c r="M1807" s="459"/>
      <c r="N1807" s="460"/>
      <c r="O1807" s="460"/>
      <c r="P1807" s="461"/>
      <c r="Q1807" s="458"/>
      <c r="R1807" s="459"/>
      <c r="S1807" s="459"/>
      <c r="T1807" s="459"/>
      <c r="U1807" s="459"/>
      <c r="V1807" s="459"/>
      <c r="W1807" s="459"/>
      <c r="X1807" s="459"/>
      <c r="Y1807" s="462">
        <f t="shared" si="17"/>
        <v>0</v>
      </c>
      <c r="Z1807" s="463"/>
      <c r="AA1807" s="464"/>
      <c r="AB1807" s="465"/>
      <c r="AC1807" s="465"/>
      <c r="AD1807" s="465"/>
      <c r="AE1807" s="466"/>
      <c r="AF1807" s="449"/>
      <c r="AG1807" s="449"/>
      <c r="AH1807" s="449"/>
    </row>
    <row r="1808" ht="11.25" customHeight="1">
      <c r="A1808" s="450"/>
      <c r="B1808" s="451"/>
      <c r="C1808" s="452"/>
      <c r="D1808" s="452"/>
      <c r="E1808" s="453"/>
      <c r="F1808" s="453"/>
      <c r="G1808" s="454"/>
      <c r="H1808" s="454"/>
      <c r="I1808" s="455"/>
      <c r="J1808" s="456"/>
      <c r="K1808" s="467" t="s">
        <v>1417</v>
      </c>
      <c r="L1808" s="468"/>
      <c r="M1808" s="469"/>
      <c r="N1808" s="470"/>
      <c r="O1808" s="470"/>
      <c r="P1808" s="471"/>
      <c r="Q1808" s="468"/>
      <c r="R1808" s="469"/>
      <c r="S1808" s="469"/>
      <c r="T1808" s="469"/>
      <c r="U1808" s="469"/>
      <c r="V1808" s="469"/>
      <c r="W1808" s="469"/>
      <c r="X1808" s="469"/>
      <c r="Y1808" s="462">
        <f t="shared" si="17"/>
        <v>0</v>
      </c>
      <c r="Z1808" s="463"/>
      <c r="AA1808" s="464"/>
      <c r="AB1808" s="465"/>
      <c r="AC1808" s="465"/>
      <c r="AD1808" s="465"/>
      <c r="AE1808" s="466"/>
      <c r="AF1808" s="449"/>
      <c r="AG1808" s="449"/>
      <c r="AH1808" s="449"/>
    </row>
    <row r="1809" ht="11.25" customHeight="1">
      <c r="A1809" s="450"/>
      <c r="B1809" s="472"/>
      <c r="C1809" s="473"/>
      <c r="D1809" s="473"/>
      <c r="E1809" s="474"/>
      <c r="F1809" s="474"/>
      <c r="G1809" s="475"/>
      <c r="H1809" s="475"/>
      <c r="I1809" s="476"/>
      <c r="J1809" s="477"/>
      <c r="K1809" s="478" t="s">
        <v>1418</v>
      </c>
      <c r="L1809" s="479"/>
      <c r="M1809" s="480"/>
      <c r="N1809" s="481"/>
      <c r="O1809" s="481"/>
      <c r="P1809" s="482"/>
      <c r="Q1809" s="479"/>
      <c r="R1809" s="480"/>
      <c r="S1809" s="480"/>
      <c r="T1809" s="480"/>
      <c r="U1809" s="480"/>
      <c r="V1809" s="480"/>
      <c r="W1809" s="480"/>
      <c r="X1809" s="480"/>
      <c r="Y1809" s="483">
        <f t="shared" si="17"/>
        <v>0</v>
      </c>
      <c r="Z1809" s="484"/>
      <c r="AA1809" s="485"/>
      <c r="AB1809" s="486"/>
      <c r="AC1809" s="486"/>
      <c r="AD1809" s="486"/>
      <c r="AE1809" s="487"/>
      <c r="AF1809" s="449"/>
      <c r="AG1809" s="449"/>
      <c r="AH1809" s="449"/>
    </row>
    <row r="1810" ht="11.25" customHeight="1">
      <c r="A1810" s="431" t="str">
        <f>IF(B1810="","", YEAR(B1810))</f>
        <v/>
      </c>
      <c r="B1810" s="432"/>
      <c r="C1810" s="433"/>
      <c r="D1810" s="433"/>
      <c r="E1810" s="434" t="str">
        <f t="shared" ref="E1810:I1810" si="912">IFERROR(AVERAGE(L1810:L1813),"")</f>
        <v/>
      </c>
      <c r="F1810" s="434" t="str">
        <f t="shared" si="912"/>
        <v/>
      </c>
      <c r="G1810" s="435" t="str">
        <f t="shared" si="912"/>
        <v/>
      </c>
      <c r="H1810" s="435" t="str">
        <f t="shared" si="912"/>
        <v/>
      </c>
      <c r="I1810" s="436" t="str">
        <f t="shared" si="912"/>
        <v/>
      </c>
      <c r="J1810" s="437">
        <f>SUMIFS(PRODUCTION[KG],PRODUCTION[GRADE],"3X50",PRODUCTION[DATE],B1810,PRODUCTION[BATCH],C1810,PRODUCTION[SHIFT],D1810)</f>
        <v>0</v>
      </c>
      <c r="K1810" s="438" t="s">
        <v>1414</v>
      </c>
      <c r="L1810" s="443"/>
      <c r="M1810" s="440"/>
      <c r="N1810" s="441"/>
      <c r="O1810" s="441"/>
      <c r="P1810" s="442"/>
      <c r="Q1810" s="443"/>
      <c r="R1810" s="440"/>
      <c r="S1810" s="440"/>
      <c r="T1810" s="440"/>
      <c r="U1810" s="440"/>
      <c r="V1810" s="440"/>
      <c r="W1810" s="440"/>
      <c r="X1810" s="440"/>
      <c r="Y1810" s="444">
        <f t="shared" si="17"/>
        <v>0</v>
      </c>
      <c r="Z1810" s="445"/>
      <c r="AA1810" s="446">
        <f t="shared" ref="AA1810:AE1810" si="913">$J1810*E1810</f>
        <v>0</v>
      </c>
      <c r="AB1810" s="447">
        <f t="shared" si="913"/>
        <v>0</v>
      </c>
      <c r="AC1810" s="447">
        <f t="shared" si="913"/>
        <v>0</v>
      </c>
      <c r="AD1810" s="447">
        <f t="shared" si="913"/>
        <v>0</v>
      </c>
      <c r="AE1810" s="448">
        <f t="shared" si="913"/>
        <v>0</v>
      </c>
      <c r="AF1810" s="449"/>
      <c r="AG1810" s="449"/>
      <c r="AH1810" s="449"/>
    </row>
    <row r="1811" ht="11.25" customHeight="1">
      <c r="A1811" s="450"/>
      <c r="B1811" s="451"/>
      <c r="C1811" s="452"/>
      <c r="D1811" s="452"/>
      <c r="E1811" s="453"/>
      <c r="F1811" s="453"/>
      <c r="G1811" s="454"/>
      <c r="H1811" s="454"/>
      <c r="I1811" s="455"/>
      <c r="J1811" s="456"/>
      <c r="K1811" s="457" t="s">
        <v>1416</v>
      </c>
      <c r="L1811" s="458"/>
      <c r="M1811" s="459"/>
      <c r="N1811" s="460"/>
      <c r="O1811" s="460"/>
      <c r="P1811" s="461"/>
      <c r="Q1811" s="458"/>
      <c r="R1811" s="459"/>
      <c r="S1811" s="459"/>
      <c r="T1811" s="459"/>
      <c r="U1811" s="459"/>
      <c r="V1811" s="459"/>
      <c r="W1811" s="459"/>
      <c r="X1811" s="459"/>
      <c r="Y1811" s="462">
        <f t="shared" si="17"/>
        <v>0</v>
      </c>
      <c r="Z1811" s="463"/>
      <c r="AA1811" s="464"/>
      <c r="AB1811" s="465"/>
      <c r="AC1811" s="465"/>
      <c r="AD1811" s="465"/>
      <c r="AE1811" s="466"/>
      <c r="AF1811" s="449"/>
      <c r="AG1811" s="449"/>
      <c r="AH1811" s="449"/>
    </row>
    <row r="1812" ht="11.25" customHeight="1">
      <c r="A1812" s="450"/>
      <c r="B1812" s="451"/>
      <c r="C1812" s="452"/>
      <c r="D1812" s="452"/>
      <c r="E1812" s="453"/>
      <c r="F1812" s="453"/>
      <c r="G1812" s="454"/>
      <c r="H1812" s="454"/>
      <c r="I1812" s="455"/>
      <c r="J1812" s="456"/>
      <c r="K1812" s="467" t="s">
        <v>1417</v>
      </c>
      <c r="L1812" s="468"/>
      <c r="M1812" s="469"/>
      <c r="N1812" s="470"/>
      <c r="O1812" s="470"/>
      <c r="P1812" s="471"/>
      <c r="Q1812" s="468"/>
      <c r="R1812" s="469"/>
      <c r="S1812" s="469"/>
      <c r="T1812" s="469"/>
      <c r="U1812" s="469"/>
      <c r="V1812" s="469"/>
      <c r="W1812" s="469"/>
      <c r="X1812" s="469"/>
      <c r="Y1812" s="462">
        <f t="shared" si="17"/>
        <v>0</v>
      </c>
      <c r="Z1812" s="463"/>
      <c r="AA1812" s="464"/>
      <c r="AB1812" s="465"/>
      <c r="AC1812" s="465"/>
      <c r="AD1812" s="465"/>
      <c r="AE1812" s="466"/>
      <c r="AF1812" s="449"/>
      <c r="AG1812" s="449"/>
      <c r="AH1812" s="449"/>
    </row>
    <row r="1813" ht="11.25" customHeight="1">
      <c r="A1813" s="450"/>
      <c r="B1813" s="472"/>
      <c r="C1813" s="473"/>
      <c r="D1813" s="473"/>
      <c r="E1813" s="474"/>
      <c r="F1813" s="474"/>
      <c r="G1813" s="475"/>
      <c r="H1813" s="475"/>
      <c r="I1813" s="476"/>
      <c r="J1813" s="477"/>
      <c r="K1813" s="478" t="s">
        <v>1418</v>
      </c>
      <c r="L1813" s="479"/>
      <c r="M1813" s="480"/>
      <c r="N1813" s="481"/>
      <c r="O1813" s="481"/>
      <c r="P1813" s="482"/>
      <c r="Q1813" s="479"/>
      <c r="R1813" s="480"/>
      <c r="S1813" s="480"/>
      <c r="T1813" s="480"/>
      <c r="U1813" s="480"/>
      <c r="V1813" s="480"/>
      <c r="W1813" s="480"/>
      <c r="X1813" s="480"/>
      <c r="Y1813" s="483">
        <f t="shared" si="17"/>
        <v>0</v>
      </c>
      <c r="Z1813" s="484"/>
      <c r="AA1813" s="485"/>
      <c r="AB1813" s="486"/>
      <c r="AC1813" s="486"/>
      <c r="AD1813" s="486"/>
      <c r="AE1813" s="487"/>
      <c r="AF1813" s="449"/>
      <c r="AG1813" s="449"/>
      <c r="AH1813" s="449"/>
    </row>
    <row r="1814" ht="11.25" customHeight="1">
      <c r="A1814" s="431" t="str">
        <f>IF(B1814="","", YEAR(B1814))</f>
        <v/>
      </c>
      <c r="B1814" s="432"/>
      <c r="C1814" s="433"/>
      <c r="D1814" s="433"/>
      <c r="E1814" s="434" t="str">
        <f t="shared" ref="E1814:I1814" si="914">IFERROR(AVERAGE(L1814:L1817),"")</f>
        <v/>
      </c>
      <c r="F1814" s="434" t="str">
        <f t="shared" si="914"/>
        <v/>
      </c>
      <c r="G1814" s="435" t="str">
        <f t="shared" si="914"/>
        <v/>
      </c>
      <c r="H1814" s="435" t="str">
        <f t="shared" si="914"/>
        <v/>
      </c>
      <c r="I1814" s="436" t="str">
        <f t="shared" si="914"/>
        <v/>
      </c>
      <c r="J1814" s="437">
        <f>SUMIFS(PRODUCTION[KG],PRODUCTION[GRADE],"3X50",PRODUCTION[DATE],B1814,PRODUCTION[BATCH],C1814,PRODUCTION[SHIFT],D1814)</f>
        <v>0</v>
      </c>
      <c r="K1814" s="438" t="s">
        <v>1414</v>
      </c>
      <c r="L1814" s="443"/>
      <c r="M1814" s="440"/>
      <c r="N1814" s="441"/>
      <c r="O1814" s="441"/>
      <c r="P1814" s="442"/>
      <c r="Q1814" s="443"/>
      <c r="R1814" s="440"/>
      <c r="S1814" s="440"/>
      <c r="T1814" s="440"/>
      <c r="U1814" s="440"/>
      <c r="V1814" s="440"/>
      <c r="W1814" s="440"/>
      <c r="X1814" s="440"/>
      <c r="Y1814" s="444">
        <f t="shared" si="17"/>
        <v>0</v>
      </c>
      <c r="Z1814" s="445"/>
      <c r="AA1814" s="446">
        <f t="shared" ref="AA1814:AE1814" si="915">$J1814*E1814</f>
        <v>0</v>
      </c>
      <c r="AB1814" s="447">
        <f t="shared" si="915"/>
        <v>0</v>
      </c>
      <c r="AC1814" s="447">
        <f t="shared" si="915"/>
        <v>0</v>
      </c>
      <c r="AD1814" s="447">
        <f t="shared" si="915"/>
        <v>0</v>
      </c>
      <c r="AE1814" s="448">
        <f t="shared" si="915"/>
        <v>0</v>
      </c>
      <c r="AF1814" s="449"/>
      <c r="AG1814" s="449"/>
      <c r="AH1814" s="449"/>
    </row>
    <row r="1815" ht="11.25" customHeight="1">
      <c r="A1815" s="450"/>
      <c r="B1815" s="451"/>
      <c r="C1815" s="452"/>
      <c r="D1815" s="452"/>
      <c r="E1815" s="453"/>
      <c r="F1815" s="453"/>
      <c r="G1815" s="454"/>
      <c r="H1815" s="454"/>
      <c r="I1815" s="455"/>
      <c r="J1815" s="456"/>
      <c r="K1815" s="457" t="s">
        <v>1416</v>
      </c>
      <c r="L1815" s="458"/>
      <c r="M1815" s="459"/>
      <c r="N1815" s="460"/>
      <c r="O1815" s="460"/>
      <c r="P1815" s="461"/>
      <c r="Q1815" s="458"/>
      <c r="R1815" s="459"/>
      <c r="S1815" s="459"/>
      <c r="T1815" s="459"/>
      <c r="U1815" s="459"/>
      <c r="V1815" s="459"/>
      <c r="W1815" s="459"/>
      <c r="X1815" s="459"/>
      <c r="Y1815" s="462">
        <f t="shared" si="17"/>
        <v>0</v>
      </c>
      <c r="Z1815" s="463"/>
      <c r="AA1815" s="464"/>
      <c r="AB1815" s="465"/>
      <c r="AC1815" s="465"/>
      <c r="AD1815" s="465"/>
      <c r="AE1815" s="466"/>
      <c r="AF1815" s="449"/>
      <c r="AG1815" s="449"/>
      <c r="AH1815" s="449"/>
    </row>
    <row r="1816" ht="11.25" customHeight="1">
      <c r="A1816" s="450"/>
      <c r="B1816" s="451"/>
      <c r="C1816" s="452"/>
      <c r="D1816" s="452"/>
      <c r="E1816" s="453"/>
      <c r="F1816" s="453"/>
      <c r="G1816" s="454"/>
      <c r="H1816" s="454"/>
      <c r="I1816" s="455"/>
      <c r="J1816" s="456"/>
      <c r="K1816" s="467" t="s">
        <v>1417</v>
      </c>
      <c r="L1816" s="468"/>
      <c r="M1816" s="469"/>
      <c r="N1816" s="470"/>
      <c r="O1816" s="470"/>
      <c r="P1816" s="471"/>
      <c r="Q1816" s="468"/>
      <c r="R1816" s="469"/>
      <c r="S1816" s="469"/>
      <c r="T1816" s="469"/>
      <c r="U1816" s="469"/>
      <c r="V1816" s="469"/>
      <c r="W1816" s="469"/>
      <c r="X1816" s="469"/>
      <c r="Y1816" s="462">
        <f t="shared" si="17"/>
        <v>0</v>
      </c>
      <c r="Z1816" s="463"/>
      <c r="AA1816" s="464"/>
      <c r="AB1816" s="465"/>
      <c r="AC1816" s="465"/>
      <c r="AD1816" s="465"/>
      <c r="AE1816" s="466"/>
      <c r="AF1816" s="449"/>
      <c r="AG1816" s="449"/>
      <c r="AH1816" s="449"/>
    </row>
    <row r="1817" ht="11.25" customHeight="1">
      <c r="A1817" s="450"/>
      <c r="B1817" s="472"/>
      <c r="C1817" s="473"/>
      <c r="D1817" s="473"/>
      <c r="E1817" s="474"/>
      <c r="F1817" s="474"/>
      <c r="G1817" s="475"/>
      <c r="H1817" s="475"/>
      <c r="I1817" s="476"/>
      <c r="J1817" s="477"/>
      <c r="K1817" s="478" t="s">
        <v>1418</v>
      </c>
      <c r="L1817" s="479"/>
      <c r="M1817" s="480"/>
      <c r="N1817" s="481"/>
      <c r="O1817" s="481"/>
      <c r="P1817" s="482"/>
      <c r="Q1817" s="479"/>
      <c r="R1817" s="480"/>
      <c r="S1817" s="480"/>
      <c r="T1817" s="480"/>
      <c r="U1817" s="480"/>
      <c r="V1817" s="480"/>
      <c r="W1817" s="480"/>
      <c r="X1817" s="480"/>
      <c r="Y1817" s="483">
        <f t="shared" si="17"/>
        <v>0</v>
      </c>
      <c r="Z1817" s="484"/>
      <c r="AA1817" s="485"/>
      <c r="AB1817" s="486"/>
      <c r="AC1817" s="486"/>
      <c r="AD1817" s="486"/>
      <c r="AE1817" s="487"/>
      <c r="AF1817" s="449"/>
      <c r="AG1817" s="449"/>
      <c r="AH1817" s="449"/>
    </row>
    <row r="1818" ht="11.25" customHeight="1">
      <c r="A1818" s="431" t="str">
        <f>IF(B1818="","", YEAR(B1818))</f>
        <v/>
      </c>
      <c r="B1818" s="432"/>
      <c r="C1818" s="433"/>
      <c r="D1818" s="433"/>
      <c r="E1818" s="434" t="str">
        <f t="shared" ref="E1818:I1818" si="916">IFERROR(AVERAGE(L1818:L1821),"")</f>
        <v/>
      </c>
      <c r="F1818" s="434" t="str">
        <f t="shared" si="916"/>
        <v/>
      </c>
      <c r="G1818" s="435" t="str">
        <f t="shared" si="916"/>
        <v/>
      </c>
      <c r="H1818" s="435" t="str">
        <f t="shared" si="916"/>
        <v/>
      </c>
      <c r="I1818" s="436" t="str">
        <f t="shared" si="916"/>
        <v/>
      </c>
      <c r="J1818" s="437">
        <f>SUMIFS(PRODUCTION[KG],PRODUCTION[GRADE],"3X50",PRODUCTION[DATE],B1818,PRODUCTION[BATCH],C1818,PRODUCTION[SHIFT],D1818)</f>
        <v>0</v>
      </c>
      <c r="K1818" s="438" t="s">
        <v>1414</v>
      </c>
      <c r="L1818" s="443"/>
      <c r="M1818" s="440"/>
      <c r="N1818" s="441"/>
      <c r="O1818" s="441"/>
      <c r="P1818" s="442"/>
      <c r="Q1818" s="443"/>
      <c r="R1818" s="440"/>
      <c r="S1818" s="440"/>
      <c r="T1818" s="440"/>
      <c r="U1818" s="440"/>
      <c r="V1818" s="440"/>
      <c r="W1818" s="440"/>
      <c r="X1818" s="440"/>
      <c r="Y1818" s="444">
        <f t="shared" si="17"/>
        <v>0</v>
      </c>
      <c r="Z1818" s="445"/>
      <c r="AA1818" s="446">
        <f t="shared" ref="AA1818:AE1818" si="917">$J1818*E1818</f>
        <v>0</v>
      </c>
      <c r="AB1818" s="447">
        <f t="shared" si="917"/>
        <v>0</v>
      </c>
      <c r="AC1818" s="447">
        <f t="shared" si="917"/>
        <v>0</v>
      </c>
      <c r="AD1818" s="447">
        <f t="shared" si="917"/>
        <v>0</v>
      </c>
      <c r="AE1818" s="448">
        <f t="shared" si="917"/>
        <v>0</v>
      </c>
      <c r="AF1818" s="449"/>
      <c r="AG1818" s="449"/>
      <c r="AH1818" s="449"/>
    </row>
    <row r="1819" ht="11.25" customHeight="1">
      <c r="A1819" s="450"/>
      <c r="B1819" s="451"/>
      <c r="C1819" s="452"/>
      <c r="D1819" s="452"/>
      <c r="E1819" s="453"/>
      <c r="F1819" s="453"/>
      <c r="G1819" s="454"/>
      <c r="H1819" s="454"/>
      <c r="I1819" s="455"/>
      <c r="J1819" s="456"/>
      <c r="K1819" s="457" t="s">
        <v>1416</v>
      </c>
      <c r="L1819" s="458"/>
      <c r="M1819" s="459"/>
      <c r="N1819" s="460"/>
      <c r="O1819" s="460"/>
      <c r="P1819" s="461"/>
      <c r="Q1819" s="458"/>
      <c r="R1819" s="459"/>
      <c r="S1819" s="459"/>
      <c r="T1819" s="459"/>
      <c r="U1819" s="459"/>
      <c r="V1819" s="459"/>
      <c r="W1819" s="459"/>
      <c r="X1819" s="459"/>
      <c r="Y1819" s="462">
        <f t="shared" si="17"/>
        <v>0</v>
      </c>
      <c r="Z1819" s="463"/>
      <c r="AA1819" s="464"/>
      <c r="AB1819" s="465"/>
      <c r="AC1819" s="465"/>
      <c r="AD1819" s="465"/>
      <c r="AE1819" s="466"/>
      <c r="AF1819" s="449"/>
      <c r="AG1819" s="449"/>
      <c r="AH1819" s="449"/>
    </row>
    <row r="1820" ht="11.25" customHeight="1">
      <c r="A1820" s="450"/>
      <c r="B1820" s="451"/>
      <c r="C1820" s="452"/>
      <c r="D1820" s="452"/>
      <c r="E1820" s="453"/>
      <c r="F1820" s="453"/>
      <c r="G1820" s="454"/>
      <c r="H1820" s="454"/>
      <c r="I1820" s="455"/>
      <c r="J1820" s="456"/>
      <c r="K1820" s="467" t="s">
        <v>1417</v>
      </c>
      <c r="L1820" s="468"/>
      <c r="M1820" s="469"/>
      <c r="N1820" s="470"/>
      <c r="O1820" s="470"/>
      <c r="P1820" s="471"/>
      <c r="Q1820" s="468"/>
      <c r="R1820" s="469"/>
      <c r="S1820" s="469"/>
      <c r="T1820" s="469"/>
      <c r="U1820" s="469"/>
      <c r="V1820" s="469"/>
      <c r="W1820" s="469"/>
      <c r="X1820" s="469"/>
      <c r="Y1820" s="462">
        <f t="shared" si="17"/>
        <v>0</v>
      </c>
      <c r="Z1820" s="463"/>
      <c r="AA1820" s="464"/>
      <c r="AB1820" s="465"/>
      <c r="AC1820" s="465"/>
      <c r="AD1820" s="465"/>
      <c r="AE1820" s="466"/>
      <c r="AF1820" s="449"/>
      <c r="AG1820" s="449"/>
      <c r="AH1820" s="449"/>
    </row>
    <row r="1821" ht="11.25" customHeight="1">
      <c r="A1821" s="450"/>
      <c r="B1821" s="472"/>
      <c r="C1821" s="473"/>
      <c r="D1821" s="473"/>
      <c r="E1821" s="474"/>
      <c r="F1821" s="474"/>
      <c r="G1821" s="475"/>
      <c r="H1821" s="475"/>
      <c r="I1821" s="476"/>
      <c r="J1821" s="477"/>
      <c r="K1821" s="478" t="s">
        <v>1418</v>
      </c>
      <c r="L1821" s="479"/>
      <c r="M1821" s="480"/>
      <c r="N1821" s="481"/>
      <c r="O1821" s="481"/>
      <c r="P1821" s="482"/>
      <c r="Q1821" s="479"/>
      <c r="R1821" s="480"/>
      <c r="S1821" s="480"/>
      <c r="T1821" s="480"/>
      <c r="U1821" s="480"/>
      <c r="V1821" s="480"/>
      <c r="W1821" s="480"/>
      <c r="X1821" s="480"/>
      <c r="Y1821" s="483">
        <f t="shared" si="17"/>
        <v>0</v>
      </c>
      <c r="Z1821" s="484"/>
      <c r="AA1821" s="485"/>
      <c r="AB1821" s="486"/>
      <c r="AC1821" s="486"/>
      <c r="AD1821" s="486"/>
      <c r="AE1821" s="487"/>
      <c r="AF1821" s="449"/>
      <c r="AG1821" s="449"/>
      <c r="AH1821" s="449"/>
    </row>
    <row r="1822" ht="11.25" customHeight="1">
      <c r="A1822" s="431" t="str">
        <f>IF(B1822="","", YEAR(B1822))</f>
        <v/>
      </c>
      <c r="B1822" s="432"/>
      <c r="C1822" s="433"/>
      <c r="D1822" s="433"/>
      <c r="E1822" s="434" t="str">
        <f t="shared" ref="E1822:I1822" si="918">IFERROR(AVERAGE(L1822:L1825),"")</f>
        <v/>
      </c>
      <c r="F1822" s="434" t="str">
        <f t="shared" si="918"/>
        <v/>
      </c>
      <c r="G1822" s="435" t="str">
        <f t="shared" si="918"/>
        <v/>
      </c>
      <c r="H1822" s="435" t="str">
        <f t="shared" si="918"/>
        <v/>
      </c>
      <c r="I1822" s="436" t="str">
        <f t="shared" si="918"/>
        <v/>
      </c>
      <c r="J1822" s="437">
        <f>SUMIFS(PRODUCTION[KG],PRODUCTION[GRADE],"3X50",PRODUCTION[DATE],B1822,PRODUCTION[BATCH],C1822,PRODUCTION[SHIFT],D1822)</f>
        <v>0</v>
      </c>
      <c r="K1822" s="438" t="s">
        <v>1414</v>
      </c>
      <c r="L1822" s="443"/>
      <c r="M1822" s="440"/>
      <c r="N1822" s="441"/>
      <c r="O1822" s="441"/>
      <c r="P1822" s="442"/>
      <c r="Q1822" s="443"/>
      <c r="R1822" s="440"/>
      <c r="S1822" s="440"/>
      <c r="T1822" s="440"/>
      <c r="U1822" s="440"/>
      <c r="V1822" s="440"/>
      <c r="W1822" s="440"/>
      <c r="X1822" s="440"/>
      <c r="Y1822" s="444">
        <f t="shared" si="17"/>
        <v>0</v>
      </c>
      <c r="Z1822" s="445"/>
      <c r="AA1822" s="446">
        <f t="shared" ref="AA1822:AE1822" si="919">$J1822*E1822</f>
        <v>0</v>
      </c>
      <c r="AB1822" s="447">
        <f t="shared" si="919"/>
        <v>0</v>
      </c>
      <c r="AC1822" s="447">
        <f t="shared" si="919"/>
        <v>0</v>
      </c>
      <c r="AD1822" s="447">
        <f t="shared" si="919"/>
        <v>0</v>
      </c>
      <c r="AE1822" s="448">
        <f t="shared" si="919"/>
        <v>0</v>
      </c>
      <c r="AF1822" s="449"/>
      <c r="AG1822" s="449"/>
      <c r="AH1822" s="449"/>
    </row>
    <row r="1823" ht="11.25" customHeight="1">
      <c r="A1823" s="450"/>
      <c r="B1823" s="451"/>
      <c r="C1823" s="452"/>
      <c r="D1823" s="452"/>
      <c r="E1823" s="453"/>
      <c r="F1823" s="453"/>
      <c r="G1823" s="454"/>
      <c r="H1823" s="454"/>
      <c r="I1823" s="455"/>
      <c r="J1823" s="456"/>
      <c r="K1823" s="457" t="s">
        <v>1416</v>
      </c>
      <c r="L1823" s="458"/>
      <c r="M1823" s="459"/>
      <c r="N1823" s="460"/>
      <c r="O1823" s="460"/>
      <c r="P1823" s="461"/>
      <c r="Q1823" s="458"/>
      <c r="R1823" s="459"/>
      <c r="S1823" s="459"/>
      <c r="T1823" s="459"/>
      <c r="U1823" s="459"/>
      <c r="V1823" s="459"/>
      <c r="W1823" s="459"/>
      <c r="X1823" s="459"/>
      <c r="Y1823" s="462">
        <f t="shared" si="17"/>
        <v>0</v>
      </c>
      <c r="Z1823" s="463"/>
      <c r="AA1823" s="464"/>
      <c r="AB1823" s="465"/>
      <c r="AC1823" s="465"/>
      <c r="AD1823" s="465"/>
      <c r="AE1823" s="466"/>
      <c r="AF1823" s="449"/>
      <c r="AG1823" s="449"/>
      <c r="AH1823" s="449"/>
    </row>
    <row r="1824" ht="11.25" customHeight="1">
      <c r="A1824" s="450"/>
      <c r="B1824" s="451"/>
      <c r="C1824" s="452"/>
      <c r="D1824" s="452"/>
      <c r="E1824" s="453"/>
      <c r="F1824" s="453"/>
      <c r="G1824" s="454"/>
      <c r="H1824" s="454"/>
      <c r="I1824" s="455"/>
      <c r="J1824" s="456"/>
      <c r="K1824" s="467" t="s">
        <v>1417</v>
      </c>
      <c r="L1824" s="468"/>
      <c r="M1824" s="469"/>
      <c r="N1824" s="470"/>
      <c r="O1824" s="470"/>
      <c r="P1824" s="471"/>
      <c r="Q1824" s="468"/>
      <c r="R1824" s="469"/>
      <c r="S1824" s="469"/>
      <c r="T1824" s="469"/>
      <c r="U1824" s="469"/>
      <c r="V1824" s="469"/>
      <c r="W1824" s="469"/>
      <c r="X1824" s="469"/>
      <c r="Y1824" s="462">
        <f t="shared" si="17"/>
        <v>0</v>
      </c>
      <c r="Z1824" s="463"/>
      <c r="AA1824" s="464"/>
      <c r="AB1824" s="465"/>
      <c r="AC1824" s="465"/>
      <c r="AD1824" s="465"/>
      <c r="AE1824" s="466"/>
      <c r="AF1824" s="449"/>
      <c r="AG1824" s="449"/>
      <c r="AH1824" s="449"/>
    </row>
    <row r="1825" ht="11.25" customHeight="1">
      <c r="A1825" s="450"/>
      <c r="B1825" s="472"/>
      <c r="C1825" s="473"/>
      <c r="D1825" s="473"/>
      <c r="E1825" s="474"/>
      <c r="F1825" s="474"/>
      <c r="G1825" s="475"/>
      <c r="H1825" s="475"/>
      <c r="I1825" s="476"/>
      <c r="J1825" s="477"/>
      <c r="K1825" s="478" t="s">
        <v>1418</v>
      </c>
      <c r="L1825" s="479"/>
      <c r="M1825" s="480"/>
      <c r="N1825" s="481"/>
      <c r="O1825" s="481"/>
      <c r="P1825" s="482"/>
      <c r="Q1825" s="479"/>
      <c r="R1825" s="480"/>
      <c r="S1825" s="480"/>
      <c r="T1825" s="480"/>
      <c r="U1825" s="480"/>
      <c r="V1825" s="480"/>
      <c r="W1825" s="480"/>
      <c r="X1825" s="480"/>
      <c r="Y1825" s="483">
        <f t="shared" si="17"/>
        <v>0</v>
      </c>
      <c r="Z1825" s="484"/>
      <c r="AA1825" s="485"/>
      <c r="AB1825" s="486"/>
      <c r="AC1825" s="486"/>
      <c r="AD1825" s="486"/>
      <c r="AE1825" s="487"/>
      <c r="AF1825" s="449"/>
      <c r="AG1825" s="449"/>
      <c r="AH1825" s="449"/>
    </row>
    <row r="1826" ht="11.25" customHeight="1">
      <c r="A1826" s="431" t="str">
        <f>IF(B1826="","", YEAR(B1826))</f>
        <v/>
      </c>
      <c r="B1826" s="432"/>
      <c r="C1826" s="433"/>
      <c r="D1826" s="433"/>
      <c r="E1826" s="434" t="str">
        <f t="shared" ref="E1826:I1826" si="920">IFERROR(AVERAGE(L1826:L1829),"")</f>
        <v/>
      </c>
      <c r="F1826" s="434" t="str">
        <f t="shared" si="920"/>
        <v/>
      </c>
      <c r="G1826" s="435" t="str">
        <f t="shared" si="920"/>
        <v/>
      </c>
      <c r="H1826" s="435" t="str">
        <f t="shared" si="920"/>
        <v/>
      </c>
      <c r="I1826" s="436" t="str">
        <f t="shared" si="920"/>
        <v/>
      </c>
      <c r="J1826" s="437">
        <f>SUMIFS(PRODUCTION[KG],PRODUCTION[GRADE],"3X50",PRODUCTION[DATE],B1826,PRODUCTION[BATCH],C1826,PRODUCTION[SHIFT],D1826)</f>
        <v>0</v>
      </c>
      <c r="K1826" s="438" t="s">
        <v>1414</v>
      </c>
      <c r="L1826" s="443"/>
      <c r="M1826" s="440"/>
      <c r="N1826" s="441"/>
      <c r="O1826" s="441"/>
      <c r="P1826" s="442"/>
      <c r="Q1826" s="443"/>
      <c r="R1826" s="440"/>
      <c r="S1826" s="440"/>
      <c r="T1826" s="440"/>
      <c r="U1826" s="440"/>
      <c r="V1826" s="440"/>
      <c r="W1826" s="440"/>
      <c r="X1826" s="440"/>
      <c r="Y1826" s="444">
        <f t="shared" si="17"/>
        <v>0</v>
      </c>
      <c r="Z1826" s="445"/>
      <c r="AA1826" s="446">
        <f t="shared" ref="AA1826:AE1826" si="921">$J1826*E1826</f>
        <v>0</v>
      </c>
      <c r="AB1826" s="447">
        <f t="shared" si="921"/>
        <v>0</v>
      </c>
      <c r="AC1826" s="447">
        <f t="shared" si="921"/>
        <v>0</v>
      </c>
      <c r="AD1826" s="447">
        <f t="shared" si="921"/>
        <v>0</v>
      </c>
      <c r="AE1826" s="448">
        <f t="shared" si="921"/>
        <v>0</v>
      </c>
      <c r="AF1826" s="449"/>
      <c r="AG1826" s="449"/>
      <c r="AH1826" s="449"/>
    </row>
    <row r="1827" ht="11.25" customHeight="1">
      <c r="A1827" s="450"/>
      <c r="B1827" s="451"/>
      <c r="C1827" s="452"/>
      <c r="D1827" s="452"/>
      <c r="E1827" s="453"/>
      <c r="F1827" s="453"/>
      <c r="G1827" s="454"/>
      <c r="H1827" s="454"/>
      <c r="I1827" s="455"/>
      <c r="J1827" s="456"/>
      <c r="K1827" s="457" t="s">
        <v>1416</v>
      </c>
      <c r="L1827" s="458"/>
      <c r="M1827" s="459"/>
      <c r="N1827" s="460"/>
      <c r="O1827" s="460"/>
      <c r="P1827" s="461"/>
      <c r="Q1827" s="458"/>
      <c r="R1827" s="459"/>
      <c r="S1827" s="459"/>
      <c r="T1827" s="459"/>
      <c r="U1827" s="459"/>
      <c r="V1827" s="459"/>
      <c r="W1827" s="459"/>
      <c r="X1827" s="459"/>
      <c r="Y1827" s="462">
        <f t="shared" si="17"/>
        <v>0</v>
      </c>
      <c r="Z1827" s="463"/>
      <c r="AA1827" s="464"/>
      <c r="AB1827" s="465"/>
      <c r="AC1827" s="465"/>
      <c r="AD1827" s="465"/>
      <c r="AE1827" s="466"/>
      <c r="AF1827" s="449"/>
      <c r="AG1827" s="449"/>
      <c r="AH1827" s="449"/>
    </row>
    <row r="1828" ht="11.25" customHeight="1">
      <c r="A1828" s="450"/>
      <c r="B1828" s="451"/>
      <c r="C1828" s="452"/>
      <c r="D1828" s="452"/>
      <c r="E1828" s="453"/>
      <c r="F1828" s="453"/>
      <c r="G1828" s="454"/>
      <c r="H1828" s="454"/>
      <c r="I1828" s="455"/>
      <c r="J1828" s="456"/>
      <c r="K1828" s="467" t="s">
        <v>1417</v>
      </c>
      <c r="L1828" s="468"/>
      <c r="M1828" s="469"/>
      <c r="N1828" s="470"/>
      <c r="O1828" s="470"/>
      <c r="P1828" s="471"/>
      <c r="Q1828" s="468"/>
      <c r="R1828" s="469"/>
      <c r="S1828" s="469"/>
      <c r="T1828" s="469"/>
      <c r="U1828" s="469"/>
      <c r="V1828" s="469"/>
      <c r="W1828" s="469"/>
      <c r="X1828" s="469"/>
      <c r="Y1828" s="462">
        <f t="shared" si="17"/>
        <v>0</v>
      </c>
      <c r="Z1828" s="463"/>
      <c r="AA1828" s="464"/>
      <c r="AB1828" s="465"/>
      <c r="AC1828" s="465"/>
      <c r="AD1828" s="465"/>
      <c r="AE1828" s="466"/>
      <c r="AF1828" s="449"/>
      <c r="AG1828" s="449"/>
      <c r="AH1828" s="449"/>
    </row>
    <row r="1829" ht="11.25" customHeight="1">
      <c r="A1829" s="450"/>
      <c r="B1829" s="472"/>
      <c r="C1829" s="473"/>
      <c r="D1829" s="473"/>
      <c r="E1829" s="474"/>
      <c r="F1829" s="474"/>
      <c r="G1829" s="475"/>
      <c r="H1829" s="475"/>
      <c r="I1829" s="476"/>
      <c r="J1829" s="477"/>
      <c r="K1829" s="478" t="s">
        <v>1418</v>
      </c>
      <c r="L1829" s="479"/>
      <c r="M1829" s="480"/>
      <c r="N1829" s="481"/>
      <c r="O1829" s="481"/>
      <c r="P1829" s="482"/>
      <c r="Q1829" s="479"/>
      <c r="R1829" s="480"/>
      <c r="S1829" s="480"/>
      <c r="T1829" s="480"/>
      <c r="U1829" s="480"/>
      <c r="V1829" s="480"/>
      <c r="W1829" s="480"/>
      <c r="X1829" s="480"/>
      <c r="Y1829" s="483">
        <f t="shared" si="17"/>
        <v>0</v>
      </c>
      <c r="Z1829" s="484"/>
      <c r="AA1829" s="485"/>
      <c r="AB1829" s="486"/>
      <c r="AC1829" s="486"/>
      <c r="AD1829" s="486"/>
      <c r="AE1829" s="487"/>
      <c r="AF1829" s="449"/>
      <c r="AG1829" s="449"/>
      <c r="AH1829" s="449"/>
    </row>
    <row r="1830" ht="11.25" customHeight="1">
      <c r="A1830" s="431" t="str">
        <f>IF(B1830="","", YEAR(B1830))</f>
        <v/>
      </c>
      <c r="B1830" s="432"/>
      <c r="C1830" s="433"/>
      <c r="D1830" s="433"/>
      <c r="E1830" s="434" t="str">
        <f t="shared" ref="E1830:I1830" si="922">IFERROR(AVERAGE(L1830:L1833),"")</f>
        <v/>
      </c>
      <c r="F1830" s="434" t="str">
        <f t="shared" si="922"/>
        <v/>
      </c>
      <c r="G1830" s="435" t="str">
        <f t="shared" si="922"/>
        <v/>
      </c>
      <c r="H1830" s="435" t="str">
        <f t="shared" si="922"/>
        <v/>
      </c>
      <c r="I1830" s="436" t="str">
        <f t="shared" si="922"/>
        <v/>
      </c>
      <c r="J1830" s="437">
        <f>SUMIFS(PRODUCTION[KG],PRODUCTION[GRADE],"3X50",PRODUCTION[DATE],B1830,PRODUCTION[BATCH],C1830,PRODUCTION[SHIFT],D1830)</f>
        <v>0</v>
      </c>
      <c r="K1830" s="438" t="s">
        <v>1414</v>
      </c>
      <c r="L1830" s="443"/>
      <c r="M1830" s="440"/>
      <c r="N1830" s="441"/>
      <c r="O1830" s="441"/>
      <c r="P1830" s="442"/>
      <c r="Q1830" s="443"/>
      <c r="R1830" s="440"/>
      <c r="S1830" s="440"/>
      <c r="T1830" s="440"/>
      <c r="U1830" s="440"/>
      <c r="V1830" s="440"/>
      <c r="W1830" s="440"/>
      <c r="X1830" s="440"/>
      <c r="Y1830" s="444">
        <f t="shared" si="17"/>
        <v>0</v>
      </c>
      <c r="Z1830" s="445"/>
      <c r="AA1830" s="446">
        <f t="shared" ref="AA1830:AE1830" si="923">$J1830*E1830</f>
        <v>0</v>
      </c>
      <c r="AB1830" s="447">
        <f t="shared" si="923"/>
        <v>0</v>
      </c>
      <c r="AC1830" s="447">
        <f t="shared" si="923"/>
        <v>0</v>
      </c>
      <c r="AD1830" s="447">
        <f t="shared" si="923"/>
        <v>0</v>
      </c>
      <c r="AE1830" s="448">
        <f t="shared" si="923"/>
        <v>0</v>
      </c>
      <c r="AF1830" s="449"/>
      <c r="AG1830" s="449"/>
      <c r="AH1830" s="449"/>
    </row>
    <row r="1831" ht="11.25" customHeight="1">
      <c r="A1831" s="450"/>
      <c r="B1831" s="451"/>
      <c r="C1831" s="452"/>
      <c r="D1831" s="452"/>
      <c r="E1831" s="453"/>
      <c r="F1831" s="453"/>
      <c r="G1831" s="454"/>
      <c r="H1831" s="454"/>
      <c r="I1831" s="455"/>
      <c r="J1831" s="456"/>
      <c r="K1831" s="457" t="s">
        <v>1416</v>
      </c>
      <c r="L1831" s="458"/>
      <c r="M1831" s="459"/>
      <c r="N1831" s="460"/>
      <c r="O1831" s="460"/>
      <c r="P1831" s="461"/>
      <c r="Q1831" s="458"/>
      <c r="R1831" s="459"/>
      <c r="S1831" s="459"/>
      <c r="T1831" s="459"/>
      <c r="U1831" s="459"/>
      <c r="V1831" s="459"/>
      <c r="W1831" s="459"/>
      <c r="X1831" s="459"/>
      <c r="Y1831" s="462">
        <f t="shared" si="17"/>
        <v>0</v>
      </c>
      <c r="Z1831" s="463"/>
      <c r="AA1831" s="464"/>
      <c r="AB1831" s="465"/>
      <c r="AC1831" s="465"/>
      <c r="AD1831" s="465"/>
      <c r="AE1831" s="466"/>
      <c r="AF1831" s="449"/>
      <c r="AG1831" s="449"/>
      <c r="AH1831" s="449"/>
    </row>
    <row r="1832" ht="11.25" customHeight="1">
      <c r="A1832" s="450"/>
      <c r="B1832" s="451"/>
      <c r="C1832" s="452"/>
      <c r="D1832" s="452"/>
      <c r="E1832" s="453"/>
      <c r="F1832" s="453"/>
      <c r="G1832" s="454"/>
      <c r="H1832" s="454"/>
      <c r="I1832" s="455"/>
      <c r="J1832" s="456"/>
      <c r="K1832" s="467" t="s">
        <v>1417</v>
      </c>
      <c r="L1832" s="468"/>
      <c r="M1832" s="469"/>
      <c r="N1832" s="470"/>
      <c r="O1832" s="470"/>
      <c r="P1832" s="471"/>
      <c r="Q1832" s="468"/>
      <c r="R1832" s="469"/>
      <c r="S1832" s="469"/>
      <c r="T1832" s="469"/>
      <c r="U1832" s="469"/>
      <c r="V1832" s="469"/>
      <c r="W1832" s="469"/>
      <c r="X1832" s="469"/>
      <c r="Y1832" s="462">
        <f t="shared" si="17"/>
        <v>0</v>
      </c>
      <c r="Z1832" s="463"/>
      <c r="AA1832" s="464"/>
      <c r="AB1832" s="465"/>
      <c r="AC1832" s="465"/>
      <c r="AD1832" s="465"/>
      <c r="AE1832" s="466"/>
      <c r="AF1832" s="449"/>
      <c r="AG1832" s="449"/>
      <c r="AH1832" s="449"/>
    </row>
    <row r="1833" ht="11.25" customHeight="1">
      <c r="A1833" s="450"/>
      <c r="B1833" s="472"/>
      <c r="C1833" s="473"/>
      <c r="D1833" s="473"/>
      <c r="E1833" s="474"/>
      <c r="F1833" s="474"/>
      <c r="G1833" s="475"/>
      <c r="H1833" s="475"/>
      <c r="I1833" s="476"/>
      <c r="J1833" s="477"/>
      <c r="K1833" s="478" t="s">
        <v>1418</v>
      </c>
      <c r="L1833" s="479"/>
      <c r="M1833" s="480"/>
      <c r="N1833" s="481"/>
      <c r="O1833" s="481"/>
      <c r="P1833" s="482"/>
      <c r="Q1833" s="479"/>
      <c r="R1833" s="480"/>
      <c r="S1833" s="480"/>
      <c r="T1833" s="480"/>
      <c r="U1833" s="480"/>
      <c r="V1833" s="480"/>
      <c r="W1833" s="480"/>
      <c r="X1833" s="480"/>
      <c r="Y1833" s="483">
        <f t="shared" si="17"/>
        <v>0</v>
      </c>
      <c r="Z1833" s="484"/>
      <c r="AA1833" s="485"/>
      <c r="AB1833" s="486"/>
      <c r="AC1833" s="486"/>
      <c r="AD1833" s="486"/>
      <c r="AE1833" s="487"/>
      <c r="AF1833" s="449"/>
      <c r="AG1833" s="449"/>
      <c r="AH1833" s="449"/>
    </row>
    <row r="1834" ht="11.25" customHeight="1">
      <c r="A1834" s="431" t="str">
        <f>IF(B1834="","", YEAR(B1834))</f>
        <v/>
      </c>
      <c r="B1834" s="432"/>
      <c r="C1834" s="433"/>
      <c r="D1834" s="433"/>
      <c r="E1834" s="434" t="str">
        <f t="shared" ref="E1834:I1834" si="924">IFERROR(AVERAGE(L1834:L1837),"")</f>
        <v/>
      </c>
      <c r="F1834" s="434" t="str">
        <f t="shared" si="924"/>
        <v/>
      </c>
      <c r="G1834" s="435" t="str">
        <f t="shared" si="924"/>
        <v/>
      </c>
      <c r="H1834" s="435" t="str">
        <f t="shared" si="924"/>
        <v/>
      </c>
      <c r="I1834" s="436" t="str">
        <f t="shared" si="924"/>
        <v/>
      </c>
      <c r="J1834" s="437">
        <f>SUMIFS(PRODUCTION[KG],PRODUCTION[GRADE],"3X50",PRODUCTION[DATE],B1834,PRODUCTION[BATCH],C1834,PRODUCTION[SHIFT],D1834)</f>
        <v>0</v>
      </c>
      <c r="K1834" s="438" t="s">
        <v>1414</v>
      </c>
      <c r="L1834" s="443"/>
      <c r="M1834" s="440"/>
      <c r="N1834" s="441"/>
      <c r="O1834" s="441"/>
      <c r="P1834" s="442"/>
      <c r="Q1834" s="443"/>
      <c r="R1834" s="440"/>
      <c r="S1834" s="440"/>
      <c r="T1834" s="440"/>
      <c r="U1834" s="440"/>
      <c r="V1834" s="440"/>
      <c r="W1834" s="440"/>
      <c r="X1834" s="440"/>
      <c r="Y1834" s="444">
        <f t="shared" si="17"/>
        <v>0</v>
      </c>
      <c r="Z1834" s="445"/>
      <c r="AA1834" s="446">
        <f t="shared" ref="AA1834:AE1834" si="925">$J1834*E1834</f>
        <v>0</v>
      </c>
      <c r="AB1834" s="447">
        <f t="shared" si="925"/>
        <v>0</v>
      </c>
      <c r="AC1834" s="447">
        <f t="shared" si="925"/>
        <v>0</v>
      </c>
      <c r="AD1834" s="447">
        <f t="shared" si="925"/>
        <v>0</v>
      </c>
      <c r="AE1834" s="448">
        <f t="shared" si="925"/>
        <v>0</v>
      </c>
      <c r="AF1834" s="449"/>
      <c r="AG1834" s="449"/>
      <c r="AH1834" s="449"/>
    </row>
    <row r="1835" ht="11.25" customHeight="1">
      <c r="A1835" s="450"/>
      <c r="B1835" s="451"/>
      <c r="C1835" s="452"/>
      <c r="D1835" s="452"/>
      <c r="E1835" s="453"/>
      <c r="F1835" s="453"/>
      <c r="G1835" s="454"/>
      <c r="H1835" s="454"/>
      <c r="I1835" s="455"/>
      <c r="J1835" s="456"/>
      <c r="K1835" s="457" t="s">
        <v>1416</v>
      </c>
      <c r="L1835" s="458"/>
      <c r="M1835" s="459"/>
      <c r="N1835" s="460"/>
      <c r="O1835" s="460"/>
      <c r="P1835" s="461"/>
      <c r="Q1835" s="458"/>
      <c r="R1835" s="459"/>
      <c r="S1835" s="459"/>
      <c r="T1835" s="459"/>
      <c r="U1835" s="459"/>
      <c r="V1835" s="459"/>
      <c r="W1835" s="459"/>
      <c r="X1835" s="459"/>
      <c r="Y1835" s="462">
        <f t="shared" si="17"/>
        <v>0</v>
      </c>
      <c r="Z1835" s="463"/>
      <c r="AA1835" s="464"/>
      <c r="AB1835" s="465"/>
      <c r="AC1835" s="465"/>
      <c r="AD1835" s="465"/>
      <c r="AE1835" s="466"/>
      <c r="AF1835" s="449"/>
      <c r="AG1835" s="449"/>
      <c r="AH1835" s="449"/>
    </row>
    <row r="1836" ht="11.25" customHeight="1">
      <c r="A1836" s="450"/>
      <c r="B1836" s="451"/>
      <c r="C1836" s="452"/>
      <c r="D1836" s="452"/>
      <c r="E1836" s="453"/>
      <c r="F1836" s="453"/>
      <c r="G1836" s="454"/>
      <c r="H1836" s="454"/>
      <c r="I1836" s="455"/>
      <c r="J1836" s="456"/>
      <c r="K1836" s="467" t="s">
        <v>1417</v>
      </c>
      <c r="L1836" s="468"/>
      <c r="M1836" s="469"/>
      <c r="N1836" s="470"/>
      <c r="O1836" s="470"/>
      <c r="P1836" s="471"/>
      <c r="Q1836" s="468"/>
      <c r="R1836" s="469"/>
      <c r="S1836" s="469"/>
      <c r="T1836" s="469"/>
      <c r="U1836" s="469"/>
      <c r="V1836" s="469"/>
      <c r="W1836" s="469"/>
      <c r="X1836" s="469"/>
      <c r="Y1836" s="462">
        <f t="shared" si="17"/>
        <v>0</v>
      </c>
      <c r="Z1836" s="463"/>
      <c r="AA1836" s="464"/>
      <c r="AB1836" s="465"/>
      <c r="AC1836" s="465"/>
      <c r="AD1836" s="465"/>
      <c r="AE1836" s="466"/>
      <c r="AF1836" s="449"/>
      <c r="AG1836" s="449"/>
      <c r="AH1836" s="449"/>
    </row>
    <row r="1837" ht="11.25" customHeight="1">
      <c r="A1837" s="450"/>
      <c r="B1837" s="472"/>
      <c r="C1837" s="473"/>
      <c r="D1837" s="473"/>
      <c r="E1837" s="474"/>
      <c r="F1837" s="474"/>
      <c r="G1837" s="475"/>
      <c r="H1837" s="475"/>
      <c r="I1837" s="476"/>
      <c r="J1837" s="477"/>
      <c r="K1837" s="478" t="s">
        <v>1418</v>
      </c>
      <c r="L1837" s="479"/>
      <c r="M1837" s="480"/>
      <c r="N1837" s="481"/>
      <c r="O1837" s="481"/>
      <c r="P1837" s="482"/>
      <c r="Q1837" s="479"/>
      <c r="R1837" s="480"/>
      <c r="S1837" s="480"/>
      <c r="T1837" s="480"/>
      <c r="U1837" s="480"/>
      <c r="V1837" s="480"/>
      <c r="W1837" s="480"/>
      <c r="X1837" s="480"/>
      <c r="Y1837" s="483">
        <f t="shared" si="17"/>
        <v>0</v>
      </c>
      <c r="Z1837" s="484"/>
      <c r="AA1837" s="485"/>
      <c r="AB1837" s="486"/>
      <c r="AC1837" s="486"/>
      <c r="AD1837" s="486"/>
      <c r="AE1837" s="487"/>
      <c r="AF1837" s="449"/>
      <c r="AG1837" s="449"/>
      <c r="AH1837" s="449"/>
    </row>
    <row r="1838" ht="11.25" customHeight="1">
      <c r="A1838" s="431" t="str">
        <f>IF(B1838="","", YEAR(B1838))</f>
        <v/>
      </c>
      <c r="B1838" s="432"/>
      <c r="C1838" s="433"/>
      <c r="D1838" s="433"/>
      <c r="E1838" s="434" t="str">
        <f t="shared" ref="E1838:I1838" si="926">IFERROR(AVERAGE(L1838:L1841),"")</f>
        <v/>
      </c>
      <c r="F1838" s="434" t="str">
        <f t="shared" si="926"/>
        <v/>
      </c>
      <c r="G1838" s="435" t="str">
        <f t="shared" si="926"/>
        <v/>
      </c>
      <c r="H1838" s="435" t="str">
        <f t="shared" si="926"/>
        <v/>
      </c>
      <c r="I1838" s="436" t="str">
        <f t="shared" si="926"/>
        <v/>
      </c>
      <c r="J1838" s="437">
        <f>SUMIFS(PRODUCTION[KG],PRODUCTION[GRADE],"3X50",PRODUCTION[DATE],B1838,PRODUCTION[BATCH],C1838,PRODUCTION[SHIFT],D1838)</f>
        <v>0</v>
      </c>
      <c r="K1838" s="438" t="s">
        <v>1414</v>
      </c>
      <c r="L1838" s="443"/>
      <c r="M1838" s="440"/>
      <c r="N1838" s="441"/>
      <c r="O1838" s="441"/>
      <c r="P1838" s="442"/>
      <c r="Q1838" s="443"/>
      <c r="R1838" s="440"/>
      <c r="S1838" s="440"/>
      <c r="T1838" s="440"/>
      <c r="U1838" s="440"/>
      <c r="V1838" s="440"/>
      <c r="W1838" s="440"/>
      <c r="X1838" s="440"/>
      <c r="Y1838" s="444">
        <f t="shared" si="17"/>
        <v>0</v>
      </c>
      <c r="Z1838" s="445"/>
      <c r="AA1838" s="446">
        <f t="shared" ref="AA1838:AE1838" si="927">$J1838*E1838</f>
        <v>0</v>
      </c>
      <c r="AB1838" s="447">
        <f t="shared" si="927"/>
        <v>0</v>
      </c>
      <c r="AC1838" s="447">
        <f t="shared" si="927"/>
        <v>0</v>
      </c>
      <c r="AD1838" s="447">
        <f t="shared" si="927"/>
        <v>0</v>
      </c>
      <c r="AE1838" s="448">
        <f t="shared" si="927"/>
        <v>0</v>
      </c>
      <c r="AF1838" s="449"/>
      <c r="AG1838" s="449"/>
      <c r="AH1838" s="449"/>
    </row>
    <row r="1839" ht="11.25" customHeight="1">
      <c r="A1839" s="450"/>
      <c r="B1839" s="451"/>
      <c r="C1839" s="452"/>
      <c r="D1839" s="452"/>
      <c r="E1839" s="453"/>
      <c r="F1839" s="453"/>
      <c r="G1839" s="454"/>
      <c r="H1839" s="454"/>
      <c r="I1839" s="455"/>
      <c r="J1839" s="456"/>
      <c r="K1839" s="457" t="s">
        <v>1416</v>
      </c>
      <c r="L1839" s="458"/>
      <c r="M1839" s="459"/>
      <c r="N1839" s="460"/>
      <c r="O1839" s="460"/>
      <c r="P1839" s="461"/>
      <c r="Q1839" s="458"/>
      <c r="R1839" s="459"/>
      <c r="S1839" s="459"/>
      <c r="T1839" s="459"/>
      <c r="U1839" s="459"/>
      <c r="V1839" s="459"/>
      <c r="W1839" s="459"/>
      <c r="X1839" s="459"/>
      <c r="Y1839" s="462">
        <f t="shared" si="17"/>
        <v>0</v>
      </c>
      <c r="Z1839" s="463"/>
      <c r="AA1839" s="464"/>
      <c r="AB1839" s="465"/>
      <c r="AC1839" s="465"/>
      <c r="AD1839" s="465"/>
      <c r="AE1839" s="466"/>
      <c r="AF1839" s="449"/>
      <c r="AG1839" s="449"/>
      <c r="AH1839" s="449"/>
    </row>
    <row r="1840" ht="11.25" customHeight="1">
      <c r="A1840" s="450"/>
      <c r="B1840" s="451"/>
      <c r="C1840" s="452"/>
      <c r="D1840" s="452"/>
      <c r="E1840" s="453"/>
      <c r="F1840" s="453"/>
      <c r="G1840" s="454"/>
      <c r="H1840" s="454"/>
      <c r="I1840" s="455"/>
      <c r="J1840" s="456"/>
      <c r="K1840" s="467" t="s">
        <v>1417</v>
      </c>
      <c r="L1840" s="468"/>
      <c r="M1840" s="469"/>
      <c r="N1840" s="470"/>
      <c r="O1840" s="470"/>
      <c r="P1840" s="471"/>
      <c r="Q1840" s="468"/>
      <c r="R1840" s="469"/>
      <c r="S1840" s="469"/>
      <c r="T1840" s="469"/>
      <c r="U1840" s="469"/>
      <c r="V1840" s="469"/>
      <c r="W1840" s="469"/>
      <c r="X1840" s="469"/>
      <c r="Y1840" s="462">
        <f t="shared" si="17"/>
        <v>0</v>
      </c>
      <c r="Z1840" s="463"/>
      <c r="AA1840" s="464"/>
      <c r="AB1840" s="465"/>
      <c r="AC1840" s="465"/>
      <c r="AD1840" s="465"/>
      <c r="AE1840" s="466"/>
      <c r="AF1840" s="449"/>
      <c r="AG1840" s="449"/>
      <c r="AH1840" s="449"/>
    </row>
    <row r="1841" ht="11.25" customHeight="1">
      <c r="A1841" s="450"/>
      <c r="B1841" s="472"/>
      <c r="C1841" s="473"/>
      <c r="D1841" s="473"/>
      <c r="E1841" s="474"/>
      <c r="F1841" s="474"/>
      <c r="G1841" s="475"/>
      <c r="H1841" s="475"/>
      <c r="I1841" s="476"/>
      <c r="J1841" s="477"/>
      <c r="K1841" s="478" t="s">
        <v>1418</v>
      </c>
      <c r="L1841" s="479"/>
      <c r="M1841" s="480"/>
      <c r="N1841" s="481"/>
      <c r="O1841" s="481"/>
      <c r="P1841" s="482"/>
      <c r="Q1841" s="479"/>
      <c r="R1841" s="480"/>
      <c r="S1841" s="480"/>
      <c r="T1841" s="480"/>
      <c r="U1841" s="480"/>
      <c r="V1841" s="480"/>
      <c r="W1841" s="480"/>
      <c r="X1841" s="480"/>
      <c r="Y1841" s="483">
        <f t="shared" si="17"/>
        <v>0</v>
      </c>
      <c r="Z1841" s="484"/>
      <c r="AA1841" s="485"/>
      <c r="AB1841" s="486"/>
      <c r="AC1841" s="486"/>
      <c r="AD1841" s="486"/>
      <c r="AE1841" s="487"/>
      <c r="AF1841" s="449"/>
      <c r="AG1841" s="449"/>
      <c r="AH1841" s="449"/>
    </row>
    <row r="1842" ht="11.25" customHeight="1">
      <c r="A1842" s="431" t="str">
        <f>IF(B1842="","", YEAR(B1842))</f>
        <v/>
      </c>
      <c r="B1842" s="432"/>
      <c r="C1842" s="433"/>
      <c r="D1842" s="433"/>
      <c r="E1842" s="434" t="str">
        <f t="shared" ref="E1842:I1842" si="928">IFERROR(AVERAGE(L1842:L1845),"")</f>
        <v/>
      </c>
      <c r="F1842" s="434" t="str">
        <f t="shared" si="928"/>
        <v/>
      </c>
      <c r="G1842" s="435" t="str">
        <f t="shared" si="928"/>
        <v/>
      </c>
      <c r="H1842" s="435" t="str">
        <f t="shared" si="928"/>
        <v/>
      </c>
      <c r="I1842" s="436" t="str">
        <f t="shared" si="928"/>
        <v/>
      </c>
      <c r="J1842" s="437">
        <f>SUMIFS(PRODUCTION[KG],PRODUCTION[GRADE],"3X50",PRODUCTION[DATE],B1842,PRODUCTION[BATCH],C1842,PRODUCTION[SHIFT],D1842)</f>
        <v>0</v>
      </c>
      <c r="K1842" s="438" t="s">
        <v>1414</v>
      </c>
      <c r="L1842" s="443"/>
      <c r="M1842" s="440"/>
      <c r="N1842" s="441"/>
      <c r="O1842" s="441"/>
      <c r="P1842" s="442"/>
      <c r="Q1842" s="443"/>
      <c r="R1842" s="440"/>
      <c r="S1842" s="440"/>
      <c r="T1842" s="440"/>
      <c r="U1842" s="440"/>
      <c r="V1842" s="440"/>
      <c r="W1842" s="440"/>
      <c r="X1842" s="440"/>
      <c r="Y1842" s="444">
        <f t="shared" si="17"/>
        <v>0</v>
      </c>
      <c r="Z1842" s="445"/>
      <c r="AA1842" s="446">
        <f t="shared" ref="AA1842:AE1842" si="929">$J1842*E1842</f>
        <v>0</v>
      </c>
      <c r="AB1842" s="447">
        <f t="shared" si="929"/>
        <v>0</v>
      </c>
      <c r="AC1842" s="447">
        <f t="shared" si="929"/>
        <v>0</v>
      </c>
      <c r="AD1842" s="447">
        <f t="shared" si="929"/>
        <v>0</v>
      </c>
      <c r="AE1842" s="448">
        <f t="shared" si="929"/>
        <v>0</v>
      </c>
      <c r="AF1842" s="449"/>
      <c r="AG1842" s="449"/>
      <c r="AH1842" s="449"/>
    </row>
    <row r="1843" ht="11.25" customHeight="1">
      <c r="A1843" s="450"/>
      <c r="B1843" s="451"/>
      <c r="C1843" s="452"/>
      <c r="D1843" s="452"/>
      <c r="E1843" s="453"/>
      <c r="F1843" s="453"/>
      <c r="G1843" s="454"/>
      <c r="H1843" s="454"/>
      <c r="I1843" s="455"/>
      <c r="J1843" s="456"/>
      <c r="K1843" s="457" t="s">
        <v>1416</v>
      </c>
      <c r="L1843" s="458"/>
      <c r="M1843" s="459"/>
      <c r="N1843" s="460"/>
      <c r="O1843" s="460"/>
      <c r="P1843" s="461"/>
      <c r="Q1843" s="458"/>
      <c r="R1843" s="459"/>
      <c r="S1843" s="459"/>
      <c r="T1843" s="459"/>
      <c r="U1843" s="459"/>
      <c r="V1843" s="459"/>
      <c r="W1843" s="459"/>
      <c r="X1843" s="459"/>
      <c r="Y1843" s="462">
        <f t="shared" si="17"/>
        <v>0</v>
      </c>
      <c r="Z1843" s="463"/>
      <c r="AA1843" s="464"/>
      <c r="AB1843" s="465"/>
      <c r="AC1843" s="465"/>
      <c r="AD1843" s="465"/>
      <c r="AE1843" s="466"/>
      <c r="AF1843" s="449"/>
      <c r="AG1843" s="449"/>
      <c r="AH1843" s="449"/>
    </row>
    <row r="1844" ht="11.25" customHeight="1">
      <c r="A1844" s="450"/>
      <c r="B1844" s="451"/>
      <c r="C1844" s="452"/>
      <c r="D1844" s="452"/>
      <c r="E1844" s="453"/>
      <c r="F1844" s="453"/>
      <c r="G1844" s="454"/>
      <c r="H1844" s="454"/>
      <c r="I1844" s="455"/>
      <c r="J1844" s="456"/>
      <c r="K1844" s="467" t="s">
        <v>1417</v>
      </c>
      <c r="L1844" s="468"/>
      <c r="M1844" s="469"/>
      <c r="N1844" s="470"/>
      <c r="O1844" s="470"/>
      <c r="P1844" s="471"/>
      <c r="Q1844" s="468"/>
      <c r="R1844" s="469"/>
      <c r="S1844" s="469"/>
      <c r="T1844" s="469"/>
      <c r="U1844" s="469"/>
      <c r="V1844" s="469"/>
      <c r="W1844" s="469"/>
      <c r="X1844" s="469"/>
      <c r="Y1844" s="462">
        <f t="shared" si="17"/>
        <v>0</v>
      </c>
      <c r="Z1844" s="463"/>
      <c r="AA1844" s="464"/>
      <c r="AB1844" s="465"/>
      <c r="AC1844" s="465"/>
      <c r="AD1844" s="465"/>
      <c r="AE1844" s="466"/>
      <c r="AF1844" s="449"/>
      <c r="AG1844" s="449"/>
      <c r="AH1844" s="449"/>
    </row>
    <row r="1845" ht="11.25" customHeight="1">
      <c r="A1845" s="450"/>
      <c r="B1845" s="472"/>
      <c r="C1845" s="473"/>
      <c r="D1845" s="473"/>
      <c r="E1845" s="474"/>
      <c r="F1845" s="474"/>
      <c r="G1845" s="475"/>
      <c r="H1845" s="475"/>
      <c r="I1845" s="476"/>
      <c r="J1845" s="477"/>
      <c r="K1845" s="478" t="s">
        <v>1418</v>
      </c>
      <c r="L1845" s="479"/>
      <c r="M1845" s="480"/>
      <c r="N1845" s="481"/>
      <c r="O1845" s="481"/>
      <c r="P1845" s="482"/>
      <c r="Q1845" s="479"/>
      <c r="R1845" s="480"/>
      <c r="S1845" s="480"/>
      <c r="T1845" s="480"/>
      <c r="U1845" s="480"/>
      <c r="V1845" s="480"/>
      <c r="W1845" s="480"/>
      <c r="X1845" s="480"/>
      <c r="Y1845" s="483">
        <f t="shared" si="17"/>
        <v>0</v>
      </c>
      <c r="Z1845" s="484"/>
      <c r="AA1845" s="485"/>
      <c r="AB1845" s="486"/>
      <c r="AC1845" s="486"/>
      <c r="AD1845" s="486"/>
      <c r="AE1845" s="487"/>
      <c r="AF1845" s="449"/>
      <c r="AG1845" s="449"/>
      <c r="AH1845" s="449"/>
    </row>
    <row r="1846" ht="11.25" customHeight="1">
      <c r="A1846" s="431" t="str">
        <f>IF(B1846="","", YEAR(B1846))</f>
        <v/>
      </c>
      <c r="B1846" s="432"/>
      <c r="C1846" s="433"/>
      <c r="D1846" s="433"/>
      <c r="E1846" s="434" t="str">
        <f t="shared" ref="E1846:I1846" si="930">IFERROR(AVERAGE(L1846:L1849),"")</f>
        <v/>
      </c>
      <c r="F1846" s="434" t="str">
        <f t="shared" si="930"/>
        <v/>
      </c>
      <c r="G1846" s="435" t="str">
        <f t="shared" si="930"/>
        <v/>
      </c>
      <c r="H1846" s="435" t="str">
        <f t="shared" si="930"/>
        <v/>
      </c>
      <c r="I1846" s="436" t="str">
        <f t="shared" si="930"/>
        <v/>
      </c>
      <c r="J1846" s="437">
        <f>SUMIFS(PRODUCTION[KG],PRODUCTION[GRADE],"3X50",PRODUCTION[DATE],B1846,PRODUCTION[BATCH],C1846,PRODUCTION[SHIFT],D1846)</f>
        <v>0</v>
      </c>
      <c r="K1846" s="438" t="s">
        <v>1414</v>
      </c>
      <c r="L1846" s="443"/>
      <c r="M1846" s="440"/>
      <c r="N1846" s="441"/>
      <c r="O1846" s="441"/>
      <c r="P1846" s="442"/>
      <c r="Q1846" s="443"/>
      <c r="R1846" s="440"/>
      <c r="S1846" s="440"/>
      <c r="T1846" s="440"/>
      <c r="U1846" s="440"/>
      <c r="V1846" s="440"/>
      <c r="W1846" s="440"/>
      <c r="X1846" s="440"/>
      <c r="Y1846" s="444">
        <f t="shared" si="17"/>
        <v>0</v>
      </c>
      <c r="Z1846" s="445"/>
      <c r="AA1846" s="446">
        <f t="shared" ref="AA1846:AE1846" si="931">$J1846*E1846</f>
        <v>0</v>
      </c>
      <c r="AB1846" s="447">
        <f t="shared" si="931"/>
        <v>0</v>
      </c>
      <c r="AC1846" s="447">
        <f t="shared" si="931"/>
        <v>0</v>
      </c>
      <c r="AD1846" s="447">
        <f t="shared" si="931"/>
        <v>0</v>
      </c>
      <c r="AE1846" s="448">
        <f t="shared" si="931"/>
        <v>0</v>
      </c>
      <c r="AF1846" s="449"/>
      <c r="AG1846" s="449"/>
      <c r="AH1846" s="449"/>
    </row>
    <row r="1847" ht="11.25" customHeight="1">
      <c r="A1847" s="450"/>
      <c r="B1847" s="451"/>
      <c r="C1847" s="452"/>
      <c r="D1847" s="452"/>
      <c r="E1847" s="453"/>
      <c r="F1847" s="453"/>
      <c r="G1847" s="454"/>
      <c r="H1847" s="454"/>
      <c r="I1847" s="455"/>
      <c r="J1847" s="456"/>
      <c r="K1847" s="457" t="s">
        <v>1416</v>
      </c>
      <c r="L1847" s="458"/>
      <c r="M1847" s="459"/>
      <c r="N1847" s="460"/>
      <c r="O1847" s="460"/>
      <c r="P1847" s="461"/>
      <c r="Q1847" s="458"/>
      <c r="R1847" s="459"/>
      <c r="S1847" s="459"/>
      <c r="T1847" s="459"/>
      <c r="U1847" s="459"/>
      <c r="V1847" s="459"/>
      <c r="W1847" s="459"/>
      <c r="X1847" s="459"/>
      <c r="Y1847" s="462">
        <f t="shared" si="17"/>
        <v>0</v>
      </c>
      <c r="Z1847" s="463"/>
      <c r="AA1847" s="464"/>
      <c r="AB1847" s="465"/>
      <c r="AC1847" s="465"/>
      <c r="AD1847" s="465"/>
      <c r="AE1847" s="466"/>
      <c r="AF1847" s="449"/>
      <c r="AG1847" s="449"/>
      <c r="AH1847" s="449"/>
    </row>
    <row r="1848" ht="11.25" customHeight="1">
      <c r="A1848" s="450"/>
      <c r="B1848" s="451"/>
      <c r="C1848" s="452"/>
      <c r="D1848" s="452"/>
      <c r="E1848" s="453"/>
      <c r="F1848" s="453"/>
      <c r="G1848" s="454"/>
      <c r="H1848" s="454"/>
      <c r="I1848" s="455"/>
      <c r="J1848" s="456"/>
      <c r="K1848" s="467" t="s">
        <v>1417</v>
      </c>
      <c r="L1848" s="468"/>
      <c r="M1848" s="469"/>
      <c r="N1848" s="470"/>
      <c r="O1848" s="470"/>
      <c r="P1848" s="471"/>
      <c r="Q1848" s="468"/>
      <c r="R1848" s="469"/>
      <c r="S1848" s="469"/>
      <c r="T1848" s="469"/>
      <c r="U1848" s="469"/>
      <c r="V1848" s="469"/>
      <c r="W1848" s="469"/>
      <c r="X1848" s="469"/>
      <c r="Y1848" s="462">
        <f t="shared" si="17"/>
        <v>0</v>
      </c>
      <c r="Z1848" s="463"/>
      <c r="AA1848" s="464"/>
      <c r="AB1848" s="465"/>
      <c r="AC1848" s="465"/>
      <c r="AD1848" s="465"/>
      <c r="AE1848" s="466"/>
      <c r="AF1848" s="449"/>
      <c r="AG1848" s="449"/>
      <c r="AH1848" s="449"/>
    </row>
    <row r="1849" ht="11.25" customHeight="1">
      <c r="A1849" s="450"/>
      <c r="B1849" s="472"/>
      <c r="C1849" s="473"/>
      <c r="D1849" s="473"/>
      <c r="E1849" s="474"/>
      <c r="F1849" s="474"/>
      <c r="G1849" s="475"/>
      <c r="H1849" s="475"/>
      <c r="I1849" s="476"/>
      <c r="J1849" s="477"/>
      <c r="K1849" s="478" t="s">
        <v>1418</v>
      </c>
      <c r="L1849" s="479"/>
      <c r="M1849" s="480"/>
      <c r="N1849" s="481"/>
      <c r="O1849" s="481"/>
      <c r="P1849" s="482"/>
      <c r="Q1849" s="479"/>
      <c r="R1849" s="480"/>
      <c r="S1849" s="480"/>
      <c r="T1849" s="480"/>
      <c r="U1849" s="480"/>
      <c r="V1849" s="480"/>
      <c r="W1849" s="480"/>
      <c r="X1849" s="480"/>
      <c r="Y1849" s="483">
        <f t="shared" si="17"/>
        <v>0</v>
      </c>
      <c r="Z1849" s="484"/>
      <c r="AA1849" s="485"/>
      <c r="AB1849" s="486"/>
      <c r="AC1849" s="486"/>
      <c r="AD1849" s="486"/>
      <c r="AE1849" s="487"/>
      <c r="AF1849" s="449"/>
      <c r="AG1849" s="449"/>
      <c r="AH1849" s="449"/>
    </row>
    <row r="1850" ht="11.25" customHeight="1">
      <c r="A1850" s="431" t="str">
        <f>IF(B1850="","", YEAR(B1850))</f>
        <v/>
      </c>
      <c r="B1850" s="432"/>
      <c r="C1850" s="433"/>
      <c r="D1850" s="433"/>
      <c r="E1850" s="434" t="str">
        <f t="shared" ref="E1850:I1850" si="932">IFERROR(AVERAGE(L1850:L1853),"")</f>
        <v/>
      </c>
      <c r="F1850" s="434" t="str">
        <f t="shared" si="932"/>
        <v/>
      </c>
      <c r="G1850" s="435" t="str">
        <f t="shared" si="932"/>
        <v/>
      </c>
      <c r="H1850" s="435" t="str">
        <f t="shared" si="932"/>
        <v/>
      </c>
      <c r="I1850" s="436" t="str">
        <f t="shared" si="932"/>
        <v/>
      </c>
      <c r="J1850" s="437">
        <f>SUMIFS(PRODUCTION[KG],PRODUCTION[GRADE],"3X50",PRODUCTION[DATE],B1850,PRODUCTION[BATCH],C1850,PRODUCTION[SHIFT],D1850)</f>
        <v>0</v>
      </c>
      <c r="K1850" s="438" t="s">
        <v>1414</v>
      </c>
      <c r="L1850" s="443"/>
      <c r="M1850" s="440"/>
      <c r="N1850" s="441"/>
      <c r="O1850" s="441"/>
      <c r="P1850" s="442"/>
      <c r="Q1850" s="443"/>
      <c r="R1850" s="440"/>
      <c r="S1850" s="440"/>
      <c r="T1850" s="440"/>
      <c r="U1850" s="440"/>
      <c r="V1850" s="440"/>
      <c r="W1850" s="440"/>
      <c r="X1850" s="440"/>
      <c r="Y1850" s="444">
        <f t="shared" si="17"/>
        <v>0</v>
      </c>
      <c r="Z1850" s="445"/>
      <c r="AA1850" s="446">
        <f t="shared" ref="AA1850:AE1850" si="933">$J1850*E1850</f>
        <v>0</v>
      </c>
      <c r="AB1850" s="447">
        <f t="shared" si="933"/>
        <v>0</v>
      </c>
      <c r="AC1850" s="447">
        <f t="shared" si="933"/>
        <v>0</v>
      </c>
      <c r="AD1850" s="447">
        <f t="shared" si="933"/>
        <v>0</v>
      </c>
      <c r="AE1850" s="448">
        <f t="shared" si="933"/>
        <v>0</v>
      </c>
      <c r="AF1850" s="449"/>
      <c r="AG1850" s="449"/>
      <c r="AH1850" s="449"/>
    </row>
    <row r="1851" ht="11.25" customHeight="1">
      <c r="A1851" s="450"/>
      <c r="B1851" s="451"/>
      <c r="C1851" s="452"/>
      <c r="D1851" s="452"/>
      <c r="E1851" s="453"/>
      <c r="F1851" s="453"/>
      <c r="G1851" s="454"/>
      <c r="H1851" s="454"/>
      <c r="I1851" s="455"/>
      <c r="J1851" s="456"/>
      <c r="K1851" s="457" t="s">
        <v>1416</v>
      </c>
      <c r="L1851" s="458"/>
      <c r="M1851" s="459"/>
      <c r="N1851" s="460"/>
      <c r="O1851" s="460"/>
      <c r="P1851" s="461"/>
      <c r="Q1851" s="458"/>
      <c r="R1851" s="459"/>
      <c r="S1851" s="459"/>
      <c r="T1851" s="459"/>
      <c r="U1851" s="459"/>
      <c r="V1851" s="459"/>
      <c r="W1851" s="459"/>
      <c r="X1851" s="459"/>
      <c r="Y1851" s="462">
        <f t="shared" si="17"/>
        <v>0</v>
      </c>
      <c r="Z1851" s="463"/>
      <c r="AA1851" s="464"/>
      <c r="AB1851" s="465"/>
      <c r="AC1851" s="465"/>
      <c r="AD1851" s="465"/>
      <c r="AE1851" s="466"/>
      <c r="AF1851" s="449"/>
      <c r="AG1851" s="449"/>
      <c r="AH1851" s="449"/>
    </row>
    <row r="1852" ht="11.25" customHeight="1">
      <c r="A1852" s="450"/>
      <c r="B1852" s="451"/>
      <c r="C1852" s="452"/>
      <c r="D1852" s="452"/>
      <c r="E1852" s="453"/>
      <c r="F1852" s="453"/>
      <c r="G1852" s="454"/>
      <c r="H1852" s="454"/>
      <c r="I1852" s="455"/>
      <c r="J1852" s="456"/>
      <c r="K1852" s="467" t="s">
        <v>1417</v>
      </c>
      <c r="L1852" s="468"/>
      <c r="M1852" s="469"/>
      <c r="N1852" s="470"/>
      <c r="O1852" s="470"/>
      <c r="P1852" s="471"/>
      <c r="Q1852" s="468"/>
      <c r="R1852" s="469"/>
      <c r="S1852" s="469"/>
      <c r="T1852" s="469"/>
      <c r="U1852" s="469"/>
      <c r="V1852" s="469"/>
      <c r="W1852" s="469"/>
      <c r="X1852" s="469"/>
      <c r="Y1852" s="462">
        <f t="shared" si="17"/>
        <v>0</v>
      </c>
      <c r="Z1852" s="463"/>
      <c r="AA1852" s="464"/>
      <c r="AB1852" s="465"/>
      <c r="AC1852" s="465"/>
      <c r="AD1852" s="465"/>
      <c r="AE1852" s="466"/>
      <c r="AF1852" s="449"/>
      <c r="AG1852" s="449"/>
      <c r="AH1852" s="449"/>
    </row>
    <row r="1853" ht="11.25" customHeight="1">
      <c r="A1853" s="450"/>
      <c r="B1853" s="472"/>
      <c r="C1853" s="473"/>
      <c r="D1853" s="473"/>
      <c r="E1853" s="474"/>
      <c r="F1853" s="474"/>
      <c r="G1853" s="475"/>
      <c r="H1853" s="475"/>
      <c r="I1853" s="476"/>
      <c r="J1853" s="477"/>
      <c r="K1853" s="478" t="s">
        <v>1418</v>
      </c>
      <c r="L1853" s="479"/>
      <c r="M1853" s="480"/>
      <c r="N1853" s="481"/>
      <c r="O1853" s="481"/>
      <c r="P1853" s="482"/>
      <c r="Q1853" s="479"/>
      <c r="R1853" s="480"/>
      <c r="S1853" s="480"/>
      <c r="T1853" s="480"/>
      <c r="U1853" s="480"/>
      <c r="V1853" s="480"/>
      <c r="W1853" s="480"/>
      <c r="X1853" s="480"/>
      <c r="Y1853" s="483">
        <f t="shared" si="17"/>
        <v>0</v>
      </c>
      <c r="Z1853" s="484"/>
      <c r="AA1853" s="485"/>
      <c r="AB1853" s="486"/>
      <c r="AC1853" s="486"/>
      <c r="AD1853" s="486"/>
      <c r="AE1853" s="487"/>
      <c r="AF1853" s="449"/>
      <c r="AG1853" s="449"/>
      <c r="AH1853" s="449"/>
    </row>
    <row r="1854" ht="11.25" customHeight="1">
      <c r="A1854" s="431" t="str">
        <f>IF(B1854="","", YEAR(B1854))</f>
        <v/>
      </c>
      <c r="B1854" s="432"/>
      <c r="C1854" s="433"/>
      <c r="D1854" s="433"/>
      <c r="E1854" s="434" t="str">
        <f t="shared" ref="E1854:I1854" si="934">IFERROR(AVERAGE(L1854:L1857),"")</f>
        <v/>
      </c>
      <c r="F1854" s="434" t="str">
        <f t="shared" si="934"/>
        <v/>
      </c>
      <c r="G1854" s="435" t="str">
        <f t="shared" si="934"/>
        <v/>
      </c>
      <c r="H1854" s="435" t="str">
        <f t="shared" si="934"/>
        <v/>
      </c>
      <c r="I1854" s="436" t="str">
        <f t="shared" si="934"/>
        <v/>
      </c>
      <c r="J1854" s="437">
        <f>SUMIFS(PRODUCTION[KG],PRODUCTION[GRADE],"3X50",PRODUCTION[DATE],B1854,PRODUCTION[BATCH],C1854,PRODUCTION[SHIFT],D1854)</f>
        <v>0</v>
      </c>
      <c r="K1854" s="438" t="s">
        <v>1414</v>
      </c>
      <c r="L1854" s="443"/>
      <c r="M1854" s="440"/>
      <c r="N1854" s="441"/>
      <c r="O1854" s="441"/>
      <c r="P1854" s="442"/>
      <c r="Q1854" s="443"/>
      <c r="R1854" s="440"/>
      <c r="S1854" s="440"/>
      <c r="T1854" s="440"/>
      <c r="U1854" s="440"/>
      <c r="V1854" s="440"/>
      <c r="W1854" s="440"/>
      <c r="X1854" s="440"/>
      <c r="Y1854" s="444">
        <f t="shared" si="17"/>
        <v>0</v>
      </c>
      <c r="Z1854" s="445"/>
      <c r="AA1854" s="446">
        <f t="shared" ref="AA1854:AE1854" si="935">$J1854*E1854</f>
        <v>0</v>
      </c>
      <c r="AB1854" s="447">
        <f t="shared" si="935"/>
        <v>0</v>
      </c>
      <c r="AC1854" s="447">
        <f t="shared" si="935"/>
        <v>0</v>
      </c>
      <c r="AD1854" s="447">
        <f t="shared" si="935"/>
        <v>0</v>
      </c>
      <c r="AE1854" s="448">
        <f t="shared" si="935"/>
        <v>0</v>
      </c>
      <c r="AF1854" s="449"/>
      <c r="AG1854" s="449"/>
      <c r="AH1854" s="449"/>
    </row>
    <row r="1855" ht="11.25" customHeight="1">
      <c r="A1855" s="450"/>
      <c r="B1855" s="451"/>
      <c r="C1855" s="452"/>
      <c r="D1855" s="452"/>
      <c r="E1855" s="453"/>
      <c r="F1855" s="453"/>
      <c r="G1855" s="454"/>
      <c r="H1855" s="454"/>
      <c r="I1855" s="455"/>
      <c r="J1855" s="456"/>
      <c r="K1855" s="457" t="s">
        <v>1416</v>
      </c>
      <c r="L1855" s="458"/>
      <c r="M1855" s="459"/>
      <c r="N1855" s="460"/>
      <c r="O1855" s="460"/>
      <c r="P1855" s="461"/>
      <c r="Q1855" s="458"/>
      <c r="R1855" s="459"/>
      <c r="S1855" s="459"/>
      <c r="T1855" s="459"/>
      <c r="U1855" s="459"/>
      <c r="V1855" s="459"/>
      <c r="W1855" s="459"/>
      <c r="X1855" s="459"/>
      <c r="Y1855" s="462">
        <f t="shared" si="17"/>
        <v>0</v>
      </c>
      <c r="Z1855" s="463"/>
      <c r="AA1855" s="464"/>
      <c r="AB1855" s="465"/>
      <c r="AC1855" s="465"/>
      <c r="AD1855" s="465"/>
      <c r="AE1855" s="466"/>
      <c r="AF1855" s="449"/>
      <c r="AG1855" s="449"/>
      <c r="AH1855" s="449"/>
    </row>
    <row r="1856" ht="11.25" customHeight="1">
      <c r="A1856" s="450"/>
      <c r="B1856" s="451"/>
      <c r="C1856" s="452"/>
      <c r="D1856" s="452"/>
      <c r="E1856" s="453"/>
      <c r="F1856" s="453"/>
      <c r="G1856" s="454"/>
      <c r="H1856" s="454"/>
      <c r="I1856" s="455"/>
      <c r="J1856" s="456"/>
      <c r="K1856" s="467" t="s">
        <v>1417</v>
      </c>
      <c r="L1856" s="468"/>
      <c r="M1856" s="469"/>
      <c r="N1856" s="470"/>
      <c r="O1856" s="470"/>
      <c r="P1856" s="471"/>
      <c r="Q1856" s="468"/>
      <c r="R1856" s="469"/>
      <c r="S1856" s="469"/>
      <c r="T1856" s="469"/>
      <c r="U1856" s="469"/>
      <c r="V1856" s="469"/>
      <c r="W1856" s="469"/>
      <c r="X1856" s="469"/>
      <c r="Y1856" s="462">
        <f t="shared" si="17"/>
        <v>0</v>
      </c>
      <c r="Z1856" s="463"/>
      <c r="AA1856" s="464"/>
      <c r="AB1856" s="465"/>
      <c r="AC1856" s="465"/>
      <c r="AD1856" s="465"/>
      <c r="AE1856" s="466"/>
      <c r="AF1856" s="449"/>
      <c r="AG1856" s="449"/>
      <c r="AH1856" s="449"/>
    </row>
    <row r="1857" ht="11.25" customHeight="1">
      <c r="A1857" s="450"/>
      <c r="B1857" s="472"/>
      <c r="C1857" s="473"/>
      <c r="D1857" s="473"/>
      <c r="E1857" s="474"/>
      <c r="F1857" s="474"/>
      <c r="G1857" s="475"/>
      <c r="H1857" s="475"/>
      <c r="I1857" s="476"/>
      <c r="J1857" s="477"/>
      <c r="K1857" s="478" t="s">
        <v>1418</v>
      </c>
      <c r="L1857" s="479"/>
      <c r="M1857" s="480"/>
      <c r="N1857" s="481"/>
      <c r="O1857" s="481"/>
      <c r="P1857" s="482"/>
      <c r="Q1857" s="479"/>
      <c r="R1857" s="480"/>
      <c r="S1857" s="480"/>
      <c r="T1857" s="480"/>
      <c r="U1857" s="480"/>
      <c r="V1857" s="480"/>
      <c r="W1857" s="480"/>
      <c r="X1857" s="480"/>
      <c r="Y1857" s="483">
        <f t="shared" si="17"/>
        <v>0</v>
      </c>
      <c r="Z1857" s="484"/>
      <c r="AA1857" s="485"/>
      <c r="AB1857" s="486"/>
      <c r="AC1857" s="486"/>
      <c r="AD1857" s="486"/>
      <c r="AE1857" s="487"/>
      <c r="AF1857" s="449"/>
      <c r="AG1857" s="449"/>
      <c r="AH1857" s="449"/>
    </row>
    <row r="1858" ht="11.25" customHeight="1">
      <c r="A1858" s="431" t="str">
        <f>IF(B1858="","", YEAR(B1858))</f>
        <v/>
      </c>
      <c r="B1858" s="432"/>
      <c r="C1858" s="433"/>
      <c r="D1858" s="433"/>
      <c r="E1858" s="434" t="str">
        <f t="shared" ref="E1858:I1858" si="936">IFERROR(AVERAGE(L1858:L1861),"")</f>
        <v/>
      </c>
      <c r="F1858" s="434" t="str">
        <f t="shared" si="936"/>
        <v/>
      </c>
      <c r="G1858" s="435" t="str">
        <f t="shared" si="936"/>
        <v/>
      </c>
      <c r="H1858" s="435" t="str">
        <f t="shared" si="936"/>
        <v/>
      </c>
      <c r="I1858" s="436" t="str">
        <f t="shared" si="936"/>
        <v/>
      </c>
      <c r="J1858" s="437">
        <f>SUMIFS(PRODUCTION[KG],PRODUCTION[GRADE],"3X50",PRODUCTION[DATE],B1858,PRODUCTION[BATCH],C1858,PRODUCTION[SHIFT],D1858)</f>
        <v>0</v>
      </c>
      <c r="K1858" s="438" t="s">
        <v>1414</v>
      </c>
      <c r="L1858" s="443"/>
      <c r="M1858" s="440"/>
      <c r="N1858" s="441"/>
      <c r="O1858" s="441"/>
      <c r="P1858" s="442"/>
      <c r="Q1858" s="443"/>
      <c r="R1858" s="440"/>
      <c r="S1858" s="440"/>
      <c r="T1858" s="440"/>
      <c r="U1858" s="440"/>
      <c r="V1858" s="440"/>
      <c r="W1858" s="440"/>
      <c r="X1858" s="440"/>
      <c r="Y1858" s="444">
        <f t="shared" si="17"/>
        <v>0</v>
      </c>
      <c r="Z1858" s="445"/>
      <c r="AA1858" s="446">
        <f t="shared" ref="AA1858:AE1858" si="937">$J1858*E1858</f>
        <v>0</v>
      </c>
      <c r="AB1858" s="447">
        <f t="shared" si="937"/>
        <v>0</v>
      </c>
      <c r="AC1858" s="447">
        <f t="shared" si="937"/>
        <v>0</v>
      </c>
      <c r="AD1858" s="447">
        <f t="shared" si="937"/>
        <v>0</v>
      </c>
      <c r="AE1858" s="448">
        <f t="shared" si="937"/>
        <v>0</v>
      </c>
      <c r="AF1858" s="449"/>
      <c r="AG1858" s="449"/>
      <c r="AH1858" s="449"/>
    </row>
    <row r="1859" ht="11.25" customHeight="1">
      <c r="A1859" s="450"/>
      <c r="B1859" s="451"/>
      <c r="C1859" s="452"/>
      <c r="D1859" s="452"/>
      <c r="E1859" s="453"/>
      <c r="F1859" s="453"/>
      <c r="G1859" s="454"/>
      <c r="H1859" s="454"/>
      <c r="I1859" s="455"/>
      <c r="J1859" s="456"/>
      <c r="K1859" s="457" t="s">
        <v>1416</v>
      </c>
      <c r="L1859" s="458"/>
      <c r="M1859" s="459"/>
      <c r="N1859" s="460"/>
      <c r="O1859" s="460"/>
      <c r="P1859" s="461"/>
      <c r="Q1859" s="458"/>
      <c r="R1859" s="459"/>
      <c r="S1859" s="459"/>
      <c r="T1859" s="459"/>
      <c r="U1859" s="459"/>
      <c r="V1859" s="459"/>
      <c r="W1859" s="459"/>
      <c r="X1859" s="459"/>
      <c r="Y1859" s="462">
        <f t="shared" si="17"/>
        <v>0</v>
      </c>
      <c r="Z1859" s="463"/>
      <c r="AA1859" s="464"/>
      <c r="AB1859" s="465"/>
      <c r="AC1859" s="465"/>
      <c r="AD1859" s="465"/>
      <c r="AE1859" s="466"/>
      <c r="AF1859" s="449"/>
      <c r="AG1859" s="449"/>
      <c r="AH1859" s="449"/>
    </row>
    <row r="1860" ht="11.25" customHeight="1">
      <c r="A1860" s="450"/>
      <c r="B1860" s="451"/>
      <c r="C1860" s="452"/>
      <c r="D1860" s="452"/>
      <c r="E1860" s="453"/>
      <c r="F1860" s="453"/>
      <c r="G1860" s="454"/>
      <c r="H1860" s="454"/>
      <c r="I1860" s="455"/>
      <c r="J1860" s="456"/>
      <c r="K1860" s="467" t="s">
        <v>1417</v>
      </c>
      <c r="L1860" s="468"/>
      <c r="M1860" s="469"/>
      <c r="N1860" s="470"/>
      <c r="O1860" s="470"/>
      <c r="P1860" s="471"/>
      <c r="Q1860" s="468"/>
      <c r="R1860" s="469"/>
      <c r="S1860" s="469"/>
      <c r="T1860" s="469"/>
      <c r="U1860" s="469"/>
      <c r="V1860" s="469"/>
      <c r="W1860" s="469"/>
      <c r="X1860" s="469"/>
      <c r="Y1860" s="462">
        <f t="shared" si="17"/>
        <v>0</v>
      </c>
      <c r="Z1860" s="463"/>
      <c r="AA1860" s="464"/>
      <c r="AB1860" s="465"/>
      <c r="AC1860" s="465"/>
      <c r="AD1860" s="465"/>
      <c r="AE1860" s="466"/>
      <c r="AF1860" s="449"/>
      <c r="AG1860" s="449"/>
      <c r="AH1860" s="449"/>
    </row>
    <row r="1861" ht="11.25" customHeight="1">
      <c r="A1861" s="450"/>
      <c r="B1861" s="472"/>
      <c r="C1861" s="473"/>
      <c r="D1861" s="473"/>
      <c r="E1861" s="474"/>
      <c r="F1861" s="474"/>
      <c r="G1861" s="475"/>
      <c r="H1861" s="475"/>
      <c r="I1861" s="476"/>
      <c r="J1861" s="477"/>
      <c r="K1861" s="478" t="s">
        <v>1418</v>
      </c>
      <c r="L1861" s="479"/>
      <c r="M1861" s="480"/>
      <c r="N1861" s="481"/>
      <c r="O1861" s="481"/>
      <c r="P1861" s="482"/>
      <c r="Q1861" s="479"/>
      <c r="R1861" s="480"/>
      <c r="S1861" s="480"/>
      <c r="T1861" s="480"/>
      <c r="U1861" s="480"/>
      <c r="V1861" s="480"/>
      <c r="W1861" s="480"/>
      <c r="X1861" s="480"/>
      <c r="Y1861" s="483">
        <f t="shared" si="17"/>
        <v>0</v>
      </c>
      <c r="Z1861" s="484"/>
      <c r="AA1861" s="485"/>
      <c r="AB1861" s="486"/>
      <c r="AC1861" s="486"/>
      <c r="AD1861" s="486"/>
      <c r="AE1861" s="487"/>
      <c r="AF1861" s="449"/>
      <c r="AG1861" s="449"/>
      <c r="AH1861" s="449"/>
    </row>
    <row r="1862" ht="11.25" customHeight="1">
      <c r="A1862" s="431" t="str">
        <f>IF(B1862="","", YEAR(B1862))</f>
        <v/>
      </c>
      <c r="B1862" s="432"/>
      <c r="C1862" s="433"/>
      <c r="D1862" s="433"/>
      <c r="E1862" s="434" t="str">
        <f t="shared" ref="E1862:I1862" si="938">IFERROR(AVERAGE(L1862:L1865),"")</f>
        <v/>
      </c>
      <c r="F1862" s="434" t="str">
        <f t="shared" si="938"/>
        <v/>
      </c>
      <c r="G1862" s="435" t="str">
        <f t="shared" si="938"/>
        <v/>
      </c>
      <c r="H1862" s="435" t="str">
        <f t="shared" si="938"/>
        <v/>
      </c>
      <c r="I1862" s="436" t="str">
        <f t="shared" si="938"/>
        <v/>
      </c>
      <c r="J1862" s="437">
        <f>SUMIFS(PRODUCTION[KG],PRODUCTION[GRADE],"3X50",PRODUCTION[DATE],B1862,PRODUCTION[BATCH],C1862,PRODUCTION[SHIFT],D1862)</f>
        <v>0</v>
      </c>
      <c r="K1862" s="438" t="s">
        <v>1414</v>
      </c>
      <c r="L1862" s="443"/>
      <c r="M1862" s="440"/>
      <c r="N1862" s="441"/>
      <c r="O1862" s="441"/>
      <c r="P1862" s="442"/>
      <c r="Q1862" s="443"/>
      <c r="R1862" s="440"/>
      <c r="S1862" s="440"/>
      <c r="T1862" s="440"/>
      <c r="U1862" s="440"/>
      <c r="V1862" s="440"/>
      <c r="W1862" s="440"/>
      <c r="X1862" s="440"/>
      <c r="Y1862" s="444">
        <f t="shared" si="17"/>
        <v>0</v>
      </c>
      <c r="Z1862" s="445"/>
      <c r="AA1862" s="446">
        <f t="shared" ref="AA1862:AE1862" si="939">$J1862*E1862</f>
        <v>0</v>
      </c>
      <c r="AB1862" s="447">
        <f t="shared" si="939"/>
        <v>0</v>
      </c>
      <c r="AC1862" s="447">
        <f t="shared" si="939"/>
        <v>0</v>
      </c>
      <c r="AD1862" s="447">
        <f t="shared" si="939"/>
        <v>0</v>
      </c>
      <c r="AE1862" s="448">
        <f t="shared" si="939"/>
        <v>0</v>
      </c>
      <c r="AF1862" s="449"/>
      <c r="AG1862" s="449"/>
      <c r="AH1862" s="449"/>
    </row>
    <row r="1863" ht="11.25" customHeight="1">
      <c r="A1863" s="450"/>
      <c r="B1863" s="451"/>
      <c r="C1863" s="452"/>
      <c r="D1863" s="452"/>
      <c r="E1863" s="453"/>
      <c r="F1863" s="453"/>
      <c r="G1863" s="454"/>
      <c r="H1863" s="454"/>
      <c r="I1863" s="455"/>
      <c r="J1863" s="456"/>
      <c r="K1863" s="457" t="s">
        <v>1416</v>
      </c>
      <c r="L1863" s="458"/>
      <c r="M1863" s="459"/>
      <c r="N1863" s="460"/>
      <c r="O1863" s="460"/>
      <c r="P1863" s="461"/>
      <c r="Q1863" s="458"/>
      <c r="R1863" s="459"/>
      <c r="S1863" s="459"/>
      <c r="T1863" s="459"/>
      <c r="U1863" s="459"/>
      <c r="V1863" s="459"/>
      <c r="W1863" s="459"/>
      <c r="X1863" s="459"/>
      <c r="Y1863" s="462">
        <f t="shared" si="17"/>
        <v>0</v>
      </c>
      <c r="Z1863" s="463"/>
      <c r="AA1863" s="464"/>
      <c r="AB1863" s="465"/>
      <c r="AC1863" s="465"/>
      <c r="AD1863" s="465"/>
      <c r="AE1863" s="466"/>
      <c r="AF1863" s="449"/>
      <c r="AG1863" s="449"/>
      <c r="AH1863" s="449"/>
    </row>
    <row r="1864" ht="11.25" customHeight="1">
      <c r="A1864" s="450"/>
      <c r="B1864" s="451"/>
      <c r="C1864" s="452"/>
      <c r="D1864" s="452"/>
      <c r="E1864" s="453"/>
      <c r="F1864" s="453"/>
      <c r="G1864" s="454"/>
      <c r="H1864" s="454"/>
      <c r="I1864" s="455"/>
      <c r="J1864" s="456"/>
      <c r="K1864" s="467" t="s">
        <v>1417</v>
      </c>
      <c r="L1864" s="468"/>
      <c r="M1864" s="469"/>
      <c r="N1864" s="470"/>
      <c r="O1864" s="470"/>
      <c r="P1864" s="471"/>
      <c r="Q1864" s="468"/>
      <c r="R1864" s="469"/>
      <c r="S1864" s="469"/>
      <c r="T1864" s="469"/>
      <c r="U1864" s="469"/>
      <c r="V1864" s="469"/>
      <c r="W1864" s="469"/>
      <c r="X1864" s="469"/>
      <c r="Y1864" s="462">
        <f t="shared" si="17"/>
        <v>0</v>
      </c>
      <c r="Z1864" s="463"/>
      <c r="AA1864" s="464"/>
      <c r="AB1864" s="465"/>
      <c r="AC1864" s="465"/>
      <c r="AD1864" s="465"/>
      <c r="AE1864" s="466"/>
      <c r="AF1864" s="449"/>
      <c r="AG1864" s="449"/>
      <c r="AH1864" s="449"/>
    </row>
    <row r="1865" ht="11.25" customHeight="1">
      <c r="A1865" s="450"/>
      <c r="B1865" s="472"/>
      <c r="C1865" s="473"/>
      <c r="D1865" s="473"/>
      <c r="E1865" s="474"/>
      <c r="F1865" s="474"/>
      <c r="G1865" s="475"/>
      <c r="H1865" s="475"/>
      <c r="I1865" s="476"/>
      <c r="J1865" s="477"/>
      <c r="K1865" s="478" t="s">
        <v>1418</v>
      </c>
      <c r="L1865" s="479"/>
      <c r="M1865" s="480"/>
      <c r="N1865" s="481"/>
      <c r="O1865" s="481"/>
      <c r="P1865" s="482"/>
      <c r="Q1865" s="479"/>
      <c r="R1865" s="480"/>
      <c r="S1865" s="480"/>
      <c r="T1865" s="480"/>
      <c r="U1865" s="480"/>
      <c r="V1865" s="480"/>
      <c r="W1865" s="480"/>
      <c r="X1865" s="480"/>
      <c r="Y1865" s="483">
        <f t="shared" si="17"/>
        <v>0</v>
      </c>
      <c r="Z1865" s="484"/>
      <c r="AA1865" s="485"/>
      <c r="AB1865" s="486"/>
      <c r="AC1865" s="486"/>
      <c r="AD1865" s="486"/>
      <c r="AE1865" s="487"/>
      <c r="AF1865" s="449"/>
      <c r="AG1865" s="449"/>
      <c r="AH1865" s="449"/>
    </row>
    <row r="1866" ht="11.25" customHeight="1">
      <c r="A1866" s="431" t="str">
        <f>IF(B1866="","", YEAR(B1866))</f>
        <v/>
      </c>
      <c r="B1866" s="432"/>
      <c r="C1866" s="433"/>
      <c r="D1866" s="433"/>
      <c r="E1866" s="434" t="str">
        <f t="shared" ref="E1866:I1866" si="940">IFERROR(AVERAGE(L1866:L1869),"")</f>
        <v/>
      </c>
      <c r="F1866" s="434" t="str">
        <f t="shared" si="940"/>
        <v/>
      </c>
      <c r="G1866" s="435" t="str">
        <f t="shared" si="940"/>
        <v/>
      </c>
      <c r="H1866" s="435" t="str">
        <f t="shared" si="940"/>
        <v/>
      </c>
      <c r="I1866" s="436" t="str">
        <f t="shared" si="940"/>
        <v/>
      </c>
      <c r="J1866" s="437">
        <f>SUMIFS(PRODUCTION[KG],PRODUCTION[GRADE],"3X50",PRODUCTION[DATE],B1866,PRODUCTION[BATCH],C1866,PRODUCTION[SHIFT],D1866)</f>
        <v>0</v>
      </c>
      <c r="K1866" s="438" t="s">
        <v>1414</v>
      </c>
      <c r="L1866" s="443"/>
      <c r="M1866" s="440"/>
      <c r="N1866" s="441"/>
      <c r="O1866" s="441"/>
      <c r="P1866" s="442"/>
      <c r="Q1866" s="443"/>
      <c r="R1866" s="440"/>
      <c r="S1866" s="440"/>
      <c r="T1866" s="440"/>
      <c r="U1866" s="440"/>
      <c r="V1866" s="440"/>
      <c r="W1866" s="440"/>
      <c r="X1866" s="440"/>
      <c r="Y1866" s="444">
        <f t="shared" si="17"/>
        <v>0</v>
      </c>
      <c r="Z1866" s="445"/>
      <c r="AA1866" s="446">
        <f t="shared" ref="AA1866:AE1866" si="941">$J1866*E1866</f>
        <v>0</v>
      </c>
      <c r="AB1866" s="447">
        <f t="shared" si="941"/>
        <v>0</v>
      </c>
      <c r="AC1866" s="447">
        <f t="shared" si="941"/>
        <v>0</v>
      </c>
      <c r="AD1866" s="447">
        <f t="shared" si="941"/>
        <v>0</v>
      </c>
      <c r="AE1866" s="448">
        <f t="shared" si="941"/>
        <v>0</v>
      </c>
      <c r="AF1866" s="449"/>
      <c r="AG1866" s="449"/>
      <c r="AH1866" s="449"/>
    </row>
    <row r="1867" ht="11.25" customHeight="1">
      <c r="A1867" s="450"/>
      <c r="B1867" s="451"/>
      <c r="C1867" s="452"/>
      <c r="D1867" s="452"/>
      <c r="E1867" s="453"/>
      <c r="F1867" s="453"/>
      <c r="G1867" s="454"/>
      <c r="H1867" s="454"/>
      <c r="I1867" s="455"/>
      <c r="J1867" s="456"/>
      <c r="K1867" s="457" t="s">
        <v>1416</v>
      </c>
      <c r="L1867" s="458"/>
      <c r="M1867" s="459"/>
      <c r="N1867" s="460"/>
      <c r="O1867" s="460"/>
      <c r="P1867" s="461"/>
      <c r="Q1867" s="458"/>
      <c r="R1867" s="459"/>
      <c r="S1867" s="459"/>
      <c r="T1867" s="459"/>
      <c r="U1867" s="459"/>
      <c r="V1867" s="459"/>
      <c r="W1867" s="459"/>
      <c r="X1867" s="459"/>
      <c r="Y1867" s="462">
        <f t="shared" si="17"/>
        <v>0</v>
      </c>
      <c r="Z1867" s="463"/>
      <c r="AA1867" s="464"/>
      <c r="AB1867" s="465"/>
      <c r="AC1867" s="465"/>
      <c r="AD1867" s="465"/>
      <c r="AE1867" s="466"/>
      <c r="AF1867" s="449"/>
      <c r="AG1867" s="449"/>
      <c r="AH1867" s="449"/>
    </row>
    <row r="1868" ht="11.25" customHeight="1">
      <c r="A1868" s="450"/>
      <c r="B1868" s="451"/>
      <c r="C1868" s="452"/>
      <c r="D1868" s="452"/>
      <c r="E1868" s="453"/>
      <c r="F1868" s="453"/>
      <c r="G1868" s="454"/>
      <c r="H1868" s="454"/>
      <c r="I1868" s="455"/>
      <c r="J1868" s="456"/>
      <c r="K1868" s="467" t="s">
        <v>1417</v>
      </c>
      <c r="L1868" s="468"/>
      <c r="M1868" s="469"/>
      <c r="N1868" s="470"/>
      <c r="O1868" s="470"/>
      <c r="P1868" s="471"/>
      <c r="Q1868" s="468"/>
      <c r="R1868" s="469"/>
      <c r="S1868" s="469"/>
      <c r="T1868" s="469"/>
      <c r="U1868" s="469"/>
      <c r="V1868" s="469"/>
      <c r="W1868" s="469"/>
      <c r="X1868" s="469"/>
      <c r="Y1868" s="462">
        <f t="shared" si="17"/>
        <v>0</v>
      </c>
      <c r="Z1868" s="463"/>
      <c r="AA1868" s="464"/>
      <c r="AB1868" s="465"/>
      <c r="AC1868" s="465"/>
      <c r="AD1868" s="465"/>
      <c r="AE1868" s="466"/>
      <c r="AF1868" s="449"/>
      <c r="AG1868" s="449"/>
      <c r="AH1868" s="449"/>
    </row>
    <row r="1869" ht="11.25" customHeight="1">
      <c r="A1869" s="450"/>
      <c r="B1869" s="472"/>
      <c r="C1869" s="473"/>
      <c r="D1869" s="473"/>
      <c r="E1869" s="474"/>
      <c r="F1869" s="474"/>
      <c r="G1869" s="475"/>
      <c r="H1869" s="475"/>
      <c r="I1869" s="476"/>
      <c r="J1869" s="477"/>
      <c r="K1869" s="478" t="s">
        <v>1418</v>
      </c>
      <c r="L1869" s="479"/>
      <c r="M1869" s="480"/>
      <c r="N1869" s="481"/>
      <c r="O1869" s="481"/>
      <c r="P1869" s="482"/>
      <c r="Q1869" s="479"/>
      <c r="R1869" s="480"/>
      <c r="S1869" s="480"/>
      <c r="T1869" s="480"/>
      <c r="U1869" s="480"/>
      <c r="V1869" s="480"/>
      <c r="W1869" s="480"/>
      <c r="X1869" s="480"/>
      <c r="Y1869" s="483">
        <f t="shared" si="17"/>
        <v>0</v>
      </c>
      <c r="Z1869" s="484"/>
      <c r="AA1869" s="485"/>
      <c r="AB1869" s="486"/>
      <c r="AC1869" s="486"/>
      <c r="AD1869" s="486"/>
      <c r="AE1869" s="487"/>
      <c r="AF1869" s="449"/>
      <c r="AG1869" s="449"/>
      <c r="AH1869" s="449"/>
    </row>
    <row r="1870" ht="11.25" customHeight="1">
      <c r="A1870" s="431" t="str">
        <f>IF(B1870="","", YEAR(B1870))</f>
        <v/>
      </c>
      <c r="B1870" s="432"/>
      <c r="C1870" s="433"/>
      <c r="D1870" s="433"/>
      <c r="E1870" s="434" t="str">
        <f t="shared" ref="E1870:I1870" si="942">IFERROR(AVERAGE(L1870:L1873),"")</f>
        <v/>
      </c>
      <c r="F1870" s="434" t="str">
        <f t="shared" si="942"/>
        <v/>
      </c>
      <c r="G1870" s="435" t="str">
        <f t="shared" si="942"/>
        <v/>
      </c>
      <c r="H1870" s="435" t="str">
        <f t="shared" si="942"/>
        <v/>
      </c>
      <c r="I1870" s="436" t="str">
        <f t="shared" si="942"/>
        <v/>
      </c>
      <c r="J1870" s="437">
        <f>SUMIFS(PRODUCTION[KG],PRODUCTION[GRADE],"3X50",PRODUCTION[DATE],B1870,PRODUCTION[BATCH],C1870,PRODUCTION[SHIFT],D1870)</f>
        <v>0</v>
      </c>
      <c r="K1870" s="438" t="s">
        <v>1414</v>
      </c>
      <c r="L1870" s="443"/>
      <c r="M1870" s="440"/>
      <c r="N1870" s="441"/>
      <c r="O1870" s="441"/>
      <c r="P1870" s="442"/>
      <c r="Q1870" s="443"/>
      <c r="R1870" s="440"/>
      <c r="S1870" s="440"/>
      <c r="T1870" s="440"/>
      <c r="U1870" s="440"/>
      <c r="V1870" s="440"/>
      <c r="W1870" s="440"/>
      <c r="X1870" s="440"/>
      <c r="Y1870" s="444">
        <f t="shared" si="17"/>
        <v>0</v>
      </c>
      <c r="Z1870" s="445"/>
      <c r="AA1870" s="446">
        <f t="shared" ref="AA1870:AE1870" si="943">$J1870*E1870</f>
        <v>0</v>
      </c>
      <c r="AB1870" s="447">
        <f t="shared" si="943"/>
        <v>0</v>
      </c>
      <c r="AC1870" s="447">
        <f t="shared" si="943"/>
        <v>0</v>
      </c>
      <c r="AD1870" s="447">
        <f t="shared" si="943"/>
        <v>0</v>
      </c>
      <c r="AE1870" s="448">
        <f t="shared" si="943"/>
        <v>0</v>
      </c>
      <c r="AF1870" s="449"/>
      <c r="AG1870" s="449"/>
      <c r="AH1870" s="449"/>
    </row>
    <row r="1871" ht="11.25" customHeight="1">
      <c r="A1871" s="450"/>
      <c r="B1871" s="451"/>
      <c r="C1871" s="452"/>
      <c r="D1871" s="452"/>
      <c r="E1871" s="453"/>
      <c r="F1871" s="453"/>
      <c r="G1871" s="454"/>
      <c r="H1871" s="454"/>
      <c r="I1871" s="455"/>
      <c r="J1871" s="456"/>
      <c r="K1871" s="457" t="s">
        <v>1416</v>
      </c>
      <c r="L1871" s="458"/>
      <c r="M1871" s="459"/>
      <c r="N1871" s="460"/>
      <c r="O1871" s="460"/>
      <c r="P1871" s="461"/>
      <c r="Q1871" s="458"/>
      <c r="R1871" s="459"/>
      <c r="S1871" s="459"/>
      <c r="T1871" s="459"/>
      <c r="U1871" s="459"/>
      <c r="V1871" s="459"/>
      <c r="W1871" s="459"/>
      <c r="X1871" s="459"/>
      <c r="Y1871" s="462">
        <f t="shared" si="17"/>
        <v>0</v>
      </c>
      <c r="Z1871" s="463"/>
      <c r="AA1871" s="464"/>
      <c r="AB1871" s="465"/>
      <c r="AC1871" s="465"/>
      <c r="AD1871" s="465"/>
      <c r="AE1871" s="466"/>
      <c r="AF1871" s="449"/>
      <c r="AG1871" s="449"/>
      <c r="AH1871" s="449"/>
    </row>
    <row r="1872" ht="11.25" customHeight="1">
      <c r="A1872" s="450"/>
      <c r="B1872" s="451"/>
      <c r="C1872" s="452"/>
      <c r="D1872" s="452"/>
      <c r="E1872" s="453"/>
      <c r="F1872" s="453"/>
      <c r="G1872" s="454"/>
      <c r="H1872" s="454"/>
      <c r="I1872" s="455"/>
      <c r="J1872" s="456"/>
      <c r="K1872" s="467" t="s">
        <v>1417</v>
      </c>
      <c r="L1872" s="468"/>
      <c r="M1872" s="469"/>
      <c r="N1872" s="470"/>
      <c r="O1872" s="470"/>
      <c r="P1872" s="471"/>
      <c r="Q1872" s="468"/>
      <c r="R1872" s="469"/>
      <c r="S1872" s="469"/>
      <c r="T1872" s="469"/>
      <c r="U1872" s="469"/>
      <c r="V1872" s="469"/>
      <c r="W1872" s="469"/>
      <c r="X1872" s="469"/>
      <c r="Y1872" s="462">
        <f t="shared" si="17"/>
        <v>0</v>
      </c>
      <c r="Z1872" s="463"/>
      <c r="AA1872" s="464"/>
      <c r="AB1872" s="465"/>
      <c r="AC1872" s="465"/>
      <c r="AD1872" s="465"/>
      <c r="AE1872" s="466"/>
      <c r="AF1872" s="449"/>
      <c r="AG1872" s="449"/>
      <c r="AH1872" s="449"/>
    </row>
    <row r="1873" ht="11.25" customHeight="1">
      <c r="A1873" s="450"/>
      <c r="B1873" s="472"/>
      <c r="C1873" s="473"/>
      <c r="D1873" s="473"/>
      <c r="E1873" s="474"/>
      <c r="F1873" s="474"/>
      <c r="G1873" s="475"/>
      <c r="H1873" s="475"/>
      <c r="I1873" s="476"/>
      <c r="J1873" s="477"/>
      <c r="K1873" s="478" t="s">
        <v>1418</v>
      </c>
      <c r="L1873" s="479"/>
      <c r="M1873" s="480"/>
      <c r="N1873" s="481"/>
      <c r="O1873" s="481"/>
      <c r="P1873" s="482"/>
      <c r="Q1873" s="479"/>
      <c r="R1873" s="480"/>
      <c r="S1873" s="480"/>
      <c r="T1873" s="480"/>
      <c r="U1873" s="480"/>
      <c r="V1873" s="480"/>
      <c r="W1873" s="480"/>
      <c r="X1873" s="480"/>
      <c r="Y1873" s="483">
        <f t="shared" si="17"/>
        <v>0</v>
      </c>
      <c r="Z1873" s="484"/>
      <c r="AA1873" s="485"/>
      <c r="AB1873" s="486"/>
      <c r="AC1873" s="486"/>
      <c r="AD1873" s="486"/>
      <c r="AE1873" s="487"/>
      <c r="AF1873" s="449"/>
      <c r="AG1873" s="449"/>
      <c r="AH1873" s="449"/>
    </row>
    <row r="1874" ht="11.25" customHeight="1">
      <c r="A1874" s="431" t="str">
        <f>IF(B1874="","", YEAR(B1874))</f>
        <v/>
      </c>
      <c r="B1874" s="432"/>
      <c r="C1874" s="433"/>
      <c r="D1874" s="433"/>
      <c r="E1874" s="434" t="str">
        <f t="shared" ref="E1874:I1874" si="944">IFERROR(AVERAGE(L1874:L1877),"")</f>
        <v/>
      </c>
      <c r="F1874" s="434" t="str">
        <f t="shared" si="944"/>
        <v/>
      </c>
      <c r="G1874" s="435" t="str">
        <f t="shared" si="944"/>
        <v/>
      </c>
      <c r="H1874" s="435" t="str">
        <f t="shared" si="944"/>
        <v/>
      </c>
      <c r="I1874" s="436" t="str">
        <f t="shared" si="944"/>
        <v/>
      </c>
      <c r="J1874" s="437">
        <f>SUMIFS(PRODUCTION[KG],PRODUCTION[GRADE],"3X50",PRODUCTION[DATE],B1874,PRODUCTION[BATCH],C1874,PRODUCTION[SHIFT],D1874)</f>
        <v>0</v>
      </c>
      <c r="K1874" s="438" t="s">
        <v>1414</v>
      </c>
      <c r="L1874" s="443"/>
      <c r="M1874" s="440"/>
      <c r="N1874" s="441"/>
      <c r="O1874" s="441"/>
      <c r="P1874" s="442"/>
      <c r="Q1874" s="443"/>
      <c r="R1874" s="440"/>
      <c r="S1874" s="440"/>
      <c r="T1874" s="440"/>
      <c r="U1874" s="440"/>
      <c r="V1874" s="440"/>
      <c r="W1874" s="440"/>
      <c r="X1874" s="440"/>
      <c r="Y1874" s="444">
        <f t="shared" si="17"/>
        <v>0</v>
      </c>
      <c r="Z1874" s="445"/>
      <c r="AA1874" s="446">
        <f t="shared" ref="AA1874:AE1874" si="945">$J1874*E1874</f>
        <v>0</v>
      </c>
      <c r="AB1874" s="447">
        <f t="shared" si="945"/>
        <v>0</v>
      </c>
      <c r="AC1874" s="447">
        <f t="shared" si="945"/>
        <v>0</v>
      </c>
      <c r="AD1874" s="447">
        <f t="shared" si="945"/>
        <v>0</v>
      </c>
      <c r="AE1874" s="448">
        <f t="shared" si="945"/>
        <v>0</v>
      </c>
      <c r="AF1874" s="449"/>
      <c r="AG1874" s="449"/>
      <c r="AH1874" s="449"/>
    </row>
    <row r="1875" ht="11.25" customHeight="1">
      <c r="A1875" s="450"/>
      <c r="B1875" s="451"/>
      <c r="C1875" s="452"/>
      <c r="D1875" s="452"/>
      <c r="E1875" s="453"/>
      <c r="F1875" s="453"/>
      <c r="G1875" s="454"/>
      <c r="H1875" s="454"/>
      <c r="I1875" s="455"/>
      <c r="J1875" s="456"/>
      <c r="K1875" s="457" t="s">
        <v>1416</v>
      </c>
      <c r="L1875" s="458"/>
      <c r="M1875" s="459"/>
      <c r="N1875" s="460"/>
      <c r="O1875" s="460"/>
      <c r="P1875" s="461"/>
      <c r="Q1875" s="458"/>
      <c r="R1875" s="459"/>
      <c r="S1875" s="459"/>
      <c r="T1875" s="459"/>
      <c r="U1875" s="459"/>
      <c r="V1875" s="459"/>
      <c r="W1875" s="459"/>
      <c r="X1875" s="459"/>
      <c r="Y1875" s="462">
        <f t="shared" si="17"/>
        <v>0</v>
      </c>
      <c r="Z1875" s="463"/>
      <c r="AA1875" s="464"/>
      <c r="AB1875" s="465"/>
      <c r="AC1875" s="465"/>
      <c r="AD1875" s="465"/>
      <c r="AE1875" s="466"/>
      <c r="AF1875" s="449"/>
      <c r="AG1875" s="449"/>
      <c r="AH1875" s="449"/>
    </row>
    <row r="1876" ht="11.25" customHeight="1">
      <c r="A1876" s="450"/>
      <c r="B1876" s="451"/>
      <c r="C1876" s="452"/>
      <c r="D1876" s="452"/>
      <c r="E1876" s="453"/>
      <c r="F1876" s="453"/>
      <c r="G1876" s="454"/>
      <c r="H1876" s="454"/>
      <c r="I1876" s="455"/>
      <c r="J1876" s="456"/>
      <c r="K1876" s="467" t="s">
        <v>1417</v>
      </c>
      <c r="L1876" s="468"/>
      <c r="M1876" s="469"/>
      <c r="N1876" s="470"/>
      <c r="O1876" s="470"/>
      <c r="P1876" s="471"/>
      <c r="Q1876" s="468"/>
      <c r="R1876" s="469"/>
      <c r="S1876" s="469"/>
      <c r="T1876" s="469"/>
      <c r="U1876" s="469"/>
      <c r="V1876" s="469"/>
      <c r="W1876" s="469"/>
      <c r="X1876" s="469"/>
      <c r="Y1876" s="462">
        <f t="shared" si="17"/>
        <v>0</v>
      </c>
      <c r="Z1876" s="463"/>
      <c r="AA1876" s="464"/>
      <c r="AB1876" s="465"/>
      <c r="AC1876" s="465"/>
      <c r="AD1876" s="465"/>
      <c r="AE1876" s="466"/>
      <c r="AF1876" s="449"/>
      <c r="AG1876" s="449"/>
      <c r="AH1876" s="449"/>
    </row>
    <row r="1877" ht="11.25" customHeight="1">
      <c r="A1877" s="450"/>
      <c r="B1877" s="472"/>
      <c r="C1877" s="473"/>
      <c r="D1877" s="473"/>
      <c r="E1877" s="474"/>
      <c r="F1877" s="474"/>
      <c r="G1877" s="475"/>
      <c r="H1877" s="475"/>
      <c r="I1877" s="476"/>
      <c r="J1877" s="477"/>
      <c r="K1877" s="478" t="s">
        <v>1418</v>
      </c>
      <c r="L1877" s="479"/>
      <c r="M1877" s="480"/>
      <c r="N1877" s="481"/>
      <c r="O1877" s="481"/>
      <c r="P1877" s="482"/>
      <c r="Q1877" s="479"/>
      <c r="R1877" s="480"/>
      <c r="S1877" s="480"/>
      <c r="T1877" s="480"/>
      <c r="U1877" s="480"/>
      <c r="V1877" s="480"/>
      <c r="W1877" s="480"/>
      <c r="X1877" s="480"/>
      <c r="Y1877" s="483">
        <f t="shared" si="17"/>
        <v>0</v>
      </c>
      <c r="Z1877" s="484"/>
      <c r="AA1877" s="485"/>
      <c r="AB1877" s="486"/>
      <c r="AC1877" s="486"/>
      <c r="AD1877" s="486"/>
      <c r="AE1877" s="487"/>
      <c r="AF1877" s="449"/>
      <c r="AG1877" s="449"/>
      <c r="AH1877" s="449"/>
    </row>
    <row r="1878" ht="11.25" customHeight="1">
      <c r="A1878" s="431" t="str">
        <f>IF(B1878="","", YEAR(B1878))</f>
        <v/>
      </c>
      <c r="B1878" s="432"/>
      <c r="C1878" s="433"/>
      <c r="D1878" s="433"/>
      <c r="E1878" s="434" t="str">
        <f t="shared" ref="E1878:I1878" si="946">IFERROR(AVERAGE(L1878:L1881),"")</f>
        <v/>
      </c>
      <c r="F1878" s="434" t="str">
        <f t="shared" si="946"/>
        <v/>
      </c>
      <c r="G1878" s="435" t="str">
        <f t="shared" si="946"/>
        <v/>
      </c>
      <c r="H1878" s="435" t="str">
        <f t="shared" si="946"/>
        <v/>
      </c>
      <c r="I1878" s="436" t="str">
        <f t="shared" si="946"/>
        <v/>
      </c>
      <c r="J1878" s="437">
        <f>SUMIFS(PRODUCTION[KG],PRODUCTION[GRADE],"3X50",PRODUCTION[DATE],B1878,PRODUCTION[BATCH],C1878,PRODUCTION[SHIFT],D1878)</f>
        <v>0</v>
      </c>
      <c r="K1878" s="438" t="s">
        <v>1414</v>
      </c>
      <c r="L1878" s="443"/>
      <c r="M1878" s="440"/>
      <c r="N1878" s="441"/>
      <c r="O1878" s="441"/>
      <c r="P1878" s="442"/>
      <c r="Q1878" s="443"/>
      <c r="R1878" s="440"/>
      <c r="S1878" s="440"/>
      <c r="T1878" s="440"/>
      <c r="U1878" s="440"/>
      <c r="V1878" s="440"/>
      <c r="W1878" s="440"/>
      <c r="X1878" s="440"/>
      <c r="Y1878" s="444">
        <f t="shared" si="17"/>
        <v>0</v>
      </c>
      <c r="Z1878" s="445"/>
      <c r="AA1878" s="446">
        <f t="shared" ref="AA1878:AE1878" si="947">$J1878*E1878</f>
        <v>0</v>
      </c>
      <c r="AB1878" s="447">
        <f t="shared" si="947"/>
        <v>0</v>
      </c>
      <c r="AC1878" s="447">
        <f t="shared" si="947"/>
        <v>0</v>
      </c>
      <c r="AD1878" s="447">
        <f t="shared" si="947"/>
        <v>0</v>
      </c>
      <c r="AE1878" s="448">
        <f t="shared" si="947"/>
        <v>0</v>
      </c>
      <c r="AF1878" s="449"/>
      <c r="AG1878" s="449"/>
      <c r="AH1878" s="449"/>
    </row>
    <row r="1879" ht="11.25" customHeight="1">
      <c r="A1879" s="450"/>
      <c r="B1879" s="451"/>
      <c r="C1879" s="452"/>
      <c r="D1879" s="452"/>
      <c r="E1879" s="453"/>
      <c r="F1879" s="453"/>
      <c r="G1879" s="454"/>
      <c r="H1879" s="454"/>
      <c r="I1879" s="455"/>
      <c r="J1879" s="456"/>
      <c r="K1879" s="457" t="s">
        <v>1416</v>
      </c>
      <c r="L1879" s="458"/>
      <c r="M1879" s="459"/>
      <c r="N1879" s="460"/>
      <c r="O1879" s="460"/>
      <c r="P1879" s="461"/>
      <c r="Q1879" s="458"/>
      <c r="R1879" s="459"/>
      <c r="S1879" s="459"/>
      <c r="T1879" s="459"/>
      <c r="U1879" s="459"/>
      <c r="V1879" s="459"/>
      <c r="W1879" s="459"/>
      <c r="X1879" s="459"/>
      <c r="Y1879" s="462">
        <f t="shared" si="17"/>
        <v>0</v>
      </c>
      <c r="Z1879" s="463"/>
      <c r="AA1879" s="464"/>
      <c r="AB1879" s="465"/>
      <c r="AC1879" s="465"/>
      <c r="AD1879" s="465"/>
      <c r="AE1879" s="466"/>
      <c r="AF1879" s="449"/>
      <c r="AG1879" s="449"/>
      <c r="AH1879" s="449"/>
    </row>
    <row r="1880" ht="11.25" customHeight="1">
      <c r="A1880" s="450"/>
      <c r="B1880" s="451"/>
      <c r="C1880" s="452"/>
      <c r="D1880" s="452"/>
      <c r="E1880" s="453"/>
      <c r="F1880" s="453"/>
      <c r="G1880" s="454"/>
      <c r="H1880" s="454"/>
      <c r="I1880" s="455"/>
      <c r="J1880" s="456"/>
      <c r="K1880" s="467" t="s">
        <v>1417</v>
      </c>
      <c r="L1880" s="468"/>
      <c r="M1880" s="469"/>
      <c r="N1880" s="470"/>
      <c r="O1880" s="470"/>
      <c r="P1880" s="471"/>
      <c r="Q1880" s="468"/>
      <c r="R1880" s="469"/>
      <c r="S1880" s="469"/>
      <c r="T1880" s="469"/>
      <c r="U1880" s="469"/>
      <c r="V1880" s="469"/>
      <c r="W1880" s="469"/>
      <c r="X1880" s="469"/>
      <c r="Y1880" s="462">
        <f t="shared" si="17"/>
        <v>0</v>
      </c>
      <c r="Z1880" s="463"/>
      <c r="AA1880" s="464"/>
      <c r="AB1880" s="465"/>
      <c r="AC1880" s="465"/>
      <c r="AD1880" s="465"/>
      <c r="AE1880" s="466"/>
      <c r="AF1880" s="449"/>
      <c r="AG1880" s="449"/>
      <c r="AH1880" s="449"/>
    </row>
    <row r="1881" ht="11.25" customHeight="1">
      <c r="A1881" s="450"/>
      <c r="B1881" s="472"/>
      <c r="C1881" s="473"/>
      <c r="D1881" s="473"/>
      <c r="E1881" s="474"/>
      <c r="F1881" s="474"/>
      <c r="G1881" s="475"/>
      <c r="H1881" s="475"/>
      <c r="I1881" s="476"/>
      <c r="J1881" s="477"/>
      <c r="K1881" s="478" t="s">
        <v>1418</v>
      </c>
      <c r="L1881" s="479"/>
      <c r="M1881" s="480"/>
      <c r="N1881" s="481"/>
      <c r="O1881" s="481"/>
      <c r="P1881" s="482"/>
      <c r="Q1881" s="479"/>
      <c r="R1881" s="480"/>
      <c r="S1881" s="480"/>
      <c r="T1881" s="480"/>
      <c r="U1881" s="480"/>
      <c r="V1881" s="480"/>
      <c r="W1881" s="480"/>
      <c r="X1881" s="480"/>
      <c r="Y1881" s="483">
        <f t="shared" si="17"/>
        <v>0</v>
      </c>
      <c r="Z1881" s="484"/>
      <c r="AA1881" s="485"/>
      <c r="AB1881" s="486"/>
      <c r="AC1881" s="486"/>
      <c r="AD1881" s="486"/>
      <c r="AE1881" s="487"/>
      <c r="AF1881" s="449"/>
      <c r="AG1881" s="449"/>
      <c r="AH1881" s="449"/>
    </row>
    <row r="1882" ht="11.25" customHeight="1">
      <c r="A1882" s="431" t="str">
        <f>IF(B1882="","", YEAR(B1882))</f>
        <v/>
      </c>
      <c r="B1882" s="432"/>
      <c r="C1882" s="433"/>
      <c r="D1882" s="433"/>
      <c r="E1882" s="434" t="str">
        <f t="shared" ref="E1882:I1882" si="948">IFERROR(AVERAGE(L1882:L1885),"")</f>
        <v/>
      </c>
      <c r="F1882" s="434" t="str">
        <f t="shared" si="948"/>
        <v/>
      </c>
      <c r="G1882" s="435" t="str">
        <f t="shared" si="948"/>
        <v/>
      </c>
      <c r="H1882" s="435" t="str">
        <f t="shared" si="948"/>
        <v/>
      </c>
      <c r="I1882" s="436" t="str">
        <f t="shared" si="948"/>
        <v/>
      </c>
      <c r="J1882" s="437">
        <f>SUMIFS(PRODUCTION[KG],PRODUCTION[GRADE],"3X50",PRODUCTION[DATE],B1882,PRODUCTION[BATCH],C1882,PRODUCTION[SHIFT],D1882)</f>
        <v>0</v>
      </c>
      <c r="K1882" s="438" t="s">
        <v>1414</v>
      </c>
      <c r="L1882" s="443"/>
      <c r="M1882" s="440"/>
      <c r="N1882" s="441"/>
      <c r="O1882" s="441"/>
      <c r="P1882" s="442"/>
      <c r="Q1882" s="443"/>
      <c r="R1882" s="440"/>
      <c r="S1882" s="440"/>
      <c r="T1882" s="440"/>
      <c r="U1882" s="440"/>
      <c r="V1882" s="440"/>
      <c r="W1882" s="440"/>
      <c r="X1882" s="440"/>
      <c r="Y1882" s="444">
        <f t="shared" si="17"/>
        <v>0</v>
      </c>
      <c r="Z1882" s="445"/>
      <c r="AA1882" s="446">
        <f t="shared" ref="AA1882:AE1882" si="949">$J1882*E1882</f>
        <v>0</v>
      </c>
      <c r="AB1882" s="447">
        <f t="shared" si="949"/>
        <v>0</v>
      </c>
      <c r="AC1882" s="447">
        <f t="shared" si="949"/>
        <v>0</v>
      </c>
      <c r="AD1882" s="447">
        <f t="shared" si="949"/>
        <v>0</v>
      </c>
      <c r="AE1882" s="448">
        <f t="shared" si="949"/>
        <v>0</v>
      </c>
      <c r="AF1882" s="449"/>
      <c r="AG1882" s="449"/>
      <c r="AH1882" s="449"/>
    </row>
    <row r="1883" ht="11.25" customHeight="1">
      <c r="A1883" s="450"/>
      <c r="B1883" s="451"/>
      <c r="C1883" s="452"/>
      <c r="D1883" s="452"/>
      <c r="E1883" s="453"/>
      <c r="F1883" s="453"/>
      <c r="G1883" s="454"/>
      <c r="H1883" s="454"/>
      <c r="I1883" s="455"/>
      <c r="J1883" s="456"/>
      <c r="K1883" s="457" t="s">
        <v>1416</v>
      </c>
      <c r="L1883" s="458"/>
      <c r="M1883" s="459"/>
      <c r="N1883" s="460"/>
      <c r="O1883" s="460"/>
      <c r="P1883" s="461"/>
      <c r="Q1883" s="458"/>
      <c r="R1883" s="459"/>
      <c r="S1883" s="459"/>
      <c r="T1883" s="459"/>
      <c r="U1883" s="459"/>
      <c r="V1883" s="459"/>
      <c r="W1883" s="459"/>
      <c r="X1883" s="459"/>
      <c r="Y1883" s="462">
        <f t="shared" si="17"/>
        <v>0</v>
      </c>
      <c r="Z1883" s="463"/>
      <c r="AA1883" s="464"/>
      <c r="AB1883" s="465"/>
      <c r="AC1883" s="465"/>
      <c r="AD1883" s="465"/>
      <c r="AE1883" s="466"/>
      <c r="AF1883" s="449"/>
      <c r="AG1883" s="449"/>
      <c r="AH1883" s="449"/>
    </row>
    <row r="1884" ht="11.25" customHeight="1">
      <c r="A1884" s="450"/>
      <c r="B1884" s="451"/>
      <c r="C1884" s="452"/>
      <c r="D1884" s="452"/>
      <c r="E1884" s="453"/>
      <c r="F1884" s="453"/>
      <c r="G1884" s="454"/>
      <c r="H1884" s="454"/>
      <c r="I1884" s="455"/>
      <c r="J1884" s="456"/>
      <c r="K1884" s="467" t="s">
        <v>1417</v>
      </c>
      <c r="L1884" s="468"/>
      <c r="M1884" s="469"/>
      <c r="N1884" s="470"/>
      <c r="O1884" s="470"/>
      <c r="P1884" s="471"/>
      <c r="Q1884" s="468"/>
      <c r="R1884" s="469"/>
      <c r="S1884" s="469"/>
      <c r="T1884" s="469"/>
      <c r="U1884" s="469"/>
      <c r="V1884" s="469"/>
      <c r="W1884" s="469"/>
      <c r="X1884" s="469"/>
      <c r="Y1884" s="462">
        <f t="shared" si="17"/>
        <v>0</v>
      </c>
      <c r="Z1884" s="463"/>
      <c r="AA1884" s="464"/>
      <c r="AB1884" s="465"/>
      <c r="AC1884" s="465"/>
      <c r="AD1884" s="465"/>
      <c r="AE1884" s="466"/>
      <c r="AF1884" s="449"/>
      <c r="AG1884" s="449"/>
      <c r="AH1884" s="449"/>
    </row>
    <row r="1885" ht="11.25" customHeight="1">
      <c r="A1885" s="450"/>
      <c r="B1885" s="472"/>
      <c r="C1885" s="473"/>
      <c r="D1885" s="473"/>
      <c r="E1885" s="474"/>
      <c r="F1885" s="474"/>
      <c r="G1885" s="475"/>
      <c r="H1885" s="475"/>
      <c r="I1885" s="476"/>
      <c r="J1885" s="477"/>
      <c r="K1885" s="478" t="s">
        <v>1418</v>
      </c>
      <c r="L1885" s="479"/>
      <c r="M1885" s="480"/>
      <c r="N1885" s="481"/>
      <c r="O1885" s="481"/>
      <c r="P1885" s="482"/>
      <c r="Q1885" s="479"/>
      <c r="R1885" s="480"/>
      <c r="S1885" s="480"/>
      <c r="T1885" s="480"/>
      <c r="U1885" s="480"/>
      <c r="V1885" s="480"/>
      <c r="W1885" s="480"/>
      <c r="X1885" s="480"/>
      <c r="Y1885" s="483">
        <f t="shared" si="17"/>
        <v>0</v>
      </c>
      <c r="Z1885" s="484"/>
      <c r="AA1885" s="485"/>
      <c r="AB1885" s="486"/>
      <c r="AC1885" s="486"/>
      <c r="AD1885" s="486"/>
      <c r="AE1885" s="487"/>
      <c r="AF1885" s="449"/>
      <c r="AG1885" s="449"/>
      <c r="AH1885" s="449"/>
    </row>
    <row r="1886" ht="11.25" customHeight="1">
      <c r="A1886" s="431" t="str">
        <f>IF(B1886="","", YEAR(B1886))</f>
        <v/>
      </c>
      <c r="B1886" s="432"/>
      <c r="C1886" s="433"/>
      <c r="D1886" s="433"/>
      <c r="E1886" s="434" t="str">
        <f t="shared" ref="E1886:I1886" si="950">IFERROR(AVERAGE(L1886:L1889),"")</f>
        <v/>
      </c>
      <c r="F1886" s="434" t="str">
        <f t="shared" si="950"/>
        <v/>
      </c>
      <c r="G1886" s="435" t="str">
        <f t="shared" si="950"/>
        <v/>
      </c>
      <c r="H1886" s="435" t="str">
        <f t="shared" si="950"/>
        <v/>
      </c>
      <c r="I1886" s="436" t="str">
        <f t="shared" si="950"/>
        <v/>
      </c>
      <c r="J1886" s="437">
        <f>SUMIFS(PRODUCTION[KG],PRODUCTION[GRADE],"3X50",PRODUCTION[DATE],B1886,PRODUCTION[BATCH],C1886,PRODUCTION[SHIFT],D1886)</f>
        <v>0</v>
      </c>
      <c r="K1886" s="438" t="s">
        <v>1414</v>
      </c>
      <c r="L1886" s="443"/>
      <c r="M1886" s="440"/>
      <c r="N1886" s="441"/>
      <c r="O1886" s="441"/>
      <c r="P1886" s="442"/>
      <c r="Q1886" s="443"/>
      <c r="R1886" s="440"/>
      <c r="S1886" s="440"/>
      <c r="T1886" s="440"/>
      <c r="U1886" s="440"/>
      <c r="V1886" s="440"/>
      <c r="W1886" s="440"/>
      <c r="X1886" s="440"/>
      <c r="Y1886" s="444">
        <f t="shared" si="17"/>
        <v>0</v>
      </c>
      <c r="Z1886" s="445"/>
      <c r="AA1886" s="446">
        <f t="shared" ref="AA1886:AE1886" si="951">$J1886*E1886</f>
        <v>0</v>
      </c>
      <c r="AB1886" s="447">
        <f t="shared" si="951"/>
        <v>0</v>
      </c>
      <c r="AC1886" s="447">
        <f t="shared" si="951"/>
        <v>0</v>
      </c>
      <c r="AD1886" s="447">
        <f t="shared" si="951"/>
        <v>0</v>
      </c>
      <c r="AE1886" s="448">
        <f t="shared" si="951"/>
        <v>0</v>
      </c>
      <c r="AF1886" s="449"/>
      <c r="AG1886" s="449"/>
      <c r="AH1886" s="449"/>
    </row>
    <row r="1887" ht="11.25" customHeight="1">
      <c r="A1887" s="450"/>
      <c r="B1887" s="451"/>
      <c r="C1887" s="452"/>
      <c r="D1887" s="452"/>
      <c r="E1887" s="453"/>
      <c r="F1887" s="453"/>
      <c r="G1887" s="454"/>
      <c r="H1887" s="454"/>
      <c r="I1887" s="455"/>
      <c r="J1887" s="456"/>
      <c r="K1887" s="457" t="s">
        <v>1416</v>
      </c>
      <c r="L1887" s="458"/>
      <c r="M1887" s="459"/>
      <c r="N1887" s="460"/>
      <c r="O1887" s="460"/>
      <c r="P1887" s="461"/>
      <c r="Q1887" s="458"/>
      <c r="R1887" s="459"/>
      <c r="S1887" s="459"/>
      <c r="T1887" s="459"/>
      <c r="U1887" s="459"/>
      <c r="V1887" s="459"/>
      <c r="W1887" s="459"/>
      <c r="X1887" s="459"/>
      <c r="Y1887" s="462">
        <f t="shared" si="17"/>
        <v>0</v>
      </c>
      <c r="Z1887" s="463"/>
      <c r="AA1887" s="464"/>
      <c r="AB1887" s="465"/>
      <c r="AC1887" s="465"/>
      <c r="AD1887" s="465"/>
      <c r="AE1887" s="466"/>
      <c r="AF1887" s="449"/>
      <c r="AG1887" s="449"/>
      <c r="AH1887" s="449"/>
    </row>
    <row r="1888" ht="11.25" customHeight="1">
      <c r="A1888" s="450"/>
      <c r="B1888" s="451"/>
      <c r="C1888" s="452"/>
      <c r="D1888" s="452"/>
      <c r="E1888" s="453"/>
      <c r="F1888" s="453"/>
      <c r="G1888" s="454"/>
      <c r="H1888" s="454"/>
      <c r="I1888" s="455"/>
      <c r="J1888" s="456"/>
      <c r="K1888" s="467" t="s">
        <v>1417</v>
      </c>
      <c r="L1888" s="468"/>
      <c r="M1888" s="469"/>
      <c r="N1888" s="470"/>
      <c r="O1888" s="470"/>
      <c r="P1888" s="471"/>
      <c r="Q1888" s="468"/>
      <c r="R1888" s="469"/>
      <c r="S1888" s="469"/>
      <c r="T1888" s="469"/>
      <c r="U1888" s="469"/>
      <c r="V1888" s="469"/>
      <c r="W1888" s="469"/>
      <c r="X1888" s="469"/>
      <c r="Y1888" s="462">
        <f t="shared" si="17"/>
        <v>0</v>
      </c>
      <c r="Z1888" s="463"/>
      <c r="AA1888" s="464"/>
      <c r="AB1888" s="465"/>
      <c r="AC1888" s="465"/>
      <c r="AD1888" s="465"/>
      <c r="AE1888" s="466"/>
      <c r="AF1888" s="449"/>
      <c r="AG1888" s="449"/>
      <c r="AH1888" s="449"/>
    </row>
    <row r="1889" ht="11.25" customHeight="1">
      <c r="A1889" s="450"/>
      <c r="B1889" s="472"/>
      <c r="C1889" s="473"/>
      <c r="D1889" s="473"/>
      <c r="E1889" s="474"/>
      <c r="F1889" s="474"/>
      <c r="G1889" s="475"/>
      <c r="H1889" s="475"/>
      <c r="I1889" s="476"/>
      <c r="J1889" s="477"/>
      <c r="K1889" s="478" t="s">
        <v>1418</v>
      </c>
      <c r="L1889" s="479"/>
      <c r="M1889" s="480"/>
      <c r="N1889" s="481"/>
      <c r="O1889" s="481"/>
      <c r="P1889" s="482"/>
      <c r="Q1889" s="479"/>
      <c r="R1889" s="480"/>
      <c r="S1889" s="480"/>
      <c r="T1889" s="480"/>
      <c r="U1889" s="480"/>
      <c r="V1889" s="480"/>
      <c r="W1889" s="480"/>
      <c r="X1889" s="480"/>
      <c r="Y1889" s="483">
        <f t="shared" si="17"/>
        <v>0</v>
      </c>
      <c r="Z1889" s="484"/>
      <c r="AA1889" s="485"/>
      <c r="AB1889" s="486"/>
      <c r="AC1889" s="486"/>
      <c r="AD1889" s="486"/>
      <c r="AE1889" s="487"/>
      <c r="AF1889" s="449"/>
      <c r="AG1889" s="449"/>
      <c r="AH1889" s="449"/>
    </row>
    <row r="1890" ht="11.25" customHeight="1">
      <c r="A1890" s="431" t="str">
        <f>IF(B1890="","", YEAR(B1890))</f>
        <v/>
      </c>
      <c r="B1890" s="432"/>
      <c r="C1890" s="433"/>
      <c r="D1890" s="433"/>
      <c r="E1890" s="434" t="str">
        <f t="shared" ref="E1890:I1890" si="952">IFERROR(AVERAGE(L1890:L1893),"")</f>
        <v/>
      </c>
      <c r="F1890" s="434" t="str">
        <f t="shared" si="952"/>
        <v/>
      </c>
      <c r="G1890" s="435" t="str">
        <f t="shared" si="952"/>
        <v/>
      </c>
      <c r="H1890" s="435" t="str">
        <f t="shared" si="952"/>
        <v/>
      </c>
      <c r="I1890" s="436" t="str">
        <f t="shared" si="952"/>
        <v/>
      </c>
      <c r="J1890" s="437">
        <f>SUMIFS(PRODUCTION[KG],PRODUCTION[GRADE],"3X50",PRODUCTION[DATE],B1890,PRODUCTION[BATCH],C1890,PRODUCTION[SHIFT],D1890)</f>
        <v>0</v>
      </c>
      <c r="K1890" s="438" t="s">
        <v>1414</v>
      </c>
      <c r="L1890" s="443"/>
      <c r="M1890" s="440"/>
      <c r="N1890" s="441"/>
      <c r="O1890" s="441"/>
      <c r="P1890" s="442"/>
      <c r="Q1890" s="443"/>
      <c r="R1890" s="440"/>
      <c r="S1890" s="440"/>
      <c r="T1890" s="440"/>
      <c r="U1890" s="440"/>
      <c r="V1890" s="440"/>
      <c r="W1890" s="440"/>
      <c r="X1890" s="440"/>
      <c r="Y1890" s="444">
        <f t="shared" si="17"/>
        <v>0</v>
      </c>
      <c r="Z1890" s="445"/>
      <c r="AA1890" s="446">
        <f t="shared" ref="AA1890:AE1890" si="953">$J1890*E1890</f>
        <v>0</v>
      </c>
      <c r="AB1890" s="447">
        <f t="shared" si="953"/>
        <v>0</v>
      </c>
      <c r="AC1890" s="447">
        <f t="shared" si="953"/>
        <v>0</v>
      </c>
      <c r="AD1890" s="447">
        <f t="shared" si="953"/>
        <v>0</v>
      </c>
      <c r="AE1890" s="448">
        <f t="shared" si="953"/>
        <v>0</v>
      </c>
      <c r="AF1890" s="449"/>
      <c r="AG1890" s="449"/>
      <c r="AH1890" s="449"/>
    </row>
    <row r="1891" ht="11.25" customHeight="1">
      <c r="A1891" s="450"/>
      <c r="B1891" s="451"/>
      <c r="C1891" s="452"/>
      <c r="D1891" s="452"/>
      <c r="E1891" s="453"/>
      <c r="F1891" s="453"/>
      <c r="G1891" s="454"/>
      <c r="H1891" s="454"/>
      <c r="I1891" s="455"/>
      <c r="J1891" s="456"/>
      <c r="K1891" s="457" t="s">
        <v>1416</v>
      </c>
      <c r="L1891" s="458"/>
      <c r="M1891" s="459"/>
      <c r="N1891" s="460"/>
      <c r="O1891" s="460"/>
      <c r="P1891" s="461"/>
      <c r="Q1891" s="458"/>
      <c r="R1891" s="459"/>
      <c r="S1891" s="459"/>
      <c r="T1891" s="459"/>
      <c r="U1891" s="459"/>
      <c r="V1891" s="459"/>
      <c r="W1891" s="459"/>
      <c r="X1891" s="459"/>
      <c r="Y1891" s="462">
        <f t="shared" si="17"/>
        <v>0</v>
      </c>
      <c r="Z1891" s="463"/>
      <c r="AA1891" s="464"/>
      <c r="AB1891" s="465"/>
      <c r="AC1891" s="465"/>
      <c r="AD1891" s="465"/>
      <c r="AE1891" s="466"/>
      <c r="AF1891" s="449"/>
      <c r="AG1891" s="449"/>
      <c r="AH1891" s="449"/>
    </row>
    <row r="1892" ht="11.25" customHeight="1">
      <c r="A1892" s="450"/>
      <c r="B1892" s="451"/>
      <c r="C1892" s="452"/>
      <c r="D1892" s="452"/>
      <c r="E1892" s="453"/>
      <c r="F1892" s="453"/>
      <c r="G1892" s="454"/>
      <c r="H1892" s="454"/>
      <c r="I1892" s="455"/>
      <c r="J1892" s="456"/>
      <c r="K1892" s="467" t="s">
        <v>1417</v>
      </c>
      <c r="L1892" s="468"/>
      <c r="M1892" s="469"/>
      <c r="N1892" s="470"/>
      <c r="O1892" s="470"/>
      <c r="P1892" s="471"/>
      <c r="Q1892" s="468"/>
      <c r="R1892" s="469"/>
      <c r="S1892" s="469"/>
      <c r="T1892" s="469"/>
      <c r="U1892" s="469"/>
      <c r="V1892" s="469"/>
      <c r="W1892" s="469"/>
      <c r="X1892" s="469"/>
      <c r="Y1892" s="462">
        <f t="shared" si="17"/>
        <v>0</v>
      </c>
      <c r="Z1892" s="463"/>
      <c r="AA1892" s="464"/>
      <c r="AB1892" s="465"/>
      <c r="AC1892" s="465"/>
      <c r="AD1892" s="465"/>
      <c r="AE1892" s="466"/>
      <c r="AF1892" s="449"/>
      <c r="AG1892" s="449"/>
      <c r="AH1892" s="449"/>
    </row>
    <row r="1893" ht="11.25" customHeight="1">
      <c r="A1893" s="450"/>
      <c r="B1893" s="472"/>
      <c r="C1893" s="473"/>
      <c r="D1893" s="473"/>
      <c r="E1893" s="474"/>
      <c r="F1893" s="474"/>
      <c r="G1893" s="475"/>
      <c r="H1893" s="475"/>
      <c r="I1893" s="476"/>
      <c r="J1893" s="477"/>
      <c r="K1893" s="478" t="s">
        <v>1418</v>
      </c>
      <c r="L1893" s="479"/>
      <c r="M1893" s="480"/>
      <c r="N1893" s="481"/>
      <c r="O1893" s="481"/>
      <c r="P1893" s="482"/>
      <c r="Q1893" s="479"/>
      <c r="R1893" s="480"/>
      <c r="S1893" s="480"/>
      <c r="T1893" s="480"/>
      <c r="U1893" s="480"/>
      <c r="V1893" s="480"/>
      <c r="W1893" s="480"/>
      <c r="X1893" s="480"/>
      <c r="Y1893" s="483">
        <f t="shared" si="17"/>
        <v>0</v>
      </c>
      <c r="Z1893" s="484"/>
      <c r="AA1893" s="485"/>
      <c r="AB1893" s="486"/>
      <c r="AC1893" s="486"/>
      <c r="AD1893" s="486"/>
      <c r="AE1893" s="487"/>
      <c r="AF1893" s="449"/>
      <c r="AG1893" s="449"/>
      <c r="AH1893" s="449"/>
    </row>
    <row r="1894" ht="11.25" customHeight="1">
      <c r="A1894" s="431" t="str">
        <f>IF(B1894="","", YEAR(B1894))</f>
        <v/>
      </c>
      <c r="B1894" s="432"/>
      <c r="C1894" s="433"/>
      <c r="D1894" s="433"/>
      <c r="E1894" s="434" t="str">
        <f t="shared" ref="E1894:I1894" si="954">IFERROR(AVERAGE(L1894:L1897),"")</f>
        <v/>
      </c>
      <c r="F1894" s="434" t="str">
        <f t="shared" si="954"/>
        <v/>
      </c>
      <c r="G1894" s="435" t="str">
        <f t="shared" si="954"/>
        <v/>
      </c>
      <c r="H1894" s="435" t="str">
        <f t="shared" si="954"/>
        <v/>
      </c>
      <c r="I1894" s="436" t="str">
        <f t="shared" si="954"/>
        <v/>
      </c>
      <c r="J1894" s="437">
        <f>SUMIFS(PRODUCTION[KG],PRODUCTION[GRADE],"3X50",PRODUCTION[DATE],B1894,PRODUCTION[BATCH],C1894,PRODUCTION[SHIFT],D1894)</f>
        <v>0</v>
      </c>
      <c r="K1894" s="438" t="s">
        <v>1414</v>
      </c>
      <c r="L1894" s="443"/>
      <c r="M1894" s="440"/>
      <c r="N1894" s="441"/>
      <c r="O1894" s="441"/>
      <c r="P1894" s="442"/>
      <c r="Q1894" s="443"/>
      <c r="R1894" s="440"/>
      <c r="S1894" s="440"/>
      <c r="T1894" s="440"/>
      <c r="U1894" s="440"/>
      <c r="V1894" s="440"/>
      <c r="W1894" s="440"/>
      <c r="X1894" s="440"/>
      <c r="Y1894" s="444">
        <f t="shared" si="17"/>
        <v>0</v>
      </c>
      <c r="Z1894" s="445"/>
      <c r="AA1894" s="446">
        <f t="shared" ref="AA1894:AE1894" si="955">$J1894*E1894</f>
        <v>0</v>
      </c>
      <c r="AB1894" s="447">
        <f t="shared" si="955"/>
        <v>0</v>
      </c>
      <c r="AC1894" s="447">
        <f t="shared" si="955"/>
        <v>0</v>
      </c>
      <c r="AD1894" s="447">
        <f t="shared" si="955"/>
        <v>0</v>
      </c>
      <c r="AE1894" s="448">
        <f t="shared" si="955"/>
        <v>0</v>
      </c>
      <c r="AF1894" s="449"/>
      <c r="AG1894" s="449"/>
      <c r="AH1894" s="449"/>
    </row>
    <row r="1895" ht="11.25" customHeight="1">
      <c r="A1895" s="450"/>
      <c r="B1895" s="451"/>
      <c r="C1895" s="452"/>
      <c r="D1895" s="452"/>
      <c r="E1895" s="453"/>
      <c r="F1895" s="453"/>
      <c r="G1895" s="454"/>
      <c r="H1895" s="454"/>
      <c r="I1895" s="455"/>
      <c r="J1895" s="456"/>
      <c r="K1895" s="457" t="s">
        <v>1416</v>
      </c>
      <c r="L1895" s="458"/>
      <c r="M1895" s="459"/>
      <c r="N1895" s="460"/>
      <c r="O1895" s="460"/>
      <c r="P1895" s="461"/>
      <c r="Q1895" s="458"/>
      <c r="R1895" s="459"/>
      <c r="S1895" s="459"/>
      <c r="T1895" s="459"/>
      <c r="U1895" s="459"/>
      <c r="V1895" s="459"/>
      <c r="W1895" s="459"/>
      <c r="X1895" s="459"/>
      <c r="Y1895" s="462">
        <f t="shared" si="17"/>
        <v>0</v>
      </c>
      <c r="Z1895" s="463"/>
      <c r="AA1895" s="464"/>
      <c r="AB1895" s="465"/>
      <c r="AC1895" s="465"/>
      <c r="AD1895" s="465"/>
      <c r="AE1895" s="466"/>
      <c r="AF1895" s="449"/>
      <c r="AG1895" s="449"/>
      <c r="AH1895" s="449"/>
    </row>
    <row r="1896" ht="11.25" customHeight="1">
      <c r="A1896" s="450"/>
      <c r="B1896" s="451"/>
      <c r="C1896" s="452"/>
      <c r="D1896" s="452"/>
      <c r="E1896" s="453"/>
      <c r="F1896" s="453"/>
      <c r="G1896" s="454"/>
      <c r="H1896" s="454"/>
      <c r="I1896" s="455"/>
      <c r="J1896" s="456"/>
      <c r="K1896" s="467" t="s">
        <v>1417</v>
      </c>
      <c r="L1896" s="468"/>
      <c r="M1896" s="469"/>
      <c r="N1896" s="470"/>
      <c r="O1896" s="470"/>
      <c r="P1896" s="471"/>
      <c r="Q1896" s="468"/>
      <c r="R1896" s="469"/>
      <c r="S1896" s="469"/>
      <c r="T1896" s="469"/>
      <c r="U1896" s="469"/>
      <c r="V1896" s="469"/>
      <c r="W1896" s="469"/>
      <c r="X1896" s="469"/>
      <c r="Y1896" s="462">
        <f t="shared" si="17"/>
        <v>0</v>
      </c>
      <c r="Z1896" s="463"/>
      <c r="AA1896" s="464"/>
      <c r="AB1896" s="465"/>
      <c r="AC1896" s="465"/>
      <c r="AD1896" s="465"/>
      <c r="AE1896" s="466"/>
      <c r="AF1896" s="449"/>
      <c r="AG1896" s="449"/>
      <c r="AH1896" s="449"/>
    </row>
    <row r="1897" ht="11.25" customHeight="1">
      <c r="A1897" s="450"/>
      <c r="B1897" s="472"/>
      <c r="C1897" s="473"/>
      <c r="D1897" s="473"/>
      <c r="E1897" s="474"/>
      <c r="F1897" s="474"/>
      <c r="G1897" s="475"/>
      <c r="H1897" s="475"/>
      <c r="I1897" s="476"/>
      <c r="J1897" s="477"/>
      <c r="K1897" s="478" t="s">
        <v>1418</v>
      </c>
      <c r="L1897" s="479"/>
      <c r="M1897" s="480"/>
      <c r="N1897" s="481"/>
      <c r="O1897" s="481"/>
      <c r="P1897" s="482"/>
      <c r="Q1897" s="479"/>
      <c r="R1897" s="480"/>
      <c r="S1897" s="480"/>
      <c r="T1897" s="480"/>
      <c r="U1897" s="480"/>
      <c r="V1897" s="480"/>
      <c r="W1897" s="480"/>
      <c r="X1897" s="480"/>
      <c r="Y1897" s="483">
        <f t="shared" si="17"/>
        <v>0</v>
      </c>
      <c r="Z1897" s="484"/>
      <c r="AA1897" s="485"/>
      <c r="AB1897" s="486"/>
      <c r="AC1897" s="486"/>
      <c r="AD1897" s="486"/>
      <c r="AE1897" s="487"/>
      <c r="AF1897" s="449"/>
      <c r="AG1897" s="449"/>
      <c r="AH1897" s="449"/>
    </row>
    <row r="1898" ht="11.25" customHeight="1">
      <c r="A1898" s="431" t="str">
        <f>IF(B1898="","", YEAR(B1898))</f>
        <v/>
      </c>
      <c r="B1898" s="432"/>
      <c r="C1898" s="433"/>
      <c r="D1898" s="433"/>
      <c r="E1898" s="434" t="str">
        <f t="shared" ref="E1898:I1898" si="956">IFERROR(AVERAGE(L1898:L1901),"")</f>
        <v/>
      </c>
      <c r="F1898" s="434" t="str">
        <f t="shared" si="956"/>
        <v/>
      </c>
      <c r="G1898" s="435" t="str">
        <f t="shared" si="956"/>
        <v/>
      </c>
      <c r="H1898" s="435" t="str">
        <f t="shared" si="956"/>
        <v/>
      </c>
      <c r="I1898" s="436" t="str">
        <f t="shared" si="956"/>
        <v/>
      </c>
      <c r="J1898" s="437">
        <f>SUMIFS(PRODUCTION[KG],PRODUCTION[GRADE],"3X50",PRODUCTION[DATE],B1898,PRODUCTION[BATCH],C1898,PRODUCTION[SHIFT],D1898)</f>
        <v>0</v>
      </c>
      <c r="K1898" s="438" t="s">
        <v>1414</v>
      </c>
      <c r="L1898" s="443"/>
      <c r="M1898" s="440"/>
      <c r="N1898" s="441"/>
      <c r="O1898" s="441"/>
      <c r="P1898" s="442"/>
      <c r="Q1898" s="443"/>
      <c r="R1898" s="440"/>
      <c r="S1898" s="440"/>
      <c r="T1898" s="440"/>
      <c r="U1898" s="440"/>
      <c r="V1898" s="440"/>
      <c r="W1898" s="440"/>
      <c r="X1898" s="440"/>
      <c r="Y1898" s="444">
        <f t="shared" si="17"/>
        <v>0</v>
      </c>
      <c r="Z1898" s="445"/>
      <c r="AA1898" s="446">
        <f t="shared" ref="AA1898:AE1898" si="957">$J1898*E1898</f>
        <v>0</v>
      </c>
      <c r="AB1898" s="447">
        <f t="shared" si="957"/>
        <v>0</v>
      </c>
      <c r="AC1898" s="447">
        <f t="shared" si="957"/>
        <v>0</v>
      </c>
      <c r="AD1898" s="447">
        <f t="shared" si="957"/>
        <v>0</v>
      </c>
      <c r="AE1898" s="448">
        <f t="shared" si="957"/>
        <v>0</v>
      </c>
      <c r="AF1898" s="449"/>
      <c r="AG1898" s="449"/>
      <c r="AH1898" s="449"/>
    </row>
    <row r="1899" ht="11.25" customHeight="1">
      <c r="A1899" s="450"/>
      <c r="B1899" s="451"/>
      <c r="C1899" s="452"/>
      <c r="D1899" s="452"/>
      <c r="E1899" s="453"/>
      <c r="F1899" s="453"/>
      <c r="G1899" s="454"/>
      <c r="H1899" s="454"/>
      <c r="I1899" s="455"/>
      <c r="J1899" s="456"/>
      <c r="K1899" s="457" t="s">
        <v>1416</v>
      </c>
      <c r="L1899" s="458"/>
      <c r="M1899" s="459"/>
      <c r="N1899" s="460"/>
      <c r="O1899" s="460"/>
      <c r="P1899" s="461"/>
      <c r="Q1899" s="458"/>
      <c r="R1899" s="459"/>
      <c r="S1899" s="459"/>
      <c r="T1899" s="459"/>
      <c r="U1899" s="459"/>
      <c r="V1899" s="459"/>
      <c r="W1899" s="459"/>
      <c r="X1899" s="459"/>
      <c r="Y1899" s="462">
        <f t="shared" si="17"/>
        <v>0</v>
      </c>
      <c r="Z1899" s="463"/>
      <c r="AA1899" s="464"/>
      <c r="AB1899" s="465"/>
      <c r="AC1899" s="465"/>
      <c r="AD1899" s="465"/>
      <c r="AE1899" s="466"/>
      <c r="AF1899" s="449"/>
      <c r="AG1899" s="449"/>
      <c r="AH1899" s="449"/>
    </row>
    <row r="1900" ht="11.25" customHeight="1">
      <c r="A1900" s="450"/>
      <c r="B1900" s="451"/>
      <c r="C1900" s="452"/>
      <c r="D1900" s="452"/>
      <c r="E1900" s="453"/>
      <c r="F1900" s="453"/>
      <c r="G1900" s="454"/>
      <c r="H1900" s="454"/>
      <c r="I1900" s="455"/>
      <c r="J1900" s="456"/>
      <c r="K1900" s="467" t="s">
        <v>1417</v>
      </c>
      <c r="L1900" s="468"/>
      <c r="M1900" s="469"/>
      <c r="N1900" s="470"/>
      <c r="O1900" s="470"/>
      <c r="P1900" s="471"/>
      <c r="Q1900" s="468"/>
      <c r="R1900" s="469"/>
      <c r="S1900" s="469"/>
      <c r="T1900" s="469"/>
      <c r="U1900" s="469"/>
      <c r="V1900" s="469"/>
      <c r="W1900" s="469"/>
      <c r="X1900" s="469"/>
      <c r="Y1900" s="462">
        <f t="shared" si="17"/>
        <v>0</v>
      </c>
      <c r="Z1900" s="463"/>
      <c r="AA1900" s="464"/>
      <c r="AB1900" s="465"/>
      <c r="AC1900" s="465"/>
      <c r="AD1900" s="465"/>
      <c r="AE1900" s="466"/>
      <c r="AF1900" s="449"/>
      <c r="AG1900" s="449"/>
      <c r="AH1900" s="449"/>
    </row>
    <row r="1901" ht="11.25" customHeight="1">
      <c r="A1901" s="450"/>
      <c r="B1901" s="472"/>
      <c r="C1901" s="473"/>
      <c r="D1901" s="473"/>
      <c r="E1901" s="474"/>
      <c r="F1901" s="474"/>
      <c r="G1901" s="475"/>
      <c r="H1901" s="475"/>
      <c r="I1901" s="476"/>
      <c r="J1901" s="477"/>
      <c r="K1901" s="478" t="s">
        <v>1418</v>
      </c>
      <c r="L1901" s="479"/>
      <c r="M1901" s="480"/>
      <c r="N1901" s="481"/>
      <c r="O1901" s="481"/>
      <c r="P1901" s="482"/>
      <c r="Q1901" s="479"/>
      <c r="R1901" s="480"/>
      <c r="S1901" s="480"/>
      <c r="T1901" s="480"/>
      <c r="U1901" s="480"/>
      <c r="V1901" s="480"/>
      <c r="W1901" s="480"/>
      <c r="X1901" s="480"/>
      <c r="Y1901" s="483">
        <f t="shared" si="17"/>
        <v>0</v>
      </c>
      <c r="Z1901" s="484"/>
      <c r="AA1901" s="485"/>
      <c r="AB1901" s="486"/>
      <c r="AC1901" s="486"/>
      <c r="AD1901" s="486"/>
      <c r="AE1901" s="487"/>
      <c r="AF1901" s="449"/>
      <c r="AG1901" s="449"/>
      <c r="AH1901" s="449"/>
    </row>
    <row r="1902" ht="11.25" customHeight="1">
      <c r="A1902" s="431" t="str">
        <f>IF(B1902="","", YEAR(B1902))</f>
        <v/>
      </c>
      <c r="B1902" s="432"/>
      <c r="C1902" s="433"/>
      <c r="D1902" s="433"/>
      <c r="E1902" s="434" t="str">
        <f t="shared" ref="E1902:I1902" si="958">IFERROR(AVERAGE(L1902:L1905),"")</f>
        <v/>
      </c>
      <c r="F1902" s="434" t="str">
        <f t="shared" si="958"/>
        <v/>
      </c>
      <c r="G1902" s="435" t="str">
        <f t="shared" si="958"/>
        <v/>
      </c>
      <c r="H1902" s="435" t="str">
        <f t="shared" si="958"/>
        <v/>
      </c>
      <c r="I1902" s="436" t="str">
        <f t="shared" si="958"/>
        <v/>
      </c>
      <c r="J1902" s="437">
        <f>SUMIFS(PRODUCTION[KG],PRODUCTION[GRADE],"3X50",PRODUCTION[DATE],B1902,PRODUCTION[BATCH],C1902,PRODUCTION[SHIFT],D1902)</f>
        <v>0</v>
      </c>
      <c r="K1902" s="438" t="s">
        <v>1414</v>
      </c>
      <c r="L1902" s="443"/>
      <c r="M1902" s="440"/>
      <c r="N1902" s="441"/>
      <c r="O1902" s="441"/>
      <c r="P1902" s="442"/>
      <c r="Q1902" s="443"/>
      <c r="R1902" s="440"/>
      <c r="S1902" s="440"/>
      <c r="T1902" s="440"/>
      <c r="U1902" s="440"/>
      <c r="V1902" s="440"/>
      <c r="W1902" s="440"/>
      <c r="X1902" s="440"/>
      <c r="Y1902" s="444">
        <f t="shared" si="17"/>
        <v>0</v>
      </c>
      <c r="Z1902" s="445"/>
      <c r="AA1902" s="446">
        <f t="shared" ref="AA1902:AE1902" si="959">$J1902*E1902</f>
        <v>0</v>
      </c>
      <c r="AB1902" s="447">
        <f t="shared" si="959"/>
        <v>0</v>
      </c>
      <c r="AC1902" s="447">
        <f t="shared" si="959"/>
        <v>0</v>
      </c>
      <c r="AD1902" s="447">
        <f t="shared" si="959"/>
        <v>0</v>
      </c>
      <c r="AE1902" s="448">
        <f t="shared" si="959"/>
        <v>0</v>
      </c>
      <c r="AF1902" s="449"/>
      <c r="AG1902" s="449"/>
      <c r="AH1902" s="449"/>
    </row>
    <row r="1903" ht="11.25" customHeight="1">
      <c r="A1903" s="450"/>
      <c r="B1903" s="451"/>
      <c r="C1903" s="452"/>
      <c r="D1903" s="452"/>
      <c r="E1903" s="453"/>
      <c r="F1903" s="453"/>
      <c r="G1903" s="454"/>
      <c r="H1903" s="454"/>
      <c r="I1903" s="455"/>
      <c r="J1903" s="456"/>
      <c r="K1903" s="457" t="s">
        <v>1416</v>
      </c>
      <c r="L1903" s="458"/>
      <c r="M1903" s="459"/>
      <c r="N1903" s="460"/>
      <c r="O1903" s="460"/>
      <c r="P1903" s="461"/>
      <c r="Q1903" s="458"/>
      <c r="R1903" s="459"/>
      <c r="S1903" s="459"/>
      <c r="T1903" s="459"/>
      <c r="U1903" s="459"/>
      <c r="V1903" s="459"/>
      <c r="W1903" s="459"/>
      <c r="X1903" s="459"/>
      <c r="Y1903" s="462">
        <f t="shared" si="17"/>
        <v>0</v>
      </c>
      <c r="Z1903" s="463"/>
      <c r="AA1903" s="464"/>
      <c r="AB1903" s="465"/>
      <c r="AC1903" s="465"/>
      <c r="AD1903" s="465"/>
      <c r="AE1903" s="466"/>
      <c r="AF1903" s="449"/>
      <c r="AG1903" s="449"/>
      <c r="AH1903" s="449"/>
    </row>
    <row r="1904" ht="11.25" customHeight="1">
      <c r="A1904" s="450"/>
      <c r="B1904" s="451"/>
      <c r="C1904" s="452"/>
      <c r="D1904" s="452"/>
      <c r="E1904" s="453"/>
      <c r="F1904" s="453"/>
      <c r="G1904" s="454"/>
      <c r="H1904" s="454"/>
      <c r="I1904" s="455"/>
      <c r="J1904" s="456"/>
      <c r="K1904" s="467" t="s">
        <v>1417</v>
      </c>
      <c r="L1904" s="468"/>
      <c r="M1904" s="469"/>
      <c r="N1904" s="470"/>
      <c r="O1904" s="470"/>
      <c r="P1904" s="471"/>
      <c r="Q1904" s="468"/>
      <c r="R1904" s="469"/>
      <c r="S1904" s="469"/>
      <c r="T1904" s="469"/>
      <c r="U1904" s="469"/>
      <c r="V1904" s="469"/>
      <c r="W1904" s="469"/>
      <c r="X1904" s="469"/>
      <c r="Y1904" s="462">
        <f t="shared" si="17"/>
        <v>0</v>
      </c>
      <c r="Z1904" s="463"/>
      <c r="AA1904" s="464"/>
      <c r="AB1904" s="465"/>
      <c r="AC1904" s="465"/>
      <c r="AD1904" s="465"/>
      <c r="AE1904" s="466"/>
      <c r="AF1904" s="449"/>
      <c r="AG1904" s="449"/>
      <c r="AH1904" s="449"/>
    </row>
    <row r="1905" ht="11.25" customHeight="1">
      <c r="A1905" s="450"/>
      <c r="B1905" s="472"/>
      <c r="C1905" s="473"/>
      <c r="D1905" s="473"/>
      <c r="E1905" s="474"/>
      <c r="F1905" s="474"/>
      <c r="G1905" s="475"/>
      <c r="H1905" s="475"/>
      <c r="I1905" s="476"/>
      <c r="J1905" s="477"/>
      <c r="K1905" s="478" t="s">
        <v>1418</v>
      </c>
      <c r="L1905" s="479"/>
      <c r="M1905" s="480"/>
      <c r="N1905" s="481"/>
      <c r="O1905" s="481"/>
      <c r="P1905" s="482"/>
      <c r="Q1905" s="479"/>
      <c r="R1905" s="480"/>
      <c r="S1905" s="480"/>
      <c r="T1905" s="480"/>
      <c r="U1905" s="480"/>
      <c r="V1905" s="480"/>
      <c r="W1905" s="480"/>
      <c r="X1905" s="480"/>
      <c r="Y1905" s="483">
        <f t="shared" si="17"/>
        <v>0</v>
      </c>
      <c r="Z1905" s="484"/>
      <c r="AA1905" s="485"/>
      <c r="AB1905" s="486"/>
      <c r="AC1905" s="486"/>
      <c r="AD1905" s="486"/>
      <c r="AE1905" s="487"/>
      <c r="AF1905" s="449"/>
      <c r="AG1905" s="449"/>
      <c r="AH1905" s="449"/>
    </row>
    <row r="1906" ht="11.25" customHeight="1">
      <c r="A1906" s="431" t="str">
        <f>IF(B1906="","", YEAR(B1906))</f>
        <v/>
      </c>
      <c r="B1906" s="432"/>
      <c r="C1906" s="433"/>
      <c r="D1906" s="433"/>
      <c r="E1906" s="434" t="str">
        <f t="shared" ref="E1906:I1906" si="960">IFERROR(AVERAGE(L1906:L1909),"")</f>
        <v/>
      </c>
      <c r="F1906" s="434" t="str">
        <f t="shared" si="960"/>
        <v/>
      </c>
      <c r="G1906" s="435" t="str">
        <f t="shared" si="960"/>
        <v/>
      </c>
      <c r="H1906" s="435" t="str">
        <f t="shared" si="960"/>
        <v/>
      </c>
      <c r="I1906" s="436" t="str">
        <f t="shared" si="960"/>
        <v/>
      </c>
      <c r="J1906" s="437">
        <f>SUMIFS(PRODUCTION[KG],PRODUCTION[GRADE],"3X50",PRODUCTION[DATE],B1906,PRODUCTION[BATCH],C1906,PRODUCTION[SHIFT],D1906)</f>
        <v>0</v>
      </c>
      <c r="K1906" s="438" t="s">
        <v>1414</v>
      </c>
      <c r="L1906" s="443"/>
      <c r="M1906" s="440"/>
      <c r="N1906" s="441"/>
      <c r="O1906" s="441"/>
      <c r="P1906" s="442"/>
      <c r="Q1906" s="443"/>
      <c r="R1906" s="440"/>
      <c r="S1906" s="440"/>
      <c r="T1906" s="440"/>
      <c r="U1906" s="440"/>
      <c r="V1906" s="440"/>
      <c r="W1906" s="440"/>
      <c r="X1906" s="440"/>
      <c r="Y1906" s="444">
        <f t="shared" si="17"/>
        <v>0</v>
      </c>
      <c r="Z1906" s="445"/>
      <c r="AA1906" s="446">
        <f t="shared" ref="AA1906:AE1906" si="961">$J1906*E1906</f>
        <v>0</v>
      </c>
      <c r="AB1906" s="447">
        <f t="shared" si="961"/>
        <v>0</v>
      </c>
      <c r="AC1906" s="447">
        <f t="shared" si="961"/>
        <v>0</v>
      </c>
      <c r="AD1906" s="447">
        <f t="shared" si="961"/>
        <v>0</v>
      </c>
      <c r="AE1906" s="448">
        <f t="shared" si="961"/>
        <v>0</v>
      </c>
      <c r="AF1906" s="449"/>
      <c r="AG1906" s="449"/>
      <c r="AH1906" s="449"/>
    </row>
    <row r="1907" ht="11.25" customHeight="1">
      <c r="A1907" s="450"/>
      <c r="B1907" s="451"/>
      <c r="C1907" s="452"/>
      <c r="D1907" s="452"/>
      <c r="E1907" s="453"/>
      <c r="F1907" s="453"/>
      <c r="G1907" s="454"/>
      <c r="H1907" s="454"/>
      <c r="I1907" s="455"/>
      <c r="J1907" s="456"/>
      <c r="K1907" s="457" t="s">
        <v>1416</v>
      </c>
      <c r="L1907" s="458"/>
      <c r="M1907" s="459"/>
      <c r="N1907" s="460"/>
      <c r="O1907" s="460"/>
      <c r="P1907" s="461"/>
      <c r="Q1907" s="458"/>
      <c r="R1907" s="459"/>
      <c r="S1907" s="459"/>
      <c r="T1907" s="459"/>
      <c r="U1907" s="459"/>
      <c r="V1907" s="459"/>
      <c r="W1907" s="459"/>
      <c r="X1907" s="459"/>
      <c r="Y1907" s="462">
        <f t="shared" si="17"/>
        <v>0</v>
      </c>
      <c r="Z1907" s="463"/>
      <c r="AA1907" s="464"/>
      <c r="AB1907" s="465"/>
      <c r="AC1907" s="465"/>
      <c r="AD1907" s="465"/>
      <c r="AE1907" s="466"/>
      <c r="AF1907" s="449"/>
      <c r="AG1907" s="449"/>
      <c r="AH1907" s="449"/>
    </row>
    <row r="1908" ht="11.25" customHeight="1">
      <c r="A1908" s="450"/>
      <c r="B1908" s="451"/>
      <c r="C1908" s="452"/>
      <c r="D1908" s="452"/>
      <c r="E1908" s="453"/>
      <c r="F1908" s="453"/>
      <c r="G1908" s="454"/>
      <c r="H1908" s="454"/>
      <c r="I1908" s="455"/>
      <c r="J1908" s="456"/>
      <c r="K1908" s="467" t="s">
        <v>1417</v>
      </c>
      <c r="L1908" s="468"/>
      <c r="M1908" s="469"/>
      <c r="N1908" s="470"/>
      <c r="O1908" s="470"/>
      <c r="P1908" s="471"/>
      <c r="Q1908" s="468"/>
      <c r="R1908" s="469"/>
      <c r="S1908" s="469"/>
      <c r="T1908" s="469"/>
      <c r="U1908" s="469"/>
      <c r="V1908" s="469"/>
      <c r="W1908" s="469"/>
      <c r="X1908" s="469"/>
      <c r="Y1908" s="462">
        <f t="shared" si="17"/>
        <v>0</v>
      </c>
      <c r="Z1908" s="463"/>
      <c r="AA1908" s="464"/>
      <c r="AB1908" s="465"/>
      <c r="AC1908" s="465"/>
      <c r="AD1908" s="465"/>
      <c r="AE1908" s="466"/>
      <c r="AF1908" s="449"/>
      <c r="AG1908" s="449"/>
      <c r="AH1908" s="449"/>
    </row>
    <row r="1909" ht="11.25" customHeight="1">
      <c r="A1909" s="450"/>
      <c r="B1909" s="472"/>
      <c r="C1909" s="473"/>
      <c r="D1909" s="473"/>
      <c r="E1909" s="474"/>
      <c r="F1909" s="474"/>
      <c r="G1909" s="475"/>
      <c r="H1909" s="475"/>
      <c r="I1909" s="476"/>
      <c r="J1909" s="477"/>
      <c r="K1909" s="478" t="s">
        <v>1418</v>
      </c>
      <c r="L1909" s="479"/>
      <c r="M1909" s="480"/>
      <c r="N1909" s="481"/>
      <c r="O1909" s="481"/>
      <c r="P1909" s="482"/>
      <c r="Q1909" s="479"/>
      <c r="R1909" s="480"/>
      <c r="S1909" s="480"/>
      <c r="T1909" s="480"/>
      <c r="U1909" s="480"/>
      <c r="V1909" s="480"/>
      <c r="W1909" s="480"/>
      <c r="X1909" s="480"/>
      <c r="Y1909" s="483">
        <f t="shared" si="17"/>
        <v>0</v>
      </c>
      <c r="Z1909" s="484"/>
      <c r="AA1909" s="485"/>
      <c r="AB1909" s="486"/>
      <c r="AC1909" s="486"/>
      <c r="AD1909" s="486"/>
      <c r="AE1909" s="487"/>
      <c r="AF1909" s="449"/>
      <c r="AG1909" s="449"/>
      <c r="AH1909" s="449"/>
    </row>
    <row r="1910" ht="11.25" customHeight="1">
      <c r="A1910" s="431" t="str">
        <f>IF(B1910="","", YEAR(B1910))</f>
        <v/>
      </c>
      <c r="B1910" s="432"/>
      <c r="C1910" s="433"/>
      <c r="D1910" s="433"/>
      <c r="E1910" s="434" t="str">
        <f t="shared" ref="E1910:I1910" si="962">IFERROR(AVERAGE(L1910:L1913),"")</f>
        <v/>
      </c>
      <c r="F1910" s="434" t="str">
        <f t="shared" si="962"/>
        <v/>
      </c>
      <c r="G1910" s="435" t="str">
        <f t="shared" si="962"/>
        <v/>
      </c>
      <c r="H1910" s="435" t="str">
        <f t="shared" si="962"/>
        <v/>
      </c>
      <c r="I1910" s="436" t="str">
        <f t="shared" si="962"/>
        <v/>
      </c>
      <c r="J1910" s="437">
        <f>SUMIFS(PRODUCTION[KG],PRODUCTION[GRADE],"3X50",PRODUCTION[DATE],B1910,PRODUCTION[BATCH],C1910,PRODUCTION[SHIFT],D1910)</f>
        <v>0</v>
      </c>
      <c r="K1910" s="438" t="s">
        <v>1414</v>
      </c>
      <c r="L1910" s="443"/>
      <c r="M1910" s="440"/>
      <c r="N1910" s="441"/>
      <c r="O1910" s="441"/>
      <c r="P1910" s="442"/>
      <c r="Q1910" s="443"/>
      <c r="R1910" s="440"/>
      <c r="S1910" s="440"/>
      <c r="T1910" s="440"/>
      <c r="U1910" s="440"/>
      <c r="V1910" s="440"/>
      <c r="W1910" s="440"/>
      <c r="X1910" s="440"/>
      <c r="Y1910" s="444">
        <f t="shared" si="17"/>
        <v>0</v>
      </c>
      <c r="Z1910" s="445"/>
      <c r="AA1910" s="446">
        <f t="shared" ref="AA1910:AE1910" si="963">$J1910*E1910</f>
        <v>0</v>
      </c>
      <c r="AB1910" s="447">
        <f t="shared" si="963"/>
        <v>0</v>
      </c>
      <c r="AC1910" s="447">
        <f t="shared" si="963"/>
        <v>0</v>
      </c>
      <c r="AD1910" s="447">
        <f t="shared" si="963"/>
        <v>0</v>
      </c>
      <c r="AE1910" s="448">
        <f t="shared" si="963"/>
        <v>0</v>
      </c>
      <c r="AF1910" s="449"/>
      <c r="AG1910" s="449"/>
      <c r="AH1910" s="449"/>
    </row>
    <row r="1911" ht="11.25" customHeight="1">
      <c r="A1911" s="450"/>
      <c r="B1911" s="451"/>
      <c r="C1911" s="452"/>
      <c r="D1911" s="452"/>
      <c r="E1911" s="453"/>
      <c r="F1911" s="453"/>
      <c r="G1911" s="454"/>
      <c r="H1911" s="454"/>
      <c r="I1911" s="455"/>
      <c r="J1911" s="456"/>
      <c r="K1911" s="457" t="s">
        <v>1416</v>
      </c>
      <c r="L1911" s="458"/>
      <c r="M1911" s="459"/>
      <c r="N1911" s="460"/>
      <c r="O1911" s="460"/>
      <c r="P1911" s="461"/>
      <c r="Q1911" s="458"/>
      <c r="R1911" s="459"/>
      <c r="S1911" s="459"/>
      <c r="T1911" s="459"/>
      <c r="U1911" s="459"/>
      <c r="V1911" s="459"/>
      <c r="W1911" s="459"/>
      <c r="X1911" s="459"/>
      <c r="Y1911" s="462">
        <f t="shared" si="17"/>
        <v>0</v>
      </c>
      <c r="Z1911" s="463"/>
      <c r="AA1911" s="464"/>
      <c r="AB1911" s="465"/>
      <c r="AC1911" s="465"/>
      <c r="AD1911" s="465"/>
      <c r="AE1911" s="466"/>
      <c r="AF1911" s="449"/>
      <c r="AG1911" s="449"/>
      <c r="AH1911" s="449"/>
    </row>
    <row r="1912" ht="11.25" customHeight="1">
      <c r="A1912" s="450"/>
      <c r="B1912" s="451"/>
      <c r="C1912" s="452"/>
      <c r="D1912" s="452"/>
      <c r="E1912" s="453"/>
      <c r="F1912" s="453"/>
      <c r="G1912" s="454"/>
      <c r="H1912" s="454"/>
      <c r="I1912" s="455"/>
      <c r="J1912" s="456"/>
      <c r="K1912" s="467" t="s">
        <v>1417</v>
      </c>
      <c r="L1912" s="468"/>
      <c r="M1912" s="469"/>
      <c r="N1912" s="470"/>
      <c r="O1912" s="470"/>
      <c r="P1912" s="471"/>
      <c r="Q1912" s="468"/>
      <c r="R1912" s="469"/>
      <c r="S1912" s="469"/>
      <c r="T1912" s="469"/>
      <c r="U1912" s="469"/>
      <c r="V1912" s="469"/>
      <c r="W1912" s="469"/>
      <c r="X1912" s="469"/>
      <c r="Y1912" s="462">
        <f t="shared" si="17"/>
        <v>0</v>
      </c>
      <c r="Z1912" s="463"/>
      <c r="AA1912" s="464"/>
      <c r="AB1912" s="465"/>
      <c r="AC1912" s="465"/>
      <c r="AD1912" s="465"/>
      <c r="AE1912" s="466"/>
      <c r="AF1912" s="449"/>
      <c r="AG1912" s="449"/>
      <c r="AH1912" s="449"/>
    </row>
    <row r="1913" ht="11.25" customHeight="1">
      <c r="A1913" s="450"/>
      <c r="B1913" s="472"/>
      <c r="C1913" s="473"/>
      <c r="D1913" s="473"/>
      <c r="E1913" s="474"/>
      <c r="F1913" s="474"/>
      <c r="G1913" s="475"/>
      <c r="H1913" s="475"/>
      <c r="I1913" s="476"/>
      <c r="J1913" s="477"/>
      <c r="K1913" s="478" t="s">
        <v>1418</v>
      </c>
      <c r="L1913" s="479"/>
      <c r="M1913" s="480"/>
      <c r="N1913" s="481"/>
      <c r="O1913" s="481"/>
      <c r="P1913" s="482"/>
      <c r="Q1913" s="479"/>
      <c r="R1913" s="480"/>
      <c r="S1913" s="480"/>
      <c r="T1913" s="480"/>
      <c r="U1913" s="480"/>
      <c r="V1913" s="480"/>
      <c r="W1913" s="480"/>
      <c r="X1913" s="480"/>
      <c r="Y1913" s="483">
        <f t="shared" si="17"/>
        <v>0</v>
      </c>
      <c r="Z1913" s="484"/>
      <c r="AA1913" s="485"/>
      <c r="AB1913" s="486"/>
      <c r="AC1913" s="486"/>
      <c r="AD1913" s="486"/>
      <c r="AE1913" s="487"/>
      <c r="AF1913" s="449"/>
      <c r="AG1913" s="449"/>
      <c r="AH1913" s="449"/>
    </row>
    <row r="1914" ht="11.25" customHeight="1">
      <c r="A1914" s="431" t="str">
        <f>IF(B1914="","", YEAR(B1914))</f>
        <v/>
      </c>
      <c r="B1914" s="432"/>
      <c r="C1914" s="433"/>
      <c r="D1914" s="433"/>
      <c r="E1914" s="434" t="str">
        <f t="shared" ref="E1914:I1914" si="964">IFERROR(AVERAGE(L1914:L1917),"")</f>
        <v/>
      </c>
      <c r="F1914" s="434" t="str">
        <f t="shared" si="964"/>
        <v/>
      </c>
      <c r="G1914" s="435" t="str">
        <f t="shared" si="964"/>
        <v/>
      </c>
      <c r="H1914" s="435" t="str">
        <f t="shared" si="964"/>
        <v/>
      </c>
      <c r="I1914" s="436" t="str">
        <f t="shared" si="964"/>
        <v/>
      </c>
      <c r="J1914" s="437">
        <f>SUMIFS(PRODUCTION[KG],PRODUCTION[GRADE],"3X50",PRODUCTION[DATE],B1914,PRODUCTION[BATCH],C1914,PRODUCTION[SHIFT],D1914)</f>
        <v>0</v>
      </c>
      <c r="K1914" s="438" t="s">
        <v>1414</v>
      </c>
      <c r="L1914" s="443"/>
      <c r="M1914" s="440"/>
      <c r="N1914" s="441"/>
      <c r="O1914" s="441"/>
      <c r="P1914" s="442"/>
      <c r="Q1914" s="443"/>
      <c r="R1914" s="440"/>
      <c r="S1914" s="440"/>
      <c r="T1914" s="440"/>
      <c r="U1914" s="440"/>
      <c r="V1914" s="440"/>
      <c r="W1914" s="440"/>
      <c r="X1914" s="440"/>
      <c r="Y1914" s="444">
        <f t="shared" si="17"/>
        <v>0</v>
      </c>
      <c r="Z1914" s="445"/>
      <c r="AA1914" s="446">
        <f t="shared" ref="AA1914:AE1914" si="965">$J1914*E1914</f>
        <v>0</v>
      </c>
      <c r="AB1914" s="447">
        <f t="shared" si="965"/>
        <v>0</v>
      </c>
      <c r="AC1914" s="447">
        <f t="shared" si="965"/>
        <v>0</v>
      </c>
      <c r="AD1914" s="447">
        <f t="shared" si="965"/>
        <v>0</v>
      </c>
      <c r="AE1914" s="448">
        <f t="shared" si="965"/>
        <v>0</v>
      </c>
      <c r="AF1914" s="449"/>
      <c r="AG1914" s="449"/>
      <c r="AH1914" s="449"/>
    </row>
    <row r="1915" ht="11.25" customHeight="1">
      <c r="A1915" s="450"/>
      <c r="B1915" s="451"/>
      <c r="C1915" s="452"/>
      <c r="D1915" s="452"/>
      <c r="E1915" s="453"/>
      <c r="F1915" s="453"/>
      <c r="G1915" s="454"/>
      <c r="H1915" s="454"/>
      <c r="I1915" s="455"/>
      <c r="J1915" s="456"/>
      <c r="K1915" s="457" t="s">
        <v>1416</v>
      </c>
      <c r="L1915" s="458"/>
      <c r="M1915" s="459"/>
      <c r="N1915" s="460"/>
      <c r="O1915" s="460"/>
      <c r="P1915" s="461"/>
      <c r="Q1915" s="458"/>
      <c r="R1915" s="459"/>
      <c r="S1915" s="459"/>
      <c r="T1915" s="459"/>
      <c r="U1915" s="459"/>
      <c r="V1915" s="459"/>
      <c r="W1915" s="459"/>
      <c r="X1915" s="459"/>
      <c r="Y1915" s="462">
        <f t="shared" si="17"/>
        <v>0</v>
      </c>
      <c r="Z1915" s="463"/>
      <c r="AA1915" s="464"/>
      <c r="AB1915" s="465"/>
      <c r="AC1915" s="465"/>
      <c r="AD1915" s="465"/>
      <c r="AE1915" s="466"/>
      <c r="AF1915" s="449"/>
      <c r="AG1915" s="449"/>
      <c r="AH1915" s="449"/>
    </row>
    <row r="1916" ht="11.25" customHeight="1">
      <c r="A1916" s="450"/>
      <c r="B1916" s="451"/>
      <c r="C1916" s="452"/>
      <c r="D1916" s="452"/>
      <c r="E1916" s="453"/>
      <c r="F1916" s="453"/>
      <c r="G1916" s="454"/>
      <c r="H1916" s="454"/>
      <c r="I1916" s="455"/>
      <c r="J1916" s="456"/>
      <c r="K1916" s="467" t="s">
        <v>1417</v>
      </c>
      <c r="L1916" s="468"/>
      <c r="M1916" s="469"/>
      <c r="N1916" s="470"/>
      <c r="O1916" s="470"/>
      <c r="P1916" s="471"/>
      <c r="Q1916" s="468"/>
      <c r="R1916" s="469"/>
      <c r="S1916" s="469"/>
      <c r="T1916" s="469"/>
      <c r="U1916" s="469"/>
      <c r="V1916" s="469"/>
      <c r="W1916" s="469"/>
      <c r="X1916" s="469"/>
      <c r="Y1916" s="462">
        <f t="shared" si="17"/>
        <v>0</v>
      </c>
      <c r="Z1916" s="463"/>
      <c r="AA1916" s="464"/>
      <c r="AB1916" s="465"/>
      <c r="AC1916" s="465"/>
      <c r="AD1916" s="465"/>
      <c r="AE1916" s="466"/>
      <c r="AF1916" s="449"/>
      <c r="AG1916" s="449"/>
      <c r="AH1916" s="449"/>
    </row>
    <row r="1917" ht="11.25" customHeight="1">
      <c r="A1917" s="450"/>
      <c r="B1917" s="472"/>
      <c r="C1917" s="473"/>
      <c r="D1917" s="473"/>
      <c r="E1917" s="474"/>
      <c r="F1917" s="474"/>
      <c r="G1917" s="475"/>
      <c r="H1917" s="475"/>
      <c r="I1917" s="476"/>
      <c r="J1917" s="477"/>
      <c r="K1917" s="478" t="s">
        <v>1418</v>
      </c>
      <c r="L1917" s="479"/>
      <c r="M1917" s="480"/>
      <c r="N1917" s="481"/>
      <c r="O1917" s="481"/>
      <c r="P1917" s="482"/>
      <c r="Q1917" s="479"/>
      <c r="R1917" s="480"/>
      <c r="S1917" s="480"/>
      <c r="T1917" s="480"/>
      <c r="U1917" s="480"/>
      <c r="V1917" s="480"/>
      <c r="W1917" s="480"/>
      <c r="X1917" s="480"/>
      <c r="Y1917" s="483">
        <f t="shared" si="17"/>
        <v>0</v>
      </c>
      <c r="Z1917" s="484"/>
      <c r="AA1917" s="485"/>
      <c r="AB1917" s="486"/>
      <c r="AC1917" s="486"/>
      <c r="AD1917" s="486"/>
      <c r="AE1917" s="487"/>
      <c r="AF1917" s="449"/>
      <c r="AG1917" s="449"/>
      <c r="AH1917" s="449"/>
    </row>
    <row r="1918" ht="11.25" customHeight="1">
      <c r="A1918" s="431" t="str">
        <f>IF(B1918="","", YEAR(B1918))</f>
        <v/>
      </c>
      <c r="B1918" s="432"/>
      <c r="C1918" s="433"/>
      <c r="D1918" s="433"/>
      <c r="E1918" s="434" t="str">
        <f t="shared" ref="E1918:I1918" si="966">IFERROR(AVERAGE(L1918:L1921),"")</f>
        <v/>
      </c>
      <c r="F1918" s="434" t="str">
        <f t="shared" si="966"/>
        <v/>
      </c>
      <c r="G1918" s="435" t="str">
        <f t="shared" si="966"/>
        <v/>
      </c>
      <c r="H1918" s="435" t="str">
        <f t="shared" si="966"/>
        <v/>
      </c>
      <c r="I1918" s="436" t="str">
        <f t="shared" si="966"/>
        <v/>
      </c>
      <c r="J1918" s="437">
        <f>SUMIFS(PRODUCTION[KG],PRODUCTION[GRADE],"3X50",PRODUCTION[DATE],B1918,PRODUCTION[BATCH],C1918,PRODUCTION[SHIFT],D1918)</f>
        <v>0</v>
      </c>
      <c r="K1918" s="438" t="s">
        <v>1414</v>
      </c>
      <c r="L1918" s="443"/>
      <c r="M1918" s="440"/>
      <c r="N1918" s="441"/>
      <c r="O1918" s="441"/>
      <c r="P1918" s="442"/>
      <c r="Q1918" s="443"/>
      <c r="R1918" s="440"/>
      <c r="S1918" s="440"/>
      <c r="T1918" s="440"/>
      <c r="U1918" s="440"/>
      <c r="V1918" s="440"/>
      <c r="W1918" s="440"/>
      <c r="X1918" s="440"/>
      <c r="Y1918" s="444">
        <f t="shared" si="17"/>
        <v>0</v>
      </c>
      <c r="Z1918" s="445"/>
      <c r="AA1918" s="446">
        <f t="shared" ref="AA1918:AE1918" si="967">$J1918*E1918</f>
        <v>0</v>
      </c>
      <c r="AB1918" s="447">
        <f t="shared" si="967"/>
        <v>0</v>
      </c>
      <c r="AC1918" s="447">
        <f t="shared" si="967"/>
        <v>0</v>
      </c>
      <c r="AD1918" s="447">
        <f t="shared" si="967"/>
        <v>0</v>
      </c>
      <c r="AE1918" s="448">
        <f t="shared" si="967"/>
        <v>0</v>
      </c>
      <c r="AF1918" s="449"/>
      <c r="AG1918" s="449"/>
      <c r="AH1918" s="449"/>
    </row>
    <row r="1919" ht="11.25" customHeight="1">
      <c r="A1919" s="450"/>
      <c r="B1919" s="451"/>
      <c r="C1919" s="452"/>
      <c r="D1919" s="452"/>
      <c r="E1919" s="453"/>
      <c r="F1919" s="453"/>
      <c r="G1919" s="454"/>
      <c r="H1919" s="454"/>
      <c r="I1919" s="455"/>
      <c r="J1919" s="456"/>
      <c r="K1919" s="457" t="s">
        <v>1416</v>
      </c>
      <c r="L1919" s="458"/>
      <c r="M1919" s="459"/>
      <c r="N1919" s="460"/>
      <c r="O1919" s="460"/>
      <c r="P1919" s="461"/>
      <c r="Q1919" s="458"/>
      <c r="R1919" s="459"/>
      <c r="S1919" s="459"/>
      <c r="T1919" s="459"/>
      <c r="U1919" s="459"/>
      <c r="V1919" s="459"/>
      <c r="W1919" s="459"/>
      <c r="X1919" s="459"/>
      <c r="Y1919" s="462">
        <f t="shared" si="17"/>
        <v>0</v>
      </c>
      <c r="Z1919" s="463"/>
      <c r="AA1919" s="464"/>
      <c r="AB1919" s="465"/>
      <c r="AC1919" s="465"/>
      <c r="AD1919" s="465"/>
      <c r="AE1919" s="466"/>
      <c r="AF1919" s="449"/>
      <c r="AG1919" s="449"/>
      <c r="AH1919" s="449"/>
    </row>
    <row r="1920" ht="11.25" customHeight="1">
      <c r="A1920" s="450"/>
      <c r="B1920" s="451"/>
      <c r="C1920" s="452"/>
      <c r="D1920" s="452"/>
      <c r="E1920" s="453"/>
      <c r="F1920" s="453"/>
      <c r="G1920" s="454"/>
      <c r="H1920" s="454"/>
      <c r="I1920" s="455"/>
      <c r="J1920" s="456"/>
      <c r="K1920" s="467" t="s">
        <v>1417</v>
      </c>
      <c r="L1920" s="468"/>
      <c r="M1920" s="469"/>
      <c r="N1920" s="470"/>
      <c r="O1920" s="470"/>
      <c r="P1920" s="471"/>
      <c r="Q1920" s="468"/>
      <c r="R1920" s="469"/>
      <c r="S1920" s="469"/>
      <c r="T1920" s="469"/>
      <c r="U1920" s="469"/>
      <c r="V1920" s="469"/>
      <c r="W1920" s="469"/>
      <c r="X1920" s="469"/>
      <c r="Y1920" s="462">
        <f t="shared" si="17"/>
        <v>0</v>
      </c>
      <c r="Z1920" s="463"/>
      <c r="AA1920" s="464"/>
      <c r="AB1920" s="465"/>
      <c r="AC1920" s="465"/>
      <c r="AD1920" s="465"/>
      <c r="AE1920" s="466"/>
      <c r="AF1920" s="449"/>
      <c r="AG1920" s="449"/>
      <c r="AH1920" s="449"/>
    </row>
    <row r="1921" ht="11.25" customHeight="1">
      <c r="A1921" s="450"/>
      <c r="B1921" s="472"/>
      <c r="C1921" s="473"/>
      <c r="D1921" s="473"/>
      <c r="E1921" s="474"/>
      <c r="F1921" s="474"/>
      <c r="G1921" s="475"/>
      <c r="H1921" s="475"/>
      <c r="I1921" s="476"/>
      <c r="J1921" s="477"/>
      <c r="K1921" s="478" t="s">
        <v>1418</v>
      </c>
      <c r="L1921" s="479"/>
      <c r="M1921" s="480"/>
      <c r="N1921" s="481"/>
      <c r="O1921" s="481"/>
      <c r="P1921" s="482"/>
      <c r="Q1921" s="479"/>
      <c r="R1921" s="480"/>
      <c r="S1921" s="480"/>
      <c r="T1921" s="480"/>
      <c r="U1921" s="480"/>
      <c r="V1921" s="480"/>
      <c r="W1921" s="480"/>
      <c r="X1921" s="480"/>
      <c r="Y1921" s="483">
        <f t="shared" si="17"/>
        <v>0</v>
      </c>
      <c r="Z1921" s="484"/>
      <c r="AA1921" s="485"/>
      <c r="AB1921" s="486"/>
      <c r="AC1921" s="486"/>
      <c r="AD1921" s="486"/>
      <c r="AE1921" s="487"/>
      <c r="AF1921" s="449"/>
      <c r="AG1921" s="449"/>
      <c r="AH1921" s="449"/>
    </row>
    <row r="1922" ht="11.25" customHeight="1">
      <c r="A1922" s="431" t="str">
        <f>IF(B1922="","", YEAR(B1922))</f>
        <v/>
      </c>
      <c r="B1922" s="432"/>
      <c r="C1922" s="433"/>
      <c r="D1922" s="433"/>
      <c r="E1922" s="434" t="str">
        <f t="shared" ref="E1922:I1922" si="968">IFERROR(AVERAGE(L1922:L1925),"")</f>
        <v/>
      </c>
      <c r="F1922" s="434" t="str">
        <f t="shared" si="968"/>
        <v/>
      </c>
      <c r="G1922" s="435" t="str">
        <f t="shared" si="968"/>
        <v/>
      </c>
      <c r="H1922" s="435" t="str">
        <f t="shared" si="968"/>
        <v/>
      </c>
      <c r="I1922" s="436" t="str">
        <f t="shared" si="968"/>
        <v/>
      </c>
      <c r="J1922" s="437">
        <f>SUMIFS(PRODUCTION[KG],PRODUCTION[GRADE],"3X50",PRODUCTION[DATE],B1922,PRODUCTION[BATCH],C1922,PRODUCTION[SHIFT],D1922)</f>
        <v>0</v>
      </c>
      <c r="K1922" s="438" t="s">
        <v>1414</v>
      </c>
      <c r="L1922" s="443"/>
      <c r="M1922" s="440"/>
      <c r="N1922" s="441"/>
      <c r="O1922" s="441"/>
      <c r="P1922" s="442"/>
      <c r="Q1922" s="443"/>
      <c r="R1922" s="440"/>
      <c r="S1922" s="440"/>
      <c r="T1922" s="440"/>
      <c r="U1922" s="440"/>
      <c r="V1922" s="440"/>
      <c r="W1922" s="440"/>
      <c r="X1922" s="440"/>
      <c r="Y1922" s="444">
        <f t="shared" si="17"/>
        <v>0</v>
      </c>
      <c r="Z1922" s="445"/>
      <c r="AA1922" s="446">
        <f t="shared" ref="AA1922:AE1922" si="969">$J1922*E1922</f>
        <v>0</v>
      </c>
      <c r="AB1922" s="447">
        <f t="shared" si="969"/>
        <v>0</v>
      </c>
      <c r="AC1922" s="447">
        <f t="shared" si="969"/>
        <v>0</v>
      </c>
      <c r="AD1922" s="447">
        <f t="shared" si="969"/>
        <v>0</v>
      </c>
      <c r="AE1922" s="448">
        <f t="shared" si="969"/>
        <v>0</v>
      </c>
      <c r="AF1922" s="449"/>
      <c r="AG1922" s="449"/>
      <c r="AH1922" s="449"/>
    </row>
    <row r="1923" ht="11.25" customHeight="1">
      <c r="A1923" s="450"/>
      <c r="B1923" s="451"/>
      <c r="C1923" s="452"/>
      <c r="D1923" s="452"/>
      <c r="E1923" s="453"/>
      <c r="F1923" s="453"/>
      <c r="G1923" s="454"/>
      <c r="H1923" s="454"/>
      <c r="I1923" s="455"/>
      <c r="J1923" s="456"/>
      <c r="K1923" s="457" t="s">
        <v>1416</v>
      </c>
      <c r="L1923" s="458"/>
      <c r="M1923" s="459"/>
      <c r="N1923" s="460"/>
      <c r="O1923" s="460"/>
      <c r="P1923" s="461"/>
      <c r="Q1923" s="458"/>
      <c r="R1923" s="459"/>
      <c r="S1923" s="459"/>
      <c r="T1923" s="459"/>
      <c r="U1923" s="459"/>
      <c r="V1923" s="459"/>
      <c r="W1923" s="459"/>
      <c r="X1923" s="459"/>
      <c r="Y1923" s="462">
        <f t="shared" si="17"/>
        <v>0</v>
      </c>
      <c r="Z1923" s="463"/>
      <c r="AA1923" s="464"/>
      <c r="AB1923" s="465"/>
      <c r="AC1923" s="465"/>
      <c r="AD1923" s="465"/>
      <c r="AE1923" s="466"/>
      <c r="AF1923" s="449"/>
      <c r="AG1923" s="449"/>
      <c r="AH1923" s="449"/>
    </row>
    <row r="1924" ht="11.25" customHeight="1">
      <c r="A1924" s="450"/>
      <c r="B1924" s="451"/>
      <c r="C1924" s="452"/>
      <c r="D1924" s="452"/>
      <c r="E1924" s="453"/>
      <c r="F1924" s="453"/>
      <c r="G1924" s="454"/>
      <c r="H1924" s="454"/>
      <c r="I1924" s="455"/>
      <c r="J1924" s="456"/>
      <c r="K1924" s="467" t="s">
        <v>1417</v>
      </c>
      <c r="L1924" s="468"/>
      <c r="M1924" s="469"/>
      <c r="N1924" s="470"/>
      <c r="O1924" s="470"/>
      <c r="P1924" s="471"/>
      <c r="Q1924" s="468"/>
      <c r="R1924" s="469"/>
      <c r="S1924" s="469"/>
      <c r="T1924" s="469"/>
      <c r="U1924" s="469"/>
      <c r="V1924" s="469"/>
      <c r="W1924" s="469"/>
      <c r="X1924" s="469"/>
      <c r="Y1924" s="462">
        <f t="shared" si="17"/>
        <v>0</v>
      </c>
      <c r="Z1924" s="463"/>
      <c r="AA1924" s="464"/>
      <c r="AB1924" s="465"/>
      <c r="AC1924" s="465"/>
      <c r="AD1924" s="465"/>
      <c r="AE1924" s="466"/>
      <c r="AF1924" s="449"/>
      <c r="AG1924" s="449"/>
      <c r="AH1924" s="449"/>
    </row>
    <row r="1925" ht="11.25" customHeight="1">
      <c r="A1925" s="450"/>
      <c r="B1925" s="472"/>
      <c r="C1925" s="473"/>
      <c r="D1925" s="473"/>
      <c r="E1925" s="474"/>
      <c r="F1925" s="474"/>
      <c r="G1925" s="475"/>
      <c r="H1925" s="475"/>
      <c r="I1925" s="476"/>
      <c r="J1925" s="477"/>
      <c r="K1925" s="478" t="s">
        <v>1418</v>
      </c>
      <c r="L1925" s="479"/>
      <c r="M1925" s="480"/>
      <c r="N1925" s="481"/>
      <c r="O1925" s="481"/>
      <c r="P1925" s="482"/>
      <c r="Q1925" s="479"/>
      <c r="R1925" s="480"/>
      <c r="S1925" s="480"/>
      <c r="T1925" s="480"/>
      <c r="U1925" s="480"/>
      <c r="V1925" s="480"/>
      <c r="W1925" s="480"/>
      <c r="X1925" s="480"/>
      <c r="Y1925" s="483">
        <f t="shared" si="17"/>
        <v>0</v>
      </c>
      <c r="Z1925" s="484"/>
      <c r="AA1925" s="485"/>
      <c r="AB1925" s="486"/>
      <c r="AC1925" s="486"/>
      <c r="AD1925" s="486"/>
      <c r="AE1925" s="487"/>
      <c r="AF1925" s="449"/>
      <c r="AG1925" s="449"/>
      <c r="AH1925" s="449"/>
    </row>
    <row r="1926" ht="11.25" customHeight="1">
      <c r="A1926" s="431" t="str">
        <f>IF(B1926="","", YEAR(B1926))</f>
        <v/>
      </c>
      <c r="B1926" s="432"/>
      <c r="C1926" s="433"/>
      <c r="D1926" s="433"/>
      <c r="E1926" s="434" t="str">
        <f t="shared" ref="E1926:I1926" si="970">IFERROR(AVERAGE(L1926:L1929),"")</f>
        <v/>
      </c>
      <c r="F1926" s="434" t="str">
        <f t="shared" si="970"/>
        <v/>
      </c>
      <c r="G1926" s="435" t="str">
        <f t="shared" si="970"/>
        <v/>
      </c>
      <c r="H1926" s="435" t="str">
        <f t="shared" si="970"/>
        <v/>
      </c>
      <c r="I1926" s="436" t="str">
        <f t="shared" si="970"/>
        <v/>
      </c>
      <c r="J1926" s="437">
        <f>SUMIFS(PRODUCTION[KG],PRODUCTION[GRADE],"3X50",PRODUCTION[DATE],B1926,PRODUCTION[BATCH],C1926,PRODUCTION[SHIFT],D1926)</f>
        <v>0</v>
      </c>
      <c r="K1926" s="438" t="s">
        <v>1414</v>
      </c>
      <c r="L1926" s="443"/>
      <c r="M1926" s="440"/>
      <c r="N1926" s="441"/>
      <c r="O1926" s="441"/>
      <c r="P1926" s="442"/>
      <c r="Q1926" s="443"/>
      <c r="R1926" s="440"/>
      <c r="S1926" s="440"/>
      <c r="T1926" s="440"/>
      <c r="U1926" s="440"/>
      <c r="V1926" s="440"/>
      <c r="W1926" s="440"/>
      <c r="X1926" s="440"/>
      <c r="Y1926" s="444">
        <f t="shared" si="17"/>
        <v>0</v>
      </c>
      <c r="Z1926" s="445"/>
      <c r="AA1926" s="446">
        <f t="shared" ref="AA1926:AE1926" si="971">$J1926*E1926</f>
        <v>0</v>
      </c>
      <c r="AB1926" s="447">
        <f t="shared" si="971"/>
        <v>0</v>
      </c>
      <c r="AC1926" s="447">
        <f t="shared" si="971"/>
        <v>0</v>
      </c>
      <c r="AD1926" s="447">
        <f t="shared" si="971"/>
        <v>0</v>
      </c>
      <c r="AE1926" s="448">
        <f t="shared" si="971"/>
        <v>0</v>
      </c>
      <c r="AF1926" s="449"/>
      <c r="AG1926" s="449"/>
      <c r="AH1926" s="449"/>
    </row>
    <row r="1927" ht="11.25" customHeight="1">
      <c r="A1927" s="450"/>
      <c r="B1927" s="451"/>
      <c r="C1927" s="452"/>
      <c r="D1927" s="452"/>
      <c r="E1927" s="453"/>
      <c r="F1927" s="453"/>
      <c r="G1927" s="454"/>
      <c r="H1927" s="454"/>
      <c r="I1927" s="455"/>
      <c r="J1927" s="456"/>
      <c r="K1927" s="457" t="s">
        <v>1416</v>
      </c>
      <c r="L1927" s="458"/>
      <c r="M1927" s="459"/>
      <c r="N1927" s="460"/>
      <c r="O1927" s="460"/>
      <c r="P1927" s="461"/>
      <c r="Q1927" s="458"/>
      <c r="R1927" s="459"/>
      <c r="S1927" s="459"/>
      <c r="T1927" s="459"/>
      <c r="U1927" s="459"/>
      <c r="V1927" s="459"/>
      <c r="W1927" s="459"/>
      <c r="X1927" s="459"/>
      <c r="Y1927" s="462">
        <f t="shared" si="17"/>
        <v>0</v>
      </c>
      <c r="Z1927" s="463"/>
      <c r="AA1927" s="464"/>
      <c r="AB1927" s="465"/>
      <c r="AC1927" s="465"/>
      <c r="AD1927" s="465"/>
      <c r="AE1927" s="466"/>
      <c r="AF1927" s="449"/>
      <c r="AG1927" s="449"/>
      <c r="AH1927" s="449"/>
    </row>
    <row r="1928" ht="11.25" customHeight="1">
      <c r="A1928" s="450"/>
      <c r="B1928" s="451"/>
      <c r="C1928" s="452"/>
      <c r="D1928" s="452"/>
      <c r="E1928" s="453"/>
      <c r="F1928" s="453"/>
      <c r="G1928" s="454"/>
      <c r="H1928" s="454"/>
      <c r="I1928" s="455"/>
      <c r="J1928" s="456"/>
      <c r="K1928" s="467" t="s">
        <v>1417</v>
      </c>
      <c r="L1928" s="468"/>
      <c r="M1928" s="469"/>
      <c r="N1928" s="470"/>
      <c r="O1928" s="470"/>
      <c r="P1928" s="471"/>
      <c r="Q1928" s="468"/>
      <c r="R1928" s="469"/>
      <c r="S1928" s="469"/>
      <c r="T1928" s="469"/>
      <c r="U1928" s="469"/>
      <c r="V1928" s="469"/>
      <c r="W1928" s="469"/>
      <c r="X1928" s="469"/>
      <c r="Y1928" s="462">
        <f t="shared" si="17"/>
        <v>0</v>
      </c>
      <c r="Z1928" s="463"/>
      <c r="AA1928" s="464"/>
      <c r="AB1928" s="465"/>
      <c r="AC1928" s="465"/>
      <c r="AD1928" s="465"/>
      <c r="AE1928" s="466"/>
      <c r="AF1928" s="449"/>
      <c r="AG1928" s="449"/>
      <c r="AH1928" s="449"/>
    </row>
    <row r="1929" ht="11.25" customHeight="1">
      <c r="A1929" s="450"/>
      <c r="B1929" s="472"/>
      <c r="C1929" s="473"/>
      <c r="D1929" s="473"/>
      <c r="E1929" s="474"/>
      <c r="F1929" s="474"/>
      <c r="G1929" s="475"/>
      <c r="H1929" s="475"/>
      <c r="I1929" s="476"/>
      <c r="J1929" s="477"/>
      <c r="K1929" s="478" t="s">
        <v>1418</v>
      </c>
      <c r="L1929" s="479"/>
      <c r="M1929" s="480"/>
      <c r="N1929" s="481"/>
      <c r="O1929" s="481"/>
      <c r="P1929" s="482"/>
      <c r="Q1929" s="479"/>
      <c r="R1929" s="480"/>
      <c r="S1929" s="480"/>
      <c r="T1929" s="480"/>
      <c r="U1929" s="480"/>
      <c r="V1929" s="480"/>
      <c r="W1929" s="480"/>
      <c r="X1929" s="480"/>
      <c r="Y1929" s="483">
        <f t="shared" si="17"/>
        <v>0</v>
      </c>
      <c r="Z1929" s="484"/>
      <c r="AA1929" s="485"/>
      <c r="AB1929" s="486"/>
      <c r="AC1929" s="486"/>
      <c r="AD1929" s="486"/>
      <c r="AE1929" s="487"/>
      <c r="AF1929" s="449"/>
      <c r="AG1929" s="449"/>
      <c r="AH1929" s="449"/>
    </row>
    <row r="1930" ht="11.25" customHeight="1">
      <c r="A1930" s="431" t="str">
        <f>IF(B1930="","", YEAR(B1930))</f>
        <v/>
      </c>
      <c r="B1930" s="432"/>
      <c r="C1930" s="433"/>
      <c r="D1930" s="433"/>
      <c r="E1930" s="434" t="str">
        <f t="shared" ref="E1930:I1930" si="972">IFERROR(AVERAGE(L1930:L1933),"")</f>
        <v/>
      </c>
      <c r="F1930" s="434" t="str">
        <f t="shared" si="972"/>
        <v/>
      </c>
      <c r="G1930" s="435" t="str">
        <f t="shared" si="972"/>
        <v/>
      </c>
      <c r="H1930" s="435" t="str">
        <f t="shared" si="972"/>
        <v/>
      </c>
      <c r="I1930" s="436" t="str">
        <f t="shared" si="972"/>
        <v/>
      </c>
      <c r="J1930" s="437">
        <f>SUMIFS(PRODUCTION[KG],PRODUCTION[GRADE],"3X50",PRODUCTION[DATE],B1930,PRODUCTION[BATCH],C1930,PRODUCTION[SHIFT],D1930)</f>
        <v>0</v>
      </c>
      <c r="K1930" s="438" t="s">
        <v>1414</v>
      </c>
      <c r="L1930" s="443"/>
      <c r="M1930" s="440"/>
      <c r="N1930" s="441"/>
      <c r="O1930" s="441"/>
      <c r="P1930" s="442"/>
      <c r="Q1930" s="443"/>
      <c r="R1930" s="440"/>
      <c r="S1930" s="440"/>
      <c r="T1930" s="440"/>
      <c r="U1930" s="440"/>
      <c r="V1930" s="440"/>
      <c r="W1930" s="440"/>
      <c r="X1930" s="440"/>
      <c r="Y1930" s="444">
        <f t="shared" si="17"/>
        <v>0</v>
      </c>
      <c r="Z1930" s="445"/>
      <c r="AA1930" s="446">
        <f t="shared" ref="AA1930:AE1930" si="973">$J1930*E1930</f>
        <v>0</v>
      </c>
      <c r="AB1930" s="447">
        <f t="shared" si="973"/>
        <v>0</v>
      </c>
      <c r="AC1930" s="447">
        <f t="shared" si="973"/>
        <v>0</v>
      </c>
      <c r="AD1930" s="447">
        <f t="shared" si="973"/>
        <v>0</v>
      </c>
      <c r="AE1930" s="448">
        <f t="shared" si="973"/>
        <v>0</v>
      </c>
      <c r="AF1930" s="449"/>
      <c r="AG1930" s="449"/>
      <c r="AH1930" s="449"/>
    </row>
    <row r="1931" ht="11.25" customHeight="1">
      <c r="A1931" s="450"/>
      <c r="B1931" s="451"/>
      <c r="C1931" s="452"/>
      <c r="D1931" s="452"/>
      <c r="E1931" s="453"/>
      <c r="F1931" s="453"/>
      <c r="G1931" s="454"/>
      <c r="H1931" s="454"/>
      <c r="I1931" s="455"/>
      <c r="J1931" s="456"/>
      <c r="K1931" s="457" t="s">
        <v>1416</v>
      </c>
      <c r="L1931" s="458"/>
      <c r="M1931" s="459"/>
      <c r="N1931" s="460"/>
      <c r="O1931" s="460"/>
      <c r="P1931" s="461"/>
      <c r="Q1931" s="458"/>
      <c r="R1931" s="459"/>
      <c r="S1931" s="459"/>
      <c r="T1931" s="459"/>
      <c r="U1931" s="459"/>
      <c r="V1931" s="459"/>
      <c r="W1931" s="459"/>
      <c r="X1931" s="459"/>
      <c r="Y1931" s="462">
        <f t="shared" si="17"/>
        <v>0</v>
      </c>
      <c r="Z1931" s="463"/>
      <c r="AA1931" s="464"/>
      <c r="AB1931" s="465"/>
      <c r="AC1931" s="465"/>
      <c r="AD1931" s="465"/>
      <c r="AE1931" s="466"/>
      <c r="AF1931" s="449"/>
      <c r="AG1931" s="449"/>
      <c r="AH1931" s="449"/>
    </row>
    <row r="1932" ht="11.25" customHeight="1">
      <c r="A1932" s="450"/>
      <c r="B1932" s="451"/>
      <c r="C1932" s="452"/>
      <c r="D1932" s="452"/>
      <c r="E1932" s="453"/>
      <c r="F1932" s="453"/>
      <c r="G1932" s="454"/>
      <c r="H1932" s="454"/>
      <c r="I1932" s="455"/>
      <c r="J1932" s="456"/>
      <c r="K1932" s="467" t="s">
        <v>1417</v>
      </c>
      <c r="L1932" s="468"/>
      <c r="M1932" s="469"/>
      <c r="N1932" s="470"/>
      <c r="O1932" s="470"/>
      <c r="P1932" s="471"/>
      <c r="Q1932" s="468"/>
      <c r="R1932" s="469"/>
      <c r="S1932" s="469"/>
      <c r="T1932" s="469"/>
      <c r="U1932" s="469"/>
      <c r="V1932" s="469"/>
      <c r="W1932" s="469"/>
      <c r="X1932" s="469"/>
      <c r="Y1932" s="462">
        <f t="shared" si="17"/>
        <v>0</v>
      </c>
      <c r="Z1932" s="463"/>
      <c r="AA1932" s="464"/>
      <c r="AB1932" s="465"/>
      <c r="AC1932" s="465"/>
      <c r="AD1932" s="465"/>
      <c r="AE1932" s="466"/>
      <c r="AF1932" s="449"/>
      <c r="AG1932" s="449"/>
      <c r="AH1932" s="449"/>
    </row>
    <row r="1933" ht="11.25" customHeight="1">
      <c r="A1933" s="450"/>
      <c r="B1933" s="472"/>
      <c r="C1933" s="473"/>
      <c r="D1933" s="473"/>
      <c r="E1933" s="474"/>
      <c r="F1933" s="474"/>
      <c r="G1933" s="475"/>
      <c r="H1933" s="475"/>
      <c r="I1933" s="476"/>
      <c r="J1933" s="477"/>
      <c r="K1933" s="478" t="s">
        <v>1418</v>
      </c>
      <c r="L1933" s="479"/>
      <c r="M1933" s="480"/>
      <c r="N1933" s="481"/>
      <c r="O1933" s="481"/>
      <c r="P1933" s="482"/>
      <c r="Q1933" s="479"/>
      <c r="R1933" s="480"/>
      <c r="S1933" s="480"/>
      <c r="T1933" s="480"/>
      <c r="U1933" s="480"/>
      <c r="V1933" s="480"/>
      <c r="W1933" s="480"/>
      <c r="X1933" s="480"/>
      <c r="Y1933" s="483">
        <f t="shared" si="17"/>
        <v>0</v>
      </c>
      <c r="Z1933" s="484"/>
      <c r="AA1933" s="485"/>
      <c r="AB1933" s="486"/>
      <c r="AC1933" s="486"/>
      <c r="AD1933" s="486"/>
      <c r="AE1933" s="487"/>
      <c r="AF1933" s="449"/>
      <c r="AG1933" s="449"/>
      <c r="AH1933" s="449"/>
    </row>
    <row r="1934" ht="11.25" customHeight="1">
      <c r="A1934" s="431" t="str">
        <f>IF(B1934="","", YEAR(B1934))</f>
        <v/>
      </c>
      <c r="B1934" s="432"/>
      <c r="C1934" s="433"/>
      <c r="D1934" s="433"/>
      <c r="E1934" s="434" t="str">
        <f t="shared" ref="E1934:I1934" si="974">IFERROR(AVERAGE(L1934:L1937),"")</f>
        <v/>
      </c>
      <c r="F1934" s="434" t="str">
        <f t="shared" si="974"/>
        <v/>
      </c>
      <c r="G1934" s="435" t="str">
        <f t="shared" si="974"/>
        <v/>
      </c>
      <c r="H1934" s="435" t="str">
        <f t="shared" si="974"/>
        <v/>
      </c>
      <c r="I1934" s="436" t="str">
        <f t="shared" si="974"/>
        <v/>
      </c>
      <c r="J1934" s="437">
        <f>SUMIFS(PRODUCTION[KG],PRODUCTION[GRADE],"3X50",PRODUCTION[DATE],B1934,PRODUCTION[BATCH],C1934,PRODUCTION[SHIFT],D1934)</f>
        <v>0</v>
      </c>
      <c r="K1934" s="438" t="s">
        <v>1414</v>
      </c>
      <c r="L1934" s="443"/>
      <c r="M1934" s="440"/>
      <c r="N1934" s="441"/>
      <c r="O1934" s="441"/>
      <c r="P1934" s="442"/>
      <c r="Q1934" s="443"/>
      <c r="R1934" s="440"/>
      <c r="S1934" s="440"/>
      <c r="T1934" s="440"/>
      <c r="U1934" s="440"/>
      <c r="V1934" s="440"/>
      <c r="W1934" s="440"/>
      <c r="X1934" s="440"/>
      <c r="Y1934" s="444">
        <f t="shared" si="17"/>
        <v>0</v>
      </c>
      <c r="Z1934" s="445"/>
      <c r="AA1934" s="446">
        <f t="shared" ref="AA1934:AE1934" si="975">$J1934*E1934</f>
        <v>0</v>
      </c>
      <c r="AB1934" s="447">
        <f t="shared" si="975"/>
        <v>0</v>
      </c>
      <c r="AC1934" s="447">
        <f t="shared" si="975"/>
        <v>0</v>
      </c>
      <c r="AD1934" s="447">
        <f t="shared" si="975"/>
        <v>0</v>
      </c>
      <c r="AE1934" s="448">
        <f t="shared" si="975"/>
        <v>0</v>
      </c>
      <c r="AF1934" s="449"/>
      <c r="AG1934" s="449"/>
      <c r="AH1934" s="449"/>
    </row>
    <row r="1935" ht="11.25" customHeight="1">
      <c r="A1935" s="450"/>
      <c r="B1935" s="451"/>
      <c r="C1935" s="452"/>
      <c r="D1935" s="452"/>
      <c r="E1935" s="453"/>
      <c r="F1935" s="453"/>
      <c r="G1935" s="454"/>
      <c r="H1935" s="454"/>
      <c r="I1935" s="455"/>
      <c r="J1935" s="456"/>
      <c r="K1935" s="457" t="s">
        <v>1416</v>
      </c>
      <c r="L1935" s="458"/>
      <c r="M1935" s="459"/>
      <c r="N1935" s="460"/>
      <c r="O1935" s="460"/>
      <c r="P1935" s="461"/>
      <c r="Q1935" s="458"/>
      <c r="R1935" s="459"/>
      <c r="S1935" s="459"/>
      <c r="T1935" s="459"/>
      <c r="U1935" s="459"/>
      <c r="V1935" s="459"/>
      <c r="W1935" s="459"/>
      <c r="X1935" s="459"/>
      <c r="Y1935" s="462">
        <f t="shared" si="17"/>
        <v>0</v>
      </c>
      <c r="Z1935" s="463"/>
      <c r="AA1935" s="464"/>
      <c r="AB1935" s="465"/>
      <c r="AC1935" s="465"/>
      <c r="AD1935" s="465"/>
      <c r="AE1935" s="466"/>
      <c r="AF1935" s="449"/>
      <c r="AG1935" s="449"/>
      <c r="AH1935" s="449"/>
    </row>
    <row r="1936" ht="11.25" customHeight="1">
      <c r="A1936" s="450"/>
      <c r="B1936" s="451"/>
      <c r="C1936" s="452"/>
      <c r="D1936" s="452"/>
      <c r="E1936" s="453"/>
      <c r="F1936" s="453"/>
      <c r="G1936" s="454"/>
      <c r="H1936" s="454"/>
      <c r="I1936" s="455"/>
      <c r="J1936" s="456"/>
      <c r="K1936" s="467" t="s">
        <v>1417</v>
      </c>
      <c r="L1936" s="468"/>
      <c r="M1936" s="469"/>
      <c r="N1936" s="470"/>
      <c r="O1936" s="470"/>
      <c r="P1936" s="471"/>
      <c r="Q1936" s="468"/>
      <c r="R1936" s="469"/>
      <c r="S1936" s="469"/>
      <c r="T1936" s="469"/>
      <c r="U1936" s="469"/>
      <c r="V1936" s="469"/>
      <c r="W1936" s="469"/>
      <c r="X1936" s="469"/>
      <c r="Y1936" s="462">
        <f t="shared" si="17"/>
        <v>0</v>
      </c>
      <c r="Z1936" s="463"/>
      <c r="AA1936" s="464"/>
      <c r="AB1936" s="465"/>
      <c r="AC1936" s="465"/>
      <c r="AD1936" s="465"/>
      <c r="AE1936" s="466"/>
      <c r="AF1936" s="449"/>
      <c r="AG1936" s="449"/>
      <c r="AH1936" s="449"/>
    </row>
    <row r="1937" ht="11.25" customHeight="1">
      <c r="A1937" s="450"/>
      <c r="B1937" s="472"/>
      <c r="C1937" s="473"/>
      <c r="D1937" s="473"/>
      <c r="E1937" s="474"/>
      <c r="F1937" s="474"/>
      <c r="G1937" s="475"/>
      <c r="H1937" s="475"/>
      <c r="I1937" s="476"/>
      <c r="J1937" s="477"/>
      <c r="K1937" s="478" t="s">
        <v>1418</v>
      </c>
      <c r="L1937" s="479"/>
      <c r="M1937" s="480"/>
      <c r="N1937" s="481"/>
      <c r="O1937" s="481"/>
      <c r="P1937" s="482"/>
      <c r="Q1937" s="479"/>
      <c r="R1937" s="480"/>
      <c r="S1937" s="480"/>
      <c r="T1937" s="480"/>
      <c r="U1937" s="480"/>
      <c r="V1937" s="480"/>
      <c r="W1937" s="480"/>
      <c r="X1937" s="480"/>
      <c r="Y1937" s="483">
        <f t="shared" si="17"/>
        <v>0</v>
      </c>
      <c r="Z1937" s="484"/>
      <c r="AA1937" s="485"/>
      <c r="AB1937" s="486"/>
      <c r="AC1937" s="486"/>
      <c r="AD1937" s="486"/>
      <c r="AE1937" s="487"/>
      <c r="AF1937" s="449"/>
      <c r="AG1937" s="449"/>
      <c r="AH1937" s="449"/>
    </row>
    <row r="1938" ht="11.25" customHeight="1">
      <c r="A1938" s="431" t="str">
        <f>IF(B1938="","", YEAR(B1938))</f>
        <v/>
      </c>
      <c r="B1938" s="432"/>
      <c r="C1938" s="433"/>
      <c r="D1938" s="433"/>
      <c r="E1938" s="434" t="str">
        <f t="shared" ref="E1938:I1938" si="976">IFERROR(AVERAGE(L1938:L1941),"")</f>
        <v/>
      </c>
      <c r="F1938" s="434" t="str">
        <f t="shared" si="976"/>
        <v/>
      </c>
      <c r="G1938" s="435" t="str">
        <f t="shared" si="976"/>
        <v/>
      </c>
      <c r="H1938" s="435" t="str">
        <f t="shared" si="976"/>
        <v/>
      </c>
      <c r="I1938" s="436" t="str">
        <f t="shared" si="976"/>
        <v/>
      </c>
      <c r="J1938" s="437">
        <f>SUMIFS(PRODUCTION[KG],PRODUCTION[GRADE],"3X50",PRODUCTION[DATE],B1938,PRODUCTION[BATCH],C1938,PRODUCTION[SHIFT],D1938)</f>
        <v>0</v>
      </c>
      <c r="K1938" s="438" t="s">
        <v>1414</v>
      </c>
      <c r="L1938" s="443"/>
      <c r="M1938" s="440"/>
      <c r="N1938" s="441"/>
      <c r="O1938" s="441"/>
      <c r="P1938" s="442"/>
      <c r="Q1938" s="443"/>
      <c r="R1938" s="440"/>
      <c r="S1938" s="440"/>
      <c r="T1938" s="440"/>
      <c r="U1938" s="440"/>
      <c r="V1938" s="440"/>
      <c r="W1938" s="440"/>
      <c r="X1938" s="440"/>
      <c r="Y1938" s="444">
        <f t="shared" si="17"/>
        <v>0</v>
      </c>
      <c r="Z1938" s="445"/>
      <c r="AA1938" s="446">
        <f t="shared" ref="AA1938:AE1938" si="977">$J1938*E1938</f>
        <v>0</v>
      </c>
      <c r="AB1938" s="447">
        <f t="shared" si="977"/>
        <v>0</v>
      </c>
      <c r="AC1938" s="447">
        <f t="shared" si="977"/>
        <v>0</v>
      </c>
      <c r="AD1938" s="447">
        <f t="shared" si="977"/>
        <v>0</v>
      </c>
      <c r="AE1938" s="448">
        <f t="shared" si="977"/>
        <v>0</v>
      </c>
      <c r="AF1938" s="449"/>
      <c r="AG1938" s="449"/>
      <c r="AH1938" s="449"/>
    </row>
    <row r="1939" ht="11.25" customHeight="1">
      <c r="A1939" s="450"/>
      <c r="B1939" s="451"/>
      <c r="C1939" s="452"/>
      <c r="D1939" s="452"/>
      <c r="E1939" s="453"/>
      <c r="F1939" s="453"/>
      <c r="G1939" s="454"/>
      <c r="H1939" s="454"/>
      <c r="I1939" s="455"/>
      <c r="J1939" s="456"/>
      <c r="K1939" s="457" t="s">
        <v>1416</v>
      </c>
      <c r="L1939" s="458"/>
      <c r="M1939" s="459"/>
      <c r="N1939" s="460"/>
      <c r="O1939" s="460"/>
      <c r="P1939" s="461"/>
      <c r="Q1939" s="458"/>
      <c r="R1939" s="459"/>
      <c r="S1939" s="459"/>
      <c r="T1939" s="459"/>
      <c r="U1939" s="459"/>
      <c r="V1939" s="459"/>
      <c r="W1939" s="459"/>
      <c r="X1939" s="459"/>
      <c r="Y1939" s="462">
        <f t="shared" si="17"/>
        <v>0</v>
      </c>
      <c r="Z1939" s="463"/>
      <c r="AA1939" s="464"/>
      <c r="AB1939" s="465"/>
      <c r="AC1939" s="465"/>
      <c r="AD1939" s="465"/>
      <c r="AE1939" s="466"/>
      <c r="AF1939" s="449"/>
      <c r="AG1939" s="449"/>
      <c r="AH1939" s="449"/>
    </row>
    <row r="1940" ht="11.25" customHeight="1">
      <c r="A1940" s="450"/>
      <c r="B1940" s="451"/>
      <c r="C1940" s="452"/>
      <c r="D1940" s="452"/>
      <c r="E1940" s="453"/>
      <c r="F1940" s="453"/>
      <c r="G1940" s="454"/>
      <c r="H1940" s="454"/>
      <c r="I1940" s="455"/>
      <c r="J1940" s="456"/>
      <c r="K1940" s="467" t="s">
        <v>1417</v>
      </c>
      <c r="L1940" s="468"/>
      <c r="M1940" s="469"/>
      <c r="N1940" s="470"/>
      <c r="O1940" s="470"/>
      <c r="P1940" s="471"/>
      <c r="Q1940" s="468"/>
      <c r="R1940" s="469"/>
      <c r="S1940" s="469"/>
      <c r="T1940" s="469"/>
      <c r="U1940" s="469"/>
      <c r="V1940" s="469"/>
      <c r="W1940" s="469"/>
      <c r="X1940" s="469"/>
      <c r="Y1940" s="462">
        <f t="shared" si="17"/>
        <v>0</v>
      </c>
      <c r="Z1940" s="463"/>
      <c r="AA1940" s="464"/>
      <c r="AB1940" s="465"/>
      <c r="AC1940" s="465"/>
      <c r="AD1940" s="465"/>
      <c r="AE1940" s="466"/>
      <c r="AF1940" s="449"/>
      <c r="AG1940" s="449"/>
      <c r="AH1940" s="449"/>
    </row>
    <row r="1941" ht="11.25" customHeight="1">
      <c r="A1941" s="450"/>
      <c r="B1941" s="472"/>
      <c r="C1941" s="473"/>
      <c r="D1941" s="473"/>
      <c r="E1941" s="474"/>
      <c r="F1941" s="474"/>
      <c r="G1941" s="475"/>
      <c r="H1941" s="475"/>
      <c r="I1941" s="476"/>
      <c r="J1941" s="477"/>
      <c r="K1941" s="478" t="s">
        <v>1418</v>
      </c>
      <c r="L1941" s="479"/>
      <c r="M1941" s="480"/>
      <c r="N1941" s="481"/>
      <c r="O1941" s="481"/>
      <c r="P1941" s="482"/>
      <c r="Q1941" s="479"/>
      <c r="R1941" s="480"/>
      <c r="S1941" s="480"/>
      <c r="T1941" s="480"/>
      <c r="U1941" s="480"/>
      <c r="V1941" s="480"/>
      <c r="W1941" s="480"/>
      <c r="X1941" s="480"/>
      <c r="Y1941" s="483">
        <f t="shared" si="17"/>
        <v>0</v>
      </c>
      <c r="Z1941" s="484"/>
      <c r="AA1941" s="485"/>
      <c r="AB1941" s="486"/>
      <c r="AC1941" s="486"/>
      <c r="AD1941" s="486"/>
      <c r="AE1941" s="487"/>
      <c r="AF1941" s="449"/>
      <c r="AG1941" s="449"/>
      <c r="AH1941" s="449"/>
    </row>
    <row r="1942" ht="11.25" customHeight="1">
      <c r="A1942" s="431" t="str">
        <f>IF(B1942="","", YEAR(B1942))</f>
        <v/>
      </c>
      <c r="B1942" s="432"/>
      <c r="C1942" s="433"/>
      <c r="D1942" s="433"/>
      <c r="E1942" s="434" t="str">
        <f t="shared" ref="E1942:I1942" si="978">IFERROR(AVERAGE(L1942:L1945),"")</f>
        <v/>
      </c>
      <c r="F1942" s="434" t="str">
        <f t="shared" si="978"/>
        <v/>
      </c>
      <c r="G1942" s="435" t="str">
        <f t="shared" si="978"/>
        <v/>
      </c>
      <c r="H1942" s="435" t="str">
        <f t="shared" si="978"/>
        <v/>
      </c>
      <c r="I1942" s="436" t="str">
        <f t="shared" si="978"/>
        <v/>
      </c>
      <c r="J1942" s="437">
        <f>SUMIFS(PRODUCTION[KG],PRODUCTION[GRADE],"3X50",PRODUCTION[DATE],B1942,PRODUCTION[BATCH],C1942,PRODUCTION[SHIFT],D1942)</f>
        <v>0</v>
      </c>
      <c r="K1942" s="438" t="s">
        <v>1414</v>
      </c>
      <c r="L1942" s="443"/>
      <c r="M1942" s="440"/>
      <c r="N1942" s="441"/>
      <c r="O1942" s="441"/>
      <c r="P1942" s="442"/>
      <c r="Q1942" s="443"/>
      <c r="R1942" s="440"/>
      <c r="S1942" s="440"/>
      <c r="T1942" s="440"/>
      <c r="U1942" s="440"/>
      <c r="V1942" s="440"/>
      <c r="W1942" s="440"/>
      <c r="X1942" s="440"/>
      <c r="Y1942" s="444">
        <f t="shared" si="17"/>
        <v>0</v>
      </c>
      <c r="Z1942" s="445"/>
      <c r="AA1942" s="446">
        <f t="shared" ref="AA1942:AE1942" si="979">$J1942*E1942</f>
        <v>0</v>
      </c>
      <c r="AB1942" s="447">
        <f t="shared" si="979"/>
        <v>0</v>
      </c>
      <c r="AC1942" s="447">
        <f t="shared" si="979"/>
        <v>0</v>
      </c>
      <c r="AD1942" s="447">
        <f t="shared" si="979"/>
        <v>0</v>
      </c>
      <c r="AE1942" s="448">
        <f t="shared" si="979"/>
        <v>0</v>
      </c>
      <c r="AF1942" s="449"/>
      <c r="AG1942" s="449"/>
      <c r="AH1942" s="449"/>
    </row>
    <row r="1943" ht="11.25" customHeight="1">
      <c r="A1943" s="450"/>
      <c r="B1943" s="451"/>
      <c r="C1943" s="452"/>
      <c r="D1943" s="452"/>
      <c r="E1943" s="453"/>
      <c r="F1943" s="453"/>
      <c r="G1943" s="454"/>
      <c r="H1943" s="454"/>
      <c r="I1943" s="455"/>
      <c r="J1943" s="456"/>
      <c r="K1943" s="457" t="s">
        <v>1416</v>
      </c>
      <c r="L1943" s="458"/>
      <c r="M1943" s="459"/>
      <c r="N1943" s="460"/>
      <c r="O1943" s="460"/>
      <c r="P1943" s="461"/>
      <c r="Q1943" s="458"/>
      <c r="R1943" s="459"/>
      <c r="S1943" s="459"/>
      <c r="T1943" s="459"/>
      <c r="U1943" s="459"/>
      <c r="V1943" s="459"/>
      <c r="W1943" s="459"/>
      <c r="X1943" s="459"/>
      <c r="Y1943" s="462">
        <f t="shared" si="17"/>
        <v>0</v>
      </c>
      <c r="Z1943" s="463"/>
      <c r="AA1943" s="464"/>
      <c r="AB1943" s="465"/>
      <c r="AC1943" s="465"/>
      <c r="AD1943" s="465"/>
      <c r="AE1943" s="466"/>
      <c r="AF1943" s="449"/>
      <c r="AG1943" s="449"/>
      <c r="AH1943" s="449"/>
    </row>
    <row r="1944" ht="11.25" customHeight="1">
      <c r="A1944" s="450"/>
      <c r="B1944" s="451"/>
      <c r="C1944" s="452"/>
      <c r="D1944" s="452"/>
      <c r="E1944" s="453"/>
      <c r="F1944" s="453"/>
      <c r="G1944" s="454"/>
      <c r="H1944" s="454"/>
      <c r="I1944" s="455"/>
      <c r="J1944" s="456"/>
      <c r="K1944" s="467" t="s">
        <v>1417</v>
      </c>
      <c r="L1944" s="468"/>
      <c r="M1944" s="469"/>
      <c r="N1944" s="470"/>
      <c r="O1944" s="470"/>
      <c r="P1944" s="471"/>
      <c r="Q1944" s="468"/>
      <c r="R1944" s="469"/>
      <c r="S1944" s="469"/>
      <c r="T1944" s="469"/>
      <c r="U1944" s="469"/>
      <c r="V1944" s="469"/>
      <c r="W1944" s="469"/>
      <c r="X1944" s="469"/>
      <c r="Y1944" s="462">
        <f t="shared" si="17"/>
        <v>0</v>
      </c>
      <c r="Z1944" s="463"/>
      <c r="AA1944" s="464"/>
      <c r="AB1944" s="465"/>
      <c r="AC1944" s="465"/>
      <c r="AD1944" s="465"/>
      <c r="AE1944" s="466"/>
      <c r="AF1944" s="449"/>
      <c r="AG1944" s="449"/>
      <c r="AH1944" s="449"/>
    </row>
    <row r="1945" ht="11.25" customHeight="1">
      <c r="A1945" s="450"/>
      <c r="B1945" s="472"/>
      <c r="C1945" s="473"/>
      <c r="D1945" s="473"/>
      <c r="E1945" s="474"/>
      <c r="F1945" s="474"/>
      <c r="G1945" s="475"/>
      <c r="H1945" s="475"/>
      <c r="I1945" s="476"/>
      <c r="J1945" s="477"/>
      <c r="K1945" s="478" t="s">
        <v>1418</v>
      </c>
      <c r="L1945" s="479"/>
      <c r="M1945" s="480"/>
      <c r="N1945" s="481"/>
      <c r="O1945" s="481"/>
      <c r="P1945" s="482"/>
      <c r="Q1945" s="479"/>
      <c r="R1945" s="480"/>
      <c r="S1945" s="480"/>
      <c r="T1945" s="480"/>
      <c r="U1945" s="480"/>
      <c r="V1945" s="480"/>
      <c r="W1945" s="480"/>
      <c r="X1945" s="480"/>
      <c r="Y1945" s="483">
        <f t="shared" si="17"/>
        <v>0</v>
      </c>
      <c r="Z1945" s="484"/>
      <c r="AA1945" s="485"/>
      <c r="AB1945" s="486"/>
      <c r="AC1945" s="486"/>
      <c r="AD1945" s="486"/>
      <c r="AE1945" s="487"/>
      <c r="AF1945" s="449"/>
      <c r="AG1945" s="449"/>
      <c r="AH1945" s="449"/>
    </row>
    <row r="1946" ht="11.25" customHeight="1">
      <c r="A1946" s="431" t="str">
        <f>IF(B1946="","", YEAR(B1946))</f>
        <v/>
      </c>
      <c r="B1946" s="432"/>
      <c r="C1946" s="433"/>
      <c r="D1946" s="433"/>
      <c r="E1946" s="434" t="str">
        <f t="shared" ref="E1946:I1946" si="980">IFERROR(AVERAGE(L1946:L1949),"")</f>
        <v/>
      </c>
      <c r="F1946" s="434" t="str">
        <f t="shared" si="980"/>
        <v/>
      </c>
      <c r="G1946" s="435" t="str">
        <f t="shared" si="980"/>
        <v/>
      </c>
      <c r="H1946" s="435" t="str">
        <f t="shared" si="980"/>
        <v/>
      </c>
      <c r="I1946" s="436" t="str">
        <f t="shared" si="980"/>
        <v/>
      </c>
      <c r="J1946" s="437">
        <f>SUMIFS(PRODUCTION[KG],PRODUCTION[GRADE],"3X50",PRODUCTION[DATE],B1946,PRODUCTION[BATCH],C1946,PRODUCTION[SHIFT],D1946)</f>
        <v>0</v>
      </c>
      <c r="K1946" s="438" t="s">
        <v>1414</v>
      </c>
      <c r="L1946" s="443"/>
      <c r="M1946" s="440"/>
      <c r="N1946" s="441"/>
      <c r="O1946" s="441"/>
      <c r="P1946" s="442"/>
      <c r="Q1946" s="443"/>
      <c r="R1946" s="440"/>
      <c r="S1946" s="440"/>
      <c r="T1946" s="440"/>
      <c r="U1946" s="440"/>
      <c r="V1946" s="440"/>
      <c r="W1946" s="440"/>
      <c r="X1946" s="440"/>
      <c r="Y1946" s="444">
        <f t="shared" si="17"/>
        <v>0</v>
      </c>
      <c r="Z1946" s="445"/>
      <c r="AA1946" s="446">
        <f t="shared" ref="AA1946:AE1946" si="981">$J1946*E1946</f>
        <v>0</v>
      </c>
      <c r="AB1946" s="447">
        <f t="shared" si="981"/>
        <v>0</v>
      </c>
      <c r="AC1946" s="447">
        <f t="shared" si="981"/>
        <v>0</v>
      </c>
      <c r="AD1946" s="447">
        <f t="shared" si="981"/>
        <v>0</v>
      </c>
      <c r="AE1946" s="448">
        <f t="shared" si="981"/>
        <v>0</v>
      </c>
      <c r="AF1946" s="449"/>
      <c r="AG1946" s="449"/>
      <c r="AH1946" s="449"/>
    </row>
    <row r="1947" ht="11.25" customHeight="1">
      <c r="A1947" s="450"/>
      <c r="B1947" s="451"/>
      <c r="C1947" s="452"/>
      <c r="D1947" s="452"/>
      <c r="E1947" s="453"/>
      <c r="F1947" s="453"/>
      <c r="G1947" s="454"/>
      <c r="H1947" s="454"/>
      <c r="I1947" s="455"/>
      <c r="J1947" s="456"/>
      <c r="K1947" s="457" t="s">
        <v>1416</v>
      </c>
      <c r="L1947" s="458"/>
      <c r="M1947" s="459"/>
      <c r="N1947" s="460"/>
      <c r="O1947" s="460"/>
      <c r="P1947" s="461"/>
      <c r="Q1947" s="458"/>
      <c r="R1947" s="459"/>
      <c r="S1947" s="459"/>
      <c r="T1947" s="459"/>
      <c r="U1947" s="459"/>
      <c r="V1947" s="459"/>
      <c r="W1947" s="459"/>
      <c r="X1947" s="459"/>
      <c r="Y1947" s="462">
        <f t="shared" si="17"/>
        <v>0</v>
      </c>
      <c r="Z1947" s="463"/>
      <c r="AA1947" s="464"/>
      <c r="AB1947" s="465"/>
      <c r="AC1947" s="465"/>
      <c r="AD1947" s="465"/>
      <c r="AE1947" s="466"/>
      <c r="AF1947" s="449"/>
      <c r="AG1947" s="449"/>
      <c r="AH1947" s="449"/>
    </row>
    <row r="1948" ht="11.25" customHeight="1">
      <c r="A1948" s="450"/>
      <c r="B1948" s="451"/>
      <c r="C1948" s="452"/>
      <c r="D1948" s="452"/>
      <c r="E1948" s="453"/>
      <c r="F1948" s="453"/>
      <c r="G1948" s="454"/>
      <c r="H1948" s="454"/>
      <c r="I1948" s="455"/>
      <c r="J1948" s="456"/>
      <c r="K1948" s="467" t="s">
        <v>1417</v>
      </c>
      <c r="L1948" s="468"/>
      <c r="M1948" s="469"/>
      <c r="N1948" s="470"/>
      <c r="O1948" s="470"/>
      <c r="P1948" s="471"/>
      <c r="Q1948" s="468"/>
      <c r="R1948" s="469"/>
      <c r="S1948" s="469"/>
      <c r="T1948" s="469"/>
      <c r="U1948" s="469"/>
      <c r="V1948" s="469"/>
      <c r="W1948" s="469"/>
      <c r="X1948" s="469"/>
      <c r="Y1948" s="462">
        <f t="shared" si="17"/>
        <v>0</v>
      </c>
      <c r="Z1948" s="463"/>
      <c r="AA1948" s="464"/>
      <c r="AB1948" s="465"/>
      <c r="AC1948" s="465"/>
      <c r="AD1948" s="465"/>
      <c r="AE1948" s="466"/>
      <c r="AF1948" s="449"/>
      <c r="AG1948" s="449"/>
      <c r="AH1948" s="449"/>
    </row>
    <row r="1949" ht="11.25" customHeight="1">
      <c r="A1949" s="450"/>
      <c r="B1949" s="472"/>
      <c r="C1949" s="473"/>
      <c r="D1949" s="473"/>
      <c r="E1949" s="474"/>
      <c r="F1949" s="474"/>
      <c r="G1949" s="475"/>
      <c r="H1949" s="475"/>
      <c r="I1949" s="476"/>
      <c r="J1949" s="477"/>
      <c r="K1949" s="478" t="s">
        <v>1418</v>
      </c>
      <c r="L1949" s="479"/>
      <c r="M1949" s="480"/>
      <c r="N1949" s="481"/>
      <c r="O1949" s="481"/>
      <c r="P1949" s="482"/>
      <c r="Q1949" s="479"/>
      <c r="R1949" s="480"/>
      <c r="S1949" s="480"/>
      <c r="T1949" s="480"/>
      <c r="U1949" s="480"/>
      <c r="V1949" s="480"/>
      <c r="W1949" s="480"/>
      <c r="X1949" s="480"/>
      <c r="Y1949" s="483">
        <f t="shared" si="17"/>
        <v>0</v>
      </c>
      <c r="Z1949" s="484"/>
      <c r="AA1949" s="485"/>
      <c r="AB1949" s="486"/>
      <c r="AC1949" s="486"/>
      <c r="AD1949" s="486"/>
      <c r="AE1949" s="487"/>
      <c r="AF1949" s="449"/>
      <c r="AG1949" s="449"/>
      <c r="AH1949" s="449"/>
    </row>
    <row r="1950" ht="11.25" customHeight="1">
      <c r="A1950" s="431" t="str">
        <f>IF(B1950="","", YEAR(B1950))</f>
        <v/>
      </c>
      <c r="B1950" s="432"/>
      <c r="C1950" s="433"/>
      <c r="D1950" s="433"/>
      <c r="E1950" s="434" t="str">
        <f t="shared" ref="E1950:I1950" si="982">IFERROR(AVERAGE(L1950:L1953),"")</f>
        <v/>
      </c>
      <c r="F1950" s="434" t="str">
        <f t="shared" si="982"/>
        <v/>
      </c>
      <c r="G1950" s="435" t="str">
        <f t="shared" si="982"/>
        <v/>
      </c>
      <c r="H1950" s="435" t="str">
        <f t="shared" si="982"/>
        <v/>
      </c>
      <c r="I1950" s="436" t="str">
        <f t="shared" si="982"/>
        <v/>
      </c>
      <c r="J1950" s="437">
        <f>SUMIFS(PRODUCTION[KG],PRODUCTION[GRADE],"3X50",PRODUCTION[DATE],B1950,PRODUCTION[BATCH],C1950,PRODUCTION[SHIFT],D1950)</f>
        <v>0</v>
      </c>
      <c r="K1950" s="438" t="s">
        <v>1414</v>
      </c>
      <c r="L1950" s="443"/>
      <c r="M1950" s="440"/>
      <c r="N1950" s="441"/>
      <c r="O1950" s="441"/>
      <c r="P1950" s="442"/>
      <c r="Q1950" s="443"/>
      <c r="R1950" s="440"/>
      <c r="S1950" s="440"/>
      <c r="T1950" s="440"/>
      <c r="U1950" s="440"/>
      <c r="V1950" s="440"/>
      <c r="W1950" s="440"/>
      <c r="X1950" s="440"/>
      <c r="Y1950" s="444">
        <f t="shared" si="17"/>
        <v>0</v>
      </c>
      <c r="Z1950" s="445"/>
      <c r="AA1950" s="446">
        <f t="shared" ref="AA1950:AE1950" si="983">$J1950*E1950</f>
        <v>0</v>
      </c>
      <c r="AB1950" s="447">
        <f t="shared" si="983"/>
        <v>0</v>
      </c>
      <c r="AC1950" s="447">
        <f t="shared" si="983"/>
        <v>0</v>
      </c>
      <c r="AD1950" s="447">
        <f t="shared" si="983"/>
        <v>0</v>
      </c>
      <c r="AE1950" s="448">
        <f t="shared" si="983"/>
        <v>0</v>
      </c>
      <c r="AF1950" s="449"/>
      <c r="AG1950" s="449"/>
      <c r="AH1950" s="449"/>
    </row>
    <row r="1951" ht="11.25" customHeight="1">
      <c r="A1951" s="450"/>
      <c r="B1951" s="451"/>
      <c r="C1951" s="452"/>
      <c r="D1951" s="452"/>
      <c r="E1951" s="453"/>
      <c r="F1951" s="453"/>
      <c r="G1951" s="454"/>
      <c r="H1951" s="454"/>
      <c r="I1951" s="455"/>
      <c r="J1951" s="456"/>
      <c r="K1951" s="457" t="s">
        <v>1416</v>
      </c>
      <c r="L1951" s="458"/>
      <c r="M1951" s="459"/>
      <c r="N1951" s="460"/>
      <c r="O1951" s="460"/>
      <c r="P1951" s="461"/>
      <c r="Q1951" s="458"/>
      <c r="R1951" s="459"/>
      <c r="S1951" s="459"/>
      <c r="T1951" s="459"/>
      <c r="U1951" s="459"/>
      <c r="V1951" s="459"/>
      <c r="W1951" s="459"/>
      <c r="X1951" s="459"/>
      <c r="Y1951" s="462">
        <f t="shared" si="17"/>
        <v>0</v>
      </c>
      <c r="Z1951" s="463"/>
      <c r="AA1951" s="464"/>
      <c r="AB1951" s="465"/>
      <c r="AC1951" s="465"/>
      <c r="AD1951" s="465"/>
      <c r="AE1951" s="466"/>
      <c r="AF1951" s="449"/>
      <c r="AG1951" s="449"/>
      <c r="AH1951" s="449"/>
    </row>
    <row r="1952" ht="11.25" customHeight="1">
      <c r="A1952" s="450"/>
      <c r="B1952" s="451"/>
      <c r="C1952" s="452"/>
      <c r="D1952" s="452"/>
      <c r="E1952" s="453"/>
      <c r="F1952" s="453"/>
      <c r="G1952" s="454"/>
      <c r="H1952" s="454"/>
      <c r="I1952" s="455"/>
      <c r="J1952" s="456"/>
      <c r="K1952" s="467" t="s">
        <v>1417</v>
      </c>
      <c r="L1952" s="468"/>
      <c r="M1952" s="469"/>
      <c r="N1952" s="470"/>
      <c r="O1952" s="470"/>
      <c r="P1952" s="471"/>
      <c r="Q1952" s="468"/>
      <c r="R1952" s="469"/>
      <c r="S1952" s="469"/>
      <c r="T1952" s="469"/>
      <c r="U1952" s="469"/>
      <c r="V1952" s="469"/>
      <c r="W1952" s="469"/>
      <c r="X1952" s="469"/>
      <c r="Y1952" s="462">
        <f t="shared" si="17"/>
        <v>0</v>
      </c>
      <c r="Z1952" s="463"/>
      <c r="AA1952" s="464"/>
      <c r="AB1952" s="465"/>
      <c r="AC1952" s="465"/>
      <c r="AD1952" s="465"/>
      <c r="AE1952" s="466"/>
      <c r="AF1952" s="449"/>
      <c r="AG1952" s="449"/>
      <c r="AH1952" s="449"/>
    </row>
    <row r="1953" ht="11.25" customHeight="1">
      <c r="A1953" s="450"/>
      <c r="B1953" s="472"/>
      <c r="C1953" s="473"/>
      <c r="D1953" s="473"/>
      <c r="E1953" s="474"/>
      <c r="F1953" s="474"/>
      <c r="G1953" s="475"/>
      <c r="H1953" s="475"/>
      <c r="I1953" s="476"/>
      <c r="J1953" s="477"/>
      <c r="K1953" s="478" t="s">
        <v>1418</v>
      </c>
      <c r="L1953" s="479"/>
      <c r="M1953" s="480"/>
      <c r="N1953" s="481"/>
      <c r="O1953" s="481"/>
      <c r="P1953" s="482"/>
      <c r="Q1953" s="479"/>
      <c r="R1953" s="480"/>
      <c r="S1953" s="480"/>
      <c r="T1953" s="480"/>
      <c r="U1953" s="480"/>
      <c r="V1953" s="480"/>
      <c r="W1953" s="480"/>
      <c r="X1953" s="480"/>
      <c r="Y1953" s="483">
        <f t="shared" si="17"/>
        <v>0</v>
      </c>
      <c r="Z1953" s="484"/>
      <c r="AA1953" s="485"/>
      <c r="AB1953" s="486"/>
      <c r="AC1953" s="486"/>
      <c r="AD1953" s="486"/>
      <c r="AE1953" s="487"/>
      <c r="AF1953" s="449"/>
      <c r="AG1953" s="449"/>
      <c r="AH1953" s="449"/>
    </row>
    <row r="1954" ht="11.25" customHeight="1">
      <c r="A1954" s="431" t="str">
        <f>IF(B1954="","", YEAR(B1954))</f>
        <v/>
      </c>
      <c r="B1954" s="432"/>
      <c r="C1954" s="433"/>
      <c r="D1954" s="433"/>
      <c r="E1954" s="434" t="str">
        <f t="shared" ref="E1954:I1954" si="984">IFERROR(AVERAGE(L1954:L1957),"")</f>
        <v/>
      </c>
      <c r="F1954" s="434" t="str">
        <f t="shared" si="984"/>
        <v/>
      </c>
      <c r="G1954" s="435" t="str">
        <f t="shared" si="984"/>
        <v/>
      </c>
      <c r="H1954" s="435" t="str">
        <f t="shared" si="984"/>
        <v/>
      </c>
      <c r="I1954" s="436" t="str">
        <f t="shared" si="984"/>
        <v/>
      </c>
      <c r="J1954" s="437">
        <f>SUMIFS(PRODUCTION[KG],PRODUCTION[GRADE],"3X50",PRODUCTION[DATE],B1954,PRODUCTION[BATCH],C1954,PRODUCTION[SHIFT],D1954)</f>
        <v>0</v>
      </c>
      <c r="K1954" s="438" t="s">
        <v>1414</v>
      </c>
      <c r="L1954" s="443"/>
      <c r="M1954" s="440"/>
      <c r="N1954" s="441"/>
      <c r="O1954" s="441"/>
      <c r="P1954" s="442"/>
      <c r="Q1954" s="443"/>
      <c r="R1954" s="440"/>
      <c r="S1954" s="440"/>
      <c r="T1954" s="440"/>
      <c r="U1954" s="440"/>
      <c r="V1954" s="440"/>
      <c r="W1954" s="440"/>
      <c r="X1954" s="440"/>
      <c r="Y1954" s="444">
        <f t="shared" si="17"/>
        <v>0</v>
      </c>
      <c r="Z1954" s="445"/>
      <c r="AA1954" s="446">
        <f t="shared" ref="AA1954:AE1954" si="985">$J1954*E1954</f>
        <v>0</v>
      </c>
      <c r="AB1954" s="447">
        <f t="shared" si="985"/>
        <v>0</v>
      </c>
      <c r="AC1954" s="447">
        <f t="shared" si="985"/>
        <v>0</v>
      </c>
      <c r="AD1954" s="447">
        <f t="shared" si="985"/>
        <v>0</v>
      </c>
      <c r="AE1954" s="448">
        <f t="shared" si="985"/>
        <v>0</v>
      </c>
      <c r="AF1954" s="449"/>
      <c r="AG1954" s="449"/>
      <c r="AH1954" s="449"/>
    </row>
    <row r="1955" ht="11.25" customHeight="1">
      <c r="A1955" s="450"/>
      <c r="B1955" s="451"/>
      <c r="C1955" s="452"/>
      <c r="D1955" s="452"/>
      <c r="E1955" s="453"/>
      <c r="F1955" s="453"/>
      <c r="G1955" s="454"/>
      <c r="H1955" s="454"/>
      <c r="I1955" s="455"/>
      <c r="J1955" s="456"/>
      <c r="K1955" s="457" t="s">
        <v>1416</v>
      </c>
      <c r="L1955" s="458"/>
      <c r="M1955" s="459"/>
      <c r="N1955" s="460"/>
      <c r="O1955" s="460"/>
      <c r="P1955" s="461"/>
      <c r="Q1955" s="458"/>
      <c r="R1955" s="459"/>
      <c r="S1955" s="459"/>
      <c r="T1955" s="459"/>
      <c r="U1955" s="459"/>
      <c r="V1955" s="459"/>
      <c r="W1955" s="459"/>
      <c r="X1955" s="459"/>
      <c r="Y1955" s="462">
        <f t="shared" si="17"/>
        <v>0</v>
      </c>
      <c r="Z1955" s="463"/>
      <c r="AA1955" s="464"/>
      <c r="AB1955" s="465"/>
      <c r="AC1955" s="465"/>
      <c r="AD1955" s="465"/>
      <c r="AE1955" s="466"/>
      <c r="AF1955" s="449"/>
      <c r="AG1955" s="449"/>
      <c r="AH1955" s="449"/>
    </row>
    <row r="1956" ht="11.25" customHeight="1">
      <c r="A1956" s="450"/>
      <c r="B1956" s="451"/>
      <c r="C1956" s="452"/>
      <c r="D1956" s="452"/>
      <c r="E1956" s="453"/>
      <c r="F1956" s="453"/>
      <c r="G1956" s="454"/>
      <c r="H1956" s="454"/>
      <c r="I1956" s="455"/>
      <c r="J1956" s="456"/>
      <c r="K1956" s="467" t="s">
        <v>1417</v>
      </c>
      <c r="L1956" s="468"/>
      <c r="M1956" s="469"/>
      <c r="N1956" s="470"/>
      <c r="O1956" s="470"/>
      <c r="P1956" s="471"/>
      <c r="Q1956" s="468"/>
      <c r="R1956" s="469"/>
      <c r="S1956" s="469"/>
      <c r="T1956" s="469"/>
      <c r="U1956" s="469"/>
      <c r="V1956" s="469"/>
      <c r="W1956" s="469"/>
      <c r="X1956" s="469"/>
      <c r="Y1956" s="462">
        <f t="shared" si="17"/>
        <v>0</v>
      </c>
      <c r="Z1956" s="463"/>
      <c r="AA1956" s="464"/>
      <c r="AB1956" s="465"/>
      <c r="AC1956" s="465"/>
      <c r="AD1956" s="465"/>
      <c r="AE1956" s="466"/>
      <c r="AF1956" s="449"/>
      <c r="AG1956" s="449"/>
      <c r="AH1956" s="449"/>
    </row>
    <row r="1957" ht="11.25" customHeight="1">
      <c r="A1957" s="450"/>
      <c r="B1957" s="472"/>
      <c r="C1957" s="473"/>
      <c r="D1957" s="473"/>
      <c r="E1957" s="474"/>
      <c r="F1957" s="474"/>
      <c r="G1957" s="475"/>
      <c r="H1957" s="475"/>
      <c r="I1957" s="476"/>
      <c r="J1957" s="477"/>
      <c r="K1957" s="478" t="s">
        <v>1418</v>
      </c>
      <c r="L1957" s="479"/>
      <c r="M1957" s="480"/>
      <c r="N1957" s="481"/>
      <c r="O1957" s="481"/>
      <c r="P1957" s="482"/>
      <c r="Q1957" s="479"/>
      <c r="R1957" s="480"/>
      <c r="S1957" s="480"/>
      <c r="T1957" s="480"/>
      <c r="U1957" s="480"/>
      <c r="V1957" s="480"/>
      <c r="W1957" s="480"/>
      <c r="X1957" s="480"/>
      <c r="Y1957" s="483">
        <f t="shared" si="17"/>
        <v>0</v>
      </c>
      <c r="Z1957" s="484"/>
      <c r="AA1957" s="485"/>
      <c r="AB1957" s="486"/>
      <c r="AC1957" s="486"/>
      <c r="AD1957" s="486"/>
      <c r="AE1957" s="487"/>
      <c r="AF1957" s="449"/>
      <c r="AG1957" s="449"/>
      <c r="AH1957" s="449"/>
    </row>
    <row r="1958" ht="11.25" customHeight="1">
      <c r="A1958" s="431" t="str">
        <f>IF(B1958="","", YEAR(B1958))</f>
        <v/>
      </c>
      <c r="B1958" s="432"/>
      <c r="C1958" s="433"/>
      <c r="D1958" s="433"/>
      <c r="E1958" s="434" t="str">
        <f t="shared" ref="E1958:I1958" si="986">IFERROR(AVERAGE(L1958:L1961),"")</f>
        <v/>
      </c>
      <c r="F1958" s="434" t="str">
        <f t="shared" si="986"/>
        <v/>
      </c>
      <c r="G1958" s="435" t="str">
        <f t="shared" si="986"/>
        <v/>
      </c>
      <c r="H1958" s="435" t="str">
        <f t="shared" si="986"/>
        <v/>
      </c>
      <c r="I1958" s="436" t="str">
        <f t="shared" si="986"/>
        <v/>
      </c>
      <c r="J1958" s="437">
        <f>SUMIFS(PRODUCTION[KG],PRODUCTION[GRADE],"3X50",PRODUCTION[DATE],B1958,PRODUCTION[BATCH],C1958,PRODUCTION[SHIFT],D1958)</f>
        <v>0</v>
      </c>
      <c r="K1958" s="438" t="s">
        <v>1414</v>
      </c>
      <c r="L1958" s="443"/>
      <c r="M1958" s="440"/>
      <c r="N1958" s="441"/>
      <c r="O1958" s="441"/>
      <c r="P1958" s="442"/>
      <c r="Q1958" s="443"/>
      <c r="R1958" s="440"/>
      <c r="S1958" s="440"/>
      <c r="T1958" s="440"/>
      <c r="U1958" s="440"/>
      <c r="V1958" s="440"/>
      <c r="W1958" s="440"/>
      <c r="X1958" s="440"/>
      <c r="Y1958" s="444">
        <f t="shared" si="17"/>
        <v>0</v>
      </c>
      <c r="Z1958" s="445"/>
      <c r="AA1958" s="446">
        <f t="shared" ref="AA1958:AE1958" si="987">$J1958*E1958</f>
        <v>0</v>
      </c>
      <c r="AB1958" s="447">
        <f t="shared" si="987"/>
        <v>0</v>
      </c>
      <c r="AC1958" s="447">
        <f t="shared" si="987"/>
        <v>0</v>
      </c>
      <c r="AD1958" s="447">
        <f t="shared" si="987"/>
        <v>0</v>
      </c>
      <c r="AE1958" s="448">
        <f t="shared" si="987"/>
        <v>0</v>
      </c>
      <c r="AF1958" s="449"/>
      <c r="AG1958" s="449"/>
      <c r="AH1958" s="449"/>
    </row>
    <row r="1959" ht="11.25" customHeight="1">
      <c r="A1959" s="450"/>
      <c r="B1959" s="451"/>
      <c r="C1959" s="452"/>
      <c r="D1959" s="452"/>
      <c r="E1959" s="453"/>
      <c r="F1959" s="453"/>
      <c r="G1959" s="454"/>
      <c r="H1959" s="454"/>
      <c r="I1959" s="455"/>
      <c r="J1959" s="456"/>
      <c r="K1959" s="457" t="s">
        <v>1416</v>
      </c>
      <c r="L1959" s="458"/>
      <c r="M1959" s="459"/>
      <c r="N1959" s="460"/>
      <c r="O1959" s="460"/>
      <c r="P1959" s="461"/>
      <c r="Q1959" s="458"/>
      <c r="R1959" s="459"/>
      <c r="S1959" s="459"/>
      <c r="T1959" s="459"/>
      <c r="U1959" s="459"/>
      <c r="V1959" s="459"/>
      <c r="W1959" s="459"/>
      <c r="X1959" s="459"/>
      <c r="Y1959" s="462">
        <f t="shared" si="17"/>
        <v>0</v>
      </c>
      <c r="Z1959" s="463"/>
      <c r="AA1959" s="464"/>
      <c r="AB1959" s="465"/>
      <c r="AC1959" s="465"/>
      <c r="AD1959" s="465"/>
      <c r="AE1959" s="466"/>
      <c r="AF1959" s="449"/>
      <c r="AG1959" s="449"/>
      <c r="AH1959" s="449"/>
    </row>
    <row r="1960" ht="11.25" customHeight="1">
      <c r="A1960" s="450"/>
      <c r="B1960" s="451"/>
      <c r="C1960" s="452"/>
      <c r="D1960" s="452"/>
      <c r="E1960" s="453"/>
      <c r="F1960" s="453"/>
      <c r="G1960" s="454"/>
      <c r="H1960" s="454"/>
      <c r="I1960" s="455"/>
      <c r="J1960" s="456"/>
      <c r="K1960" s="467" t="s">
        <v>1417</v>
      </c>
      <c r="L1960" s="468"/>
      <c r="M1960" s="469"/>
      <c r="N1960" s="470"/>
      <c r="O1960" s="470"/>
      <c r="P1960" s="471"/>
      <c r="Q1960" s="468"/>
      <c r="R1960" s="469"/>
      <c r="S1960" s="469"/>
      <c r="T1960" s="469"/>
      <c r="U1960" s="469"/>
      <c r="V1960" s="469"/>
      <c r="W1960" s="469"/>
      <c r="X1960" s="469"/>
      <c r="Y1960" s="462">
        <f t="shared" si="17"/>
        <v>0</v>
      </c>
      <c r="Z1960" s="463"/>
      <c r="AA1960" s="464"/>
      <c r="AB1960" s="465"/>
      <c r="AC1960" s="465"/>
      <c r="AD1960" s="465"/>
      <c r="AE1960" s="466"/>
      <c r="AF1960" s="449"/>
      <c r="AG1960" s="449"/>
      <c r="AH1960" s="449"/>
    </row>
    <row r="1961" ht="11.25" customHeight="1">
      <c r="A1961" s="450"/>
      <c r="B1961" s="472"/>
      <c r="C1961" s="473"/>
      <c r="D1961" s="473"/>
      <c r="E1961" s="474"/>
      <c r="F1961" s="474"/>
      <c r="G1961" s="475"/>
      <c r="H1961" s="475"/>
      <c r="I1961" s="476"/>
      <c r="J1961" s="477"/>
      <c r="K1961" s="478" t="s">
        <v>1418</v>
      </c>
      <c r="L1961" s="479"/>
      <c r="M1961" s="480"/>
      <c r="N1961" s="481"/>
      <c r="O1961" s="481"/>
      <c r="P1961" s="482"/>
      <c r="Q1961" s="479"/>
      <c r="R1961" s="480"/>
      <c r="S1961" s="480"/>
      <c r="T1961" s="480"/>
      <c r="U1961" s="480"/>
      <c r="V1961" s="480"/>
      <c r="W1961" s="480"/>
      <c r="X1961" s="480"/>
      <c r="Y1961" s="483">
        <f t="shared" si="17"/>
        <v>0</v>
      </c>
      <c r="Z1961" s="484"/>
      <c r="AA1961" s="485"/>
      <c r="AB1961" s="486"/>
      <c r="AC1961" s="486"/>
      <c r="AD1961" s="486"/>
      <c r="AE1961" s="487"/>
      <c r="AF1961" s="449"/>
      <c r="AG1961" s="449"/>
      <c r="AH1961" s="449"/>
    </row>
    <row r="1962" ht="11.25" customHeight="1">
      <c r="A1962" s="431" t="str">
        <f>IF(B1962="","", YEAR(B1962))</f>
        <v/>
      </c>
      <c r="B1962" s="432"/>
      <c r="C1962" s="433"/>
      <c r="D1962" s="433"/>
      <c r="E1962" s="434" t="str">
        <f t="shared" ref="E1962:I1962" si="988">IFERROR(AVERAGE(L1962:L1965),"")</f>
        <v/>
      </c>
      <c r="F1962" s="434" t="str">
        <f t="shared" si="988"/>
        <v/>
      </c>
      <c r="G1962" s="435" t="str">
        <f t="shared" si="988"/>
        <v/>
      </c>
      <c r="H1962" s="435" t="str">
        <f t="shared" si="988"/>
        <v/>
      </c>
      <c r="I1962" s="436" t="str">
        <f t="shared" si="988"/>
        <v/>
      </c>
      <c r="J1962" s="437">
        <f>SUMIFS(PRODUCTION[KG],PRODUCTION[GRADE],"3X50",PRODUCTION[DATE],B1962,PRODUCTION[BATCH],C1962,PRODUCTION[SHIFT],D1962)</f>
        <v>0</v>
      </c>
      <c r="K1962" s="438" t="s">
        <v>1414</v>
      </c>
      <c r="L1962" s="443"/>
      <c r="M1962" s="440"/>
      <c r="N1962" s="441"/>
      <c r="O1962" s="441"/>
      <c r="P1962" s="442"/>
      <c r="Q1962" s="443"/>
      <c r="R1962" s="440"/>
      <c r="S1962" s="440"/>
      <c r="T1962" s="440"/>
      <c r="U1962" s="440"/>
      <c r="V1962" s="440"/>
      <c r="W1962" s="440"/>
      <c r="X1962" s="440"/>
      <c r="Y1962" s="444">
        <f t="shared" si="17"/>
        <v>0</v>
      </c>
      <c r="Z1962" s="445"/>
      <c r="AA1962" s="446">
        <f t="shared" ref="AA1962:AE1962" si="989">$J1962*E1962</f>
        <v>0</v>
      </c>
      <c r="AB1962" s="447">
        <f t="shared" si="989"/>
        <v>0</v>
      </c>
      <c r="AC1962" s="447">
        <f t="shared" si="989"/>
        <v>0</v>
      </c>
      <c r="AD1962" s="447">
        <f t="shared" si="989"/>
        <v>0</v>
      </c>
      <c r="AE1962" s="448">
        <f t="shared" si="989"/>
        <v>0</v>
      </c>
      <c r="AF1962" s="449"/>
      <c r="AG1962" s="449"/>
      <c r="AH1962" s="449"/>
    </row>
    <row r="1963" ht="11.25" customHeight="1">
      <c r="A1963" s="450"/>
      <c r="B1963" s="451"/>
      <c r="C1963" s="452"/>
      <c r="D1963" s="452"/>
      <c r="E1963" s="453"/>
      <c r="F1963" s="453"/>
      <c r="G1963" s="454"/>
      <c r="H1963" s="454"/>
      <c r="I1963" s="455"/>
      <c r="J1963" s="456"/>
      <c r="K1963" s="457" t="s">
        <v>1416</v>
      </c>
      <c r="L1963" s="458"/>
      <c r="M1963" s="459"/>
      <c r="N1963" s="460"/>
      <c r="O1963" s="460"/>
      <c r="P1963" s="461"/>
      <c r="Q1963" s="458"/>
      <c r="R1963" s="459"/>
      <c r="S1963" s="459"/>
      <c r="T1963" s="459"/>
      <c r="U1963" s="459"/>
      <c r="V1963" s="459"/>
      <c r="W1963" s="459"/>
      <c r="X1963" s="459"/>
      <c r="Y1963" s="462">
        <f t="shared" si="17"/>
        <v>0</v>
      </c>
      <c r="Z1963" s="463"/>
      <c r="AA1963" s="464"/>
      <c r="AB1963" s="465"/>
      <c r="AC1963" s="465"/>
      <c r="AD1963" s="465"/>
      <c r="AE1963" s="466"/>
      <c r="AF1963" s="449"/>
      <c r="AG1963" s="449"/>
      <c r="AH1963" s="449"/>
    </row>
    <row r="1964" ht="11.25" customHeight="1">
      <c r="A1964" s="450"/>
      <c r="B1964" s="451"/>
      <c r="C1964" s="452"/>
      <c r="D1964" s="452"/>
      <c r="E1964" s="453"/>
      <c r="F1964" s="453"/>
      <c r="G1964" s="454"/>
      <c r="H1964" s="454"/>
      <c r="I1964" s="455"/>
      <c r="J1964" s="456"/>
      <c r="K1964" s="467" t="s">
        <v>1417</v>
      </c>
      <c r="L1964" s="468"/>
      <c r="M1964" s="469"/>
      <c r="N1964" s="470"/>
      <c r="O1964" s="470"/>
      <c r="P1964" s="471"/>
      <c r="Q1964" s="468"/>
      <c r="R1964" s="469"/>
      <c r="S1964" s="469"/>
      <c r="T1964" s="469"/>
      <c r="U1964" s="469"/>
      <c r="V1964" s="469"/>
      <c r="W1964" s="469"/>
      <c r="X1964" s="469"/>
      <c r="Y1964" s="462">
        <f t="shared" si="17"/>
        <v>0</v>
      </c>
      <c r="Z1964" s="463"/>
      <c r="AA1964" s="464"/>
      <c r="AB1964" s="465"/>
      <c r="AC1964" s="465"/>
      <c r="AD1964" s="465"/>
      <c r="AE1964" s="466"/>
      <c r="AF1964" s="449"/>
      <c r="AG1964" s="449"/>
      <c r="AH1964" s="449"/>
    </row>
    <row r="1965" ht="11.25" customHeight="1">
      <c r="A1965" s="450"/>
      <c r="B1965" s="472"/>
      <c r="C1965" s="473"/>
      <c r="D1965" s="473"/>
      <c r="E1965" s="474"/>
      <c r="F1965" s="474"/>
      <c r="G1965" s="475"/>
      <c r="H1965" s="475"/>
      <c r="I1965" s="476"/>
      <c r="J1965" s="477"/>
      <c r="K1965" s="478" t="s">
        <v>1418</v>
      </c>
      <c r="L1965" s="479"/>
      <c r="M1965" s="480"/>
      <c r="N1965" s="481"/>
      <c r="O1965" s="481"/>
      <c r="P1965" s="482"/>
      <c r="Q1965" s="479"/>
      <c r="R1965" s="480"/>
      <c r="S1965" s="480"/>
      <c r="T1965" s="480"/>
      <c r="U1965" s="480"/>
      <c r="V1965" s="480"/>
      <c r="W1965" s="480"/>
      <c r="X1965" s="480"/>
      <c r="Y1965" s="483">
        <f t="shared" si="17"/>
        <v>0</v>
      </c>
      <c r="Z1965" s="484"/>
      <c r="AA1965" s="485"/>
      <c r="AB1965" s="486"/>
      <c r="AC1965" s="486"/>
      <c r="AD1965" s="486"/>
      <c r="AE1965" s="487"/>
      <c r="AF1965" s="449"/>
      <c r="AG1965" s="449"/>
      <c r="AH1965" s="449"/>
    </row>
    <row r="1966" ht="11.25" customHeight="1">
      <c r="A1966" s="431" t="str">
        <f>IF(B1966="","", YEAR(B1966))</f>
        <v/>
      </c>
      <c r="B1966" s="432"/>
      <c r="C1966" s="433"/>
      <c r="D1966" s="433"/>
      <c r="E1966" s="434" t="str">
        <f t="shared" ref="E1966:I1966" si="990">IFERROR(AVERAGE(L1966:L1969),"")</f>
        <v/>
      </c>
      <c r="F1966" s="434" t="str">
        <f t="shared" si="990"/>
        <v/>
      </c>
      <c r="G1966" s="435" t="str">
        <f t="shared" si="990"/>
        <v/>
      </c>
      <c r="H1966" s="435" t="str">
        <f t="shared" si="990"/>
        <v/>
      </c>
      <c r="I1966" s="436" t="str">
        <f t="shared" si="990"/>
        <v/>
      </c>
      <c r="J1966" s="437">
        <f>SUMIFS(PRODUCTION[KG],PRODUCTION[GRADE],"3X50",PRODUCTION[DATE],B1966,PRODUCTION[BATCH],C1966,PRODUCTION[SHIFT],D1966)</f>
        <v>0</v>
      </c>
      <c r="K1966" s="438" t="s">
        <v>1414</v>
      </c>
      <c r="L1966" s="443"/>
      <c r="M1966" s="440"/>
      <c r="N1966" s="441"/>
      <c r="O1966" s="441"/>
      <c r="P1966" s="442"/>
      <c r="Q1966" s="443"/>
      <c r="R1966" s="440"/>
      <c r="S1966" s="440"/>
      <c r="T1966" s="440"/>
      <c r="U1966" s="440"/>
      <c r="V1966" s="440"/>
      <c r="W1966" s="440"/>
      <c r="X1966" s="440"/>
      <c r="Y1966" s="444">
        <f t="shared" si="17"/>
        <v>0</v>
      </c>
      <c r="Z1966" s="445"/>
      <c r="AA1966" s="446">
        <f t="shared" ref="AA1966:AE1966" si="991">$J1966*E1966</f>
        <v>0</v>
      </c>
      <c r="AB1966" s="447">
        <f t="shared" si="991"/>
        <v>0</v>
      </c>
      <c r="AC1966" s="447">
        <f t="shared" si="991"/>
        <v>0</v>
      </c>
      <c r="AD1966" s="447">
        <f t="shared" si="991"/>
        <v>0</v>
      </c>
      <c r="AE1966" s="448">
        <f t="shared" si="991"/>
        <v>0</v>
      </c>
      <c r="AF1966" s="449"/>
      <c r="AG1966" s="449"/>
      <c r="AH1966" s="449"/>
    </row>
    <row r="1967" ht="11.25" customHeight="1">
      <c r="A1967" s="450"/>
      <c r="B1967" s="451"/>
      <c r="C1967" s="452"/>
      <c r="D1967" s="452"/>
      <c r="E1967" s="453"/>
      <c r="F1967" s="453"/>
      <c r="G1967" s="454"/>
      <c r="H1967" s="454"/>
      <c r="I1967" s="455"/>
      <c r="J1967" s="456"/>
      <c r="K1967" s="457" t="s">
        <v>1416</v>
      </c>
      <c r="L1967" s="458"/>
      <c r="M1967" s="459"/>
      <c r="N1967" s="460"/>
      <c r="O1967" s="460"/>
      <c r="P1967" s="461"/>
      <c r="Q1967" s="458"/>
      <c r="R1967" s="459"/>
      <c r="S1967" s="459"/>
      <c r="T1967" s="459"/>
      <c r="U1967" s="459"/>
      <c r="V1967" s="459"/>
      <c r="W1967" s="459"/>
      <c r="X1967" s="459"/>
      <c r="Y1967" s="462">
        <f t="shared" si="17"/>
        <v>0</v>
      </c>
      <c r="Z1967" s="463"/>
      <c r="AA1967" s="464"/>
      <c r="AB1967" s="465"/>
      <c r="AC1967" s="465"/>
      <c r="AD1967" s="465"/>
      <c r="AE1967" s="466"/>
      <c r="AF1967" s="449"/>
      <c r="AG1967" s="449"/>
      <c r="AH1967" s="449"/>
    </row>
    <row r="1968" ht="11.25" customHeight="1">
      <c r="A1968" s="450"/>
      <c r="B1968" s="451"/>
      <c r="C1968" s="452"/>
      <c r="D1968" s="452"/>
      <c r="E1968" s="453"/>
      <c r="F1968" s="453"/>
      <c r="G1968" s="454"/>
      <c r="H1968" s="454"/>
      <c r="I1968" s="455"/>
      <c r="J1968" s="456"/>
      <c r="K1968" s="467" t="s">
        <v>1417</v>
      </c>
      <c r="L1968" s="468"/>
      <c r="M1968" s="469"/>
      <c r="N1968" s="470"/>
      <c r="O1968" s="470"/>
      <c r="P1968" s="471"/>
      <c r="Q1968" s="468"/>
      <c r="R1968" s="469"/>
      <c r="S1968" s="469"/>
      <c r="T1968" s="469"/>
      <c r="U1968" s="469"/>
      <c r="V1968" s="469"/>
      <c r="W1968" s="469"/>
      <c r="X1968" s="469"/>
      <c r="Y1968" s="462">
        <f t="shared" si="17"/>
        <v>0</v>
      </c>
      <c r="Z1968" s="463"/>
      <c r="AA1968" s="464"/>
      <c r="AB1968" s="465"/>
      <c r="AC1968" s="465"/>
      <c r="AD1968" s="465"/>
      <c r="AE1968" s="466"/>
      <c r="AF1968" s="449"/>
      <c r="AG1968" s="449"/>
      <c r="AH1968" s="449"/>
    </row>
    <row r="1969" ht="11.25" customHeight="1">
      <c r="A1969" s="450"/>
      <c r="B1969" s="472"/>
      <c r="C1969" s="473"/>
      <c r="D1969" s="473"/>
      <c r="E1969" s="474"/>
      <c r="F1969" s="474"/>
      <c r="G1969" s="475"/>
      <c r="H1969" s="475"/>
      <c r="I1969" s="476"/>
      <c r="J1969" s="477"/>
      <c r="K1969" s="478" t="s">
        <v>1418</v>
      </c>
      <c r="L1969" s="479"/>
      <c r="M1969" s="480"/>
      <c r="N1969" s="481"/>
      <c r="O1969" s="481"/>
      <c r="P1969" s="482"/>
      <c r="Q1969" s="479"/>
      <c r="R1969" s="480"/>
      <c r="S1969" s="480"/>
      <c r="T1969" s="480"/>
      <c r="U1969" s="480"/>
      <c r="V1969" s="480"/>
      <c r="W1969" s="480"/>
      <c r="X1969" s="480"/>
      <c r="Y1969" s="483">
        <f t="shared" si="17"/>
        <v>0</v>
      </c>
      <c r="Z1969" s="484"/>
      <c r="AA1969" s="485"/>
      <c r="AB1969" s="486"/>
      <c r="AC1969" s="486"/>
      <c r="AD1969" s="486"/>
      <c r="AE1969" s="487"/>
      <c r="AF1969" s="449"/>
      <c r="AG1969" s="449"/>
      <c r="AH1969" s="449"/>
    </row>
    <row r="1970" ht="11.25" customHeight="1">
      <c r="A1970" s="431" t="str">
        <f>IF(B1970="","", YEAR(B1970))</f>
        <v/>
      </c>
      <c r="B1970" s="432"/>
      <c r="C1970" s="433"/>
      <c r="D1970" s="433"/>
      <c r="E1970" s="434" t="str">
        <f t="shared" ref="E1970:I1970" si="992">IFERROR(AVERAGE(L1970:L1973),"")</f>
        <v/>
      </c>
      <c r="F1970" s="434" t="str">
        <f t="shared" si="992"/>
        <v/>
      </c>
      <c r="G1970" s="435" t="str">
        <f t="shared" si="992"/>
        <v/>
      </c>
      <c r="H1970" s="435" t="str">
        <f t="shared" si="992"/>
        <v/>
      </c>
      <c r="I1970" s="436" t="str">
        <f t="shared" si="992"/>
        <v/>
      </c>
      <c r="J1970" s="437">
        <f>SUMIFS(PRODUCTION[KG],PRODUCTION[GRADE],"3X50",PRODUCTION[DATE],B1970,PRODUCTION[BATCH],C1970,PRODUCTION[SHIFT],D1970)</f>
        <v>0</v>
      </c>
      <c r="K1970" s="438" t="s">
        <v>1414</v>
      </c>
      <c r="L1970" s="443"/>
      <c r="M1970" s="440"/>
      <c r="N1970" s="441"/>
      <c r="O1970" s="441"/>
      <c r="P1970" s="442"/>
      <c r="Q1970" s="443"/>
      <c r="R1970" s="440"/>
      <c r="S1970" s="440"/>
      <c r="T1970" s="440"/>
      <c r="U1970" s="440"/>
      <c r="V1970" s="440"/>
      <c r="W1970" s="440"/>
      <c r="X1970" s="440"/>
      <c r="Y1970" s="444">
        <f t="shared" si="17"/>
        <v>0</v>
      </c>
      <c r="Z1970" s="445"/>
      <c r="AA1970" s="446">
        <f t="shared" ref="AA1970:AE1970" si="993">$J1970*E1970</f>
        <v>0</v>
      </c>
      <c r="AB1970" s="447">
        <f t="shared" si="993"/>
        <v>0</v>
      </c>
      <c r="AC1970" s="447">
        <f t="shared" si="993"/>
        <v>0</v>
      </c>
      <c r="AD1970" s="447">
        <f t="shared" si="993"/>
        <v>0</v>
      </c>
      <c r="AE1970" s="448">
        <f t="shared" si="993"/>
        <v>0</v>
      </c>
      <c r="AF1970" s="449"/>
      <c r="AG1970" s="449"/>
      <c r="AH1970" s="449"/>
    </row>
    <row r="1971" ht="11.25" customHeight="1">
      <c r="A1971" s="450"/>
      <c r="B1971" s="451"/>
      <c r="C1971" s="452"/>
      <c r="D1971" s="452"/>
      <c r="E1971" s="453"/>
      <c r="F1971" s="453"/>
      <c r="G1971" s="454"/>
      <c r="H1971" s="454"/>
      <c r="I1971" s="455"/>
      <c r="J1971" s="456"/>
      <c r="K1971" s="457" t="s">
        <v>1416</v>
      </c>
      <c r="L1971" s="458"/>
      <c r="M1971" s="459"/>
      <c r="N1971" s="460"/>
      <c r="O1971" s="460"/>
      <c r="P1971" s="461"/>
      <c r="Q1971" s="458"/>
      <c r="R1971" s="459"/>
      <c r="S1971" s="459"/>
      <c r="T1971" s="459"/>
      <c r="U1971" s="459"/>
      <c r="V1971" s="459"/>
      <c r="W1971" s="459"/>
      <c r="X1971" s="459"/>
      <c r="Y1971" s="462">
        <f t="shared" si="17"/>
        <v>0</v>
      </c>
      <c r="Z1971" s="463"/>
      <c r="AA1971" s="464"/>
      <c r="AB1971" s="465"/>
      <c r="AC1971" s="465"/>
      <c r="AD1971" s="465"/>
      <c r="AE1971" s="466"/>
      <c r="AF1971" s="449"/>
      <c r="AG1971" s="449"/>
      <c r="AH1971" s="449"/>
    </row>
    <row r="1972" ht="11.25" customHeight="1">
      <c r="A1972" s="450"/>
      <c r="B1972" s="451"/>
      <c r="C1972" s="452"/>
      <c r="D1972" s="452"/>
      <c r="E1972" s="453"/>
      <c r="F1972" s="453"/>
      <c r="G1972" s="454"/>
      <c r="H1972" s="454"/>
      <c r="I1972" s="455"/>
      <c r="J1972" s="456"/>
      <c r="K1972" s="467" t="s">
        <v>1417</v>
      </c>
      <c r="L1972" s="468"/>
      <c r="M1972" s="469"/>
      <c r="N1972" s="470"/>
      <c r="O1972" s="470"/>
      <c r="P1972" s="471"/>
      <c r="Q1972" s="468"/>
      <c r="R1972" s="469"/>
      <c r="S1972" s="469"/>
      <c r="T1972" s="469"/>
      <c r="U1972" s="469"/>
      <c r="V1972" s="469"/>
      <c r="W1972" s="469"/>
      <c r="X1972" s="469"/>
      <c r="Y1972" s="462">
        <f t="shared" si="17"/>
        <v>0</v>
      </c>
      <c r="Z1972" s="463"/>
      <c r="AA1972" s="464"/>
      <c r="AB1972" s="465"/>
      <c r="AC1972" s="465"/>
      <c r="AD1972" s="465"/>
      <c r="AE1972" s="466"/>
      <c r="AF1972" s="449"/>
      <c r="AG1972" s="449"/>
      <c r="AH1972" s="449"/>
    </row>
    <row r="1973" ht="11.25" customHeight="1">
      <c r="A1973" s="450"/>
      <c r="B1973" s="472"/>
      <c r="C1973" s="473"/>
      <c r="D1973" s="473"/>
      <c r="E1973" s="474"/>
      <c r="F1973" s="474"/>
      <c r="G1973" s="475"/>
      <c r="H1973" s="475"/>
      <c r="I1973" s="476"/>
      <c r="J1973" s="477"/>
      <c r="K1973" s="478" t="s">
        <v>1418</v>
      </c>
      <c r="L1973" s="479"/>
      <c r="M1973" s="480"/>
      <c r="N1973" s="481"/>
      <c r="O1973" s="481"/>
      <c r="P1973" s="482"/>
      <c r="Q1973" s="479"/>
      <c r="R1973" s="480"/>
      <c r="S1973" s="480"/>
      <c r="T1973" s="480"/>
      <c r="U1973" s="480"/>
      <c r="V1973" s="480"/>
      <c r="W1973" s="480"/>
      <c r="X1973" s="480"/>
      <c r="Y1973" s="483">
        <f t="shared" si="17"/>
        <v>0</v>
      </c>
      <c r="Z1973" s="484"/>
      <c r="AA1973" s="485"/>
      <c r="AB1973" s="486"/>
      <c r="AC1973" s="486"/>
      <c r="AD1973" s="486"/>
      <c r="AE1973" s="487"/>
      <c r="AF1973" s="449"/>
      <c r="AG1973" s="449"/>
      <c r="AH1973" s="449"/>
    </row>
    <row r="1974" ht="11.25" customHeight="1">
      <c r="A1974" s="431" t="str">
        <f>IF(B1974="","", YEAR(B1974))</f>
        <v/>
      </c>
      <c r="B1974" s="432"/>
      <c r="C1974" s="433"/>
      <c r="D1974" s="433"/>
      <c r="E1974" s="434" t="str">
        <f t="shared" ref="E1974:I1974" si="994">IFERROR(AVERAGE(L1974:L1977),"")</f>
        <v/>
      </c>
      <c r="F1974" s="434" t="str">
        <f t="shared" si="994"/>
        <v/>
      </c>
      <c r="G1974" s="435" t="str">
        <f t="shared" si="994"/>
        <v/>
      </c>
      <c r="H1974" s="435" t="str">
        <f t="shared" si="994"/>
        <v/>
      </c>
      <c r="I1974" s="436" t="str">
        <f t="shared" si="994"/>
        <v/>
      </c>
      <c r="J1974" s="437">
        <f>SUMIFS(PRODUCTION[KG],PRODUCTION[GRADE],"3X50",PRODUCTION[DATE],B1974,PRODUCTION[BATCH],C1974,PRODUCTION[SHIFT],D1974)</f>
        <v>0</v>
      </c>
      <c r="K1974" s="438" t="s">
        <v>1414</v>
      </c>
      <c r="L1974" s="443"/>
      <c r="M1974" s="440"/>
      <c r="N1974" s="441"/>
      <c r="O1974" s="441"/>
      <c r="P1974" s="442"/>
      <c r="Q1974" s="443"/>
      <c r="R1974" s="440"/>
      <c r="S1974" s="440"/>
      <c r="T1974" s="440"/>
      <c r="U1974" s="440"/>
      <c r="V1974" s="440"/>
      <c r="W1974" s="440"/>
      <c r="X1974" s="440"/>
      <c r="Y1974" s="444">
        <f t="shared" si="17"/>
        <v>0</v>
      </c>
      <c r="Z1974" s="445"/>
      <c r="AA1974" s="446">
        <f t="shared" ref="AA1974:AE1974" si="995">$J1974*E1974</f>
        <v>0</v>
      </c>
      <c r="AB1974" s="447">
        <f t="shared" si="995"/>
        <v>0</v>
      </c>
      <c r="AC1974" s="447">
        <f t="shared" si="995"/>
        <v>0</v>
      </c>
      <c r="AD1974" s="447">
        <f t="shared" si="995"/>
        <v>0</v>
      </c>
      <c r="AE1974" s="448">
        <f t="shared" si="995"/>
        <v>0</v>
      </c>
      <c r="AF1974" s="449"/>
      <c r="AG1974" s="449"/>
      <c r="AH1974" s="449"/>
    </row>
    <row r="1975" ht="11.25" customHeight="1">
      <c r="A1975" s="450"/>
      <c r="B1975" s="451"/>
      <c r="C1975" s="452"/>
      <c r="D1975" s="452"/>
      <c r="E1975" s="453"/>
      <c r="F1975" s="453"/>
      <c r="G1975" s="454"/>
      <c r="H1975" s="454"/>
      <c r="I1975" s="455"/>
      <c r="J1975" s="456"/>
      <c r="K1975" s="457" t="s">
        <v>1416</v>
      </c>
      <c r="L1975" s="458"/>
      <c r="M1975" s="459"/>
      <c r="N1975" s="460"/>
      <c r="O1975" s="460"/>
      <c r="P1975" s="461"/>
      <c r="Q1975" s="458"/>
      <c r="R1975" s="459"/>
      <c r="S1975" s="459"/>
      <c r="T1975" s="459"/>
      <c r="U1975" s="459"/>
      <c r="V1975" s="459"/>
      <c r="W1975" s="459"/>
      <c r="X1975" s="459"/>
      <c r="Y1975" s="462">
        <f t="shared" si="17"/>
        <v>0</v>
      </c>
      <c r="Z1975" s="463"/>
      <c r="AA1975" s="464"/>
      <c r="AB1975" s="465"/>
      <c r="AC1975" s="465"/>
      <c r="AD1975" s="465"/>
      <c r="AE1975" s="466"/>
      <c r="AF1975" s="449"/>
      <c r="AG1975" s="449"/>
      <c r="AH1975" s="449"/>
    </row>
    <row r="1976" ht="11.25" customHeight="1">
      <c r="A1976" s="450"/>
      <c r="B1976" s="451"/>
      <c r="C1976" s="452"/>
      <c r="D1976" s="452"/>
      <c r="E1976" s="453"/>
      <c r="F1976" s="453"/>
      <c r="G1976" s="454"/>
      <c r="H1976" s="454"/>
      <c r="I1976" s="455"/>
      <c r="J1976" s="456"/>
      <c r="K1976" s="467" t="s">
        <v>1417</v>
      </c>
      <c r="L1976" s="468"/>
      <c r="M1976" s="469"/>
      <c r="N1976" s="470"/>
      <c r="O1976" s="470"/>
      <c r="P1976" s="471"/>
      <c r="Q1976" s="468"/>
      <c r="R1976" s="469"/>
      <c r="S1976" s="469"/>
      <c r="T1976" s="469"/>
      <c r="U1976" s="469"/>
      <c r="V1976" s="469"/>
      <c r="W1976" s="469"/>
      <c r="X1976" s="469"/>
      <c r="Y1976" s="462">
        <f t="shared" si="17"/>
        <v>0</v>
      </c>
      <c r="Z1976" s="463"/>
      <c r="AA1976" s="464"/>
      <c r="AB1976" s="465"/>
      <c r="AC1976" s="465"/>
      <c r="AD1976" s="465"/>
      <c r="AE1976" s="466"/>
      <c r="AF1976" s="449"/>
      <c r="AG1976" s="449"/>
      <c r="AH1976" s="449"/>
    </row>
    <row r="1977" ht="11.25" customHeight="1">
      <c r="A1977" s="450"/>
      <c r="B1977" s="472"/>
      <c r="C1977" s="473"/>
      <c r="D1977" s="473"/>
      <c r="E1977" s="474"/>
      <c r="F1977" s="474"/>
      <c r="G1977" s="475"/>
      <c r="H1977" s="475"/>
      <c r="I1977" s="476"/>
      <c r="J1977" s="477"/>
      <c r="K1977" s="478" t="s">
        <v>1418</v>
      </c>
      <c r="L1977" s="479"/>
      <c r="M1977" s="480"/>
      <c r="N1977" s="481"/>
      <c r="O1977" s="481"/>
      <c r="P1977" s="482"/>
      <c r="Q1977" s="479"/>
      <c r="R1977" s="480"/>
      <c r="S1977" s="480"/>
      <c r="T1977" s="480"/>
      <c r="U1977" s="480"/>
      <c r="V1977" s="480"/>
      <c r="W1977" s="480"/>
      <c r="X1977" s="480"/>
      <c r="Y1977" s="483">
        <f t="shared" si="17"/>
        <v>0</v>
      </c>
      <c r="Z1977" s="484"/>
      <c r="AA1977" s="485"/>
      <c r="AB1977" s="486"/>
      <c r="AC1977" s="486"/>
      <c r="AD1977" s="486"/>
      <c r="AE1977" s="487"/>
      <c r="AF1977" s="449"/>
      <c r="AG1977" s="449"/>
      <c r="AH1977" s="449"/>
    </row>
    <row r="1978" ht="11.25" customHeight="1">
      <c r="A1978" s="431" t="str">
        <f>IF(B1978="","", YEAR(B1978))</f>
        <v/>
      </c>
      <c r="B1978" s="432"/>
      <c r="C1978" s="433"/>
      <c r="D1978" s="433"/>
      <c r="E1978" s="434" t="str">
        <f t="shared" ref="E1978:I1978" si="996">IFERROR(AVERAGE(L1978:L1981),"")</f>
        <v/>
      </c>
      <c r="F1978" s="434" t="str">
        <f t="shared" si="996"/>
        <v/>
      </c>
      <c r="G1978" s="435" t="str">
        <f t="shared" si="996"/>
        <v/>
      </c>
      <c r="H1978" s="435" t="str">
        <f t="shared" si="996"/>
        <v/>
      </c>
      <c r="I1978" s="436" t="str">
        <f t="shared" si="996"/>
        <v/>
      </c>
      <c r="J1978" s="437">
        <f>SUMIFS(PRODUCTION[KG],PRODUCTION[GRADE],"3X50",PRODUCTION[DATE],B1978,PRODUCTION[BATCH],C1978,PRODUCTION[SHIFT],D1978)</f>
        <v>0</v>
      </c>
      <c r="K1978" s="438" t="s">
        <v>1414</v>
      </c>
      <c r="L1978" s="443"/>
      <c r="M1978" s="440"/>
      <c r="N1978" s="441"/>
      <c r="O1978" s="441"/>
      <c r="P1978" s="442"/>
      <c r="Q1978" s="443"/>
      <c r="R1978" s="440"/>
      <c r="S1978" s="440"/>
      <c r="T1978" s="440"/>
      <c r="U1978" s="440"/>
      <c r="V1978" s="440"/>
      <c r="W1978" s="440"/>
      <c r="X1978" s="440"/>
      <c r="Y1978" s="444">
        <f t="shared" si="17"/>
        <v>0</v>
      </c>
      <c r="Z1978" s="445"/>
      <c r="AA1978" s="446">
        <f t="shared" ref="AA1978:AE1978" si="997">$J1978*E1978</f>
        <v>0</v>
      </c>
      <c r="AB1978" s="447">
        <f t="shared" si="997"/>
        <v>0</v>
      </c>
      <c r="AC1978" s="447">
        <f t="shared" si="997"/>
        <v>0</v>
      </c>
      <c r="AD1978" s="447">
        <f t="shared" si="997"/>
        <v>0</v>
      </c>
      <c r="AE1978" s="448">
        <f t="shared" si="997"/>
        <v>0</v>
      </c>
      <c r="AF1978" s="449"/>
      <c r="AG1978" s="449"/>
      <c r="AH1978" s="449"/>
    </row>
    <row r="1979" ht="11.25" customHeight="1">
      <c r="A1979" s="450"/>
      <c r="B1979" s="451"/>
      <c r="C1979" s="452"/>
      <c r="D1979" s="452"/>
      <c r="E1979" s="453"/>
      <c r="F1979" s="453"/>
      <c r="G1979" s="454"/>
      <c r="H1979" s="454"/>
      <c r="I1979" s="455"/>
      <c r="J1979" s="456"/>
      <c r="K1979" s="457" t="s">
        <v>1416</v>
      </c>
      <c r="L1979" s="458"/>
      <c r="M1979" s="459"/>
      <c r="N1979" s="460"/>
      <c r="O1979" s="460"/>
      <c r="P1979" s="461"/>
      <c r="Q1979" s="458"/>
      <c r="R1979" s="459"/>
      <c r="S1979" s="459"/>
      <c r="T1979" s="459"/>
      <c r="U1979" s="459"/>
      <c r="V1979" s="459"/>
      <c r="W1979" s="459"/>
      <c r="X1979" s="459"/>
      <c r="Y1979" s="462">
        <f t="shared" si="17"/>
        <v>0</v>
      </c>
      <c r="Z1979" s="463"/>
      <c r="AA1979" s="464"/>
      <c r="AB1979" s="465"/>
      <c r="AC1979" s="465"/>
      <c r="AD1979" s="465"/>
      <c r="AE1979" s="466"/>
      <c r="AF1979" s="449"/>
      <c r="AG1979" s="449"/>
      <c r="AH1979" s="449"/>
    </row>
    <row r="1980" ht="11.25" customHeight="1">
      <c r="A1980" s="450"/>
      <c r="B1980" s="451"/>
      <c r="C1980" s="452"/>
      <c r="D1980" s="452"/>
      <c r="E1980" s="453"/>
      <c r="F1980" s="453"/>
      <c r="G1980" s="454"/>
      <c r="H1980" s="454"/>
      <c r="I1980" s="455"/>
      <c r="J1980" s="456"/>
      <c r="K1980" s="467" t="s">
        <v>1417</v>
      </c>
      <c r="L1980" s="468"/>
      <c r="M1980" s="469"/>
      <c r="N1980" s="470"/>
      <c r="O1980" s="470"/>
      <c r="P1980" s="471"/>
      <c r="Q1980" s="468"/>
      <c r="R1980" s="469"/>
      <c r="S1980" s="469"/>
      <c r="T1980" s="469"/>
      <c r="U1980" s="469"/>
      <c r="V1980" s="469"/>
      <c r="W1980" s="469"/>
      <c r="X1980" s="469"/>
      <c r="Y1980" s="462">
        <f t="shared" si="17"/>
        <v>0</v>
      </c>
      <c r="Z1980" s="463"/>
      <c r="AA1980" s="464"/>
      <c r="AB1980" s="465"/>
      <c r="AC1980" s="465"/>
      <c r="AD1980" s="465"/>
      <c r="AE1980" s="466"/>
      <c r="AF1980" s="449"/>
      <c r="AG1980" s="449"/>
      <c r="AH1980" s="449"/>
    </row>
    <row r="1981" ht="11.25" customHeight="1">
      <c r="A1981" s="450"/>
      <c r="B1981" s="472"/>
      <c r="C1981" s="473"/>
      <c r="D1981" s="473"/>
      <c r="E1981" s="474"/>
      <c r="F1981" s="474"/>
      <c r="G1981" s="475"/>
      <c r="H1981" s="475"/>
      <c r="I1981" s="476"/>
      <c r="J1981" s="477"/>
      <c r="K1981" s="478" t="s">
        <v>1418</v>
      </c>
      <c r="L1981" s="479"/>
      <c r="M1981" s="480"/>
      <c r="N1981" s="481"/>
      <c r="O1981" s="481"/>
      <c r="P1981" s="482"/>
      <c r="Q1981" s="479"/>
      <c r="R1981" s="480"/>
      <c r="S1981" s="480"/>
      <c r="T1981" s="480"/>
      <c r="U1981" s="480"/>
      <c r="V1981" s="480"/>
      <c r="W1981" s="480"/>
      <c r="X1981" s="480"/>
      <c r="Y1981" s="483">
        <f t="shared" si="17"/>
        <v>0</v>
      </c>
      <c r="Z1981" s="484"/>
      <c r="AA1981" s="485"/>
      <c r="AB1981" s="486"/>
      <c r="AC1981" s="486"/>
      <c r="AD1981" s="486"/>
      <c r="AE1981" s="487"/>
      <c r="AF1981" s="449"/>
      <c r="AG1981" s="449"/>
      <c r="AH1981" s="449"/>
    </row>
    <row r="1982" ht="11.25" customHeight="1">
      <c r="A1982" s="431" t="str">
        <f>IF(B1982="","", YEAR(B1982))</f>
        <v/>
      </c>
      <c r="B1982" s="432"/>
      <c r="C1982" s="433"/>
      <c r="D1982" s="433"/>
      <c r="E1982" s="434" t="str">
        <f t="shared" ref="E1982:I1982" si="998">IFERROR(AVERAGE(L1982:L1985),"")</f>
        <v/>
      </c>
      <c r="F1982" s="434" t="str">
        <f t="shared" si="998"/>
        <v/>
      </c>
      <c r="G1982" s="435" t="str">
        <f t="shared" si="998"/>
        <v/>
      </c>
      <c r="H1982" s="435" t="str">
        <f t="shared" si="998"/>
        <v/>
      </c>
      <c r="I1982" s="436" t="str">
        <f t="shared" si="998"/>
        <v/>
      </c>
      <c r="J1982" s="437">
        <f>SUMIFS(PRODUCTION[KG],PRODUCTION[GRADE],"3X50",PRODUCTION[DATE],B1982,PRODUCTION[BATCH],C1982,PRODUCTION[SHIFT],D1982)</f>
        <v>0</v>
      </c>
      <c r="K1982" s="438" t="s">
        <v>1414</v>
      </c>
      <c r="L1982" s="443"/>
      <c r="M1982" s="440"/>
      <c r="N1982" s="441"/>
      <c r="O1982" s="441"/>
      <c r="P1982" s="442"/>
      <c r="Q1982" s="443"/>
      <c r="R1982" s="440"/>
      <c r="S1982" s="440"/>
      <c r="T1982" s="440"/>
      <c r="U1982" s="440"/>
      <c r="V1982" s="440"/>
      <c r="W1982" s="440"/>
      <c r="X1982" s="440"/>
      <c r="Y1982" s="444">
        <f t="shared" si="17"/>
        <v>0</v>
      </c>
      <c r="Z1982" s="445"/>
      <c r="AA1982" s="446">
        <f t="shared" ref="AA1982:AE1982" si="999">$J1982*E1982</f>
        <v>0</v>
      </c>
      <c r="AB1982" s="447">
        <f t="shared" si="999"/>
        <v>0</v>
      </c>
      <c r="AC1982" s="447">
        <f t="shared" si="999"/>
        <v>0</v>
      </c>
      <c r="AD1982" s="447">
        <f t="shared" si="999"/>
        <v>0</v>
      </c>
      <c r="AE1982" s="448">
        <f t="shared" si="999"/>
        <v>0</v>
      </c>
      <c r="AF1982" s="449"/>
      <c r="AG1982" s="449"/>
      <c r="AH1982" s="449"/>
    </row>
    <row r="1983" ht="11.25" customHeight="1">
      <c r="A1983" s="450"/>
      <c r="B1983" s="451"/>
      <c r="C1983" s="452"/>
      <c r="D1983" s="452"/>
      <c r="E1983" s="453"/>
      <c r="F1983" s="453"/>
      <c r="G1983" s="454"/>
      <c r="H1983" s="454"/>
      <c r="I1983" s="455"/>
      <c r="J1983" s="456"/>
      <c r="K1983" s="457" t="s">
        <v>1416</v>
      </c>
      <c r="L1983" s="458"/>
      <c r="M1983" s="459"/>
      <c r="N1983" s="460"/>
      <c r="O1983" s="460"/>
      <c r="P1983" s="461"/>
      <c r="Q1983" s="458"/>
      <c r="R1983" s="459"/>
      <c r="S1983" s="459"/>
      <c r="T1983" s="459"/>
      <c r="U1983" s="459"/>
      <c r="V1983" s="459"/>
      <c r="W1983" s="459"/>
      <c r="X1983" s="459"/>
      <c r="Y1983" s="462">
        <f t="shared" si="17"/>
        <v>0</v>
      </c>
      <c r="Z1983" s="463"/>
      <c r="AA1983" s="464"/>
      <c r="AB1983" s="465"/>
      <c r="AC1983" s="465"/>
      <c r="AD1983" s="465"/>
      <c r="AE1983" s="466"/>
      <c r="AF1983" s="449"/>
      <c r="AG1983" s="449"/>
      <c r="AH1983" s="449"/>
    </row>
    <row r="1984" ht="11.25" customHeight="1">
      <c r="A1984" s="450"/>
      <c r="B1984" s="451"/>
      <c r="C1984" s="452"/>
      <c r="D1984" s="452"/>
      <c r="E1984" s="453"/>
      <c r="F1984" s="453"/>
      <c r="G1984" s="454"/>
      <c r="H1984" s="454"/>
      <c r="I1984" s="455"/>
      <c r="J1984" s="456"/>
      <c r="K1984" s="467" t="s">
        <v>1417</v>
      </c>
      <c r="L1984" s="468"/>
      <c r="M1984" s="469"/>
      <c r="N1984" s="470"/>
      <c r="O1984" s="470"/>
      <c r="P1984" s="471"/>
      <c r="Q1984" s="468"/>
      <c r="R1984" s="469"/>
      <c r="S1984" s="469"/>
      <c r="T1984" s="469"/>
      <c r="U1984" s="469"/>
      <c r="V1984" s="469"/>
      <c r="W1984" s="469"/>
      <c r="X1984" s="469"/>
      <c r="Y1984" s="462">
        <f t="shared" si="17"/>
        <v>0</v>
      </c>
      <c r="Z1984" s="463"/>
      <c r="AA1984" s="464"/>
      <c r="AB1984" s="465"/>
      <c r="AC1984" s="465"/>
      <c r="AD1984" s="465"/>
      <c r="AE1984" s="466"/>
      <c r="AF1984" s="449"/>
      <c r="AG1984" s="449"/>
      <c r="AH1984" s="449"/>
    </row>
    <row r="1985" ht="11.25" customHeight="1">
      <c r="A1985" s="450"/>
      <c r="B1985" s="472"/>
      <c r="C1985" s="473"/>
      <c r="D1985" s="473"/>
      <c r="E1985" s="474"/>
      <c r="F1985" s="474"/>
      <c r="G1985" s="475"/>
      <c r="H1985" s="475"/>
      <c r="I1985" s="476"/>
      <c r="J1985" s="477"/>
      <c r="K1985" s="478" t="s">
        <v>1418</v>
      </c>
      <c r="L1985" s="479"/>
      <c r="M1985" s="480"/>
      <c r="N1985" s="481"/>
      <c r="O1985" s="481"/>
      <c r="P1985" s="482"/>
      <c r="Q1985" s="479"/>
      <c r="R1985" s="480"/>
      <c r="S1985" s="480"/>
      <c r="T1985" s="480"/>
      <c r="U1985" s="480"/>
      <c r="V1985" s="480"/>
      <c r="W1985" s="480"/>
      <c r="X1985" s="480"/>
      <c r="Y1985" s="483">
        <f t="shared" si="17"/>
        <v>0</v>
      </c>
      <c r="Z1985" s="484"/>
      <c r="AA1985" s="485"/>
      <c r="AB1985" s="486"/>
      <c r="AC1985" s="486"/>
      <c r="AD1985" s="486"/>
      <c r="AE1985" s="487"/>
      <c r="AF1985" s="449"/>
      <c r="AG1985" s="449"/>
      <c r="AH1985" s="449"/>
    </row>
    <row r="1986" ht="11.25" customHeight="1">
      <c r="A1986" s="431" t="str">
        <f>IF(B1986="","", YEAR(B1986))</f>
        <v/>
      </c>
      <c r="B1986" s="432"/>
      <c r="C1986" s="433"/>
      <c r="D1986" s="433"/>
      <c r="E1986" s="434" t="str">
        <f t="shared" ref="E1986:I1986" si="1000">IFERROR(AVERAGE(L1986:L1989),"")</f>
        <v/>
      </c>
      <c r="F1986" s="434" t="str">
        <f t="shared" si="1000"/>
        <v/>
      </c>
      <c r="G1986" s="435" t="str">
        <f t="shared" si="1000"/>
        <v/>
      </c>
      <c r="H1986" s="435" t="str">
        <f t="shared" si="1000"/>
        <v/>
      </c>
      <c r="I1986" s="436" t="str">
        <f t="shared" si="1000"/>
        <v/>
      </c>
      <c r="J1986" s="437">
        <f>SUMIFS(PRODUCTION[KG],PRODUCTION[GRADE],"3X50",PRODUCTION[DATE],B1986,PRODUCTION[BATCH],C1986,PRODUCTION[SHIFT],D1986)</f>
        <v>0</v>
      </c>
      <c r="K1986" s="438" t="s">
        <v>1414</v>
      </c>
      <c r="L1986" s="443"/>
      <c r="M1986" s="440"/>
      <c r="N1986" s="441"/>
      <c r="O1986" s="441"/>
      <c r="P1986" s="442"/>
      <c r="Q1986" s="443"/>
      <c r="R1986" s="440"/>
      <c r="S1986" s="440"/>
      <c r="T1986" s="440"/>
      <c r="U1986" s="440"/>
      <c r="V1986" s="440"/>
      <c r="W1986" s="440"/>
      <c r="X1986" s="440"/>
      <c r="Y1986" s="444">
        <f t="shared" si="17"/>
        <v>0</v>
      </c>
      <c r="Z1986" s="445"/>
      <c r="AA1986" s="446">
        <f t="shared" ref="AA1986:AE1986" si="1001">$J1986*E1986</f>
        <v>0</v>
      </c>
      <c r="AB1986" s="447">
        <f t="shared" si="1001"/>
        <v>0</v>
      </c>
      <c r="AC1986" s="447">
        <f t="shared" si="1001"/>
        <v>0</v>
      </c>
      <c r="AD1986" s="447">
        <f t="shared" si="1001"/>
        <v>0</v>
      </c>
      <c r="AE1986" s="448">
        <f t="shared" si="1001"/>
        <v>0</v>
      </c>
      <c r="AF1986" s="449"/>
      <c r="AG1986" s="449"/>
      <c r="AH1986" s="449"/>
    </row>
    <row r="1987" ht="11.25" customHeight="1">
      <c r="A1987" s="450"/>
      <c r="B1987" s="451"/>
      <c r="C1987" s="452"/>
      <c r="D1987" s="452"/>
      <c r="E1987" s="453"/>
      <c r="F1987" s="453"/>
      <c r="G1987" s="454"/>
      <c r="H1987" s="454"/>
      <c r="I1987" s="455"/>
      <c r="J1987" s="456"/>
      <c r="K1987" s="457" t="s">
        <v>1416</v>
      </c>
      <c r="L1987" s="458"/>
      <c r="M1987" s="459"/>
      <c r="N1987" s="460"/>
      <c r="O1987" s="460"/>
      <c r="P1987" s="461"/>
      <c r="Q1987" s="458"/>
      <c r="R1987" s="459"/>
      <c r="S1987" s="459"/>
      <c r="T1987" s="459"/>
      <c r="U1987" s="459"/>
      <c r="V1987" s="459"/>
      <c r="W1987" s="459"/>
      <c r="X1987" s="459"/>
      <c r="Y1987" s="462">
        <f t="shared" si="17"/>
        <v>0</v>
      </c>
      <c r="Z1987" s="463"/>
      <c r="AA1987" s="464"/>
      <c r="AB1987" s="465"/>
      <c r="AC1987" s="465"/>
      <c r="AD1987" s="465"/>
      <c r="AE1987" s="466"/>
      <c r="AF1987" s="449"/>
      <c r="AG1987" s="449"/>
      <c r="AH1987" s="449"/>
    </row>
    <row r="1988" ht="11.25" customHeight="1">
      <c r="A1988" s="450"/>
      <c r="B1988" s="451"/>
      <c r="C1988" s="452"/>
      <c r="D1988" s="452"/>
      <c r="E1988" s="453"/>
      <c r="F1988" s="453"/>
      <c r="G1988" s="454"/>
      <c r="H1988" s="454"/>
      <c r="I1988" s="455"/>
      <c r="J1988" s="456"/>
      <c r="K1988" s="467" t="s">
        <v>1417</v>
      </c>
      <c r="L1988" s="468"/>
      <c r="M1988" s="469"/>
      <c r="N1988" s="470"/>
      <c r="O1988" s="470"/>
      <c r="P1988" s="471"/>
      <c r="Q1988" s="468"/>
      <c r="R1988" s="469"/>
      <c r="S1988" s="469"/>
      <c r="T1988" s="469"/>
      <c r="U1988" s="469"/>
      <c r="V1988" s="469"/>
      <c r="W1988" s="469"/>
      <c r="X1988" s="469"/>
      <c r="Y1988" s="462">
        <f t="shared" si="17"/>
        <v>0</v>
      </c>
      <c r="Z1988" s="463"/>
      <c r="AA1988" s="464"/>
      <c r="AB1988" s="465"/>
      <c r="AC1988" s="465"/>
      <c r="AD1988" s="465"/>
      <c r="AE1988" s="466"/>
      <c r="AF1988" s="449"/>
      <c r="AG1988" s="449"/>
      <c r="AH1988" s="449"/>
    </row>
    <row r="1989" ht="11.25" customHeight="1">
      <c r="A1989" s="450"/>
      <c r="B1989" s="472"/>
      <c r="C1989" s="473"/>
      <c r="D1989" s="473"/>
      <c r="E1989" s="474"/>
      <c r="F1989" s="474"/>
      <c r="G1989" s="475"/>
      <c r="H1989" s="475"/>
      <c r="I1989" s="476"/>
      <c r="J1989" s="477"/>
      <c r="K1989" s="478" t="s">
        <v>1418</v>
      </c>
      <c r="L1989" s="479"/>
      <c r="M1989" s="480"/>
      <c r="N1989" s="481"/>
      <c r="O1989" s="481"/>
      <c r="P1989" s="482"/>
      <c r="Q1989" s="479"/>
      <c r="R1989" s="480"/>
      <c r="S1989" s="480"/>
      <c r="T1989" s="480"/>
      <c r="U1989" s="480"/>
      <c r="V1989" s="480"/>
      <c r="W1989" s="480"/>
      <c r="X1989" s="480"/>
      <c r="Y1989" s="483">
        <f t="shared" si="17"/>
        <v>0</v>
      </c>
      <c r="Z1989" s="484"/>
      <c r="AA1989" s="485"/>
      <c r="AB1989" s="486"/>
      <c r="AC1989" s="486"/>
      <c r="AD1989" s="486"/>
      <c r="AE1989" s="487"/>
      <c r="AF1989" s="449"/>
      <c r="AG1989" s="449"/>
      <c r="AH1989" s="449"/>
    </row>
    <row r="1990" ht="11.25" customHeight="1">
      <c r="A1990" s="431" t="str">
        <f>IF(B1990="","", YEAR(B1990))</f>
        <v/>
      </c>
      <c r="B1990" s="432"/>
      <c r="C1990" s="433"/>
      <c r="D1990" s="433"/>
      <c r="E1990" s="434" t="str">
        <f t="shared" ref="E1990:I1990" si="1002">IFERROR(AVERAGE(L1990:L1993),"")</f>
        <v/>
      </c>
      <c r="F1990" s="434" t="str">
        <f t="shared" si="1002"/>
        <v/>
      </c>
      <c r="G1990" s="435" t="str">
        <f t="shared" si="1002"/>
        <v/>
      </c>
      <c r="H1990" s="435" t="str">
        <f t="shared" si="1002"/>
        <v/>
      </c>
      <c r="I1990" s="436" t="str">
        <f t="shared" si="1002"/>
        <v/>
      </c>
      <c r="J1990" s="437">
        <f>SUMIFS(PRODUCTION[KG],PRODUCTION[GRADE],"3X50",PRODUCTION[DATE],B1990,PRODUCTION[BATCH],C1990,PRODUCTION[SHIFT],D1990)</f>
        <v>0</v>
      </c>
      <c r="K1990" s="438" t="s">
        <v>1414</v>
      </c>
      <c r="L1990" s="443"/>
      <c r="M1990" s="440"/>
      <c r="N1990" s="441"/>
      <c r="O1990" s="441"/>
      <c r="P1990" s="442"/>
      <c r="Q1990" s="443"/>
      <c r="R1990" s="440"/>
      <c r="S1990" s="440"/>
      <c r="T1990" s="440"/>
      <c r="U1990" s="440"/>
      <c r="V1990" s="440"/>
      <c r="W1990" s="440"/>
      <c r="X1990" s="440"/>
      <c r="Y1990" s="444">
        <f t="shared" si="17"/>
        <v>0</v>
      </c>
      <c r="Z1990" s="445"/>
      <c r="AA1990" s="446">
        <f t="shared" ref="AA1990:AE1990" si="1003">$J1990*E1990</f>
        <v>0</v>
      </c>
      <c r="AB1990" s="447">
        <f t="shared" si="1003"/>
        <v>0</v>
      </c>
      <c r="AC1990" s="447">
        <f t="shared" si="1003"/>
        <v>0</v>
      </c>
      <c r="AD1990" s="447">
        <f t="shared" si="1003"/>
        <v>0</v>
      </c>
      <c r="AE1990" s="448">
        <f t="shared" si="1003"/>
        <v>0</v>
      </c>
      <c r="AF1990" s="449"/>
      <c r="AG1990" s="449"/>
      <c r="AH1990" s="449"/>
    </row>
    <row r="1991" ht="11.25" customHeight="1">
      <c r="A1991" s="450"/>
      <c r="B1991" s="451"/>
      <c r="C1991" s="452"/>
      <c r="D1991" s="452"/>
      <c r="E1991" s="453"/>
      <c r="F1991" s="453"/>
      <c r="G1991" s="454"/>
      <c r="H1991" s="454"/>
      <c r="I1991" s="455"/>
      <c r="J1991" s="456"/>
      <c r="K1991" s="457" t="s">
        <v>1416</v>
      </c>
      <c r="L1991" s="458"/>
      <c r="M1991" s="459"/>
      <c r="N1991" s="460"/>
      <c r="O1991" s="460"/>
      <c r="P1991" s="461"/>
      <c r="Q1991" s="458"/>
      <c r="R1991" s="459"/>
      <c r="S1991" s="459"/>
      <c r="T1991" s="459"/>
      <c r="U1991" s="459"/>
      <c r="V1991" s="459"/>
      <c r="W1991" s="459"/>
      <c r="X1991" s="459"/>
      <c r="Y1991" s="462">
        <f t="shared" si="17"/>
        <v>0</v>
      </c>
      <c r="Z1991" s="463"/>
      <c r="AA1991" s="464"/>
      <c r="AB1991" s="465"/>
      <c r="AC1991" s="465"/>
      <c r="AD1991" s="465"/>
      <c r="AE1991" s="466"/>
      <c r="AF1991" s="449"/>
      <c r="AG1991" s="449"/>
      <c r="AH1991" s="449"/>
    </row>
    <row r="1992" ht="11.25" customHeight="1">
      <c r="A1992" s="450"/>
      <c r="B1992" s="451"/>
      <c r="C1992" s="452"/>
      <c r="D1992" s="452"/>
      <c r="E1992" s="453"/>
      <c r="F1992" s="453"/>
      <c r="G1992" s="454"/>
      <c r="H1992" s="454"/>
      <c r="I1992" s="455"/>
      <c r="J1992" s="456"/>
      <c r="K1992" s="467" t="s">
        <v>1417</v>
      </c>
      <c r="L1992" s="468"/>
      <c r="M1992" s="469"/>
      <c r="N1992" s="470"/>
      <c r="O1992" s="470"/>
      <c r="P1992" s="471"/>
      <c r="Q1992" s="468"/>
      <c r="R1992" s="469"/>
      <c r="S1992" s="469"/>
      <c r="T1992" s="469"/>
      <c r="U1992" s="469"/>
      <c r="V1992" s="469"/>
      <c r="W1992" s="469"/>
      <c r="X1992" s="469"/>
      <c r="Y1992" s="462">
        <f t="shared" si="17"/>
        <v>0</v>
      </c>
      <c r="Z1992" s="463"/>
      <c r="AA1992" s="464"/>
      <c r="AB1992" s="465"/>
      <c r="AC1992" s="465"/>
      <c r="AD1992" s="465"/>
      <c r="AE1992" s="466"/>
      <c r="AF1992" s="449"/>
      <c r="AG1992" s="449"/>
      <c r="AH1992" s="449"/>
    </row>
    <row r="1993" ht="11.25" customHeight="1">
      <c r="A1993" s="450"/>
      <c r="B1993" s="472"/>
      <c r="C1993" s="473"/>
      <c r="D1993" s="473"/>
      <c r="E1993" s="474"/>
      <c r="F1993" s="474"/>
      <c r="G1993" s="475"/>
      <c r="H1993" s="475"/>
      <c r="I1993" s="476"/>
      <c r="J1993" s="477"/>
      <c r="K1993" s="478" t="s">
        <v>1418</v>
      </c>
      <c r="L1993" s="479"/>
      <c r="M1993" s="480"/>
      <c r="N1993" s="481"/>
      <c r="O1993" s="481"/>
      <c r="P1993" s="482"/>
      <c r="Q1993" s="479"/>
      <c r="R1993" s="480"/>
      <c r="S1993" s="480"/>
      <c r="T1993" s="480"/>
      <c r="U1993" s="480"/>
      <c r="V1993" s="480"/>
      <c r="W1993" s="480"/>
      <c r="X1993" s="480"/>
      <c r="Y1993" s="483">
        <f t="shared" si="17"/>
        <v>0</v>
      </c>
      <c r="Z1993" s="484"/>
      <c r="AA1993" s="485"/>
      <c r="AB1993" s="486"/>
      <c r="AC1993" s="486"/>
      <c r="AD1993" s="486"/>
      <c r="AE1993" s="487"/>
      <c r="AF1993" s="449"/>
      <c r="AG1993" s="449"/>
      <c r="AH1993" s="449"/>
    </row>
    <row r="1994" ht="11.25" customHeight="1">
      <c r="A1994" s="431" t="str">
        <f>IF(B1994="","", YEAR(B1994))</f>
        <v/>
      </c>
      <c r="B1994" s="432"/>
      <c r="C1994" s="433"/>
      <c r="D1994" s="433"/>
      <c r="E1994" s="434" t="str">
        <f t="shared" ref="E1994:I1994" si="1004">IFERROR(AVERAGE(L1994:L1997),"")</f>
        <v/>
      </c>
      <c r="F1994" s="434" t="str">
        <f t="shared" si="1004"/>
        <v/>
      </c>
      <c r="G1994" s="435" t="str">
        <f t="shared" si="1004"/>
        <v/>
      </c>
      <c r="H1994" s="435" t="str">
        <f t="shared" si="1004"/>
        <v/>
      </c>
      <c r="I1994" s="436" t="str">
        <f t="shared" si="1004"/>
        <v/>
      </c>
      <c r="J1994" s="437">
        <f>SUMIFS(PRODUCTION[KG],PRODUCTION[GRADE],"3X50",PRODUCTION[DATE],B1994,PRODUCTION[BATCH],C1994,PRODUCTION[SHIFT],D1994)</f>
        <v>0</v>
      </c>
      <c r="K1994" s="438" t="s">
        <v>1414</v>
      </c>
      <c r="L1994" s="443"/>
      <c r="M1994" s="440"/>
      <c r="N1994" s="441"/>
      <c r="O1994" s="441"/>
      <c r="P1994" s="442"/>
      <c r="Q1994" s="443"/>
      <c r="R1994" s="440"/>
      <c r="S1994" s="440"/>
      <c r="T1994" s="440"/>
      <c r="U1994" s="440"/>
      <c r="V1994" s="440"/>
      <c r="W1994" s="440"/>
      <c r="X1994" s="440"/>
      <c r="Y1994" s="444">
        <f t="shared" si="17"/>
        <v>0</v>
      </c>
      <c r="Z1994" s="445"/>
      <c r="AA1994" s="446">
        <f t="shared" ref="AA1994:AE1994" si="1005">$J1994*E1994</f>
        <v>0</v>
      </c>
      <c r="AB1994" s="447">
        <f t="shared" si="1005"/>
        <v>0</v>
      </c>
      <c r="AC1994" s="447">
        <f t="shared" si="1005"/>
        <v>0</v>
      </c>
      <c r="AD1994" s="447">
        <f t="shared" si="1005"/>
        <v>0</v>
      </c>
      <c r="AE1994" s="448">
        <f t="shared" si="1005"/>
        <v>0</v>
      </c>
      <c r="AF1994" s="449"/>
      <c r="AG1994" s="449"/>
      <c r="AH1994" s="449"/>
    </row>
    <row r="1995" ht="11.25" customHeight="1">
      <c r="A1995" s="450"/>
      <c r="B1995" s="451"/>
      <c r="C1995" s="452"/>
      <c r="D1995" s="452"/>
      <c r="E1995" s="453"/>
      <c r="F1995" s="453"/>
      <c r="G1995" s="454"/>
      <c r="H1995" s="454"/>
      <c r="I1995" s="455"/>
      <c r="J1995" s="456"/>
      <c r="K1995" s="457" t="s">
        <v>1416</v>
      </c>
      <c r="L1995" s="458"/>
      <c r="M1995" s="459"/>
      <c r="N1995" s="460"/>
      <c r="O1995" s="460"/>
      <c r="P1995" s="461"/>
      <c r="Q1995" s="458"/>
      <c r="R1995" s="459"/>
      <c r="S1995" s="459"/>
      <c r="T1995" s="459"/>
      <c r="U1995" s="459"/>
      <c r="V1995" s="459"/>
      <c r="W1995" s="459"/>
      <c r="X1995" s="459"/>
      <c r="Y1995" s="462">
        <f t="shared" si="17"/>
        <v>0</v>
      </c>
      <c r="Z1995" s="463"/>
      <c r="AA1995" s="464"/>
      <c r="AB1995" s="465"/>
      <c r="AC1995" s="465"/>
      <c r="AD1995" s="465"/>
      <c r="AE1995" s="466"/>
      <c r="AF1995" s="449"/>
      <c r="AG1995" s="449"/>
      <c r="AH1995" s="449"/>
    </row>
    <row r="1996" ht="11.25" customHeight="1">
      <c r="A1996" s="450"/>
      <c r="B1996" s="451"/>
      <c r="C1996" s="452"/>
      <c r="D1996" s="452"/>
      <c r="E1996" s="453"/>
      <c r="F1996" s="453"/>
      <c r="G1996" s="454"/>
      <c r="H1996" s="454"/>
      <c r="I1996" s="455"/>
      <c r="J1996" s="456"/>
      <c r="K1996" s="467" t="s">
        <v>1417</v>
      </c>
      <c r="L1996" s="468"/>
      <c r="M1996" s="469"/>
      <c r="N1996" s="470"/>
      <c r="O1996" s="470"/>
      <c r="P1996" s="471"/>
      <c r="Q1996" s="468"/>
      <c r="R1996" s="469"/>
      <c r="S1996" s="469"/>
      <c r="T1996" s="469"/>
      <c r="U1996" s="469"/>
      <c r="V1996" s="469"/>
      <c r="W1996" s="469"/>
      <c r="X1996" s="469"/>
      <c r="Y1996" s="462">
        <f t="shared" si="17"/>
        <v>0</v>
      </c>
      <c r="Z1996" s="463"/>
      <c r="AA1996" s="464"/>
      <c r="AB1996" s="465"/>
      <c r="AC1996" s="465"/>
      <c r="AD1996" s="465"/>
      <c r="AE1996" s="466"/>
      <c r="AF1996" s="449"/>
      <c r="AG1996" s="449"/>
      <c r="AH1996" s="449"/>
    </row>
    <row r="1997" ht="11.25" customHeight="1">
      <c r="A1997" s="450"/>
      <c r="B1997" s="472"/>
      <c r="C1997" s="473"/>
      <c r="D1997" s="473"/>
      <c r="E1997" s="474"/>
      <c r="F1997" s="474"/>
      <c r="G1997" s="475"/>
      <c r="H1997" s="475"/>
      <c r="I1997" s="476"/>
      <c r="J1997" s="477"/>
      <c r="K1997" s="478" t="s">
        <v>1418</v>
      </c>
      <c r="L1997" s="479"/>
      <c r="M1997" s="480"/>
      <c r="N1997" s="481"/>
      <c r="O1997" s="481"/>
      <c r="P1997" s="482"/>
      <c r="Q1997" s="479"/>
      <c r="R1997" s="480"/>
      <c r="S1997" s="480"/>
      <c r="T1997" s="480"/>
      <c r="U1997" s="480"/>
      <c r="V1997" s="480"/>
      <c r="W1997" s="480"/>
      <c r="X1997" s="480"/>
      <c r="Y1997" s="483">
        <f t="shared" si="17"/>
        <v>0</v>
      </c>
      <c r="Z1997" s="484"/>
      <c r="AA1997" s="485"/>
      <c r="AB1997" s="486"/>
      <c r="AC1997" s="486"/>
      <c r="AD1997" s="486"/>
      <c r="AE1997" s="487"/>
      <c r="AF1997" s="449"/>
      <c r="AG1997" s="449"/>
      <c r="AH1997" s="449"/>
    </row>
    <row r="1998" ht="11.25" customHeight="1">
      <c r="A1998" s="431" t="str">
        <f>IF(B1998="","", YEAR(B1998))</f>
        <v/>
      </c>
      <c r="B1998" s="432"/>
      <c r="C1998" s="433"/>
      <c r="D1998" s="433"/>
      <c r="E1998" s="434" t="str">
        <f t="shared" ref="E1998:I1998" si="1006">IFERROR(AVERAGE(L1998:L2001),"")</f>
        <v/>
      </c>
      <c r="F1998" s="434" t="str">
        <f t="shared" si="1006"/>
        <v/>
      </c>
      <c r="G1998" s="435" t="str">
        <f t="shared" si="1006"/>
        <v/>
      </c>
      <c r="H1998" s="435" t="str">
        <f t="shared" si="1006"/>
        <v/>
      </c>
      <c r="I1998" s="436" t="str">
        <f t="shared" si="1006"/>
        <v/>
      </c>
      <c r="J1998" s="437">
        <f>SUMIFS(PRODUCTION[KG],PRODUCTION[GRADE],"3X50",PRODUCTION[DATE],B1998,PRODUCTION[BATCH],C1998,PRODUCTION[SHIFT],D1998)</f>
        <v>0</v>
      </c>
      <c r="K1998" s="438" t="s">
        <v>1414</v>
      </c>
      <c r="L1998" s="443"/>
      <c r="M1998" s="440"/>
      <c r="N1998" s="441"/>
      <c r="O1998" s="441"/>
      <c r="P1998" s="442"/>
      <c r="Q1998" s="443"/>
      <c r="R1998" s="440"/>
      <c r="S1998" s="440"/>
      <c r="T1998" s="440"/>
      <c r="U1998" s="440"/>
      <c r="V1998" s="440"/>
      <c r="W1998" s="440"/>
      <c r="X1998" s="440"/>
      <c r="Y1998" s="444">
        <f t="shared" si="17"/>
        <v>0</v>
      </c>
      <c r="Z1998" s="445"/>
      <c r="AA1998" s="446">
        <f t="shared" ref="AA1998:AE1998" si="1007">$J1998*E1998</f>
        <v>0</v>
      </c>
      <c r="AB1998" s="447">
        <f t="shared" si="1007"/>
        <v>0</v>
      </c>
      <c r="AC1998" s="447">
        <f t="shared" si="1007"/>
        <v>0</v>
      </c>
      <c r="AD1998" s="447">
        <f t="shared" si="1007"/>
        <v>0</v>
      </c>
      <c r="AE1998" s="448">
        <f t="shared" si="1007"/>
        <v>0</v>
      </c>
      <c r="AF1998" s="449"/>
      <c r="AG1998" s="449"/>
      <c r="AH1998" s="449"/>
    </row>
    <row r="1999" ht="11.25" customHeight="1">
      <c r="A1999" s="450"/>
      <c r="B1999" s="451"/>
      <c r="C1999" s="452"/>
      <c r="D1999" s="452"/>
      <c r="E1999" s="453"/>
      <c r="F1999" s="453"/>
      <c r="G1999" s="454"/>
      <c r="H1999" s="454"/>
      <c r="I1999" s="455"/>
      <c r="J1999" s="456"/>
      <c r="K1999" s="457" t="s">
        <v>1416</v>
      </c>
      <c r="L1999" s="458"/>
      <c r="M1999" s="459"/>
      <c r="N1999" s="460"/>
      <c r="O1999" s="460"/>
      <c r="P1999" s="461"/>
      <c r="Q1999" s="458"/>
      <c r="R1999" s="459"/>
      <c r="S1999" s="459"/>
      <c r="T1999" s="459"/>
      <c r="U1999" s="459"/>
      <c r="V1999" s="459"/>
      <c r="W1999" s="459"/>
      <c r="X1999" s="459"/>
      <c r="Y1999" s="462">
        <f t="shared" si="17"/>
        <v>0</v>
      </c>
      <c r="Z1999" s="463"/>
      <c r="AA1999" s="464"/>
      <c r="AB1999" s="465"/>
      <c r="AC1999" s="465"/>
      <c r="AD1999" s="465"/>
      <c r="AE1999" s="466"/>
      <c r="AF1999" s="449"/>
      <c r="AG1999" s="449"/>
      <c r="AH1999" s="449"/>
    </row>
    <row r="2000" ht="11.25" customHeight="1">
      <c r="A2000" s="450"/>
      <c r="B2000" s="451"/>
      <c r="C2000" s="452"/>
      <c r="D2000" s="452"/>
      <c r="E2000" s="453"/>
      <c r="F2000" s="453"/>
      <c r="G2000" s="454"/>
      <c r="H2000" s="454"/>
      <c r="I2000" s="455"/>
      <c r="J2000" s="456"/>
      <c r="K2000" s="467" t="s">
        <v>1417</v>
      </c>
      <c r="L2000" s="468"/>
      <c r="M2000" s="469"/>
      <c r="N2000" s="470"/>
      <c r="O2000" s="470"/>
      <c r="P2000" s="471"/>
      <c r="Q2000" s="468"/>
      <c r="R2000" s="469"/>
      <c r="S2000" s="469"/>
      <c r="T2000" s="469"/>
      <c r="U2000" s="469"/>
      <c r="V2000" s="469"/>
      <c r="W2000" s="469"/>
      <c r="X2000" s="469"/>
      <c r="Y2000" s="462">
        <f t="shared" si="17"/>
        <v>0</v>
      </c>
      <c r="Z2000" s="463"/>
      <c r="AA2000" s="464"/>
      <c r="AB2000" s="465"/>
      <c r="AC2000" s="465"/>
      <c r="AD2000" s="465"/>
      <c r="AE2000" s="466"/>
      <c r="AF2000" s="449"/>
      <c r="AG2000" s="449"/>
      <c r="AH2000" s="449"/>
    </row>
    <row r="2001" ht="11.25" customHeight="1">
      <c r="A2001" s="450"/>
      <c r="B2001" s="472"/>
      <c r="C2001" s="473"/>
      <c r="D2001" s="473"/>
      <c r="E2001" s="474"/>
      <c r="F2001" s="474"/>
      <c r="G2001" s="475"/>
      <c r="H2001" s="475"/>
      <c r="I2001" s="476"/>
      <c r="J2001" s="477"/>
      <c r="K2001" s="478" t="s">
        <v>1418</v>
      </c>
      <c r="L2001" s="479"/>
      <c r="M2001" s="480"/>
      <c r="N2001" s="481"/>
      <c r="O2001" s="481"/>
      <c r="P2001" s="482"/>
      <c r="Q2001" s="479"/>
      <c r="R2001" s="480"/>
      <c r="S2001" s="480"/>
      <c r="T2001" s="480"/>
      <c r="U2001" s="480"/>
      <c r="V2001" s="480"/>
      <c r="W2001" s="480"/>
      <c r="X2001" s="480"/>
      <c r="Y2001" s="483">
        <f t="shared" si="17"/>
        <v>0</v>
      </c>
      <c r="Z2001" s="484"/>
      <c r="AA2001" s="485"/>
      <c r="AB2001" s="486"/>
      <c r="AC2001" s="486"/>
      <c r="AD2001" s="486"/>
      <c r="AE2001" s="487"/>
      <c r="AF2001" s="449"/>
      <c r="AG2001" s="449"/>
      <c r="AH2001" s="449"/>
    </row>
    <row r="2002" ht="11.25" customHeight="1">
      <c r="A2002" s="431" t="str">
        <f>IF(B2002="","", YEAR(B2002))</f>
        <v/>
      </c>
      <c r="B2002" s="432"/>
      <c r="C2002" s="433"/>
      <c r="D2002" s="433"/>
      <c r="E2002" s="434" t="str">
        <f t="shared" ref="E2002:I2002" si="1008">IFERROR(AVERAGE(L2002:L2005),"")</f>
        <v/>
      </c>
      <c r="F2002" s="434" t="str">
        <f t="shared" si="1008"/>
        <v/>
      </c>
      <c r="G2002" s="435" t="str">
        <f t="shared" si="1008"/>
        <v/>
      </c>
      <c r="H2002" s="435" t="str">
        <f t="shared" si="1008"/>
        <v/>
      </c>
      <c r="I2002" s="436" t="str">
        <f t="shared" si="1008"/>
        <v/>
      </c>
      <c r="J2002" s="437">
        <f>SUMIFS(PRODUCTION[KG],PRODUCTION[GRADE],"3X50",PRODUCTION[DATE],B2002,PRODUCTION[BATCH],C2002,PRODUCTION[SHIFT],D2002)</f>
        <v>0</v>
      </c>
      <c r="K2002" s="438" t="s">
        <v>1414</v>
      </c>
      <c r="L2002" s="443"/>
      <c r="M2002" s="440"/>
      <c r="N2002" s="441"/>
      <c r="O2002" s="441"/>
      <c r="P2002" s="442"/>
      <c r="Q2002" s="443"/>
      <c r="R2002" s="440"/>
      <c r="S2002" s="440"/>
      <c r="T2002" s="440"/>
      <c r="U2002" s="440"/>
      <c r="V2002" s="440"/>
      <c r="W2002" s="440"/>
      <c r="X2002" s="440"/>
      <c r="Y2002" s="444">
        <f t="shared" si="17"/>
        <v>0</v>
      </c>
      <c r="Z2002" s="445"/>
      <c r="AA2002" s="446">
        <f t="shared" ref="AA2002:AE2002" si="1009">$J2002*E2002</f>
        <v>0</v>
      </c>
      <c r="AB2002" s="447">
        <f t="shared" si="1009"/>
        <v>0</v>
      </c>
      <c r="AC2002" s="447">
        <f t="shared" si="1009"/>
        <v>0</v>
      </c>
      <c r="AD2002" s="447">
        <f t="shared" si="1009"/>
        <v>0</v>
      </c>
      <c r="AE2002" s="448">
        <f t="shared" si="1009"/>
        <v>0</v>
      </c>
      <c r="AF2002" s="449"/>
      <c r="AG2002" s="449"/>
      <c r="AH2002" s="449"/>
    </row>
    <row r="2003" ht="11.25" customHeight="1">
      <c r="A2003" s="450"/>
      <c r="B2003" s="451"/>
      <c r="C2003" s="452"/>
      <c r="D2003" s="452"/>
      <c r="E2003" s="453"/>
      <c r="F2003" s="453"/>
      <c r="G2003" s="454"/>
      <c r="H2003" s="454"/>
      <c r="I2003" s="455"/>
      <c r="J2003" s="456"/>
      <c r="K2003" s="457" t="s">
        <v>1416</v>
      </c>
      <c r="L2003" s="458"/>
      <c r="M2003" s="459"/>
      <c r="N2003" s="460"/>
      <c r="O2003" s="460"/>
      <c r="P2003" s="461"/>
      <c r="Q2003" s="458"/>
      <c r="R2003" s="459"/>
      <c r="S2003" s="459"/>
      <c r="T2003" s="459"/>
      <c r="U2003" s="459"/>
      <c r="V2003" s="459"/>
      <c r="W2003" s="459"/>
      <c r="X2003" s="459"/>
      <c r="Y2003" s="462">
        <f t="shared" si="17"/>
        <v>0</v>
      </c>
      <c r="Z2003" s="463"/>
      <c r="AA2003" s="464"/>
      <c r="AB2003" s="465"/>
      <c r="AC2003" s="465"/>
      <c r="AD2003" s="465"/>
      <c r="AE2003" s="466"/>
      <c r="AF2003" s="449"/>
      <c r="AG2003" s="449"/>
      <c r="AH2003" s="449"/>
    </row>
    <row r="2004" ht="11.25" customHeight="1">
      <c r="A2004" s="450"/>
      <c r="B2004" s="451"/>
      <c r="C2004" s="452"/>
      <c r="D2004" s="452"/>
      <c r="E2004" s="453"/>
      <c r="F2004" s="453"/>
      <c r="G2004" s="454"/>
      <c r="H2004" s="454"/>
      <c r="I2004" s="455"/>
      <c r="J2004" s="456"/>
      <c r="K2004" s="467" t="s">
        <v>1417</v>
      </c>
      <c r="L2004" s="468"/>
      <c r="M2004" s="469"/>
      <c r="N2004" s="470"/>
      <c r="O2004" s="470"/>
      <c r="P2004" s="471"/>
      <c r="Q2004" s="468"/>
      <c r="R2004" s="469"/>
      <c r="S2004" s="469"/>
      <c r="T2004" s="469"/>
      <c r="U2004" s="469"/>
      <c r="V2004" s="469"/>
      <c r="W2004" s="469"/>
      <c r="X2004" s="469"/>
      <c r="Y2004" s="462">
        <f t="shared" si="17"/>
        <v>0</v>
      </c>
      <c r="Z2004" s="463"/>
      <c r="AA2004" s="464"/>
      <c r="AB2004" s="465"/>
      <c r="AC2004" s="465"/>
      <c r="AD2004" s="465"/>
      <c r="AE2004" s="466"/>
      <c r="AF2004" s="449"/>
      <c r="AG2004" s="449"/>
      <c r="AH2004" s="449"/>
    </row>
    <row r="2005" ht="11.25" customHeight="1">
      <c r="A2005" s="450"/>
      <c r="B2005" s="472"/>
      <c r="C2005" s="473"/>
      <c r="D2005" s="473"/>
      <c r="E2005" s="474"/>
      <c r="F2005" s="474"/>
      <c r="G2005" s="475"/>
      <c r="H2005" s="475"/>
      <c r="I2005" s="476"/>
      <c r="J2005" s="477"/>
      <c r="K2005" s="478" t="s">
        <v>1418</v>
      </c>
      <c r="L2005" s="479"/>
      <c r="M2005" s="480"/>
      <c r="N2005" s="481"/>
      <c r="O2005" s="481"/>
      <c r="P2005" s="482"/>
      <c r="Q2005" s="479"/>
      <c r="R2005" s="480"/>
      <c r="S2005" s="480"/>
      <c r="T2005" s="480"/>
      <c r="U2005" s="480"/>
      <c r="V2005" s="480"/>
      <c r="W2005" s="480"/>
      <c r="X2005" s="480"/>
      <c r="Y2005" s="483">
        <f t="shared" si="17"/>
        <v>0</v>
      </c>
      <c r="Z2005" s="484"/>
      <c r="AA2005" s="485"/>
      <c r="AB2005" s="486"/>
      <c r="AC2005" s="486"/>
      <c r="AD2005" s="486"/>
      <c r="AE2005" s="487"/>
      <c r="AF2005" s="449"/>
      <c r="AG2005" s="449"/>
      <c r="AH2005" s="449"/>
    </row>
    <row r="2006" ht="11.25" customHeight="1">
      <c r="A2006" s="431" t="str">
        <f>IF(B2006="","", YEAR(B2006))</f>
        <v/>
      </c>
      <c r="B2006" s="432"/>
      <c r="C2006" s="433"/>
      <c r="D2006" s="433"/>
      <c r="E2006" s="434" t="str">
        <f t="shared" ref="E2006:I2006" si="1010">IFERROR(AVERAGE(L2006:L2009),"")</f>
        <v/>
      </c>
      <c r="F2006" s="434" t="str">
        <f t="shared" si="1010"/>
        <v/>
      </c>
      <c r="G2006" s="435" t="str">
        <f t="shared" si="1010"/>
        <v/>
      </c>
      <c r="H2006" s="435" t="str">
        <f t="shared" si="1010"/>
        <v/>
      </c>
      <c r="I2006" s="436" t="str">
        <f t="shared" si="1010"/>
        <v/>
      </c>
      <c r="J2006" s="437">
        <f>SUMIFS(PRODUCTION[KG],PRODUCTION[GRADE],"3X50",PRODUCTION[DATE],B2006,PRODUCTION[BATCH],C2006,PRODUCTION[SHIFT],D2006)</f>
        <v>0</v>
      </c>
      <c r="K2006" s="438" t="s">
        <v>1414</v>
      </c>
      <c r="L2006" s="443"/>
      <c r="M2006" s="440"/>
      <c r="N2006" s="441"/>
      <c r="O2006" s="441"/>
      <c r="P2006" s="442"/>
      <c r="Q2006" s="443"/>
      <c r="R2006" s="440"/>
      <c r="S2006" s="440"/>
      <c r="T2006" s="440"/>
      <c r="U2006" s="440"/>
      <c r="V2006" s="440"/>
      <c r="W2006" s="440"/>
      <c r="X2006" s="440"/>
      <c r="Y2006" s="444">
        <f t="shared" si="17"/>
        <v>0</v>
      </c>
      <c r="Z2006" s="445"/>
      <c r="AA2006" s="446">
        <f t="shared" ref="AA2006:AE2006" si="1011">$J2006*E2006</f>
        <v>0</v>
      </c>
      <c r="AB2006" s="447">
        <f t="shared" si="1011"/>
        <v>0</v>
      </c>
      <c r="AC2006" s="447">
        <f t="shared" si="1011"/>
        <v>0</v>
      </c>
      <c r="AD2006" s="447">
        <f t="shared" si="1011"/>
        <v>0</v>
      </c>
      <c r="AE2006" s="448">
        <f t="shared" si="1011"/>
        <v>0</v>
      </c>
      <c r="AF2006" s="449"/>
      <c r="AG2006" s="449"/>
      <c r="AH2006" s="449"/>
    </row>
    <row r="2007" ht="11.25" customHeight="1">
      <c r="A2007" s="450"/>
      <c r="B2007" s="451"/>
      <c r="C2007" s="452"/>
      <c r="D2007" s="452"/>
      <c r="E2007" s="453"/>
      <c r="F2007" s="453"/>
      <c r="G2007" s="454"/>
      <c r="H2007" s="454"/>
      <c r="I2007" s="455"/>
      <c r="J2007" s="456"/>
      <c r="K2007" s="457" t="s">
        <v>1416</v>
      </c>
      <c r="L2007" s="458"/>
      <c r="M2007" s="459"/>
      <c r="N2007" s="460"/>
      <c r="O2007" s="460"/>
      <c r="P2007" s="461"/>
      <c r="Q2007" s="458"/>
      <c r="R2007" s="459"/>
      <c r="S2007" s="459"/>
      <c r="T2007" s="459"/>
      <c r="U2007" s="459"/>
      <c r="V2007" s="459"/>
      <c r="W2007" s="459"/>
      <c r="X2007" s="459"/>
      <c r="Y2007" s="462">
        <f t="shared" si="17"/>
        <v>0</v>
      </c>
      <c r="Z2007" s="463"/>
      <c r="AA2007" s="464"/>
      <c r="AB2007" s="465"/>
      <c r="AC2007" s="465"/>
      <c r="AD2007" s="465"/>
      <c r="AE2007" s="466"/>
      <c r="AF2007" s="449"/>
      <c r="AG2007" s="449"/>
      <c r="AH2007" s="449"/>
    </row>
    <row r="2008" ht="11.25" customHeight="1">
      <c r="A2008" s="450"/>
      <c r="B2008" s="451"/>
      <c r="C2008" s="452"/>
      <c r="D2008" s="452"/>
      <c r="E2008" s="453"/>
      <c r="F2008" s="453"/>
      <c r="G2008" s="454"/>
      <c r="H2008" s="454"/>
      <c r="I2008" s="455"/>
      <c r="J2008" s="456"/>
      <c r="K2008" s="467" t="s">
        <v>1417</v>
      </c>
      <c r="L2008" s="468"/>
      <c r="M2008" s="469"/>
      <c r="N2008" s="470"/>
      <c r="O2008" s="470"/>
      <c r="P2008" s="471"/>
      <c r="Q2008" s="468"/>
      <c r="R2008" s="469"/>
      <c r="S2008" s="469"/>
      <c r="T2008" s="469"/>
      <c r="U2008" s="469"/>
      <c r="V2008" s="469"/>
      <c r="W2008" s="469"/>
      <c r="X2008" s="469"/>
      <c r="Y2008" s="462">
        <f t="shared" si="17"/>
        <v>0</v>
      </c>
      <c r="Z2008" s="463"/>
      <c r="AA2008" s="464"/>
      <c r="AB2008" s="465"/>
      <c r="AC2008" s="465"/>
      <c r="AD2008" s="465"/>
      <c r="AE2008" s="466"/>
      <c r="AF2008" s="449"/>
      <c r="AG2008" s="449"/>
      <c r="AH2008" s="449"/>
    </row>
    <row r="2009" ht="11.25" customHeight="1">
      <c r="A2009" s="450"/>
      <c r="B2009" s="472"/>
      <c r="C2009" s="473"/>
      <c r="D2009" s="473"/>
      <c r="E2009" s="474"/>
      <c r="F2009" s="474"/>
      <c r="G2009" s="475"/>
      <c r="H2009" s="475"/>
      <c r="I2009" s="476"/>
      <c r="J2009" s="477"/>
      <c r="K2009" s="478" t="s">
        <v>1418</v>
      </c>
      <c r="L2009" s="479"/>
      <c r="M2009" s="480"/>
      <c r="N2009" s="481"/>
      <c r="O2009" s="481"/>
      <c r="P2009" s="482"/>
      <c r="Q2009" s="479"/>
      <c r="R2009" s="480"/>
      <c r="S2009" s="480"/>
      <c r="T2009" s="480"/>
      <c r="U2009" s="480"/>
      <c r="V2009" s="480"/>
      <c r="W2009" s="480"/>
      <c r="X2009" s="480"/>
      <c r="Y2009" s="483">
        <f t="shared" si="17"/>
        <v>0</v>
      </c>
      <c r="Z2009" s="484"/>
      <c r="AA2009" s="485"/>
      <c r="AB2009" s="486"/>
      <c r="AC2009" s="486"/>
      <c r="AD2009" s="486"/>
      <c r="AE2009" s="487"/>
      <c r="AF2009" s="449"/>
      <c r="AG2009" s="449"/>
      <c r="AH2009" s="449"/>
    </row>
    <row r="2010" ht="11.25" customHeight="1">
      <c r="A2010" s="431" t="str">
        <f>IF(B2010="","", YEAR(B2010))</f>
        <v/>
      </c>
      <c r="B2010" s="432"/>
      <c r="C2010" s="433"/>
      <c r="D2010" s="433"/>
      <c r="E2010" s="434" t="str">
        <f t="shared" ref="E2010:I2010" si="1012">IFERROR(AVERAGE(L2010:L2013),"")</f>
        <v/>
      </c>
      <c r="F2010" s="434" t="str">
        <f t="shared" si="1012"/>
        <v/>
      </c>
      <c r="G2010" s="435" t="str">
        <f t="shared" si="1012"/>
        <v/>
      </c>
      <c r="H2010" s="435" t="str">
        <f t="shared" si="1012"/>
        <v/>
      </c>
      <c r="I2010" s="436" t="str">
        <f t="shared" si="1012"/>
        <v/>
      </c>
      <c r="J2010" s="437">
        <f>SUMIFS(PRODUCTION[KG],PRODUCTION[GRADE],"3X50",PRODUCTION[DATE],B2010,PRODUCTION[BATCH],C2010,PRODUCTION[SHIFT],D2010)</f>
        <v>0</v>
      </c>
      <c r="K2010" s="438" t="s">
        <v>1414</v>
      </c>
      <c r="L2010" s="443"/>
      <c r="M2010" s="440"/>
      <c r="N2010" s="441"/>
      <c r="O2010" s="441"/>
      <c r="P2010" s="442"/>
      <c r="Q2010" s="443"/>
      <c r="R2010" s="440"/>
      <c r="S2010" s="440"/>
      <c r="T2010" s="440"/>
      <c r="U2010" s="440"/>
      <c r="V2010" s="440"/>
      <c r="W2010" s="440"/>
      <c r="X2010" s="440"/>
      <c r="Y2010" s="444">
        <f t="shared" si="17"/>
        <v>0</v>
      </c>
      <c r="Z2010" s="445"/>
      <c r="AA2010" s="446">
        <f t="shared" ref="AA2010:AE2010" si="1013">$J2010*E2010</f>
        <v>0</v>
      </c>
      <c r="AB2010" s="447">
        <f t="shared" si="1013"/>
        <v>0</v>
      </c>
      <c r="AC2010" s="447">
        <f t="shared" si="1013"/>
        <v>0</v>
      </c>
      <c r="AD2010" s="447">
        <f t="shared" si="1013"/>
        <v>0</v>
      </c>
      <c r="AE2010" s="448">
        <f t="shared" si="1013"/>
        <v>0</v>
      </c>
      <c r="AF2010" s="449"/>
      <c r="AG2010" s="449"/>
      <c r="AH2010" s="449"/>
    </row>
    <row r="2011" ht="11.25" customHeight="1">
      <c r="A2011" s="450"/>
      <c r="B2011" s="451"/>
      <c r="C2011" s="452"/>
      <c r="D2011" s="452"/>
      <c r="E2011" s="453"/>
      <c r="F2011" s="453"/>
      <c r="G2011" s="454"/>
      <c r="H2011" s="454"/>
      <c r="I2011" s="455"/>
      <c r="J2011" s="456"/>
      <c r="K2011" s="457" t="s">
        <v>1416</v>
      </c>
      <c r="L2011" s="458"/>
      <c r="M2011" s="459"/>
      <c r="N2011" s="460"/>
      <c r="O2011" s="460"/>
      <c r="P2011" s="461"/>
      <c r="Q2011" s="458"/>
      <c r="R2011" s="459"/>
      <c r="S2011" s="459"/>
      <c r="T2011" s="459"/>
      <c r="U2011" s="459"/>
      <c r="V2011" s="459"/>
      <c r="W2011" s="459"/>
      <c r="X2011" s="459"/>
      <c r="Y2011" s="462">
        <f t="shared" si="17"/>
        <v>0</v>
      </c>
      <c r="Z2011" s="463"/>
      <c r="AA2011" s="464"/>
      <c r="AB2011" s="465"/>
      <c r="AC2011" s="465"/>
      <c r="AD2011" s="465"/>
      <c r="AE2011" s="466"/>
      <c r="AF2011" s="449"/>
      <c r="AG2011" s="449"/>
      <c r="AH2011" s="449"/>
    </row>
    <row r="2012" ht="11.25" customHeight="1">
      <c r="A2012" s="450"/>
      <c r="B2012" s="451"/>
      <c r="C2012" s="452"/>
      <c r="D2012" s="452"/>
      <c r="E2012" s="453"/>
      <c r="F2012" s="453"/>
      <c r="G2012" s="454"/>
      <c r="H2012" s="454"/>
      <c r="I2012" s="455"/>
      <c r="J2012" s="456"/>
      <c r="K2012" s="467" t="s">
        <v>1417</v>
      </c>
      <c r="L2012" s="468"/>
      <c r="M2012" s="469"/>
      <c r="N2012" s="470"/>
      <c r="O2012" s="470"/>
      <c r="P2012" s="471"/>
      <c r="Q2012" s="468"/>
      <c r="R2012" s="469"/>
      <c r="S2012" s="469"/>
      <c r="T2012" s="469"/>
      <c r="U2012" s="469"/>
      <c r="V2012" s="469"/>
      <c r="W2012" s="469"/>
      <c r="X2012" s="469"/>
      <c r="Y2012" s="462">
        <f t="shared" si="17"/>
        <v>0</v>
      </c>
      <c r="Z2012" s="463"/>
      <c r="AA2012" s="464"/>
      <c r="AB2012" s="465"/>
      <c r="AC2012" s="465"/>
      <c r="AD2012" s="465"/>
      <c r="AE2012" s="466"/>
      <c r="AF2012" s="449"/>
      <c r="AG2012" s="449"/>
      <c r="AH2012" s="449"/>
    </row>
    <row r="2013" ht="11.25" customHeight="1">
      <c r="A2013" s="450"/>
      <c r="B2013" s="472"/>
      <c r="C2013" s="473"/>
      <c r="D2013" s="473"/>
      <c r="E2013" s="474"/>
      <c r="F2013" s="474"/>
      <c r="G2013" s="475"/>
      <c r="H2013" s="475"/>
      <c r="I2013" s="476"/>
      <c r="J2013" s="477"/>
      <c r="K2013" s="478" t="s">
        <v>1418</v>
      </c>
      <c r="L2013" s="479"/>
      <c r="M2013" s="480"/>
      <c r="N2013" s="481"/>
      <c r="O2013" s="481"/>
      <c r="P2013" s="482"/>
      <c r="Q2013" s="479"/>
      <c r="R2013" s="480"/>
      <c r="S2013" s="480"/>
      <c r="T2013" s="480"/>
      <c r="U2013" s="480"/>
      <c r="V2013" s="480"/>
      <c r="W2013" s="480"/>
      <c r="X2013" s="480"/>
      <c r="Y2013" s="483">
        <f t="shared" si="17"/>
        <v>0</v>
      </c>
      <c r="Z2013" s="484"/>
      <c r="AA2013" s="485"/>
      <c r="AB2013" s="486"/>
      <c r="AC2013" s="486"/>
      <c r="AD2013" s="486"/>
      <c r="AE2013" s="487"/>
      <c r="AF2013" s="449"/>
      <c r="AG2013" s="449"/>
      <c r="AH2013" s="449"/>
    </row>
    <row r="2014" ht="11.25" customHeight="1">
      <c r="A2014" s="431" t="str">
        <f>IF(B2014="","", YEAR(B2014))</f>
        <v/>
      </c>
      <c r="B2014" s="432"/>
      <c r="C2014" s="433"/>
      <c r="D2014" s="433"/>
      <c r="E2014" s="434" t="str">
        <f t="shared" ref="E2014:I2014" si="1014">IFERROR(AVERAGE(L2014:L2017),"")</f>
        <v/>
      </c>
      <c r="F2014" s="434" t="str">
        <f t="shared" si="1014"/>
        <v/>
      </c>
      <c r="G2014" s="435" t="str">
        <f t="shared" si="1014"/>
        <v/>
      </c>
      <c r="H2014" s="435" t="str">
        <f t="shared" si="1014"/>
        <v/>
      </c>
      <c r="I2014" s="436" t="str">
        <f t="shared" si="1014"/>
        <v/>
      </c>
      <c r="J2014" s="437">
        <f>SUMIFS(PRODUCTION[KG],PRODUCTION[GRADE],"3X50",PRODUCTION[DATE],B2014,PRODUCTION[BATCH],C2014,PRODUCTION[SHIFT],D2014)</f>
        <v>0</v>
      </c>
      <c r="K2014" s="438" t="s">
        <v>1414</v>
      </c>
      <c r="L2014" s="443"/>
      <c r="M2014" s="440"/>
      <c r="N2014" s="441"/>
      <c r="O2014" s="441"/>
      <c r="P2014" s="442"/>
      <c r="Q2014" s="443"/>
      <c r="R2014" s="440"/>
      <c r="S2014" s="440"/>
      <c r="T2014" s="440"/>
      <c r="U2014" s="440"/>
      <c r="V2014" s="440"/>
      <c r="W2014" s="440"/>
      <c r="X2014" s="440"/>
      <c r="Y2014" s="444">
        <f t="shared" si="17"/>
        <v>0</v>
      </c>
      <c r="Z2014" s="445"/>
      <c r="AA2014" s="446">
        <f t="shared" ref="AA2014:AE2014" si="1015">$J2014*E2014</f>
        <v>0</v>
      </c>
      <c r="AB2014" s="447">
        <f t="shared" si="1015"/>
        <v>0</v>
      </c>
      <c r="AC2014" s="447">
        <f t="shared" si="1015"/>
        <v>0</v>
      </c>
      <c r="AD2014" s="447">
        <f t="shared" si="1015"/>
        <v>0</v>
      </c>
      <c r="AE2014" s="448">
        <f t="shared" si="1015"/>
        <v>0</v>
      </c>
      <c r="AF2014" s="449"/>
      <c r="AG2014" s="449"/>
      <c r="AH2014" s="449"/>
    </row>
    <row r="2015" ht="11.25" customHeight="1">
      <c r="A2015" s="450"/>
      <c r="B2015" s="451"/>
      <c r="C2015" s="452"/>
      <c r="D2015" s="452"/>
      <c r="E2015" s="453"/>
      <c r="F2015" s="453"/>
      <c r="G2015" s="454"/>
      <c r="H2015" s="454"/>
      <c r="I2015" s="455"/>
      <c r="J2015" s="456"/>
      <c r="K2015" s="457" t="s">
        <v>1416</v>
      </c>
      <c r="L2015" s="458"/>
      <c r="M2015" s="459"/>
      <c r="N2015" s="460"/>
      <c r="O2015" s="460"/>
      <c r="P2015" s="461"/>
      <c r="Q2015" s="458"/>
      <c r="R2015" s="459"/>
      <c r="S2015" s="459"/>
      <c r="T2015" s="459"/>
      <c r="U2015" s="459"/>
      <c r="V2015" s="459"/>
      <c r="W2015" s="459"/>
      <c r="X2015" s="459"/>
      <c r="Y2015" s="462">
        <f t="shared" si="17"/>
        <v>0</v>
      </c>
      <c r="Z2015" s="463"/>
      <c r="AA2015" s="464"/>
      <c r="AB2015" s="465"/>
      <c r="AC2015" s="465"/>
      <c r="AD2015" s="465"/>
      <c r="AE2015" s="466"/>
      <c r="AF2015" s="449"/>
      <c r="AG2015" s="449"/>
      <c r="AH2015" s="449"/>
    </row>
    <row r="2016" ht="11.25" customHeight="1">
      <c r="A2016" s="450"/>
      <c r="B2016" s="451"/>
      <c r="C2016" s="452"/>
      <c r="D2016" s="452"/>
      <c r="E2016" s="453"/>
      <c r="F2016" s="453"/>
      <c r="G2016" s="454"/>
      <c r="H2016" s="454"/>
      <c r="I2016" s="455"/>
      <c r="J2016" s="456"/>
      <c r="K2016" s="467" t="s">
        <v>1417</v>
      </c>
      <c r="L2016" s="468"/>
      <c r="M2016" s="469"/>
      <c r="N2016" s="470"/>
      <c r="O2016" s="470"/>
      <c r="P2016" s="471"/>
      <c r="Q2016" s="468"/>
      <c r="R2016" s="469"/>
      <c r="S2016" s="469"/>
      <c r="T2016" s="469"/>
      <c r="U2016" s="469"/>
      <c r="V2016" s="469"/>
      <c r="W2016" s="469"/>
      <c r="X2016" s="469"/>
      <c r="Y2016" s="462">
        <f t="shared" si="17"/>
        <v>0</v>
      </c>
      <c r="Z2016" s="463"/>
      <c r="AA2016" s="464"/>
      <c r="AB2016" s="465"/>
      <c r="AC2016" s="465"/>
      <c r="AD2016" s="465"/>
      <c r="AE2016" s="466"/>
      <c r="AF2016" s="449"/>
      <c r="AG2016" s="449"/>
      <c r="AH2016" s="449"/>
    </row>
    <row r="2017" ht="11.25" customHeight="1">
      <c r="A2017" s="450"/>
      <c r="B2017" s="472"/>
      <c r="C2017" s="473"/>
      <c r="D2017" s="473"/>
      <c r="E2017" s="474"/>
      <c r="F2017" s="474"/>
      <c r="G2017" s="475"/>
      <c r="H2017" s="475"/>
      <c r="I2017" s="476"/>
      <c r="J2017" s="477"/>
      <c r="K2017" s="478" t="s">
        <v>1418</v>
      </c>
      <c r="L2017" s="479"/>
      <c r="M2017" s="480"/>
      <c r="N2017" s="481"/>
      <c r="O2017" s="481"/>
      <c r="P2017" s="482"/>
      <c r="Q2017" s="479"/>
      <c r="R2017" s="480"/>
      <c r="S2017" s="480"/>
      <c r="T2017" s="480"/>
      <c r="U2017" s="480"/>
      <c r="V2017" s="480"/>
      <c r="W2017" s="480"/>
      <c r="X2017" s="480"/>
      <c r="Y2017" s="483">
        <f t="shared" si="17"/>
        <v>0</v>
      </c>
      <c r="Z2017" s="484"/>
      <c r="AA2017" s="485"/>
      <c r="AB2017" s="486"/>
      <c r="AC2017" s="486"/>
      <c r="AD2017" s="486"/>
      <c r="AE2017" s="487"/>
      <c r="AF2017" s="449"/>
      <c r="AG2017" s="449"/>
      <c r="AH2017" s="449"/>
    </row>
    <row r="2018" ht="11.25" customHeight="1">
      <c r="A2018" s="431" t="str">
        <f>IF(B2018="","", YEAR(B2018))</f>
        <v/>
      </c>
      <c r="B2018" s="432"/>
      <c r="C2018" s="433"/>
      <c r="D2018" s="433"/>
      <c r="E2018" s="434" t="str">
        <f t="shared" ref="E2018:I2018" si="1016">IFERROR(AVERAGE(L2018:L2021),"")</f>
        <v/>
      </c>
      <c r="F2018" s="434" t="str">
        <f t="shared" si="1016"/>
        <v/>
      </c>
      <c r="G2018" s="435" t="str">
        <f t="shared" si="1016"/>
        <v/>
      </c>
      <c r="H2018" s="435" t="str">
        <f t="shared" si="1016"/>
        <v/>
      </c>
      <c r="I2018" s="436" t="str">
        <f t="shared" si="1016"/>
        <v/>
      </c>
      <c r="J2018" s="437">
        <f>SUMIFS(PRODUCTION[KG],PRODUCTION[GRADE],"3X50",PRODUCTION[DATE],B2018,PRODUCTION[BATCH],C2018,PRODUCTION[SHIFT],D2018)</f>
        <v>0</v>
      </c>
      <c r="K2018" s="438" t="s">
        <v>1414</v>
      </c>
      <c r="L2018" s="443"/>
      <c r="M2018" s="440"/>
      <c r="N2018" s="441"/>
      <c r="O2018" s="441"/>
      <c r="P2018" s="442"/>
      <c r="Q2018" s="443"/>
      <c r="R2018" s="440"/>
      <c r="S2018" s="440"/>
      <c r="T2018" s="440"/>
      <c r="U2018" s="440"/>
      <c r="V2018" s="440"/>
      <c r="W2018" s="440"/>
      <c r="X2018" s="440"/>
      <c r="Y2018" s="444">
        <f t="shared" si="17"/>
        <v>0</v>
      </c>
      <c r="Z2018" s="445"/>
      <c r="AA2018" s="446">
        <f t="shared" ref="AA2018:AE2018" si="1017">$J2018*E2018</f>
        <v>0</v>
      </c>
      <c r="AB2018" s="447">
        <f t="shared" si="1017"/>
        <v>0</v>
      </c>
      <c r="AC2018" s="447">
        <f t="shared" si="1017"/>
        <v>0</v>
      </c>
      <c r="AD2018" s="447">
        <f t="shared" si="1017"/>
        <v>0</v>
      </c>
      <c r="AE2018" s="448">
        <f t="shared" si="1017"/>
        <v>0</v>
      </c>
      <c r="AF2018" s="449"/>
      <c r="AG2018" s="449"/>
      <c r="AH2018" s="449"/>
    </row>
    <row r="2019" ht="11.25" customHeight="1">
      <c r="A2019" s="450"/>
      <c r="B2019" s="451"/>
      <c r="C2019" s="452"/>
      <c r="D2019" s="452"/>
      <c r="E2019" s="453"/>
      <c r="F2019" s="453"/>
      <c r="G2019" s="454"/>
      <c r="H2019" s="454"/>
      <c r="I2019" s="455"/>
      <c r="J2019" s="456"/>
      <c r="K2019" s="457" t="s">
        <v>1416</v>
      </c>
      <c r="L2019" s="458"/>
      <c r="M2019" s="459"/>
      <c r="N2019" s="460"/>
      <c r="O2019" s="460"/>
      <c r="P2019" s="461"/>
      <c r="Q2019" s="458"/>
      <c r="R2019" s="459"/>
      <c r="S2019" s="459"/>
      <c r="T2019" s="459"/>
      <c r="U2019" s="459"/>
      <c r="V2019" s="459"/>
      <c r="W2019" s="459"/>
      <c r="X2019" s="459"/>
      <c r="Y2019" s="462">
        <f t="shared" si="17"/>
        <v>0</v>
      </c>
      <c r="Z2019" s="463"/>
      <c r="AA2019" s="464"/>
      <c r="AB2019" s="465"/>
      <c r="AC2019" s="465"/>
      <c r="AD2019" s="465"/>
      <c r="AE2019" s="466"/>
      <c r="AF2019" s="449"/>
      <c r="AG2019" s="449"/>
      <c r="AH2019" s="449"/>
    </row>
    <row r="2020" ht="11.25" customHeight="1">
      <c r="A2020" s="450"/>
      <c r="B2020" s="451"/>
      <c r="C2020" s="452"/>
      <c r="D2020" s="452"/>
      <c r="E2020" s="453"/>
      <c r="F2020" s="453"/>
      <c r="G2020" s="454"/>
      <c r="H2020" s="454"/>
      <c r="I2020" s="455"/>
      <c r="J2020" s="456"/>
      <c r="K2020" s="467" t="s">
        <v>1417</v>
      </c>
      <c r="L2020" s="468"/>
      <c r="M2020" s="469"/>
      <c r="N2020" s="470"/>
      <c r="O2020" s="470"/>
      <c r="P2020" s="471"/>
      <c r="Q2020" s="468"/>
      <c r="R2020" s="469"/>
      <c r="S2020" s="469"/>
      <c r="T2020" s="469"/>
      <c r="U2020" s="469"/>
      <c r="V2020" s="469"/>
      <c r="W2020" s="469"/>
      <c r="X2020" s="469"/>
      <c r="Y2020" s="462">
        <f t="shared" si="17"/>
        <v>0</v>
      </c>
      <c r="Z2020" s="463"/>
      <c r="AA2020" s="464"/>
      <c r="AB2020" s="465"/>
      <c r="AC2020" s="465"/>
      <c r="AD2020" s="465"/>
      <c r="AE2020" s="466"/>
      <c r="AF2020" s="449"/>
      <c r="AG2020" s="449"/>
      <c r="AH2020" s="449"/>
    </row>
    <row r="2021" ht="11.25" customHeight="1">
      <c r="A2021" s="450"/>
      <c r="B2021" s="472"/>
      <c r="C2021" s="473"/>
      <c r="D2021" s="473"/>
      <c r="E2021" s="474"/>
      <c r="F2021" s="474"/>
      <c r="G2021" s="475"/>
      <c r="H2021" s="475"/>
      <c r="I2021" s="476"/>
      <c r="J2021" s="477"/>
      <c r="K2021" s="478" t="s">
        <v>1418</v>
      </c>
      <c r="L2021" s="479"/>
      <c r="M2021" s="480"/>
      <c r="N2021" s="481"/>
      <c r="O2021" s="481"/>
      <c r="P2021" s="482"/>
      <c r="Q2021" s="479"/>
      <c r="R2021" s="480"/>
      <c r="S2021" s="480"/>
      <c r="T2021" s="480"/>
      <c r="U2021" s="480"/>
      <c r="V2021" s="480"/>
      <c r="W2021" s="480"/>
      <c r="X2021" s="480"/>
      <c r="Y2021" s="483">
        <f t="shared" si="17"/>
        <v>0</v>
      </c>
      <c r="Z2021" s="484"/>
      <c r="AA2021" s="485"/>
      <c r="AB2021" s="486"/>
      <c r="AC2021" s="486"/>
      <c r="AD2021" s="486"/>
      <c r="AE2021" s="487"/>
      <c r="AF2021" s="449"/>
      <c r="AG2021" s="449"/>
      <c r="AH2021" s="449"/>
    </row>
    <row r="2022" ht="11.25" customHeight="1">
      <c r="A2022" s="431" t="str">
        <f>IF(B2022="","", YEAR(B2022))</f>
        <v/>
      </c>
      <c r="B2022" s="432"/>
      <c r="C2022" s="433"/>
      <c r="D2022" s="433"/>
      <c r="E2022" s="434" t="str">
        <f t="shared" ref="E2022:I2022" si="1018">IFERROR(AVERAGE(L2022:L2025),"")</f>
        <v/>
      </c>
      <c r="F2022" s="434" t="str">
        <f t="shared" si="1018"/>
        <v/>
      </c>
      <c r="G2022" s="435" t="str">
        <f t="shared" si="1018"/>
        <v/>
      </c>
      <c r="H2022" s="435" t="str">
        <f t="shared" si="1018"/>
        <v/>
      </c>
      <c r="I2022" s="436" t="str">
        <f t="shared" si="1018"/>
        <v/>
      </c>
      <c r="J2022" s="437">
        <f>SUMIFS(PRODUCTION[KG],PRODUCTION[GRADE],"3X50",PRODUCTION[DATE],B2022,PRODUCTION[BATCH],C2022,PRODUCTION[SHIFT],D2022)</f>
        <v>0</v>
      </c>
      <c r="K2022" s="438" t="s">
        <v>1414</v>
      </c>
      <c r="L2022" s="443"/>
      <c r="M2022" s="440"/>
      <c r="N2022" s="441"/>
      <c r="O2022" s="441"/>
      <c r="P2022" s="442"/>
      <c r="Q2022" s="443"/>
      <c r="R2022" s="440"/>
      <c r="S2022" s="440"/>
      <c r="T2022" s="440"/>
      <c r="U2022" s="440"/>
      <c r="V2022" s="440"/>
      <c r="W2022" s="440"/>
      <c r="X2022" s="440"/>
      <c r="Y2022" s="444">
        <f t="shared" si="17"/>
        <v>0</v>
      </c>
      <c r="Z2022" s="445"/>
      <c r="AA2022" s="446">
        <f t="shared" ref="AA2022:AE2022" si="1019">$J2022*E2022</f>
        <v>0</v>
      </c>
      <c r="AB2022" s="447">
        <f t="shared" si="1019"/>
        <v>0</v>
      </c>
      <c r="AC2022" s="447">
        <f t="shared" si="1019"/>
        <v>0</v>
      </c>
      <c r="AD2022" s="447">
        <f t="shared" si="1019"/>
        <v>0</v>
      </c>
      <c r="AE2022" s="448">
        <f t="shared" si="1019"/>
        <v>0</v>
      </c>
      <c r="AF2022" s="449"/>
      <c r="AG2022" s="449"/>
      <c r="AH2022" s="449"/>
    </row>
    <row r="2023" ht="11.25" customHeight="1">
      <c r="A2023" s="450"/>
      <c r="B2023" s="451"/>
      <c r="C2023" s="452"/>
      <c r="D2023" s="452"/>
      <c r="E2023" s="453"/>
      <c r="F2023" s="453"/>
      <c r="G2023" s="454"/>
      <c r="H2023" s="454"/>
      <c r="I2023" s="455"/>
      <c r="J2023" s="456"/>
      <c r="K2023" s="457" t="s">
        <v>1416</v>
      </c>
      <c r="L2023" s="458"/>
      <c r="M2023" s="459"/>
      <c r="N2023" s="460"/>
      <c r="O2023" s="460"/>
      <c r="P2023" s="461"/>
      <c r="Q2023" s="458"/>
      <c r="R2023" s="459"/>
      <c r="S2023" s="459"/>
      <c r="T2023" s="459"/>
      <c r="U2023" s="459"/>
      <c r="V2023" s="459"/>
      <c r="W2023" s="459"/>
      <c r="X2023" s="459"/>
      <c r="Y2023" s="462">
        <f t="shared" si="17"/>
        <v>0</v>
      </c>
      <c r="Z2023" s="463"/>
      <c r="AA2023" s="464"/>
      <c r="AB2023" s="465"/>
      <c r="AC2023" s="465"/>
      <c r="AD2023" s="465"/>
      <c r="AE2023" s="466"/>
      <c r="AF2023" s="449"/>
      <c r="AG2023" s="449"/>
      <c r="AH2023" s="449"/>
    </row>
    <row r="2024" ht="11.25" customHeight="1">
      <c r="A2024" s="450"/>
      <c r="B2024" s="451"/>
      <c r="C2024" s="452"/>
      <c r="D2024" s="452"/>
      <c r="E2024" s="453"/>
      <c r="F2024" s="453"/>
      <c r="G2024" s="454"/>
      <c r="H2024" s="454"/>
      <c r="I2024" s="455"/>
      <c r="J2024" s="456"/>
      <c r="K2024" s="467" t="s">
        <v>1417</v>
      </c>
      <c r="L2024" s="468"/>
      <c r="M2024" s="469"/>
      <c r="N2024" s="470"/>
      <c r="O2024" s="470"/>
      <c r="P2024" s="471"/>
      <c r="Q2024" s="468"/>
      <c r="R2024" s="469"/>
      <c r="S2024" s="469"/>
      <c r="T2024" s="469"/>
      <c r="U2024" s="469"/>
      <c r="V2024" s="469"/>
      <c r="W2024" s="469"/>
      <c r="X2024" s="469"/>
      <c r="Y2024" s="462">
        <f t="shared" si="17"/>
        <v>0</v>
      </c>
      <c r="Z2024" s="463"/>
      <c r="AA2024" s="464"/>
      <c r="AB2024" s="465"/>
      <c r="AC2024" s="465"/>
      <c r="AD2024" s="465"/>
      <c r="AE2024" s="466"/>
      <c r="AF2024" s="449"/>
      <c r="AG2024" s="449"/>
      <c r="AH2024" s="449"/>
    </row>
    <row r="2025" ht="11.25" customHeight="1">
      <c r="A2025" s="450"/>
      <c r="B2025" s="472"/>
      <c r="C2025" s="473"/>
      <c r="D2025" s="473"/>
      <c r="E2025" s="474"/>
      <c r="F2025" s="474"/>
      <c r="G2025" s="475"/>
      <c r="H2025" s="475"/>
      <c r="I2025" s="476"/>
      <c r="J2025" s="477"/>
      <c r="K2025" s="478" t="s">
        <v>1418</v>
      </c>
      <c r="L2025" s="479"/>
      <c r="M2025" s="480"/>
      <c r="N2025" s="481"/>
      <c r="O2025" s="481"/>
      <c r="P2025" s="482"/>
      <c r="Q2025" s="479"/>
      <c r="R2025" s="480"/>
      <c r="S2025" s="480"/>
      <c r="T2025" s="480"/>
      <c r="U2025" s="480"/>
      <c r="V2025" s="480"/>
      <c r="W2025" s="480"/>
      <c r="X2025" s="480"/>
      <c r="Y2025" s="483">
        <f t="shared" si="17"/>
        <v>0</v>
      </c>
      <c r="Z2025" s="484"/>
      <c r="AA2025" s="485"/>
      <c r="AB2025" s="486"/>
      <c r="AC2025" s="486"/>
      <c r="AD2025" s="486"/>
      <c r="AE2025" s="487"/>
      <c r="AF2025" s="449"/>
      <c r="AG2025" s="449"/>
      <c r="AH2025" s="449"/>
    </row>
    <row r="2026" ht="11.25" customHeight="1">
      <c r="A2026" s="431" t="str">
        <f>IF(B2026="","", YEAR(B2026))</f>
        <v/>
      </c>
      <c r="B2026" s="432"/>
      <c r="C2026" s="433"/>
      <c r="D2026" s="433"/>
      <c r="E2026" s="434" t="str">
        <f t="shared" ref="E2026:I2026" si="1020">IFERROR(AVERAGE(L2026:L2029),"")</f>
        <v/>
      </c>
      <c r="F2026" s="434" t="str">
        <f t="shared" si="1020"/>
        <v/>
      </c>
      <c r="G2026" s="435" t="str">
        <f t="shared" si="1020"/>
        <v/>
      </c>
      <c r="H2026" s="435" t="str">
        <f t="shared" si="1020"/>
        <v/>
      </c>
      <c r="I2026" s="436" t="str">
        <f t="shared" si="1020"/>
        <v/>
      </c>
      <c r="J2026" s="437">
        <f>SUMIFS(PRODUCTION[KG],PRODUCTION[GRADE],"3X50",PRODUCTION[DATE],B2026,PRODUCTION[BATCH],C2026,PRODUCTION[SHIFT],D2026)</f>
        <v>0</v>
      </c>
      <c r="K2026" s="438" t="s">
        <v>1414</v>
      </c>
      <c r="L2026" s="443"/>
      <c r="M2026" s="440"/>
      <c r="N2026" s="441"/>
      <c r="O2026" s="441"/>
      <c r="P2026" s="442"/>
      <c r="Q2026" s="443"/>
      <c r="R2026" s="440"/>
      <c r="S2026" s="440"/>
      <c r="T2026" s="440"/>
      <c r="U2026" s="440"/>
      <c r="V2026" s="440"/>
      <c r="W2026" s="440"/>
      <c r="X2026" s="440"/>
      <c r="Y2026" s="444">
        <f t="shared" si="17"/>
        <v>0</v>
      </c>
      <c r="Z2026" s="445"/>
      <c r="AA2026" s="446">
        <f t="shared" ref="AA2026:AE2026" si="1021">$J2026*E2026</f>
        <v>0</v>
      </c>
      <c r="AB2026" s="447">
        <f t="shared" si="1021"/>
        <v>0</v>
      </c>
      <c r="AC2026" s="447">
        <f t="shared" si="1021"/>
        <v>0</v>
      </c>
      <c r="AD2026" s="447">
        <f t="shared" si="1021"/>
        <v>0</v>
      </c>
      <c r="AE2026" s="448">
        <f t="shared" si="1021"/>
        <v>0</v>
      </c>
      <c r="AF2026" s="449"/>
      <c r="AG2026" s="449"/>
      <c r="AH2026" s="449"/>
    </row>
    <row r="2027" ht="11.25" customHeight="1">
      <c r="A2027" s="450"/>
      <c r="B2027" s="451"/>
      <c r="C2027" s="452"/>
      <c r="D2027" s="452"/>
      <c r="E2027" s="453"/>
      <c r="F2027" s="453"/>
      <c r="G2027" s="454"/>
      <c r="H2027" s="454"/>
      <c r="I2027" s="455"/>
      <c r="J2027" s="456"/>
      <c r="K2027" s="457" t="s">
        <v>1416</v>
      </c>
      <c r="L2027" s="458"/>
      <c r="M2027" s="459"/>
      <c r="N2027" s="460"/>
      <c r="O2027" s="460"/>
      <c r="P2027" s="461"/>
      <c r="Q2027" s="458"/>
      <c r="R2027" s="459"/>
      <c r="S2027" s="459"/>
      <c r="T2027" s="459"/>
      <c r="U2027" s="459"/>
      <c r="V2027" s="459"/>
      <c r="W2027" s="459"/>
      <c r="X2027" s="459"/>
      <c r="Y2027" s="462">
        <f t="shared" si="17"/>
        <v>0</v>
      </c>
      <c r="Z2027" s="463"/>
      <c r="AA2027" s="464"/>
      <c r="AB2027" s="465"/>
      <c r="AC2027" s="465"/>
      <c r="AD2027" s="465"/>
      <c r="AE2027" s="466"/>
      <c r="AF2027" s="449"/>
      <c r="AG2027" s="449"/>
      <c r="AH2027" s="449"/>
    </row>
    <row r="2028" ht="11.25" customHeight="1">
      <c r="A2028" s="450"/>
      <c r="B2028" s="451"/>
      <c r="C2028" s="452"/>
      <c r="D2028" s="452"/>
      <c r="E2028" s="453"/>
      <c r="F2028" s="453"/>
      <c r="G2028" s="454"/>
      <c r="H2028" s="454"/>
      <c r="I2028" s="455"/>
      <c r="J2028" s="456"/>
      <c r="K2028" s="467" t="s">
        <v>1417</v>
      </c>
      <c r="L2028" s="468"/>
      <c r="M2028" s="469"/>
      <c r="N2028" s="470"/>
      <c r="O2028" s="470"/>
      <c r="P2028" s="471"/>
      <c r="Q2028" s="468"/>
      <c r="R2028" s="469"/>
      <c r="S2028" s="469"/>
      <c r="T2028" s="469"/>
      <c r="U2028" s="469"/>
      <c r="V2028" s="469"/>
      <c r="W2028" s="469"/>
      <c r="X2028" s="469"/>
      <c r="Y2028" s="462">
        <f t="shared" si="17"/>
        <v>0</v>
      </c>
      <c r="Z2028" s="463"/>
      <c r="AA2028" s="464"/>
      <c r="AB2028" s="465"/>
      <c r="AC2028" s="465"/>
      <c r="AD2028" s="465"/>
      <c r="AE2028" s="466"/>
      <c r="AF2028" s="449"/>
      <c r="AG2028" s="449"/>
      <c r="AH2028" s="449"/>
    </row>
    <row r="2029" ht="11.25" customHeight="1">
      <c r="A2029" s="450"/>
      <c r="B2029" s="472"/>
      <c r="C2029" s="473"/>
      <c r="D2029" s="473"/>
      <c r="E2029" s="474"/>
      <c r="F2029" s="474"/>
      <c r="G2029" s="475"/>
      <c r="H2029" s="475"/>
      <c r="I2029" s="476"/>
      <c r="J2029" s="477"/>
      <c r="K2029" s="478" t="s">
        <v>1418</v>
      </c>
      <c r="L2029" s="479"/>
      <c r="M2029" s="480"/>
      <c r="N2029" s="481"/>
      <c r="O2029" s="481"/>
      <c r="P2029" s="482"/>
      <c r="Q2029" s="479"/>
      <c r="R2029" s="480"/>
      <c r="S2029" s="480"/>
      <c r="T2029" s="480"/>
      <c r="U2029" s="480"/>
      <c r="V2029" s="480"/>
      <c r="W2029" s="480"/>
      <c r="X2029" s="480"/>
      <c r="Y2029" s="483">
        <f t="shared" si="17"/>
        <v>0</v>
      </c>
      <c r="Z2029" s="484"/>
      <c r="AA2029" s="485"/>
      <c r="AB2029" s="486"/>
      <c r="AC2029" s="486"/>
      <c r="AD2029" s="486"/>
      <c r="AE2029" s="487"/>
      <c r="AF2029" s="449"/>
      <c r="AG2029" s="449"/>
      <c r="AH2029" s="449"/>
    </row>
    <row r="2030" ht="11.25" customHeight="1">
      <c r="A2030" s="431" t="str">
        <f>IF(B2030="","", YEAR(B2030))</f>
        <v/>
      </c>
      <c r="B2030" s="432"/>
      <c r="C2030" s="433"/>
      <c r="D2030" s="433"/>
      <c r="E2030" s="434" t="str">
        <f t="shared" ref="E2030:I2030" si="1022">IFERROR(AVERAGE(L2030:L2033),"")</f>
        <v/>
      </c>
      <c r="F2030" s="434" t="str">
        <f t="shared" si="1022"/>
        <v/>
      </c>
      <c r="G2030" s="435" t="str">
        <f t="shared" si="1022"/>
        <v/>
      </c>
      <c r="H2030" s="435" t="str">
        <f t="shared" si="1022"/>
        <v/>
      </c>
      <c r="I2030" s="436" t="str">
        <f t="shared" si="1022"/>
        <v/>
      </c>
      <c r="J2030" s="437">
        <f>SUMIFS(PRODUCTION[KG],PRODUCTION[GRADE],"3X50",PRODUCTION[DATE],B2030,PRODUCTION[BATCH],C2030,PRODUCTION[SHIFT],D2030)</f>
        <v>0</v>
      </c>
      <c r="K2030" s="438" t="s">
        <v>1414</v>
      </c>
      <c r="L2030" s="443"/>
      <c r="M2030" s="440"/>
      <c r="N2030" s="441"/>
      <c r="O2030" s="441"/>
      <c r="P2030" s="442"/>
      <c r="Q2030" s="443"/>
      <c r="R2030" s="440"/>
      <c r="S2030" s="440"/>
      <c r="T2030" s="440"/>
      <c r="U2030" s="440"/>
      <c r="V2030" s="440"/>
      <c r="W2030" s="440"/>
      <c r="X2030" s="440"/>
      <c r="Y2030" s="444">
        <f t="shared" si="17"/>
        <v>0</v>
      </c>
      <c r="Z2030" s="445"/>
      <c r="AA2030" s="446">
        <f t="shared" ref="AA2030:AE2030" si="1023">$J2030*E2030</f>
        <v>0</v>
      </c>
      <c r="AB2030" s="447">
        <f t="shared" si="1023"/>
        <v>0</v>
      </c>
      <c r="AC2030" s="447">
        <f t="shared" si="1023"/>
        <v>0</v>
      </c>
      <c r="AD2030" s="447">
        <f t="shared" si="1023"/>
        <v>0</v>
      </c>
      <c r="AE2030" s="448">
        <f t="shared" si="1023"/>
        <v>0</v>
      </c>
      <c r="AF2030" s="449"/>
      <c r="AG2030" s="449"/>
      <c r="AH2030" s="449"/>
    </row>
    <row r="2031" ht="11.25" customHeight="1">
      <c r="A2031" s="450"/>
      <c r="B2031" s="451"/>
      <c r="C2031" s="452"/>
      <c r="D2031" s="452"/>
      <c r="E2031" s="453"/>
      <c r="F2031" s="453"/>
      <c r="G2031" s="454"/>
      <c r="H2031" s="454"/>
      <c r="I2031" s="455"/>
      <c r="J2031" s="456"/>
      <c r="K2031" s="457" t="s">
        <v>1416</v>
      </c>
      <c r="L2031" s="458"/>
      <c r="M2031" s="459"/>
      <c r="N2031" s="460"/>
      <c r="O2031" s="460"/>
      <c r="P2031" s="461"/>
      <c r="Q2031" s="458"/>
      <c r="R2031" s="459"/>
      <c r="S2031" s="459"/>
      <c r="T2031" s="459"/>
      <c r="U2031" s="459"/>
      <c r="V2031" s="459"/>
      <c r="W2031" s="459"/>
      <c r="X2031" s="459"/>
      <c r="Y2031" s="462">
        <f t="shared" si="17"/>
        <v>0</v>
      </c>
      <c r="Z2031" s="463"/>
      <c r="AA2031" s="464"/>
      <c r="AB2031" s="465"/>
      <c r="AC2031" s="465"/>
      <c r="AD2031" s="465"/>
      <c r="AE2031" s="466"/>
      <c r="AF2031" s="449"/>
      <c r="AG2031" s="449"/>
      <c r="AH2031" s="449"/>
    </row>
    <row r="2032" ht="11.25" customHeight="1">
      <c r="A2032" s="450"/>
      <c r="B2032" s="451"/>
      <c r="C2032" s="452"/>
      <c r="D2032" s="452"/>
      <c r="E2032" s="453"/>
      <c r="F2032" s="453"/>
      <c r="G2032" s="454"/>
      <c r="H2032" s="454"/>
      <c r="I2032" s="455"/>
      <c r="J2032" s="456"/>
      <c r="K2032" s="467" t="s">
        <v>1417</v>
      </c>
      <c r="L2032" s="468"/>
      <c r="M2032" s="469"/>
      <c r="N2032" s="470"/>
      <c r="O2032" s="470"/>
      <c r="P2032" s="471"/>
      <c r="Q2032" s="468"/>
      <c r="R2032" s="469"/>
      <c r="S2032" s="469"/>
      <c r="T2032" s="469"/>
      <c r="U2032" s="469"/>
      <c r="V2032" s="469"/>
      <c r="W2032" s="469"/>
      <c r="X2032" s="469"/>
      <c r="Y2032" s="462">
        <f t="shared" si="17"/>
        <v>0</v>
      </c>
      <c r="Z2032" s="463"/>
      <c r="AA2032" s="464"/>
      <c r="AB2032" s="465"/>
      <c r="AC2032" s="465"/>
      <c r="AD2032" s="465"/>
      <c r="AE2032" s="466"/>
      <c r="AF2032" s="449"/>
      <c r="AG2032" s="449"/>
      <c r="AH2032" s="449"/>
    </row>
    <row r="2033" ht="11.25" customHeight="1">
      <c r="A2033" s="450"/>
      <c r="B2033" s="472"/>
      <c r="C2033" s="473"/>
      <c r="D2033" s="473"/>
      <c r="E2033" s="474"/>
      <c r="F2033" s="474"/>
      <c r="G2033" s="475"/>
      <c r="H2033" s="475"/>
      <c r="I2033" s="476"/>
      <c r="J2033" s="477"/>
      <c r="K2033" s="478" t="s">
        <v>1418</v>
      </c>
      <c r="L2033" s="479"/>
      <c r="M2033" s="480"/>
      <c r="N2033" s="481"/>
      <c r="O2033" s="481"/>
      <c r="P2033" s="482"/>
      <c r="Q2033" s="479"/>
      <c r="R2033" s="480"/>
      <c r="S2033" s="480"/>
      <c r="T2033" s="480"/>
      <c r="U2033" s="480"/>
      <c r="V2033" s="480"/>
      <c r="W2033" s="480"/>
      <c r="X2033" s="480"/>
      <c r="Y2033" s="483">
        <f t="shared" si="17"/>
        <v>0</v>
      </c>
      <c r="Z2033" s="484"/>
      <c r="AA2033" s="485"/>
      <c r="AB2033" s="486"/>
      <c r="AC2033" s="486"/>
      <c r="AD2033" s="486"/>
      <c r="AE2033" s="487"/>
      <c r="AF2033" s="449"/>
      <c r="AG2033" s="449"/>
      <c r="AH2033" s="449"/>
    </row>
    <row r="2034" ht="11.25" customHeight="1">
      <c r="A2034" s="431" t="str">
        <f>IF(B2034="","", YEAR(B2034))</f>
        <v/>
      </c>
      <c r="B2034" s="432"/>
      <c r="C2034" s="433"/>
      <c r="D2034" s="433"/>
      <c r="E2034" s="434" t="str">
        <f t="shared" ref="E2034:I2034" si="1024">IFERROR(AVERAGE(L2034:L2037),"")</f>
        <v/>
      </c>
      <c r="F2034" s="434" t="str">
        <f t="shared" si="1024"/>
        <v/>
      </c>
      <c r="G2034" s="435" t="str">
        <f t="shared" si="1024"/>
        <v/>
      </c>
      <c r="H2034" s="435" t="str">
        <f t="shared" si="1024"/>
        <v/>
      </c>
      <c r="I2034" s="436" t="str">
        <f t="shared" si="1024"/>
        <v/>
      </c>
      <c r="J2034" s="437">
        <f>SUMIFS(PRODUCTION[KG],PRODUCTION[GRADE],"3X50",PRODUCTION[DATE],B2034,PRODUCTION[BATCH],C2034,PRODUCTION[SHIFT],D2034)</f>
        <v>0</v>
      </c>
      <c r="K2034" s="438" t="s">
        <v>1414</v>
      </c>
      <c r="L2034" s="443"/>
      <c r="M2034" s="440"/>
      <c r="N2034" s="441"/>
      <c r="O2034" s="441"/>
      <c r="P2034" s="442"/>
      <c r="Q2034" s="443"/>
      <c r="R2034" s="440"/>
      <c r="S2034" s="440"/>
      <c r="T2034" s="440"/>
      <c r="U2034" s="440"/>
      <c r="V2034" s="440"/>
      <c r="W2034" s="440"/>
      <c r="X2034" s="440"/>
      <c r="Y2034" s="444">
        <f t="shared" si="17"/>
        <v>0</v>
      </c>
      <c r="Z2034" s="445"/>
      <c r="AA2034" s="446">
        <f t="shared" ref="AA2034:AE2034" si="1025">$J2034*E2034</f>
        <v>0</v>
      </c>
      <c r="AB2034" s="447">
        <f t="shared" si="1025"/>
        <v>0</v>
      </c>
      <c r="AC2034" s="447">
        <f t="shared" si="1025"/>
        <v>0</v>
      </c>
      <c r="AD2034" s="447">
        <f t="shared" si="1025"/>
        <v>0</v>
      </c>
      <c r="AE2034" s="448">
        <f t="shared" si="1025"/>
        <v>0</v>
      </c>
      <c r="AF2034" s="449"/>
      <c r="AG2034" s="449"/>
      <c r="AH2034" s="449"/>
    </row>
    <row r="2035" ht="11.25" customHeight="1">
      <c r="A2035" s="450"/>
      <c r="B2035" s="451"/>
      <c r="C2035" s="452"/>
      <c r="D2035" s="452"/>
      <c r="E2035" s="453"/>
      <c r="F2035" s="453"/>
      <c r="G2035" s="454"/>
      <c r="H2035" s="454"/>
      <c r="I2035" s="455"/>
      <c r="J2035" s="456"/>
      <c r="K2035" s="457" t="s">
        <v>1416</v>
      </c>
      <c r="L2035" s="458"/>
      <c r="M2035" s="459"/>
      <c r="N2035" s="460"/>
      <c r="O2035" s="460"/>
      <c r="P2035" s="461"/>
      <c r="Q2035" s="458"/>
      <c r="R2035" s="459"/>
      <c r="S2035" s="459"/>
      <c r="T2035" s="459"/>
      <c r="U2035" s="459"/>
      <c r="V2035" s="459"/>
      <c r="W2035" s="459"/>
      <c r="X2035" s="459"/>
      <c r="Y2035" s="462">
        <f t="shared" si="17"/>
        <v>0</v>
      </c>
      <c r="Z2035" s="463"/>
      <c r="AA2035" s="464"/>
      <c r="AB2035" s="465"/>
      <c r="AC2035" s="465"/>
      <c r="AD2035" s="465"/>
      <c r="AE2035" s="466"/>
      <c r="AF2035" s="449"/>
      <c r="AG2035" s="449"/>
      <c r="AH2035" s="449"/>
    </row>
    <row r="2036" ht="11.25" customHeight="1">
      <c r="A2036" s="450"/>
      <c r="B2036" s="451"/>
      <c r="C2036" s="452"/>
      <c r="D2036" s="452"/>
      <c r="E2036" s="453"/>
      <c r="F2036" s="453"/>
      <c r="G2036" s="454"/>
      <c r="H2036" s="454"/>
      <c r="I2036" s="455"/>
      <c r="J2036" s="456"/>
      <c r="K2036" s="467" t="s">
        <v>1417</v>
      </c>
      <c r="L2036" s="468"/>
      <c r="M2036" s="469"/>
      <c r="N2036" s="470"/>
      <c r="O2036" s="470"/>
      <c r="P2036" s="471"/>
      <c r="Q2036" s="468"/>
      <c r="R2036" s="469"/>
      <c r="S2036" s="469"/>
      <c r="T2036" s="469"/>
      <c r="U2036" s="469"/>
      <c r="V2036" s="469"/>
      <c r="W2036" s="469"/>
      <c r="X2036" s="469"/>
      <c r="Y2036" s="462">
        <f t="shared" si="17"/>
        <v>0</v>
      </c>
      <c r="Z2036" s="463"/>
      <c r="AA2036" s="464"/>
      <c r="AB2036" s="465"/>
      <c r="AC2036" s="465"/>
      <c r="AD2036" s="465"/>
      <c r="AE2036" s="466"/>
      <c r="AF2036" s="449"/>
      <c r="AG2036" s="449"/>
      <c r="AH2036" s="449"/>
    </row>
    <row r="2037" ht="11.25" customHeight="1">
      <c r="A2037" s="450"/>
      <c r="B2037" s="472"/>
      <c r="C2037" s="473"/>
      <c r="D2037" s="473"/>
      <c r="E2037" s="474"/>
      <c r="F2037" s="474"/>
      <c r="G2037" s="475"/>
      <c r="H2037" s="475"/>
      <c r="I2037" s="476"/>
      <c r="J2037" s="477"/>
      <c r="K2037" s="478" t="s">
        <v>1418</v>
      </c>
      <c r="L2037" s="479"/>
      <c r="M2037" s="480"/>
      <c r="N2037" s="481"/>
      <c r="O2037" s="481"/>
      <c r="P2037" s="482"/>
      <c r="Q2037" s="479"/>
      <c r="R2037" s="480"/>
      <c r="S2037" s="480"/>
      <c r="T2037" s="480"/>
      <c r="U2037" s="480"/>
      <c r="V2037" s="480"/>
      <c r="W2037" s="480"/>
      <c r="X2037" s="480"/>
      <c r="Y2037" s="483">
        <f t="shared" si="17"/>
        <v>0</v>
      </c>
      <c r="Z2037" s="484"/>
      <c r="AA2037" s="485"/>
      <c r="AB2037" s="486"/>
      <c r="AC2037" s="486"/>
      <c r="AD2037" s="486"/>
      <c r="AE2037" s="487"/>
      <c r="AF2037" s="449"/>
      <c r="AG2037" s="449"/>
      <c r="AH2037" s="449"/>
    </row>
    <row r="2038" ht="11.25" customHeight="1">
      <c r="A2038" s="431" t="str">
        <f>IF(B2038="","", YEAR(B2038))</f>
        <v/>
      </c>
      <c r="B2038" s="432"/>
      <c r="C2038" s="433"/>
      <c r="D2038" s="433"/>
      <c r="E2038" s="434" t="str">
        <f t="shared" ref="E2038:I2038" si="1026">IFERROR(AVERAGE(L2038:L2041),"")</f>
        <v/>
      </c>
      <c r="F2038" s="434" t="str">
        <f t="shared" si="1026"/>
        <v/>
      </c>
      <c r="G2038" s="435" t="str">
        <f t="shared" si="1026"/>
        <v/>
      </c>
      <c r="H2038" s="435" t="str">
        <f t="shared" si="1026"/>
        <v/>
      </c>
      <c r="I2038" s="436" t="str">
        <f t="shared" si="1026"/>
        <v/>
      </c>
      <c r="J2038" s="437">
        <f>SUMIFS(PRODUCTION[KG],PRODUCTION[GRADE],"3X50",PRODUCTION[DATE],B2038,PRODUCTION[BATCH],C2038,PRODUCTION[SHIFT],D2038)</f>
        <v>0</v>
      </c>
      <c r="K2038" s="438" t="s">
        <v>1414</v>
      </c>
      <c r="L2038" s="443"/>
      <c r="M2038" s="440"/>
      <c r="N2038" s="441"/>
      <c r="O2038" s="441"/>
      <c r="P2038" s="442"/>
      <c r="Q2038" s="443"/>
      <c r="R2038" s="440"/>
      <c r="S2038" s="440"/>
      <c r="T2038" s="440"/>
      <c r="U2038" s="440"/>
      <c r="V2038" s="440"/>
      <c r="W2038" s="440"/>
      <c r="X2038" s="440"/>
      <c r="Y2038" s="444">
        <f t="shared" si="17"/>
        <v>0</v>
      </c>
      <c r="Z2038" s="445"/>
      <c r="AA2038" s="446">
        <f t="shared" ref="AA2038:AE2038" si="1027">$J2038*E2038</f>
        <v>0</v>
      </c>
      <c r="AB2038" s="447">
        <f t="shared" si="1027"/>
        <v>0</v>
      </c>
      <c r="AC2038" s="447">
        <f t="shared" si="1027"/>
        <v>0</v>
      </c>
      <c r="AD2038" s="447">
        <f t="shared" si="1027"/>
        <v>0</v>
      </c>
      <c r="AE2038" s="448">
        <f t="shared" si="1027"/>
        <v>0</v>
      </c>
      <c r="AF2038" s="449"/>
      <c r="AG2038" s="449"/>
      <c r="AH2038" s="449"/>
    </row>
    <row r="2039" ht="11.25" customHeight="1">
      <c r="A2039" s="450"/>
      <c r="B2039" s="451"/>
      <c r="C2039" s="452"/>
      <c r="D2039" s="452"/>
      <c r="E2039" s="453"/>
      <c r="F2039" s="453"/>
      <c r="G2039" s="454"/>
      <c r="H2039" s="454"/>
      <c r="I2039" s="455"/>
      <c r="J2039" s="456"/>
      <c r="K2039" s="457" t="s">
        <v>1416</v>
      </c>
      <c r="L2039" s="458"/>
      <c r="M2039" s="459"/>
      <c r="N2039" s="460"/>
      <c r="O2039" s="460"/>
      <c r="P2039" s="461"/>
      <c r="Q2039" s="458"/>
      <c r="R2039" s="459"/>
      <c r="S2039" s="459"/>
      <c r="T2039" s="459"/>
      <c r="U2039" s="459"/>
      <c r="V2039" s="459"/>
      <c r="W2039" s="459"/>
      <c r="X2039" s="459"/>
      <c r="Y2039" s="462">
        <f t="shared" si="17"/>
        <v>0</v>
      </c>
      <c r="Z2039" s="463"/>
      <c r="AA2039" s="464"/>
      <c r="AB2039" s="465"/>
      <c r="AC2039" s="465"/>
      <c r="AD2039" s="465"/>
      <c r="AE2039" s="466"/>
      <c r="AF2039" s="449"/>
      <c r="AG2039" s="449"/>
      <c r="AH2039" s="449"/>
    </row>
    <row r="2040" ht="11.25" customHeight="1">
      <c r="A2040" s="450"/>
      <c r="B2040" s="451"/>
      <c r="C2040" s="452"/>
      <c r="D2040" s="452"/>
      <c r="E2040" s="453"/>
      <c r="F2040" s="453"/>
      <c r="G2040" s="454"/>
      <c r="H2040" s="454"/>
      <c r="I2040" s="455"/>
      <c r="J2040" s="456"/>
      <c r="K2040" s="467" t="s">
        <v>1417</v>
      </c>
      <c r="L2040" s="468"/>
      <c r="M2040" s="469"/>
      <c r="N2040" s="470"/>
      <c r="O2040" s="470"/>
      <c r="P2040" s="471"/>
      <c r="Q2040" s="468"/>
      <c r="R2040" s="469"/>
      <c r="S2040" s="469"/>
      <c r="T2040" s="469"/>
      <c r="U2040" s="469"/>
      <c r="V2040" s="469"/>
      <c r="W2040" s="469"/>
      <c r="X2040" s="469"/>
      <c r="Y2040" s="462">
        <f t="shared" si="17"/>
        <v>0</v>
      </c>
      <c r="Z2040" s="463"/>
      <c r="AA2040" s="464"/>
      <c r="AB2040" s="465"/>
      <c r="AC2040" s="465"/>
      <c r="AD2040" s="465"/>
      <c r="AE2040" s="466"/>
      <c r="AF2040" s="449"/>
      <c r="AG2040" s="449"/>
      <c r="AH2040" s="449"/>
    </row>
    <row r="2041" ht="11.25" customHeight="1">
      <c r="A2041" s="450"/>
      <c r="B2041" s="472"/>
      <c r="C2041" s="473"/>
      <c r="D2041" s="473"/>
      <c r="E2041" s="474"/>
      <c r="F2041" s="474"/>
      <c r="G2041" s="475"/>
      <c r="H2041" s="475"/>
      <c r="I2041" s="476"/>
      <c r="J2041" s="477"/>
      <c r="K2041" s="478" t="s">
        <v>1418</v>
      </c>
      <c r="L2041" s="479"/>
      <c r="M2041" s="480"/>
      <c r="N2041" s="481"/>
      <c r="O2041" s="481"/>
      <c r="P2041" s="482"/>
      <c r="Q2041" s="479"/>
      <c r="R2041" s="480"/>
      <c r="S2041" s="480"/>
      <c r="T2041" s="480"/>
      <c r="U2041" s="480"/>
      <c r="V2041" s="480"/>
      <c r="W2041" s="480"/>
      <c r="X2041" s="480"/>
      <c r="Y2041" s="483">
        <f t="shared" si="17"/>
        <v>0</v>
      </c>
      <c r="Z2041" s="484"/>
      <c r="AA2041" s="485"/>
      <c r="AB2041" s="486"/>
      <c r="AC2041" s="486"/>
      <c r="AD2041" s="486"/>
      <c r="AE2041" s="487"/>
      <c r="AF2041" s="449"/>
      <c r="AG2041" s="449"/>
      <c r="AH2041" s="449"/>
    </row>
    <row r="2042" ht="11.25" customHeight="1">
      <c r="A2042" s="431" t="str">
        <f>IF(B2042="","", YEAR(B2042))</f>
        <v/>
      </c>
      <c r="B2042" s="432"/>
      <c r="C2042" s="433"/>
      <c r="D2042" s="433"/>
      <c r="E2042" s="434" t="str">
        <f t="shared" ref="E2042:I2042" si="1028">IFERROR(AVERAGE(L2042:L2045),"")</f>
        <v/>
      </c>
      <c r="F2042" s="434" t="str">
        <f t="shared" si="1028"/>
        <v/>
      </c>
      <c r="G2042" s="435" t="str">
        <f t="shared" si="1028"/>
        <v/>
      </c>
      <c r="H2042" s="435" t="str">
        <f t="shared" si="1028"/>
        <v/>
      </c>
      <c r="I2042" s="436" t="str">
        <f t="shared" si="1028"/>
        <v/>
      </c>
      <c r="J2042" s="437">
        <f>SUMIFS(PRODUCTION[KG],PRODUCTION[GRADE],"3X50",PRODUCTION[DATE],B2042,PRODUCTION[BATCH],C2042,PRODUCTION[SHIFT],D2042)</f>
        <v>0</v>
      </c>
      <c r="K2042" s="438" t="s">
        <v>1414</v>
      </c>
      <c r="L2042" s="443"/>
      <c r="M2042" s="440"/>
      <c r="N2042" s="441"/>
      <c r="O2042" s="441"/>
      <c r="P2042" s="442"/>
      <c r="Q2042" s="443"/>
      <c r="R2042" s="440"/>
      <c r="S2042" s="440"/>
      <c r="T2042" s="440"/>
      <c r="U2042" s="440"/>
      <c r="V2042" s="440"/>
      <c r="W2042" s="440"/>
      <c r="X2042" s="440"/>
      <c r="Y2042" s="444">
        <f t="shared" si="17"/>
        <v>0</v>
      </c>
      <c r="Z2042" s="445"/>
      <c r="AA2042" s="446">
        <f t="shared" ref="AA2042:AE2042" si="1029">$J2042*E2042</f>
        <v>0</v>
      </c>
      <c r="AB2042" s="447">
        <f t="shared" si="1029"/>
        <v>0</v>
      </c>
      <c r="AC2042" s="447">
        <f t="shared" si="1029"/>
        <v>0</v>
      </c>
      <c r="AD2042" s="447">
        <f t="shared" si="1029"/>
        <v>0</v>
      </c>
      <c r="AE2042" s="448">
        <f t="shared" si="1029"/>
        <v>0</v>
      </c>
      <c r="AF2042" s="449"/>
      <c r="AG2042" s="449"/>
      <c r="AH2042" s="449"/>
    </row>
    <row r="2043" ht="11.25" customHeight="1">
      <c r="A2043" s="450"/>
      <c r="B2043" s="451"/>
      <c r="C2043" s="452"/>
      <c r="D2043" s="452"/>
      <c r="E2043" s="453"/>
      <c r="F2043" s="453"/>
      <c r="G2043" s="454"/>
      <c r="H2043" s="454"/>
      <c r="I2043" s="455"/>
      <c r="J2043" s="456"/>
      <c r="K2043" s="457" t="s">
        <v>1416</v>
      </c>
      <c r="L2043" s="458"/>
      <c r="M2043" s="459"/>
      <c r="N2043" s="460"/>
      <c r="O2043" s="460"/>
      <c r="P2043" s="461"/>
      <c r="Q2043" s="458"/>
      <c r="R2043" s="459"/>
      <c r="S2043" s="459"/>
      <c r="T2043" s="459"/>
      <c r="U2043" s="459"/>
      <c r="V2043" s="459"/>
      <c r="W2043" s="459"/>
      <c r="X2043" s="459"/>
      <c r="Y2043" s="462">
        <f t="shared" si="17"/>
        <v>0</v>
      </c>
      <c r="Z2043" s="463"/>
      <c r="AA2043" s="464"/>
      <c r="AB2043" s="465"/>
      <c r="AC2043" s="465"/>
      <c r="AD2043" s="465"/>
      <c r="AE2043" s="466"/>
      <c r="AF2043" s="449"/>
      <c r="AG2043" s="449"/>
      <c r="AH2043" s="449"/>
    </row>
    <row r="2044" ht="11.25" customHeight="1">
      <c r="A2044" s="450"/>
      <c r="B2044" s="451"/>
      <c r="C2044" s="452"/>
      <c r="D2044" s="452"/>
      <c r="E2044" s="453"/>
      <c r="F2044" s="453"/>
      <c r="G2044" s="454"/>
      <c r="H2044" s="454"/>
      <c r="I2044" s="455"/>
      <c r="J2044" s="456"/>
      <c r="K2044" s="467" t="s">
        <v>1417</v>
      </c>
      <c r="L2044" s="468"/>
      <c r="M2044" s="469"/>
      <c r="N2044" s="470"/>
      <c r="O2044" s="470"/>
      <c r="P2044" s="471"/>
      <c r="Q2044" s="468"/>
      <c r="R2044" s="469"/>
      <c r="S2044" s="469"/>
      <c r="T2044" s="469"/>
      <c r="U2044" s="469"/>
      <c r="V2044" s="469"/>
      <c r="W2044" s="469"/>
      <c r="X2044" s="469"/>
      <c r="Y2044" s="462">
        <f t="shared" si="17"/>
        <v>0</v>
      </c>
      <c r="Z2044" s="463"/>
      <c r="AA2044" s="464"/>
      <c r="AB2044" s="465"/>
      <c r="AC2044" s="465"/>
      <c r="AD2044" s="465"/>
      <c r="AE2044" s="466"/>
      <c r="AF2044" s="449"/>
      <c r="AG2044" s="449"/>
      <c r="AH2044" s="449"/>
    </row>
    <row r="2045" ht="11.25" customHeight="1">
      <c r="A2045" s="450"/>
      <c r="B2045" s="472"/>
      <c r="C2045" s="473"/>
      <c r="D2045" s="473"/>
      <c r="E2045" s="474"/>
      <c r="F2045" s="474"/>
      <c r="G2045" s="475"/>
      <c r="H2045" s="475"/>
      <c r="I2045" s="476"/>
      <c r="J2045" s="477"/>
      <c r="K2045" s="478" t="s">
        <v>1418</v>
      </c>
      <c r="L2045" s="479"/>
      <c r="M2045" s="480"/>
      <c r="N2045" s="481"/>
      <c r="O2045" s="481"/>
      <c r="P2045" s="482"/>
      <c r="Q2045" s="479"/>
      <c r="R2045" s="480"/>
      <c r="S2045" s="480"/>
      <c r="T2045" s="480"/>
      <c r="U2045" s="480"/>
      <c r="V2045" s="480"/>
      <c r="W2045" s="480"/>
      <c r="X2045" s="480"/>
      <c r="Y2045" s="483">
        <f t="shared" si="17"/>
        <v>0</v>
      </c>
      <c r="Z2045" s="484"/>
      <c r="AA2045" s="485"/>
      <c r="AB2045" s="486"/>
      <c r="AC2045" s="486"/>
      <c r="AD2045" s="486"/>
      <c r="AE2045" s="487"/>
      <c r="AF2045" s="449"/>
      <c r="AG2045" s="449"/>
      <c r="AH2045" s="449"/>
    </row>
    <row r="2046" ht="11.25" customHeight="1">
      <c r="A2046" s="431" t="str">
        <f>IF(B2046="","", YEAR(B2046))</f>
        <v/>
      </c>
      <c r="B2046" s="432"/>
      <c r="C2046" s="433"/>
      <c r="D2046" s="433"/>
      <c r="E2046" s="434" t="str">
        <f t="shared" ref="E2046:I2046" si="1030">IFERROR(AVERAGE(L2046:L2049),"")</f>
        <v/>
      </c>
      <c r="F2046" s="434" t="str">
        <f t="shared" si="1030"/>
        <v/>
      </c>
      <c r="G2046" s="435" t="str">
        <f t="shared" si="1030"/>
        <v/>
      </c>
      <c r="H2046" s="435" t="str">
        <f t="shared" si="1030"/>
        <v/>
      </c>
      <c r="I2046" s="436" t="str">
        <f t="shared" si="1030"/>
        <v/>
      </c>
      <c r="J2046" s="437">
        <f>SUMIFS(PRODUCTION[KG],PRODUCTION[GRADE],"3X50",PRODUCTION[DATE],B2046,PRODUCTION[BATCH],C2046,PRODUCTION[SHIFT],D2046)</f>
        <v>0</v>
      </c>
      <c r="K2046" s="438" t="s">
        <v>1414</v>
      </c>
      <c r="L2046" s="443"/>
      <c r="M2046" s="440"/>
      <c r="N2046" s="441"/>
      <c r="O2046" s="441"/>
      <c r="P2046" s="442"/>
      <c r="Q2046" s="443"/>
      <c r="R2046" s="440"/>
      <c r="S2046" s="440"/>
      <c r="T2046" s="440"/>
      <c r="U2046" s="440"/>
      <c r="V2046" s="440"/>
      <c r="W2046" s="440"/>
      <c r="X2046" s="440"/>
      <c r="Y2046" s="444">
        <f t="shared" si="17"/>
        <v>0</v>
      </c>
      <c r="Z2046" s="445"/>
      <c r="AA2046" s="446">
        <f t="shared" ref="AA2046:AE2046" si="1031">$J2046*E2046</f>
        <v>0</v>
      </c>
      <c r="AB2046" s="447">
        <f t="shared" si="1031"/>
        <v>0</v>
      </c>
      <c r="AC2046" s="447">
        <f t="shared" si="1031"/>
        <v>0</v>
      </c>
      <c r="AD2046" s="447">
        <f t="shared" si="1031"/>
        <v>0</v>
      </c>
      <c r="AE2046" s="448">
        <f t="shared" si="1031"/>
        <v>0</v>
      </c>
      <c r="AF2046" s="449"/>
      <c r="AG2046" s="449"/>
      <c r="AH2046" s="449"/>
    </row>
    <row r="2047" ht="11.25" customHeight="1">
      <c r="A2047" s="450"/>
      <c r="B2047" s="451"/>
      <c r="C2047" s="452"/>
      <c r="D2047" s="452"/>
      <c r="E2047" s="453"/>
      <c r="F2047" s="453"/>
      <c r="G2047" s="454"/>
      <c r="H2047" s="454"/>
      <c r="I2047" s="455"/>
      <c r="J2047" s="456"/>
      <c r="K2047" s="457" t="s">
        <v>1416</v>
      </c>
      <c r="L2047" s="458"/>
      <c r="M2047" s="459"/>
      <c r="N2047" s="460"/>
      <c r="O2047" s="460"/>
      <c r="P2047" s="461"/>
      <c r="Q2047" s="458"/>
      <c r="R2047" s="459"/>
      <c r="S2047" s="459"/>
      <c r="T2047" s="459"/>
      <c r="U2047" s="459"/>
      <c r="V2047" s="459"/>
      <c r="W2047" s="459"/>
      <c r="X2047" s="459"/>
      <c r="Y2047" s="462">
        <f t="shared" si="17"/>
        <v>0</v>
      </c>
      <c r="Z2047" s="463"/>
      <c r="AA2047" s="464"/>
      <c r="AB2047" s="465"/>
      <c r="AC2047" s="465"/>
      <c r="AD2047" s="465"/>
      <c r="AE2047" s="466"/>
      <c r="AF2047" s="449"/>
      <c r="AG2047" s="449"/>
      <c r="AH2047" s="449"/>
    </row>
    <row r="2048" ht="11.25" customHeight="1">
      <c r="A2048" s="450"/>
      <c r="B2048" s="451"/>
      <c r="C2048" s="452"/>
      <c r="D2048" s="452"/>
      <c r="E2048" s="453"/>
      <c r="F2048" s="453"/>
      <c r="G2048" s="454"/>
      <c r="H2048" s="454"/>
      <c r="I2048" s="455"/>
      <c r="J2048" s="456"/>
      <c r="K2048" s="467" t="s">
        <v>1417</v>
      </c>
      <c r="L2048" s="468"/>
      <c r="M2048" s="469"/>
      <c r="N2048" s="470"/>
      <c r="O2048" s="470"/>
      <c r="P2048" s="471"/>
      <c r="Q2048" s="468"/>
      <c r="R2048" s="469"/>
      <c r="S2048" s="469"/>
      <c r="T2048" s="469"/>
      <c r="U2048" s="469"/>
      <c r="V2048" s="469"/>
      <c r="W2048" s="469"/>
      <c r="X2048" s="469"/>
      <c r="Y2048" s="462">
        <f t="shared" si="17"/>
        <v>0</v>
      </c>
      <c r="Z2048" s="463"/>
      <c r="AA2048" s="464"/>
      <c r="AB2048" s="465"/>
      <c r="AC2048" s="465"/>
      <c r="AD2048" s="465"/>
      <c r="AE2048" s="466"/>
      <c r="AF2048" s="449"/>
      <c r="AG2048" s="449"/>
      <c r="AH2048" s="449"/>
    </row>
    <row r="2049" ht="11.25" customHeight="1">
      <c r="A2049" s="450"/>
      <c r="B2049" s="472"/>
      <c r="C2049" s="473"/>
      <c r="D2049" s="473"/>
      <c r="E2049" s="474"/>
      <c r="F2049" s="474"/>
      <c r="G2049" s="475"/>
      <c r="H2049" s="475"/>
      <c r="I2049" s="476"/>
      <c r="J2049" s="477"/>
      <c r="K2049" s="478" t="s">
        <v>1418</v>
      </c>
      <c r="L2049" s="479"/>
      <c r="M2049" s="480"/>
      <c r="N2049" s="481"/>
      <c r="O2049" s="481"/>
      <c r="P2049" s="482"/>
      <c r="Q2049" s="479"/>
      <c r="R2049" s="480"/>
      <c r="S2049" s="480"/>
      <c r="T2049" s="480"/>
      <c r="U2049" s="480"/>
      <c r="V2049" s="480"/>
      <c r="W2049" s="480"/>
      <c r="X2049" s="480"/>
      <c r="Y2049" s="483">
        <f t="shared" si="17"/>
        <v>0</v>
      </c>
      <c r="Z2049" s="484"/>
      <c r="AA2049" s="485"/>
      <c r="AB2049" s="486"/>
      <c r="AC2049" s="486"/>
      <c r="AD2049" s="486"/>
      <c r="AE2049" s="487"/>
      <c r="AF2049" s="449"/>
      <c r="AG2049" s="449"/>
      <c r="AH2049" s="449"/>
    </row>
    <row r="2050" ht="11.25" customHeight="1">
      <c r="A2050" s="431" t="str">
        <f>IF(B2050="","", YEAR(B2050))</f>
        <v/>
      </c>
      <c r="B2050" s="432"/>
      <c r="C2050" s="433"/>
      <c r="D2050" s="433"/>
      <c r="E2050" s="434" t="str">
        <f t="shared" ref="E2050:I2050" si="1032">IFERROR(AVERAGE(L2050:L2053),"")</f>
        <v/>
      </c>
      <c r="F2050" s="434" t="str">
        <f t="shared" si="1032"/>
        <v/>
      </c>
      <c r="G2050" s="435" t="str">
        <f t="shared" si="1032"/>
        <v/>
      </c>
      <c r="H2050" s="435" t="str">
        <f t="shared" si="1032"/>
        <v/>
      </c>
      <c r="I2050" s="436" t="str">
        <f t="shared" si="1032"/>
        <v/>
      </c>
      <c r="J2050" s="437">
        <f>SUMIFS(PRODUCTION[KG],PRODUCTION[GRADE],"3X50",PRODUCTION[DATE],B2050,PRODUCTION[BATCH],C2050,PRODUCTION[SHIFT],D2050)</f>
        <v>0</v>
      </c>
      <c r="K2050" s="438" t="s">
        <v>1414</v>
      </c>
      <c r="L2050" s="443"/>
      <c r="M2050" s="440"/>
      <c r="N2050" s="441"/>
      <c r="O2050" s="441"/>
      <c r="P2050" s="442"/>
      <c r="Q2050" s="443"/>
      <c r="R2050" s="440"/>
      <c r="S2050" s="440"/>
      <c r="T2050" s="440"/>
      <c r="U2050" s="440"/>
      <c r="V2050" s="440"/>
      <c r="W2050" s="440"/>
      <c r="X2050" s="440"/>
      <c r="Y2050" s="444">
        <f t="shared" si="17"/>
        <v>0</v>
      </c>
      <c r="Z2050" s="445"/>
      <c r="AA2050" s="446">
        <f t="shared" ref="AA2050:AE2050" si="1033">$J2050*E2050</f>
        <v>0</v>
      </c>
      <c r="AB2050" s="447">
        <f t="shared" si="1033"/>
        <v>0</v>
      </c>
      <c r="AC2050" s="447">
        <f t="shared" si="1033"/>
        <v>0</v>
      </c>
      <c r="AD2050" s="447">
        <f t="shared" si="1033"/>
        <v>0</v>
      </c>
      <c r="AE2050" s="448">
        <f t="shared" si="1033"/>
        <v>0</v>
      </c>
      <c r="AF2050" s="449"/>
      <c r="AG2050" s="449"/>
      <c r="AH2050" s="449"/>
    </row>
    <row r="2051" ht="11.25" customHeight="1">
      <c r="A2051" s="450"/>
      <c r="B2051" s="451"/>
      <c r="C2051" s="452"/>
      <c r="D2051" s="452"/>
      <c r="E2051" s="453"/>
      <c r="F2051" s="453"/>
      <c r="G2051" s="454"/>
      <c r="H2051" s="454"/>
      <c r="I2051" s="455"/>
      <c r="J2051" s="456"/>
      <c r="K2051" s="457" t="s">
        <v>1416</v>
      </c>
      <c r="L2051" s="458"/>
      <c r="M2051" s="459"/>
      <c r="N2051" s="460"/>
      <c r="O2051" s="460"/>
      <c r="P2051" s="461"/>
      <c r="Q2051" s="458"/>
      <c r="R2051" s="459"/>
      <c r="S2051" s="459"/>
      <c r="T2051" s="459"/>
      <c r="U2051" s="459"/>
      <c r="V2051" s="459"/>
      <c r="W2051" s="459"/>
      <c r="X2051" s="459"/>
      <c r="Y2051" s="462">
        <f t="shared" si="17"/>
        <v>0</v>
      </c>
      <c r="Z2051" s="463"/>
      <c r="AA2051" s="464"/>
      <c r="AB2051" s="465"/>
      <c r="AC2051" s="465"/>
      <c r="AD2051" s="465"/>
      <c r="AE2051" s="466"/>
      <c r="AF2051" s="449"/>
      <c r="AG2051" s="449"/>
      <c r="AH2051" s="449"/>
    </row>
    <row r="2052" ht="11.25" customHeight="1">
      <c r="A2052" s="450"/>
      <c r="B2052" s="451"/>
      <c r="C2052" s="452"/>
      <c r="D2052" s="452"/>
      <c r="E2052" s="453"/>
      <c r="F2052" s="453"/>
      <c r="G2052" s="454"/>
      <c r="H2052" s="454"/>
      <c r="I2052" s="455"/>
      <c r="J2052" s="456"/>
      <c r="K2052" s="467" t="s">
        <v>1417</v>
      </c>
      <c r="L2052" s="468"/>
      <c r="M2052" s="469"/>
      <c r="N2052" s="470"/>
      <c r="O2052" s="470"/>
      <c r="P2052" s="471"/>
      <c r="Q2052" s="468"/>
      <c r="R2052" s="469"/>
      <c r="S2052" s="469"/>
      <c r="T2052" s="469"/>
      <c r="U2052" s="469"/>
      <c r="V2052" s="469"/>
      <c r="W2052" s="469"/>
      <c r="X2052" s="469"/>
      <c r="Y2052" s="462">
        <f t="shared" si="17"/>
        <v>0</v>
      </c>
      <c r="Z2052" s="463"/>
      <c r="AA2052" s="464"/>
      <c r="AB2052" s="465"/>
      <c r="AC2052" s="465"/>
      <c r="AD2052" s="465"/>
      <c r="AE2052" s="466"/>
      <c r="AF2052" s="449"/>
      <c r="AG2052" s="449"/>
      <c r="AH2052" s="449"/>
    </row>
    <row r="2053" ht="11.25" customHeight="1">
      <c r="A2053" s="450"/>
      <c r="B2053" s="472"/>
      <c r="C2053" s="473"/>
      <c r="D2053" s="473"/>
      <c r="E2053" s="474"/>
      <c r="F2053" s="474"/>
      <c r="G2053" s="475"/>
      <c r="H2053" s="475"/>
      <c r="I2053" s="476"/>
      <c r="J2053" s="477"/>
      <c r="K2053" s="478" t="s">
        <v>1418</v>
      </c>
      <c r="L2053" s="479"/>
      <c r="M2053" s="480"/>
      <c r="N2053" s="481"/>
      <c r="O2053" s="481"/>
      <c r="P2053" s="482"/>
      <c r="Q2053" s="479"/>
      <c r="R2053" s="480"/>
      <c r="S2053" s="480"/>
      <c r="T2053" s="480"/>
      <c r="U2053" s="480"/>
      <c r="V2053" s="480"/>
      <c r="W2053" s="480"/>
      <c r="X2053" s="480"/>
      <c r="Y2053" s="483">
        <f t="shared" si="17"/>
        <v>0</v>
      </c>
      <c r="Z2053" s="484"/>
      <c r="AA2053" s="485"/>
      <c r="AB2053" s="486"/>
      <c r="AC2053" s="486"/>
      <c r="AD2053" s="486"/>
      <c r="AE2053" s="487"/>
      <c r="AF2053" s="449"/>
      <c r="AG2053" s="449"/>
      <c r="AH2053" s="449"/>
    </row>
    <row r="2054" ht="11.25" customHeight="1">
      <c r="A2054" s="431" t="str">
        <f>IF(B2054="","", YEAR(B2054))</f>
        <v/>
      </c>
      <c r="B2054" s="432"/>
      <c r="C2054" s="433"/>
      <c r="D2054" s="433"/>
      <c r="E2054" s="434" t="str">
        <f t="shared" ref="E2054:I2054" si="1034">IFERROR(AVERAGE(L2054:L2057),"")</f>
        <v/>
      </c>
      <c r="F2054" s="434" t="str">
        <f t="shared" si="1034"/>
        <v/>
      </c>
      <c r="G2054" s="435" t="str">
        <f t="shared" si="1034"/>
        <v/>
      </c>
      <c r="H2054" s="435" t="str">
        <f t="shared" si="1034"/>
        <v/>
      </c>
      <c r="I2054" s="436" t="str">
        <f t="shared" si="1034"/>
        <v/>
      </c>
      <c r="J2054" s="437">
        <f>SUMIFS(PRODUCTION[KG],PRODUCTION[GRADE],"3X50",PRODUCTION[DATE],B2054,PRODUCTION[BATCH],C2054,PRODUCTION[SHIFT],D2054)</f>
        <v>0</v>
      </c>
      <c r="K2054" s="438" t="s">
        <v>1414</v>
      </c>
      <c r="L2054" s="443"/>
      <c r="M2054" s="440"/>
      <c r="N2054" s="441"/>
      <c r="O2054" s="441"/>
      <c r="P2054" s="442"/>
      <c r="Q2054" s="443"/>
      <c r="R2054" s="440"/>
      <c r="S2054" s="440"/>
      <c r="T2054" s="440"/>
      <c r="U2054" s="440"/>
      <c r="V2054" s="440"/>
      <c r="W2054" s="440"/>
      <c r="X2054" s="440"/>
      <c r="Y2054" s="444">
        <f t="shared" si="17"/>
        <v>0</v>
      </c>
      <c r="Z2054" s="445"/>
      <c r="AA2054" s="446">
        <f t="shared" ref="AA2054:AE2054" si="1035">$J2054*E2054</f>
        <v>0</v>
      </c>
      <c r="AB2054" s="447">
        <f t="shared" si="1035"/>
        <v>0</v>
      </c>
      <c r="AC2054" s="447">
        <f t="shared" si="1035"/>
        <v>0</v>
      </c>
      <c r="AD2054" s="447">
        <f t="shared" si="1035"/>
        <v>0</v>
      </c>
      <c r="AE2054" s="448">
        <f t="shared" si="1035"/>
        <v>0</v>
      </c>
      <c r="AF2054" s="449"/>
      <c r="AG2054" s="449"/>
      <c r="AH2054" s="449"/>
    </row>
    <row r="2055" ht="11.25" customHeight="1">
      <c r="A2055" s="450"/>
      <c r="B2055" s="451"/>
      <c r="C2055" s="452"/>
      <c r="D2055" s="452"/>
      <c r="E2055" s="453"/>
      <c r="F2055" s="453"/>
      <c r="G2055" s="454"/>
      <c r="H2055" s="454"/>
      <c r="I2055" s="455"/>
      <c r="J2055" s="456"/>
      <c r="K2055" s="457" t="s">
        <v>1416</v>
      </c>
      <c r="L2055" s="458"/>
      <c r="M2055" s="459"/>
      <c r="N2055" s="460"/>
      <c r="O2055" s="460"/>
      <c r="P2055" s="461"/>
      <c r="Q2055" s="458"/>
      <c r="R2055" s="459"/>
      <c r="S2055" s="459"/>
      <c r="T2055" s="459"/>
      <c r="U2055" s="459"/>
      <c r="V2055" s="459"/>
      <c r="W2055" s="459"/>
      <c r="X2055" s="459"/>
      <c r="Y2055" s="462">
        <f t="shared" si="17"/>
        <v>0</v>
      </c>
      <c r="Z2055" s="463"/>
      <c r="AA2055" s="464"/>
      <c r="AB2055" s="465"/>
      <c r="AC2055" s="465"/>
      <c r="AD2055" s="465"/>
      <c r="AE2055" s="466"/>
      <c r="AF2055" s="449"/>
      <c r="AG2055" s="449"/>
      <c r="AH2055" s="449"/>
    </row>
    <row r="2056" ht="11.25" customHeight="1">
      <c r="A2056" s="450"/>
      <c r="B2056" s="451"/>
      <c r="C2056" s="452"/>
      <c r="D2056" s="452"/>
      <c r="E2056" s="453"/>
      <c r="F2056" s="453"/>
      <c r="G2056" s="454"/>
      <c r="H2056" s="454"/>
      <c r="I2056" s="455"/>
      <c r="J2056" s="456"/>
      <c r="K2056" s="467" t="s">
        <v>1417</v>
      </c>
      <c r="L2056" s="468"/>
      <c r="M2056" s="469"/>
      <c r="N2056" s="470"/>
      <c r="O2056" s="470"/>
      <c r="P2056" s="471"/>
      <c r="Q2056" s="468"/>
      <c r="R2056" s="469"/>
      <c r="S2056" s="469"/>
      <c r="T2056" s="469"/>
      <c r="U2056" s="469"/>
      <c r="V2056" s="469"/>
      <c r="W2056" s="469"/>
      <c r="X2056" s="469"/>
      <c r="Y2056" s="462">
        <f t="shared" si="17"/>
        <v>0</v>
      </c>
      <c r="Z2056" s="463"/>
      <c r="AA2056" s="464"/>
      <c r="AB2056" s="465"/>
      <c r="AC2056" s="465"/>
      <c r="AD2056" s="465"/>
      <c r="AE2056" s="466"/>
      <c r="AF2056" s="449"/>
      <c r="AG2056" s="449"/>
      <c r="AH2056" s="449"/>
    </row>
    <row r="2057" ht="11.25" customHeight="1">
      <c r="A2057" s="450"/>
      <c r="B2057" s="472"/>
      <c r="C2057" s="473"/>
      <c r="D2057" s="473"/>
      <c r="E2057" s="474"/>
      <c r="F2057" s="474"/>
      <c r="G2057" s="475"/>
      <c r="H2057" s="475"/>
      <c r="I2057" s="476"/>
      <c r="J2057" s="477"/>
      <c r="K2057" s="478" t="s">
        <v>1418</v>
      </c>
      <c r="L2057" s="479"/>
      <c r="M2057" s="480"/>
      <c r="N2057" s="481"/>
      <c r="O2057" s="481"/>
      <c r="P2057" s="482"/>
      <c r="Q2057" s="479"/>
      <c r="R2057" s="480"/>
      <c r="S2057" s="480"/>
      <c r="T2057" s="480"/>
      <c r="U2057" s="480"/>
      <c r="V2057" s="480"/>
      <c r="W2057" s="480"/>
      <c r="X2057" s="480"/>
      <c r="Y2057" s="483">
        <f t="shared" si="17"/>
        <v>0</v>
      </c>
      <c r="Z2057" s="484"/>
      <c r="AA2057" s="485"/>
      <c r="AB2057" s="486"/>
      <c r="AC2057" s="486"/>
      <c r="AD2057" s="486"/>
      <c r="AE2057" s="487"/>
      <c r="AF2057" s="449"/>
      <c r="AG2057" s="449"/>
      <c r="AH2057" s="449"/>
    </row>
    <row r="2058" ht="11.25" customHeight="1">
      <c r="A2058" s="431" t="str">
        <f>IF(B2058="","", YEAR(B2058))</f>
        <v/>
      </c>
      <c r="B2058" s="432"/>
      <c r="C2058" s="433"/>
      <c r="D2058" s="433"/>
      <c r="E2058" s="434" t="str">
        <f t="shared" ref="E2058:I2058" si="1036">IFERROR(AVERAGE(L2058:L2061),"")</f>
        <v/>
      </c>
      <c r="F2058" s="434" t="str">
        <f t="shared" si="1036"/>
        <v/>
      </c>
      <c r="G2058" s="435" t="str">
        <f t="shared" si="1036"/>
        <v/>
      </c>
      <c r="H2058" s="435" t="str">
        <f t="shared" si="1036"/>
        <v/>
      </c>
      <c r="I2058" s="436" t="str">
        <f t="shared" si="1036"/>
        <v/>
      </c>
      <c r="J2058" s="437">
        <f>SUMIFS(PRODUCTION[KG],PRODUCTION[GRADE],"3X50",PRODUCTION[DATE],B2058,PRODUCTION[BATCH],C2058,PRODUCTION[SHIFT],D2058)</f>
        <v>0</v>
      </c>
      <c r="K2058" s="438" t="s">
        <v>1414</v>
      </c>
      <c r="L2058" s="443"/>
      <c r="M2058" s="440"/>
      <c r="N2058" s="441"/>
      <c r="O2058" s="441"/>
      <c r="P2058" s="442"/>
      <c r="Q2058" s="443"/>
      <c r="R2058" s="440"/>
      <c r="S2058" s="440"/>
      <c r="T2058" s="440"/>
      <c r="U2058" s="440"/>
      <c r="V2058" s="440"/>
      <c r="W2058" s="440"/>
      <c r="X2058" s="440"/>
      <c r="Y2058" s="444">
        <f t="shared" si="17"/>
        <v>0</v>
      </c>
      <c r="Z2058" s="445"/>
      <c r="AA2058" s="446">
        <f t="shared" ref="AA2058:AE2058" si="1037">$J2058*E2058</f>
        <v>0</v>
      </c>
      <c r="AB2058" s="447">
        <f t="shared" si="1037"/>
        <v>0</v>
      </c>
      <c r="AC2058" s="447">
        <f t="shared" si="1037"/>
        <v>0</v>
      </c>
      <c r="AD2058" s="447">
        <f t="shared" si="1037"/>
        <v>0</v>
      </c>
      <c r="AE2058" s="448">
        <f t="shared" si="1037"/>
        <v>0</v>
      </c>
      <c r="AF2058" s="449"/>
      <c r="AG2058" s="449"/>
      <c r="AH2058" s="449"/>
    </row>
    <row r="2059" ht="11.25" customHeight="1">
      <c r="A2059" s="450"/>
      <c r="B2059" s="451"/>
      <c r="C2059" s="452"/>
      <c r="D2059" s="452"/>
      <c r="E2059" s="453"/>
      <c r="F2059" s="453"/>
      <c r="G2059" s="454"/>
      <c r="H2059" s="454"/>
      <c r="I2059" s="455"/>
      <c r="J2059" s="456"/>
      <c r="K2059" s="457" t="s">
        <v>1416</v>
      </c>
      <c r="L2059" s="458"/>
      <c r="M2059" s="459"/>
      <c r="N2059" s="460"/>
      <c r="O2059" s="460"/>
      <c r="P2059" s="461"/>
      <c r="Q2059" s="458"/>
      <c r="R2059" s="459"/>
      <c r="S2059" s="459"/>
      <c r="T2059" s="459"/>
      <c r="U2059" s="459"/>
      <c r="V2059" s="459"/>
      <c r="W2059" s="459"/>
      <c r="X2059" s="459"/>
      <c r="Y2059" s="462">
        <f t="shared" si="17"/>
        <v>0</v>
      </c>
      <c r="Z2059" s="463"/>
      <c r="AA2059" s="464"/>
      <c r="AB2059" s="465"/>
      <c r="AC2059" s="465"/>
      <c r="AD2059" s="465"/>
      <c r="AE2059" s="466"/>
      <c r="AF2059" s="449"/>
      <c r="AG2059" s="449"/>
      <c r="AH2059" s="449"/>
    </row>
    <row r="2060" ht="11.25" customHeight="1">
      <c r="A2060" s="450"/>
      <c r="B2060" s="451"/>
      <c r="C2060" s="452"/>
      <c r="D2060" s="452"/>
      <c r="E2060" s="453"/>
      <c r="F2060" s="453"/>
      <c r="G2060" s="454"/>
      <c r="H2060" s="454"/>
      <c r="I2060" s="455"/>
      <c r="J2060" s="456"/>
      <c r="K2060" s="467" t="s">
        <v>1417</v>
      </c>
      <c r="L2060" s="468"/>
      <c r="M2060" s="469"/>
      <c r="N2060" s="470"/>
      <c r="O2060" s="470"/>
      <c r="P2060" s="471"/>
      <c r="Q2060" s="468"/>
      <c r="R2060" s="469"/>
      <c r="S2060" s="469"/>
      <c r="T2060" s="469"/>
      <c r="U2060" s="469"/>
      <c r="V2060" s="469"/>
      <c r="W2060" s="469"/>
      <c r="X2060" s="469"/>
      <c r="Y2060" s="462">
        <f t="shared" si="17"/>
        <v>0</v>
      </c>
      <c r="Z2060" s="463"/>
      <c r="AA2060" s="464"/>
      <c r="AB2060" s="465"/>
      <c r="AC2060" s="465"/>
      <c r="AD2060" s="465"/>
      <c r="AE2060" s="466"/>
      <c r="AF2060" s="449"/>
      <c r="AG2060" s="449"/>
      <c r="AH2060" s="449"/>
    </row>
    <row r="2061" ht="11.25" customHeight="1">
      <c r="A2061" s="450"/>
      <c r="B2061" s="472"/>
      <c r="C2061" s="473"/>
      <c r="D2061" s="473"/>
      <c r="E2061" s="474"/>
      <c r="F2061" s="474"/>
      <c r="G2061" s="475"/>
      <c r="H2061" s="475"/>
      <c r="I2061" s="476"/>
      <c r="J2061" s="477"/>
      <c r="K2061" s="478" t="s">
        <v>1418</v>
      </c>
      <c r="L2061" s="479"/>
      <c r="M2061" s="480"/>
      <c r="N2061" s="481"/>
      <c r="O2061" s="481"/>
      <c r="P2061" s="482"/>
      <c r="Q2061" s="479"/>
      <c r="R2061" s="480"/>
      <c r="S2061" s="480"/>
      <c r="T2061" s="480"/>
      <c r="U2061" s="480"/>
      <c r="V2061" s="480"/>
      <c r="W2061" s="480"/>
      <c r="X2061" s="480"/>
      <c r="Y2061" s="483">
        <f t="shared" si="17"/>
        <v>0</v>
      </c>
      <c r="Z2061" s="484"/>
      <c r="AA2061" s="485"/>
      <c r="AB2061" s="486"/>
      <c r="AC2061" s="486"/>
      <c r="AD2061" s="486"/>
      <c r="AE2061" s="487"/>
      <c r="AF2061" s="449"/>
      <c r="AG2061" s="449"/>
      <c r="AH2061" s="449"/>
    </row>
    <row r="2062" ht="11.25" customHeight="1">
      <c r="A2062" s="431" t="str">
        <f>IF(B2062="","", YEAR(B2062))</f>
        <v/>
      </c>
      <c r="B2062" s="432"/>
      <c r="C2062" s="433"/>
      <c r="D2062" s="433"/>
      <c r="E2062" s="434" t="str">
        <f t="shared" ref="E2062:I2062" si="1038">IFERROR(AVERAGE(L2062:L2065),"")</f>
        <v/>
      </c>
      <c r="F2062" s="434" t="str">
        <f t="shared" si="1038"/>
        <v/>
      </c>
      <c r="G2062" s="435" t="str">
        <f t="shared" si="1038"/>
        <v/>
      </c>
      <c r="H2062" s="435" t="str">
        <f t="shared" si="1038"/>
        <v/>
      </c>
      <c r="I2062" s="436" t="str">
        <f t="shared" si="1038"/>
        <v/>
      </c>
      <c r="J2062" s="437">
        <f>SUMIFS(PRODUCTION[KG],PRODUCTION[GRADE],"3X50",PRODUCTION[DATE],B2062,PRODUCTION[BATCH],C2062,PRODUCTION[SHIFT],D2062)</f>
        <v>0</v>
      </c>
      <c r="K2062" s="438" t="s">
        <v>1414</v>
      </c>
      <c r="L2062" s="443"/>
      <c r="M2062" s="440"/>
      <c r="N2062" s="441"/>
      <c r="O2062" s="441"/>
      <c r="P2062" s="442"/>
      <c r="Q2062" s="443"/>
      <c r="R2062" s="440"/>
      <c r="S2062" s="440"/>
      <c r="T2062" s="440"/>
      <c r="U2062" s="440"/>
      <c r="V2062" s="440"/>
      <c r="W2062" s="440"/>
      <c r="X2062" s="440"/>
      <c r="Y2062" s="444">
        <f t="shared" si="17"/>
        <v>0</v>
      </c>
      <c r="Z2062" s="445"/>
      <c r="AA2062" s="446">
        <f t="shared" ref="AA2062:AE2062" si="1039">$J2062*E2062</f>
        <v>0</v>
      </c>
      <c r="AB2062" s="447">
        <f t="shared" si="1039"/>
        <v>0</v>
      </c>
      <c r="AC2062" s="447">
        <f t="shared" si="1039"/>
        <v>0</v>
      </c>
      <c r="AD2062" s="447">
        <f t="shared" si="1039"/>
        <v>0</v>
      </c>
      <c r="AE2062" s="448">
        <f t="shared" si="1039"/>
        <v>0</v>
      </c>
      <c r="AF2062" s="449"/>
      <c r="AG2062" s="449"/>
      <c r="AH2062" s="449"/>
    </row>
    <row r="2063" ht="11.25" customHeight="1">
      <c r="A2063" s="450"/>
      <c r="B2063" s="451"/>
      <c r="C2063" s="452"/>
      <c r="D2063" s="452"/>
      <c r="E2063" s="453"/>
      <c r="F2063" s="453"/>
      <c r="G2063" s="454"/>
      <c r="H2063" s="454"/>
      <c r="I2063" s="455"/>
      <c r="J2063" s="456"/>
      <c r="K2063" s="457" t="s">
        <v>1416</v>
      </c>
      <c r="L2063" s="458"/>
      <c r="M2063" s="459"/>
      <c r="N2063" s="460"/>
      <c r="O2063" s="460"/>
      <c r="P2063" s="461"/>
      <c r="Q2063" s="458"/>
      <c r="R2063" s="459"/>
      <c r="S2063" s="459"/>
      <c r="T2063" s="459"/>
      <c r="U2063" s="459"/>
      <c r="V2063" s="459"/>
      <c r="W2063" s="459"/>
      <c r="X2063" s="459"/>
      <c r="Y2063" s="462">
        <f t="shared" si="17"/>
        <v>0</v>
      </c>
      <c r="Z2063" s="463"/>
      <c r="AA2063" s="464"/>
      <c r="AB2063" s="465"/>
      <c r="AC2063" s="465"/>
      <c r="AD2063" s="465"/>
      <c r="AE2063" s="466"/>
      <c r="AF2063" s="449"/>
      <c r="AG2063" s="449"/>
      <c r="AH2063" s="449"/>
    </row>
    <row r="2064" ht="11.25" customHeight="1">
      <c r="A2064" s="450"/>
      <c r="B2064" s="451"/>
      <c r="C2064" s="452"/>
      <c r="D2064" s="452"/>
      <c r="E2064" s="453"/>
      <c r="F2064" s="453"/>
      <c r="G2064" s="454"/>
      <c r="H2064" s="454"/>
      <c r="I2064" s="455"/>
      <c r="J2064" s="456"/>
      <c r="K2064" s="467" t="s">
        <v>1417</v>
      </c>
      <c r="L2064" s="468"/>
      <c r="M2064" s="469"/>
      <c r="N2064" s="470"/>
      <c r="O2064" s="470"/>
      <c r="P2064" s="471"/>
      <c r="Q2064" s="468"/>
      <c r="R2064" s="469"/>
      <c r="S2064" s="469"/>
      <c r="T2064" s="469"/>
      <c r="U2064" s="469"/>
      <c r="V2064" s="469"/>
      <c r="W2064" s="469"/>
      <c r="X2064" s="469"/>
      <c r="Y2064" s="462">
        <f t="shared" si="17"/>
        <v>0</v>
      </c>
      <c r="Z2064" s="463"/>
      <c r="AA2064" s="464"/>
      <c r="AB2064" s="465"/>
      <c r="AC2064" s="465"/>
      <c r="AD2064" s="465"/>
      <c r="AE2064" s="466"/>
      <c r="AF2064" s="449"/>
      <c r="AG2064" s="449"/>
      <c r="AH2064" s="449"/>
    </row>
    <row r="2065" ht="11.25" customHeight="1">
      <c r="A2065" s="450"/>
      <c r="B2065" s="472"/>
      <c r="C2065" s="473"/>
      <c r="D2065" s="473"/>
      <c r="E2065" s="474"/>
      <c r="F2065" s="474"/>
      <c r="G2065" s="475"/>
      <c r="H2065" s="475"/>
      <c r="I2065" s="476"/>
      <c r="J2065" s="477"/>
      <c r="K2065" s="478" t="s">
        <v>1418</v>
      </c>
      <c r="L2065" s="479"/>
      <c r="M2065" s="480"/>
      <c r="N2065" s="481"/>
      <c r="O2065" s="481"/>
      <c r="P2065" s="482"/>
      <c r="Q2065" s="479"/>
      <c r="R2065" s="480"/>
      <c r="S2065" s="480"/>
      <c r="T2065" s="480"/>
      <c r="U2065" s="480"/>
      <c r="V2065" s="480"/>
      <c r="W2065" s="480"/>
      <c r="X2065" s="480"/>
      <c r="Y2065" s="483">
        <f t="shared" si="17"/>
        <v>0</v>
      </c>
      <c r="Z2065" s="484"/>
      <c r="AA2065" s="485"/>
      <c r="AB2065" s="486"/>
      <c r="AC2065" s="486"/>
      <c r="AD2065" s="486"/>
      <c r="AE2065" s="487"/>
      <c r="AF2065" s="449"/>
      <c r="AG2065" s="449"/>
      <c r="AH2065" s="449"/>
    </row>
    <row r="2066" ht="11.25" customHeight="1">
      <c r="A2066" s="431" t="str">
        <f>IF(B2066="","", YEAR(B2066))</f>
        <v/>
      </c>
      <c r="B2066" s="432"/>
      <c r="C2066" s="433"/>
      <c r="D2066" s="433"/>
      <c r="E2066" s="434" t="str">
        <f t="shared" ref="E2066:I2066" si="1040">IFERROR(AVERAGE(L2066:L2069),"")</f>
        <v/>
      </c>
      <c r="F2066" s="434" t="str">
        <f t="shared" si="1040"/>
        <v/>
      </c>
      <c r="G2066" s="435" t="str">
        <f t="shared" si="1040"/>
        <v/>
      </c>
      <c r="H2066" s="435" t="str">
        <f t="shared" si="1040"/>
        <v/>
      </c>
      <c r="I2066" s="436" t="str">
        <f t="shared" si="1040"/>
        <v/>
      </c>
      <c r="J2066" s="437">
        <f>SUMIFS(PRODUCTION[KG],PRODUCTION[GRADE],"3X50",PRODUCTION[DATE],B2066,PRODUCTION[BATCH],C2066,PRODUCTION[SHIFT],D2066)</f>
        <v>0</v>
      </c>
      <c r="K2066" s="438" t="s">
        <v>1414</v>
      </c>
      <c r="L2066" s="443"/>
      <c r="M2066" s="440"/>
      <c r="N2066" s="441"/>
      <c r="O2066" s="441"/>
      <c r="P2066" s="442"/>
      <c r="Q2066" s="443"/>
      <c r="R2066" s="440"/>
      <c r="S2066" s="440"/>
      <c r="T2066" s="440"/>
      <c r="U2066" s="440"/>
      <c r="V2066" s="440"/>
      <c r="W2066" s="440"/>
      <c r="X2066" s="440"/>
      <c r="Y2066" s="444">
        <f t="shared" si="17"/>
        <v>0</v>
      </c>
      <c r="Z2066" s="445"/>
      <c r="AA2066" s="446">
        <f t="shared" ref="AA2066:AE2066" si="1041">$J2066*E2066</f>
        <v>0</v>
      </c>
      <c r="AB2066" s="447">
        <f t="shared" si="1041"/>
        <v>0</v>
      </c>
      <c r="AC2066" s="447">
        <f t="shared" si="1041"/>
        <v>0</v>
      </c>
      <c r="AD2066" s="447">
        <f t="shared" si="1041"/>
        <v>0</v>
      </c>
      <c r="AE2066" s="448">
        <f t="shared" si="1041"/>
        <v>0</v>
      </c>
      <c r="AF2066" s="449"/>
      <c r="AG2066" s="449"/>
      <c r="AH2066" s="449"/>
    </row>
    <row r="2067" ht="11.25" customHeight="1">
      <c r="A2067" s="450"/>
      <c r="B2067" s="451"/>
      <c r="C2067" s="452"/>
      <c r="D2067" s="452"/>
      <c r="E2067" s="453"/>
      <c r="F2067" s="453"/>
      <c r="G2067" s="454"/>
      <c r="H2067" s="454"/>
      <c r="I2067" s="455"/>
      <c r="J2067" s="456"/>
      <c r="K2067" s="457" t="s">
        <v>1416</v>
      </c>
      <c r="L2067" s="458"/>
      <c r="M2067" s="459"/>
      <c r="N2067" s="460"/>
      <c r="O2067" s="460"/>
      <c r="P2067" s="461"/>
      <c r="Q2067" s="458"/>
      <c r="R2067" s="459"/>
      <c r="S2067" s="459"/>
      <c r="T2067" s="459"/>
      <c r="U2067" s="459"/>
      <c r="V2067" s="459"/>
      <c r="W2067" s="459"/>
      <c r="X2067" s="459"/>
      <c r="Y2067" s="462">
        <f t="shared" si="17"/>
        <v>0</v>
      </c>
      <c r="Z2067" s="463"/>
      <c r="AA2067" s="464"/>
      <c r="AB2067" s="465"/>
      <c r="AC2067" s="465"/>
      <c r="AD2067" s="465"/>
      <c r="AE2067" s="466"/>
      <c r="AF2067" s="449"/>
      <c r="AG2067" s="449"/>
      <c r="AH2067" s="449"/>
    </row>
    <row r="2068" ht="11.25" customHeight="1">
      <c r="A2068" s="450"/>
      <c r="B2068" s="451"/>
      <c r="C2068" s="452"/>
      <c r="D2068" s="452"/>
      <c r="E2068" s="453"/>
      <c r="F2068" s="453"/>
      <c r="G2068" s="454"/>
      <c r="H2068" s="454"/>
      <c r="I2068" s="455"/>
      <c r="J2068" s="456"/>
      <c r="K2068" s="467" t="s">
        <v>1417</v>
      </c>
      <c r="L2068" s="468"/>
      <c r="M2068" s="469"/>
      <c r="N2068" s="470"/>
      <c r="O2068" s="470"/>
      <c r="P2068" s="471"/>
      <c r="Q2068" s="468"/>
      <c r="R2068" s="469"/>
      <c r="S2068" s="469"/>
      <c r="T2068" s="469"/>
      <c r="U2068" s="469"/>
      <c r="V2068" s="469"/>
      <c r="W2068" s="469"/>
      <c r="X2068" s="469"/>
      <c r="Y2068" s="462">
        <f t="shared" si="17"/>
        <v>0</v>
      </c>
      <c r="Z2068" s="463"/>
      <c r="AA2068" s="464"/>
      <c r="AB2068" s="465"/>
      <c r="AC2068" s="465"/>
      <c r="AD2068" s="465"/>
      <c r="AE2068" s="466"/>
      <c r="AF2068" s="449"/>
      <c r="AG2068" s="449"/>
      <c r="AH2068" s="449"/>
    </row>
    <row r="2069" ht="11.25" customHeight="1">
      <c r="A2069" s="450"/>
      <c r="B2069" s="472"/>
      <c r="C2069" s="473"/>
      <c r="D2069" s="473"/>
      <c r="E2069" s="474"/>
      <c r="F2069" s="474"/>
      <c r="G2069" s="475"/>
      <c r="H2069" s="475"/>
      <c r="I2069" s="476"/>
      <c r="J2069" s="477"/>
      <c r="K2069" s="478" t="s">
        <v>1418</v>
      </c>
      <c r="L2069" s="479"/>
      <c r="M2069" s="480"/>
      <c r="N2069" s="481"/>
      <c r="O2069" s="481"/>
      <c r="P2069" s="482"/>
      <c r="Q2069" s="479"/>
      <c r="R2069" s="480"/>
      <c r="S2069" s="480"/>
      <c r="T2069" s="480"/>
      <c r="U2069" s="480"/>
      <c r="V2069" s="480"/>
      <c r="W2069" s="480"/>
      <c r="X2069" s="480"/>
      <c r="Y2069" s="483">
        <f t="shared" si="17"/>
        <v>0</v>
      </c>
      <c r="Z2069" s="484"/>
      <c r="AA2069" s="485"/>
      <c r="AB2069" s="486"/>
      <c r="AC2069" s="486"/>
      <c r="AD2069" s="486"/>
      <c r="AE2069" s="487"/>
      <c r="AF2069" s="449"/>
      <c r="AG2069" s="449"/>
      <c r="AH2069" s="449"/>
    </row>
    <row r="2070" ht="11.25" customHeight="1">
      <c r="A2070" s="431" t="str">
        <f>IF(B2070="","", YEAR(B2070))</f>
        <v/>
      </c>
      <c r="B2070" s="432"/>
      <c r="C2070" s="433"/>
      <c r="D2070" s="433"/>
      <c r="E2070" s="434" t="str">
        <f t="shared" ref="E2070:I2070" si="1042">IFERROR(AVERAGE(L2070:L2073),"")</f>
        <v/>
      </c>
      <c r="F2070" s="434" t="str">
        <f t="shared" si="1042"/>
        <v/>
      </c>
      <c r="G2070" s="435" t="str">
        <f t="shared" si="1042"/>
        <v/>
      </c>
      <c r="H2070" s="435" t="str">
        <f t="shared" si="1042"/>
        <v/>
      </c>
      <c r="I2070" s="436" t="str">
        <f t="shared" si="1042"/>
        <v/>
      </c>
      <c r="J2070" s="437">
        <f>SUMIFS(PRODUCTION[KG],PRODUCTION[GRADE],"3X50",PRODUCTION[DATE],B2070,PRODUCTION[BATCH],C2070,PRODUCTION[SHIFT],D2070)</f>
        <v>0</v>
      </c>
      <c r="K2070" s="438" t="s">
        <v>1414</v>
      </c>
      <c r="L2070" s="443"/>
      <c r="M2070" s="440"/>
      <c r="N2070" s="441"/>
      <c r="O2070" s="441"/>
      <c r="P2070" s="442"/>
      <c r="Q2070" s="443"/>
      <c r="R2070" s="440"/>
      <c r="S2070" s="440"/>
      <c r="T2070" s="440"/>
      <c r="U2070" s="440"/>
      <c r="V2070" s="440"/>
      <c r="W2070" s="440"/>
      <c r="X2070" s="440"/>
      <c r="Y2070" s="444">
        <f t="shared" si="17"/>
        <v>0</v>
      </c>
      <c r="Z2070" s="445"/>
      <c r="AA2070" s="446">
        <f t="shared" ref="AA2070:AE2070" si="1043">$J2070*E2070</f>
        <v>0</v>
      </c>
      <c r="AB2070" s="447">
        <f t="shared" si="1043"/>
        <v>0</v>
      </c>
      <c r="AC2070" s="447">
        <f t="shared" si="1043"/>
        <v>0</v>
      </c>
      <c r="AD2070" s="447">
        <f t="shared" si="1043"/>
        <v>0</v>
      </c>
      <c r="AE2070" s="448">
        <f t="shared" si="1043"/>
        <v>0</v>
      </c>
      <c r="AF2070" s="449"/>
      <c r="AG2070" s="449"/>
      <c r="AH2070" s="449"/>
    </row>
    <row r="2071" ht="11.25" customHeight="1">
      <c r="A2071" s="450"/>
      <c r="B2071" s="451"/>
      <c r="C2071" s="452"/>
      <c r="D2071" s="452"/>
      <c r="E2071" s="453"/>
      <c r="F2071" s="453"/>
      <c r="G2071" s="454"/>
      <c r="H2071" s="454"/>
      <c r="I2071" s="455"/>
      <c r="J2071" s="456"/>
      <c r="K2071" s="457" t="s">
        <v>1416</v>
      </c>
      <c r="L2071" s="458"/>
      <c r="M2071" s="459"/>
      <c r="N2071" s="460"/>
      <c r="O2071" s="460"/>
      <c r="P2071" s="461"/>
      <c r="Q2071" s="458"/>
      <c r="R2071" s="459"/>
      <c r="S2071" s="459"/>
      <c r="T2071" s="459"/>
      <c r="U2071" s="459"/>
      <c r="V2071" s="459"/>
      <c r="W2071" s="459"/>
      <c r="X2071" s="459"/>
      <c r="Y2071" s="462">
        <f t="shared" si="17"/>
        <v>0</v>
      </c>
      <c r="Z2071" s="463"/>
      <c r="AA2071" s="464"/>
      <c r="AB2071" s="465"/>
      <c r="AC2071" s="465"/>
      <c r="AD2071" s="465"/>
      <c r="AE2071" s="466"/>
      <c r="AF2071" s="449"/>
      <c r="AG2071" s="449"/>
      <c r="AH2071" s="449"/>
    </row>
    <row r="2072" ht="11.25" customHeight="1">
      <c r="A2072" s="450"/>
      <c r="B2072" s="451"/>
      <c r="C2072" s="452"/>
      <c r="D2072" s="452"/>
      <c r="E2072" s="453"/>
      <c r="F2072" s="453"/>
      <c r="G2072" s="454"/>
      <c r="H2072" s="454"/>
      <c r="I2072" s="455"/>
      <c r="J2072" s="456"/>
      <c r="K2072" s="467" t="s">
        <v>1417</v>
      </c>
      <c r="L2072" s="468"/>
      <c r="M2072" s="469"/>
      <c r="N2072" s="470"/>
      <c r="O2072" s="470"/>
      <c r="P2072" s="471"/>
      <c r="Q2072" s="468"/>
      <c r="R2072" s="469"/>
      <c r="S2072" s="469"/>
      <c r="T2072" s="469"/>
      <c r="U2072" s="469"/>
      <c r="V2072" s="469"/>
      <c r="W2072" s="469"/>
      <c r="X2072" s="469"/>
      <c r="Y2072" s="462">
        <f t="shared" si="17"/>
        <v>0</v>
      </c>
      <c r="Z2072" s="463"/>
      <c r="AA2072" s="464"/>
      <c r="AB2072" s="465"/>
      <c r="AC2072" s="465"/>
      <c r="AD2072" s="465"/>
      <c r="AE2072" s="466"/>
      <c r="AF2072" s="449"/>
      <c r="AG2072" s="449"/>
      <c r="AH2072" s="449"/>
    </row>
    <row r="2073" ht="11.25" customHeight="1">
      <c r="A2073" s="450"/>
      <c r="B2073" s="472"/>
      <c r="C2073" s="473"/>
      <c r="D2073" s="473"/>
      <c r="E2073" s="474"/>
      <c r="F2073" s="474"/>
      <c r="G2073" s="475"/>
      <c r="H2073" s="475"/>
      <c r="I2073" s="476"/>
      <c r="J2073" s="477"/>
      <c r="K2073" s="478" t="s">
        <v>1418</v>
      </c>
      <c r="L2073" s="479"/>
      <c r="M2073" s="480"/>
      <c r="N2073" s="481"/>
      <c r="O2073" s="481"/>
      <c r="P2073" s="482"/>
      <c r="Q2073" s="479"/>
      <c r="R2073" s="480"/>
      <c r="S2073" s="480"/>
      <c r="T2073" s="480"/>
      <c r="U2073" s="480"/>
      <c r="V2073" s="480"/>
      <c r="W2073" s="480"/>
      <c r="X2073" s="480"/>
      <c r="Y2073" s="483">
        <f t="shared" si="17"/>
        <v>0</v>
      </c>
      <c r="Z2073" s="484"/>
      <c r="AA2073" s="485"/>
      <c r="AB2073" s="486"/>
      <c r="AC2073" s="486"/>
      <c r="AD2073" s="486"/>
      <c r="AE2073" s="487"/>
      <c r="AF2073" s="449"/>
      <c r="AG2073" s="449"/>
      <c r="AH2073" s="449"/>
    </row>
    <row r="2074" ht="11.25" customHeight="1">
      <c r="A2074" s="431" t="str">
        <f>IF(B2074="","", YEAR(B2074))</f>
        <v/>
      </c>
      <c r="B2074" s="432"/>
      <c r="C2074" s="433"/>
      <c r="D2074" s="433"/>
      <c r="E2074" s="434" t="str">
        <f t="shared" ref="E2074:I2074" si="1044">IFERROR(AVERAGE(L2074:L2077),"")</f>
        <v/>
      </c>
      <c r="F2074" s="434" t="str">
        <f t="shared" si="1044"/>
        <v/>
      </c>
      <c r="G2074" s="435" t="str">
        <f t="shared" si="1044"/>
        <v/>
      </c>
      <c r="H2074" s="435" t="str">
        <f t="shared" si="1044"/>
        <v/>
      </c>
      <c r="I2074" s="436" t="str">
        <f t="shared" si="1044"/>
        <v/>
      </c>
      <c r="J2074" s="437">
        <f>SUMIFS(PRODUCTION[KG],PRODUCTION[GRADE],"3X50",PRODUCTION[DATE],B2074,PRODUCTION[BATCH],C2074,PRODUCTION[SHIFT],D2074)</f>
        <v>0</v>
      </c>
      <c r="K2074" s="438" t="s">
        <v>1414</v>
      </c>
      <c r="L2074" s="443"/>
      <c r="M2074" s="440"/>
      <c r="N2074" s="441"/>
      <c r="O2074" s="441"/>
      <c r="P2074" s="442"/>
      <c r="Q2074" s="443"/>
      <c r="R2074" s="440"/>
      <c r="S2074" s="440"/>
      <c r="T2074" s="440"/>
      <c r="U2074" s="440"/>
      <c r="V2074" s="440"/>
      <c r="W2074" s="440"/>
      <c r="X2074" s="440"/>
      <c r="Y2074" s="444">
        <f t="shared" si="17"/>
        <v>0</v>
      </c>
      <c r="Z2074" s="445"/>
      <c r="AA2074" s="446">
        <f t="shared" ref="AA2074:AE2074" si="1045">$J2074*E2074</f>
        <v>0</v>
      </c>
      <c r="AB2074" s="447">
        <f t="shared" si="1045"/>
        <v>0</v>
      </c>
      <c r="AC2074" s="447">
        <f t="shared" si="1045"/>
        <v>0</v>
      </c>
      <c r="AD2074" s="447">
        <f t="shared" si="1045"/>
        <v>0</v>
      </c>
      <c r="AE2074" s="448">
        <f t="shared" si="1045"/>
        <v>0</v>
      </c>
      <c r="AF2074" s="449"/>
      <c r="AG2074" s="449"/>
      <c r="AH2074" s="449"/>
    </row>
    <row r="2075" ht="11.25" customHeight="1">
      <c r="A2075" s="450"/>
      <c r="B2075" s="451"/>
      <c r="C2075" s="452"/>
      <c r="D2075" s="452"/>
      <c r="E2075" s="453"/>
      <c r="F2075" s="453"/>
      <c r="G2075" s="454"/>
      <c r="H2075" s="454"/>
      <c r="I2075" s="455"/>
      <c r="J2075" s="456"/>
      <c r="K2075" s="457" t="s">
        <v>1416</v>
      </c>
      <c r="L2075" s="458"/>
      <c r="M2075" s="459"/>
      <c r="N2075" s="460"/>
      <c r="O2075" s="460"/>
      <c r="P2075" s="461"/>
      <c r="Q2075" s="458"/>
      <c r="R2075" s="459"/>
      <c r="S2075" s="459"/>
      <c r="T2075" s="459"/>
      <c r="U2075" s="459"/>
      <c r="V2075" s="459"/>
      <c r="W2075" s="459"/>
      <c r="X2075" s="459"/>
      <c r="Y2075" s="462">
        <f t="shared" si="17"/>
        <v>0</v>
      </c>
      <c r="Z2075" s="463"/>
      <c r="AA2075" s="464"/>
      <c r="AB2075" s="465"/>
      <c r="AC2075" s="465"/>
      <c r="AD2075" s="465"/>
      <c r="AE2075" s="466"/>
      <c r="AF2075" s="449"/>
      <c r="AG2075" s="449"/>
      <c r="AH2075" s="449"/>
    </row>
    <row r="2076" ht="11.25" customHeight="1">
      <c r="A2076" s="450"/>
      <c r="B2076" s="451"/>
      <c r="C2076" s="452"/>
      <c r="D2076" s="452"/>
      <c r="E2076" s="453"/>
      <c r="F2076" s="453"/>
      <c r="G2076" s="454"/>
      <c r="H2076" s="454"/>
      <c r="I2076" s="455"/>
      <c r="J2076" s="456"/>
      <c r="K2076" s="467" t="s">
        <v>1417</v>
      </c>
      <c r="L2076" s="468"/>
      <c r="M2076" s="469"/>
      <c r="N2076" s="470"/>
      <c r="O2076" s="470"/>
      <c r="P2076" s="471"/>
      <c r="Q2076" s="468"/>
      <c r="R2076" s="469"/>
      <c r="S2076" s="469"/>
      <c r="T2076" s="469"/>
      <c r="U2076" s="469"/>
      <c r="V2076" s="469"/>
      <c r="W2076" s="469"/>
      <c r="X2076" s="469"/>
      <c r="Y2076" s="462">
        <f t="shared" si="17"/>
        <v>0</v>
      </c>
      <c r="Z2076" s="463"/>
      <c r="AA2076" s="464"/>
      <c r="AB2076" s="465"/>
      <c r="AC2076" s="465"/>
      <c r="AD2076" s="465"/>
      <c r="AE2076" s="466"/>
      <c r="AF2076" s="449"/>
      <c r="AG2076" s="449"/>
      <c r="AH2076" s="449"/>
    </row>
    <row r="2077" ht="11.25" customHeight="1">
      <c r="A2077" s="450"/>
      <c r="B2077" s="472"/>
      <c r="C2077" s="473"/>
      <c r="D2077" s="473"/>
      <c r="E2077" s="474"/>
      <c r="F2077" s="474"/>
      <c r="G2077" s="475"/>
      <c r="H2077" s="475"/>
      <c r="I2077" s="476"/>
      <c r="J2077" s="477"/>
      <c r="K2077" s="478" t="s">
        <v>1418</v>
      </c>
      <c r="L2077" s="479"/>
      <c r="M2077" s="480"/>
      <c r="N2077" s="481"/>
      <c r="O2077" s="481"/>
      <c r="P2077" s="482"/>
      <c r="Q2077" s="479"/>
      <c r="R2077" s="480"/>
      <c r="S2077" s="480"/>
      <c r="T2077" s="480"/>
      <c r="U2077" s="480"/>
      <c r="V2077" s="480"/>
      <c r="W2077" s="480"/>
      <c r="X2077" s="480"/>
      <c r="Y2077" s="483">
        <f t="shared" si="17"/>
        <v>0</v>
      </c>
      <c r="Z2077" s="484"/>
      <c r="AA2077" s="485"/>
      <c r="AB2077" s="486"/>
      <c r="AC2077" s="486"/>
      <c r="AD2077" s="486"/>
      <c r="AE2077" s="487"/>
      <c r="AF2077" s="449"/>
      <c r="AG2077" s="449"/>
      <c r="AH2077" s="449"/>
    </row>
    <row r="2078" ht="11.25" customHeight="1">
      <c r="A2078" s="431" t="str">
        <f>IF(B2078="","", YEAR(B2078))</f>
        <v/>
      </c>
      <c r="B2078" s="432"/>
      <c r="C2078" s="433"/>
      <c r="D2078" s="433"/>
      <c r="E2078" s="434" t="str">
        <f t="shared" ref="E2078:I2078" si="1046">IFERROR(AVERAGE(L2078:L2081),"")</f>
        <v/>
      </c>
      <c r="F2078" s="434" t="str">
        <f t="shared" si="1046"/>
        <v/>
      </c>
      <c r="G2078" s="435" t="str">
        <f t="shared" si="1046"/>
        <v/>
      </c>
      <c r="H2078" s="435" t="str">
        <f t="shared" si="1046"/>
        <v/>
      </c>
      <c r="I2078" s="436" t="str">
        <f t="shared" si="1046"/>
        <v/>
      </c>
      <c r="J2078" s="437">
        <f>SUMIFS(PRODUCTION[KG],PRODUCTION[GRADE],"3X50",PRODUCTION[DATE],B2078,PRODUCTION[BATCH],C2078,PRODUCTION[SHIFT],D2078)</f>
        <v>0</v>
      </c>
      <c r="K2078" s="438" t="s">
        <v>1414</v>
      </c>
      <c r="L2078" s="443"/>
      <c r="M2078" s="440"/>
      <c r="N2078" s="441"/>
      <c r="O2078" s="441"/>
      <c r="P2078" s="442"/>
      <c r="Q2078" s="443"/>
      <c r="R2078" s="440"/>
      <c r="S2078" s="440"/>
      <c r="T2078" s="440"/>
      <c r="U2078" s="440"/>
      <c r="V2078" s="440"/>
      <c r="W2078" s="440"/>
      <c r="X2078" s="440"/>
      <c r="Y2078" s="444">
        <f t="shared" si="17"/>
        <v>0</v>
      </c>
      <c r="Z2078" s="445"/>
      <c r="AA2078" s="446">
        <f t="shared" ref="AA2078:AE2078" si="1047">$J2078*E2078</f>
        <v>0</v>
      </c>
      <c r="AB2078" s="447">
        <f t="shared" si="1047"/>
        <v>0</v>
      </c>
      <c r="AC2078" s="447">
        <f t="shared" si="1047"/>
        <v>0</v>
      </c>
      <c r="AD2078" s="447">
        <f t="shared" si="1047"/>
        <v>0</v>
      </c>
      <c r="AE2078" s="448">
        <f t="shared" si="1047"/>
        <v>0</v>
      </c>
      <c r="AF2078" s="449"/>
      <c r="AG2078" s="449"/>
      <c r="AH2078" s="449"/>
    </row>
    <row r="2079" ht="11.25" customHeight="1">
      <c r="A2079" s="450"/>
      <c r="B2079" s="451"/>
      <c r="C2079" s="452"/>
      <c r="D2079" s="452"/>
      <c r="E2079" s="453"/>
      <c r="F2079" s="453"/>
      <c r="G2079" s="454"/>
      <c r="H2079" s="454"/>
      <c r="I2079" s="455"/>
      <c r="J2079" s="456"/>
      <c r="K2079" s="457" t="s">
        <v>1416</v>
      </c>
      <c r="L2079" s="458"/>
      <c r="M2079" s="459"/>
      <c r="N2079" s="460"/>
      <c r="O2079" s="460"/>
      <c r="P2079" s="461"/>
      <c r="Q2079" s="458"/>
      <c r="R2079" s="459"/>
      <c r="S2079" s="459"/>
      <c r="T2079" s="459"/>
      <c r="U2079" s="459"/>
      <c r="V2079" s="459"/>
      <c r="W2079" s="459"/>
      <c r="X2079" s="459"/>
      <c r="Y2079" s="462">
        <f t="shared" si="17"/>
        <v>0</v>
      </c>
      <c r="Z2079" s="463"/>
      <c r="AA2079" s="464"/>
      <c r="AB2079" s="465"/>
      <c r="AC2079" s="465"/>
      <c r="AD2079" s="465"/>
      <c r="AE2079" s="466"/>
      <c r="AF2079" s="449"/>
      <c r="AG2079" s="449"/>
      <c r="AH2079" s="449"/>
    </row>
    <row r="2080" ht="11.25" customHeight="1">
      <c r="A2080" s="450"/>
      <c r="B2080" s="451"/>
      <c r="C2080" s="452"/>
      <c r="D2080" s="452"/>
      <c r="E2080" s="453"/>
      <c r="F2080" s="453"/>
      <c r="G2080" s="454"/>
      <c r="H2080" s="454"/>
      <c r="I2080" s="455"/>
      <c r="J2080" s="456"/>
      <c r="K2080" s="467" t="s">
        <v>1417</v>
      </c>
      <c r="L2080" s="468"/>
      <c r="M2080" s="469"/>
      <c r="N2080" s="470"/>
      <c r="O2080" s="470"/>
      <c r="P2080" s="471"/>
      <c r="Q2080" s="468"/>
      <c r="R2080" s="469"/>
      <c r="S2080" s="469"/>
      <c r="T2080" s="469"/>
      <c r="U2080" s="469"/>
      <c r="V2080" s="469"/>
      <c r="W2080" s="469"/>
      <c r="X2080" s="469"/>
      <c r="Y2080" s="462">
        <f t="shared" si="17"/>
        <v>0</v>
      </c>
      <c r="Z2080" s="463"/>
      <c r="AA2080" s="464"/>
      <c r="AB2080" s="465"/>
      <c r="AC2080" s="465"/>
      <c r="AD2080" s="465"/>
      <c r="AE2080" s="466"/>
      <c r="AF2080" s="449"/>
      <c r="AG2080" s="449"/>
      <c r="AH2080" s="449"/>
    </row>
    <row r="2081" ht="11.25" customHeight="1">
      <c r="A2081" s="450"/>
      <c r="B2081" s="472"/>
      <c r="C2081" s="473"/>
      <c r="D2081" s="473"/>
      <c r="E2081" s="474"/>
      <c r="F2081" s="474"/>
      <c r="G2081" s="475"/>
      <c r="H2081" s="475"/>
      <c r="I2081" s="476"/>
      <c r="J2081" s="477"/>
      <c r="K2081" s="478" t="s">
        <v>1418</v>
      </c>
      <c r="L2081" s="479"/>
      <c r="M2081" s="480"/>
      <c r="N2081" s="481"/>
      <c r="O2081" s="481"/>
      <c r="P2081" s="482"/>
      <c r="Q2081" s="479"/>
      <c r="R2081" s="480"/>
      <c r="S2081" s="480"/>
      <c r="T2081" s="480"/>
      <c r="U2081" s="480"/>
      <c r="V2081" s="480"/>
      <c r="W2081" s="480"/>
      <c r="X2081" s="480"/>
      <c r="Y2081" s="483">
        <f t="shared" si="17"/>
        <v>0</v>
      </c>
      <c r="Z2081" s="484"/>
      <c r="AA2081" s="485"/>
      <c r="AB2081" s="486"/>
      <c r="AC2081" s="486"/>
      <c r="AD2081" s="486"/>
      <c r="AE2081" s="487"/>
      <c r="AF2081" s="449"/>
      <c r="AG2081" s="449"/>
      <c r="AH2081" s="449"/>
    </row>
    <row r="2082" ht="11.25" customHeight="1">
      <c r="A2082" s="431" t="str">
        <f>IF(B2082="","", YEAR(B2082))</f>
        <v/>
      </c>
      <c r="B2082" s="432"/>
      <c r="C2082" s="433"/>
      <c r="D2082" s="433"/>
      <c r="E2082" s="434" t="str">
        <f t="shared" ref="E2082:I2082" si="1048">IFERROR(AVERAGE(L2082:L2085),"")</f>
        <v/>
      </c>
      <c r="F2082" s="434" t="str">
        <f t="shared" si="1048"/>
        <v/>
      </c>
      <c r="G2082" s="435" t="str">
        <f t="shared" si="1048"/>
        <v/>
      </c>
      <c r="H2082" s="435" t="str">
        <f t="shared" si="1048"/>
        <v/>
      </c>
      <c r="I2082" s="436" t="str">
        <f t="shared" si="1048"/>
        <v/>
      </c>
      <c r="J2082" s="437">
        <f>SUMIFS(PRODUCTION[KG],PRODUCTION[GRADE],"3X50",PRODUCTION[DATE],B2082,PRODUCTION[BATCH],C2082,PRODUCTION[SHIFT],D2082)</f>
        <v>0</v>
      </c>
      <c r="K2082" s="438" t="s">
        <v>1414</v>
      </c>
      <c r="L2082" s="443"/>
      <c r="M2082" s="440"/>
      <c r="N2082" s="441"/>
      <c r="O2082" s="441"/>
      <c r="P2082" s="442"/>
      <c r="Q2082" s="443"/>
      <c r="R2082" s="440"/>
      <c r="S2082" s="440"/>
      <c r="T2082" s="440"/>
      <c r="U2082" s="440"/>
      <c r="V2082" s="440"/>
      <c r="W2082" s="440"/>
      <c r="X2082" s="440"/>
      <c r="Y2082" s="444">
        <f t="shared" si="17"/>
        <v>0</v>
      </c>
      <c r="Z2082" s="445"/>
      <c r="AA2082" s="446">
        <f t="shared" ref="AA2082:AE2082" si="1049">$J2082*E2082</f>
        <v>0</v>
      </c>
      <c r="AB2082" s="447">
        <f t="shared" si="1049"/>
        <v>0</v>
      </c>
      <c r="AC2082" s="447">
        <f t="shared" si="1049"/>
        <v>0</v>
      </c>
      <c r="AD2082" s="447">
        <f t="shared" si="1049"/>
        <v>0</v>
      </c>
      <c r="AE2082" s="448">
        <f t="shared" si="1049"/>
        <v>0</v>
      </c>
      <c r="AF2082" s="449"/>
      <c r="AG2082" s="449"/>
      <c r="AH2082" s="449"/>
    </row>
    <row r="2083" ht="11.25" customHeight="1">
      <c r="A2083" s="450"/>
      <c r="B2083" s="451"/>
      <c r="C2083" s="452"/>
      <c r="D2083" s="452"/>
      <c r="E2083" s="453"/>
      <c r="F2083" s="453"/>
      <c r="G2083" s="454"/>
      <c r="H2083" s="454"/>
      <c r="I2083" s="455"/>
      <c r="J2083" s="456"/>
      <c r="K2083" s="457" t="s">
        <v>1416</v>
      </c>
      <c r="L2083" s="458"/>
      <c r="M2083" s="459"/>
      <c r="N2083" s="460"/>
      <c r="O2083" s="460"/>
      <c r="P2083" s="461"/>
      <c r="Q2083" s="458"/>
      <c r="R2083" s="459"/>
      <c r="S2083" s="459"/>
      <c r="T2083" s="459"/>
      <c r="U2083" s="459"/>
      <c r="V2083" s="459"/>
      <c r="W2083" s="459"/>
      <c r="X2083" s="459"/>
      <c r="Y2083" s="462">
        <f t="shared" si="17"/>
        <v>0</v>
      </c>
      <c r="Z2083" s="463"/>
      <c r="AA2083" s="464"/>
      <c r="AB2083" s="465"/>
      <c r="AC2083" s="465"/>
      <c r="AD2083" s="465"/>
      <c r="AE2083" s="466"/>
      <c r="AF2083" s="449"/>
      <c r="AG2083" s="449"/>
      <c r="AH2083" s="449"/>
    </row>
    <row r="2084" ht="11.25" customHeight="1">
      <c r="A2084" s="450"/>
      <c r="B2084" s="451"/>
      <c r="C2084" s="452"/>
      <c r="D2084" s="452"/>
      <c r="E2084" s="453"/>
      <c r="F2084" s="453"/>
      <c r="G2084" s="454"/>
      <c r="H2084" s="454"/>
      <c r="I2084" s="455"/>
      <c r="J2084" s="456"/>
      <c r="K2084" s="467" t="s">
        <v>1417</v>
      </c>
      <c r="L2084" s="468"/>
      <c r="M2084" s="469"/>
      <c r="N2084" s="470"/>
      <c r="O2084" s="470"/>
      <c r="P2084" s="471"/>
      <c r="Q2084" s="468"/>
      <c r="R2084" s="469"/>
      <c r="S2084" s="469"/>
      <c r="T2084" s="469"/>
      <c r="U2084" s="469"/>
      <c r="V2084" s="469"/>
      <c r="W2084" s="469"/>
      <c r="X2084" s="469"/>
      <c r="Y2084" s="462">
        <f t="shared" si="17"/>
        <v>0</v>
      </c>
      <c r="Z2084" s="463"/>
      <c r="AA2084" s="464"/>
      <c r="AB2084" s="465"/>
      <c r="AC2084" s="465"/>
      <c r="AD2084" s="465"/>
      <c r="AE2084" s="466"/>
      <c r="AF2084" s="449"/>
      <c r="AG2084" s="449"/>
      <c r="AH2084" s="449"/>
    </row>
    <row r="2085" ht="11.25" customHeight="1">
      <c r="A2085" s="450"/>
      <c r="B2085" s="472"/>
      <c r="C2085" s="473"/>
      <c r="D2085" s="473"/>
      <c r="E2085" s="474"/>
      <c r="F2085" s="474"/>
      <c r="G2085" s="475"/>
      <c r="H2085" s="475"/>
      <c r="I2085" s="476"/>
      <c r="J2085" s="477"/>
      <c r="K2085" s="478" t="s">
        <v>1418</v>
      </c>
      <c r="L2085" s="479"/>
      <c r="M2085" s="480"/>
      <c r="N2085" s="481"/>
      <c r="O2085" s="481"/>
      <c r="P2085" s="482"/>
      <c r="Q2085" s="479"/>
      <c r="R2085" s="480"/>
      <c r="S2085" s="480"/>
      <c r="T2085" s="480"/>
      <c r="U2085" s="480"/>
      <c r="V2085" s="480"/>
      <c r="W2085" s="480"/>
      <c r="X2085" s="480"/>
      <c r="Y2085" s="483">
        <f t="shared" si="17"/>
        <v>0</v>
      </c>
      <c r="Z2085" s="484"/>
      <c r="AA2085" s="485"/>
      <c r="AB2085" s="486"/>
      <c r="AC2085" s="486"/>
      <c r="AD2085" s="486"/>
      <c r="AE2085" s="487"/>
      <c r="AF2085" s="449"/>
      <c r="AG2085" s="449"/>
      <c r="AH2085" s="449"/>
    </row>
    <row r="2086" ht="11.25" customHeight="1">
      <c r="A2086" s="431" t="str">
        <f>IF(B2086="","", YEAR(B2086))</f>
        <v/>
      </c>
      <c r="B2086" s="432"/>
      <c r="C2086" s="433"/>
      <c r="D2086" s="433"/>
      <c r="E2086" s="434" t="str">
        <f t="shared" ref="E2086:I2086" si="1050">IFERROR(AVERAGE(L2086:L2089),"")</f>
        <v/>
      </c>
      <c r="F2086" s="434" t="str">
        <f t="shared" si="1050"/>
        <v/>
      </c>
      <c r="G2086" s="435" t="str">
        <f t="shared" si="1050"/>
        <v/>
      </c>
      <c r="H2086" s="435" t="str">
        <f t="shared" si="1050"/>
        <v/>
      </c>
      <c r="I2086" s="436" t="str">
        <f t="shared" si="1050"/>
        <v/>
      </c>
      <c r="J2086" s="437">
        <f>SUMIFS(PRODUCTION[KG],PRODUCTION[GRADE],"3X50",PRODUCTION[DATE],B2086,PRODUCTION[BATCH],C2086,PRODUCTION[SHIFT],D2086)</f>
        <v>0</v>
      </c>
      <c r="K2086" s="438" t="s">
        <v>1414</v>
      </c>
      <c r="L2086" s="443"/>
      <c r="M2086" s="440"/>
      <c r="N2086" s="441"/>
      <c r="O2086" s="441"/>
      <c r="P2086" s="442"/>
      <c r="Q2086" s="443"/>
      <c r="R2086" s="440"/>
      <c r="S2086" s="440"/>
      <c r="T2086" s="440"/>
      <c r="U2086" s="440"/>
      <c r="V2086" s="440"/>
      <c r="W2086" s="440"/>
      <c r="X2086" s="440"/>
      <c r="Y2086" s="444">
        <f t="shared" si="17"/>
        <v>0</v>
      </c>
      <c r="Z2086" s="445"/>
      <c r="AA2086" s="446">
        <f t="shared" ref="AA2086:AE2086" si="1051">$J2086*E2086</f>
        <v>0</v>
      </c>
      <c r="AB2086" s="447">
        <f t="shared" si="1051"/>
        <v>0</v>
      </c>
      <c r="AC2086" s="447">
        <f t="shared" si="1051"/>
        <v>0</v>
      </c>
      <c r="AD2086" s="447">
        <f t="shared" si="1051"/>
        <v>0</v>
      </c>
      <c r="AE2086" s="448">
        <f t="shared" si="1051"/>
        <v>0</v>
      </c>
      <c r="AF2086" s="449"/>
      <c r="AG2086" s="449"/>
      <c r="AH2086" s="449"/>
    </row>
    <row r="2087" ht="11.25" customHeight="1">
      <c r="A2087" s="450"/>
      <c r="B2087" s="451"/>
      <c r="C2087" s="452"/>
      <c r="D2087" s="452"/>
      <c r="E2087" s="453"/>
      <c r="F2087" s="453"/>
      <c r="G2087" s="454"/>
      <c r="H2087" s="454"/>
      <c r="I2087" s="455"/>
      <c r="J2087" s="456"/>
      <c r="K2087" s="457" t="s">
        <v>1416</v>
      </c>
      <c r="L2087" s="458"/>
      <c r="M2087" s="459"/>
      <c r="N2087" s="460"/>
      <c r="O2087" s="460"/>
      <c r="P2087" s="461"/>
      <c r="Q2087" s="458"/>
      <c r="R2087" s="459"/>
      <c r="S2087" s="459"/>
      <c r="T2087" s="459"/>
      <c r="U2087" s="459"/>
      <c r="V2087" s="459"/>
      <c r="W2087" s="459"/>
      <c r="X2087" s="459"/>
      <c r="Y2087" s="462">
        <f t="shared" si="17"/>
        <v>0</v>
      </c>
      <c r="Z2087" s="463"/>
      <c r="AA2087" s="464"/>
      <c r="AB2087" s="465"/>
      <c r="AC2087" s="465"/>
      <c r="AD2087" s="465"/>
      <c r="AE2087" s="466"/>
      <c r="AF2087" s="449"/>
      <c r="AG2087" s="449"/>
      <c r="AH2087" s="449"/>
    </row>
    <row r="2088" ht="11.25" customHeight="1">
      <c r="A2088" s="450"/>
      <c r="B2088" s="451"/>
      <c r="C2088" s="452"/>
      <c r="D2088" s="452"/>
      <c r="E2088" s="453"/>
      <c r="F2088" s="453"/>
      <c r="G2088" s="454"/>
      <c r="H2088" s="454"/>
      <c r="I2088" s="455"/>
      <c r="J2088" s="456"/>
      <c r="K2088" s="467" t="s">
        <v>1417</v>
      </c>
      <c r="L2088" s="468"/>
      <c r="M2088" s="469"/>
      <c r="N2088" s="470"/>
      <c r="O2088" s="470"/>
      <c r="P2088" s="471"/>
      <c r="Q2088" s="468"/>
      <c r="R2088" s="469"/>
      <c r="S2088" s="469"/>
      <c r="T2088" s="469"/>
      <c r="U2088" s="469"/>
      <c r="V2088" s="469"/>
      <c r="W2088" s="469"/>
      <c r="X2088" s="469"/>
      <c r="Y2088" s="462">
        <f t="shared" si="17"/>
        <v>0</v>
      </c>
      <c r="Z2088" s="463"/>
      <c r="AA2088" s="464"/>
      <c r="AB2088" s="465"/>
      <c r="AC2088" s="465"/>
      <c r="AD2088" s="465"/>
      <c r="AE2088" s="466"/>
      <c r="AF2088" s="449"/>
      <c r="AG2088" s="449"/>
      <c r="AH2088" s="449"/>
    </row>
    <row r="2089" ht="11.25" customHeight="1">
      <c r="A2089" s="450"/>
      <c r="B2089" s="472"/>
      <c r="C2089" s="473"/>
      <c r="D2089" s="473"/>
      <c r="E2089" s="474"/>
      <c r="F2089" s="474"/>
      <c r="G2089" s="475"/>
      <c r="H2089" s="475"/>
      <c r="I2089" s="476"/>
      <c r="J2089" s="477"/>
      <c r="K2089" s="478" t="s">
        <v>1418</v>
      </c>
      <c r="L2089" s="479"/>
      <c r="M2089" s="480"/>
      <c r="N2089" s="481"/>
      <c r="O2089" s="481"/>
      <c r="P2089" s="482"/>
      <c r="Q2089" s="479"/>
      <c r="R2089" s="480"/>
      <c r="S2089" s="480"/>
      <c r="T2089" s="480"/>
      <c r="U2089" s="480"/>
      <c r="V2089" s="480"/>
      <c r="W2089" s="480"/>
      <c r="X2089" s="480"/>
      <c r="Y2089" s="483">
        <f t="shared" si="17"/>
        <v>0</v>
      </c>
      <c r="Z2089" s="484"/>
      <c r="AA2089" s="485"/>
      <c r="AB2089" s="486"/>
      <c r="AC2089" s="486"/>
      <c r="AD2089" s="486"/>
      <c r="AE2089" s="487"/>
      <c r="AF2089" s="449"/>
      <c r="AG2089" s="449"/>
      <c r="AH2089" s="449"/>
    </row>
    <row r="2090" ht="11.25" customHeight="1">
      <c r="A2090" s="431" t="str">
        <f>IF(B2090="","", YEAR(B2090))</f>
        <v/>
      </c>
      <c r="B2090" s="432"/>
      <c r="C2090" s="433"/>
      <c r="D2090" s="433"/>
      <c r="E2090" s="434" t="str">
        <f t="shared" ref="E2090:I2090" si="1052">IFERROR(AVERAGE(L2090:L2093),"")</f>
        <v/>
      </c>
      <c r="F2090" s="434" t="str">
        <f t="shared" si="1052"/>
        <v/>
      </c>
      <c r="G2090" s="435" t="str">
        <f t="shared" si="1052"/>
        <v/>
      </c>
      <c r="H2090" s="435" t="str">
        <f t="shared" si="1052"/>
        <v/>
      </c>
      <c r="I2090" s="436" t="str">
        <f t="shared" si="1052"/>
        <v/>
      </c>
      <c r="J2090" s="437">
        <f>SUMIFS(PRODUCTION[KG],PRODUCTION[GRADE],"3X50",PRODUCTION[DATE],B2090,PRODUCTION[BATCH],C2090,PRODUCTION[SHIFT],D2090)</f>
        <v>0</v>
      </c>
      <c r="K2090" s="438" t="s">
        <v>1414</v>
      </c>
      <c r="L2090" s="443"/>
      <c r="M2090" s="440"/>
      <c r="N2090" s="441"/>
      <c r="O2090" s="441"/>
      <c r="P2090" s="442"/>
      <c r="Q2090" s="443"/>
      <c r="R2090" s="440"/>
      <c r="S2090" s="440"/>
      <c r="T2090" s="440"/>
      <c r="U2090" s="440"/>
      <c r="V2090" s="440"/>
      <c r="W2090" s="440"/>
      <c r="X2090" s="440"/>
      <c r="Y2090" s="444">
        <f t="shared" si="17"/>
        <v>0</v>
      </c>
      <c r="Z2090" s="445"/>
      <c r="AA2090" s="446">
        <f t="shared" ref="AA2090:AE2090" si="1053">$J2090*E2090</f>
        <v>0</v>
      </c>
      <c r="AB2090" s="447">
        <f t="shared" si="1053"/>
        <v>0</v>
      </c>
      <c r="AC2090" s="447">
        <f t="shared" si="1053"/>
        <v>0</v>
      </c>
      <c r="AD2090" s="447">
        <f t="shared" si="1053"/>
        <v>0</v>
      </c>
      <c r="AE2090" s="448">
        <f t="shared" si="1053"/>
        <v>0</v>
      </c>
      <c r="AF2090" s="449"/>
      <c r="AG2090" s="449"/>
      <c r="AH2090" s="449"/>
    </row>
    <row r="2091" ht="11.25" customHeight="1">
      <c r="A2091" s="450"/>
      <c r="B2091" s="451"/>
      <c r="C2091" s="452"/>
      <c r="D2091" s="452"/>
      <c r="E2091" s="453"/>
      <c r="F2091" s="453"/>
      <c r="G2091" s="454"/>
      <c r="H2091" s="454"/>
      <c r="I2091" s="455"/>
      <c r="J2091" s="456"/>
      <c r="K2091" s="457" t="s">
        <v>1416</v>
      </c>
      <c r="L2091" s="458"/>
      <c r="M2091" s="459"/>
      <c r="N2091" s="460"/>
      <c r="O2091" s="460"/>
      <c r="P2091" s="461"/>
      <c r="Q2091" s="458"/>
      <c r="R2091" s="459"/>
      <c r="S2091" s="459"/>
      <c r="T2091" s="459"/>
      <c r="U2091" s="459"/>
      <c r="V2091" s="459"/>
      <c r="W2091" s="459"/>
      <c r="X2091" s="459"/>
      <c r="Y2091" s="462">
        <f t="shared" si="17"/>
        <v>0</v>
      </c>
      <c r="Z2091" s="463"/>
      <c r="AA2091" s="464"/>
      <c r="AB2091" s="465"/>
      <c r="AC2091" s="465"/>
      <c r="AD2091" s="465"/>
      <c r="AE2091" s="466"/>
      <c r="AF2091" s="449"/>
      <c r="AG2091" s="449"/>
      <c r="AH2091" s="449"/>
    </row>
    <row r="2092" ht="11.25" customHeight="1">
      <c r="A2092" s="450"/>
      <c r="B2092" s="451"/>
      <c r="C2092" s="452"/>
      <c r="D2092" s="452"/>
      <c r="E2092" s="453"/>
      <c r="F2092" s="453"/>
      <c r="G2092" s="454"/>
      <c r="H2092" s="454"/>
      <c r="I2092" s="455"/>
      <c r="J2092" s="456"/>
      <c r="K2092" s="467" t="s">
        <v>1417</v>
      </c>
      <c r="L2092" s="468"/>
      <c r="M2092" s="469"/>
      <c r="N2092" s="470"/>
      <c r="O2092" s="470"/>
      <c r="P2092" s="471"/>
      <c r="Q2092" s="468"/>
      <c r="R2092" s="469"/>
      <c r="S2092" s="469"/>
      <c r="T2092" s="469"/>
      <c r="U2092" s="469"/>
      <c r="V2092" s="469"/>
      <c r="W2092" s="469"/>
      <c r="X2092" s="469"/>
      <c r="Y2092" s="462">
        <f t="shared" si="17"/>
        <v>0</v>
      </c>
      <c r="Z2092" s="463"/>
      <c r="AA2092" s="464"/>
      <c r="AB2092" s="465"/>
      <c r="AC2092" s="465"/>
      <c r="AD2092" s="465"/>
      <c r="AE2092" s="466"/>
      <c r="AF2092" s="449"/>
      <c r="AG2092" s="449"/>
      <c r="AH2092" s="449"/>
    </row>
    <row r="2093" ht="11.25" customHeight="1">
      <c r="A2093" s="450"/>
      <c r="B2093" s="472"/>
      <c r="C2093" s="473"/>
      <c r="D2093" s="473"/>
      <c r="E2093" s="474"/>
      <c r="F2093" s="474"/>
      <c r="G2093" s="475"/>
      <c r="H2093" s="475"/>
      <c r="I2093" s="476"/>
      <c r="J2093" s="477"/>
      <c r="K2093" s="478" t="s">
        <v>1418</v>
      </c>
      <c r="L2093" s="479"/>
      <c r="M2093" s="480"/>
      <c r="N2093" s="481"/>
      <c r="O2093" s="481"/>
      <c r="P2093" s="482"/>
      <c r="Q2093" s="479"/>
      <c r="R2093" s="480"/>
      <c r="S2093" s="480"/>
      <c r="T2093" s="480"/>
      <c r="U2093" s="480"/>
      <c r="V2093" s="480"/>
      <c r="W2093" s="480"/>
      <c r="X2093" s="480"/>
      <c r="Y2093" s="483">
        <f t="shared" si="17"/>
        <v>0</v>
      </c>
      <c r="Z2093" s="484"/>
      <c r="AA2093" s="485"/>
      <c r="AB2093" s="486"/>
      <c r="AC2093" s="486"/>
      <c r="AD2093" s="486"/>
      <c r="AE2093" s="487"/>
      <c r="AF2093" s="449"/>
      <c r="AG2093" s="449"/>
      <c r="AH2093" s="449"/>
    </row>
    <row r="2094" ht="11.25" customHeight="1">
      <c r="A2094" s="431" t="str">
        <f>IF(B2094="","", YEAR(B2094))</f>
        <v/>
      </c>
      <c r="B2094" s="432"/>
      <c r="C2094" s="433"/>
      <c r="D2094" s="433"/>
      <c r="E2094" s="434" t="str">
        <f t="shared" ref="E2094:I2094" si="1054">IFERROR(AVERAGE(L2094:L2097),"")</f>
        <v/>
      </c>
      <c r="F2094" s="434" t="str">
        <f t="shared" si="1054"/>
        <v/>
      </c>
      <c r="G2094" s="435" t="str">
        <f t="shared" si="1054"/>
        <v/>
      </c>
      <c r="H2094" s="435" t="str">
        <f t="shared" si="1054"/>
        <v/>
      </c>
      <c r="I2094" s="436" t="str">
        <f t="shared" si="1054"/>
        <v/>
      </c>
      <c r="J2094" s="437">
        <f>SUMIFS(PRODUCTION[KG],PRODUCTION[GRADE],"3X50",PRODUCTION[DATE],B2094,PRODUCTION[BATCH],C2094,PRODUCTION[SHIFT],D2094)</f>
        <v>0</v>
      </c>
      <c r="K2094" s="438" t="s">
        <v>1414</v>
      </c>
      <c r="L2094" s="443"/>
      <c r="M2094" s="440"/>
      <c r="N2094" s="441"/>
      <c r="O2094" s="441"/>
      <c r="P2094" s="442"/>
      <c r="Q2094" s="443"/>
      <c r="R2094" s="440"/>
      <c r="S2094" s="440"/>
      <c r="T2094" s="440"/>
      <c r="U2094" s="440"/>
      <c r="V2094" s="440"/>
      <c r="W2094" s="440"/>
      <c r="X2094" s="440"/>
      <c r="Y2094" s="444">
        <f t="shared" si="17"/>
        <v>0</v>
      </c>
      <c r="Z2094" s="445"/>
      <c r="AA2094" s="446">
        <f t="shared" ref="AA2094:AE2094" si="1055">$J2094*E2094</f>
        <v>0</v>
      </c>
      <c r="AB2094" s="447">
        <f t="shared" si="1055"/>
        <v>0</v>
      </c>
      <c r="AC2094" s="447">
        <f t="shared" si="1055"/>
        <v>0</v>
      </c>
      <c r="AD2094" s="447">
        <f t="shared" si="1055"/>
        <v>0</v>
      </c>
      <c r="AE2094" s="448">
        <f t="shared" si="1055"/>
        <v>0</v>
      </c>
      <c r="AF2094" s="449"/>
      <c r="AG2094" s="449"/>
      <c r="AH2094" s="449"/>
    </row>
    <row r="2095" ht="11.25" customHeight="1">
      <c r="A2095" s="450"/>
      <c r="B2095" s="451"/>
      <c r="C2095" s="452"/>
      <c r="D2095" s="452"/>
      <c r="E2095" s="453"/>
      <c r="F2095" s="453"/>
      <c r="G2095" s="454"/>
      <c r="H2095" s="454"/>
      <c r="I2095" s="455"/>
      <c r="J2095" s="456"/>
      <c r="K2095" s="457" t="s">
        <v>1416</v>
      </c>
      <c r="L2095" s="458"/>
      <c r="M2095" s="459"/>
      <c r="N2095" s="460"/>
      <c r="O2095" s="460"/>
      <c r="P2095" s="461"/>
      <c r="Q2095" s="458"/>
      <c r="R2095" s="459"/>
      <c r="S2095" s="459"/>
      <c r="T2095" s="459"/>
      <c r="U2095" s="459"/>
      <c r="V2095" s="459"/>
      <c r="W2095" s="459"/>
      <c r="X2095" s="459"/>
      <c r="Y2095" s="462">
        <f t="shared" si="17"/>
        <v>0</v>
      </c>
      <c r="Z2095" s="463"/>
      <c r="AA2095" s="464"/>
      <c r="AB2095" s="465"/>
      <c r="AC2095" s="465"/>
      <c r="AD2095" s="465"/>
      <c r="AE2095" s="466"/>
      <c r="AF2095" s="449"/>
      <c r="AG2095" s="449"/>
      <c r="AH2095" s="449"/>
    </row>
    <row r="2096" ht="11.25" customHeight="1">
      <c r="A2096" s="450"/>
      <c r="B2096" s="451"/>
      <c r="C2096" s="452"/>
      <c r="D2096" s="452"/>
      <c r="E2096" s="453"/>
      <c r="F2096" s="453"/>
      <c r="G2096" s="454"/>
      <c r="H2096" s="454"/>
      <c r="I2096" s="455"/>
      <c r="J2096" s="456"/>
      <c r="K2096" s="467" t="s">
        <v>1417</v>
      </c>
      <c r="L2096" s="468"/>
      <c r="M2096" s="469"/>
      <c r="N2096" s="470"/>
      <c r="O2096" s="470"/>
      <c r="P2096" s="471"/>
      <c r="Q2096" s="468"/>
      <c r="R2096" s="469"/>
      <c r="S2096" s="469"/>
      <c r="T2096" s="469"/>
      <c r="U2096" s="469"/>
      <c r="V2096" s="469"/>
      <c r="W2096" s="469"/>
      <c r="X2096" s="469"/>
      <c r="Y2096" s="462">
        <f t="shared" si="17"/>
        <v>0</v>
      </c>
      <c r="Z2096" s="463"/>
      <c r="AA2096" s="464"/>
      <c r="AB2096" s="465"/>
      <c r="AC2096" s="465"/>
      <c r="AD2096" s="465"/>
      <c r="AE2096" s="466"/>
      <c r="AF2096" s="449"/>
      <c r="AG2096" s="449"/>
      <c r="AH2096" s="449"/>
    </row>
    <row r="2097" ht="11.25" customHeight="1">
      <c r="A2097" s="450"/>
      <c r="B2097" s="472"/>
      <c r="C2097" s="473"/>
      <c r="D2097" s="473"/>
      <c r="E2097" s="474"/>
      <c r="F2097" s="474"/>
      <c r="G2097" s="475"/>
      <c r="H2097" s="475"/>
      <c r="I2097" s="476"/>
      <c r="J2097" s="477"/>
      <c r="K2097" s="478" t="s">
        <v>1418</v>
      </c>
      <c r="L2097" s="479"/>
      <c r="M2097" s="480"/>
      <c r="N2097" s="481"/>
      <c r="O2097" s="481"/>
      <c r="P2097" s="482"/>
      <c r="Q2097" s="479"/>
      <c r="R2097" s="480"/>
      <c r="S2097" s="480"/>
      <c r="T2097" s="480"/>
      <c r="U2097" s="480"/>
      <c r="V2097" s="480"/>
      <c r="W2097" s="480"/>
      <c r="X2097" s="480"/>
      <c r="Y2097" s="483">
        <f t="shared" si="17"/>
        <v>0</v>
      </c>
      <c r="Z2097" s="484"/>
      <c r="AA2097" s="485"/>
      <c r="AB2097" s="486"/>
      <c r="AC2097" s="486"/>
      <c r="AD2097" s="486"/>
      <c r="AE2097" s="487"/>
      <c r="AF2097" s="449"/>
      <c r="AG2097" s="449"/>
      <c r="AH2097" s="449"/>
    </row>
    <row r="2098" ht="11.25" customHeight="1">
      <c r="A2098" s="431" t="str">
        <f>IF(B2098="","", YEAR(B2098))</f>
        <v/>
      </c>
      <c r="B2098" s="432"/>
      <c r="C2098" s="433"/>
      <c r="D2098" s="433"/>
      <c r="E2098" s="434" t="str">
        <f t="shared" ref="E2098:I2098" si="1056">IFERROR(AVERAGE(L2098:L2101),"")</f>
        <v/>
      </c>
      <c r="F2098" s="434" t="str">
        <f t="shared" si="1056"/>
        <v/>
      </c>
      <c r="G2098" s="435" t="str">
        <f t="shared" si="1056"/>
        <v/>
      </c>
      <c r="H2098" s="435" t="str">
        <f t="shared" si="1056"/>
        <v/>
      </c>
      <c r="I2098" s="436" t="str">
        <f t="shared" si="1056"/>
        <v/>
      </c>
      <c r="J2098" s="437">
        <f>SUMIFS(PRODUCTION[KG],PRODUCTION[GRADE],"3X50",PRODUCTION[DATE],B2098,PRODUCTION[BATCH],C2098,PRODUCTION[SHIFT],D2098)</f>
        <v>0</v>
      </c>
      <c r="K2098" s="438" t="s">
        <v>1414</v>
      </c>
      <c r="L2098" s="443"/>
      <c r="M2098" s="440"/>
      <c r="N2098" s="441"/>
      <c r="O2098" s="441"/>
      <c r="P2098" s="442"/>
      <c r="Q2098" s="443"/>
      <c r="R2098" s="440"/>
      <c r="S2098" s="440"/>
      <c r="T2098" s="440"/>
      <c r="U2098" s="440"/>
      <c r="V2098" s="440"/>
      <c r="W2098" s="440"/>
      <c r="X2098" s="440"/>
      <c r="Y2098" s="444">
        <f t="shared" si="17"/>
        <v>0</v>
      </c>
      <c r="Z2098" s="445"/>
      <c r="AA2098" s="446">
        <f t="shared" ref="AA2098:AE2098" si="1057">$J2098*E2098</f>
        <v>0</v>
      </c>
      <c r="AB2098" s="447">
        <f t="shared" si="1057"/>
        <v>0</v>
      </c>
      <c r="AC2098" s="447">
        <f t="shared" si="1057"/>
        <v>0</v>
      </c>
      <c r="AD2098" s="447">
        <f t="shared" si="1057"/>
        <v>0</v>
      </c>
      <c r="AE2098" s="448">
        <f t="shared" si="1057"/>
        <v>0</v>
      </c>
      <c r="AF2098" s="449"/>
      <c r="AG2098" s="449"/>
      <c r="AH2098" s="449"/>
    </row>
    <row r="2099" ht="11.25" customHeight="1">
      <c r="A2099" s="450"/>
      <c r="B2099" s="451"/>
      <c r="C2099" s="452"/>
      <c r="D2099" s="452"/>
      <c r="E2099" s="453"/>
      <c r="F2099" s="453"/>
      <c r="G2099" s="454"/>
      <c r="H2099" s="454"/>
      <c r="I2099" s="455"/>
      <c r="J2099" s="456"/>
      <c r="K2099" s="457" t="s">
        <v>1416</v>
      </c>
      <c r="L2099" s="458"/>
      <c r="M2099" s="459"/>
      <c r="N2099" s="460"/>
      <c r="O2099" s="460"/>
      <c r="P2099" s="461"/>
      <c r="Q2099" s="458"/>
      <c r="R2099" s="459"/>
      <c r="S2099" s="459"/>
      <c r="T2099" s="459"/>
      <c r="U2099" s="459"/>
      <c r="V2099" s="459"/>
      <c r="W2099" s="459"/>
      <c r="X2099" s="459"/>
      <c r="Y2099" s="462">
        <f t="shared" si="17"/>
        <v>0</v>
      </c>
      <c r="Z2099" s="463"/>
      <c r="AA2099" s="464"/>
      <c r="AB2099" s="465"/>
      <c r="AC2099" s="465"/>
      <c r="AD2099" s="465"/>
      <c r="AE2099" s="466"/>
      <c r="AF2099" s="449"/>
      <c r="AG2099" s="449"/>
      <c r="AH2099" s="449"/>
    </row>
    <row r="2100" ht="11.25" customHeight="1">
      <c r="A2100" s="450"/>
      <c r="B2100" s="451"/>
      <c r="C2100" s="452"/>
      <c r="D2100" s="452"/>
      <c r="E2100" s="453"/>
      <c r="F2100" s="453"/>
      <c r="G2100" s="454"/>
      <c r="H2100" s="454"/>
      <c r="I2100" s="455"/>
      <c r="J2100" s="456"/>
      <c r="K2100" s="467" t="s">
        <v>1417</v>
      </c>
      <c r="L2100" s="468"/>
      <c r="M2100" s="469"/>
      <c r="N2100" s="470"/>
      <c r="O2100" s="470"/>
      <c r="P2100" s="471"/>
      <c r="Q2100" s="468"/>
      <c r="R2100" s="469"/>
      <c r="S2100" s="469"/>
      <c r="T2100" s="469"/>
      <c r="U2100" s="469"/>
      <c r="V2100" s="469"/>
      <c r="W2100" s="469"/>
      <c r="X2100" s="469"/>
      <c r="Y2100" s="462">
        <f t="shared" si="17"/>
        <v>0</v>
      </c>
      <c r="Z2100" s="463"/>
      <c r="AA2100" s="464"/>
      <c r="AB2100" s="465"/>
      <c r="AC2100" s="465"/>
      <c r="AD2100" s="465"/>
      <c r="AE2100" s="466"/>
      <c r="AF2100" s="449"/>
      <c r="AG2100" s="449"/>
      <c r="AH2100" s="449"/>
    </row>
    <row r="2101" ht="11.25" customHeight="1">
      <c r="A2101" s="450"/>
      <c r="B2101" s="472"/>
      <c r="C2101" s="473"/>
      <c r="D2101" s="473"/>
      <c r="E2101" s="474"/>
      <c r="F2101" s="474"/>
      <c r="G2101" s="475"/>
      <c r="H2101" s="475"/>
      <c r="I2101" s="476"/>
      <c r="J2101" s="477"/>
      <c r="K2101" s="478" t="s">
        <v>1418</v>
      </c>
      <c r="L2101" s="479"/>
      <c r="M2101" s="480"/>
      <c r="N2101" s="481"/>
      <c r="O2101" s="481"/>
      <c r="P2101" s="482"/>
      <c r="Q2101" s="479"/>
      <c r="R2101" s="480"/>
      <c r="S2101" s="480"/>
      <c r="T2101" s="480"/>
      <c r="U2101" s="480"/>
      <c r="V2101" s="480"/>
      <c r="W2101" s="480"/>
      <c r="X2101" s="480"/>
      <c r="Y2101" s="483">
        <f t="shared" si="17"/>
        <v>0</v>
      </c>
      <c r="Z2101" s="484"/>
      <c r="AA2101" s="485"/>
      <c r="AB2101" s="486"/>
      <c r="AC2101" s="486"/>
      <c r="AD2101" s="486"/>
      <c r="AE2101" s="487"/>
      <c r="AF2101" s="449"/>
      <c r="AG2101" s="449"/>
      <c r="AH2101" s="449"/>
    </row>
    <row r="2102" ht="11.25" customHeight="1">
      <c r="A2102" s="431" t="str">
        <f>IF(B2102="","", YEAR(B2102))</f>
        <v/>
      </c>
      <c r="B2102" s="432"/>
      <c r="C2102" s="433"/>
      <c r="D2102" s="433"/>
      <c r="E2102" s="434" t="str">
        <f t="shared" ref="E2102:I2102" si="1058">IFERROR(AVERAGE(L2102:L2105),"")</f>
        <v/>
      </c>
      <c r="F2102" s="434" t="str">
        <f t="shared" si="1058"/>
        <v/>
      </c>
      <c r="G2102" s="435" t="str">
        <f t="shared" si="1058"/>
        <v/>
      </c>
      <c r="H2102" s="435" t="str">
        <f t="shared" si="1058"/>
        <v/>
      </c>
      <c r="I2102" s="436" t="str">
        <f t="shared" si="1058"/>
        <v/>
      </c>
      <c r="J2102" s="437">
        <f>SUMIFS(PRODUCTION[KG],PRODUCTION[GRADE],"3X50",PRODUCTION[DATE],B2102,PRODUCTION[BATCH],C2102,PRODUCTION[SHIFT],D2102)</f>
        <v>0</v>
      </c>
      <c r="K2102" s="438" t="s">
        <v>1414</v>
      </c>
      <c r="L2102" s="443"/>
      <c r="M2102" s="440"/>
      <c r="N2102" s="441"/>
      <c r="O2102" s="441"/>
      <c r="P2102" s="442"/>
      <c r="Q2102" s="443"/>
      <c r="R2102" s="440"/>
      <c r="S2102" s="440"/>
      <c r="T2102" s="440"/>
      <c r="U2102" s="440"/>
      <c r="V2102" s="440"/>
      <c r="W2102" s="440"/>
      <c r="X2102" s="440"/>
      <c r="Y2102" s="444">
        <f t="shared" si="17"/>
        <v>0</v>
      </c>
      <c r="Z2102" s="445"/>
      <c r="AA2102" s="446">
        <f t="shared" ref="AA2102:AE2102" si="1059">$J2102*E2102</f>
        <v>0</v>
      </c>
      <c r="AB2102" s="447">
        <f t="shared" si="1059"/>
        <v>0</v>
      </c>
      <c r="AC2102" s="447">
        <f t="shared" si="1059"/>
        <v>0</v>
      </c>
      <c r="AD2102" s="447">
        <f t="shared" si="1059"/>
        <v>0</v>
      </c>
      <c r="AE2102" s="448">
        <f t="shared" si="1059"/>
        <v>0</v>
      </c>
      <c r="AF2102" s="449"/>
      <c r="AG2102" s="449"/>
      <c r="AH2102" s="449"/>
    </row>
    <row r="2103" ht="11.25" customHeight="1">
      <c r="A2103" s="450"/>
      <c r="B2103" s="451"/>
      <c r="C2103" s="452"/>
      <c r="D2103" s="452"/>
      <c r="E2103" s="453"/>
      <c r="F2103" s="453"/>
      <c r="G2103" s="454"/>
      <c r="H2103" s="454"/>
      <c r="I2103" s="455"/>
      <c r="J2103" s="456"/>
      <c r="K2103" s="457" t="s">
        <v>1416</v>
      </c>
      <c r="L2103" s="458"/>
      <c r="M2103" s="459"/>
      <c r="N2103" s="460"/>
      <c r="O2103" s="460"/>
      <c r="P2103" s="461"/>
      <c r="Q2103" s="458"/>
      <c r="R2103" s="459"/>
      <c r="S2103" s="459"/>
      <c r="T2103" s="459"/>
      <c r="U2103" s="459"/>
      <c r="V2103" s="459"/>
      <c r="W2103" s="459"/>
      <c r="X2103" s="459"/>
      <c r="Y2103" s="462">
        <f t="shared" si="17"/>
        <v>0</v>
      </c>
      <c r="Z2103" s="463"/>
      <c r="AA2103" s="464"/>
      <c r="AB2103" s="465"/>
      <c r="AC2103" s="465"/>
      <c r="AD2103" s="465"/>
      <c r="AE2103" s="466"/>
      <c r="AF2103" s="449"/>
      <c r="AG2103" s="449"/>
      <c r="AH2103" s="449"/>
    </row>
    <row r="2104" ht="11.25" customHeight="1">
      <c r="A2104" s="450"/>
      <c r="B2104" s="451"/>
      <c r="C2104" s="452"/>
      <c r="D2104" s="452"/>
      <c r="E2104" s="453"/>
      <c r="F2104" s="453"/>
      <c r="G2104" s="454"/>
      <c r="H2104" s="454"/>
      <c r="I2104" s="455"/>
      <c r="J2104" s="456"/>
      <c r="K2104" s="467" t="s">
        <v>1417</v>
      </c>
      <c r="L2104" s="468"/>
      <c r="M2104" s="469"/>
      <c r="N2104" s="470"/>
      <c r="O2104" s="470"/>
      <c r="P2104" s="471"/>
      <c r="Q2104" s="468"/>
      <c r="R2104" s="469"/>
      <c r="S2104" s="469"/>
      <c r="T2104" s="469"/>
      <c r="U2104" s="469"/>
      <c r="V2104" s="469"/>
      <c r="W2104" s="469"/>
      <c r="X2104" s="469"/>
      <c r="Y2104" s="462">
        <f t="shared" si="17"/>
        <v>0</v>
      </c>
      <c r="Z2104" s="463"/>
      <c r="AA2104" s="464"/>
      <c r="AB2104" s="465"/>
      <c r="AC2104" s="465"/>
      <c r="AD2104" s="465"/>
      <c r="AE2104" s="466"/>
      <c r="AF2104" s="449"/>
      <c r="AG2104" s="449"/>
      <c r="AH2104" s="449"/>
    </row>
    <row r="2105" ht="11.25" customHeight="1">
      <c r="A2105" s="450"/>
      <c r="B2105" s="472"/>
      <c r="C2105" s="473"/>
      <c r="D2105" s="473"/>
      <c r="E2105" s="474"/>
      <c r="F2105" s="474"/>
      <c r="G2105" s="475"/>
      <c r="H2105" s="475"/>
      <c r="I2105" s="476"/>
      <c r="J2105" s="477"/>
      <c r="K2105" s="478" t="s">
        <v>1418</v>
      </c>
      <c r="L2105" s="479"/>
      <c r="M2105" s="480"/>
      <c r="N2105" s="481"/>
      <c r="O2105" s="481"/>
      <c r="P2105" s="482"/>
      <c r="Q2105" s="479"/>
      <c r="R2105" s="480"/>
      <c r="S2105" s="480"/>
      <c r="T2105" s="480"/>
      <c r="U2105" s="480"/>
      <c r="V2105" s="480"/>
      <c r="W2105" s="480"/>
      <c r="X2105" s="480"/>
      <c r="Y2105" s="483">
        <f t="shared" si="17"/>
        <v>0</v>
      </c>
      <c r="Z2105" s="484"/>
      <c r="AA2105" s="485"/>
      <c r="AB2105" s="486"/>
      <c r="AC2105" s="486"/>
      <c r="AD2105" s="486"/>
      <c r="AE2105" s="487"/>
      <c r="AF2105" s="449"/>
      <c r="AG2105" s="449"/>
      <c r="AH2105" s="449"/>
    </row>
    <row r="2106" ht="11.25" customHeight="1">
      <c r="A2106" s="431" t="str">
        <f>IF(B2106="","", YEAR(B2106))</f>
        <v/>
      </c>
      <c r="B2106" s="432"/>
      <c r="C2106" s="433"/>
      <c r="D2106" s="433"/>
      <c r="E2106" s="434" t="str">
        <f t="shared" ref="E2106:I2106" si="1060">IFERROR(AVERAGE(L2106:L2109),"")</f>
        <v/>
      </c>
      <c r="F2106" s="434" t="str">
        <f t="shared" si="1060"/>
        <v/>
      </c>
      <c r="G2106" s="435" t="str">
        <f t="shared" si="1060"/>
        <v/>
      </c>
      <c r="H2106" s="435" t="str">
        <f t="shared" si="1060"/>
        <v/>
      </c>
      <c r="I2106" s="436" t="str">
        <f t="shared" si="1060"/>
        <v/>
      </c>
      <c r="J2106" s="437">
        <f>SUMIFS(PRODUCTION[KG],PRODUCTION[GRADE],"3X50",PRODUCTION[DATE],B2106,PRODUCTION[BATCH],C2106,PRODUCTION[SHIFT],D2106)</f>
        <v>0</v>
      </c>
      <c r="K2106" s="438" t="s">
        <v>1414</v>
      </c>
      <c r="L2106" s="443"/>
      <c r="M2106" s="440"/>
      <c r="N2106" s="441"/>
      <c r="O2106" s="441"/>
      <c r="P2106" s="442"/>
      <c r="Q2106" s="443"/>
      <c r="R2106" s="440"/>
      <c r="S2106" s="440"/>
      <c r="T2106" s="440"/>
      <c r="U2106" s="440"/>
      <c r="V2106" s="440"/>
      <c r="W2106" s="440"/>
      <c r="X2106" s="440"/>
      <c r="Y2106" s="444">
        <f t="shared" si="17"/>
        <v>0</v>
      </c>
      <c r="Z2106" s="445"/>
      <c r="AA2106" s="446">
        <f t="shared" ref="AA2106:AE2106" si="1061">$J2106*E2106</f>
        <v>0</v>
      </c>
      <c r="AB2106" s="447">
        <f t="shared" si="1061"/>
        <v>0</v>
      </c>
      <c r="AC2106" s="447">
        <f t="shared" si="1061"/>
        <v>0</v>
      </c>
      <c r="AD2106" s="447">
        <f t="shared" si="1061"/>
        <v>0</v>
      </c>
      <c r="AE2106" s="448">
        <f t="shared" si="1061"/>
        <v>0</v>
      </c>
      <c r="AF2106" s="449"/>
      <c r="AG2106" s="449"/>
      <c r="AH2106" s="449"/>
    </row>
    <row r="2107" ht="11.25" customHeight="1">
      <c r="A2107" s="450"/>
      <c r="B2107" s="451"/>
      <c r="C2107" s="452"/>
      <c r="D2107" s="452"/>
      <c r="E2107" s="453"/>
      <c r="F2107" s="453"/>
      <c r="G2107" s="454"/>
      <c r="H2107" s="454"/>
      <c r="I2107" s="455"/>
      <c r="J2107" s="456"/>
      <c r="K2107" s="457" t="s">
        <v>1416</v>
      </c>
      <c r="L2107" s="458"/>
      <c r="M2107" s="459"/>
      <c r="N2107" s="460"/>
      <c r="O2107" s="460"/>
      <c r="P2107" s="461"/>
      <c r="Q2107" s="458"/>
      <c r="R2107" s="459"/>
      <c r="S2107" s="459"/>
      <c r="T2107" s="459"/>
      <c r="U2107" s="459"/>
      <c r="V2107" s="459"/>
      <c r="W2107" s="459"/>
      <c r="X2107" s="459"/>
      <c r="Y2107" s="462">
        <f t="shared" si="17"/>
        <v>0</v>
      </c>
      <c r="Z2107" s="463"/>
      <c r="AA2107" s="464"/>
      <c r="AB2107" s="465"/>
      <c r="AC2107" s="465"/>
      <c r="AD2107" s="465"/>
      <c r="AE2107" s="466"/>
      <c r="AF2107" s="449"/>
      <c r="AG2107" s="449"/>
      <c r="AH2107" s="449"/>
    </row>
    <row r="2108" ht="11.25" customHeight="1">
      <c r="A2108" s="450"/>
      <c r="B2108" s="451"/>
      <c r="C2108" s="452"/>
      <c r="D2108" s="452"/>
      <c r="E2108" s="453"/>
      <c r="F2108" s="453"/>
      <c r="G2108" s="454"/>
      <c r="H2108" s="454"/>
      <c r="I2108" s="455"/>
      <c r="J2108" s="456"/>
      <c r="K2108" s="467" t="s">
        <v>1417</v>
      </c>
      <c r="L2108" s="468"/>
      <c r="M2108" s="469"/>
      <c r="N2108" s="470"/>
      <c r="O2108" s="470"/>
      <c r="P2108" s="471"/>
      <c r="Q2108" s="468"/>
      <c r="R2108" s="469"/>
      <c r="S2108" s="469"/>
      <c r="T2108" s="469"/>
      <c r="U2108" s="469"/>
      <c r="V2108" s="469"/>
      <c r="W2108" s="469"/>
      <c r="X2108" s="469"/>
      <c r="Y2108" s="462">
        <f t="shared" si="17"/>
        <v>0</v>
      </c>
      <c r="Z2108" s="463"/>
      <c r="AA2108" s="464"/>
      <c r="AB2108" s="465"/>
      <c r="AC2108" s="465"/>
      <c r="AD2108" s="465"/>
      <c r="AE2108" s="466"/>
      <c r="AF2108" s="449"/>
      <c r="AG2108" s="449"/>
      <c r="AH2108" s="449"/>
    </row>
    <row r="2109" ht="11.25" customHeight="1">
      <c r="A2109" s="450"/>
      <c r="B2109" s="472"/>
      <c r="C2109" s="473"/>
      <c r="D2109" s="473"/>
      <c r="E2109" s="474"/>
      <c r="F2109" s="474"/>
      <c r="G2109" s="475"/>
      <c r="H2109" s="475"/>
      <c r="I2109" s="476"/>
      <c r="J2109" s="477"/>
      <c r="K2109" s="478" t="s">
        <v>1418</v>
      </c>
      <c r="L2109" s="479"/>
      <c r="M2109" s="480"/>
      <c r="N2109" s="481"/>
      <c r="O2109" s="481"/>
      <c r="P2109" s="482"/>
      <c r="Q2109" s="479"/>
      <c r="R2109" s="480"/>
      <c r="S2109" s="480"/>
      <c r="T2109" s="480"/>
      <c r="U2109" s="480"/>
      <c r="V2109" s="480"/>
      <c r="W2109" s="480"/>
      <c r="X2109" s="480"/>
      <c r="Y2109" s="483">
        <f t="shared" si="17"/>
        <v>0</v>
      </c>
      <c r="Z2109" s="484"/>
      <c r="AA2109" s="485"/>
      <c r="AB2109" s="486"/>
      <c r="AC2109" s="486"/>
      <c r="AD2109" s="486"/>
      <c r="AE2109" s="487"/>
      <c r="AF2109" s="449"/>
      <c r="AG2109" s="449"/>
      <c r="AH2109" s="449"/>
    </row>
    <row r="2110" ht="11.25" customHeight="1">
      <c r="A2110" s="431" t="str">
        <f>IF(B2110="","", YEAR(B2110))</f>
        <v/>
      </c>
      <c r="B2110" s="432"/>
      <c r="C2110" s="433"/>
      <c r="D2110" s="433"/>
      <c r="E2110" s="434" t="str">
        <f t="shared" ref="E2110:I2110" si="1062">IFERROR(AVERAGE(L2110:L2113),"")</f>
        <v/>
      </c>
      <c r="F2110" s="434" t="str">
        <f t="shared" si="1062"/>
        <v/>
      </c>
      <c r="G2110" s="435" t="str">
        <f t="shared" si="1062"/>
        <v/>
      </c>
      <c r="H2110" s="435" t="str">
        <f t="shared" si="1062"/>
        <v/>
      </c>
      <c r="I2110" s="436" t="str">
        <f t="shared" si="1062"/>
        <v/>
      </c>
      <c r="J2110" s="437">
        <f>SUMIFS(PRODUCTION[KG],PRODUCTION[GRADE],"3X50",PRODUCTION[DATE],B2110,PRODUCTION[BATCH],C2110,PRODUCTION[SHIFT],D2110)</f>
        <v>0</v>
      </c>
      <c r="K2110" s="438" t="s">
        <v>1414</v>
      </c>
      <c r="L2110" s="443"/>
      <c r="M2110" s="440"/>
      <c r="N2110" s="441"/>
      <c r="O2110" s="441"/>
      <c r="P2110" s="442"/>
      <c r="Q2110" s="443"/>
      <c r="R2110" s="440"/>
      <c r="S2110" s="440"/>
      <c r="T2110" s="440"/>
      <c r="U2110" s="440"/>
      <c r="V2110" s="440"/>
      <c r="W2110" s="440"/>
      <c r="X2110" s="440"/>
      <c r="Y2110" s="444">
        <f t="shared" si="17"/>
        <v>0</v>
      </c>
      <c r="Z2110" s="445"/>
      <c r="AA2110" s="446">
        <f t="shared" ref="AA2110:AE2110" si="1063">$J2110*E2110</f>
        <v>0</v>
      </c>
      <c r="AB2110" s="447">
        <f t="shared" si="1063"/>
        <v>0</v>
      </c>
      <c r="AC2110" s="447">
        <f t="shared" si="1063"/>
        <v>0</v>
      </c>
      <c r="AD2110" s="447">
        <f t="shared" si="1063"/>
        <v>0</v>
      </c>
      <c r="AE2110" s="448">
        <f t="shared" si="1063"/>
        <v>0</v>
      </c>
      <c r="AF2110" s="449"/>
      <c r="AG2110" s="449"/>
      <c r="AH2110" s="449"/>
    </row>
    <row r="2111" ht="11.25" customHeight="1">
      <c r="A2111" s="450"/>
      <c r="B2111" s="451"/>
      <c r="C2111" s="452"/>
      <c r="D2111" s="452"/>
      <c r="E2111" s="453"/>
      <c r="F2111" s="453"/>
      <c r="G2111" s="454"/>
      <c r="H2111" s="454"/>
      <c r="I2111" s="455"/>
      <c r="J2111" s="456"/>
      <c r="K2111" s="457" t="s">
        <v>1416</v>
      </c>
      <c r="L2111" s="458"/>
      <c r="M2111" s="459"/>
      <c r="N2111" s="460"/>
      <c r="O2111" s="460"/>
      <c r="P2111" s="461"/>
      <c r="Q2111" s="458"/>
      <c r="R2111" s="459"/>
      <c r="S2111" s="459"/>
      <c r="T2111" s="459"/>
      <c r="U2111" s="459"/>
      <c r="V2111" s="459"/>
      <c r="W2111" s="459"/>
      <c r="X2111" s="459"/>
      <c r="Y2111" s="462">
        <f t="shared" si="17"/>
        <v>0</v>
      </c>
      <c r="Z2111" s="463"/>
      <c r="AA2111" s="464"/>
      <c r="AB2111" s="465"/>
      <c r="AC2111" s="465"/>
      <c r="AD2111" s="465"/>
      <c r="AE2111" s="466"/>
      <c r="AF2111" s="449"/>
      <c r="AG2111" s="449"/>
      <c r="AH2111" s="449"/>
    </row>
    <row r="2112" ht="11.25" customHeight="1">
      <c r="A2112" s="450"/>
      <c r="B2112" s="451"/>
      <c r="C2112" s="452"/>
      <c r="D2112" s="452"/>
      <c r="E2112" s="453"/>
      <c r="F2112" s="453"/>
      <c r="G2112" s="454"/>
      <c r="H2112" s="454"/>
      <c r="I2112" s="455"/>
      <c r="J2112" s="456"/>
      <c r="K2112" s="467" t="s">
        <v>1417</v>
      </c>
      <c r="L2112" s="468"/>
      <c r="M2112" s="469"/>
      <c r="N2112" s="470"/>
      <c r="O2112" s="470"/>
      <c r="P2112" s="471"/>
      <c r="Q2112" s="468"/>
      <c r="R2112" s="469"/>
      <c r="S2112" s="469"/>
      <c r="T2112" s="469"/>
      <c r="U2112" s="469"/>
      <c r="V2112" s="469"/>
      <c r="W2112" s="469"/>
      <c r="X2112" s="469"/>
      <c r="Y2112" s="462">
        <f t="shared" si="17"/>
        <v>0</v>
      </c>
      <c r="Z2112" s="463"/>
      <c r="AA2112" s="464"/>
      <c r="AB2112" s="465"/>
      <c r="AC2112" s="465"/>
      <c r="AD2112" s="465"/>
      <c r="AE2112" s="466"/>
      <c r="AF2112" s="449"/>
      <c r="AG2112" s="449"/>
      <c r="AH2112" s="449"/>
    </row>
    <row r="2113" ht="11.25" customHeight="1">
      <c r="A2113" s="450"/>
      <c r="B2113" s="472"/>
      <c r="C2113" s="473"/>
      <c r="D2113" s="473"/>
      <c r="E2113" s="474"/>
      <c r="F2113" s="474"/>
      <c r="G2113" s="475"/>
      <c r="H2113" s="475"/>
      <c r="I2113" s="476"/>
      <c r="J2113" s="477"/>
      <c r="K2113" s="478" t="s">
        <v>1418</v>
      </c>
      <c r="L2113" s="479"/>
      <c r="M2113" s="480"/>
      <c r="N2113" s="481"/>
      <c r="O2113" s="481"/>
      <c r="P2113" s="482"/>
      <c r="Q2113" s="479"/>
      <c r="R2113" s="480"/>
      <c r="S2113" s="480"/>
      <c r="T2113" s="480"/>
      <c r="U2113" s="480"/>
      <c r="V2113" s="480"/>
      <c r="W2113" s="480"/>
      <c r="X2113" s="480"/>
      <c r="Y2113" s="483">
        <f t="shared" si="17"/>
        <v>0</v>
      </c>
      <c r="Z2113" s="484"/>
      <c r="AA2113" s="485"/>
      <c r="AB2113" s="486"/>
      <c r="AC2113" s="486"/>
      <c r="AD2113" s="486"/>
      <c r="AE2113" s="487"/>
      <c r="AF2113" s="449"/>
      <c r="AG2113" s="449"/>
      <c r="AH2113" s="449"/>
    </row>
    <row r="2114" ht="11.25" customHeight="1">
      <c r="A2114" s="431" t="str">
        <f>IF(B2114="","", YEAR(B2114))</f>
        <v/>
      </c>
      <c r="B2114" s="432"/>
      <c r="C2114" s="433"/>
      <c r="D2114" s="433"/>
      <c r="E2114" s="434" t="str">
        <f t="shared" ref="E2114:I2114" si="1064">IFERROR(AVERAGE(L2114:L2117),"")</f>
        <v/>
      </c>
      <c r="F2114" s="434" t="str">
        <f t="shared" si="1064"/>
        <v/>
      </c>
      <c r="G2114" s="435" t="str">
        <f t="shared" si="1064"/>
        <v/>
      </c>
      <c r="H2114" s="435" t="str">
        <f t="shared" si="1064"/>
        <v/>
      </c>
      <c r="I2114" s="436" t="str">
        <f t="shared" si="1064"/>
        <v/>
      </c>
      <c r="J2114" s="437">
        <f>SUMIFS(PRODUCTION[KG],PRODUCTION[GRADE],"3X50",PRODUCTION[DATE],B2114,PRODUCTION[BATCH],C2114,PRODUCTION[SHIFT],D2114)</f>
        <v>0</v>
      </c>
      <c r="K2114" s="438" t="s">
        <v>1414</v>
      </c>
      <c r="L2114" s="443"/>
      <c r="M2114" s="440"/>
      <c r="N2114" s="441"/>
      <c r="O2114" s="441"/>
      <c r="P2114" s="442"/>
      <c r="Q2114" s="443"/>
      <c r="R2114" s="440"/>
      <c r="S2114" s="440"/>
      <c r="T2114" s="440"/>
      <c r="U2114" s="440"/>
      <c r="V2114" s="440"/>
      <c r="W2114" s="440"/>
      <c r="X2114" s="440"/>
      <c r="Y2114" s="444">
        <f t="shared" si="17"/>
        <v>0</v>
      </c>
      <c r="Z2114" s="445"/>
      <c r="AA2114" s="446">
        <f t="shared" ref="AA2114:AE2114" si="1065">$J2114*E2114</f>
        <v>0</v>
      </c>
      <c r="AB2114" s="447">
        <f t="shared" si="1065"/>
        <v>0</v>
      </c>
      <c r="AC2114" s="447">
        <f t="shared" si="1065"/>
        <v>0</v>
      </c>
      <c r="AD2114" s="447">
        <f t="shared" si="1065"/>
        <v>0</v>
      </c>
      <c r="AE2114" s="448">
        <f t="shared" si="1065"/>
        <v>0</v>
      </c>
      <c r="AF2114" s="449"/>
      <c r="AG2114" s="449"/>
      <c r="AH2114" s="449"/>
    </row>
    <row r="2115" ht="11.25" customHeight="1">
      <c r="A2115" s="450"/>
      <c r="B2115" s="451"/>
      <c r="C2115" s="452"/>
      <c r="D2115" s="452"/>
      <c r="E2115" s="453"/>
      <c r="F2115" s="453"/>
      <c r="G2115" s="454"/>
      <c r="H2115" s="454"/>
      <c r="I2115" s="455"/>
      <c r="J2115" s="456"/>
      <c r="K2115" s="457" t="s">
        <v>1416</v>
      </c>
      <c r="L2115" s="458"/>
      <c r="M2115" s="459"/>
      <c r="N2115" s="460"/>
      <c r="O2115" s="460"/>
      <c r="P2115" s="461"/>
      <c r="Q2115" s="458"/>
      <c r="R2115" s="459"/>
      <c r="S2115" s="459"/>
      <c r="T2115" s="459"/>
      <c r="U2115" s="459"/>
      <c r="V2115" s="459"/>
      <c r="W2115" s="459"/>
      <c r="X2115" s="459"/>
      <c r="Y2115" s="462">
        <f t="shared" si="17"/>
        <v>0</v>
      </c>
      <c r="Z2115" s="463"/>
      <c r="AA2115" s="464"/>
      <c r="AB2115" s="465"/>
      <c r="AC2115" s="465"/>
      <c r="AD2115" s="465"/>
      <c r="AE2115" s="466"/>
      <c r="AF2115" s="449"/>
      <c r="AG2115" s="449"/>
      <c r="AH2115" s="449"/>
    </row>
    <row r="2116" ht="11.25" customHeight="1">
      <c r="A2116" s="450"/>
      <c r="B2116" s="451"/>
      <c r="C2116" s="452"/>
      <c r="D2116" s="452"/>
      <c r="E2116" s="453"/>
      <c r="F2116" s="453"/>
      <c r="G2116" s="454"/>
      <c r="H2116" s="454"/>
      <c r="I2116" s="455"/>
      <c r="J2116" s="456"/>
      <c r="K2116" s="467" t="s">
        <v>1417</v>
      </c>
      <c r="L2116" s="468"/>
      <c r="M2116" s="469"/>
      <c r="N2116" s="470"/>
      <c r="O2116" s="470"/>
      <c r="P2116" s="471"/>
      <c r="Q2116" s="468"/>
      <c r="R2116" s="469"/>
      <c r="S2116" s="469"/>
      <c r="T2116" s="469"/>
      <c r="U2116" s="469"/>
      <c r="V2116" s="469"/>
      <c r="W2116" s="469"/>
      <c r="X2116" s="469"/>
      <c r="Y2116" s="462">
        <f t="shared" si="17"/>
        <v>0</v>
      </c>
      <c r="Z2116" s="463"/>
      <c r="AA2116" s="464"/>
      <c r="AB2116" s="465"/>
      <c r="AC2116" s="465"/>
      <c r="AD2116" s="465"/>
      <c r="AE2116" s="466"/>
      <c r="AF2116" s="449"/>
      <c r="AG2116" s="449"/>
      <c r="AH2116" s="449"/>
    </row>
    <row r="2117" ht="11.25" customHeight="1">
      <c r="A2117" s="450"/>
      <c r="B2117" s="472"/>
      <c r="C2117" s="473"/>
      <c r="D2117" s="473"/>
      <c r="E2117" s="474"/>
      <c r="F2117" s="474"/>
      <c r="G2117" s="475"/>
      <c r="H2117" s="475"/>
      <c r="I2117" s="476"/>
      <c r="J2117" s="477"/>
      <c r="K2117" s="478" t="s">
        <v>1418</v>
      </c>
      <c r="L2117" s="479"/>
      <c r="M2117" s="480"/>
      <c r="N2117" s="481"/>
      <c r="O2117" s="481"/>
      <c r="P2117" s="482"/>
      <c r="Q2117" s="479"/>
      <c r="R2117" s="480"/>
      <c r="S2117" s="480"/>
      <c r="T2117" s="480"/>
      <c r="U2117" s="480"/>
      <c r="V2117" s="480"/>
      <c r="W2117" s="480"/>
      <c r="X2117" s="480"/>
      <c r="Y2117" s="483">
        <f t="shared" si="17"/>
        <v>0</v>
      </c>
      <c r="Z2117" s="484"/>
      <c r="AA2117" s="485"/>
      <c r="AB2117" s="486"/>
      <c r="AC2117" s="486"/>
      <c r="AD2117" s="486"/>
      <c r="AE2117" s="487"/>
      <c r="AF2117" s="449"/>
      <c r="AG2117" s="449"/>
      <c r="AH2117" s="449"/>
    </row>
    <row r="2118" ht="11.25" customHeight="1">
      <c r="A2118" s="431" t="str">
        <f>IF(B2118="","", YEAR(B2118))</f>
        <v/>
      </c>
      <c r="B2118" s="432"/>
      <c r="C2118" s="433"/>
      <c r="D2118" s="433"/>
      <c r="E2118" s="434" t="str">
        <f t="shared" ref="E2118:I2118" si="1066">IFERROR(AVERAGE(L2118:L2121),"")</f>
        <v/>
      </c>
      <c r="F2118" s="434" t="str">
        <f t="shared" si="1066"/>
        <v/>
      </c>
      <c r="G2118" s="435" t="str">
        <f t="shared" si="1066"/>
        <v/>
      </c>
      <c r="H2118" s="435" t="str">
        <f t="shared" si="1066"/>
        <v/>
      </c>
      <c r="I2118" s="436" t="str">
        <f t="shared" si="1066"/>
        <v/>
      </c>
      <c r="J2118" s="437">
        <f>SUMIFS(PRODUCTION[KG],PRODUCTION[GRADE],"3X50",PRODUCTION[DATE],B2118,PRODUCTION[BATCH],C2118,PRODUCTION[SHIFT],D2118)</f>
        <v>0</v>
      </c>
      <c r="K2118" s="438" t="s">
        <v>1414</v>
      </c>
      <c r="L2118" s="443"/>
      <c r="M2118" s="440"/>
      <c r="N2118" s="441"/>
      <c r="O2118" s="441"/>
      <c r="P2118" s="442"/>
      <c r="Q2118" s="443"/>
      <c r="R2118" s="440"/>
      <c r="S2118" s="440"/>
      <c r="T2118" s="440"/>
      <c r="U2118" s="440"/>
      <c r="V2118" s="440"/>
      <c r="W2118" s="440"/>
      <c r="X2118" s="440"/>
      <c r="Y2118" s="444">
        <f t="shared" si="17"/>
        <v>0</v>
      </c>
      <c r="Z2118" s="445"/>
      <c r="AA2118" s="446">
        <f t="shared" ref="AA2118:AE2118" si="1067">$J2118*E2118</f>
        <v>0</v>
      </c>
      <c r="AB2118" s="447">
        <f t="shared" si="1067"/>
        <v>0</v>
      </c>
      <c r="AC2118" s="447">
        <f t="shared" si="1067"/>
        <v>0</v>
      </c>
      <c r="AD2118" s="447">
        <f t="shared" si="1067"/>
        <v>0</v>
      </c>
      <c r="AE2118" s="448">
        <f t="shared" si="1067"/>
        <v>0</v>
      </c>
      <c r="AF2118" s="449"/>
      <c r="AG2118" s="449"/>
      <c r="AH2118" s="449"/>
    </row>
    <row r="2119" ht="11.25" customHeight="1">
      <c r="A2119" s="450"/>
      <c r="B2119" s="451"/>
      <c r="C2119" s="452"/>
      <c r="D2119" s="452"/>
      <c r="E2119" s="453"/>
      <c r="F2119" s="453"/>
      <c r="G2119" s="454"/>
      <c r="H2119" s="454"/>
      <c r="I2119" s="455"/>
      <c r="J2119" s="456"/>
      <c r="K2119" s="457" t="s">
        <v>1416</v>
      </c>
      <c r="L2119" s="458"/>
      <c r="M2119" s="459"/>
      <c r="N2119" s="460"/>
      <c r="O2119" s="460"/>
      <c r="P2119" s="461"/>
      <c r="Q2119" s="458"/>
      <c r="R2119" s="459"/>
      <c r="S2119" s="459"/>
      <c r="T2119" s="459"/>
      <c r="U2119" s="459"/>
      <c r="V2119" s="459"/>
      <c r="W2119" s="459"/>
      <c r="X2119" s="459"/>
      <c r="Y2119" s="462">
        <f t="shared" si="17"/>
        <v>0</v>
      </c>
      <c r="Z2119" s="463"/>
      <c r="AA2119" s="464"/>
      <c r="AB2119" s="465"/>
      <c r="AC2119" s="465"/>
      <c r="AD2119" s="465"/>
      <c r="AE2119" s="466"/>
      <c r="AF2119" s="449"/>
      <c r="AG2119" s="449"/>
      <c r="AH2119" s="449"/>
    </row>
    <row r="2120" ht="11.25" customHeight="1">
      <c r="A2120" s="450"/>
      <c r="B2120" s="451"/>
      <c r="C2120" s="452"/>
      <c r="D2120" s="452"/>
      <c r="E2120" s="453"/>
      <c r="F2120" s="453"/>
      <c r="G2120" s="454"/>
      <c r="H2120" s="454"/>
      <c r="I2120" s="455"/>
      <c r="J2120" s="456"/>
      <c r="K2120" s="467" t="s">
        <v>1417</v>
      </c>
      <c r="L2120" s="468"/>
      <c r="M2120" s="469"/>
      <c r="N2120" s="470"/>
      <c r="O2120" s="470"/>
      <c r="P2120" s="471"/>
      <c r="Q2120" s="468"/>
      <c r="R2120" s="469"/>
      <c r="S2120" s="469"/>
      <c r="T2120" s="469"/>
      <c r="U2120" s="469"/>
      <c r="V2120" s="469"/>
      <c r="W2120" s="469"/>
      <c r="X2120" s="469"/>
      <c r="Y2120" s="462">
        <f t="shared" si="17"/>
        <v>0</v>
      </c>
      <c r="Z2120" s="463"/>
      <c r="AA2120" s="464"/>
      <c r="AB2120" s="465"/>
      <c r="AC2120" s="465"/>
      <c r="AD2120" s="465"/>
      <c r="AE2120" s="466"/>
      <c r="AF2120" s="449"/>
      <c r="AG2120" s="449"/>
      <c r="AH2120" s="449"/>
    </row>
    <row r="2121" ht="11.25" customHeight="1">
      <c r="A2121" s="450"/>
      <c r="B2121" s="472"/>
      <c r="C2121" s="473"/>
      <c r="D2121" s="473"/>
      <c r="E2121" s="474"/>
      <c r="F2121" s="474"/>
      <c r="G2121" s="475"/>
      <c r="H2121" s="475"/>
      <c r="I2121" s="476"/>
      <c r="J2121" s="477"/>
      <c r="K2121" s="478" t="s">
        <v>1418</v>
      </c>
      <c r="L2121" s="479"/>
      <c r="M2121" s="480"/>
      <c r="N2121" s="481"/>
      <c r="O2121" s="481"/>
      <c r="P2121" s="482"/>
      <c r="Q2121" s="479"/>
      <c r="R2121" s="480"/>
      <c r="S2121" s="480"/>
      <c r="T2121" s="480"/>
      <c r="U2121" s="480"/>
      <c r="V2121" s="480"/>
      <c r="W2121" s="480"/>
      <c r="X2121" s="480"/>
      <c r="Y2121" s="483">
        <f t="shared" si="17"/>
        <v>0</v>
      </c>
      <c r="Z2121" s="484"/>
      <c r="AA2121" s="485"/>
      <c r="AB2121" s="486"/>
      <c r="AC2121" s="486"/>
      <c r="AD2121" s="486"/>
      <c r="AE2121" s="487"/>
      <c r="AF2121" s="449"/>
      <c r="AG2121" s="449"/>
      <c r="AH2121" s="449"/>
    </row>
    <row r="2122" ht="11.25" customHeight="1">
      <c r="A2122" s="431" t="str">
        <f>IF(B2122="","", YEAR(B2122))</f>
        <v/>
      </c>
      <c r="B2122" s="432"/>
      <c r="C2122" s="433"/>
      <c r="D2122" s="433"/>
      <c r="E2122" s="434" t="str">
        <f t="shared" ref="E2122:I2122" si="1068">IFERROR(AVERAGE(L2122:L2125),"")</f>
        <v/>
      </c>
      <c r="F2122" s="434" t="str">
        <f t="shared" si="1068"/>
        <v/>
      </c>
      <c r="G2122" s="435" t="str">
        <f t="shared" si="1068"/>
        <v/>
      </c>
      <c r="H2122" s="435" t="str">
        <f t="shared" si="1068"/>
        <v/>
      </c>
      <c r="I2122" s="436" t="str">
        <f t="shared" si="1068"/>
        <v/>
      </c>
      <c r="J2122" s="437">
        <f>SUMIFS(PRODUCTION[KG],PRODUCTION[GRADE],"3X50",PRODUCTION[DATE],B2122,PRODUCTION[BATCH],C2122,PRODUCTION[SHIFT],D2122)</f>
        <v>0</v>
      </c>
      <c r="K2122" s="438" t="s">
        <v>1414</v>
      </c>
      <c r="L2122" s="443"/>
      <c r="M2122" s="440"/>
      <c r="N2122" s="441"/>
      <c r="O2122" s="441"/>
      <c r="P2122" s="442"/>
      <c r="Q2122" s="443"/>
      <c r="R2122" s="440"/>
      <c r="S2122" s="440"/>
      <c r="T2122" s="440"/>
      <c r="U2122" s="440"/>
      <c r="V2122" s="440"/>
      <c r="W2122" s="440"/>
      <c r="X2122" s="440"/>
      <c r="Y2122" s="444">
        <f t="shared" si="17"/>
        <v>0</v>
      </c>
      <c r="Z2122" s="445"/>
      <c r="AA2122" s="446">
        <f t="shared" ref="AA2122:AE2122" si="1069">$J2122*E2122</f>
        <v>0</v>
      </c>
      <c r="AB2122" s="447">
        <f t="shared" si="1069"/>
        <v>0</v>
      </c>
      <c r="AC2122" s="447">
        <f t="shared" si="1069"/>
        <v>0</v>
      </c>
      <c r="AD2122" s="447">
        <f t="shared" si="1069"/>
        <v>0</v>
      </c>
      <c r="AE2122" s="448">
        <f t="shared" si="1069"/>
        <v>0</v>
      </c>
      <c r="AF2122" s="449"/>
      <c r="AG2122" s="449"/>
      <c r="AH2122" s="449"/>
    </row>
    <row r="2123" ht="11.25" customHeight="1">
      <c r="A2123" s="450"/>
      <c r="B2123" s="451"/>
      <c r="C2123" s="452"/>
      <c r="D2123" s="452"/>
      <c r="E2123" s="453"/>
      <c r="F2123" s="453"/>
      <c r="G2123" s="454"/>
      <c r="H2123" s="454"/>
      <c r="I2123" s="455"/>
      <c r="J2123" s="456"/>
      <c r="K2123" s="457" t="s">
        <v>1416</v>
      </c>
      <c r="L2123" s="458"/>
      <c r="M2123" s="459"/>
      <c r="N2123" s="460"/>
      <c r="O2123" s="460"/>
      <c r="P2123" s="461"/>
      <c r="Q2123" s="458"/>
      <c r="R2123" s="459"/>
      <c r="S2123" s="459"/>
      <c r="T2123" s="459"/>
      <c r="U2123" s="459"/>
      <c r="V2123" s="459"/>
      <c r="W2123" s="459"/>
      <c r="X2123" s="459"/>
      <c r="Y2123" s="462">
        <f t="shared" si="17"/>
        <v>0</v>
      </c>
      <c r="Z2123" s="463"/>
      <c r="AA2123" s="464"/>
      <c r="AB2123" s="465"/>
      <c r="AC2123" s="465"/>
      <c r="AD2123" s="465"/>
      <c r="AE2123" s="466"/>
      <c r="AF2123" s="449"/>
      <c r="AG2123" s="449"/>
      <c r="AH2123" s="449"/>
    </row>
    <row r="2124" ht="11.25" customHeight="1">
      <c r="A2124" s="450"/>
      <c r="B2124" s="451"/>
      <c r="C2124" s="452"/>
      <c r="D2124" s="452"/>
      <c r="E2124" s="453"/>
      <c r="F2124" s="453"/>
      <c r="G2124" s="454"/>
      <c r="H2124" s="454"/>
      <c r="I2124" s="455"/>
      <c r="J2124" s="456"/>
      <c r="K2124" s="467" t="s">
        <v>1417</v>
      </c>
      <c r="L2124" s="468"/>
      <c r="M2124" s="469"/>
      <c r="N2124" s="470"/>
      <c r="O2124" s="470"/>
      <c r="P2124" s="471"/>
      <c r="Q2124" s="468"/>
      <c r="R2124" s="469"/>
      <c r="S2124" s="469"/>
      <c r="T2124" s="469"/>
      <c r="U2124" s="469"/>
      <c r="V2124" s="469"/>
      <c r="W2124" s="469"/>
      <c r="X2124" s="469"/>
      <c r="Y2124" s="462">
        <f t="shared" si="17"/>
        <v>0</v>
      </c>
      <c r="Z2124" s="463"/>
      <c r="AA2124" s="464"/>
      <c r="AB2124" s="465"/>
      <c r="AC2124" s="465"/>
      <c r="AD2124" s="465"/>
      <c r="AE2124" s="466"/>
      <c r="AF2124" s="449"/>
      <c r="AG2124" s="449"/>
      <c r="AH2124" s="449"/>
    </row>
    <row r="2125" ht="11.25" customHeight="1">
      <c r="A2125" s="450"/>
      <c r="B2125" s="472"/>
      <c r="C2125" s="473"/>
      <c r="D2125" s="473"/>
      <c r="E2125" s="474"/>
      <c r="F2125" s="474"/>
      <c r="G2125" s="475"/>
      <c r="H2125" s="475"/>
      <c r="I2125" s="476"/>
      <c r="J2125" s="477"/>
      <c r="K2125" s="478" t="s">
        <v>1418</v>
      </c>
      <c r="L2125" s="479"/>
      <c r="M2125" s="480"/>
      <c r="N2125" s="481"/>
      <c r="O2125" s="481"/>
      <c r="P2125" s="482"/>
      <c r="Q2125" s="479"/>
      <c r="R2125" s="480"/>
      <c r="S2125" s="480"/>
      <c r="T2125" s="480"/>
      <c r="U2125" s="480"/>
      <c r="V2125" s="480"/>
      <c r="W2125" s="480"/>
      <c r="X2125" s="480"/>
      <c r="Y2125" s="483">
        <f t="shared" si="17"/>
        <v>0</v>
      </c>
      <c r="Z2125" s="484"/>
      <c r="AA2125" s="485"/>
      <c r="AB2125" s="486"/>
      <c r="AC2125" s="486"/>
      <c r="AD2125" s="486"/>
      <c r="AE2125" s="487"/>
      <c r="AF2125" s="449"/>
      <c r="AG2125" s="449"/>
      <c r="AH2125" s="449"/>
    </row>
    <row r="2126" ht="11.25" customHeight="1">
      <c r="A2126" s="431" t="str">
        <f>IF(B2126="","", YEAR(B2126))</f>
        <v/>
      </c>
      <c r="B2126" s="432"/>
      <c r="C2126" s="433"/>
      <c r="D2126" s="433"/>
      <c r="E2126" s="434" t="str">
        <f t="shared" ref="E2126:I2126" si="1070">IFERROR(AVERAGE(L2126:L2129),"")</f>
        <v/>
      </c>
      <c r="F2126" s="434" t="str">
        <f t="shared" si="1070"/>
        <v/>
      </c>
      <c r="G2126" s="435" t="str">
        <f t="shared" si="1070"/>
        <v/>
      </c>
      <c r="H2126" s="435" t="str">
        <f t="shared" si="1070"/>
        <v/>
      </c>
      <c r="I2126" s="436" t="str">
        <f t="shared" si="1070"/>
        <v/>
      </c>
      <c r="J2126" s="437">
        <f>SUMIFS(PRODUCTION[KG],PRODUCTION[GRADE],"3X50",PRODUCTION[DATE],B2126,PRODUCTION[BATCH],C2126,PRODUCTION[SHIFT],D2126)</f>
        <v>0</v>
      </c>
      <c r="K2126" s="438" t="s">
        <v>1414</v>
      </c>
      <c r="L2126" s="443"/>
      <c r="M2126" s="440"/>
      <c r="N2126" s="441"/>
      <c r="O2126" s="441"/>
      <c r="P2126" s="442"/>
      <c r="Q2126" s="443"/>
      <c r="R2126" s="440"/>
      <c r="S2126" s="440"/>
      <c r="T2126" s="440"/>
      <c r="U2126" s="440"/>
      <c r="V2126" s="440"/>
      <c r="W2126" s="440"/>
      <c r="X2126" s="440"/>
      <c r="Y2126" s="444">
        <f t="shared" si="17"/>
        <v>0</v>
      </c>
      <c r="Z2126" s="445"/>
      <c r="AA2126" s="446">
        <f t="shared" ref="AA2126:AE2126" si="1071">$J2126*E2126</f>
        <v>0</v>
      </c>
      <c r="AB2126" s="447">
        <f t="shared" si="1071"/>
        <v>0</v>
      </c>
      <c r="AC2126" s="447">
        <f t="shared" si="1071"/>
        <v>0</v>
      </c>
      <c r="AD2126" s="447">
        <f t="shared" si="1071"/>
        <v>0</v>
      </c>
      <c r="AE2126" s="448">
        <f t="shared" si="1071"/>
        <v>0</v>
      </c>
      <c r="AF2126" s="449"/>
      <c r="AG2126" s="449"/>
      <c r="AH2126" s="449"/>
    </row>
    <row r="2127" ht="11.25" customHeight="1">
      <c r="A2127" s="450"/>
      <c r="B2127" s="451"/>
      <c r="C2127" s="452"/>
      <c r="D2127" s="452"/>
      <c r="E2127" s="453"/>
      <c r="F2127" s="453"/>
      <c r="G2127" s="454"/>
      <c r="H2127" s="454"/>
      <c r="I2127" s="455"/>
      <c r="J2127" s="456"/>
      <c r="K2127" s="457" t="s">
        <v>1416</v>
      </c>
      <c r="L2127" s="458"/>
      <c r="M2127" s="459"/>
      <c r="N2127" s="460"/>
      <c r="O2127" s="460"/>
      <c r="P2127" s="461"/>
      <c r="Q2127" s="458"/>
      <c r="R2127" s="459"/>
      <c r="S2127" s="459"/>
      <c r="T2127" s="459"/>
      <c r="U2127" s="459"/>
      <c r="V2127" s="459"/>
      <c r="W2127" s="459"/>
      <c r="X2127" s="459"/>
      <c r="Y2127" s="462">
        <f t="shared" si="17"/>
        <v>0</v>
      </c>
      <c r="Z2127" s="463"/>
      <c r="AA2127" s="464"/>
      <c r="AB2127" s="465"/>
      <c r="AC2127" s="465"/>
      <c r="AD2127" s="465"/>
      <c r="AE2127" s="466"/>
      <c r="AF2127" s="449"/>
      <c r="AG2127" s="449"/>
      <c r="AH2127" s="449"/>
    </row>
    <row r="2128" ht="11.25" customHeight="1">
      <c r="A2128" s="450"/>
      <c r="B2128" s="451"/>
      <c r="C2128" s="452"/>
      <c r="D2128" s="452"/>
      <c r="E2128" s="453"/>
      <c r="F2128" s="453"/>
      <c r="G2128" s="454"/>
      <c r="H2128" s="454"/>
      <c r="I2128" s="455"/>
      <c r="J2128" s="456"/>
      <c r="K2128" s="467" t="s">
        <v>1417</v>
      </c>
      <c r="L2128" s="468"/>
      <c r="M2128" s="469"/>
      <c r="N2128" s="470"/>
      <c r="O2128" s="470"/>
      <c r="P2128" s="471"/>
      <c r="Q2128" s="468"/>
      <c r="R2128" s="469"/>
      <c r="S2128" s="469"/>
      <c r="T2128" s="469"/>
      <c r="U2128" s="469"/>
      <c r="V2128" s="469"/>
      <c r="W2128" s="469"/>
      <c r="X2128" s="469"/>
      <c r="Y2128" s="462">
        <f t="shared" si="17"/>
        <v>0</v>
      </c>
      <c r="Z2128" s="463"/>
      <c r="AA2128" s="464"/>
      <c r="AB2128" s="465"/>
      <c r="AC2128" s="465"/>
      <c r="AD2128" s="465"/>
      <c r="AE2128" s="466"/>
      <c r="AF2128" s="449"/>
      <c r="AG2128" s="449"/>
      <c r="AH2128" s="449"/>
    </row>
    <row r="2129" ht="11.25" customHeight="1">
      <c r="A2129" s="450"/>
      <c r="B2129" s="472"/>
      <c r="C2129" s="473"/>
      <c r="D2129" s="473"/>
      <c r="E2129" s="474"/>
      <c r="F2129" s="474"/>
      <c r="G2129" s="475"/>
      <c r="H2129" s="475"/>
      <c r="I2129" s="476"/>
      <c r="J2129" s="477"/>
      <c r="K2129" s="478" t="s">
        <v>1418</v>
      </c>
      <c r="L2129" s="479"/>
      <c r="M2129" s="480"/>
      <c r="N2129" s="481"/>
      <c r="O2129" s="481"/>
      <c r="P2129" s="482"/>
      <c r="Q2129" s="479"/>
      <c r="R2129" s="480"/>
      <c r="S2129" s="480"/>
      <c r="T2129" s="480"/>
      <c r="U2129" s="480"/>
      <c r="V2129" s="480"/>
      <c r="W2129" s="480"/>
      <c r="X2129" s="480"/>
      <c r="Y2129" s="483">
        <f t="shared" si="17"/>
        <v>0</v>
      </c>
      <c r="Z2129" s="484"/>
      <c r="AA2129" s="485"/>
      <c r="AB2129" s="486"/>
      <c r="AC2129" s="486"/>
      <c r="AD2129" s="486"/>
      <c r="AE2129" s="487"/>
      <c r="AF2129" s="449"/>
      <c r="AG2129" s="449"/>
      <c r="AH2129" s="449"/>
    </row>
    <row r="2130" ht="11.25" customHeight="1">
      <c r="A2130" s="431" t="str">
        <f>IF(B2130="","", YEAR(B2130))</f>
        <v/>
      </c>
      <c r="B2130" s="432"/>
      <c r="C2130" s="433"/>
      <c r="D2130" s="433"/>
      <c r="E2130" s="434" t="str">
        <f t="shared" ref="E2130:I2130" si="1072">IFERROR(AVERAGE(L2130:L2133),"")</f>
        <v/>
      </c>
      <c r="F2130" s="434" t="str">
        <f t="shared" si="1072"/>
        <v/>
      </c>
      <c r="G2130" s="435" t="str">
        <f t="shared" si="1072"/>
        <v/>
      </c>
      <c r="H2130" s="435" t="str">
        <f t="shared" si="1072"/>
        <v/>
      </c>
      <c r="I2130" s="436" t="str">
        <f t="shared" si="1072"/>
        <v/>
      </c>
      <c r="J2130" s="437">
        <f>SUMIFS(PRODUCTION[KG],PRODUCTION[GRADE],"3X50",PRODUCTION[DATE],B2130,PRODUCTION[BATCH],C2130,PRODUCTION[SHIFT],D2130)</f>
        <v>0</v>
      </c>
      <c r="K2130" s="438" t="s">
        <v>1414</v>
      </c>
      <c r="L2130" s="443"/>
      <c r="M2130" s="440"/>
      <c r="N2130" s="441"/>
      <c r="O2130" s="441"/>
      <c r="P2130" s="442"/>
      <c r="Q2130" s="443"/>
      <c r="R2130" s="440"/>
      <c r="S2130" s="440"/>
      <c r="T2130" s="440"/>
      <c r="U2130" s="440"/>
      <c r="V2130" s="440"/>
      <c r="W2130" s="440"/>
      <c r="X2130" s="440"/>
      <c r="Y2130" s="444">
        <f t="shared" si="17"/>
        <v>0</v>
      </c>
      <c r="Z2130" s="445"/>
      <c r="AA2130" s="446">
        <f t="shared" ref="AA2130:AE2130" si="1073">$J2130*E2130</f>
        <v>0</v>
      </c>
      <c r="AB2130" s="447">
        <f t="shared" si="1073"/>
        <v>0</v>
      </c>
      <c r="AC2130" s="447">
        <f t="shared" si="1073"/>
        <v>0</v>
      </c>
      <c r="AD2130" s="447">
        <f t="shared" si="1073"/>
        <v>0</v>
      </c>
      <c r="AE2130" s="448">
        <f t="shared" si="1073"/>
        <v>0</v>
      </c>
      <c r="AF2130" s="449"/>
      <c r="AG2130" s="449"/>
      <c r="AH2130" s="449"/>
    </row>
    <row r="2131" ht="11.25" customHeight="1">
      <c r="A2131" s="450"/>
      <c r="B2131" s="451"/>
      <c r="C2131" s="452"/>
      <c r="D2131" s="452"/>
      <c r="E2131" s="453"/>
      <c r="F2131" s="453"/>
      <c r="G2131" s="454"/>
      <c r="H2131" s="454"/>
      <c r="I2131" s="455"/>
      <c r="J2131" s="456"/>
      <c r="K2131" s="457" t="s">
        <v>1416</v>
      </c>
      <c r="L2131" s="458"/>
      <c r="M2131" s="459"/>
      <c r="N2131" s="460"/>
      <c r="O2131" s="460"/>
      <c r="P2131" s="461"/>
      <c r="Q2131" s="458"/>
      <c r="R2131" s="459"/>
      <c r="S2131" s="459"/>
      <c r="T2131" s="459"/>
      <c r="U2131" s="459"/>
      <c r="V2131" s="459"/>
      <c r="W2131" s="459"/>
      <c r="X2131" s="459"/>
      <c r="Y2131" s="462">
        <f t="shared" si="17"/>
        <v>0</v>
      </c>
      <c r="Z2131" s="463"/>
      <c r="AA2131" s="464"/>
      <c r="AB2131" s="465"/>
      <c r="AC2131" s="465"/>
      <c r="AD2131" s="465"/>
      <c r="AE2131" s="466"/>
      <c r="AF2131" s="449"/>
      <c r="AG2131" s="449"/>
      <c r="AH2131" s="449"/>
    </row>
    <row r="2132" ht="11.25" customHeight="1">
      <c r="A2132" s="450"/>
      <c r="B2132" s="451"/>
      <c r="C2132" s="452"/>
      <c r="D2132" s="452"/>
      <c r="E2132" s="453"/>
      <c r="F2132" s="453"/>
      <c r="G2132" s="454"/>
      <c r="H2132" s="454"/>
      <c r="I2132" s="455"/>
      <c r="J2132" s="456"/>
      <c r="K2132" s="467" t="s">
        <v>1417</v>
      </c>
      <c r="L2132" s="468"/>
      <c r="M2132" s="469"/>
      <c r="N2132" s="470"/>
      <c r="O2132" s="470"/>
      <c r="P2132" s="471"/>
      <c r="Q2132" s="468"/>
      <c r="R2132" s="469"/>
      <c r="S2132" s="469"/>
      <c r="T2132" s="469"/>
      <c r="U2132" s="469"/>
      <c r="V2132" s="469"/>
      <c r="W2132" s="469"/>
      <c r="X2132" s="469"/>
      <c r="Y2132" s="462">
        <f t="shared" si="17"/>
        <v>0</v>
      </c>
      <c r="Z2132" s="463"/>
      <c r="AA2132" s="464"/>
      <c r="AB2132" s="465"/>
      <c r="AC2132" s="465"/>
      <c r="AD2132" s="465"/>
      <c r="AE2132" s="466"/>
      <c r="AF2132" s="449"/>
      <c r="AG2132" s="449"/>
      <c r="AH2132" s="449"/>
    </row>
    <row r="2133" ht="11.25" customHeight="1">
      <c r="A2133" s="450"/>
      <c r="B2133" s="472"/>
      <c r="C2133" s="473"/>
      <c r="D2133" s="473"/>
      <c r="E2133" s="474"/>
      <c r="F2133" s="474"/>
      <c r="G2133" s="475"/>
      <c r="H2133" s="475"/>
      <c r="I2133" s="476"/>
      <c r="J2133" s="477"/>
      <c r="K2133" s="478" t="s">
        <v>1418</v>
      </c>
      <c r="L2133" s="479"/>
      <c r="M2133" s="480"/>
      <c r="N2133" s="481"/>
      <c r="O2133" s="481"/>
      <c r="P2133" s="482"/>
      <c r="Q2133" s="479"/>
      <c r="R2133" s="480"/>
      <c r="S2133" s="480"/>
      <c r="T2133" s="480"/>
      <c r="U2133" s="480"/>
      <c r="V2133" s="480"/>
      <c r="W2133" s="480"/>
      <c r="X2133" s="480"/>
      <c r="Y2133" s="483">
        <f t="shared" si="17"/>
        <v>0</v>
      </c>
      <c r="Z2133" s="484"/>
      <c r="AA2133" s="485"/>
      <c r="AB2133" s="486"/>
      <c r="AC2133" s="486"/>
      <c r="AD2133" s="486"/>
      <c r="AE2133" s="487"/>
      <c r="AF2133" s="449"/>
      <c r="AG2133" s="449"/>
      <c r="AH2133" s="449"/>
    </row>
    <row r="2134" ht="11.25" customHeight="1">
      <c r="A2134" s="431" t="str">
        <f>IF(B2134="","", YEAR(B2134))</f>
        <v/>
      </c>
      <c r="B2134" s="432"/>
      <c r="C2134" s="433"/>
      <c r="D2134" s="433"/>
      <c r="E2134" s="434" t="str">
        <f t="shared" ref="E2134:I2134" si="1074">IFERROR(AVERAGE(L2134:L2137),"")</f>
        <v/>
      </c>
      <c r="F2134" s="434" t="str">
        <f t="shared" si="1074"/>
        <v/>
      </c>
      <c r="G2134" s="435" t="str">
        <f t="shared" si="1074"/>
        <v/>
      </c>
      <c r="H2134" s="435" t="str">
        <f t="shared" si="1074"/>
        <v/>
      </c>
      <c r="I2134" s="436" t="str">
        <f t="shared" si="1074"/>
        <v/>
      </c>
      <c r="J2134" s="437">
        <f>SUMIFS(PRODUCTION[KG],PRODUCTION[GRADE],"3X50",PRODUCTION[DATE],B2134,PRODUCTION[BATCH],C2134,PRODUCTION[SHIFT],D2134)</f>
        <v>0</v>
      </c>
      <c r="K2134" s="438" t="s">
        <v>1414</v>
      </c>
      <c r="L2134" s="443"/>
      <c r="M2134" s="440"/>
      <c r="N2134" s="441"/>
      <c r="O2134" s="441"/>
      <c r="P2134" s="442"/>
      <c r="Q2134" s="443"/>
      <c r="R2134" s="440"/>
      <c r="S2134" s="440"/>
      <c r="T2134" s="440"/>
      <c r="U2134" s="440"/>
      <c r="V2134" s="440"/>
      <c r="W2134" s="440"/>
      <c r="X2134" s="440"/>
      <c r="Y2134" s="444">
        <f t="shared" si="17"/>
        <v>0</v>
      </c>
      <c r="Z2134" s="445"/>
      <c r="AA2134" s="446">
        <f t="shared" ref="AA2134:AE2134" si="1075">$J2134*E2134</f>
        <v>0</v>
      </c>
      <c r="AB2134" s="447">
        <f t="shared" si="1075"/>
        <v>0</v>
      </c>
      <c r="AC2134" s="447">
        <f t="shared" si="1075"/>
        <v>0</v>
      </c>
      <c r="AD2134" s="447">
        <f t="shared" si="1075"/>
        <v>0</v>
      </c>
      <c r="AE2134" s="448">
        <f t="shared" si="1075"/>
        <v>0</v>
      </c>
      <c r="AF2134" s="449"/>
      <c r="AG2134" s="449"/>
      <c r="AH2134" s="449"/>
    </row>
    <row r="2135" ht="11.25" customHeight="1">
      <c r="A2135" s="450"/>
      <c r="B2135" s="451"/>
      <c r="C2135" s="452"/>
      <c r="D2135" s="452"/>
      <c r="E2135" s="453"/>
      <c r="F2135" s="453"/>
      <c r="G2135" s="454"/>
      <c r="H2135" s="454"/>
      <c r="I2135" s="455"/>
      <c r="J2135" s="456"/>
      <c r="K2135" s="457" t="s">
        <v>1416</v>
      </c>
      <c r="L2135" s="458"/>
      <c r="M2135" s="459"/>
      <c r="N2135" s="460"/>
      <c r="O2135" s="460"/>
      <c r="P2135" s="461"/>
      <c r="Q2135" s="458"/>
      <c r="R2135" s="459"/>
      <c r="S2135" s="459"/>
      <c r="T2135" s="459"/>
      <c r="U2135" s="459"/>
      <c r="V2135" s="459"/>
      <c r="W2135" s="459"/>
      <c r="X2135" s="459"/>
      <c r="Y2135" s="462">
        <f t="shared" si="17"/>
        <v>0</v>
      </c>
      <c r="Z2135" s="463"/>
      <c r="AA2135" s="464"/>
      <c r="AB2135" s="465"/>
      <c r="AC2135" s="465"/>
      <c r="AD2135" s="465"/>
      <c r="AE2135" s="466"/>
      <c r="AF2135" s="449"/>
      <c r="AG2135" s="449"/>
      <c r="AH2135" s="449"/>
    </row>
    <row r="2136" ht="11.25" customHeight="1">
      <c r="A2136" s="450"/>
      <c r="B2136" s="451"/>
      <c r="C2136" s="452"/>
      <c r="D2136" s="452"/>
      <c r="E2136" s="453"/>
      <c r="F2136" s="453"/>
      <c r="G2136" s="454"/>
      <c r="H2136" s="454"/>
      <c r="I2136" s="455"/>
      <c r="J2136" s="456"/>
      <c r="K2136" s="467" t="s">
        <v>1417</v>
      </c>
      <c r="L2136" s="468"/>
      <c r="M2136" s="469"/>
      <c r="N2136" s="470"/>
      <c r="O2136" s="470"/>
      <c r="P2136" s="471"/>
      <c r="Q2136" s="468"/>
      <c r="R2136" s="469"/>
      <c r="S2136" s="469"/>
      <c r="T2136" s="469"/>
      <c r="U2136" s="469"/>
      <c r="V2136" s="469"/>
      <c r="W2136" s="469"/>
      <c r="X2136" s="469"/>
      <c r="Y2136" s="462">
        <f t="shared" si="17"/>
        <v>0</v>
      </c>
      <c r="Z2136" s="463"/>
      <c r="AA2136" s="464"/>
      <c r="AB2136" s="465"/>
      <c r="AC2136" s="465"/>
      <c r="AD2136" s="465"/>
      <c r="AE2136" s="466"/>
      <c r="AF2136" s="449"/>
      <c r="AG2136" s="449"/>
      <c r="AH2136" s="449"/>
    </row>
    <row r="2137" ht="11.25" customHeight="1">
      <c r="A2137" s="450"/>
      <c r="B2137" s="472"/>
      <c r="C2137" s="473"/>
      <c r="D2137" s="473"/>
      <c r="E2137" s="474"/>
      <c r="F2137" s="474"/>
      <c r="G2137" s="475"/>
      <c r="H2137" s="475"/>
      <c r="I2137" s="476"/>
      <c r="J2137" s="477"/>
      <c r="K2137" s="478" t="s">
        <v>1418</v>
      </c>
      <c r="L2137" s="479"/>
      <c r="M2137" s="480"/>
      <c r="N2137" s="481"/>
      <c r="O2137" s="481"/>
      <c r="P2137" s="482"/>
      <c r="Q2137" s="479"/>
      <c r="R2137" s="480"/>
      <c r="S2137" s="480"/>
      <c r="T2137" s="480"/>
      <c r="U2137" s="480"/>
      <c r="V2137" s="480"/>
      <c r="W2137" s="480"/>
      <c r="X2137" s="480"/>
      <c r="Y2137" s="483">
        <f t="shared" si="17"/>
        <v>0</v>
      </c>
      <c r="Z2137" s="484"/>
      <c r="AA2137" s="485"/>
      <c r="AB2137" s="486"/>
      <c r="AC2137" s="486"/>
      <c r="AD2137" s="486"/>
      <c r="AE2137" s="487"/>
      <c r="AF2137" s="449"/>
      <c r="AG2137" s="449"/>
      <c r="AH2137" s="449"/>
    </row>
    <row r="2138" ht="11.25" customHeight="1">
      <c r="A2138" s="431" t="str">
        <f>IF(B2138="","", YEAR(B2138))</f>
        <v/>
      </c>
      <c r="B2138" s="432"/>
      <c r="C2138" s="433"/>
      <c r="D2138" s="433"/>
      <c r="E2138" s="434" t="str">
        <f t="shared" ref="E2138:I2138" si="1076">IFERROR(AVERAGE(L2138:L2141),"")</f>
        <v/>
      </c>
      <c r="F2138" s="434" t="str">
        <f t="shared" si="1076"/>
        <v/>
      </c>
      <c r="G2138" s="435" t="str">
        <f t="shared" si="1076"/>
        <v/>
      </c>
      <c r="H2138" s="435" t="str">
        <f t="shared" si="1076"/>
        <v/>
      </c>
      <c r="I2138" s="436" t="str">
        <f t="shared" si="1076"/>
        <v/>
      </c>
      <c r="J2138" s="437">
        <f>SUMIFS(PRODUCTION[KG],PRODUCTION[GRADE],"3X50",PRODUCTION[DATE],B2138,PRODUCTION[BATCH],C2138,PRODUCTION[SHIFT],D2138)</f>
        <v>0</v>
      </c>
      <c r="K2138" s="438" t="s">
        <v>1414</v>
      </c>
      <c r="L2138" s="443"/>
      <c r="M2138" s="440"/>
      <c r="N2138" s="441"/>
      <c r="O2138" s="441"/>
      <c r="P2138" s="442"/>
      <c r="Q2138" s="443"/>
      <c r="R2138" s="440"/>
      <c r="S2138" s="440"/>
      <c r="T2138" s="440"/>
      <c r="U2138" s="440"/>
      <c r="V2138" s="440"/>
      <c r="W2138" s="440"/>
      <c r="X2138" s="440"/>
      <c r="Y2138" s="444">
        <f t="shared" si="17"/>
        <v>0</v>
      </c>
      <c r="Z2138" s="445"/>
      <c r="AA2138" s="446">
        <f t="shared" ref="AA2138:AE2138" si="1077">$J2138*E2138</f>
        <v>0</v>
      </c>
      <c r="AB2138" s="447">
        <f t="shared" si="1077"/>
        <v>0</v>
      </c>
      <c r="AC2138" s="447">
        <f t="shared" si="1077"/>
        <v>0</v>
      </c>
      <c r="AD2138" s="447">
        <f t="shared" si="1077"/>
        <v>0</v>
      </c>
      <c r="AE2138" s="448">
        <f t="shared" si="1077"/>
        <v>0</v>
      </c>
      <c r="AF2138" s="449"/>
      <c r="AG2138" s="449"/>
      <c r="AH2138" s="449"/>
    </row>
    <row r="2139" ht="11.25" customHeight="1">
      <c r="A2139" s="450"/>
      <c r="B2139" s="451"/>
      <c r="C2139" s="452"/>
      <c r="D2139" s="452"/>
      <c r="E2139" s="453"/>
      <c r="F2139" s="453"/>
      <c r="G2139" s="454"/>
      <c r="H2139" s="454"/>
      <c r="I2139" s="455"/>
      <c r="J2139" s="456"/>
      <c r="K2139" s="457" t="s">
        <v>1416</v>
      </c>
      <c r="L2139" s="458"/>
      <c r="M2139" s="459"/>
      <c r="N2139" s="460"/>
      <c r="O2139" s="460"/>
      <c r="P2139" s="461"/>
      <c r="Q2139" s="458"/>
      <c r="R2139" s="459"/>
      <c r="S2139" s="459"/>
      <c r="T2139" s="459"/>
      <c r="U2139" s="459"/>
      <c r="V2139" s="459"/>
      <c r="W2139" s="459"/>
      <c r="X2139" s="459"/>
      <c r="Y2139" s="462">
        <f t="shared" si="17"/>
        <v>0</v>
      </c>
      <c r="Z2139" s="463"/>
      <c r="AA2139" s="464"/>
      <c r="AB2139" s="465"/>
      <c r="AC2139" s="465"/>
      <c r="AD2139" s="465"/>
      <c r="AE2139" s="466"/>
      <c r="AF2139" s="449"/>
      <c r="AG2139" s="449"/>
      <c r="AH2139" s="449"/>
    </row>
    <row r="2140" ht="11.25" customHeight="1">
      <c r="A2140" s="450"/>
      <c r="B2140" s="451"/>
      <c r="C2140" s="452"/>
      <c r="D2140" s="452"/>
      <c r="E2140" s="453"/>
      <c r="F2140" s="453"/>
      <c r="G2140" s="454"/>
      <c r="H2140" s="454"/>
      <c r="I2140" s="455"/>
      <c r="J2140" s="456"/>
      <c r="K2140" s="467" t="s">
        <v>1417</v>
      </c>
      <c r="L2140" s="468"/>
      <c r="M2140" s="469"/>
      <c r="N2140" s="470"/>
      <c r="O2140" s="470"/>
      <c r="P2140" s="471"/>
      <c r="Q2140" s="468"/>
      <c r="R2140" s="469"/>
      <c r="S2140" s="469"/>
      <c r="T2140" s="469"/>
      <c r="U2140" s="469"/>
      <c r="V2140" s="469"/>
      <c r="W2140" s="469"/>
      <c r="X2140" s="469"/>
      <c r="Y2140" s="462">
        <f t="shared" si="17"/>
        <v>0</v>
      </c>
      <c r="Z2140" s="463"/>
      <c r="AA2140" s="464"/>
      <c r="AB2140" s="465"/>
      <c r="AC2140" s="465"/>
      <c r="AD2140" s="465"/>
      <c r="AE2140" s="466"/>
      <c r="AF2140" s="449"/>
      <c r="AG2140" s="449"/>
      <c r="AH2140" s="449"/>
    </row>
    <row r="2141" ht="11.25" customHeight="1">
      <c r="A2141" s="450"/>
      <c r="B2141" s="472"/>
      <c r="C2141" s="473"/>
      <c r="D2141" s="473"/>
      <c r="E2141" s="474"/>
      <c r="F2141" s="474"/>
      <c r="G2141" s="475"/>
      <c r="H2141" s="475"/>
      <c r="I2141" s="476"/>
      <c r="J2141" s="477"/>
      <c r="K2141" s="478" t="s">
        <v>1418</v>
      </c>
      <c r="L2141" s="479"/>
      <c r="M2141" s="480"/>
      <c r="N2141" s="481"/>
      <c r="O2141" s="481"/>
      <c r="P2141" s="482"/>
      <c r="Q2141" s="479"/>
      <c r="R2141" s="480"/>
      <c r="S2141" s="480"/>
      <c r="T2141" s="480"/>
      <c r="U2141" s="480"/>
      <c r="V2141" s="480"/>
      <c r="W2141" s="480"/>
      <c r="X2141" s="480"/>
      <c r="Y2141" s="483">
        <f t="shared" si="17"/>
        <v>0</v>
      </c>
      <c r="Z2141" s="484"/>
      <c r="AA2141" s="485"/>
      <c r="AB2141" s="486"/>
      <c r="AC2141" s="486"/>
      <c r="AD2141" s="486"/>
      <c r="AE2141" s="487"/>
      <c r="AF2141" s="449"/>
      <c r="AG2141" s="449"/>
      <c r="AH2141" s="449"/>
    </row>
    <row r="2142" ht="11.25" customHeight="1">
      <c r="A2142" s="431" t="str">
        <f>IF(B2142="","", YEAR(B2142))</f>
        <v/>
      </c>
      <c r="B2142" s="432"/>
      <c r="C2142" s="433"/>
      <c r="D2142" s="433"/>
      <c r="E2142" s="434" t="str">
        <f t="shared" ref="E2142:I2142" si="1078">IFERROR(AVERAGE(L2142:L2145),"")</f>
        <v/>
      </c>
      <c r="F2142" s="434" t="str">
        <f t="shared" si="1078"/>
        <v/>
      </c>
      <c r="G2142" s="435" t="str">
        <f t="shared" si="1078"/>
        <v/>
      </c>
      <c r="H2142" s="435" t="str">
        <f t="shared" si="1078"/>
        <v/>
      </c>
      <c r="I2142" s="436" t="str">
        <f t="shared" si="1078"/>
        <v/>
      </c>
      <c r="J2142" s="437">
        <f>SUMIFS(PRODUCTION[KG],PRODUCTION[GRADE],"3X50",PRODUCTION[DATE],B2142,PRODUCTION[BATCH],C2142,PRODUCTION[SHIFT],D2142)</f>
        <v>0</v>
      </c>
      <c r="K2142" s="438" t="s">
        <v>1414</v>
      </c>
      <c r="L2142" s="443"/>
      <c r="M2142" s="440"/>
      <c r="N2142" s="441"/>
      <c r="O2142" s="441"/>
      <c r="P2142" s="442"/>
      <c r="Q2142" s="443"/>
      <c r="R2142" s="440"/>
      <c r="S2142" s="440"/>
      <c r="T2142" s="440"/>
      <c r="U2142" s="440"/>
      <c r="V2142" s="440"/>
      <c r="W2142" s="440"/>
      <c r="X2142" s="440"/>
      <c r="Y2142" s="444">
        <f t="shared" si="17"/>
        <v>0</v>
      </c>
      <c r="Z2142" s="445"/>
      <c r="AA2142" s="446">
        <f t="shared" ref="AA2142:AE2142" si="1079">$J2142*E2142</f>
        <v>0</v>
      </c>
      <c r="AB2142" s="447">
        <f t="shared" si="1079"/>
        <v>0</v>
      </c>
      <c r="AC2142" s="447">
        <f t="shared" si="1079"/>
        <v>0</v>
      </c>
      <c r="AD2142" s="447">
        <f t="shared" si="1079"/>
        <v>0</v>
      </c>
      <c r="AE2142" s="448">
        <f t="shared" si="1079"/>
        <v>0</v>
      </c>
      <c r="AF2142" s="449"/>
      <c r="AG2142" s="449"/>
      <c r="AH2142" s="449"/>
    </row>
    <row r="2143" ht="11.25" customHeight="1">
      <c r="A2143" s="450"/>
      <c r="B2143" s="451"/>
      <c r="C2143" s="452"/>
      <c r="D2143" s="452"/>
      <c r="E2143" s="453"/>
      <c r="F2143" s="453"/>
      <c r="G2143" s="454"/>
      <c r="H2143" s="454"/>
      <c r="I2143" s="455"/>
      <c r="J2143" s="456"/>
      <c r="K2143" s="457" t="s">
        <v>1416</v>
      </c>
      <c r="L2143" s="458"/>
      <c r="M2143" s="459"/>
      <c r="N2143" s="460"/>
      <c r="O2143" s="460"/>
      <c r="P2143" s="461"/>
      <c r="Q2143" s="458"/>
      <c r="R2143" s="459"/>
      <c r="S2143" s="459"/>
      <c r="T2143" s="459"/>
      <c r="U2143" s="459"/>
      <c r="V2143" s="459"/>
      <c r="W2143" s="459"/>
      <c r="X2143" s="459"/>
      <c r="Y2143" s="462">
        <f t="shared" si="17"/>
        <v>0</v>
      </c>
      <c r="Z2143" s="463"/>
      <c r="AA2143" s="464"/>
      <c r="AB2143" s="465"/>
      <c r="AC2143" s="465"/>
      <c r="AD2143" s="465"/>
      <c r="AE2143" s="466"/>
      <c r="AF2143" s="449"/>
      <c r="AG2143" s="449"/>
      <c r="AH2143" s="449"/>
    </row>
    <row r="2144" ht="11.25" customHeight="1">
      <c r="A2144" s="450"/>
      <c r="B2144" s="451"/>
      <c r="C2144" s="452"/>
      <c r="D2144" s="452"/>
      <c r="E2144" s="453"/>
      <c r="F2144" s="453"/>
      <c r="G2144" s="454"/>
      <c r="H2144" s="454"/>
      <c r="I2144" s="455"/>
      <c r="J2144" s="456"/>
      <c r="K2144" s="467" t="s">
        <v>1417</v>
      </c>
      <c r="L2144" s="468"/>
      <c r="M2144" s="469"/>
      <c r="N2144" s="470"/>
      <c r="O2144" s="470"/>
      <c r="P2144" s="471"/>
      <c r="Q2144" s="468"/>
      <c r="R2144" s="469"/>
      <c r="S2144" s="469"/>
      <c r="T2144" s="469"/>
      <c r="U2144" s="469"/>
      <c r="V2144" s="469"/>
      <c r="W2144" s="469"/>
      <c r="X2144" s="469"/>
      <c r="Y2144" s="462">
        <f t="shared" si="17"/>
        <v>0</v>
      </c>
      <c r="Z2144" s="463"/>
      <c r="AA2144" s="464"/>
      <c r="AB2144" s="465"/>
      <c r="AC2144" s="465"/>
      <c r="AD2144" s="465"/>
      <c r="AE2144" s="466"/>
      <c r="AF2144" s="449"/>
      <c r="AG2144" s="449"/>
      <c r="AH2144" s="449"/>
    </row>
    <row r="2145" ht="11.25" customHeight="1">
      <c r="A2145" s="450"/>
      <c r="B2145" s="472"/>
      <c r="C2145" s="473"/>
      <c r="D2145" s="473"/>
      <c r="E2145" s="474"/>
      <c r="F2145" s="474"/>
      <c r="G2145" s="475"/>
      <c r="H2145" s="475"/>
      <c r="I2145" s="476"/>
      <c r="J2145" s="477"/>
      <c r="K2145" s="478" t="s">
        <v>1418</v>
      </c>
      <c r="L2145" s="479"/>
      <c r="M2145" s="480"/>
      <c r="N2145" s="481"/>
      <c r="O2145" s="481"/>
      <c r="P2145" s="482"/>
      <c r="Q2145" s="479"/>
      <c r="R2145" s="480"/>
      <c r="S2145" s="480"/>
      <c r="T2145" s="480"/>
      <c r="U2145" s="480"/>
      <c r="V2145" s="480"/>
      <c r="W2145" s="480"/>
      <c r="X2145" s="480"/>
      <c r="Y2145" s="483">
        <f t="shared" si="17"/>
        <v>0</v>
      </c>
      <c r="Z2145" s="484"/>
      <c r="AA2145" s="485"/>
      <c r="AB2145" s="486"/>
      <c r="AC2145" s="486"/>
      <c r="AD2145" s="486"/>
      <c r="AE2145" s="487"/>
      <c r="AF2145" s="449"/>
      <c r="AG2145" s="449"/>
      <c r="AH2145" s="449"/>
    </row>
    <row r="2146" ht="11.25" customHeight="1">
      <c r="A2146" s="431" t="str">
        <f>IF(B2146="","", YEAR(B2146))</f>
        <v/>
      </c>
      <c r="B2146" s="432"/>
      <c r="C2146" s="433"/>
      <c r="D2146" s="433"/>
      <c r="E2146" s="434" t="str">
        <f t="shared" ref="E2146:I2146" si="1080">IFERROR(AVERAGE(L2146:L2149),"")</f>
        <v/>
      </c>
      <c r="F2146" s="434" t="str">
        <f t="shared" si="1080"/>
        <v/>
      </c>
      <c r="G2146" s="435" t="str">
        <f t="shared" si="1080"/>
        <v/>
      </c>
      <c r="H2146" s="435" t="str">
        <f t="shared" si="1080"/>
        <v/>
      </c>
      <c r="I2146" s="436" t="str">
        <f t="shared" si="1080"/>
        <v/>
      </c>
      <c r="J2146" s="437">
        <f>SUMIFS(PRODUCTION[KG],PRODUCTION[GRADE],"3X50",PRODUCTION[DATE],B2146,PRODUCTION[BATCH],C2146,PRODUCTION[SHIFT],D2146)</f>
        <v>0</v>
      </c>
      <c r="K2146" s="438" t="s">
        <v>1414</v>
      </c>
      <c r="L2146" s="443"/>
      <c r="M2146" s="440"/>
      <c r="N2146" s="441"/>
      <c r="O2146" s="441"/>
      <c r="P2146" s="442"/>
      <c r="Q2146" s="443"/>
      <c r="R2146" s="440"/>
      <c r="S2146" s="440"/>
      <c r="T2146" s="440"/>
      <c r="U2146" s="440"/>
      <c r="V2146" s="440"/>
      <c r="W2146" s="440"/>
      <c r="X2146" s="440"/>
      <c r="Y2146" s="444">
        <f t="shared" si="17"/>
        <v>0</v>
      </c>
      <c r="Z2146" s="445"/>
      <c r="AA2146" s="446">
        <f t="shared" ref="AA2146:AE2146" si="1081">$J2146*E2146</f>
        <v>0</v>
      </c>
      <c r="AB2146" s="447">
        <f t="shared" si="1081"/>
        <v>0</v>
      </c>
      <c r="AC2146" s="447">
        <f t="shared" si="1081"/>
        <v>0</v>
      </c>
      <c r="AD2146" s="447">
        <f t="shared" si="1081"/>
        <v>0</v>
      </c>
      <c r="AE2146" s="448">
        <f t="shared" si="1081"/>
        <v>0</v>
      </c>
      <c r="AF2146" s="449"/>
      <c r="AG2146" s="449"/>
      <c r="AH2146" s="449"/>
    </row>
    <row r="2147" ht="11.25" customHeight="1">
      <c r="A2147" s="450"/>
      <c r="B2147" s="451"/>
      <c r="C2147" s="452"/>
      <c r="D2147" s="452"/>
      <c r="E2147" s="453"/>
      <c r="F2147" s="453"/>
      <c r="G2147" s="454"/>
      <c r="H2147" s="454"/>
      <c r="I2147" s="455"/>
      <c r="J2147" s="456"/>
      <c r="K2147" s="457" t="s">
        <v>1416</v>
      </c>
      <c r="L2147" s="458"/>
      <c r="M2147" s="459"/>
      <c r="N2147" s="460"/>
      <c r="O2147" s="460"/>
      <c r="P2147" s="461"/>
      <c r="Q2147" s="458"/>
      <c r="R2147" s="459"/>
      <c r="S2147" s="459"/>
      <c r="T2147" s="459"/>
      <c r="U2147" s="459"/>
      <c r="V2147" s="459"/>
      <c r="W2147" s="459"/>
      <c r="X2147" s="459"/>
      <c r="Y2147" s="462">
        <f t="shared" si="17"/>
        <v>0</v>
      </c>
      <c r="Z2147" s="463"/>
      <c r="AA2147" s="464"/>
      <c r="AB2147" s="465"/>
      <c r="AC2147" s="465"/>
      <c r="AD2147" s="465"/>
      <c r="AE2147" s="466"/>
      <c r="AF2147" s="449"/>
      <c r="AG2147" s="449"/>
      <c r="AH2147" s="449"/>
    </row>
    <row r="2148" ht="11.25" customHeight="1">
      <c r="A2148" s="450"/>
      <c r="B2148" s="451"/>
      <c r="C2148" s="452"/>
      <c r="D2148" s="452"/>
      <c r="E2148" s="453"/>
      <c r="F2148" s="453"/>
      <c r="G2148" s="454"/>
      <c r="H2148" s="454"/>
      <c r="I2148" s="455"/>
      <c r="J2148" s="456"/>
      <c r="K2148" s="467" t="s">
        <v>1417</v>
      </c>
      <c r="L2148" s="468"/>
      <c r="M2148" s="469"/>
      <c r="N2148" s="470"/>
      <c r="O2148" s="470"/>
      <c r="P2148" s="471"/>
      <c r="Q2148" s="468"/>
      <c r="R2148" s="469"/>
      <c r="S2148" s="469"/>
      <c r="T2148" s="469"/>
      <c r="U2148" s="469"/>
      <c r="V2148" s="469"/>
      <c r="W2148" s="469"/>
      <c r="X2148" s="469"/>
      <c r="Y2148" s="462">
        <f t="shared" si="17"/>
        <v>0</v>
      </c>
      <c r="Z2148" s="463"/>
      <c r="AA2148" s="464"/>
      <c r="AB2148" s="465"/>
      <c r="AC2148" s="465"/>
      <c r="AD2148" s="465"/>
      <c r="AE2148" s="466"/>
      <c r="AF2148" s="449"/>
      <c r="AG2148" s="449"/>
      <c r="AH2148" s="449"/>
    </row>
    <row r="2149" ht="11.25" customHeight="1">
      <c r="A2149" s="450"/>
      <c r="B2149" s="472"/>
      <c r="C2149" s="473"/>
      <c r="D2149" s="473"/>
      <c r="E2149" s="474"/>
      <c r="F2149" s="474"/>
      <c r="G2149" s="475"/>
      <c r="H2149" s="475"/>
      <c r="I2149" s="476"/>
      <c r="J2149" s="477"/>
      <c r="K2149" s="478" t="s">
        <v>1418</v>
      </c>
      <c r="L2149" s="479"/>
      <c r="M2149" s="480"/>
      <c r="N2149" s="481"/>
      <c r="O2149" s="481"/>
      <c r="P2149" s="482"/>
      <c r="Q2149" s="479"/>
      <c r="R2149" s="480"/>
      <c r="S2149" s="480"/>
      <c r="T2149" s="480"/>
      <c r="U2149" s="480"/>
      <c r="V2149" s="480"/>
      <c r="W2149" s="480"/>
      <c r="X2149" s="480"/>
      <c r="Y2149" s="483">
        <f t="shared" si="17"/>
        <v>0</v>
      </c>
      <c r="Z2149" s="484"/>
      <c r="AA2149" s="485"/>
      <c r="AB2149" s="486"/>
      <c r="AC2149" s="486"/>
      <c r="AD2149" s="486"/>
      <c r="AE2149" s="487"/>
      <c r="AF2149" s="449"/>
      <c r="AG2149" s="449"/>
      <c r="AH2149" s="449"/>
    </row>
    <row r="2150" ht="11.25" customHeight="1">
      <c r="A2150" s="431" t="str">
        <f>IF(B2150="","", YEAR(B2150))</f>
        <v/>
      </c>
      <c r="B2150" s="432"/>
      <c r="C2150" s="433"/>
      <c r="D2150" s="433"/>
      <c r="E2150" s="434" t="str">
        <f t="shared" ref="E2150:I2150" si="1082">IFERROR(AVERAGE(L2150:L2153),"")</f>
        <v/>
      </c>
      <c r="F2150" s="434" t="str">
        <f t="shared" si="1082"/>
        <v/>
      </c>
      <c r="G2150" s="435" t="str">
        <f t="shared" si="1082"/>
        <v/>
      </c>
      <c r="H2150" s="435" t="str">
        <f t="shared" si="1082"/>
        <v/>
      </c>
      <c r="I2150" s="436" t="str">
        <f t="shared" si="1082"/>
        <v/>
      </c>
      <c r="J2150" s="437">
        <f>SUMIFS(PRODUCTION[KG],PRODUCTION[GRADE],"3X50",PRODUCTION[DATE],B2150,PRODUCTION[BATCH],C2150,PRODUCTION[SHIFT],D2150)</f>
        <v>0</v>
      </c>
      <c r="K2150" s="438" t="s">
        <v>1414</v>
      </c>
      <c r="L2150" s="443"/>
      <c r="M2150" s="440"/>
      <c r="N2150" s="441"/>
      <c r="O2150" s="441"/>
      <c r="P2150" s="442"/>
      <c r="Q2150" s="443"/>
      <c r="R2150" s="440"/>
      <c r="S2150" s="440"/>
      <c r="T2150" s="440"/>
      <c r="U2150" s="440"/>
      <c r="V2150" s="440"/>
      <c r="W2150" s="440"/>
      <c r="X2150" s="440"/>
      <c r="Y2150" s="444">
        <f t="shared" si="17"/>
        <v>0</v>
      </c>
      <c r="Z2150" s="445"/>
      <c r="AA2150" s="446">
        <f t="shared" ref="AA2150:AE2150" si="1083">$J2150*E2150</f>
        <v>0</v>
      </c>
      <c r="AB2150" s="447">
        <f t="shared" si="1083"/>
        <v>0</v>
      </c>
      <c r="AC2150" s="447">
        <f t="shared" si="1083"/>
        <v>0</v>
      </c>
      <c r="AD2150" s="447">
        <f t="shared" si="1083"/>
        <v>0</v>
      </c>
      <c r="AE2150" s="448">
        <f t="shared" si="1083"/>
        <v>0</v>
      </c>
      <c r="AF2150" s="449"/>
      <c r="AG2150" s="449"/>
      <c r="AH2150" s="449"/>
    </row>
    <row r="2151" ht="11.25" customHeight="1">
      <c r="A2151" s="450"/>
      <c r="B2151" s="451"/>
      <c r="C2151" s="452"/>
      <c r="D2151" s="452"/>
      <c r="E2151" s="453"/>
      <c r="F2151" s="453"/>
      <c r="G2151" s="454"/>
      <c r="H2151" s="454"/>
      <c r="I2151" s="455"/>
      <c r="J2151" s="456"/>
      <c r="K2151" s="457" t="s">
        <v>1416</v>
      </c>
      <c r="L2151" s="458"/>
      <c r="M2151" s="459"/>
      <c r="N2151" s="460"/>
      <c r="O2151" s="460"/>
      <c r="P2151" s="461"/>
      <c r="Q2151" s="458"/>
      <c r="R2151" s="459"/>
      <c r="S2151" s="459"/>
      <c r="T2151" s="459"/>
      <c r="U2151" s="459"/>
      <c r="V2151" s="459"/>
      <c r="W2151" s="459"/>
      <c r="X2151" s="459"/>
      <c r="Y2151" s="462">
        <f t="shared" si="17"/>
        <v>0</v>
      </c>
      <c r="Z2151" s="463"/>
      <c r="AA2151" s="464"/>
      <c r="AB2151" s="465"/>
      <c r="AC2151" s="465"/>
      <c r="AD2151" s="465"/>
      <c r="AE2151" s="466"/>
      <c r="AF2151" s="449"/>
      <c r="AG2151" s="449"/>
      <c r="AH2151" s="449"/>
    </row>
    <row r="2152" ht="11.25" customHeight="1">
      <c r="A2152" s="450"/>
      <c r="B2152" s="451"/>
      <c r="C2152" s="452"/>
      <c r="D2152" s="452"/>
      <c r="E2152" s="453"/>
      <c r="F2152" s="453"/>
      <c r="G2152" s="454"/>
      <c r="H2152" s="454"/>
      <c r="I2152" s="455"/>
      <c r="J2152" s="456"/>
      <c r="K2152" s="467" t="s">
        <v>1417</v>
      </c>
      <c r="L2152" s="468"/>
      <c r="M2152" s="469"/>
      <c r="N2152" s="470"/>
      <c r="O2152" s="470"/>
      <c r="P2152" s="471"/>
      <c r="Q2152" s="468"/>
      <c r="R2152" s="469"/>
      <c r="S2152" s="469"/>
      <c r="T2152" s="469"/>
      <c r="U2152" s="469"/>
      <c r="V2152" s="469"/>
      <c r="W2152" s="469"/>
      <c r="X2152" s="469"/>
      <c r="Y2152" s="462">
        <f t="shared" si="17"/>
        <v>0</v>
      </c>
      <c r="Z2152" s="463"/>
      <c r="AA2152" s="464"/>
      <c r="AB2152" s="465"/>
      <c r="AC2152" s="465"/>
      <c r="AD2152" s="465"/>
      <c r="AE2152" s="466"/>
      <c r="AF2152" s="449"/>
      <c r="AG2152" s="449"/>
      <c r="AH2152" s="449"/>
    </row>
    <row r="2153" ht="11.25" customHeight="1">
      <c r="A2153" s="450"/>
      <c r="B2153" s="472"/>
      <c r="C2153" s="473"/>
      <c r="D2153" s="473"/>
      <c r="E2153" s="474"/>
      <c r="F2153" s="474"/>
      <c r="G2153" s="475"/>
      <c r="H2153" s="475"/>
      <c r="I2153" s="476"/>
      <c r="J2153" s="477"/>
      <c r="K2153" s="478" t="s">
        <v>1418</v>
      </c>
      <c r="L2153" s="479"/>
      <c r="M2153" s="480"/>
      <c r="N2153" s="481"/>
      <c r="O2153" s="481"/>
      <c r="P2153" s="482"/>
      <c r="Q2153" s="479"/>
      <c r="R2153" s="480"/>
      <c r="S2153" s="480"/>
      <c r="T2153" s="480"/>
      <c r="U2153" s="480"/>
      <c r="V2153" s="480"/>
      <c r="W2153" s="480"/>
      <c r="X2153" s="480"/>
      <c r="Y2153" s="483">
        <f t="shared" si="17"/>
        <v>0</v>
      </c>
      <c r="Z2153" s="484"/>
      <c r="AA2153" s="485"/>
      <c r="AB2153" s="486"/>
      <c r="AC2153" s="486"/>
      <c r="AD2153" s="486"/>
      <c r="AE2153" s="487"/>
      <c r="AF2153" s="449"/>
      <c r="AG2153" s="449"/>
      <c r="AH2153" s="449"/>
    </row>
    <row r="2154" ht="11.25" customHeight="1">
      <c r="A2154" s="431" t="str">
        <f>IF(B2154="","", YEAR(B2154))</f>
        <v/>
      </c>
      <c r="B2154" s="432"/>
      <c r="C2154" s="433"/>
      <c r="D2154" s="433"/>
      <c r="E2154" s="434" t="str">
        <f t="shared" ref="E2154:I2154" si="1084">IFERROR(AVERAGE(L2154:L2157),"")</f>
        <v/>
      </c>
      <c r="F2154" s="434" t="str">
        <f t="shared" si="1084"/>
        <v/>
      </c>
      <c r="G2154" s="435" t="str">
        <f t="shared" si="1084"/>
        <v/>
      </c>
      <c r="H2154" s="435" t="str">
        <f t="shared" si="1084"/>
        <v/>
      </c>
      <c r="I2154" s="436" t="str">
        <f t="shared" si="1084"/>
        <v/>
      </c>
      <c r="J2154" s="437">
        <f>SUMIFS(PRODUCTION[KG],PRODUCTION[GRADE],"3X50",PRODUCTION[DATE],B2154,PRODUCTION[BATCH],C2154,PRODUCTION[SHIFT],D2154)</f>
        <v>0</v>
      </c>
      <c r="K2154" s="438" t="s">
        <v>1414</v>
      </c>
      <c r="L2154" s="443"/>
      <c r="M2154" s="440"/>
      <c r="N2154" s="441"/>
      <c r="O2154" s="441"/>
      <c r="P2154" s="442"/>
      <c r="Q2154" s="443"/>
      <c r="R2154" s="440"/>
      <c r="S2154" s="440"/>
      <c r="T2154" s="440"/>
      <c r="U2154" s="440"/>
      <c r="V2154" s="440"/>
      <c r="W2154" s="440"/>
      <c r="X2154" s="440"/>
      <c r="Y2154" s="444">
        <f t="shared" si="17"/>
        <v>0</v>
      </c>
      <c r="Z2154" s="445"/>
      <c r="AA2154" s="446">
        <f t="shared" ref="AA2154:AE2154" si="1085">$J2154*E2154</f>
        <v>0</v>
      </c>
      <c r="AB2154" s="447">
        <f t="shared" si="1085"/>
        <v>0</v>
      </c>
      <c r="AC2154" s="447">
        <f t="shared" si="1085"/>
        <v>0</v>
      </c>
      <c r="AD2154" s="447">
        <f t="shared" si="1085"/>
        <v>0</v>
      </c>
      <c r="AE2154" s="448">
        <f t="shared" si="1085"/>
        <v>0</v>
      </c>
      <c r="AF2154" s="449"/>
      <c r="AG2154" s="449"/>
      <c r="AH2154" s="449"/>
    </row>
    <row r="2155" ht="11.25" customHeight="1">
      <c r="A2155" s="450"/>
      <c r="B2155" s="451"/>
      <c r="C2155" s="452"/>
      <c r="D2155" s="452"/>
      <c r="E2155" s="453"/>
      <c r="F2155" s="453"/>
      <c r="G2155" s="454"/>
      <c r="H2155" s="454"/>
      <c r="I2155" s="455"/>
      <c r="J2155" s="456"/>
      <c r="K2155" s="457" t="s">
        <v>1416</v>
      </c>
      <c r="L2155" s="458"/>
      <c r="M2155" s="459"/>
      <c r="N2155" s="460"/>
      <c r="O2155" s="460"/>
      <c r="P2155" s="461"/>
      <c r="Q2155" s="458"/>
      <c r="R2155" s="459"/>
      <c r="S2155" s="459"/>
      <c r="T2155" s="459"/>
      <c r="U2155" s="459"/>
      <c r="V2155" s="459"/>
      <c r="W2155" s="459"/>
      <c r="X2155" s="459"/>
      <c r="Y2155" s="462">
        <f t="shared" si="17"/>
        <v>0</v>
      </c>
      <c r="Z2155" s="463"/>
      <c r="AA2155" s="464"/>
      <c r="AB2155" s="465"/>
      <c r="AC2155" s="465"/>
      <c r="AD2155" s="465"/>
      <c r="AE2155" s="466"/>
      <c r="AF2155" s="449"/>
      <c r="AG2155" s="449"/>
      <c r="AH2155" s="449"/>
    </row>
    <row r="2156" ht="11.25" customHeight="1">
      <c r="A2156" s="450"/>
      <c r="B2156" s="451"/>
      <c r="C2156" s="452"/>
      <c r="D2156" s="452"/>
      <c r="E2156" s="453"/>
      <c r="F2156" s="453"/>
      <c r="G2156" s="454"/>
      <c r="H2156" s="454"/>
      <c r="I2156" s="455"/>
      <c r="J2156" s="456"/>
      <c r="K2156" s="467" t="s">
        <v>1417</v>
      </c>
      <c r="L2156" s="468"/>
      <c r="M2156" s="469"/>
      <c r="N2156" s="470"/>
      <c r="O2156" s="470"/>
      <c r="P2156" s="471"/>
      <c r="Q2156" s="468"/>
      <c r="R2156" s="469"/>
      <c r="S2156" s="469"/>
      <c r="T2156" s="469"/>
      <c r="U2156" s="469"/>
      <c r="V2156" s="469"/>
      <c r="W2156" s="469"/>
      <c r="X2156" s="469"/>
      <c r="Y2156" s="462">
        <f t="shared" si="17"/>
        <v>0</v>
      </c>
      <c r="Z2156" s="463"/>
      <c r="AA2156" s="464"/>
      <c r="AB2156" s="465"/>
      <c r="AC2156" s="465"/>
      <c r="AD2156" s="465"/>
      <c r="AE2156" s="466"/>
      <c r="AF2156" s="449"/>
      <c r="AG2156" s="449"/>
      <c r="AH2156" s="449"/>
    </row>
    <row r="2157" ht="11.25" customHeight="1">
      <c r="A2157" s="450"/>
      <c r="B2157" s="472"/>
      <c r="C2157" s="473"/>
      <c r="D2157" s="473"/>
      <c r="E2157" s="474"/>
      <c r="F2157" s="474"/>
      <c r="G2157" s="475"/>
      <c r="H2157" s="475"/>
      <c r="I2157" s="476"/>
      <c r="J2157" s="477"/>
      <c r="K2157" s="478" t="s">
        <v>1418</v>
      </c>
      <c r="L2157" s="479"/>
      <c r="M2157" s="480"/>
      <c r="N2157" s="481"/>
      <c r="O2157" s="481"/>
      <c r="P2157" s="482"/>
      <c r="Q2157" s="479"/>
      <c r="R2157" s="480"/>
      <c r="S2157" s="480"/>
      <c r="T2157" s="480"/>
      <c r="U2157" s="480"/>
      <c r="V2157" s="480"/>
      <c r="W2157" s="480"/>
      <c r="X2157" s="480"/>
      <c r="Y2157" s="483">
        <f t="shared" si="17"/>
        <v>0</v>
      </c>
      <c r="Z2157" s="484"/>
      <c r="AA2157" s="485"/>
      <c r="AB2157" s="486"/>
      <c r="AC2157" s="486"/>
      <c r="AD2157" s="486"/>
      <c r="AE2157" s="487"/>
      <c r="AF2157" s="449"/>
      <c r="AG2157" s="449"/>
      <c r="AH2157" s="449"/>
    </row>
    <row r="2158" ht="11.25" customHeight="1">
      <c r="A2158" s="431" t="str">
        <f>IF(B2158="","", YEAR(B2158))</f>
        <v/>
      </c>
      <c r="B2158" s="432"/>
      <c r="C2158" s="433"/>
      <c r="D2158" s="433"/>
      <c r="E2158" s="434" t="str">
        <f t="shared" ref="E2158:I2158" si="1086">IFERROR(AVERAGE(L2158:L2161),"")</f>
        <v/>
      </c>
      <c r="F2158" s="434" t="str">
        <f t="shared" si="1086"/>
        <v/>
      </c>
      <c r="G2158" s="435" t="str">
        <f t="shared" si="1086"/>
        <v/>
      </c>
      <c r="H2158" s="435" t="str">
        <f t="shared" si="1086"/>
        <v/>
      </c>
      <c r="I2158" s="436" t="str">
        <f t="shared" si="1086"/>
        <v/>
      </c>
      <c r="J2158" s="437">
        <f>SUMIFS(PRODUCTION[KG],PRODUCTION[GRADE],"3X50",PRODUCTION[DATE],B2158,PRODUCTION[BATCH],C2158,PRODUCTION[SHIFT],D2158)</f>
        <v>0</v>
      </c>
      <c r="K2158" s="438" t="s">
        <v>1414</v>
      </c>
      <c r="L2158" s="443"/>
      <c r="M2158" s="440"/>
      <c r="N2158" s="441"/>
      <c r="O2158" s="441"/>
      <c r="P2158" s="442"/>
      <c r="Q2158" s="443"/>
      <c r="R2158" s="440"/>
      <c r="S2158" s="440"/>
      <c r="T2158" s="440"/>
      <c r="U2158" s="440"/>
      <c r="V2158" s="440"/>
      <c r="W2158" s="440"/>
      <c r="X2158" s="440"/>
      <c r="Y2158" s="444">
        <f t="shared" si="17"/>
        <v>0</v>
      </c>
      <c r="Z2158" s="445"/>
      <c r="AA2158" s="446">
        <f t="shared" ref="AA2158:AE2158" si="1087">$J2158*E2158</f>
        <v>0</v>
      </c>
      <c r="AB2158" s="447">
        <f t="shared" si="1087"/>
        <v>0</v>
      </c>
      <c r="AC2158" s="447">
        <f t="shared" si="1087"/>
        <v>0</v>
      </c>
      <c r="AD2158" s="447">
        <f t="shared" si="1087"/>
        <v>0</v>
      </c>
      <c r="AE2158" s="448">
        <f t="shared" si="1087"/>
        <v>0</v>
      </c>
      <c r="AF2158" s="449"/>
      <c r="AG2158" s="449"/>
      <c r="AH2158" s="449"/>
    </row>
    <row r="2159" ht="11.25" customHeight="1">
      <c r="A2159" s="450"/>
      <c r="B2159" s="451"/>
      <c r="C2159" s="452"/>
      <c r="D2159" s="452"/>
      <c r="E2159" s="453"/>
      <c r="F2159" s="453"/>
      <c r="G2159" s="454"/>
      <c r="H2159" s="454"/>
      <c r="I2159" s="455"/>
      <c r="J2159" s="456"/>
      <c r="K2159" s="457" t="s">
        <v>1416</v>
      </c>
      <c r="L2159" s="458"/>
      <c r="M2159" s="459"/>
      <c r="N2159" s="460"/>
      <c r="O2159" s="460"/>
      <c r="P2159" s="461"/>
      <c r="Q2159" s="458"/>
      <c r="R2159" s="459"/>
      <c r="S2159" s="459"/>
      <c r="T2159" s="459"/>
      <c r="U2159" s="459"/>
      <c r="V2159" s="459"/>
      <c r="W2159" s="459"/>
      <c r="X2159" s="459"/>
      <c r="Y2159" s="462">
        <f t="shared" si="17"/>
        <v>0</v>
      </c>
      <c r="Z2159" s="463"/>
      <c r="AA2159" s="464"/>
      <c r="AB2159" s="465"/>
      <c r="AC2159" s="465"/>
      <c r="AD2159" s="465"/>
      <c r="AE2159" s="466"/>
      <c r="AF2159" s="449"/>
      <c r="AG2159" s="449"/>
      <c r="AH2159" s="449"/>
    </row>
    <row r="2160" ht="11.25" customHeight="1">
      <c r="A2160" s="450"/>
      <c r="B2160" s="451"/>
      <c r="C2160" s="452"/>
      <c r="D2160" s="452"/>
      <c r="E2160" s="453"/>
      <c r="F2160" s="453"/>
      <c r="G2160" s="454"/>
      <c r="H2160" s="454"/>
      <c r="I2160" s="455"/>
      <c r="J2160" s="456"/>
      <c r="K2160" s="467" t="s">
        <v>1417</v>
      </c>
      <c r="L2160" s="468"/>
      <c r="M2160" s="469"/>
      <c r="N2160" s="470"/>
      <c r="O2160" s="470"/>
      <c r="P2160" s="471"/>
      <c r="Q2160" s="468"/>
      <c r="R2160" s="469"/>
      <c r="S2160" s="469"/>
      <c r="T2160" s="469"/>
      <c r="U2160" s="469"/>
      <c r="V2160" s="469"/>
      <c r="W2160" s="469"/>
      <c r="X2160" s="469"/>
      <c r="Y2160" s="462">
        <f t="shared" si="17"/>
        <v>0</v>
      </c>
      <c r="Z2160" s="463"/>
      <c r="AA2160" s="464"/>
      <c r="AB2160" s="465"/>
      <c r="AC2160" s="465"/>
      <c r="AD2160" s="465"/>
      <c r="AE2160" s="466"/>
      <c r="AF2160" s="449"/>
      <c r="AG2160" s="449"/>
      <c r="AH2160" s="449"/>
    </row>
    <row r="2161" ht="11.25" customHeight="1">
      <c r="A2161" s="450"/>
      <c r="B2161" s="472"/>
      <c r="C2161" s="473"/>
      <c r="D2161" s="473"/>
      <c r="E2161" s="474"/>
      <c r="F2161" s="474"/>
      <c r="G2161" s="475"/>
      <c r="H2161" s="475"/>
      <c r="I2161" s="476"/>
      <c r="J2161" s="477"/>
      <c r="K2161" s="478" t="s">
        <v>1418</v>
      </c>
      <c r="L2161" s="479"/>
      <c r="M2161" s="480"/>
      <c r="N2161" s="481"/>
      <c r="O2161" s="481"/>
      <c r="P2161" s="482"/>
      <c r="Q2161" s="479"/>
      <c r="R2161" s="480"/>
      <c r="S2161" s="480"/>
      <c r="T2161" s="480"/>
      <c r="U2161" s="480"/>
      <c r="V2161" s="480"/>
      <c r="W2161" s="480"/>
      <c r="X2161" s="480"/>
      <c r="Y2161" s="483">
        <f t="shared" si="17"/>
        <v>0</v>
      </c>
      <c r="Z2161" s="484"/>
      <c r="AA2161" s="485"/>
      <c r="AB2161" s="486"/>
      <c r="AC2161" s="486"/>
      <c r="AD2161" s="486"/>
      <c r="AE2161" s="487"/>
      <c r="AF2161" s="449"/>
      <c r="AG2161" s="449"/>
      <c r="AH2161" s="449"/>
    </row>
    <row r="2162" ht="11.25" customHeight="1">
      <c r="A2162" s="431" t="str">
        <f>IF(B2162="","", YEAR(B2162))</f>
        <v/>
      </c>
      <c r="B2162" s="432"/>
      <c r="C2162" s="433"/>
      <c r="D2162" s="433"/>
      <c r="E2162" s="434" t="str">
        <f t="shared" ref="E2162:I2162" si="1088">IFERROR(AVERAGE(L2162:L2165),"")</f>
        <v/>
      </c>
      <c r="F2162" s="434" t="str">
        <f t="shared" si="1088"/>
        <v/>
      </c>
      <c r="G2162" s="435" t="str">
        <f t="shared" si="1088"/>
        <v/>
      </c>
      <c r="H2162" s="435" t="str">
        <f t="shared" si="1088"/>
        <v/>
      </c>
      <c r="I2162" s="436" t="str">
        <f t="shared" si="1088"/>
        <v/>
      </c>
      <c r="J2162" s="437">
        <f>SUMIFS(PRODUCTION[KG],PRODUCTION[GRADE],"3X50",PRODUCTION[DATE],B2162,PRODUCTION[BATCH],C2162,PRODUCTION[SHIFT],D2162)</f>
        <v>0</v>
      </c>
      <c r="K2162" s="438" t="s">
        <v>1414</v>
      </c>
      <c r="L2162" s="443"/>
      <c r="M2162" s="440"/>
      <c r="N2162" s="441"/>
      <c r="O2162" s="441"/>
      <c r="P2162" s="442"/>
      <c r="Q2162" s="443"/>
      <c r="R2162" s="440"/>
      <c r="S2162" s="440"/>
      <c r="T2162" s="440"/>
      <c r="U2162" s="440"/>
      <c r="V2162" s="440"/>
      <c r="W2162" s="440"/>
      <c r="X2162" s="440"/>
      <c r="Y2162" s="444">
        <f t="shared" si="17"/>
        <v>0</v>
      </c>
      <c r="Z2162" s="445"/>
      <c r="AA2162" s="446">
        <f t="shared" ref="AA2162:AE2162" si="1089">$J2162*E2162</f>
        <v>0</v>
      </c>
      <c r="AB2162" s="447">
        <f t="shared" si="1089"/>
        <v>0</v>
      </c>
      <c r="AC2162" s="447">
        <f t="shared" si="1089"/>
        <v>0</v>
      </c>
      <c r="AD2162" s="447">
        <f t="shared" si="1089"/>
        <v>0</v>
      </c>
      <c r="AE2162" s="448">
        <f t="shared" si="1089"/>
        <v>0</v>
      </c>
      <c r="AF2162" s="449"/>
      <c r="AG2162" s="449"/>
      <c r="AH2162" s="449"/>
    </row>
    <row r="2163" ht="11.25" customHeight="1">
      <c r="A2163" s="450"/>
      <c r="B2163" s="451"/>
      <c r="C2163" s="452"/>
      <c r="D2163" s="452"/>
      <c r="E2163" s="453"/>
      <c r="F2163" s="453"/>
      <c r="G2163" s="454"/>
      <c r="H2163" s="454"/>
      <c r="I2163" s="455"/>
      <c r="J2163" s="456"/>
      <c r="K2163" s="457" t="s">
        <v>1416</v>
      </c>
      <c r="L2163" s="458"/>
      <c r="M2163" s="459"/>
      <c r="N2163" s="460"/>
      <c r="O2163" s="460"/>
      <c r="P2163" s="461"/>
      <c r="Q2163" s="458"/>
      <c r="R2163" s="459"/>
      <c r="S2163" s="459"/>
      <c r="T2163" s="459"/>
      <c r="U2163" s="459"/>
      <c r="V2163" s="459"/>
      <c r="W2163" s="459"/>
      <c r="X2163" s="459"/>
      <c r="Y2163" s="462">
        <f t="shared" si="17"/>
        <v>0</v>
      </c>
      <c r="Z2163" s="463"/>
      <c r="AA2163" s="464"/>
      <c r="AB2163" s="465"/>
      <c r="AC2163" s="465"/>
      <c r="AD2163" s="465"/>
      <c r="AE2163" s="466"/>
      <c r="AF2163" s="449"/>
      <c r="AG2163" s="449"/>
      <c r="AH2163" s="449"/>
    </row>
    <row r="2164" ht="11.25" customHeight="1">
      <c r="A2164" s="450"/>
      <c r="B2164" s="451"/>
      <c r="C2164" s="452"/>
      <c r="D2164" s="452"/>
      <c r="E2164" s="453"/>
      <c r="F2164" s="453"/>
      <c r="G2164" s="454"/>
      <c r="H2164" s="454"/>
      <c r="I2164" s="455"/>
      <c r="J2164" s="456"/>
      <c r="K2164" s="467" t="s">
        <v>1417</v>
      </c>
      <c r="L2164" s="468"/>
      <c r="M2164" s="469"/>
      <c r="N2164" s="470"/>
      <c r="O2164" s="470"/>
      <c r="P2164" s="471"/>
      <c r="Q2164" s="468"/>
      <c r="R2164" s="469"/>
      <c r="S2164" s="469"/>
      <c r="T2164" s="469"/>
      <c r="U2164" s="469"/>
      <c r="V2164" s="469"/>
      <c r="W2164" s="469"/>
      <c r="X2164" s="469"/>
      <c r="Y2164" s="462">
        <f t="shared" si="17"/>
        <v>0</v>
      </c>
      <c r="Z2164" s="463"/>
      <c r="AA2164" s="464"/>
      <c r="AB2164" s="465"/>
      <c r="AC2164" s="465"/>
      <c r="AD2164" s="465"/>
      <c r="AE2164" s="466"/>
      <c r="AF2164" s="449"/>
      <c r="AG2164" s="449"/>
      <c r="AH2164" s="449"/>
    </row>
    <row r="2165" ht="11.25" customHeight="1">
      <c r="A2165" s="450"/>
      <c r="B2165" s="472"/>
      <c r="C2165" s="473"/>
      <c r="D2165" s="473"/>
      <c r="E2165" s="474"/>
      <c r="F2165" s="474"/>
      <c r="G2165" s="475"/>
      <c r="H2165" s="475"/>
      <c r="I2165" s="476"/>
      <c r="J2165" s="477"/>
      <c r="K2165" s="478" t="s">
        <v>1418</v>
      </c>
      <c r="L2165" s="479"/>
      <c r="M2165" s="480"/>
      <c r="N2165" s="481"/>
      <c r="O2165" s="481"/>
      <c r="P2165" s="482"/>
      <c r="Q2165" s="479"/>
      <c r="R2165" s="480"/>
      <c r="S2165" s="480"/>
      <c r="T2165" s="480"/>
      <c r="U2165" s="480"/>
      <c r="V2165" s="480"/>
      <c r="W2165" s="480"/>
      <c r="X2165" s="480"/>
      <c r="Y2165" s="483">
        <f t="shared" si="17"/>
        <v>0</v>
      </c>
      <c r="Z2165" s="484"/>
      <c r="AA2165" s="485"/>
      <c r="AB2165" s="486"/>
      <c r="AC2165" s="486"/>
      <c r="AD2165" s="486"/>
      <c r="AE2165" s="487"/>
      <c r="AF2165" s="449"/>
      <c r="AG2165" s="449"/>
      <c r="AH2165" s="449"/>
    </row>
    <row r="2166" ht="11.25" customHeight="1">
      <c r="A2166" s="431" t="str">
        <f>IF(B2166="","", YEAR(B2166))</f>
        <v/>
      </c>
      <c r="B2166" s="432"/>
      <c r="C2166" s="433"/>
      <c r="D2166" s="433"/>
      <c r="E2166" s="434" t="str">
        <f t="shared" ref="E2166:I2166" si="1090">IFERROR(AVERAGE(L2166:L2169),"")</f>
        <v/>
      </c>
      <c r="F2166" s="434" t="str">
        <f t="shared" si="1090"/>
        <v/>
      </c>
      <c r="G2166" s="435" t="str">
        <f t="shared" si="1090"/>
        <v/>
      </c>
      <c r="H2166" s="435" t="str">
        <f t="shared" si="1090"/>
        <v/>
      </c>
      <c r="I2166" s="436" t="str">
        <f t="shared" si="1090"/>
        <v/>
      </c>
      <c r="J2166" s="437">
        <f>SUMIFS(PRODUCTION[KG],PRODUCTION[GRADE],"3X50",PRODUCTION[DATE],B2166,PRODUCTION[BATCH],C2166,PRODUCTION[SHIFT],D2166)</f>
        <v>0</v>
      </c>
      <c r="K2166" s="438" t="s">
        <v>1414</v>
      </c>
      <c r="L2166" s="443"/>
      <c r="M2166" s="440"/>
      <c r="N2166" s="441"/>
      <c r="O2166" s="441"/>
      <c r="P2166" s="442"/>
      <c r="Q2166" s="443"/>
      <c r="R2166" s="440"/>
      <c r="S2166" s="440"/>
      <c r="T2166" s="440"/>
      <c r="U2166" s="440"/>
      <c r="V2166" s="440"/>
      <c r="W2166" s="440"/>
      <c r="X2166" s="440"/>
      <c r="Y2166" s="444">
        <f t="shared" si="17"/>
        <v>0</v>
      </c>
      <c r="Z2166" s="445"/>
      <c r="AA2166" s="446">
        <f t="shared" ref="AA2166:AE2166" si="1091">$J2166*E2166</f>
        <v>0</v>
      </c>
      <c r="AB2166" s="447">
        <f t="shared" si="1091"/>
        <v>0</v>
      </c>
      <c r="AC2166" s="447">
        <f t="shared" si="1091"/>
        <v>0</v>
      </c>
      <c r="AD2166" s="447">
        <f t="shared" si="1091"/>
        <v>0</v>
      </c>
      <c r="AE2166" s="448">
        <f t="shared" si="1091"/>
        <v>0</v>
      </c>
      <c r="AF2166" s="449"/>
      <c r="AG2166" s="449"/>
      <c r="AH2166" s="449"/>
    </row>
    <row r="2167" ht="11.25" customHeight="1">
      <c r="A2167" s="450"/>
      <c r="B2167" s="451"/>
      <c r="C2167" s="452"/>
      <c r="D2167" s="452"/>
      <c r="E2167" s="453"/>
      <c r="F2167" s="453"/>
      <c r="G2167" s="454"/>
      <c r="H2167" s="454"/>
      <c r="I2167" s="455"/>
      <c r="J2167" s="456"/>
      <c r="K2167" s="457" t="s">
        <v>1416</v>
      </c>
      <c r="L2167" s="458"/>
      <c r="M2167" s="459"/>
      <c r="N2167" s="460"/>
      <c r="O2167" s="460"/>
      <c r="P2167" s="461"/>
      <c r="Q2167" s="458"/>
      <c r="R2167" s="459"/>
      <c r="S2167" s="459"/>
      <c r="T2167" s="459"/>
      <c r="U2167" s="459"/>
      <c r="V2167" s="459"/>
      <c r="W2167" s="459"/>
      <c r="X2167" s="459"/>
      <c r="Y2167" s="462">
        <f t="shared" si="17"/>
        <v>0</v>
      </c>
      <c r="Z2167" s="463"/>
      <c r="AA2167" s="464"/>
      <c r="AB2167" s="465"/>
      <c r="AC2167" s="465"/>
      <c r="AD2167" s="465"/>
      <c r="AE2167" s="466"/>
      <c r="AF2167" s="449"/>
      <c r="AG2167" s="449"/>
      <c r="AH2167" s="449"/>
    </row>
    <row r="2168" ht="11.25" customHeight="1">
      <c r="A2168" s="450"/>
      <c r="B2168" s="451"/>
      <c r="C2168" s="452"/>
      <c r="D2168" s="452"/>
      <c r="E2168" s="453"/>
      <c r="F2168" s="453"/>
      <c r="G2168" s="454"/>
      <c r="H2168" s="454"/>
      <c r="I2168" s="455"/>
      <c r="J2168" s="456"/>
      <c r="K2168" s="467" t="s">
        <v>1417</v>
      </c>
      <c r="L2168" s="468"/>
      <c r="M2168" s="469"/>
      <c r="N2168" s="470"/>
      <c r="O2168" s="470"/>
      <c r="P2168" s="471"/>
      <c r="Q2168" s="468"/>
      <c r="R2168" s="469"/>
      <c r="S2168" s="469"/>
      <c r="T2168" s="469"/>
      <c r="U2168" s="469"/>
      <c r="V2168" s="469"/>
      <c r="W2168" s="469"/>
      <c r="X2168" s="469"/>
      <c r="Y2168" s="462">
        <f t="shared" si="17"/>
        <v>0</v>
      </c>
      <c r="Z2168" s="463"/>
      <c r="AA2168" s="464"/>
      <c r="AB2168" s="465"/>
      <c r="AC2168" s="465"/>
      <c r="AD2168" s="465"/>
      <c r="AE2168" s="466"/>
      <c r="AF2168" s="449"/>
      <c r="AG2168" s="449"/>
      <c r="AH2168" s="449"/>
    </row>
    <row r="2169" ht="11.25" customHeight="1">
      <c r="A2169" s="450"/>
      <c r="B2169" s="472"/>
      <c r="C2169" s="473"/>
      <c r="D2169" s="473"/>
      <c r="E2169" s="474"/>
      <c r="F2169" s="474"/>
      <c r="G2169" s="475"/>
      <c r="H2169" s="475"/>
      <c r="I2169" s="476"/>
      <c r="J2169" s="477"/>
      <c r="K2169" s="478" t="s">
        <v>1418</v>
      </c>
      <c r="L2169" s="479"/>
      <c r="M2169" s="480"/>
      <c r="N2169" s="481"/>
      <c r="O2169" s="481"/>
      <c r="P2169" s="482"/>
      <c r="Q2169" s="479"/>
      <c r="R2169" s="480"/>
      <c r="S2169" s="480"/>
      <c r="T2169" s="480"/>
      <c r="U2169" s="480"/>
      <c r="V2169" s="480"/>
      <c r="W2169" s="480"/>
      <c r="X2169" s="480"/>
      <c r="Y2169" s="483">
        <f t="shared" si="17"/>
        <v>0</v>
      </c>
      <c r="Z2169" s="484"/>
      <c r="AA2169" s="485"/>
      <c r="AB2169" s="486"/>
      <c r="AC2169" s="486"/>
      <c r="AD2169" s="486"/>
      <c r="AE2169" s="487"/>
      <c r="AF2169" s="449"/>
      <c r="AG2169" s="449"/>
      <c r="AH2169" s="449"/>
    </row>
    <row r="2170" ht="11.25" customHeight="1">
      <c r="A2170" s="431" t="str">
        <f>IF(B2170="","", YEAR(B2170))</f>
        <v/>
      </c>
      <c r="B2170" s="432"/>
      <c r="C2170" s="433"/>
      <c r="D2170" s="433"/>
      <c r="E2170" s="434" t="str">
        <f t="shared" ref="E2170:I2170" si="1092">IFERROR(AVERAGE(L2170:L2173),"")</f>
        <v/>
      </c>
      <c r="F2170" s="434" t="str">
        <f t="shared" si="1092"/>
        <v/>
      </c>
      <c r="G2170" s="435" t="str">
        <f t="shared" si="1092"/>
        <v/>
      </c>
      <c r="H2170" s="435" t="str">
        <f t="shared" si="1092"/>
        <v/>
      </c>
      <c r="I2170" s="436" t="str">
        <f t="shared" si="1092"/>
        <v/>
      </c>
      <c r="J2170" s="437">
        <f>SUMIFS(PRODUCTION[KG],PRODUCTION[GRADE],"3X50",PRODUCTION[DATE],B2170,PRODUCTION[BATCH],C2170,PRODUCTION[SHIFT],D2170)</f>
        <v>0</v>
      </c>
      <c r="K2170" s="438" t="s">
        <v>1414</v>
      </c>
      <c r="L2170" s="443"/>
      <c r="M2170" s="440"/>
      <c r="N2170" s="441"/>
      <c r="O2170" s="441"/>
      <c r="P2170" s="442"/>
      <c r="Q2170" s="443"/>
      <c r="R2170" s="440"/>
      <c r="S2170" s="440"/>
      <c r="T2170" s="440"/>
      <c r="U2170" s="440"/>
      <c r="V2170" s="440"/>
      <c r="W2170" s="440"/>
      <c r="X2170" s="440"/>
      <c r="Y2170" s="444">
        <f t="shared" si="17"/>
        <v>0</v>
      </c>
      <c r="Z2170" s="445"/>
      <c r="AA2170" s="446">
        <f t="shared" ref="AA2170:AE2170" si="1093">$J2170*E2170</f>
        <v>0</v>
      </c>
      <c r="AB2170" s="447">
        <f t="shared" si="1093"/>
        <v>0</v>
      </c>
      <c r="AC2170" s="447">
        <f t="shared" si="1093"/>
        <v>0</v>
      </c>
      <c r="AD2170" s="447">
        <f t="shared" si="1093"/>
        <v>0</v>
      </c>
      <c r="AE2170" s="448">
        <f t="shared" si="1093"/>
        <v>0</v>
      </c>
      <c r="AF2170" s="449"/>
      <c r="AG2170" s="449"/>
      <c r="AH2170" s="449"/>
    </row>
    <row r="2171" ht="11.25" customHeight="1">
      <c r="A2171" s="450"/>
      <c r="B2171" s="451"/>
      <c r="C2171" s="452"/>
      <c r="D2171" s="452"/>
      <c r="E2171" s="453"/>
      <c r="F2171" s="453"/>
      <c r="G2171" s="454"/>
      <c r="H2171" s="454"/>
      <c r="I2171" s="455"/>
      <c r="J2171" s="456"/>
      <c r="K2171" s="457" t="s">
        <v>1416</v>
      </c>
      <c r="L2171" s="458"/>
      <c r="M2171" s="459"/>
      <c r="N2171" s="460"/>
      <c r="O2171" s="460"/>
      <c r="P2171" s="461"/>
      <c r="Q2171" s="458"/>
      <c r="R2171" s="459"/>
      <c r="S2171" s="459"/>
      <c r="T2171" s="459"/>
      <c r="U2171" s="459"/>
      <c r="V2171" s="459"/>
      <c r="W2171" s="459"/>
      <c r="X2171" s="459"/>
      <c r="Y2171" s="462">
        <f t="shared" si="17"/>
        <v>0</v>
      </c>
      <c r="Z2171" s="463"/>
      <c r="AA2171" s="464"/>
      <c r="AB2171" s="465"/>
      <c r="AC2171" s="465"/>
      <c r="AD2171" s="465"/>
      <c r="AE2171" s="466"/>
      <c r="AF2171" s="449"/>
      <c r="AG2171" s="449"/>
      <c r="AH2171" s="449"/>
    </row>
    <row r="2172" ht="11.25" customHeight="1">
      <c r="A2172" s="450"/>
      <c r="B2172" s="451"/>
      <c r="C2172" s="452"/>
      <c r="D2172" s="452"/>
      <c r="E2172" s="453"/>
      <c r="F2172" s="453"/>
      <c r="G2172" s="454"/>
      <c r="H2172" s="454"/>
      <c r="I2172" s="455"/>
      <c r="J2172" s="456"/>
      <c r="K2172" s="467" t="s">
        <v>1417</v>
      </c>
      <c r="L2172" s="468"/>
      <c r="M2172" s="469"/>
      <c r="N2172" s="470"/>
      <c r="O2172" s="470"/>
      <c r="P2172" s="471"/>
      <c r="Q2172" s="468"/>
      <c r="R2172" s="469"/>
      <c r="S2172" s="469"/>
      <c r="T2172" s="469"/>
      <c r="U2172" s="469"/>
      <c r="V2172" s="469"/>
      <c r="W2172" s="469"/>
      <c r="X2172" s="469"/>
      <c r="Y2172" s="462">
        <f t="shared" si="17"/>
        <v>0</v>
      </c>
      <c r="Z2172" s="463"/>
      <c r="AA2172" s="464"/>
      <c r="AB2172" s="465"/>
      <c r="AC2172" s="465"/>
      <c r="AD2172" s="465"/>
      <c r="AE2172" s="466"/>
      <c r="AF2172" s="449"/>
      <c r="AG2172" s="449"/>
      <c r="AH2172" s="449"/>
    </row>
    <row r="2173" ht="11.25" customHeight="1">
      <c r="A2173" s="450"/>
      <c r="B2173" s="472"/>
      <c r="C2173" s="473"/>
      <c r="D2173" s="473"/>
      <c r="E2173" s="474"/>
      <c r="F2173" s="474"/>
      <c r="G2173" s="475"/>
      <c r="H2173" s="475"/>
      <c r="I2173" s="476"/>
      <c r="J2173" s="477"/>
      <c r="K2173" s="478" t="s">
        <v>1418</v>
      </c>
      <c r="L2173" s="479"/>
      <c r="M2173" s="480"/>
      <c r="N2173" s="481"/>
      <c r="O2173" s="481"/>
      <c r="P2173" s="482"/>
      <c r="Q2173" s="479"/>
      <c r="R2173" s="480"/>
      <c r="S2173" s="480"/>
      <c r="T2173" s="480"/>
      <c r="U2173" s="480"/>
      <c r="V2173" s="480"/>
      <c r="W2173" s="480"/>
      <c r="X2173" s="480"/>
      <c r="Y2173" s="483">
        <f t="shared" si="17"/>
        <v>0</v>
      </c>
      <c r="Z2173" s="484"/>
      <c r="AA2173" s="485"/>
      <c r="AB2173" s="486"/>
      <c r="AC2173" s="486"/>
      <c r="AD2173" s="486"/>
      <c r="AE2173" s="487"/>
      <c r="AF2173" s="449"/>
      <c r="AG2173" s="449"/>
      <c r="AH2173" s="449"/>
    </row>
    <row r="2174" ht="11.25" customHeight="1">
      <c r="A2174" s="431" t="str">
        <f>IF(B2174="","", YEAR(B2174))</f>
        <v/>
      </c>
      <c r="B2174" s="432"/>
      <c r="C2174" s="433"/>
      <c r="D2174" s="433"/>
      <c r="E2174" s="434" t="str">
        <f t="shared" ref="E2174:I2174" si="1094">IFERROR(AVERAGE(L2174:L2177),"")</f>
        <v/>
      </c>
      <c r="F2174" s="434" t="str">
        <f t="shared" si="1094"/>
        <v/>
      </c>
      <c r="G2174" s="435" t="str">
        <f t="shared" si="1094"/>
        <v/>
      </c>
      <c r="H2174" s="435" t="str">
        <f t="shared" si="1094"/>
        <v/>
      </c>
      <c r="I2174" s="436" t="str">
        <f t="shared" si="1094"/>
        <v/>
      </c>
      <c r="J2174" s="437">
        <f>SUMIFS(PRODUCTION[KG],PRODUCTION[GRADE],"3X50",PRODUCTION[DATE],B2174,PRODUCTION[BATCH],C2174,PRODUCTION[SHIFT],D2174)</f>
        <v>0</v>
      </c>
      <c r="K2174" s="438" t="s">
        <v>1414</v>
      </c>
      <c r="L2174" s="443"/>
      <c r="M2174" s="440"/>
      <c r="N2174" s="441"/>
      <c r="O2174" s="441"/>
      <c r="P2174" s="442"/>
      <c r="Q2174" s="443"/>
      <c r="R2174" s="440"/>
      <c r="S2174" s="440"/>
      <c r="T2174" s="440"/>
      <c r="U2174" s="440"/>
      <c r="V2174" s="440"/>
      <c r="W2174" s="440"/>
      <c r="X2174" s="440"/>
      <c r="Y2174" s="444">
        <f t="shared" si="17"/>
        <v>0</v>
      </c>
      <c r="Z2174" s="445"/>
      <c r="AA2174" s="446">
        <f t="shared" ref="AA2174:AE2174" si="1095">$J2174*E2174</f>
        <v>0</v>
      </c>
      <c r="AB2174" s="447">
        <f t="shared" si="1095"/>
        <v>0</v>
      </c>
      <c r="AC2174" s="447">
        <f t="shared" si="1095"/>
        <v>0</v>
      </c>
      <c r="AD2174" s="447">
        <f t="shared" si="1095"/>
        <v>0</v>
      </c>
      <c r="AE2174" s="448">
        <f t="shared" si="1095"/>
        <v>0</v>
      </c>
      <c r="AF2174" s="449"/>
      <c r="AG2174" s="449"/>
      <c r="AH2174" s="449"/>
    </row>
    <row r="2175" ht="11.25" customHeight="1">
      <c r="A2175" s="450"/>
      <c r="B2175" s="451"/>
      <c r="C2175" s="452"/>
      <c r="D2175" s="452"/>
      <c r="E2175" s="453"/>
      <c r="F2175" s="453"/>
      <c r="G2175" s="454"/>
      <c r="H2175" s="454"/>
      <c r="I2175" s="455"/>
      <c r="J2175" s="456"/>
      <c r="K2175" s="457" t="s">
        <v>1416</v>
      </c>
      <c r="L2175" s="458"/>
      <c r="M2175" s="459"/>
      <c r="N2175" s="460"/>
      <c r="O2175" s="460"/>
      <c r="P2175" s="461"/>
      <c r="Q2175" s="458"/>
      <c r="R2175" s="459"/>
      <c r="S2175" s="459"/>
      <c r="T2175" s="459"/>
      <c r="U2175" s="459"/>
      <c r="V2175" s="459"/>
      <c r="W2175" s="459"/>
      <c r="X2175" s="459"/>
      <c r="Y2175" s="462">
        <f t="shared" si="17"/>
        <v>0</v>
      </c>
      <c r="Z2175" s="463"/>
      <c r="AA2175" s="464"/>
      <c r="AB2175" s="465"/>
      <c r="AC2175" s="465"/>
      <c r="AD2175" s="465"/>
      <c r="AE2175" s="466"/>
      <c r="AF2175" s="449"/>
      <c r="AG2175" s="449"/>
      <c r="AH2175" s="449"/>
    </row>
    <row r="2176" ht="11.25" customHeight="1">
      <c r="A2176" s="450"/>
      <c r="B2176" s="451"/>
      <c r="C2176" s="452"/>
      <c r="D2176" s="452"/>
      <c r="E2176" s="453"/>
      <c r="F2176" s="453"/>
      <c r="G2176" s="454"/>
      <c r="H2176" s="454"/>
      <c r="I2176" s="455"/>
      <c r="J2176" s="456"/>
      <c r="K2176" s="467" t="s">
        <v>1417</v>
      </c>
      <c r="L2176" s="468"/>
      <c r="M2176" s="469"/>
      <c r="N2176" s="470"/>
      <c r="O2176" s="470"/>
      <c r="P2176" s="471"/>
      <c r="Q2176" s="468"/>
      <c r="R2176" s="469"/>
      <c r="S2176" s="469"/>
      <c r="T2176" s="469"/>
      <c r="U2176" s="469"/>
      <c r="V2176" s="469"/>
      <c r="W2176" s="469"/>
      <c r="X2176" s="469"/>
      <c r="Y2176" s="462">
        <f t="shared" si="17"/>
        <v>0</v>
      </c>
      <c r="Z2176" s="463"/>
      <c r="AA2176" s="464"/>
      <c r="AB2176" s="465"/>
      <c r="AC2176" s="465"/>
      <c r="AD2176" s="465"/>
      <c r="AE2176" s="466"/>
      <c r="AF2176" s="449"/>
      <c r="AG2176" s="449"/>
      <c r="AH2176" s="449"/>
    </row>
    <row r="2177" ht="11.25" customHeight="1">
      <c r="A2177" s="450"/>
      <c r="B2177" s="472"/>
      <c r="C2177" s="473"/>
      <c r="D2177" s="473"/>
      <c r="E2177" s="474"/>
      <c r="F2177" s="474"/>
      <c r="G2177" s="475"/>
      <c r="H2177" s="475"/>
      <c r="I2177" s="476"/>
      <c r="J2177" s="477"/>
      <c r="K2177" s="478" t="s">
        <v>1418</v>
      </c>
      <c r="L2177" s="479"/>
      <c r="M2177" s="480"/>
      <c r="N2177" s="481"/>
      <c r="O2177" s="481"/>
      <c r="P2177" s="482"/>
      <c r="Q2177" s="479"/>
      <c r="R2177" s="480"/>
      <c r="S2177" s="480"/>
      <c r="T2177" s="480"/>
      <c r="U2177" s="480"/>
      <c r="V2177" s="480"/>
      <c r="W2177" s="480"/>
      <c r="X2177" s="480"/>
      <c r="Y2177" s="483">
        <f t="shared" si="17"/>
        <v>0</v>
      </c>
      <c r="Z2177" s="484"/>
      <c r="AA2177" s="485"/>
      <c r="AB2177" s="486"/>
      <c r="AC2177" s="486"/>
      <c r="AD2177" s="486"/>
      <c r="AE2177" s="487"/>
      <c r="AF2177" s="449"/>
      <c r="AG2177" s="449"/>
      <c r="AH2177" s="449"/>
    </row>
    <row r="2178" ht="11.25" customHeight="1">
      <c r="A2178" s="431" t="str">
        <f>IF(B2178="","", YEAR(B2178))</f>
        <v/>
      </c>
      <c r="B2178" s="432"/>
      <c r="C2178" s="433"/>
      <c r="D2178" s="433"/>
      <c r="E2178" s="434" t="str">
        <f t="shared" ref="E2178:I2178" si="1096">IFERROR(AVERAGE(L2178:L2181),"")</f>
        <v/>
      </c>
      <c r="F2178" s="434" t="str">
        <f t="shared" si="1096"/>
        <v/>
      </c>
      <c r="G2178" s="435" t="str">
        <f t="shared" si="1096"/>
        <v/>
      </c>
      <c r="H2178" s="435" t="str">
        <f t="shared" si="1096"/>
        <v/>
      </c>
      <c r="I2178" s="436" t="str">
        <f t="shared" si="1096"/>
        <v/>
      </c>
      <c r="J2178" s="437">
        <f>SUMIFS(PRODUCTION[KG],PRODUCTION[GRADE],"3X50",PRODUCTION[DATE],B2178,PRODUCTION[BATCH],C2178,PRODUCTION[SHIFT],D2178)</f>
        <v>0</v>
      </c>
      <c r="K2178" s="438" t="s">
        <v>1414</v>
      </c>
      <c r="L2178" s="443"/>
      <c r="M2178" s="440"/>
      <c r="N2178" s="441"/>
      <c r="O2178" s="441"/>
      <c r="P2178" s="442"/>
      <c r="Q2178" s="443"/>
      <c r="R2178" s="440"/>
      <c r="S2178" s="440"/>
      <c r="T2178" s="440"/>
      <c r="U2178" s="440"/>
      <c r="V2178" s="440"/>
      <c r="W2178" s="440"/>
      <c r="X2178" s="440"/>
      <c r="Y2178" s="444">
        <f t="shared" si="17"/>
        <v>0</v>
      </c>
      <c r="Z2178" s="445"/>
      <c r="AA2178" s="446">
        <f t="shared" ref="AA2178:AE2178" si="1097">$J2178*E2178</f>
        <v>0</v>
      </c>
      <c r="AB2178" s="447">
        <f t="shared" si="1097"/>
        <v>0</v>
      </c>
      <c r="AC2178" s="447">
        <f t="shared" si="1097"/>
        <v>0</v>
      </c>
      <c r="AD2178" s="447">
        <f t="shared" si="1097"/>
        <v>0</v>
      </c>
      <c r="AE2178" s="448">
        <f t="shared" si="1097"/>
        <v>0</v>
      </c>
      <c r="AF2178" s="449"/>
      <c r="AG2178" s="449"/>
      <c r="AH2178" s="449"/>
    </row>
    <row r="2179" ht="11.25" customHeight="1">
      <c r="A2179" s="450"/>
      <c r="B2179" s="451"/>
      <c r="C2179" s="452"/>
      <c r="D2179" s="452"/>
      <c r="E2179" s="453"/>
      <c r="F2179" s="453"/>
      <c r="G2179" s="454"/>
      <c r="H2179" s="454"/>
      <c r="I2179" s="455"/>
      <c r="J2179" s="456"/>
      <c r="K2179" s="457" t="s">
        <v>1416</v>
      </c>
      <c r="L2179" s="458"/>
      <c r="M2179" s="459"/>
      <c r="N2179" s="460"/>
      <c r="O2179" s="460"/>
      <c r="P2179" s="461"/>
      <c r="Q2179" s="458"/>
      <c r="R2179" s="459"/>
      <c r="S2179" s="459"/>
      <c r="T2179" s="459"/>
      <c r="U2179" s="459"/>
      <c r="V2179" s="459"/>
      <c r="W2179" s="459"/>
      <c r="X2179" s="459"/>
      <c r="Y2179" s="462">
        <f t="shared" si="17"/>
        <v>0</v>
      </c>
      <c r="Z2179" s="463"/>
      <c r="AA2179" s="464"/>
      <c r="AB2179" s="465"/>
      <c r="AC2179" s="465"/>
      <c r="AD2179" s="465"/>
      <c r="AE2179" s="466"/>
      <c r="AF2179" s="449"/>
      <c r="AG2179" s="449"/>
      <c r="AH2179" s="449"/>
    </row>
    <row r="2180" ht="11.25" customHeight="1">
      <c r="A2180" s="450"/>
      <c r="B2180" s="451"/>
      <c r="C2180" s="452"/>
      <c r="D2180" s="452"/>
      <c r="E2180" s="453"/>
      <c r="F2180" s="453"/>
      <c r="G2180" s="454"/>
      <c r="H2180" s="454"/>
      <c r="I2180" s="455"/>
      <c r="J2180" s="456"/>
      <c r="K2180" s="467" t="s">
        <v>1417</v>
      </c>
      <c r="L2180" s="468"/>
      <c r="M2180" s="469"/>
      <c r="N2180" s="470"/>
      <c r="O2180" s="470"/>
      <c r="P2180" s="471"/>
      <c r="Q2180" s="468"/>
      <c r="R2180" s="469"/>
      <c r="S2180" s="469"/>
      <c r="T2180" s="469"/>
      <c r="U2180" s="469"/>
      <c r="V2180" s="469"/>
      <c r="W2180" s="469"/>
      <c r="X2180" s="469"/>
      <c r="Y2180" s="462">
        <f t="shared" si="17"/>
        <v>0</v>
      </c>
      <c r="Z2180" s="463"/>
      <c r="AA2180" s="464"/>
      <c r="AB2180" s="465"/>
      <c r="AC2180" s="465"/>
      <c r="AD2180" s="465"/>
      <c r="AE2180" s="466"/>
      <c r="AF2180" s="449"/>
      <c r="AG2180" s="449"/>
      <c r="AH2180" s="449"/>
    </row>
    <row r="2181" ht="11.25" customHeight="1">
      <c r="A2181" s="450"/>
      <c r="B2181" s="472"/>
      <c r="C2181" s="473"/>
      <c r="D2181" s="473"/>
      <c r="E2181" s="474"/>
      <c r="F2181" s="474"/>
      <c r="G2181" s="475"/>
      <c r="H2181" s="475"/>
      <c r="I2181" s="476"/>
      <c r="J2181" s="477"/>
      <c r="K2181" s="478" t="s">
        <v>1418</v>
      </c>
      <c r="L2181" s="479"/>
      <c r="M2181" s="480"/>
      <c r="N2181" s="481"/>
      <c r="O2181" s="481"/>
      <c r="P2181" s="482"/>
      <c r="Q2181" s="479"/>
      <c r="R2181" s="480"/>
      <c r="S2181" s="480"/>
      <c r="T2181" s="480"/>
      <c r="U2181" s="480"/>
      <c r="V2181" s="480"/>
      <c r="W2181" s="480"/>
      <c r="X2181" s="480"/>
      <c r="Y2181" s="483">
        <f t="shared" si="17"/>
        <v>0</v>
      </c>
      <c r="Z2181" s="484"/>
      <c r="AA2181" s="485"/>
      <c r="AB2181" s="486"/>
      <c r="AC2181" s="486"/>
      <c r="AD2181" s="486"/>
      <c r="AE2181" s="487"/>
      <c r="AF2181" s="449"/>
      <c r="AG2181" s="449"/>
      <c r="AH2181" s="449"/>
    </row>
    <row r="2182" ht="11.25" customHeight="1">
      <c r="A2182" s="431" t="str">
        <f>IF(B2182="","", YEAR(B2182))</f>
        <v/>
      </c>
      <c r="B2182" s="432"/>
      <c r="C2182" s="433"/>
      <c r="D2182" s="433"/>
      <c r="E2182" s="434" t="str">
        <f t="shared" ref="E2182:I2182" si="1098">IFERROR(AVERAGE(L2182:L2185),"")</f>
        <v/>
      </c>
      <c r="F2182" s="434" t="str">
        <f t="shared" si="1098"/>
        <v/>
      </c>
      <c r="G2182" s="435" t="str">
        <f t="shared" si="1098"/>
        <v/>
      </c>
      <c r="H2182" s="435" t="str">
        <f t="shared" si="1098"/>
        <v/>
      </c>
      <c r="I2182" s="436" t="str">
        <f t="shared" si="1098"/>
        <v/>
      </c>
      <c r="J2182" s="437">
        <f>SUMIFS(PRODUCTION[KG],PRODUCTION[GRADE],"3X50",PRODUCTION[DATE],B2182,PRODUCTION[BATCH],C2182,PRODUCTION[SHIFT],D2182)</f>
        <v>0</v>
      </c>
      <c r="K2182" s="438" t="s">
        <v>1414</v>
      </c>
      <c r="L2182" s="443"/>
      <c r="M2182" s="440"/>
      <c r="N2182" s="441"/>
      <c r="O2182" s="441"/>
      <c r="P2182" s="442"/>
      <c r="Q2182" s="443"/>
      <c r="R2182" s="440"/>
      <c r="S2182" s="440"/>
      <c r="T2182" s="440"/>
      <c r="U2182" s="440"/>
      <c r="V2182" s="440"/>
      <c r="W2182" s="440"/>
      <c r="X2182" s="440"/>
      <c r="Y2182" s="444">
        <f t="shared" si="17"/>
        <v>0</v>
      </c>
      <c r="Z2182" s="445"/>
      <c r="AA2182" s="446">
        <f t="shared" ref="AA2182:AE2182" si="1099">$J2182*E2182</f>
        <v>0</v>
      </c>
      <c r="AB2182" s="447">
        <f t="shared" si="1099"/>
        <v>0</v>
      </c>
      <c r="AC2182" s="447">
        <f t="shared" si="1099"/>
        <v>0</v>
      </c>
      <c r="AD2182" s="447">
        <f t="shared" si="1099"/>
        <v>0</v>
      </c>
      <c r="AE2182" s="448">
        <f t="shared" si="1099"/>
        <v>0</v>
      </c>
      <c r="AF2182" s="449"/>
      <c r="AG2182" s="449"/>
      <c r="AH2182" s="449"/>
    </row>
    <row r="2183" ht="11.25" customHeight="1">
      <c r="A2183" s="450"/>
      <c r="B2183" s="451"/>
      <c r="C2183" s="452"/>
      <c r="D2183" s="452"/>
      <c r="E2183" s="453"/>
      <c r="F2183" s="453"/>
      <c r="G2183" s="454"/>
      <c r="H2183" s="454"/>
      <c r="I2183" s="455"/>
      <c r="J2183" s="456"/>
      <c r="K2183" s="457" t="s">
        <v>1416</v>
      </c>
      <c r="L2183" s="458"/>
      <c r="M2183" s="459"/>
      <c r="N2183" s="460"/>
      <c r="O2183" s="460"/>
      <c r="P2183" s="461"/>
      <c r="Q2183" s="458"/>
      <c r="R2183" s="459"/>
      <c r="S2183" s="459"/>
      <c r="T2183" s="459"/>
      <c r="U2183" s="459"/>
      <c r="V2183" s="459"/>
      <c r="W2183" s="459"/>
      <c r="X2183" s="459"/>
      <c r="Y2183" s="462">
        <f t="shared" si="17"/>
        <v>0</v>
      </c>
      <c r="Z2183" s="463"/>
      <c r="AA2183" s="464"/>
      <c r="AB2183" s="465"/>
      <c r="AC2183" s="465"/>
      <c r="AD2183" s="465"/>
      <c r="AE2183" s="466"/>
      <c r="AF2183" s="449"/>
      <c r="AG2183" s="449"/>
      <c r="AH2183" s="449"/>
    </row>
    <row r="2184" ht="11.25" customHeight="1">
      <c r="A2184" s="450"/>
      <c r="B2184" s="451"/>
      <c r="C2184" s="452"/>
      <c r="D2184" s="452"/>
      <c r="E2184" s="453"/>
      <c r="F2184" s="453"/>
      <c r="G2184" s="454"/>
      <c r="H2184" s="454"/>
      <c r="I2184" s="455"/>
      <c r="J2184" s="456"/>
      <c r="K2184" s="467" t="s">
        <v>1417</v>
      </c>
      <c r="L2184" s="468"/>
      <c r="M2184" s="469"/>
      <c r="N2184" s="470"/>
      <c r="O2184" s="470"/>
      <c r="P2184" s="471"/>
      <c r="Q2184" s="468"/>
      <c r="R2184" s="469"/>
      <c r="S2184" s="469"/>
      <c r="T2184" s="469"/>
      <c r="U2184" s="469"/>
      <c r="V2184" s="469"/>
      <c r="W2184" s="469"/>
      <c r="X2184" s="469"/>
      <c r="Y2184" s="462">
        <f t="shared" si="17"/>
        <v>0</v>
      </c>
      <c r="Z2184" s="463"/>
      <c r="AA2184" s="464"/>
      <c r="AB2184" s="465"/>
      <c r="AC2184" s="465"/>
      <c r="AD2184" s="465"/>
      <c r="AE2184" s="466"/>
      <c r="AF2184" s="449"/>
      <c r="AG2184" s="449"/>
      <c r="AH2184" s="449"/>
    </row>
    <row r="2185" ht="11.25" customHeight="1">
      <c r="A2185" s="450"/>
      <c r="B2185" s="472"/>
      <c r="C2185" s="473"/>
      <c r="D2185" s="473"/>
      <c r="E2185" s="474"/>
      <c r="F2185" s="474"/>
      <c r="G2185" s="475"/>
      <c r="H2185" s="475"/>
      <c r="I2185" s="476"/>
      <c r="J2185" s="477"/>
      <c r="K2185" s="478" t="s">
        <v>1418</v>
      </c>
      <c r="L2185" s="479"/>
      <c r="M2185" s="480"/>
      <c r="N2185" s="481"/>
      <c r="O2185" s="481"/>
      <c r="P2185" s="482"/>
      <c r="Q2185" s="479"/>
      <c r="R2185" s="480"/>
      <c r="S2185" s="480"/>
      <c r="T2185" s="480"/>
      <c r="U2185" s="480"/>
      <c r="V2185" s="480"/>
      <c r="W2185" s="480"/>
      <c r="X2185" s="480"/>
      <c r="Y2185" s="483">
        <f t="shared" si="17"/>
        <v>0</v>
      </c>
      <c r="Z2185" s="484"/>
      <c r="AA2185" s="485"/>
      <c r="AB2185" s="486"/>
      <c r="AC2185" s="486"/>
      <c r="AD2185" s="486"/>
      <c r="AE2185" s="487"/>
      <c r="AF2185" s="449"/>
      <c r="AG2185" s="449"/>
      <c r="AH2185" s="449"/>
    </row>
    <row r="2186" ht="11.25" customHeight="1">
      <c r="A2186" s="431" t="str">
        <f>IF(B2186="","", YEAR(B2186))</f>
        <v/>
      </c>
      <c r="B2186" s="432"/>
      <c r="C2186" s="433"/>
      <c r="D2186" s="433"/>
      <c r="E2186" s="434" t="str">
        <f t="shared" ref="E2186:I2186" si="1100">IFERROR(AVERAGE(L2186:L2189),"")</f>
        <v/>
      </c>
      <c r="F2186" s="434" t="str">
        <f t="shared" si="1100"/>
        <v/>
      </c>
      <c r="G2186" s="435" t="str">
        <f t="shared" si="1100"/>
        <v/>
      </c>
      <c r="H2186" s="435" t="str">
        <f t="shared" si="1100"/>
        <v/>
      </c>
      <c r="I2186" s="436" t="str">
        <f t="shared" si="1100"/>
        <v/>
      </c>
      <c r="J2186" s="437">
        <f>SUMIFS(PRODUCTION[KG],PRODUCTION[GRADE],"3X50",PRODUCTION[DATE],B2186,PRODUCTION[BATCH],C2186,PRODUCTION[SHIFT],D2186)</f>
        <v>0</v>
      </c>
      <c r="K2186" s="438" t="s">
        <v>1414</v>
      </c>
      <c r="L2186" s="443"/>
      <c r="M2186" s="440"/>
      <c r="N2186" s="441"/>
      <c r="O2186" s="441"/>
      <c r="P2186" s="442"/>
      <c r="Q2186" s="443"/>
      <c r="R2186" s="440"/>
      <c r="S2186" s="440"/>
      <c r="T2186" s="440"/>
      <c r="U2186" s="440"/>
      <c r="V2186" s="440"/>
      <c r="W2186" s="440"/>
      <c r="X2186" s="440"/>
      <c r="Y2186" s="444">
        <f t="shared" si="17"/>
        <v>0</v>
      </c>
      <c r="Z2186" s="445"/>
      <c r="AA2186" s="446">
        <f t="shared" ref="AA2186:AE2186" si="1101">$J2186*E2186</f>
        <v>0</v>
      </c>
      <c r="AB2186" s="447">
        <f t="shared" si="1101"/>
        <v>0</v>
      </c>
      <c r="AC2186" s="447">
        <f t="shared" si="1101"/>
        <v>0</v>
      </c>
      <c r="AD2186" s="447">
        <f t="shared" si="1101"/>
        <v>0</v>
      </c>
      <c r="AE2186" s="448">
        <f t="shared" si="1101"/>
        <v>0</v>
      </c>
      <c r="AF2186" s="449"/>
      <c r="AG2186" s="449"/>
      <c r="AH2186" s="449"/>
    </row>
    <row r="2187" ht="11.25" customHeight="1">
      <c r="A2187" s="450"/>
      <c r="B2187" s="451"/>
      <c r="C2187" s="452"/>
      <c r="D2187" s="452"/>
      <c r="E2187" s="453"/>
      <c r="F2187" s="453"/>
      <c r="G2187" s="454"/>
      <c r="H2187" s="454"/>
      <c r="I2187" s="455"/>
      <c r="J2187" s="456"/>
      <c r="K2187" s="457" t="s">
        <v>1416</v>
      </c>
      <c r="L2187" s="458"/>
      <c r="M2187" s="459"/>
      <c r="N2187" s="460"/>
      <c r="O2187" s="460"/>
      <c r="P2187" s="461"/>
      <c r="Q2187" s="458"/>
      <c r="R2187" s="459"/>
      <c r="S2187" s="459"/>
      <c r="T2187" s="459"/>
      <c r="U2187" s="459"/>
      <c r="V2187" s="459"/>
      <c r="W2187" s="459"/>
      <c r="X2187" s="459"/>
      <c r="Y2187" s="462">
        <f t="shared" si="17"/>
        <v>0</v>
      </c>
      <c r="Z2187" s="463"/>
      <c r="AA2187" s="464"/>
      <c r="AB2187" s="465"/>
      <c r="AC2187" s="465"/>
      <c r="AD2187" s="465"/>
      <c r="AE2187" s="466"/>
      <c r="AF2187" s="449"/>
      <c r="AG2187" s="449"/>
      <c r="AH2187" s="449"/>
    </row>
    <row r="2188" ht="11.25" customHeight="1">
      <c r="A2188" s="450"/>
      <c r="B2188" s="451"/>
      <c r="C2188" s="452"/>
      <c r="D2188" s="452"/>
      <c r="E2188" s="453"/>
      <c r="F2188" s="453"/>
      <c r="G2188" s="454"/>
      <c r="H2188" s="454"/>
      <c r="I2188" s="455"/>
      <c r="J2188" s="456"/>
      <c r="K2188" s="467" t="s">
        <v>1417</v>
      </c>
      <c r="L2188" s="468"/>
      <c r="M2188" s="469"/>
      <c r="N2188" s="470"/>
      <c r="O2188" s="470"/>
      <c r="P2188" s="471"/>
      <c r="Q2188" s="468"/>
      <c r="R2188" s="469"/>
      <c r="S2188" s="469"/>
      <c r="T2188" s="469"/>
      <c r="U2188" s="469"/>
      <c r="V2188" s="469"/>
      <c r="W2188" s="469"/>
      <c r="X2188" s="469"/>
      <c r="Y2188" s="462">
        <f t="shared" si="17"/>
        <v>0</v>
      </c>
      <c r="Z2188" s="463"/>
      <c r="AA2188" s="464"/>
      <c r="AB2188" s="465"/>
      <c r="AC2188" s="465"/>
      <c r="AD2188" s="465"/>
      <c r="AE2188" s="466"/>
      <c r="AF2188" s="449"/>
      <c r="AG2188" s="449"/>
      <c r="AH2188" s="449"/>
    </row>
    <row r="2189" ht="11.25" customHeight="1">
      <c r="A2189" s="450"/>
      <c r="B2189" s="472"/>
      <c r="C2189" s="473"/>
      <c r="D2189" s="473"/>
      <c r="E2189" s="474"/>
      <c r="F2189" s="474"/>
      <c r="G2189" s="475"/>
      <c r="H2189" s="475"/>
      <c r="I2189" s="476"/>
      <c r="J2189" s="477"/>
      <c r="K2189" s="478" t="s">
        <v>1418</v>
      </c>
      <c r="L2189" s="479"/>
      <c r="M2189" s="480"/>
      <c r="N2189" s="481"/>
      <c r="O2189" s="481"/>
      <c r="P2189" s="482"/>
      <c r="Q2189" s="479"/>
      <c r="R2189" s="480"/>
      <c r="S2189" s="480"/>
      <c r="T2189" s="480"/>
      <c r="U2189" s="480"/>
      <c r="V2189" s="480"/>
      <c r="W2189" s="480"/>
      <c r="X2189" s="480"/>
      <c r="Y2189" s="483">
        <f t="shared" si="17"/>
        <v>0</v>
      </c>
      <c r="Z2189" s="484"/>
      <c r="AA2189" s="485"/>
      <c r="AB2189" s="486"/>
      <c r="AC2189" s="486"/>
      <c r="AD2189" s="486"/>
      <c r="AE2189" s="487"/>
      <c r="AF2189" s="449"/>
      <c r="AG2189" s="449"/>
      <c r="AH2189" s="449"/>
    </row>
    <row r="2190" ht="11.25" customHeight="1">
      <c r="A2190" s="431" t="str">
        <f>IF(B2190="","", YEAR(B2190))</f>
        <v/>
      </c>
      <c r="B2190" s="432"/>
      <c r="C2190" s="433"/>
      <c r="D2190" s="433"/>
      <c r="E2190" s="434" t="str">
        <f t="shared" ref="E2190:I2190" si="1102">IFERROR(AVERAGE(L2190:L2193),"")</f>
        <v/>
      </c>
      <c r="F2190" s="434" t="str">
        <f t="shared" si="1102"/>
        <v/>
      </c>
      <c r="G2190" s="435" t="str">
        <f t="shared" si="1102"/>
        <v/>
      </c>
      <c r="H2190" s="435" t="str">
        <f t="shared" si="1102"/>
        <v/>
      </c>
      <c r="I2190" s="436" t="str">
        <f t="shared" si="1102"/>
        <v/>
      </c>
      <c r="J2190" s="437">
        <f>SUMIFS(PRODUCTION[KG],PRODUCTION[GRADE],"3X50",PRODUCTION[DATE],B2190,PRODUCTION[BATCH],C2190,PRODUCTION[SHIFT],D2190)</f>
        <v>0</v>
      </c>
      <c r="K2190" s="438" t="s">
        <v>1414</v>
      </c>
      <c r="L2190" s="443"/>
      <c r="M2190" s="440"/>
      <c r="N2190" s="441"/>
      <c r="O2190" s="441"/>
      <c r="P2190" s="442"/>
      <c r="Q2190" s="443"/>
      <c r="R2190" s="440"/>
      <c r="S2190" s="440"/>
      <c r="T2190" s="440"/>
      <c r="U2190" s="440"/>
      <c r="V2190" s="440"/>
      <c r="W2190" s="440"/>
      <c r="X2190" s="440"/>
      <c r="Y2190" s="444">
        <f t="shared" si="17"/>
        <v>0</v>
      </c>
      <c r="Z2190" s="445"/>
      <c r="AA2190" s="446">
        <f t="shared" ref="AA2190:AE2190" si="1103">$J2190*E2190</f>
        <v>0</v>
      </c>
      <c r="AB2190" s="447">
        <f t="shared" si="1103"/>
        <v>0</v>
      </c>
      <c r="AC2190" s="447">
        <f t="shared" si="1103"/>
        <v>0</v>
      </c>
      <c r="AD2190" s="447">
        <f t="shared" si="1103"/>
        <v>0</v>
      </c>
      <c r="AE2190" s="448">
        <f t="shared" si="1103"/>
        <v>0</v>
      </c>
      <c r="AF2190" s="449"/>
      <c r="AG2190" s="449"/>
      <c r="AH2190" s="449"/>
    </row>
    <row r="2191" ht="11.25" customHeight="1">
      <c r="A2191" s="450"/>
      <c r="B2191" s="451"/>
      <c r="C2191" s="452"/>
      <c r="D2191" s="452"/>
      <c r="E2191" s="453"/>
      <c r="F2191" s="453"/>
      <c r="G2191" s="454"/>
      <c r="H2191" s="454"/>
      <c r="I2191" s="455"/>
      <c r="J2191" s="456"/>
      <c r="K2191" s="457" t="s">
        <v>1416</v>
      </c>
      <c r="L2191" s="458"/>
      <c r="M2191" s="459"/>
      <c r="N2191" s="460"/>
      <c r="O2191" s="460"/>
      <c r="P2191" s="461"/>
      <c r="Q2191" s="458"/>
      <c r="R2191" s="459"/>
      <c r="S2191" s="459"/>
      <c r="T2191" s="459"/>
      <c r="U2191" s="459"/>
      <c r="V2191" s="459"/>
      <c r="W2191" s="459"/>
      <c r="X2191" s="459"/>
      <c r="Y2191" s="462">
        <f t="shared" si="17"/>
        <v>0</v>
      </c>
      <c r="Z2191" s="463"/>
      <c r="AA2191" s="464"/>
      <c r="AB2191" s="465"/>
      <c r="AC2191" s="465"/>
      <c r="AD2191" s="465"/>
      <c r="AE2191" s="466"/>
      <c r="AF2191" s="449"/>
      <c r="AG2191" s="449"/>
      <c r="AH2191" s="449"/>
    </row>
    <row r="2192" ht="11.25" customHeight="1">
      <c r="A2192" s="450"/>
      <c r="B2192" s="451"/>
      <c r="C2192" s="452"/>
      <c r="D2192" s="452"/>
      <c r="E2192" s="453"/>
      <c r="F2192" s="453"/>
      <c r="G2192" s="454"/>
      <c r="H2192" s="454"/>
      <c r="I2192" s="455"/>
      <c r="J2192" s="456"/>
      <c r="K2192" s="467" t="s">
        <v>1417</v>
      </c>
      <c r="L2192" s="468"/>
      <c r="M2192" s="469"/>
      <c r="N2192" s="470"/>
      <c r="O2192" s="470"/>
      <c r="P2192" s="471"/>
      <c r="Q2192" s="468"/>
      <c r="R2192" s="469"/>
      <c r="S2192" s="469"/>
      <c r="T2192" s="469"/>
      <c r="U2192" s="469"/>
      <c r="V2192" s="469"/>
      <c r="W2192" s="469"/>
      <c r="X2192" s="469"/>
      <c r="Y2192" s="462">
        <f t="shared" si="17"/>
        <v>0</v>
      </c>
      <c r="Z2192" s="463"/>
      <c r="AA2192" s="464"/>
      <c r="AB2192" s="465"/>
      <c r="AC2192" s="465"/>
      <c r="AD2192" s="465"/>
      <c r="AE2192" s="466"/>
      <c r="AF2192" s="449"/>
      <c r="AG2192" s="449"/>
      <c r="AH2192" s="449"/>
    </row>
    <row r="2193" ht="11.25" customHeight="1">
      <c r="A2193" s="450"/>
      <c r="B2193" s="472"/>
      <c r="C2193" s="473"/>
      <c r="D2193" s="473"/>
      <c r="E2193" s="474"/>
      <c r="F2193" s="474"/>
      <c r="G2193" s="475"/>
      <c r="H2193" s="475"/>
      <c r="I2193" s="476"/>
      <c r="J2193" s="477"/>
      <c r="K2193" s="478" t="s">
        <v>1418</v>
      </c>
      <c r="L2193" s="479"/>
      <c r="M2193" s="480"/>
      <c r="N2193" s="481"/>
      <c r="O2193" s="481"/>
      <c r="P2193" s="482"/>
      <c r="Q2193" s="479"/>
      <c r="R2193" s="480"/>
      <c r="S2193" s="480"/>
      <c r="T2193" s="480"/>
      <c r="U2193" s="480"/>
      <c r="V2193" s="480"/>
      <c r="W2193" s="480"/>
      <c r="X2193" s="480"/>
      <c r="Y2193" s="483">
        <f t="shared" si="17"/>
        <v>0</v>
      </c>
      <c r="Z2193" s="484"/>
      <c r="AA2193" s="485"/>
      <c r="AB2193" s="486"/>
      <c r="AC2193" s="486"/>
      <c r="AD2193" s="486"/>
      <c r="AE2193" s="487"/>
      <c r="AF2193" s="449"/>
      <c r="AG2193" s="449"/>
      <c r="AH2193" s="449"/>
    </row>
    <row r="2194" ht="11.25" customHeight="1">
      <c r="A2194" s="431" t="str">
        <f>IF(B2194="","", YEAR(B2194))</f>
        <v/>
      </c>
      <c r="B2194" s="432"/>
      <c r="C2194" s="433"/>
      <c r="D2194" s="433"/>
      <c r="E2194" s="434" t="str">
        <f t="shared" ref="E2194:I2194" si="1104">IFERROR(AVERAGE(L2194:L2197),"")</f>
        <v/>
      </c>
      <c r="F2194" s="434" t="str">
        <f t="shared" si="1104"/>
        <v/>
      </c>
      <c r="G2194" s="435" t="str">
        <f t="shared" si="1104"/>
        <v/>
      </c>
      <c r="H2194" s="435" t="str">
        <f t="shared" si="1104"/>
        <v/>
      </c>
      <c r="I2194" s="436" t="str">
        <f t="shared" si="1104"/>
        <v/>
      </c>
      <c r="J2194" s="437">
        <f>SUMIFS(PRODUCTION[KG],PRODUCTION[GRADE],"3X50",PRODUCTION[DATE],B2194,PRODUCTION[BATCH],C2194,PRODUCTION[SHIFT],D2194)</f>
        <v>0</v>
      </c>
      <c r="K2194" s="438" t="s">
        <v>1414</v>
      </c>
      <c r="L2194" s="443"/>
      <c r="M2194" s="440"/>
      <c r="N2194" s="441"/>
      <c r="O2194" s="441"/>
      <c r="P2194" s="442"/>
      <c r="Q2194" s="443"/>
      <c r="R2194" s="440"/>
      <c r="S2194" s="440"/>
      <c r="T2194" s="440"/>
      <c r="U2194" s="440"/>
      <c r="V2194" s="440"/>
      <c r="W2194" s="440"/>
      <c r="X2194" s="440"/>
      <c r="Y2194" s="444">
        <f t="shared" si="17"/>
        <v>0</v>
      </c>
      <c r="Z2194" s="445"/>
      <c r="AA2194" s="446">
        <f t="shared" ref="AA2194:AE2194" si="1105">$J2194*E2194</f>
        <v>0</v>
      </c>
      <c r="AB2194" s="447">
        <f t="shared" si="1105"/>
        <v>0</v>
      </c>
      <c r="AC2194" s="447">
        <f t="shared" si="1105"/>
        <v>0</v>
      </c>
      <c r="AD2194" s="447">
        <f t="shared" si="1105"/>
        <v>0</v>
      </c>
      <c r="AE2194" s="448">
        <f t="shared" si="1105"/>
        <v>0</v>
      </c>
      <c r="AF2194" s="449"/>
      <c r="AG2194" s="449"/>
      <c r="AH2194" s="449"/>
    </row>
    <row r="2195" ht="11.25" customHeight="1">
      <c r="A2195" s="450"/>
      <c r="B2195" s="451"/>
      <c r="C2195" s="452"/>
      <c r="D2195" s="452"/>
      <c r="E2195" s="453"/>
      <c r="F2195" s="453"/>
      <c r="G2195" s="454"/>
      <c r="H2195" s="454"/>
      <c r="I2195" s="455"/>
      <c r="J2195" s="456"/>
      <c r="K2195" s="457" t="s">
        <v>1416</v>
      </c>
      <c r="L2195" s="458"/>
      <c r="M2195" s="459"/>
      <c r="N2195" s="460"/>
      <c r="O2195" s="460"/>
      <c r="P2195" s="461"/>
      <c r="Q2195" s="458"/>
      <c r="R2195" s="459"/>
      <c r="S2195" s="459"/>
      <c r="T2195" s="459"/>
      <c r="U2195" s="459"/>
      <c r="V2195" s="459"/>
      <c r="W2195" s="459"/>
      <c r="X2195" s="459"/>
      <c r="Y2195" s="462">
        <f t="shared" si="17"/>
        <v>0</v>
      </c>
      <c r="Z2195" s="463"/>
      <c r="AA2195" s="464"/>
      <c r="AB2195" s="465"/>
      <c r="AC2195" s="465"/>
      <c r="AD2195" s="465"/>
      <c r="AE2195" s="466"/>
      <c r="AF2195" s="449"/>
      <c r="AG2195" s="449"/>
      <c r="AH2195" s="449"/>
    </row>
    <row r="2196" ht="11.25" customHeight="1">
      <c r="A2196" s="450"/>
      <c r="B2196" s="451"/>
      <c r="C2196" s="452"/>
      <c r="D2196" s="452"/>
      <c r="E2196" s="453"/>
      <c r="F2196" s="453"/>
      <c r="G2196" s="454"/>
      <c r="H2196" s="454"/>
      <c r="I2196" s="455"/>
      <c r="J2196" s="456"/>
      <c r="K2196" s="467" t="s">
        <v>1417</v>
      </c>
      <c r="L2196" s="468"/>
      <c r="M2196" s="469"/>
      <c r="N2196" s="470"/>
      <c r="O2196" s="470"/>
      <c r="P2196" s="471"/>
      <c r="Q2196" s="468"/>
      <c r="R2196" s="469"/>
      <c r="S2196" s="469"/>
      <c r="T2196" s="469"/>
      <c r="U2196" s="469"/>
      <c r="V2196" s="469"/>
      <c r="W2196" s="469"/>
      <c r="X2196" s="469"/>
      <c r="Y2196" s="462">
        <f t="shared" si="17"/>
        <v>0</v>
      </c>
      <c r="Z2196" s="463"/>
      <c r="AA2196" s="464"/>
      <c r="AB2196" s="465"/>
      <c r="AC2196" s="465"/>
      <c r="AD2196" s="465"/>
      <c r="AE2196" s="466"/>
      <c r="AF2196" s="449"/>
      <c r="AG2196" s="449"/>
      <c r="AH2196" s="449"/>
    </row>
    <row r="2197" ht="11.25" customHeight="1">
      <c r="A2197" s="450"/>
      <c r="B2197" s="472"/>
      <c r="C2197" s="473"/>
      <c r="D2197" s="473"/>
      <c r="E2197" s="474"/>
      <c r="F2197" s="474"/>
      <c r="G2197" s="475"/>
      <c r="H2197" s="475"/>
      <c r="I2197" s="476"/>
      <c r="J2197" s="477"/>
      <c r="K2197" s="478" t="s">
        <v>1418</v>
      </c>
      <c r="L2197" s="479"/>
      <c r="M2197" s="480"/>
      <c r="N2197" s="481"/>
      <c r="O2197" s="481"/>
      <c r="P2197" s="482"/>
      <c r="Q2197" s="479"/>
      <c r="R2197" s="480"/>
      <c r="S2197" s="480"/>
      <c r="T2197" s="480"/>
      <c r="U2197" s="480"/>
      <c r="V2197" s="480"/>
      <c r="W2197" s="480"/>
      <c r="X2197" s="480"/>
      <c r="Y2197" s="483">
        <f t="shared" si="17"/>
        <v>0</v>
      </c>
      <c r="Z2197" s="484"/>
      <c r="AA2197" s="485"/>
      <c r="AB2197" s="486"/>
      <c r="AC2197" s="486"/>
      <c r="AD2197" s="486"/>
      <c r="AE2197" s="487"/>
      <c r="AF2197" s="449"/>
      <c r="AG2197" s="449"/>
      <c r="AH2197" s="449"/>
    </row>
    <row r="2198" ht="11.25" customHeight="1">
      <c r="A2198" s="431" t="str">
        <f>IF(B2198="","", YEAR(B2198))</f>
        <v/>
      </c>
      <c r="B2198" s="432"/>
      <c r="C2198" s="433"/>
      <c r="D2198" s="433"/>
      <c r="E2198" s="434" t="str">
        <f t="shared" ref="E2198:I2198" si="1106">IFERROR(AVERAGE(L2198:L2201),"")</f>
        <v/>
      </c>
      <c r="F2198" s="434" t="str">
        <f t="shared" si="1106"/>
        <v/>
      </c>
      <c r="G2198" s="435" t="str">
        <f t="shared" si="1106"/>
        <v/>
      </c>
      <c r="H2198" s="435" t="str">
        <f t="shared" si="1106"/>
        <v/>
      </c>
      <c r="I2198" s="436" t="str">
        <f t="shared" si="1106"/>
        <v/>
      </c>
      <c r="J2198" s="437">
        <f>SUMIFS(PRODUCTION[KG],PRODUCTION[GRADE],"3X50",PRODUCTION[DATE],B2198,PRODUCTION[BATCH],C2198,PRODUCTION[SHIFT],D2198)</f>
        <v>0</v>
      </c>
      <c r="K2198" s="438" t="s">
        <v>1414</v>
      </c>
      <c r="L2198" s="443"/>
      <c r="M2198" s="440"/>
      <c r="N2198" s="441"/>
      <c r="O2198" s="441"/>
      <c r="P2198" s="442"/>
      <c r="Q2198" s="443"/>
      <c r="R2198" s="440"/>
      <c r="S2198" s="440"/>
      <c r="T2198" s="440"/>
      <c r="U2198" s="440"/>
      <c r="V2198" s="440"/>
      <c r="W2198" s="440"/>
      <c r="X2198" s="440"/>
      <c r="Y2198" s="444">
        <f t="shared" si="17"/>
        <v>0</v>
      </c>
      <c r="Z2198" s="445"/>
      <c r="AA2198" s="446">
        <f t="shared" ref="AA2198:AE2198" si="1107">$J2198*E2198</f>
        <v>0</v>
      </c>
      <c r="AB2198" s="447">
        <f t="shared" si="1107"/>
        <v>0</v>
      </c>
      <c r="AC2198" s="447">
        <f t="shared" si="1107"/>
        <v>0</v>
      </c>
      <c r="AD2198" s="447">
        <f t="shared" si="1107"/>
        <v>0</v>
      </c>
      <c r="AE2198" s="448">
        <f t="shared" si="1107"/>
        <v>0</v>
      </c>
      <c r="AF2198" s="449"/>
      <c r="AG2198" s="449"/>
      <c r="AH2198" s="449"/>
    </row>
    <row r="2199" ht="11.25" customHeight="1">
      <c r="A2199" s="450"/>
      <c r="B2199" s="451"/>
      <c r="C2199" s="452"/>
      <c r="D2199" s="452"/>
      <c r="E2199" s="453"/>
      <c r="F2199" s="453"/>
      <c r="G2199" s="454"/>
      <c r="H2199" s="454"/>
      <c r="I2199" s="455"/>
      <c r="J2199" s="456"/>
      <c r="K2199" s="457" t="s">
        <v>1416</v>
      </c>
      <c r="L2199" s="458"/>
      <c r="M2199" s="459"/>
      <c r="N2199" s="460"/>
      <c r="O2199" s="460"/>
      <c r="P2199" s="461"/>
      <c r="Q2199" s="458"/>
      <c r="R2199" s="459"/>
      <c r="S2199" s="459"/>
      <c r="T2199" s="459"/>
      <c r="U2199" s="459"/>
      <c r="V2199" s="459"/>
      <c r="W2199" s="459"/>
      <c r="X2199" s="459"/>
      <c r="Y2199" s="462">
        <f t="shared" si="17"/>
        <v>0</v>
      </c>
      <c r="Z2199" s="463"/>
      <c r="AA2199" s="464"/>
      <c r="AB2199" s="465"/>
      <c r="AC2199" s="465"/>
      <c r="AD2199" s="465"/>
      <c r="AE2199" s="466"/>
      <c r="AF2199" s="449"/>
      <c r="AG2199" s="449"/>
      <c r="AH2199" s="449"/>
    </row>
    <row r="2200" ht="11.25" customHeight="1">
      <c r="A2200" s="450"/>
      <c r="B2200" s="451"/>
      <c r="C2200" s="452"/>
      <c r="D2200" s="452"/>
      <c r="E2200" s="453"/>
      <c r="F2200" s="453"/>
      <c r="G2200" s="454"/>
      <c r="H2200" s="454"/>
      <c r="I2200" s="455"/>
      <c r="J2200" s="456"/>
      <c r="K2200" s="467" t="s">
        <v>1417</v>
      </c>
      <c r="L2200" s="468"/>
      <c r="M2200" s="469"/>
      <c r="N2200" s="470"/>
      <c r="O2200" s="470"/>
      <c r="P2200" s="471"/>
      <c r="Q2200" s="468"/>
      <c r="R2200" s="469"/>
      <c r="S2200" s="469"/>
      <c r="T2200" s="469"/>
      <c r="U2200" s="469"/>
      <c r="V2200" s="469"/>
      <c r="W2200" s="469"/>
      <c r="X2200" s="469"/>
      <c r="Y2200" s="462">
        <f t="shared" si="17"/>
        <v>0</v>
      </c>
      <c r="Z2200" s="463"/>
      <c r="AA2200" s="464"/>
      <c r="AB2200" s="465"/>
      <c r="AC2200" s="465"/>
      <c r="AD2200" s="465"/>
      <c r="AE2200" s="466"/>
      <c r="AF2200" s="449"/>
      <c r="AG2200" s="449"/>
      <c r="AH2200" s="449"/>
    </row>
    <row r="2201" ht="11.25" customHeight="1">
      <c r="A2201" s="450"/>
      <c r="B2201" s="472"/>
      <c r="C2201" s="473"/>
      <c r="D2201" s="473"/>
      <c r="E2201" s="474"/>
      <c r="F2201" s="474"/>
      <c r="G2201" s="475"/>
      <c r="H2201" s="475"/>
      <c r="I2201" s="476"/>
      <c r="J2201" s="477"/>
      <c r="K2201" s="478" t="s">
        <v>1418</v>
      </c>
      <c r="L2201" s="479"/>
      <c r="M2201" s="480"/>
      <c r="N2201" s="481"/>
      <c r="O2201" s="481"/>
      <c r="P2201" s="482"/>
      <c r="Q2201" s="479"/>
      <c r="R2201" s="480"/>
      <c r="S2201" s="480"/>
      <c r="T2201" s="480"/>
      <c r="U2201" s="480"/>
      <c r="V2201" s="480"/>
      <c r="W2201" s="480"/>
      <c r="X2201" s="480"/>
      <c r="Y2201" s="483">
        <f t="shared" si="17"/>
        <v>0</v>
      </c>
      <c r="Z2201" s="484"/>
      <c r="AA2201" s="485"/>
      <c r="AB2201" s="486"/>
      <c r="AC2201" s="486"/>
      <c r="AD2201" s="486"/>
      <c r="AE2201" s="487"/>
      <c r="AF2201" s="449"/>
      <c r="AG2201" s="449"/>
      <c r="AH2201" s="449"/>
    </row>
    <row r="2202" ht="11.25" customHeight="1">
      <c r="A2202" s="431" t="str">
        <f>IF(B2202="","", YEAR(B2202))</f>
        <v/>
      </c>
      <c r="B2202" s="432"/>
      <c r="C2202" s="433"/>
      <c r="D2202" s="433"/>
      <c r="E2202" s="434" t="str">
        <f t="shared" ref="E2202:I2202" si="1108">IFERROR(AVERAGE(L2202:L2205),"")</f>
        <v/>
      </c>
      <c r="F2202" s="434" t="str">
        <f t="shared" si="1108"/>
        <v/>
      </c>
      <c r="G2202" s="435" t="str">
        <f t="shared" si="1108"/>
        <v/>
      </c>
      <c r="H2202" s="435" t="str">
        <f t="shared" si="1108"/>
        <v/>
      </c>
      <c r="I2202" s="436" t="str">
        <f t="shared" si="1108"/>
        <v/>
      </c>
      <c r="J2202" s="437">
        <f>SUMIFS(PRODUCTION[KG],PRODUCTION[GRADE],"3X50",PRODUCTION[DATE],B2202,PRODUCTION[BATCH],C2202,PRODUCTION[SHIFT],D2202)</f>
        <v>0</v>
      </c>
      <c r="K2202" s="438" t="s">
        <v>1414</v>
      </c>
      <c r="L2202" s="443"/>
      <c r="M2202" s="440"/>
      <c r="N2202" s="441"/>
      <c r="O2202" s="441"/>
      <c r="P2202" s="442"/>
      <c r="Q2202" s="443"/>
      <c r="R2202" s="440"/>
      <c r="S2202" s="440"/>
      <c r="T2202" s="440"/>
      <c r="U2202" s="440"/>
      <c r="V2202" s="440"/>
      <c r="W2202" s="440"/>
      <c r="X2202" s="440"/>
      <c r="Y2202" s="444">
        <f t="shared" si="17"/>
        <v>0</v>
      </c>
      <c r="Z2202" s="445"/>
      <c r="AA2202" s="446">
        <f t="shared" ref="AA2202:AE2202" si="1109">$J2202*E2202</f>
        <v>0</v>
      </c>
      <c r="AB2202" s="447">
        <f t="shared" si="1109"/>
        <v>0</v>
      </c>
      <c r="AC2202" s="447">
        <f t="shared" si="1109"/>
        <v>0</v>
      </c>
      <c r="AD2202" s="447">
        <f t="shared" si="1109"/>
        <v>0</v>
      </c>
      <c r="AE2202" s="448">
        <f t="shared" si="1109"/>
        <v>0</v>
      </c>
      <c r="AF2202" s="449"/>
      <c r="AG2202" s="449"/>
      <c r="AH2202" s="449"/>
    </row>
    <row r="2203" ht="11.25" customHeight="1">
      <c r="A2203" s="450"/>
      <c r="B2203" s="451"/>
      <c r="C2203" s="452"/>
      <c r="D2203" s="452"/>
      <c r="E2203" s="453"/>
      <c r="F2203" s="453"/>
      <c r="G2203" s="454"/>
      <c r="H2203" s="454"/>
      <c r="I2203" s="455"/>
      <c r="J2203" s="456"/>
      <c r="K2203" s="457" t="s">
        <v>1416</v>
      </c>
      <c r="L2203" s="458"/>
      <c r="M2203" s="459"/>
      <c r="N2203" s="460"/>
      <c r="O2203" s="460"/>
      <c r="P2203" s="461"/>
      <c r="Q2203" s="458"/>
      <c r="R2203" s="459"/>
      <c r="S2203" s="459"/>
      <c r="T2203" s="459"/>
      <c r="U2203" s="459"/>
      <c r="V2203" s="459"/>
      <c r="W2203" s="459"/>
      <c r="X2203" s="459"/>
      <c r="Y2203" s="462">
        <f t="shared" si="17"/>
        <v>0</v>
      </c>
      <c r="Z2203" s="463"/>
      <c r="AA2203" s="464"/>
      <c r="AB2203" s="465"/>
      <c r="AC2203" s="465"/>
      <c r="AD2203" s="465"/>
      <c r="AE2203" s="466"/>
      <c r="AF2203" s="449"/>
      <c r="AG2203" s="449"/>
      <c r="AH2203" s="449"/>
    </row>
    <row r="2204" ht="11.25" customHeight="1">
      <c r="A2204" s="450"/>
      <c r="B2204" s="451"/>
      <c r="C2204" s="452"/>
      <c r="D2204" s="452"/>
      <c r="E2204" s="453"/>
      <c r="F2204" s="453"/>
      <c r="G2204" s="454"/>
      <c r="H2204" s="454"/>
      <c r="I2204" s="455"/>
      <c r="J2204" s="456"/>
      <c r="K2204" s="467" t="s">
        <v>1417</v>
      </c>
      <c r="L2204" s="468"/>
      <c r="M2204" s="469"/>
      <c r="N2204" s="470"/>
      <c r="O2204" s="470"/>
      <c r="P2204" s="471"/>
      <c r="Q2204" s="468"/>
      <c r="R2204" s="469"/>
      <c r="S2204" s="469"/>
      <c r="T2204" s="469"/>
      <c r="U2204" s="469"/>
      <c r="V2204" s="469"/>
      <c r="W2204" s="469"/>
      <c r="X2204" s="469"/>
      <c r="Y2204" s="462">
        <f t="shared" si="17"/>
        <v>0</v>
      </c>
      <c r="Z2204" s="463"/>
      <c r="AA2204" s="464"/>
      <c r="AB2204" s="465"/>
      <c r="AC2204" s="465"/>
      <c r="AD2204" s="465"/>
      <c r="AE2204" s="466"/>
      <c r="AF2204" s="449"/>
      <c r="AG2204" s="449"/>
      <c r="AH2204" s="449"/>
    </row>
    <row r="2205" ht="11.25" customHeight="1">
      <c r="A2205" s="450"/>
      <c r="B2205" s="472"/>
      <c r="C2205" s="473"/>
      <c r="D2205" s="473"/>
      <c r="E2205" s="474"/>
      <c r="F2205" s="474"/>
      <c r="G2205" s="475"/>
      <c r="H2205" s="475"/>
      <c r="I2205" s="476"/>
      <c r="J2205" s="477"/>
      <c r="K2205" s="478" t="s">
        <v>1418</v>
      </c>
      <c r="L2205" s="479"/>
      <c r="M2205" s="480"/>
      <c r="N2205" s="481"/>
      <c r="O2205" s="481"/>
      <c r="P2205" s="482"/>
      <c r="Q2205" s="479"/>
      <c r="R2205" s="480"/>
      <c r="S2205" s="480"/>
      <c r="T2205" s="480"/>
      <c r="U2205" s="480"/>
      <c r="V2205" s="480"/>
      <c r="W2205" s="480"/>
      <c r="X2205" s="480"/>
      <c r="Y2205" s="483">
        <f t="shared" si="17"/>
        <v>0</v>
      </c>
      <c r="Z2205" s="484"/>
      <c r="AA2205" s="485"/>
      <c r="AB2205" s="486"/>
      <c r="AC2205" s="486"/>
      <c r="AD2205" s="486"/>
      <c r="AE2205" s="487"/>
      <c r="AF2205" s="449"/>
      <c r="AG2205" s="449"/>
      <c r="AH2205" s="449"/>
    </row>
    <row r="2206" ht="11.25" customHeight="1">
      <c r="A2206" s="431" t="str">
        <f>IF(B2206="","", YEAR(B2206))</f>
        <v/>
      </c>
      <c r="B2206" s="432"/>
      <c r="C2206" s="433"/>
      <c r="D2206" s="433"/>
      <c r="E2206" s="434" t="str">
        <f t="shared" ref="E2206:I2206" si="1110">IFERROR(AVERAGE(L2206:L2209),"")</f>
        <v/>
      </c>
      <c r="F2206" s="434" t="str">
        <f t="shared" si="1110"/>
        <v/>
      </c>
      <c r="G2206" s="435" t="str">
        <f t="shared" si="1110"/>
        <v/>
      </c>
      <c r="H2206" s="435" t="str">
        <f t="shared" si="1110"/>
        <v/>
      </c>
      <c r="I2206" s="436" t="str">
        <f t="shared" si="1110"/>
        <v/>
      </c>
      <c r="J2206" s="437">
        <f>SUMIFS(PRODUCTION[KG],PRODUCTION[GRADE],"3X50",PRODUCTION[DATE],B2206,PRODUCTION[BATCH],C2206,PRODUCTION[SHIFT],D2206)</f>
        <v>0</v>
      </c>
      <c r="K2206" s="438" t="s">
        <v>1414</v>
      </c>
      <c r="L2206" s="443"/>
      <c r="M2206" s="440"/>
      <c r="N2206" s="441"/>
      <c r="O2206" s="441"/>
      <c r="P2206" s="442"/>
      <c r="Q2206" s="443"/>
      <c r="R2206" s="440"/>
      <c r="S2206" s="440"/>
      <c r="T2206" s="440"/>
      <c r="U2206" s="440"/>
      <c r="V2206" s="440"/>
      <c r="W2206" s="440"/>
      <c r="X2206" s="440"/>
      <c r="Y2206" s="444">
        <f t="shared" si="17"/>
        <v>0</v>
      </c>
      <c r="Z2206" s="445"/>
      <c r="AA2206" s="446">
        <f t="shared" ref="AA2206:AE2206" si="1111">$J2206*E2206</f>
        <v>0</v>
      </c>
      <c r="AB2206" s="447">
        <f t="shared" si="1111"/>
        <v>0</v>
      </c>
      <c r="AC2206" s="447">
        <f t="shared" si="1111"/>
        <v>0</v>
      </c>
      <c r="AD2206" s="447">
        <f t="shared" si="1111"/>
        <v>0</v>
      </c>
      <c r="AE2206" s="448">
        <f t="shared" si="1111"/>
        <v>0</v>
      </c>
      <c r="AF2206" s="449"/>
      <c r="AG2206" s="449"/>
      <c r="AH2206" s="449"/>
    </row>
    <row r="2207" ht="11.25" customHeight="1">
      <c r="A2207" s="450"/>
      <c r="B2207" s="451"/>
      <c r="C2207" s="452"/>
      <c r="D2207" s="452"/>
      <c r="E2207" s="453"/>
      <c r="F2207" s="453"/>
      <c r="G2207" s="454"/>
      <c r="H2207" s="454"/>
      <c r="I2207" s="455"/>
      <c r="J2207" s="456"/>
      <c r="K2207" s="457" t="s">
        <v>1416</v>
      </c>
      <c r="L2207" s="458"/>
      <c r="M2207" s="459"/>
      <c r="N2207" s="460"/>
      <c r="O2207" s="460"/>
      <c r="P2207" s="461"/>
      <c r="Q2207" s="458"/>
      <c r="R2207" s="459"/>
      <c r="S2207" s="459"/>
      <c r="T2207" s="459"/>
      <c r="U2207" s="459"/>
      <c r="V2207" s="459"/>
      <c r="W2207" s="459"/>
      <c r="X2207" s="459"/>
      <c r="Y2207" s="462">
        <f t="shared" si="17"/>
        <v>0</v>
      </c>
      <c r="Z2207" s="463"/>
      <c r="AA2207" s="464"/>
      <c r="AB2207" s="465"/>
      <c r="AC2207" s="465"/>
      <c r="AD2207" s="465"/>
      <c r="AE2207" s="466"/>
      <c r="AF2207" s="449"/>
      <c r="AG2207" s="449"/>
      <c r="AH2207" s="449"/>
    </row>
    <row r="2208" ht="11.25" customHeight="1">
      <c r="A2208" s="450"/>
      <c r="B2208" s="451"/>
      <c r="C2208" s="452"/>
      <c r="D2208" s="452"/>
      <c r="E2208" s="453"/>
      <c r="F2208" s="453"/>
      <c r="G2208" s="454"/>
      <c r="H2208" s="454"/>
      <c r="I2208" s="455"/>
      <c r="J2208" s="456"/>
      <c r="K2208" s="467" t="s">
        <v>1417</v>
      </c>
      <c r="L2208" s="468"/>
      <c r="M2208" s="469"/>
      <c r="N2208" s="470"/>
      <c r="O2208" s="470"/>
      <c r="P2208" s="471"/>
      <c r="Q2208" s="468"/>
      <c r="R2208" s="469"/>
      <c r="S2208" s="469"/>
      <c r="T2208" s="469"/>
      <c r="U2208" s="469"/>
      <c r="V2208" s="469"/>
      <c r="W2208" s="469"/>
      <c r="X2208" s="469"/>
      <c r="Y2208" s="462">
        <f t="shared" si="17"/>
        <v>0</v>
      </c>
      <c r="Z2208" s="463"/>
      <c r="AA2208" s="464"/>
      <c r="AB2208" s="465"/>
      <c r="AC2208" s="465"/>
      <c r="AD2208" s="465"/>
      <c r="AE2208" s="466"/>
      <c r="AF2208" s="449"/>
      <c r="AG2208" s="449"/>
      <c r="AH2208" s="449"/>
    </row>
    <row r="2209" ht="11.25" customHeight="1">
      <c r="A2209" s="450"/>
      <c r="B2209" s="472"/>
      <c r="C2209" s="473"/>
      <c r="D2209" s="473"/>
      <c r="E2209" s="474"/>
      <c r="F2209" s="474"/>
      <c r="G2209" s="475"/>
      <c r="H2209" s="475"/>
      <c r="I2209" s="476"/>
      <c r="J2209" s="477"/>
      <c r="K2209" s="478" t="s">
        <v>1418</v>
      </c>
      <c r="L2209" s="479"/>
      <c r="M2209" s="480"/>
      <c r="N2209" s="481"/>
      <c r="O2209" s="481"/>
      <c r="P2209" s="482"/>
      <c r="Q2209" s="479"/>
      <c r="R2209" s="480"/>
      <c r="S2209" s="480"/>
      <c r="T2209" s="480"/>
      <c r="U2209" s="480"/>
      <c r="V2209" s="480"/>
      <c r="W2209" s="480"/>
      <c r="X2209" s="480"/>
      <c r="Y2209" s="483">
        <f t="shared" si="17"/>
        <v>0</v>
      </c>
      <c r="Z2209" s="484"/>
      <c r="AA2209" s="485"/>
      <c r="AB2209" s="486"/>
      <c r="AC2209" s="486"/>
      <c r="AD2209" s="486"/>
      <c r="AE2209" s="487"/>
      <c r="AF2209" s="449"/>
      <c r="AG2209" s="449"/>
      <c r="AH2209" s="449"/>
    </row>
    <row r="2210" ht="11.25" customHeight="1">
      <c r="A2210" s="431" t="str">
        <f>IF(B2210="","", YEAR(B2210))</f>
        <v/>
      </c>
      <c r="B2210" s="432"/>
      <c r="C2210" s="433"/>
      <c r="D2210" s="433"/>
      <c r="E2210" s="434" t="str">
        <f t="shared" ref="E2210:I2210" si="1112">IFERROR(AVERAGE(L2210:L2213),"")</f>
        <v/>
      </c>
      <c r="F2210" s="434" t="str">
        <f t="shared" si="1112"/>
        <v/>
      </c>
      <c r="G2210" s="435" t="str">
        <f t="shared" si="1112"/>
        <v/>
      </c>
      <c r="H2210" s="435" t="str">
        <f t="shared" si="1112"/>
        <v/>
      </c>
      <c r="I2210" s="436" t="str">
        <f t="shared" si="1112"/>
        <v/>
      </c>
      <c r="J2210" s="437">
        <f>SUMIFS(PRODUCTION[KG],PRODUCTION[GRADE],"3X50",PRODUCTION[DATE],B2210,PRODUCTION[BATCH],C2210,PRODUCTION[SHIFT],D2210)</f>
        <v>0</v>
      </c>
      <c r="K2210" s="438" t="s">
        <v>1414</v>
      </c>
      <c r="L2210" s="443"/>
      <c r="M2210" s="440"/>
      <c r="N2210" s="441"/>
      <c r="O2210" s="441"/>
      <c r="P2210" s="442"/>
      <c r="Q2210" s="443"/>
      <c r="R2210" s="440"/>
      <c r="S2210" s="440"/>
      <c r="T2210" s="440"/>
      <c r="U2210" s="440"/>
      <c r="V2210" s="440"/>
      <c r="W2210" s="440"/>
      <c r="X2210" s="440"/>
      <c r="Y2210" s="444">
        <f t="shared" si="17"/>
        <v>0</v>
      </c>
      <c r="Z2210" s="445"/>
      <c r="AA2210" s="446">
        <f t="shared" ref="AA2210:AE2210" si="1113">$J2210*E2210</f>
        <v>0</v>
      </c>
      <c r="AB2210" s="447">
        <f t="shared" si="1113"/>
        <v>0</v>
      </c>
      <c r="AC2210" s="447">
        <f t="shared" si="1113"/>
        <v>0</v>
      </c>
      <c r="AD2210" s="447">
        <f t="shared" si="1113"/>
        <v>0</v>
      </c>
      <c r="AE2210" s="448">
        <f t="shared" si="1113"/>
        <v>0</v>
      </c>
      <c r="AF2210" s="449"/>
      <c r="AG2210" s="449"/>
      <c r="AH2210" s="449"/>
    </row>
    <row r="2211" ht="11.25" customHeight="1">
      <c r="A2211" s="450"/>
      <c r="B2211" s="451"/>
      <c r="C2211" s="452"/>
      <c r="D2211" s="452"/>
      <c r="E2211" s="453"/>
      <c r="F2211" s="453"/>
      <c r="G2211" s="454"/>
      <c r="H2211" s="454"/>
      <c r="I2211" s="455"/>
      <c r="J2211" s="456"/>
      <c r="K2211" s="457" t="s">
        <v>1416</v>
      </c>
      <c r="L2211" s="458"/>
      <c r="M2211" s="459"/>
      <c r="N2211" s="460"/>
      <c r="O2211" s="460"/>
      <c r="P2211" s="461"/>
      <c r="Q2211" s="458"/>
      <c r="R2211" s="459"/>
      <c r="S2211" s="459"/>
      <c r="T2211" s="459"/>
      <c r="U2211" s="459"/>
      <c r="V2211" s="459"/>
      <c r="W2211" s="459"/>
      <c r="X2211" s="459"/>
      <c r="Y2211" s="462">
        <f t="shared" si="17"/>
        <v>0</v>
      </c>
      <c r="Z2211" s="463"/>
      <c r="AA2211" s="464"/>
      <c r="AB2211" s="465"/>
      <c r="AC2211" s="465"/>
      <c r="AD2211" s="465"/>
      <c r="AE2211" s="466"/>
      <c r="AF2211" s="449"/>
      <c r="AG2211" s="449"/>
      <c r="AH2211" s="449"/>
    </row>
    <row r="2212" ht="11.25" customHeight="1">
      <c r="A2212" s="450"/>
      <c r="B2212" s="451"/>
      <c r="C2212" s="452"/>
      <c r="D2212" s="452"/>
      <c r="E2212" s="453"/>
      <c r="F2212" s="453"/>
      <c r="G2212" s="454"/>
      <c r="H2212" s="454"/>
      <c r="I2212" s="455"/>
      <c r="J2212" s="456"/>
      <c r="K2212" s="467" t="s">
        <v>1417</v>
      </c>
      <c r="L2212" s="468"/>
      <c r="M2212" s="469"/>
      <c r="N2212" s="470"/>
      <c r="O2212" s="470"/>
      <c r="P2212" s="471"/>
      <c r="Q2212" s="468"/>
      <c r="R2212" s="469"/>
      <c r="S2212" s="469"/>
      <c r="T2212" s="469"/>
      <c r="U2212" s="469"/>
      <c r="V2212" s="469"/>
      <c r="W2212" s="469"/>
      <c r="X2212" s="469"/>
      <c r="Y2212" s="462">
        <f t="shared" si="17"/>
        <v>0</v>
      </c>
      <c r="Z2212" s="463"/>
      <c r="AA2212" s="464"/>
      <c r="AB2212" s="465"/>
      <c r="AC2212" s="465"/>
      <c r="AD2212" s="465"/>
      <c r="AE2212" s="466"/>
      <c r="AF2212" s="449"/>
      <c r="AG2212" s="449"/>
      <c r="AH2212" s="449"/>
    </row>
    <row r="2213" ht="11.25" customHeight="1">
      <c r="A2213" s="450"/>
      <c r="B2213" s="472"/>
      <c r="C2213" s="473"/>
      <c r="D2213" s="473"/>
      <c r="E2213" s="474"/>
      <c r="F2213" s="474"/>
      <c r="G2213" s="475"/>
      <c r="H2213" s="475"/>
      <c r="I2213" s="476"/>
      <c r="J2213" s="477"/>
      <c r="K2213" s="478" t="s">
        <v>1418</v>
      </c>
      <c r="L2213" s="479"/>
      <c r="M2213" s="480"/>
      <c r="N2213" s="481"/>
      <c r="O2213" s="481"/>
      <c r="P2213" s="482"/>
      <c r="Q2213" s="479"/>
      <c r="R2213" s="480"/>
      <c r="S2213" s="480"/>
      <c r="T2213" s="480"/>
      <c r="U2213" s="480"/>
      <c r="V2213" s="480"/>
      <c r="W2213" s="480"/>
      <c r="X2213" s="480"/>
      <c r="Y2213" s="483">
        <f t="shared" si="17"/>
        <v>0</v>
      </c>
      <c r="Z2213" s="484"/>
      <c r="AA2213" s="485"/>
      <c r="AB2213" s="486"/>
      <c r="AC2213" s="486"/>
      <c r="AD2213" s="486"/>
      <c r="AE2213" s="487"/>
      <c r="AF2213" s="449"/>
      <c r="AG2213" s="449"/>
      <c r="AH2213" s="449"/>
    </row>
    <row r="2214" ht="11.25" customHeight="1">
      <c r="A2214" s="431" t="str">
        <f>IF(B2214="","", YEAR(B2214))</f>
        <v/>
      </c>
      <c r="B2214" s="432"/>
      <c r="C2214" s="433"/>
      <c r="D2214" s="433"/>
      <c r="E2214" s="434" t="str">
        <f t="shared" ref="E2214:I2214" si="1114">IFERROR(AVERAGE(L2214:L2217),"")</f>
        <v/>
      </c>
      <c r="F2214" s="434" t="str">
        <f t="shared" si="1114"/>
        <v/>
      </c>
      <c r="G2214" s="435" t="str">
        <f t="shared" si="1114"/>
        <v/>
      </c>
      <c r="H2214" s="435" t="str">
        <f t="shared" si="1114"/>
        <v/>
      </c>
      <c r="I2214" s="436" t="str">
        <f t="shared" si="1114"/>
        <v/>
      </c>
      <c r="J2214" s="437">
        <f>SUMIFS(PRODUCTION[KG],PRODUCTION[GRADE],"3X50",PRODUCTION[DATE],B2214,PRODUCTION[BATCH],C2214,PRODUCTION[SHIFT],D2214)</f>
        <v>0</v>
      </c>
      <c r="K2214" s="438" t="s">
        <v>1414</v>
      </c>
      <c r="L2214" s="443"/>
      <c r="M2214" s="440"/>
      <c r="N2214" s="441"/>
      <c r="O2214" s="441"/>
      <c r="P2214" s="442"/>
      <c r="Q2214" s="443"/>
      <c r="R2214" s="440"/>
      <c r="S2214" s="440"/>
      <c r="T2214" s="440"/>
      <c r="U2214" s="440"/>
      <c r="V2214" s="440"/>
      <c r="W2214" s="440"/>
      <c r="X2214" s="440"/>
      <c r="Y2214" s="444">
        <f t="shared" si="17"/>
        <v>0</v>
      </c>
      <c r="Z2214" s="445"/>
      <c r="AA2214" s="446">
        <f t="shared" ref="AA2214:AE2214" si="1115">$J2214*E2214</f>
        <v>0</v>
      </c>
      <c r="AB2214" s="447">
        <f t="shared" si="1115"/>
        <v>0</v>
      </c>
      <c r="AC2214" s="447">
        <f t="shared" si="1115"/>
        <v>0</v>
      </c>
      <c r="AD2214" s="447">
        <f t="shared" si="1115"/>
        <v>0</v>
      </c>
      <c r="AE2214" s="448">
        <f t="shared" si="1115"/>
        <v>0</v>
      </c>
      <c r="AF2214" s="449"/>
      <c r="AG2214" s="449"/>
      <c r="AH2214" s="449"/>
    </row>
    <row r="2215" ht="11.25" customHeight="1">
      <c r="A2215" s="450"/>
      <c r="B2215" s="451"/>
      <c r="C2215" s="452"/>
      <c r="D2215" s="452"/>
      <c r="E2215" s="453"/>
      <c r="F2215" s="453"/>
      <c r="G2215" s="454"/>
      <c r="H2215" s="454"/>
      <c r="I2215" s="455"/>
      <c r="J2215" s="456"/>
      <c r="K2215" s="457" t="s">
        <v>1416</v>
      </c>
      <c r="L2215" s="458"/>
      <c r="M2215" s="459"/>
      <c r="N2215" s="460"/>
      <c r="O2215" s="460"/>
      <c r="P2215" s="461"/>
      <c r="Q2215" s="458"/>
      <c r="R2215" s="459"/>
      <c r="S2215" s="459"/>
      <c r="T2215" s="459"/>
      <c r="U2215" s="459"/>
      <c r="V2215" s="459"/>
      <c r="W2215" s="459"/>
      <c r="X2215" s="459"/>
      <c r="Y2215" s="462">
        <f t="shared" si="17"/>
        <v>0</v>
      </c>
      <c r="Z2215" s="463"/>
      <c r="AA2215" s="464"/>
      <c r="AB2215" s="465"/>
      <c r="AC2215" s="465"/>
      <c r="AD2215" s="465"/>
      <c r="AE2215" s="466"/>
      <c r="AF2215" s="449"/>
      <c r="AG2215" s="449"/>
      <c r="AH2215" s="449"/>
    </row>
    <row r="2216" ht="11.25" customHeight="1">
      <c r="A2216" s="450"/>
      <c r="B2216" s="451"/>
      <c r="C2216" s="452"/>
      <c r="D2216" s="452"/>
      <c r="E2216" s="453"/>
      <c r="F2216" s="453"/>
      <c r="G2216" s="454"/>
      <c r="H2216" s="454"/>
      <c r="I2216" s="455"/>
      <c r="J2216" s="456"/>
      <c r="K2216" s="467" t="s">
        <v>1417</v>
      </c>
      <c r="L2216" s="468"/>
      <c r="M2216" s="469"/>
      <c r="N2216" s="470"/>
      <c r="O2216" s="470"/>
      <c r="P2216" s="471"/>
      <c r="Q2216" s="468"/>
      <c r="R2216" s="469"/>
      <c r="S2216" s="469"/>
      <c r="T2216" s="469"/>
      <c r="U2216" s="469"/>
      <c r="V2216" s="469"/>
      <c r="W2216" s="469"/>
      <c r="X2216" s="469"/>
      <c r="Y2216" s="462">
        <f t="shared" si="17"/>
        <v>0</v>
      </c>
      <c r="Z2216" s="463"/>
      <c r="AA2216" s="464"/>
      <c r="AB2216" s="465"/>
      <c r="AC2216" s="465"/>
      <c r="AD2216" s="465"/>
      <c r="AE2216" s="466"/>
      <c r="AF2216" s="449"/>
      <c r="AG2216" s="449"/>
      <c r="AH2216" s="449"/>
    </row>
    <row r="2217" ht="11.25" customHeight="1">
      <c r="A2217" s="450"/>
      <c r="B2217" s="472"/>
      <c r="C2217" s="473"/>
      <c r="D2217" s="473"/>
      <c r="E2217" s="474"/>
      <c r="F2217" s="474"/>
      <c r="G2217" s="475"/>
      <c r="H2217" s="475"/>
      <c r="I2217" s="476"/>
      <c r="J2217" s="477"/>
      <c r="K2217" s="478" t="s">
        <v>1418</v>
      </c>
      <c r="L2217" s="479"/>
      <c r="M2217" s="480"/>
      <c r="N2217" s="481"/>
      <c r="O2217" s="481"/>
      <c r="P2217" s="482"/>
      <c r="Q2217" s="479"/>
      <c r="R2217" s="480"/>
      <c r="S2217" s="480"/>
      <c r="T2217" s="480"/>
      <c r="U2217" s="480"/>
      <c r="V2217" s="480"/>
      <c r="W2217" s="480"/>
      <c r="X2217" s="480"/>
      <c r="Y2217" s="483">
        <f t="shared" si="17"/>
        <v>0</v>
      </c>
      <c r="Z2217" s="484"/>
      <c r="AA2217" s="485"/>
      <c r="AB2217" s="486"/>
      <c r="AC2217" s="486"/>
      <c r="AD2217" s="486"/>
      <c r="AE2217" s="487"/>
      <c r="AF2217" s="449"/>
      <c r="AG2217" s="449"/>
      <c r="AH2217" s="449"/>
    </row>
    <row r="2218" ht="11.25" customHeight="1">
      <c r="A2218" s="431" t="str">
        <f>IF(B2218="","", YEAR(B2218))</f>
        <v/>
      </c>
      <c r="B2218" s="432"/>
      <c r="C2218" s="433"/>
      <c r="D2218" s="433"/>
      <c r="E2218" s="434" t="str">
        <f t="shared" ref="E2218:I2218" si="1116">IFERROR(AVERAGE(L2218:L2221),"")</f>
        <v/>
      </c>
      <c r="F2218" s="434" t="str">
        <f t="shared" si="1116"/>
        <v/>
      </c>
      <c r="G2218" s="435" t="str">
        <f t="shared" si="1116"/>
        <v/>
      </c>
      <c r="H2218" s="435" t="str">
        <f t="shared" si="1116"/>
        <v/>
      </c>
      <c r="I2218" s="436" t="str">
        <f t="shared" si="1116"/>
        <v/>
      </c>
      <c r="J2218" s="437">
        <f>SUMIFS(PRODUCTION[KG],PRODUCTION[GRADE],"3X50",PRODUCTION[DATE],B2218,PRODUCTION[BATCH],C2218,PRODUCTION[SHIFT],D2218)</f>
        <v>0</v>
      </c>
      <c r="K2218" s="438" t="s">
        <v>1414</v>
      </c>
      <c r="L2218" s="443"/>
      <c r="M2218" s="440"/>
      <c r="N2218" s="441"/>
      <c r="O2218" s="441"/>
      <c r="P2218" s="442"/>
      <c r="Q2218" s="443"/>
      <c r="R2218" s="440"/>
      <c r="S2218" s="440"/>
      <c r="T2218" s="440"/>
      <c r="U2218" s="440"/>
      <c r="V2218" s="440"/>
      <c r="W2218" s="440"/>
      <c r="X2218" s="440"/>
      <c r="Y2218" s="444">
        <f t="shared" si="17"/>
        <v>0</v>
      </c>
      <c r="Z2218" s="445"/>
      <c r="AA2218" s="446">
        <f t="shared" ref="AA2218:AE2218" si="1117">$J2218*E2218</f>
        <v>0</v>
      </c>
      <c r="AB2218" s="447">
        <f t="shared" si="1117"/>
        <v>0</v>
      </c>
      <c r="AC2218" s="447">
        <f t="shared" si="1117"/>
        <v>0</v>
      </c>
      <c r="AD2218" s="447">
        <f t="shared" si="1117"/>
        <v>0</v>
      </c>
      <c r="AE2218" s="448">
        <f t="shared" si="1117"/>
        <v>0</v>
      </c>
      <c r="AF2218" s="449"/>
      <c r="AG2218" s="449"/>
      <c r="AH2218" s="449"/>
    </row>
    <row r="2219" ht="11.25" customHeight="1">
      <c r="A2219" s="450"/>
      <c r="B2219" s="451"/>
      <c r="C2219" s="452"/>
      <c r="D2219" s="452"/>
      <c r="E2219" s="453"/>
      <c r="F2219" s="453"/>
      <c r="G2219" s="454"/>
      <c r="H2219" s="454"/>
      <c r="I2219" s="455"/>
      <c r="J2219" s="456"/>
      <c r="K2219" s="457" t="s">
        <v>1416</v>
      </c>
      <c r="L2219" s="458"/>
      <c r="M2219" s="459"/>
      <c r="N2219" s="460"/>
      <c r="O2219" s="460"/>
      <c r="P2219" s="461"/>
      <c r="Q2219" s="458"/>
      <c r="R2219" s="459"/>
      <c r="S2219" s="459"/>
      <c r="T2219" s="459"/>
      <c r="U2219" s="459"/>
      <c r="V2219" s="459"/>
      <c r="W2219" s="459"/>
      <c r="X2219" s="459"/>
      <c r="Y2219" s="462">
        <f t="shared" si="17"/>
        <v>0</v>
      </c>
      <c r="Z2219" s="463"/>
      <c r="AA2219" s="464"/>
      <c r="AB2219" s="465"/>
      <c r="AC2219" s="465"/>
      <c r="AD2219" s="465"/>
      <c r="AE2219" s="466"/>
      <c r="AF2219" s="449"/>
      <c r="AG2219" s="449"/>
      <c r="AH2219" s="449"/>
    </row>
    <row r="2220" ht="11.25" customHeight="1">
      <c r="A2220" s="450"/>
      <c r="B2220" s="451"/>
      <c r="C2220" s="452"/>
      <c r="D2220" s="452"/>
      <c r="E2220" s="453"/>
      <c r="F2220" s="453"/>
      <c r="G2220" s="454"/>
      <c r="H2220" s="454"/>
      <c r="I2220" s="455"/>
      <c r="J2220" s="456"/>
      <c r="K2220" s="467" t="s">
        <v>1417</v>
      </c>
      <c r="L2220" s="468"/>
      <c r="M2220" s="469"/>
      <c r="N2220" s="470"/>
      <c r="O2220" s="470"/>
      <c r="P2220" s="471"/>
      <c r="Q2220" s="468"/>
      <c r="R2220" s="469"/>
      <c r="S2220" s="469"/>
      <c r="T2220" s="469"/>
      <c r="U2220" s="469"/>
      <c r="V2220" s="469"/>
      <c r="W2220" s="469"/>
      <c r="X2220" s="469"/>
      <c r="Y2220" s="462">
        <f t="shared" si="17"/>
        <v>0</v>
      </c>
      <c r="Z2220" s="463"/>
      <c r="AA2220" s="464"/>
      <c r="AB2220" s="465"/>
      <c r="AC2220" s="465"/>
      <c r="AD2220" s="465"/>
      <c r="AE2220" s="466"/>
      <c r="AF2220" s="449"/>
      <c r="AG2220" s="449"/>
      <c r="AH2220" s="449"/>
    </row>
    <row r="2221" ht="11.25" customHeight="1">
      <c r="A2221" s="450"/>
      <c r="B2221" s="472"/>
      <c r="C2221" s="473"/>
      <c r="D2221" s="473"/>
      <c r="E2221" s="474"/>
      <c r="F2221" s="474"/>
      <c r="G2221" s="475"/>
      <c r="H2221" s="475"/>
      <c r="I2221" s="476"/>
      <c r="J2221" s="477"/>
      <c r="K2221" s="478" t="s">
        <v>1418</v>
      </c>
      <c r="L2221" s="479"/>
      <c r="M2221" s="480"/>
      <c r="N2221" s="481"/>
      <c r="O2221" s="481"/>
      <c r="P2221" s="482"/>
      <c r="Q2221" s="479"/>
      <c r="R2221" s="480"/>
      <c r="S2221" s="480"/>
      <c r="T2221" s="480"/>
      <c r="U2221" s="480"/>
      <c r="V2221" s="480"/>
      <c r="W2221" s="480"/>
      <c r="X2221" s="480"/>
      <c r="Y2221" s="483">
        <f t="shared" si="17"/>
        <v>0</v>
      </c>
      <c r="Z2221" s="484"/>
      <c r="AA2221" s="485"/>
      <c r="AB2221" s="486"/>
      <c r="AC2221" s="486"/>
      <c r="AD2221" s="486"/>
      <c r="AE2221" s="487"/>
      <c r="AF2221" s="449"/>
      <c r="AG2221" s="449"/>
      <c r="AH2221" s="449"/>
    </row>
    <row r="2222" ht="11.25" customHeight="1">
      <c r="A2222" s="431" t="str">
        <f>IF(B2222="","", YEAR(B2222))</f>
        <v/>
      </c>
      <c r="B2222" s="432"/>
      <c r="C2222" s="433"/>
      <c r="D2222" s="433"/>
      <c r="E2222" s="434" t="str">
        <f t="shared" ref="E2222:I2222" si="1118">IFERROR(AVERAGE(L2222:L2225),"")</f>
        <v/>
      </c>
      <c r="F2222" s="434" t="str">
        <f t="shared" si="1118"/>
        <v/>
      </c>
      <c r="G2222" s="435" t="str">
        <f t="shared" si="1118"/>
        <v/>
      </c>
      <c r="H2222" s="435" t="str">
        <f t="shared" si="1118"/>
        <v/>
      </c>
      <c r="I2222" s="436" t="str">
        <f t="shared" si="1118"/>
        <v/>
      </c>
      <c r="J2222" s="437">
        <f>SUMIFS(PRODUCTION[KG],PRODUCTION[GRADE],"3X50",PRODUCTION[DATE],B2222,PRODUCTION[BATCH],C2222,PRODUCTION[SHIFT],D2222)</f>
        <v>0</v>
      </c>
      <c r="K2222" s="438" t="s">
        <v>1414</v>
      </c>
      <c r="L2222" s="443"/>
      <c r="M2222" s="440"/>
      <c r="N2222" s="441"/>
      <c r="O2222" s="441"/>
      <c r="P2222" s="442"/>
      <c r="Q2222" s="443"/>
      <c r="R2222" s="440"/>
      <c r="S2222" s="440"/>
      <c r="T2222" s="440"/>
      <c r="U2222" s="440"/>
      <c r="V2222" s="440"/>
      <c r="W2222" s="440"/>
      <c r="X2222" s="440"/>
      <c r="Y2222" s="444">
        <f t="shared" si="17"/>
        <v>0</v>
      </c>
      <c r="Z2222" s="445"/>
      <c r="AA2222" s="446">
        <f t="shared" ref="AA2222:AE2222" si="1119">$J2222*E2222</f>
        <v>0</v>
      </c>
      <c r="AB2222" s="447">
        <f t="shared" si="1119"/>
        <v>0</v>
      </c>
      <c r="AC2222" s="447">
        <f t="shared" si="1119"/>
        <v>0</v>
      </c>
      <c r="AD2222" s="447">
        <f t="shared" si="1119"/>
        <v>0</v>
      </c>
      <c r="AE2222" s="448">
        <f t="shared" si="1119"/>
        <v>0</v>
      </c>
      <c r="AF2222" s="449"/>
      <c r="AG2222" s="449"/>
      <c r="AH2222" s="449"/>
    </row>
    <row r="2223" ht="11.25" customHeight="1">
      <c r="A2223" s="450"/>
      <c r="B2223" s="451"/>
      <c r="C2223" s="452"/>
      <c r="D2223" s="452"/>
      <c r="E2223" s="453"/>
      <c r="F2223" s="453"/>
      <c r="G2223" s="454"/>
      <c r="H2223" s="454"/>
      <c r="I2223" s="455"/>
      <c r="J2223" s="456"/>
      <c r="K2223" s="457" t="s">
        <v>1416</v>
      </c>
      <c r="L2223" s="458"/>
      <c r="M2223" s="459"/>
      <c r="N2223" s="460"/>
      <c r="O2223" s="460"/>
      <c r="P2223" s="461"/>
      <c r="Q2223" s="458"/>
      <c r="R2223" s="459"/>
      <c r="S2223" s="459"/>
      <c r="T2223" s="459"/>
      <c r="U2223" s="459"/>
      <c r="V2223" s="459"/>
      <c r="W2223" s="459"/>
      <c r="X2223" s="459"/>
      <c r="Y2223" s="462">
        <f t="shared" si="17"/>
        <v>0</v>
      </c>
      <c r="Z2223" s="463"/>
      <c r="AA2223" s="464"/>
      <c r="AB2223" s="465"/>
      <c r="AC2223" s="465"/>
      <c r="AD2223" s="465"/>
      <c r="AE2223" s="466"/>
      <c r="AF2223" s="449"/>
      <c r="AG2223" s="449"/>
      <c r="AH2223" s="449"/>
    </row>
    <row r="2224" ht="11.25" customHeight="1">
      <c r="A2224" s="450"/>
      <c r="B2224" s="451"/>
      <c r="C2224" s="452"/>
      <c r="D2224" s="452"/>
      <c r="E2224" s="453"/>
      <c r="F2224" s="453"/>
      <c r="G2224" s="454"/>
      <c r="H2224" s="454"/>
      <c r="I2224" s="455"/>
      <c r="J2224" s="456"/>
      <c r="K2224" s="467" t="s">
        <v>1417</v>
      </c>
      <c r="L2224" s="468"/>
      <c r="M2224" s="469"/>
      <c r="N2224" s="470"/>
      <c r="O2224" s="470"/>
      <c r="P2224" s="471"/>
      <c r="Q2224" s="468"/>
      <c r="R2224" s="469"/>
      <c r="S2224" s="469"/>
      <c r="T2224" s="469"/>
      <c r="U2224" s="469"/>
      <c r="V2224" s="469"/>
      <c r="W2224" s="469"/>
      <c r="X2224" s="469"/>
      <c r="Y2224" s="462">
        <f t="shared" si="17"/>
        <v>0</v>
      </c>
      <c r="Z2224" s="463"/>
      <c r="AA2224" s="464"/>
      <c r="AB2224" s="465"/>
      <c r="AC2224" s="465"/>
      <c r="AD2224" s="465"/>
      <c r="AE2224" s="466"/>
      <c r="AF2224" s="449"/>
      <c r="AG2224" s="449"/>
      <c r="AH2224" s="449"/>
    </row>
    <row r="2225" ht="11.25" customHeight="1">
      <c r="A2225" s="450"/>
      <c r="B2225" s="472"/>
      <c r="C2225" s="473"/>
      <c r="D2225" s="473"/>
      <c r="E2225" s="474"/>
      <c r="F2225" s="474"/>
      <c r="G2225" s="475"/>
      <c r="H2225" s="475"/>
      <c r="I2225" s="476"/>
      <c r="J2225" s="477"/>
      <c r="K2225" s="478" t="s">
        <v>1418</v>
      </c>
      <c r="L2225" s="479"/>
      <c r="M2225" s="480"/>
      <c r="N2225" s="481"/>
      <c r="O2225" s="481"/>
      <c r="P2225" s="482"/>
      <c r="Q2225" s="479"/>
      <c r="R2225" s="480"/>
      <c r="S2225" s="480"/>
      <c r="T2225" s="480"/>
      <c r="U2225" s="480"/>
      <c r="V2225" s="480"/>
      <c r="W2225" s="480"/>
      <c r="X2225" s="480"/>
      <c r="Y2225" s="483">
        <f t="shared" si="17"/>
        <v>0</v>
      </c>
      <c r="Z2225" s="484"/>
      <c r="AA2225" s="485"/>
      <c r="AB2225" s="486"/>
      <c r="AC2225" s="486"/>
      <c r="AD2225" s="486"/>
      <c r="AE2225" s="487"/>
      <c r="AF2225" s="449"/>
      <c r="AG2225" s="449"/>
      <c r="AH2225" s="449"/>
    </row>
    <row r="2226" ht="11.25" customHeight="1">
      <c r="A2226" s="431" t="str">
        <f>IF(B2226="","", YEAR(B2226))</f>
        <v/>
      </c>
      <c r="B2226" s="432"/>
      <c r="C2226" s="433"/>
      <c r="D2226" s="433"/>
      <c r="E2226" s="434" t="str">
        <f t="shared" ref="E2226:I2226" si="1120">IFERROR(AVERAGE(L2226:L2229),"")</f>
        <v/>
      </c>
      <c r="F2226" s="434" t="str">
        <f t="shared" si="1120"/>
        <v/>
      </c>
      <c r="G2226" s="435" t="str">
        <f t="shared" si="1120"/>
        <v/>
      </c>
      <c r="H2226" s="435" t="str">
        <f t="shared" si="1120"/>
        <v/>
      </c>
      <c r="I2226" s="436" t="str">
        <f t="shared" si="1120"/>
        <v/>
      </c>
      <c r="J2226" s="437">
        <f>SUMIFS(PRODUCTION[KG],PRODUCTION[GRADE],"3X50",PRODUCTION[DATE],B2226,PRODUCTION[BATCH],C2226,PRODUCTION[SHIFT],D2226)</f>
        <v>0</v>
      </c>
      <c r="K2226" s="438" t="s">
        <v>1414</v>
      </c>
      <c r="L2226" s="443"/>
      <c r="M2226" s="440"/>
      <c r="N2226" s="441"/>
      <c r="O2226" s="441"/>
      <c r="P2226" s="442"/>
      <c r="Q2226" s="443"/>
      <c r="R2226" s="440"/>
      <c r="S2226" s="440"/>
      <c r="T2226" s="440"/>
      <c r="U2226" s="440"/>
      <c r="V2226" s="440"/>
      <c r="W2226" s="440"/>
      <c r="X2226" s="440"/>
      <c r="Y2226" s="444">
        <f t="shared" si="17"/>
        <v>0</v>
      </c>
      <c r="Z2226" s="445"/>
      <c r="AA2226" s="446">
        <f t="shared" ref="AA2226:AE2226" si="1121">$J2226*E2226</f>
        <v>0</v>
      </c>
      <c r="AB2226" s="447">
        <f t="shared" si="1121"/>
        <v>0</v>
      </c>
      <c r="AC2226" s="447">
        <f t="shared" si="1121"/>
        <v>0</v>
      </c>
      <c r="AD2226" s="447">
        <f t="shared" si="1121"/>
        <v>0</v>
      </c>
      <c r="AE2226" s="448">
        <f t="shared" si="1121"/>
        <v>0</v>
      </c>
      <c r="AF2226" s="449"/>
      <c r="AG2226" s="449"/>
      <c r="AH2226" s="449"/>
    </row>
    <row r="2227" ht="11.25" customHeight="1">
      <c r="A2227" s="450"/>
      <c r="B2227" s="451"/>
      <c r="C2227" s="452"/>
      <c r="D2227" s="452"/>
      <c r="E2227" s="453"/>
      <c r="F2227" s="453"/>
      <c r="G2227" s="454"/>
      <c r="H2227" s="454"/>
      <c r="I2227" s="455"/>
      <c r="J2227" s="456"/>
      <c r="K2227" s="457" t="s">
        <v>1416</v>
      </c>
      <c r="L2227" s="458"/>
      <c r="M2227" s="459"/>
      <c r="N2227" s="460"/>
      <c r="O2227" s="460"/>
      <c r="P2227" s="461"/>
      <c r="Q2227" s="458"/>
      <c r="R2227" s="459"/>
      <c r="S2227" s="459"/>
      <c r="T2227" s="459"/>
      <c r="U2227" s="459"/>
      <c r="V2227" s="459"/>
      <c r="W2227" s="459"/>
      <c r="X2227" s="459"/>
      <c r="Y2227" s="462">
        <f t="shared" si="17"/>
        <v>0</v>
      </c>
      <c r="Z2227" s="463"/>
      <c r="AA2227" s="464"/>
      <c r="AB2227" s="465"/>
      <c r="AC2227" s="465"/>
      <c r="AD2227" s="465"/>
      <c r="AE2227" s="466"/>
      <c r="AF2227" s="449"/>
      <c r="AG2227" s="449"/>
      <c r="AH2227" s="449"/>
    </row>
    <row r="2228" ht="11.25" customHeight="1">
      <c r="A2228" s="450"/>
      <c r="B2228" s="451"/>
      <c r="C2228" s="452"/>
      <c r="D2228" s="452"/>
      <c r="E2228" s="453"/>
      <c r="F2228" s="453"/>
      <c r="G2228" s="454"/>
      <c r="H2228" s="454"/>
      <c r="I2228" s="455"/>
      <c r="J2228" s="456"/>
      <c r="K2228" s="467" t="s">
        <v>1417</v>
      </c>
      <c r="L2228" s="468"/>
      <c r="M2228" s="469"/>
      <c r="N2228" s="470"/>
      <c r="O2228" s="470"/>
      <c r="P2228" s="471"/>
      <c r="Q2228" s="468"/>
      <c r="R2228" s="469"/>
      <c r="S2228" s="469"/>
      <c r="T2228" s="469"/>
      <c r="U2228" s="469"/>
      <c r="V2228" s="469"/>
      <c r="W2228" s="469"/>
      <c r="X2228" s="469"/>
      <c r="Y2228" s="462">
        <f t="shared" si="17"/>
        <v>0</v>
      </c>
      <c r="Z2228" s="463"/>
      <c r="AA2228" s="464"/>
      <c r="AB2228" s="465"/>
      <c r="AC2228" s="465"/>
      <c r="AD2228" s="465"/>
      <c r="AE2228" s="466"/>
      <c r="AF2228" s="449"/>
      <c r="AG2228" s="449"/>
      <c r="AH2228" s="449"/>
    </row>
    <row r="2229" ht="11.25" customHeight="1">
      <c r="A2229" s="450"/>
      <c r="B2229" s="472"/>
      <c r="C2229" s="473"/>
      <c r="D2229" s="473"/>
      <c r="E2229" s="474"/>
      <c r="F2229" s="474"/>
      <c r="G2229" s="475"/>
      <c r="H2229" s="475"/>
      <c r="I2229" s="476"/>
      <c r="J2229" s="477"/>
      <c r="K2229" s="478" t="s">
        <v>1418</v>
      </c>
      <c r="L2229" s="479"/>
      <c r="M2229" s="480"/>
      <c r="N2229" s="481"/>
      <c r="O2229" s="481"/>
      <c r="P2229" s="482"/>
      <c r="Q2229" s="479"/>
      <c r="R2229" s="480"/>
      <c r="S2229" s="480"/>
      <c r="T2229" s="480"/>
      <c r="U2229" s="480"/>
      <c r="V2229" s="480"/>
      <c r="W2229" s="480"/>
      <c r="X2229" s="480"/>
      <c r="Y2229" s="483">
        <f t="shared" si="17"/>
        <v>0</v>
      </c>
      <c r="Z2229" s="484"/>
      <c r="AA2229" s="485"/>
      <c r="AB2229" s="486"/>
      <c r="AC2229" s="486"/>
      <c r="AD2229" s="486"/>
      <c r="AE2229" s="487"/>
      <c r="AF2229" s="449"/>
      <c r="AG2229" s="449"/>
      <c r="AH2229" s="449"/>
    </row>
    <row r="2230" ht="11.25" customHeight="1">
      <c r="A2230" s="431" t="str">
        <f>IF(B2230="","", YEAR(B2230))</f>
        <v/>
      </c>
      <c r="B2230" s="432"/>
      <c r="C2230" s="433"/>
      <c r="D2230" s="433"/>
      <c r="E2230" s="434" t="str">
        <f t="shared" ref="E2230:I2230" si="1122">IFERROR(AVERAGE(L2230:L2233),"")</f>
        <v/>
      </c>
      <c r="F2230" s="434" t="str">
        <f t="shared" si="1122"/>
        <v/>
      </c>
      <c r="G2230" s="435" t="str">
        <f t="shared" si="1122"/>
        <v/>
      </c>
      <c r="H2230" s="435" t="str">
        <f t="shared" si="1122"/>
        <v/>
      </c>
      <c r="I2230" s="436" t="str">
        <f t="shared" si="1122"/>
        <v/>
      </c>
      <c r="J2230" s="437">
        <f>SUMIFS(PRODUCTION[KG],PRODUCTION[GRADE],"3X50",PRODUCTION[DATE],B2230,PRODUCTION[BATCH],C2230,PRODUCTION[SHIFT],D2230)</f>
        <v>0</v>
      </c>
      <c r="K2230" s="438" t="s">
        <v>1414</v>
      </c>
      <c r="L2230" s="443"/>
      <c r="M2230" s="440"/>
      <c r="N2230" s="441"/>
      <c r="O2230" s="441"/>
      <c r="P2230" s="442"/>
      <c r="Q2230" s="443"/>
      <c r="R2230" s="440"/>
      <c r="S2230" s="440"/>
      <c r="T2230" s="440"/>
      <c r="U2230" s="440"/>
      <c r="V2230" s="440"/>
      <c r="W2230" s="440"/>
      <c r="X2230" s="440"/>
      <c r="Y2230" s="444">
        <f t="shared" si="17"/>
        <v>0</v>
      </c>
      <c r="Z2230" s="445"/>
      <c r="AA2230" s="446">
        <f t="shared" ref="AA2230:AE2230" si="1123">$J2230*E2230</f>
        <v>0</v>
      </c>
      <c r="AB2230" s="447">
        <f t="shared" si="1123"/>
        <v>0</v>
      </c>
      <c r="AC2230" s="447">
        <f t="shared" si="1123"/>
        <v>0</v>
      </c>
      <c r="AD2230" s="447">
        <f t="shared" si="1123"/>
        <v>0</v>
      </c>
      <c r="AE2230" s="448">
        <f t="shared" si="1123"/>
        <v>0</v>
      </c>
      <c r="AF2230" s="449"/>
      <c r="AG2230" s="449"/>
      <c r="AH2230" s="449"/>
    </row>
    <row r="2231" ht="11.25" customHeight="1">
      <c r="A2231" s="450"/>
      <c r="B2231" s="451"/>
      <c r="C2231" s="452"/>
      <c r="D2231" s="452"/>
      <c r="E2231" s="453"/>
      <c r="F2231" s="453"/>
      <c r="G2231" s="454"/>
      <c r="H2231" s="454"/>
      <c r="I2231" s="455"/>
      <c r="J2231" s="456"/>
      <c r="K2231" s="457" t="s">
        <v>1416</v>
      </c>
      <c r="L2231" s="458"/>
      <c r="M2231" s="459"/>
      <c r="N2231" s="460"/>
      <c r="O2231" s="460"/>
      <c r="P2231" s="461"/>
      <c r="Q2231" s="458"/>
      <c r="R2231" s="459"/>
      <c r="S2231" s="459"/>
      <c r="T2231" s="459"/>
      <c r="U2231" s="459"/>
      <c r="V2231" s="459"/>
      <c r="W2231" s="459"/>
      <c r="X2231" s="459"/>
      <c r="Y2231" s="462">
        <f t="shared" si="17"/>
        <v>0</v>
      </c>
      <c r="Z2231" s="463"/>
      <c r="AA2231" s="464"/>
      <c r="AB2231" s="465"/>
      <c r="AC2231" s="465"/>
      <c r="AD2231" s="465"/>
      <c r="AE2231" s="466"/>
      <c r="AF2231" s="449"/>
      <c r="AG2231" s="449"/>
      <c r="AH2231" s="449"/>
    </row>
    <row r="2232" ht="11.25" customHeight="1">
      <c r="A2232" s="450"/>
      <c r="B2232" s="451"/>
      <c r="C2232" s="452"/>
      <c r="D2232" s="452"/>
      <c r="E2232" s="453"/>
      <c r="F2232" s="453"/>
      <c r="G2232" s="454"/>
      <c r="H2232" s="454"/>
      <c r="I2232" s="455"/>
      <c r="J2232" s="456"/>
      <c r="K2232" s="467" t="s">
        <v>1417</v>
      </c>
      <c r="L2232" s="468"/>
      <c r="M2232" s="469"/>
      <c r="N2232" s="470"/>
      <c r="O2232" s="470"/>
      <c r="P2232" s="471"/>
      <c r="Q2232" s="468"/>
      <c r="R2232" s="469"/>
      <c r="S2232" s="469"/>
      <c r="T2232" s="469"/>
      <c r="U2232" s="469"/>
      <c r="V2232" s="469"/>
      <c r="W2232" s="469"/>
      <c r="X2232" s="469"/>
      <c r="Y2232" s="462">
        <f t="shared" si="17"/>
        <v>0</v>
      </c>
      <c r="Z2232" s="463"/>
      <c r="AA2232" s="464"/>
      <c r="AB2232" s="465"/>
      <c r="AC2232" s="465"/>
      <c r="AD2232" s="465"/>
      <c r="AE2232" s="466"/>
      <c r="AF2232" s="449"/>
      <c r="AG2232" s="449"/>
      <c r="AH2232" s="449"/>
    </row>
    <row r="2233" ht="11.25" customHeight="1">
      <c r="A2233" s="450"/>
      <c r="B2233" s="472"/>
      <c r="C2233" s="473"/>
      <c r="D2233" s="473"/>
      <c r="E2233" s="474"/>
      <c r="F2233" s="474"/>
      <c r="G2233" s="475"/>
      <c r="H2233" s="475"/>
      <c r="I2233" s="476"/>
      <c r="J2233" s="477"/>
      <c r="K2233" s="478" t="s">
        <v>1418</v>
      </c>
      <c r="L2233" s="479"/>
      <c r="M2233" s="480"/>
      <c r="N2233" s="481"/>
      <c r="O2233" s="481"/>
      <c r="P2233" s="482"/>
      <c r="Q2233" s="479"/>
      <c r="R2233" s="480"/>
      <c r="S2233" s="480"/>
      <c r="T2233" s="480"/>
      <c r="U2233" s="480"/>
      <c r="V2233" s="480"/>
      <c r="W2233" s="480"/>
      <c r="X2233" s="480"/>
      <c r="Y2233" s="483">
        <f t="shared" si="17"/>
        <v>0</v>
      </c>
      <c r="Z2233" s="484"/>
      <c r="AA2233" s="485"/>
      <c r="AB2233" s="486"/>
      <c r="AC2233" s="486"/>
      <c r="AD2233" s="486"/>
      <c r="AE2233" s="487"/>
      <c r="AF2233" s="449"/>
      <c r="AG2233" s="449"/>
      <c r="AH2233" s="449"/>
    </row>
    <row r="2234" ht="11.25" customHeight="1">
      <c r="A2234" s="431" t="str">
        <f>IF(B2234="","", YEAR(B2234))</f>
        <v/>
      </c>
      <c r="B2234" s="432"/>
      <c r="C2234" s="433"/>
      <c r="D2234" s="433"/>
      <c r="E2234" s="434" t="str">
        <f t="shared" ref="E2234:I2234" si="1124">IFERROR(AVERAGE(L2234:L2237),"")</f>
        <v/>
      </c>
      <c r="F2234" s="434" t="str">
        <f t="shared" si="1124"/>
        <v/>
      </c>
      <c r="G2234" s="435" t="str">
        <f t="shared" si="1124"/>
        <v/>
      </c>
      <c r="H2234" s="435" t="str">
        <f t="shared" si="1124"/>
        <v/>
      </c>
      <c r="I2234" s="436" t="str">
        <f t="shared" si="1124"/>
        <v/>
      </c>
      <c r="J2234" s="437">
        <f>SUMIFS(PRODUCTION[KG],PRODUCTION[GRADE],"3X50",PRODUCTION[DATE],B2234,PRODUCTION[BATCH],C2234,PRODUCTION[SHIFT],D2234)</f>
        <v>0</v>
      </c>
      <c r="K2234" s="438" t="s">
        <v>1414</v>
      </c>
      <c r="L2234" s="443"/>
      <c r="M2234" s="440"/>
      <c r="N2234" s="441"/>
      <c r="O2234" s="441"/>
      <c r="P2234" s="442"/>
      <c r="Q2234" s="443"/>
      <c r="R2234" s="440"/>
      <c r="S2234" s="440"/>
      <c r="T2234" s="440"/>
      <c r="U2234" s="440"/>
      <c r="V2234" s="440"/>
      <c r="W2234" s="440"/>
      <c r="X2234" s="440"/>
      <c r="Y2234" s="444">
        <f t="shared" si="17"/>
        <v>0</v>
      </c>
      <c r="Z2234" s="445"/>
      <c r="AA2234" s="446">
        <f t="shared" ref="AA2234:AE2234" si="1125">$J2234*E2234</f>
        <v>0</v>
      </c>
      <c r="AB2234" s="447">
        <f t="shared" si="1125"/>
        <v>0</v>
      </c>
      <c r="AC2234" s="447">
        <f t="shared" si="1125"/>
        <v>0</v>
      </c>
      <c r="AD2234" s="447">
        <f t="shared" si="1125"/>
        <v>0</v>
      </c>
      <c r="AE2234" s="448">
        <f t="shared" si="1125"/>
        <v>0</v>
      </c>
      <c r="AF2234" s="449"/>
      <c r="AG2234" s="449"/>
      <c r="AH2234" s="449"/>
    </row>
    <row r="2235" ht="11.25" customHeight="1">
      <c r="A2235" s="450"/>
      <c r="B2235" s="451"/>
      <c r="C2235" s="452"/>
      <c r="D2235" s="452"/>
      <c r="E2235" s="453"/>
      <c r="F2235" s="453"/>
      <c r="G2235" s="454"/>
      <c r="H2235" s="454"/>
      <c r="I2235" s="455"/>
      <c r="J2235" s="456"/>
      <c r="K2235" s="457" t="s">
        <v>1416</v>
      </c>
      <c r="L2235" s="458"/>
      <c r="M2235" s="459"/>
      <c r="N2235" s="460"/>
      <c r="O2235" s="460"/>
      <c r="P2235" s="461"/>
      <c r="Q2235" s="458"/>
      <c r="R2235" s="459"/>
      <c r="S2235" s="459"/>
      <c r="T2235" s="459"/>
      <c r="U2235" s="459"/>
      <c r="V2235" s="459"/>
      <c r="W2235" s="459"/>
      <c r="X2235" s="459"/>
      <c r="Y2235" s="462">
        <f t="shared" si="17"/>
        <v>0</v>
      </c>
      <c r="Z2235" s="463"/>
      <c r="AA2235" s="464"/>
      <c r="AB2235" s="465"/>
      <c r="AC2235" s="465"/>
      <c r="AD2235" s="465"/>
      <c r="AE2235" s="466"/>
      <c r="AF2235" s="449"/>
      <c r="AG2235" s="449"/>
      <c r="AH2235" s="449"/>
    </row>
    <row r="2236" ht="11.25" customHeight="1">
      <c r="A2236" s="450"/>
      <c r="B2236" s="451"/>
      <c r="C2236" s="452"/>
      <c r="D2236" s="452"/>
      <c r="E2236" s="453"/>
      <c r="F2236" s="453"/>
      <c r="G2236" s="454"/>
      <c r="H2236" s="454"/>
      <c r="I2236" s="455"/>
      <c r="J2236" s="456"/>
      <c r="K2236" s="467" t="s">
        <v>1417</v>
      </c>
      <c r="L2236" s="468"/>
      <c r="M2236" s="469"/>
      <c r="N2236" s="470"/>
      <c r="O2236" s="470"/>
      <c r="P2236" s="471"/>
      <c r="Q2236" s="468"/>
      <c r="R2236" s="469"/>
      <c r="S2236" s="469"/>
      <c r="T2236" s="469"/>
      <c r="U2236" s="469"/>
      <c r="V2236" s="469"/>
      <c r="W2236" s="469"/>
      <c r="X2236" s="469"/>
      <c r="Y2236" s="462">
        <f t="shared" si="17"/>
        <v>0</v>
      </c>
      <c r="Z2236" s="463"/>
      <c r="AA2236" s="464"/>
      <c r="AB2236" s="465"/>
      <c r="AC2236" s="465"/>
      <c r="AD2236" s="465"/>
      <c r="AE2236" s="466"/>
      <c r="AF2236" s="449"/>
      <c r="AG2236" s="449"/>
      <c r="AH2236" s="449"/>
    </row>
    <row r="2237" ht="11.25" customHeight="1">
      <c r="A2237" s="450"/>
      <c r="B2237" s="472"/>
      <c r="C2237" s="473"/>
      <c r="D2237" s="473"/>
      <c r="E2237" s="474"/>
      <c r="F2237" s="474"/>
      <c r="G2237" s="475"/>
      <c r="H2237" s="475"/>
      <c r="I2237" s="476"/>
      <c r="J2237" s="477"/>
      <c r="K2237" s="478" t="s">
        <v>1418</v>
      </c>
      <c r="L2237" s="479"/>
      <c r="M2237" s="480"/>
      <c r="N2237" s="481"/>
      <c r="O2237" s="481"/>
      <c r="P2237" s="482"/>
      <c r="Q2237" s="479"/>
      <c r="R2237" s="480"/>
      <c r="S2237" s="480"/>
      <c r="T2237" s="480"/>
      <c r="U2237" s="480"/>
      <c r="V2237" s="480"/>
      <c r="W2237" s="480"/>
      <c r="X2237" s="480"/>
      <c r="Y2237" s="483">
        <f t="shared" si="17"/>
        <v>0</v>
      </c>
      <c r="Z2237" s="484"/>
      <c r="AA2237" s="485"/>
      <c r="AB2237" s="486"/>
      <c r="AC2237" s="486"/>
      <c r="AD2237" s="486"/>
      <c r="AE2237" s="487"/>
      <c r="AF2237" s="449"/>
      <c r="AG2237" s="449"/>
      <c r="AH2237" s="449"/>
    </row>
    <row r="2238" ht="11.25" customHeight="1">
      <c r="A2238" s="431" t="str">
        <f>IF(B2238="","", YEAR(B2238))</f>
        <v/>
      </c>
      <c r="B2238" s="432"/>
      <c r="C2238" s="433"/>
      <c r="D2238" s="433"/>
      <c r="E2238" s="434" t="str">
        <f t="shared" ref="E2238:I2238" si="1126">IFERROR(AVERAGE(L2238:L2241),"")</f>
        <v/>
      </c>
      <c r="F2238" s="434" t="str">
        <f t="shared" si="1126"/>
        <v/>
      </c>
      <c r="G2238" s="435" t="str">
        <f t="shared" si="1126"/>
        <v/>
      </c>
      <c r="H2238" s="435" t="str">
        <f t="shared" si="1126"/>
        <v/>
      </c>
      <c r="I2238" s="436" t="str">
        <f t="shared" si="1126"/>
        <v/>
      </c>
      <c r="J2238" s="437">
        <f>SUMIFS(PRODUCTION[KG],PRODUCTION[GRADE],"3X50",PRODUCTION[DATE],B2238,PRODUCTION[BATCH],C2238,PRODUCTION[SHIFT],D2238)</f>
        <v>0</v>
      </c>
      <c r="K2238" s="438" t="s">
        <v>1414</v>
      </c>
      <c r="L2238" s="443"/>
      <c r="M2238" s="440"/>
      <c r="N2238" s="441"/>
      <c r="O2238" s="441"/>
      <c r="P2238" s="442"/>
      <c r="Q2238" s="443"/>
      <c r="R2238" s="440"/>
      <c r="S2238" s="440"/>
      <c r="T2238" s="440"/>
      <c r="U2238" s="440"/>
      <c r="V2238" s="440"/>
      <c r="W2238" s="440"/>
      <c r="X2238" s="440"/>
      <c r="Y2238" s="444">
        <f t="shared" si="17"/>
        <v>0</v>
      </c>
      <c r="Z2238" s="445"/>
      <c r="AA2238" s="446">
        <f t="shared" ref="AA2238:AE2238" si="1127">$J2238*E2238</f>
        <v>0</v>
      </c>
      <c r="AB2238" s="447">
        <f t="shared" si="1127"/>
        <v>0</v>
      </c>
      <c r="AC2238" s="447">
        <f t="shared" si="1127"/>
        <v>0</v>
      </c>
      <c r="AD2238" s="447">
        <f t="shared" si="1127"/>
        <v>0</v>
      </c>
      <c r="AE2238" s="448">
        <f t="shared" si="1127"/>
        <v>0</v>
      </c>
      <c r="AF2238" s="449"/>
      <c r="AG2238" s="449"/>
      <c r="AH2238" s="449"/>
    </row>
    <row r="2239" ht="11.25" customHeight="1">
      <c r="A2239" s="450"/>
      <c r="B2239" s="451"/>
      <c r="C2239" s="452"/>
      <c r="D2239" s="452"/>
      <c r="E2239" s="453"/>
      <c r="F2239" s="453"/>
      <c r="G2239" s="454"/>
      <c r="H2239" s="454"/>
      <c r="I2239" s="455"/>
      <c r="J2239" s="456"/>
      <c r="K2239" s="457" t="s">
        <v>1416</v>
      </c>
      <c r="L2239" s="458"/>
      <c r="M2239" s="459"/>
      <c r="N2239" s="460"/>
      <c r="O2239" s="460"/>
      <c r="P2239" s="461"/>
      <c r="Q2239" s="458"/>
      <c r="R2239" s="459"/>
      <c r="S2239" s="459"/>
      <c r="T2239" s="459"/>
      <c r="U2239" s="459"/>
      <c r="V2239" s="459"/>
      <c r="W2239" s="459"/>
      <c r="X2239" s="459"/>
      <c r="Y2239" s="462">
        <f t="shared" si="17"/>
        <v>0</v>
      </c>
      <c r="Z2239" s="463"/>
      <c r="AA2239" s="464"/>
      <c r="AB2239" s="465"/>
      <c r="AC2239" s="465"/>
      <c r="AD2239" s="465"/>
      <c r="AE2239" s="466"/>
      <c r="AF2239" s="449"/>
      <c r="AG2239" s="449"/>
      <c r="AH2239" s="449"/>
    </row>
    <row r="2240" ht="11.25" customHeight="1">
      <c r="A2240" s="450"/>
      <c r="B2240" s="451"/>
      <c r="C2240" s="452"/>
      <c r="D2240" s="452"/>
      <c r="E2240" s="453"/>
      <c r="F2240" s="453"/>
      <c r="G2240" s="454"/>
      <c r="H2240" s="454"/>
      <c r="I2240" s="455"/>
      <c r="J2240" s="456"/>
      <c r="K2240" s="467" t="s">
        <v>1417</v>
      </c>
      <c r="L2240" s="468"/>
      <c r="M2240" s="469"/>
      <c r="N2240" s="470"/>
      <c r="O2240" s="470"/>
      <c r="P2240" s="471"/>
      <c r="Q2240" s="468"/>
      <c r="R2240" s="469"/>
      <c r="S2240" s="469"/>
      <c r="T2240" s="469"/>
      <c r="U2240" s="469"/>
      <c r="V2240" s="469"/>
      <c r="W2240" s="469"/>
      <c r="X2240" s="469"/>
      <c r="Y2240" s="462">
        <f t="shared" si="17"/>
        <v>0</v>
      </c>
      <c r="Z2240" s="463"/>
      <c r="AA2240" s="464"/>
      <c r="AB2240" s="465"/>
      <c r="AC2240" s="465"/>
      <c r="AD2240" s="465"/>
      <c r="AE2240" s="466"/>
      <c r="AF2240" s="449"/>
      <c r="AG2240" s="449"/>
      <c r="AH2240" s="449"/>
    </row>
    <row r="2241" ht="11.25" customHeight="1">
      <c r="A2241" s="450"/>
      <c r="B2241" s="472"/>
      <c r="C2241" s="473"/>
      <c r="D2241" s="473"/>
      <c r="E2241" s="474"/>
      <c r="F2241" s="474"/>
      <c r="G2241" s="475"/>
      <c r="H2241" s="475"/>
      <c r="I2241" s="476"/>
      <c r="J2241" s="477"/>
      <c r="K2241" s="478" t="s">
        <v>1418</v>
      </c>
      <c r="L2241" s="479"/>
      <c r="M2241" s="480"/>
      <c r="N2241" s="481"/>
      <c r="O2241" s="481"/>
      <c r="P2241" s="482"/>
      <c r="Q2241" s="479"/>
      <c r="R2241" s="480"/>
      <c r="S2241" s="480"/>
      <c r="T2241" s="480"/>
      <c r="U2241" s="480"/>
      <c r="V2241" s="480"/>
      <c r="W2241" s="480"/>
      <c r="X2241" s="480"/>
      <c r="Y2241" s="483">
        <f t="shared" si="17"/>
        <v>0</v>
      </c>
      <c r="Z2241" s="484"/>
      <c r="AA2241" s="485"/>
      <c r="AB2241" s="486"/>
      <c r="AC2241" s="486"/>
      <c r="AD2241" s="486"/>
      <c r="AE2241" s="487"/>
      <c r="AF2241" s="449"/>
      <c r="AG2241" s="449"/>
      <c r="AH2241" s="449"/>
    </row>
    <row r="2242" ht="11.25" customHeight="1">
      <c r="A2242" s="431" t="str">
        <f>IF(B2242="","", YEAR(B2242))</f>
        <v/>
      </c>
      <c r="B2242" s="432"/>
      <c r="C2242" s="433"/>
      <c r="D2242" s="433"/>
      <c r="E2242" s="434" t="str">
        <f t="shared" ref="E2242:I2242" si="1128">IFERROR(AVERAGE(L2242:L2245),"")</f>
        <v/>
      </c>
      <c r="F2242" s="434" t="str">
        <f t="shared" si="1128"/>
        <v/>
      </c>
      <c r="G2242" s="435" t="str">
        <f t="shared" si="1128"/>
        <v/>
      </c>
      <c r="H2242" s="435" t="str">
        <f t="shared" si="1128"/>
        <v/>
      </c>
      <c r="I2242" s="436" t="str">
        <f t="shared" si="1128"/>
        <v/>
      </c>
      <c r="J2242" s="437">
        <f>SUMIFS(PRODUCTION[KG],PRODUCTION[GRADE],"3X50",PRODUCTION[DATE],B2242,PRODUCTION[BATCH],C2242,PRODUCTION[SHIFT],D2242)</f>
        <v>0</v>
      </c>
      <c r="K2242" s="438" t="s">
        <v>1414</v>
      </c>
      <c r="L2242" s="443"/>
      <c r="M2242" s="440"/>
      <c r="N2242" s="441"/>
      <c r="O2242" s="441"/>
      <c r="P2242" s="442"/>
      <c r="Q2242" s="443"/>
      <c r="R2242" s="440"/>
      <c r="S2242" s="440"/>
      <c r="T2242" s="440"/>
      <c r="U2242" s="440"/>
      <c r="V2242" s="440"/>
      <c r="W2242" s="440"/>
      <c r="X2242" s="440"/>
      <c r="Y2242" s="444">
        <f t="shared" si="17"/>
        <v>0</v>
      </c>
      <c r="Z2242" s="445"/>
      <c r="AA2242" s="446">
        <f t="shared" ref="AA2242:AE2242" si="1129">$J2242*E2242</f>
        <v>0</v>
      </c>
      <c r="AB2242" s="447">
        <f t="shared" si="1129"/>
        <v>0</v>
      </c>
      <c r="AC2242" s="447">
        <f t="shared" si="1129"/>
        <v>0</v>
      </c>
      <c r="AD2242" s="447">
        <f t="shared" si="1129"/>
        <v>0</v>
      </c>
      <c r="AE2242" s="448">
        <f t="shared" si="1129"/>
        <v>0</v>
      </c>
      <c r="AF2242" s="449"/>
      <c r="AG2242" s="449"/>
      <c r="AH2242" s="449"/>
    </row>
    <row r="2243" ht="11.25" customHeight="1">
      <c r="A2243" s="450"/>
      <c r="B2243" s="451"/>
      <c r="C2243" s="452"/>
      <c r="D2243" s="452"/>
      <c r="E2243" s="453"/>
      <c r="F2243" s="453"/>
      <c r="G2243" s="454"/>
      <c r="H2243" s="454"/>
      <c r="I2243" s="455"/>
      <c r="J2243" s="456"/>
      <c r="K2243" s="457" t="s">
        <v>1416</v>
      </c>
      <c r="L2243" s="458"/>
      <c r="M2243" s="459"/>
      <c r="N2243" s="460"/>
      <c r="O2243" s="460"/>
      <c r="P2243" s="461"/>
      <c r="Q2243" s="458"/>
      <c r="R2243" s="459"/>
      <c r="S2243" s="459"/>
      <c r="T2243" s="459"/>
      <c r="U2243" s="459"/>
      <c r="V2243" s="459"/>
      <c r="W2243" s="459"/>
      <c r="X2243" s="459"/>
      <c r="Y2243" s="462">
        <f t="shared" si="17"/>
        <v>0</v>
      </c>
      <c r="Z2243" s="463"/>
      <c r="AA2243" s="464"/>
      <c r="AB2243" s="465"/>
      <c r="AC2243" s="465"/>
      <c r="AD2243" s="465"/>
      <c r="AE2243" s="466"/>
      <c r="AF2243" s="449"/>
      <c r="AG2243" s="449"/>
      <c r="AH2243" s="449"/>
    </row>
    <row r="2244" ht="11.25" customHeight="1">
      <c r="A2244" s="450"/>
      <c r="B2244" s="451"/>
      <c r="C2244" s="452"/>
      <c r="D2244" s="452"/>
      <c r="E2244" s="453"/>
      <c r="F2244" s="453"/>
      <c r="G2244" s="454"/>
      <c r="H2244" s="454"/>
      <c r="I2244" s="455"/>
      <c r="J2244" s="456"/>
      <c r="K2244" s="467" t="s">
        <v>1417</v>
      </c>
      <c r="L2244" s="468"/>
      <c r="M2244" s="469"/>
      <c r="N2244" s="470"/>
      <c r="O2244" s="470"/>
      <c r="P2244" s="471"/>
      <c r="Q2244" s="468"/>
      <c r="R2244" s="469"/>
      <c r="S2244" s="469"/>
      <c r="T2244" s="469"/>
      <c r="U2244" s="469"/>
      <c r="V2244" s="469"/>
      <c r="W2244" s="469"/>
      <c r="X2244" s="469"/>
      <c r="Y2244" s="462">
        <f t="shared" si="17"/>
        <v>0</v>
      </c>
      <c r="Z2244" s="463"/>
      <c r="AA2244" s="464"/>
      <c r="AB2244" s="465"/>
      <c r="AC2244" s="465"/>
      <c r="AD2244" s="465"/>
      <c r="AE2244" s="466"/>
      <c r="AF2244" s="449"/>
      <c r="AG2244" s="449"/>
      <c r="AH2244" s="449"/>
    </row>
    <row r="2245" ht="11.25" customHeight="1">
      <c r="A2245" s="450"/>
      <c r="B2245" s="472"/>
      <c r="C2245" s="473"/>
      <c r="D2245" s="473"/>
      <c r="E2245" s="474"/>
      <c r="F2245" s="474"/>
      <c r="G2245" s="475"/>
      <c r="H2245" s="475"/>
      <c r="I2245" s="476"/>
      <c r="J2245" s="477"/>
      <c r="K2245" s="478" t="s">
        <v>1418</v>
      </c>
      <c r="L2245" s="479"/>
      <c r="M2245" s="480"/>
      <c r="N2245" s="481"/>
      <c r="O2245" s="481"/>
      <c r="P2245" s="482"/>
      <c r="Q2245" s="479"/>
      <c r="R2245" s="480"/>
      <c r="S2245" s="480"/>
      <c r="T2245" s="480"/>
      <c r="U2245" s="480"/>
      <c r="V2245" s="480"/>
      <c r="W2245" s="480"/>
      <c r="X2245" s="480"/>
      <c r="Y2245" s="483">
        <f t="shared" si="17"/>
        <v>0</v>
      </c>
      <c r="Z2245" s="484"/>
      <c r="AA2245" s="485"/>
      <c r="AB2245" s="486"/>
      <c r="AC2245" s="486"/>
      <c r="AD2245" s="486"/>
      <c r="AE2245" s="487"/>
      <c r="AF2245" s="449"/>
      <c r="AG2245" s="449"/>
      <c r="AH2245" s="449"/>
    </row>
    <row r="2246" ht="11.25" customHeight="1">
      <c r="A2246" s="431" t="str">
        <f>IF(B2246="","", YEAR(B2246))</f>
        <v/>
      </c>
      <c r="B2246" s="432"/>
      <c r="C2246" s="433"/>
      <c r="D2246" s="433"/>
      <c r="E2246" s="434" t="str">
        <f t="shared" ref="E2246:I2246" si="1130">IFERROR(AVERAGE(L2246:L2249),"")</f>
        <v/>
      </c>
      <c r="F2246" s="434" t="str">
        <f t="shared" si="1130"/>
        <v/>
      </c>
      <c r="G2246" s="435" t="str">
        <f t="shared" si="1130"/>
        <v/>
      </c>
      <c r="H2246" s="435" t="str">
        <f t="shared" si="1130"/>
        <v/>
      </c>
      <c r="I2246" s="436" t="str">
        <f t="shared" si="1130"/>
        <v/>
      </c>
      <c r="J2246" s="437">
        <f>SUMIFS(PRODUCTION[KG],PRODUCTION[GRADE],"3X50",PRODUCTION[DATE],B2246,PRODUCTION[BATCH],C2246,PRODUCTION[SHIFT],D2246)</f>
        <v>0</v>
      </c>
      <c r="K2246" s="438" t="s">
        <v>1414</v>
      </c>
      <c r="L2246" s="443"/>
      <c r="M2246" s="440"/>
      <c r="N2246" s="441"/>
      <c r="O2246" s="441"/>
      <c r="P2246" s="442"/>
      <c r="Q2246" s="443"/>
      <c r="R2246" s="440"/>
      <c r="S2246" s="440"/>
      <c r="T2246" s="440"/>
      <c r="U2246" s="440"/>
      <c r="V2246" s="440"/>
      <c r="W2246" s="440"/>
      <c r="X2246" s="440"/>
      <c r="Y2246" s="444">
        <f t="shared" si="17"/>
        <v>0</v>
      </c>
      <c r="Z2246" s="445"/>
      <c r="AA2246" s="446">
        <f t="shared" ref="AA2246:AE2246" si="1131">$J2246*E2246</f>
        <v>0</v>
      </c>
      <c r="AB2246" s="447">
        <f t="shared" si="1131"/>
        <v>0</v>
      </c>
      <c r="AC2246" s="447">
        <f t="shared" si="1131"/>
        <v>0</v>
      </c>
      <c r="AD2246" s="447">
        <f t="shared" si="1131"/>
        <v>0</v>
      </c>
      <c r="AE2246" s="448">
        <f t="shared" si="1131"/>
        <v>0</v>
      </c>
      <c r="AF2246" s="449"/>
      <c r="AG2246" s="449"/>
      <c r="AH2246" s="449"/>
    </row>
    <row r="2247" ht="11.25" customHeight="1">
      <c r="A2247" s="450"/>
      <c r="B2247" s="451"/>
      <c r="C2247" s="452"/>
      <c r="D2247" s="452"/>
      <c r="E2247" s="453"/>
      <c r="F2247" s="453"/>
      <c r="G2247" s="454"/>
      <c r="H2247" s="454"/>
      <c r="I2247" s="455"/>
      <c r="J2247" s="456"/>
      <c r="K2247" s="457" t="s">
        <v>1416</v>
      </c>
      <c r="L2247" s="458"/>
      <c r="M2247" s="459"/>
      <c r="N2247" s="460"/>
      <c r="O2247" s="460"/>
      <c r="P2247" s="461"/>
      <c r="Q2247" s="458"/>
      <c r="R2247" s="459"/>
      <c r="S2247" s="459"/>
      <c r="T2247" s="459"/>
      <c r="U2247" s="459"/>
      <c r="V2247" s="459"/>
      <c r="W2247" s="459"/>
      <c r="X2247" s="459"/>
      <c r="Y2247" s="462">
        <f t="shared" si="17"/>
        <v>0</v>
      </c>
      <c r="Z2247" s="463"/>
      <c r="AA2247" s="464"/>
      <c r="AB2247" s="465"/>
      <c r="AC2247" s="465"/>
      <c r="AD2247" s="465"/>
      <c r="AE2247" s="466"/>
      <c r="AF2247" s="449"/>
      <c r="AG2247" s="449"/>
      <c r="AH2247" s="449"/>
    </row>
    <row r="2248" ht="11.25" customHeight="1">
      <c r="A2248" s="450"/>
      <c r="B2248" s="451"/>
      <c r="C2248" s="452"/>
      <c r="D2248" s="452"/>
      <c r="E2248" s="453"/>
      <c r="F2248" s="453"/>
      <c r="G2248" s="454"/>
      <c r="H2248" s="454"/>
      <c r="I2248" s="455"/>
      <c r="J2248" s="456"/>
      <c r="K2248" s="467" t="s">
        <v>1417</v>
      </c>
      <c r="L2248" s="468"/>
      <c r="M2248" s="469"/>
      <c r="N2248" s="470"/>
      <c r="O2248" s="470"/>
      <c r="P2248" s="471"/>
      <c r="Q2248" s="468"/>
      <c r="R2248" s="469"/>
      <c r="S2248" s="469"/>
      <c r="T2248" s="469"/>
      <c r="U2248" s="469"/>
      <c r="V2248" s="469"/>
      <c r="W2248" s="469"/>
      <c r="X2248" s="469"/>
      <c r="Y2248" s="462">
        <f t="shared" si="17"/>
        <v>0</v>
      </c>
      <c r="Z2248" s="463"/>
      <c r="AA2248" s="464"/>
      <c r="AB2248" s="465"/>
      <c r="AC2248" s="465"/>
      <c r="AD2248" s="465"/>
      <c r="AE2248" s="466"/>
      <c r="AF2248" s="449"/>
      <c r="AG2248" s="449"/>
      <c r="AH2248" s="449"/>
    </row>
    <row r="2249" ht="11.25" customHeight="1">
      <c r="A2249" s="450"/>
      <c r="B2249" s="472"/>
      <c r="C2249" s="473"/>
      <c r="D2249" s="473"/>
      <c r="E2249" s="474"/>
      <c r="F2249" s="474"/>
      <c r="G2249" s="475"/>
      <c r="H2249" s="475"/>
      <c r="I2249" s="476"/>
      <c r="J2249" s="477"/>
      <c r="K2249" s="478" t="s">
        <v>1418</v>
      </c>
      <c r="L2249" s="479"/>
      <c r="M2249" s="480"/>
      <c r="N2249" s="481"/>
      <c r="O2249" s="481"/>
      <c r="P2249" s="482"/>
      <c r="Q2249" s="479"/>
      <c r="R2249" s="480"/>
      <c r="S2249" s="480"/>
      <c r="T2249" s="480"/>
      <c r="U2249" s="480"/>
      <c r="V2249" s="480"/>
      <c r="W2249" s="480"/>
      <c r="X2249" s="480"/>
      <c r="Y2249" s="483">
        <f t="shared" si="17"/>
        <v>0</v>
      </c>
      <c r="Z2249" s="484"/>
      <c r="AA2249" s="485"/>
      <c r="AB2249" s="486"/>
      <c r="AC2249" s="486"/>
      <c r="AD2249" s="486"/>
      <c r="AE2249" s="487"/>
      <c r="AF2249" s="449"/>
      <c r="AG2249" s="449"/>
      <c r="AH2249" s="449"/>
    </row>
    <row r="2250" ht="11.25" customHeight="1">
      <c r="A2250" s="431" t="str">
        <f>IF(B2250="","", YEAR(B2250))</f>
        <v/>
      </c>
      <c r="B2250" s="432"/>
      <c r="C2250" s="433"/>
      <c r="D2250" s="433"/>
      <c r="E2250" s="434" t="str">
        <f t="shared" ref="E2250:I2250" si="1132">IFERROR(AVERAGE(L2250:L2253),"")</f>
        <v/>
      </c>
      <c r="F2250" s="434" t="str">
        <f t="shared" si="1132"/>
        <v/>
      </c>
      <c r="G2250" s="435" t="str">
        <f t="shared" si="1132"/>
        <v/>
      </c>
      <c r="H2250" s="435" t="str">
        <f t="shared" si="1132"/>
        <v/>
      </c>
      <c r="I2250" s="436" t="str">
        <f t="shared" si="1132"/>
        <v/>
      </c>
      <c r="J2250" s="437">
        <f>SUMIFS(PRODUCTION[KG],PRODUCTION[GRADE],"3X50",PRODUCTION[DATE],B2250,PRODUCTION[BATCH],C2250,PRODUCTION[SHIFT],D2250)</f>
        <v>0</v>
      </c>
      <c r="K2250" s="438" t="s">
        <v>1414</v>
      </c>
      <c r="L2250" s="443"/>
      <c r="M2250" s="440"/>
      <c r="N2250" s="441"/>
      <c r="O2250" s="441"/>
      <c r="P2250" s="442"/>
      <c r="Q2250" s="443"/>
      <c r="R2250" s="440"/>
      <c r="S2250" s="440"/>
      <c r="T2250" s="440"/>
      <c r="U2250" s="440"/>
      <c r="V2250" s="440"/>
      <c r="W2250" s="440"/>
      <c r="X2250" s="440"/>
      <c r="Y2250" s="444">
        <f t="shared" si="17"/>
        <v>0</v>
      </c>
      <c r="Z2250" s="445"/>
      <c r="AA2250" s="446">
        <f t="shared" ref="AA2250:AE2250" si="1133">$J2250*E2250</f>
        <v>0</v>
      </c>
      <c r="AB2250" s="447">
        <f t="shared" si="1133"/>
        <v>0</v>
      </c>
      <c r="AC2250" s="447">
        <f t="shared" si="1133"/>
        <v>0</v>
      </c>
      <c r="AD2250" s="447">
        <f t="shared" si="1133"/>
        <v>0</v>
      </c>
      <c r="AE2250" s="448">
        <f t="shared" si="1133"/>
        <v>0</v>
      </c>
      <c r="AF2250" s="449"/>
      <c r="AG2250" s="449"/>
      <c r="AH2250" s="449"/>
    </row>
    <row r="2251" ht="11.25" customHeight="1">
      <c r="A2251" s="450"/>
      <c r="B2251" s="451"/>
      <c r="C2251" s="452"/>
      <c r="D2251" s="452"/>
      <c r="E2251" s="453"/>
      <c r="F2251" s="453"/>
      <c r="G2251" s="454"/>
      <c r="H2251" s="454"/>
      <c r="I2251" s="455"/>
      <c r="J2251" s="456"/>
      <c r="K2251" s="457" t="s">
        <v>1416</v>
      </c>
      <c r="L2251" s="458"/>
      <c r="M2251" s="459"/>
      <c r="N2251" s="460"/>
      <c r="O2251" s="460"/>
      <c r="P2251" s="461"/>
      <c r="Q2251" s="458"/>
      <c r="R2251" s="459"/>
      <c r="S2251" s="459"/>
      <c r="T2251" s="459"/>
      <c r="U2251" s="459"/>
      <c r="V2251" s="459"/>
      <c r="W2251" s="459"/>
      <c r="X2251" s="459"/>
      <c r="Y2251" s="462">
        <f t="shared" si="17"/>
        <v>0</v>
      </c>
      <c r="Z2251" s="463"/>
      <c r="AA2251" s="464"/>
      <c r="AB2251" s="465"/>
      <c r="AC2251" s="465"/>
      <c r="AD2251" s="465"/>
      <c r="AE2251" s="466"/>
      <c r="AF2251" s="449"/>
      <c r="AG2251" s="449"/>
      <c r="AH2251" s="449"/>
    </row>
    <row r="2252" ht="11.25" customHeight="1">
      <c r="A2252" s="450"/>
      <c r="B2252" s="451"/>
      <c r="C2252" s="452"/>
      <c r="D2252" s="452"/>
      <c r="E2252" s="453"/>
      <c r="F2252" s="453"/>
      <c r="G2252" s="454"/>
      <c r="H2252" s="454"/>
      <c r="I2252" s="455"/>
      <c r="J2252" s="456"/>
      <c r="K2252" s="467" t="s">
        <v>1417</v>
      </c>
      <c r="L2252" s="468"/>
      <c r="M2252" s="469"/>
      <c r="N2252" s="470"/>
      <c r="O2252" s="470"/>
      <c r="P2252" s="471"/>
      <c r="Q2252" s="468"/>
      <c r="R2252" s="469"/>
      <c r="S2252" s="469"/>
      <c r="T2252" s="469"/>
      <c r="U2252" s="469"/>
      <c r="V2252" s="469"/>
      <c r="W2252" s="469"/>
      <c r="X2252" s="469"/>
      <c r="Y2252" s="462">
        <f t="shared" si="17"/>
        <v>0</v>
      </c>
      <c r="Z2252" s="463"/>
      <c r="AA2252" s="464"/>
      <c r="AB2252" s="465"/>
      <c r="AC2252" s="465"/>
      <c r="AD2252" s="465"/>
      <c r="AE2252" s="466"/>
      <c r="AF2252" s="449"/>
      <c r="AG2252" s="449"/>
      <c r="AH2252" s="449"/>
    </row>
    <row r="2253" ht="11.25" customHeight="1">
      <c r="A2253" s="450"/>
      <c r="B2253" s="472"/>
      <c r="C2253" s="473"/>
      <c r="D2253" s="473"/>
      <c r="E2253" s="474"/>
      <c r="F2253" s="474"/>
      <c r="G2253" s="475"/>
      <c r="H2253" s="475"/>
      <c r="I2253" s="476"/>
      <c r="J2253" s="477"/>
      <c r="K2253" s="478" t="s">
        <v>1418</v>
      </c>
      <c r="L2253" s="479"/>
      <c r="M2253" s="480"/>
      <c r="N2253" s="481"/>
      <c r="O2253" s="481"/>
      <c r="P2253" s="482"/>
      <c r="Q2253" s="479"/>
      <c r="R2253" s="480"/>
      <c r="S2253" s="480"/>
      <c r="T2253" s="480"/>
      <c r="U2253" s="480"/>
      <c r="V2253" s="480"/>
      <c r="W2253" s="480"/>
      <c r="X2253" s="480"/>
      <c r="Y2253" s="483">
        <f t="shared" si="17"/>
        <v>0</v>
      </c>
      <c r="Z2253" s="484"/>
      <c r="AA2253" s="485"/>
      <c r="AB2253" s="486"/>
      <c r="AC2253" s="486"/>
      <c r="AD2253" s="486"/>
      <c r="AE2253" s="487"/>
      <c r="AF2253" s="449"/>
      <c r="AG2253" s="449"/>
      <c r="AH2253" s="449"/>
    </row>
    <row r="2254" ht="11.25" customHeight="1">
      <c r="A2254" s="431" t="str">
        <f>IF(B2254="","", YEAR(B2254))</f>
        <v/>
      </c>
      <c r="B2254" s="432"/>
      <c r="C2254" s="433"/>
      <c r="D2254" s="433"/>
      <c r="E2254" s="434" t="str">
        <f t="shared" ref="E2254:I2254" si="1134">IFERROR(AVERAGE(L2254:L2257),"")</f>
        <v/>
      </c>
      <c r="F2254" s="434" t="str">
        <f t="shared" si="1134"/>
        <v/>
      </c>
      <c r="G2254" s="435" t="str">
        <f t="shared" si="1134"/>
        <v/>
      </c>
      <c r="H2254" s="435" t="str">
        <f t="shared" si="1134"/>
        <v/>
      </c>
      <c r="I2254" s="436" t="str">
        <f t="shared" si="1134"/>
        <v/>
      </c>
      <c r="J2254" s="437">
        <f>SUMIFS(PRODUCTION[KG],PRODUCTION[GRADE],"3X50",PRODUCTION[DATE],B2254,PRODUCTION[BATCH],C2254,PRODUCTION[SHIFT],D2254)</f>
        <v>0</v>
      </c>
      <c r="K2254" s="438" t="s">
        <v>1414</v>
      </c>
      <c r="L2254" s="443"/>
      <c r="M2254" s="440"/>
      <c r="N2254" s="441"/>
      <c r="O2254" s="441"/>
      <c r="P2254" s="442"/>
      <c r="Q2254" s="443"/>
      <c r="R2254" s="440"/>
      <c r="S2254" s="440"/>
      <c r="T2254" s="440"/>
      <c r="U2254" s="440"/>
      <c r="V2254" s="440"/>
      <c r="W2254" s="440"/>
      <c r="X2254" s="440"/>
      <c r="Y2254" s="444">
        <f t="shared" si="17"/>
        <v>0</v>
      </c>
      <c r="Z2254" s="445"/>
      <c r="AA2254" s="446">
        <f t="shared" ref="AA2254:AE2254" si="1135">$J2254*E2254</f>
        <v>0</v>
      </c>
      <c r="AB2254" s="447">
        <f t="shared" si="1135"/>
        <v>0</v>
      </c>
      <c r="AC2254" s="447">
        <f t="shared" si="1135"/>
        <v>0</v>
      </c>
      <c r="AD2254" s="447">
        <f t="shared" si="1135"/>
        <v>0</v>
      </c>
      <c r="AE2254" s="448">
        <f t="shared" si="1135"/>
        <v>0</v>
      </c>
      <c r="AF2254" s="449"/>
      <c r="AG2254" s="449"/>
      <c r="AH2254" s="449"/>
    </row>
    <row r="2255" ht="11.25" customHeight="1">
      <c r="A2255" s="450"/>
      <c r="B2255" s="451"/>
      <c r="C2255" s="452"/>
      <c r="D2255" s="452"/>
      <c r="E2255" s="453"/>
      <c r="F2255" s="453"/>
      <c r="G2255" s="454"/>
      <c r="H2255" s="454"/>
      <c r="I2255" s="455"/>
      <c r="J2255" s="456"/>
      <c r="K2255" s="457" t="s">
        <v>1416</v>
      </c>
      <c r="L2255" s="458"/>
      <c r="M2255" s="459"/>
      <c r="N2255" s="460"/>
      <c r="O2255" s="460"/>
      <c r="P2255" s="461"/>
      <c r="Q2255" s="458"/>
      <c r="R2255" s="459"/>
      <c r="S2255" s="459"/>
      <c r="T2255" s="459"/>
      <c r="U2255" s="459"/>
      <c r="V2255" s="459"/>
      <c r="W2255" s="459"/>
      <c r="X2255" s="459"/>
      <c r="Y2255" s="462">
        <f t="shared" si="17"/>
        <v>0</v>
      </c>
      <c r="Z2255" s="463"/>
      <c r="AA2255" s="464"/>
      <c r="AB2255" s="465"/>
      <c r="AC2255" s="465"/>
      <c r="AD2255" s="465"/>
      <c r="AE2255" s="466"/>
      <c r="AF2255" s="449"/>
      <c r="AG2255" s="449"/>
      <c r="AH2255" s="449"/>
    </row>
    <row r="2256" ht="11.25" customHeight="1">
      <c r="A2256" s="450"/>
      <c r="B2256" s="451"/>
      <c r="C2256" s="452"/>
      <c r="D2256" s="452"/>
      <c r="E2256" s="453"/>
      <c r="F2256" s="453"/>
      <c r="G2256" s="454"/>
      <c r="H2256" s="454"/>
      <c r="I2256" s="455"/>
      <c r="J2256" s="456"/>
      <c r="K2256" s="467" t="s">
        <v>1417</v>
      </c>
      <c r="L2256" s="468"/>
      <c r="M2256" s="469"/>
      <c r="N2256" s="470"/>
      <c r="O2256" s="470"/>
      <c r="P2256" s="471"/>
      <c r="Q2256" s="468"/>
      <c r="R2256" s="469"/>
      <c r="S2256" s="469"/>
      <c r="T2256" s="469"/>
      <c r="U2256" s="469"/>
      <c r="V2256" s="469"/>
      <c r="W2256" s="469"/>
      <c r="X2256" s="469"/>
      <c r="Y2256" s="462">
        <f t="shared" si="17"/>
        <v>0</v>
      </c>
      <c r="Z2256" s="463"/>
      <c r="AA2256" s="464"/>
      <c r="AB2256" s="465"/>
      <c r="AC2256" s="465"/>
      <c r="AD2256" s="465"/>
      <c r="AE2256" s="466"/>
      <c r="AF2256" s="449"/>
      <c r="AG2256" s="449"/>
      <c r="AH2256" s="449"/>
    </row>
    <row r="2257" ht="11.25" customHeight="1">
      <c r="A2257" s="450"/>
      <c r="B2257" s="472"/>
      <c r="C2257" s="473"/>
      <c r="D2257" s="473"/>
      <c r="E2257" s="474"/>
      <c r="F2257" s="474"/>
      <c r="G2257" s="475"/>
      <c r="H2257" s="475"/>
      <c r="I2257" s="476"/>
      <c r="J2257" s="477"/>
      <c r="K2257" s="478" t="s">
        <v>1418</v>
      </c>
      <c r="L2257" s="479"/>
      <c r="M2257" s="480"/>
      <c r="N2257" s="481"/>
      <c r="O2257" s="481"/>
      <c r="P2257" s="482"/>
      <c r="Q2257" s="479"/>
      <c r="R2257" s="480"/>
      <c r="S2257" s="480"/>
      <c r="T2257" s="480"/>
      <c r="U2257" s="480"/>
      <c r="V2257" s="480"/>
      <c r="W2257" s="480"/>
      <c r="X2257" s="480"/>
      <c r="Y2257" s="483">
        <f t="shared" si="17"/>
        <v>0</v>
      </c>
      <c r="Z2257" s="484"/>
      <c r="AA2257" s="485"/>
      <c r="AB2257" s="486"/>
      <c r="AC2257" s="486"/>
      <c r="AD2257" s="486"/>
      <c r="AE2257" s="487"/>
      <c r="AF2257" s="449"/>
      <c r="AG2257" s="449"/>
      <c r="AH2257" s="449"/>
    </row>
    <row r="2258" ht="11.25" customHeight="1">
      <c r="A2258" s="431" t="str">
        <f>IF(B2258="","", YEAR(B2258))</f>
        <v/>
      </c>
      <c r="B2258" s="432"/>
      <c r="C2258" s="433"/>
      <c r="D2258" s="433"/>
      <c r="E2258" s="434" t="str">
        <f t="shared" ref="E2258:I2258" si="1136">IFERROR(AVERAGE(L2258:L2261),"")</f>
        <v/>
      </c>
      <c r="F2258" s="434" t="str">
        <f t="shared" si="1136"/>
        <v/>
      </c>
      <c r="G2258" s="435" t="str">
        <f t="shared" si="1136"/>
        <v/>
      </c>
      <c r="H2258" s="435" t="str">
        <f t="shared" si="1136"/>
        <v/>
      </c>
      <c r="I2258" s="436" t="str">
        <f t="shared" si="1136"/>
        <v/>
      </c>
      <c r="J2258" s="437">
        <f>SUMIFS(PRODUCTION[KG],PRODUCTION[GRADE],"3X50",PRODUCTION[DATE],B2258,PRODUCTION[BATCH],C2258,PRODUCTION[SHIFT],D2258)</f>
        <v>0</v>
      </c>
      <c r="K2258" s="438" t="s">
        <v>1414</v>
      </c>
      <c r="L2258" s="443"/>
      <c r="M2258" s="440"/>
      <c r="N2258" s="441"/>
      <c r="O2258" s="441"/>
      <c r="P2258" s="442"/>
      <c r="Q2258" s="443"/>
      <c r="R2258" s="440"/>
      <c r="S2258" s="440"/>
      <c r="T2258" s="440"/>
      <c r="U2258" s="440"/>
      <c r="V2258" s="440"/>
      <c r="W2258" s="440"/>
      <c r="X2258" s="440"/>
      <c r="Y2258" s="444">
        <f t="shared" si="17"/>
        <v>0</v>
      </c>
      <c r="Z2258" s="445"/>
      <c r="AA2258" s="446">
        <f t="shared" ref="AA2258:AE2258" si="1137">$J2258*E2258</f>
        <v>0</v>
      </c>
      <c r="AB2258" s="447">
        <f t="shared" si="1137"/>
        <v>0</v>
      </c>
      <c r="AC2258" s="447">
        <f t="shared" si="1137"/>
        <v>0</v>
      </c>
      <c r="AD2258" s="447">
        <f t="shared" si="1137"/>
        <v>0</v>
      </c>
      <c r="AE2258" s="448">
        <f t="shared" si="1137"/>
        <v>0</v>
      </c>
      <c r="AF2258" s="449"/>
      <c r="AG2258" s="449"/>
      <c r="AH2258" s="449"/>
    </row>
    <row r="2259" ht="11.25" customHeight="1">
      <c r="A2259" s="450"/>
      <c r="B2259" s="451"/>
      <c r="C2259" s="452"/>
      <c r="D2259" s="452"/>
      <c r="E2259" s="453"/>
      <c r="F2259" s="453"/>
      <c r="G2259" s="454"/>
      <c r="H2259" s="454"/>
      <c r="I2259" s="455"/>
      <c r="J2259" s="456"/>
      <c r="K2259" s="457" t="s">
        <v>1416</v>
      </c>
      <c r="L2259" s="458"/>
      <c r="M2259" s="459"/>
      <c r="N2259" s="460"/>
      <c r="O2259" s="460"/>
      <c r="P2259" s="461"/>
      <c r="Q2259" s="458"/>
      <c r="R2259" s="459"/>
      <c r="S2259" s="459"/>
      <c r="T2259" s="459"/>
      <c r="U2259" s="459"/>
      <c r="V2259" s="459"/>
      <c r="W2259" s="459"/>
      <c r="X2259" s="459"/>
      <c r="Y2259" s="462">
        <f t="shared" si="17"/>
        <v>0</v>
      </c>
      <c r="Z2259" s="463"/>
      <c r="AA2259" s="464"/>
      <c r="AB2259" s="465"/>
      <c r="AC2259" s="465"/>
      <c r="AD2259" s="465"/>
      <c r="AE2259" s="466"/>
      <c r="AF2259" s="449"/>
      <c r="AG2259" s="449"/>
      <c r="AH2259" s="449"/>
    </row>
    <row r="2260" ht="11.25" customHeight="1">
      <c r="A2260" s="450"/>
      <c r="B2260" s="451"/>
      <c r="C2260" s="452"/>
      <c r="D2260" s="452"/>
      <c r="E2260" s="453"/>
      <c r="F2260" s="453"/>
      <c r="G2260" s="454"/>
      <c r="H2260" s="454"/>
      <c r="I2260" s="455"/>
      <c r="J2260" s="456"/>
      <c r="K2260" s="467" t="s">
        <v>1417</v>
      </c>
      <c r="L2260" s="468"/>
      <c r="M2260" s="469"/>
      <c r="N2260" s="470"/>
      <c r="O2260" s="470"/>
      <c r="P2260" s="471"/>
      <c r="Q2260" s="468"/>
      <c r="R2260" s="469"/>
      <c r="S2260" s="469"/>
      <c r="T2260" s="469"/>
      <c r="U2260" s="469"/>
      <c r="V2260" s="469"/>
      <c r="W2260" s="469"/>
      <c r="X2260" s="469"/>
      <c r="Y2260" s="462">
        <f t="shared" si="17"/>
        <v>0</v>
      </c>
      <c r="Z2260" s="463"/>
      <c r="AA2260" s="464"/>
      <c r="AB2260" s="465"/>
      <c r="AC2260" s="465"/>
      <c r="AD2260" s="465"/>
      <c r="AE2260" s="466"/>
      <c r="AF2260" s="449"/>
      <c r="AG2260" s="449"/>
      <c r="AH2260" s="449"/>
    </row>
    <row r="2261" ht="11.25" customHeight="1">
      <c r="A2261" s="450"/>
      <c r="B2261" s="472"/>
      <c r="C2261" s="473"/>
      <c r="D2261" s="473"/>
      <c r="E2261" s="474"/>
      <c r="F2261" s="474"/>
      <c r="G2261" s="475"/>
      <c r="H2261" s="475"/>
      <c r="I2261" s="476"/>
      <c r="J2261" s="477"/>
      <c r="K2261" s="478" t="s">
        <v>1418</v>
      </c>
      <c r="L2261" s="479"/>
      <c r="M2261" s="480"/>
      <c r="N2261" s="481"/>
      <c r="O2261" s="481"/>
      <c r="P2261" s="482"/>
      <c r="Q2261" s="479"/>
      <c r="R2261" s="480"/>
      <c r="S2261" s="480"/>
      <c r="T2261" s="480"/>
      <c r="U2261" s="480"/>
      <c r="V2261" s="480"/>
      <c r="W2261" s="480"/>
      <c r="X2261" s="480"/>
      <c r="Y2261" s="483">
        <f t="shared" si="17"/>
        <v>0</v>
      </c>
      <c r="Z2261" s="484"/>
      <c r="AA2261" s="485"/>
      <c r="AB2261" s="486"/>
      <c r="AC2261" s="486"/>
      <c r="AD2261" s="486"/>
      <c r="AE2261" s="487"/>
      <c r="AF2261" s="449"/>
      <c r="AG2261" s="449"/>
      <c r="AH2261" s="449"/>
    </row>
    <row r="2262" ht="11.25" customHeight="1">
      <c r="A2262" s="431" t="str">
        <f>IF(B2262="","", YEAR(B2262))</f>
        <v/>
      </c>
      <c r="B2262" s="432"/>
      <c r="C2262" s="433"/>
      <c r="D2262" s="433"/>
      <c r="E2262" s="434" t="str">
        <f t="shared" ref="E2262:I2262" si="1138">IFERROR(AVERAGE(L2262:L2265),"")</f>
        <v/>
      </c>
      <c r="F2262" s="434" t="str">
        <f t="shared" si="1138"/>
        <v/>
      </c>
      <c r="G2262" s="435" t="str">
        <f t="shared" si="1138"/>
        <v/>
      </c>
      <c r="H2262" s="435" t="str">
        <f t="shared" si="1138"/>
        <v/>
      </c>
      <c r="I2262" s="436" t="str">
        <f t="shared" si="1138"/>
        <v/>
      </c>
      <c r="J2262" s="437">
        <f>SUMIFS(PRODUCTION[KG],PRODUCTION[GRADE],"3X50",PRODUCTION[DATE],B2262,PRODUCTION[BATCH],C2262,PRODUCTION[SHIFT],D2262)</f>
        <v>0</v>
      </c>
      <c r="K2262" s="438" t="s">
        <v>1414</v>
      </c>
      <c r="L2262" s="443"/>
      <c r="M2262" s="440"/>
      <c r="N2262" s="441"/>
      <c r="O2262" s="441"/>
      <c r="P2262" s="442"/>
      <c r="Q2262" s="443"/>
      <c r="R2262" s="440"/>
      <c r="S2262" s="440"/>
      <c r="T2262" s="440"/>
      <c r="U2262" s="440"/>
      <c r="V2262" s="440"/>
      <c r="W2262" s="440"/>
      <c r="X2262" s="440"/>
      <c r="Y2262" s="444">
        <f t="shared" si="17"/>
        <v>0</v>
      </c>
      <c r="Z2262" s="445"/>
      <c r="AA2262" s="446">
        <f t="shared" ref="AA2262:AE2262" si="1139">$J2262*E2262</f>
        <v>0</v>
      </c>
      <c r="AB2262" s="447">
        <f t="shared" si="1139"/>
        <v>0</v>
      </c>
      <c r="AC2262" s="447">
        <f t="shared" si="1139"/>
        <v>0</v>
      </c>
      <c r="AD2262" s="447">
        <f t="shared" si="1139"/>
        <v>0</v>
      </c>
      <c r="AE2262" s="448">
        <f t="shared" si="1139"/>
        <v>0</v>
      </c>
      <c r="AF2262" s="449"/>
      <c r="AG2262" s="449"/>
      <c r="AH2262" s="449"/>
    </row>
    <row r="2263" ht="11.25" customHeight="1">
      <c r="A2263" s="450"/>
      <c r="B2263" s="451"/>
      <c r="C2263" s="452"/>
      <c r="D2263" s="452"/>
      <c r="E2263" s="453"/>
      <c r="F2263" s="453"/>
      <c r="G2263" s="454"/>
      <c r="H2263" s="454"/>
      <c r="I2263" s="455"/>
      <c r="J2263" s="456"/>
      <c r="K2263" s="457" t="s">
        <v>1416</v>
      </c>
      <c r="L2263" s="458"/>
      <c r="M2263" s="459"/>
      <c r="N2263" s="460"/>
      <c r="O2263" s="460"/>
      <c r="P2263" s="461"/>
      <c r="Q2263" s="458"/>
      <c r="R2263" s="459"/>
      <c r="S2263" s="459"/>
      <c r="T2263" s="459"/>
      <c r="U2263" s="459"/>
      <c r="V2263" s="459"/>
      <c r="W2263" s="459"/>
      <c r="X2263" s="459"/>
      <c r="Y2263" s="462">
        <f t="shared" si="17"/>
        <v>0</v>
      </c>
      <c r="Z2263" s="463"/>
      <c r="AA2263" s="464"/>
      <c r="AB2263" s="465"/>
      <c r="AC2263" s="465"/>
      <c r="AD2263" s="465"/>
      <c r="AE2263" s="466"/>
      <c r="AF2263" s="449"/>
      <c r="AG2263" s="449"/>
      <c r="AH2263" s="449"/>
    </row>
    <row r="2264" ht="11.25" customHeight="1">
      <c r="A2264" s="450"/>
      <c r="B2264" s="451"/>
      <c r="C2264" s="452"/>
      <c r="D2264" s="452"/>
      <c r="E2264" s="453"/>
      <c r="F2264" s="453"/>
      <c r="G2264" s="454"/>
      <c r="H2264" s="454"/>
      <c r="I2264" s="455"/>
      <c r="J2264" s="456"/>
      <c r="K2264" s="467" t="s">
        <v>1417</v>
      </c>
      <c r="L2264" s="468"/>
      <c r="M2264" s="469"/>
      <c r="N2264" s="470"/>
      <c r="O2264" s="470"/>
      <c r="P2264" s="471"/>
      <c r="Q2264" s="468"/>
      <c r="R2264" s="469"/>
      <c r="S2264" s="469"/>
      <c r="T2264" s="469"/>
      <c r="U2264" s="469"/>
      <c r="V2264" s="469"/>
      <c r="W2264" s="469"/>
      <c r="X2264" s="469"/>
      <c r="Y2264" s="462">
        <f t="shared" si="17"/>
        <v>0</v>
      </c>
      <c r="Z2264" s="463"/>
      <c r="AA2264" s="464"/>
      <c r="AB2264" s="465"/>
      <c r="AC2264" s="465"/>
      <c r="AD2264" s="465"/>
      <c r="AE2264" s="466"/>
      <c r="AF2264" s="449"/>
      <c r="AG2264" s="449"/>
      <c r="AH2264" s="449"/>
    </row>
    <row r="2265" ht="11.25" customHeight="1">
      <c r="A2265" s="450"/>
      <c r="B2265" s="472"/>
      <c r="C2265" s="473"/>
      <c r="D2265" s="473"/>
      <c r="E2265" s="474"/>
      <c r="F2265" s="474"/>
      <c r="G2265" s="475"/>
      <c r="H2265" s="475"/>
      <c r="I2265" s="476"/>
      <c r="J2265" s="477"/>
      <c r="K2265" s="478" t="s">
        <v>1418</v>
      </c>
      <c r="L2265" s="479"/>
      <c r="M2265" s="480"/>
      <c r="N2265" s="481"/>
      <c r="O2265" s="481"/>
      <c r="P2265" s="482"/>
      <c r="Q2265" s="479"/>
      <c r="R2265" s="480"/>
      <c r="S2265" s="480"/>
      <c r="T2265" s="480"/>
      <c r="U2265" s="480"/>
      <c r="V2265" s="480"/>
      <c r="W2265" s="480"/>
      <c r="X2265" s="480"/>
      <c r="Y2265" s="483">
        <f t="shared" si="17"/>
        <v>0</v>
      </c>
      <c r="Z2265" s="484"/>
      <c r="AA2265" s="485"/>
      <c r="AB2265" s="486"/>
      <c r="AC2265" s="486"/>
      <c r="AD2265" s="486"/>
      <c r="AE2265" s="487"/>
      <c r="AF2265" s="449"/>
      <c r="AG2265" s="449"/>
      <c r="AH2265" s="449"/>
    </row>
    <row r="2266" ht="11.25" customHeight="1">
      <c r="A2266" s="431" t="str">
        <f>IF(B2266="","", YEAR(B2266))</f>
        <v/>
      </c>
      <c r="B2266" s="432"/>
      <c r="C2266" s="433"/>
      <c r="D2266" s="433"/>
      <c r="E2266" s="434" t="str">
        <f t="shared" ref="E2266:I2266" si="1140">IFERROR(AVERAGE(L2266:L2269),"")</f>
        <v/>
      </c>
      <c r="F2266" s="434" t="str">
        <f t="shared" si="1140"/>
        <v/>
      </c>
      <c r="G2266" s="435" t="str">
        <f t="shared" si="1140"/>
        <v/>
      </c>
      <c r="H2266" s="435" t="str">
        <f t="shared" si="1140"/>
        <v/>
      </c>
      <c r="I2266" s="436" t="str">
        <f t="shared" si="1140"/>
        <v/>
      </c>
      <c r="J2266" s="437">
        <f>SUMIFS(PRODUCTION[KG],PRODUCTION[GRADE],"3X50",PRODUCTION[DATE],B2266,PRODUCTION[BATCH],C2266,PRODUCTION[SHIFT],D2266)</f>
        <v>0</v>
      </c>
      <c r="K2266" s="438" t="s">
        <v>1414</v>
      </c>
      <c r="L2266" s="443"/>
      <c r="M2266" s="440"/>
      <c r="N2266" s="441"/>
      <c r="O2266" s="441"/>
      <c r="P2266" s="442"/>
      <c r="Q2266" s="443"/>
      <c r="R2266" s="440"/>
      <c r="S2266" s="440"/>
      <c r="T2266" s="440"/>
      <c r="U2266" s="440"/>
      <c r="V2266" s="440"/>
      <c r="W2266" s="440"/>
      <c r="X2266" s="440"/>
      <c r="Y2266" s="444">
        <f t="shared" si="17"/>
        <v>0</v>
      </c>
      <c r="Z2266" s="445"/>
      <c r="AA2266" s="446">
        <f t="shared" ref="AA2266:AE2266" si="1141">$J2266*E2266</f>
        <v>0</v>
      </c>
      <c r="AB2266" s="447">
        <f t="shared" si="1141"/>
        <v>0</v>
      </c>
      <c r="AC2266" s="447">
        <f t="shared" si="1141"/>
        <v>0</v>
      </c>
      <c r="AD2266" s="447">
        <f t="shared" si="1141"/>
        <v>0</v>
      </c>
      <c r="AE2266" s="448">
        <f t="shared" si="1141"/>
        <v>0</v>
      </c>
      <c r="AF2266" s="449"/>
      <c r="AG2266" s="449"/>
      <c r="AH2266" s="449"/>
    </row>
    <row r="2267" ht="11.25" customHeight="1">
      <c r="A2267" s="450"/>
      <c r="B2267" s="451"/>
      <c r="C2267" s="452"/>
      <c r="D2267" s="452"/>
      <c r="E2267" s="453"/>
      <c r="F2267" s="453"/>
      <c r="G2267" s="454"/>
      <c r="H2267" s="454"/>
      <c r="I2267" s="455"/>
      <c r="J2267" s="456"/>
      <c r="K2267" s="457" t="s">
        <v>1416</v>
      </c>
      <c r="L2267" s="458"/>
      <c r="M2267" s="459"/>
      <c r="N2267" s="460"/>
      <c r="O2267" s="460"/>
      <c r="P2267" s="461"/>
      <c r="Q2267" s="458"/>
      <c r="R2267" s="459"/>
      <c r="S2267" s="459"/>
      <c r="T2267" s="459"/>
      <c r="U2267" s="459"/>
      <c r="V2267" s="459"/>
      <c r="W2267" s="459"/>
      <c r="X2267" s="459"/>
      <c r="Y2267" s="462">
        <f t="shared" si="17"/>
        <v>0</v>
      </c>
      <c r="Z2267" s="463"/>
      <c r="AA2267" s="464"/>
      <c r="AB2267" s="465"/>
      <c r="AC2267" s="465"/>
      <c r="AD2267" s="465"/>
      <c r="AE2267" s="466"/>
      <c r="AF2267" s="449"/>
      <c r="AG2267" s="449"/>
      <c r="AH2267" s="449"/>
    </row>
    <row r="2268" ht="11.25" customHeight="1">
      <c r="A2268" s="450"/>
      <c r="B2268" s="451"/>
      <c r="C2268" s="452"/>
      <c r="D2268" s="452"/>
      <c r="E2268" s="453"/>
      <c r="F2268" s="453"/>
      <c r="G2268" s="454"/>
      <c r="H2268" s="454"/>
      <c r="I2268" s="455"/>
      <c r="J2268" s="456"/>
      <c r="K2268" s="467" t="s">
        <v>1417</v>
      </c>
      <c r="L2268" s="468"/>
      <c r="M2268" s="469"/>
      <c r="N2268" s="470"/>
      <c r="O2268" s="470"/>
      <c r="P2268" s="471"/>
      <c r="Q2268" s="468"/>
      <c r="R2268" s="469"/>
      <c r="S2268" s="469"/>
      <c r="T2268" s="469"/>
      <c r="U2268" s="469"/>
      <c r="V2268" s="469"/>
      <c r="W2268" s="469"/>
      <c r="X2268" s="469"/>
      <c r="Y2268" s="462">
        <f t="shared" si="17"/>
        <v>0</v>
      </c>
      <c r="Z2268" s="463"/>
      <c r="AA2268" s="464"/>
      <c r="AB2268" s="465"/>
      <c r="AC2268" s="465"/>
      <c r="AD2268" s="465"/>
      <c r="AE2268" s="466"/>
      <c r="AF2268" s="449"/>
      <c r="AG2268" s="449"/>
      <c r="AH2268" s="449"/>
    </row>
    <row r="2269" ht="11.25" customHeight="1">
      <c r="A2269" s="450"/>
      <c r="B2269" s="472"/>
      <c r="C2269" s="473"/>
      <c r="D2269" s="473"/>
      <c r="E2269" s="474"/>
      <c r="F2269" s="474"/>
      <c r="G2269" s="475"/>
      <c r="H2269" s="475"/>
      <c r="I2269" s="476"/>
      <c r="J2269" s="477"/>
      <c r="K2269" s="478" t="s">
        <v>1418</v>
      </c>
      <c r="L2269" s="479"/>
      <c r="M2269" s="480"/>
      <c r="N2269" s="481"/>
      <c r="O2269" s="481"/>
      <c r="P2269" s="482"/>
      <c r="Q2269" s="479"/>
      <c r="R2269" s="480"/>
      <c r="S2269" s="480"/>
      <c r="T2269" s="480"/>
      <c r="U2269" s="480"/>
      <c r="V2269" s="480"/>
      <c r="W2269" s="480"/>
      <c r="X2269" s="480"/>
      <c r="Y2269" s="483">
        <f t="shared" si="17"/>
        <v>0</v>
      </c>
      <c r="Z2269" s="484"/>
      <c r="AA2269" s="485"/>
      <c r="AB2269" s="486"/>
      <c r="AC2269" s="486"/>
      <c r="AD2269" s="486"/>
      <c r="AE2269" s="487"/>
      <c r="AF2269" s="449"/>
      <c r="AG2269" s="449"/>
      <c r="AH2269" s="449"/>
    </row>
    <row r="2270" ht="11.25" customHeight="1">
      <c r="A2270" s="431" t="str">
        <f>IF(B2270="","", YEAR(B2270))</f>
        <v/>
      </c>
      <c r="B2270" s="432"/>
      <c r="C2270" s="433"/>
      <c r="D2270" s="433"/>
      <c r="E2270" s="434" t="str">
        <f t="shared" ref="E2270:I2270" si="1142">IFERROR(AVERAGE(L2270:L2273),"")</f>
        <v/>
      </c>
      <c r="F2270" s="434" t="str">
        <f t="shared" si="1142"/>
        <v/>
      </c>
      <c r="G2270" s="435" t="str">
        <f t="shared" si="1142"/>
        <v/>
      </c>
      <c r="H2270" s="435" t="str">
        <f t="shared" si="1142"/>
        <v/>
      </c>
      <c r="I2270" s="436" t="str">
        <f t="shared" si="1142"/>
        <v/>
      </c>
      <c r="J2270" s="437">
        <f>SUMIFS(PRODUCTION[KG],PRODUCTION[GRADE],"3X50",PRODUCTION[DATE],B2270,PRODUCTION[BATCH],C2270,PRODUCTION[SHIFT],D2270)</f>
        <v>0</v>
      </c>
      <c r="K2270" s="438" t="s">
        <v>1414</v>
      </c>
      <c r="L2270" s="443"/>
      <c r="M2270" s="440"/>
      <c r="N2270" s="441"/>
      <c r="O2270" s="441"/>
      <c r="P2270" s="442"/>
      <c r="Q2270" s="443"/>
      <c r="R2270" s="440"/>
      <c r="S2270" s="440"/>
      <c r="T2270" s="440"/>
      <c r="U2270" s="440"/>
      <c r="V2270" s="440"/>
      <c r="W2270" s="440"/>
      <c r="X2270" s="440"/>
      <c r="Y2270" s="444">
        <f t="shared" si="17"/>
        <v>0</v>
      </c>
      <c r="Z2270" s="445"/>
      <c r="AA2270" s="446">
        <f t="shared" ref="AA2270:AE2270" si="1143">$J2270*E2270</f>
        <v>0</v>
      </c>
      <c r="AB2270" s="447">
        <f t="shared" si="1143"/>
        <v>0</v>
      </c>
      <c r="AC2270" s="447">
        <f t="shared" si="1143"/>
        <v>0</v>
      </c>
      <c r="AD2270" s="447">
        <f t="shared" si="1143"/>
        <v>0</v>
      </c>
      <c r="AE2270" s="448">
        <f t="shared" si="1143"/>
        <v>0</v>
      </c>
      <c r="AF2270" s="449"/>
      <c r="AG2270" s="449"/>
      <c r="AH2270" s="449"/>
    </row>
    <row r="2271" ht="11.25" customHeight="1">
      <c r="A2271" s="450"/>
      <c r="B2271" s="451"/>
      <c r="C2271" s="452"/>
      <c r="D2271" s="452"/>
      <c r="E2271" s="453"/>
      <c r="F2271" s="453"/>
      <c r="G2271" s="454"/>
      <c r="H2271" s="454"/>
      <c r="I2271" s="455"/>
      <c r="J2271" s="456"/>
      <c r="K2271" s="457" t="s">
        <v>1416</v>
      </c>
      <c r="L2271" s="458"/>
      <c r="M2271" s="459"/>
      <c r="N2271" s="460"/>
      <c r="O2271" s="460"/>
      <c r="P2271" s="461"/>
      <c r="Q2271" s="458"/>
      <c r="R2271" s="459"/>
      <c r="S2271" s="459"/>
      <c r="T2271" s="459"/>
      <c r="U2271" s="459"/>
      <c r="V2271" s="459"/>
      <c r="W2271" s="459"/>
      <c r="X2271" s="459"/>
      <c r="Y2271" s="462">
        <f t="shared" si="17"/>
        <v>0</v>
      </c>
      <c r="Z2271" s="463"/>
      <c r="AA2271" s="464"/>
      <c r="AB2271" s="465"/>
      <c r="AC2271" s="465"/>
      <c r="AD2271" s="465"/>
      <c r="AE2271" s="466"/>
      <c r="AF2271" s="449"/>
      <c r="AG2271" s="449"/>
      <c r="AH2271" s="449"/>
    </row>
    <row r="2272" ht="11.25" customHeight="1">
      <c r="A2272" s="450"/>
      <c r="B2272" s="451"/>
      <c r="C2272" s="452"/>
      <c r="D2272" s="452"/>
      <c r="E2272" s="453"/>
      <c r="F2272" s="453"/>
      <c r="G2272" s="454"/>
      <c r="H2272" s="454"/>
      <c r="I2272" s="455"/>
      <c r="J2272" s="456"/>
      <c r="K2272" s="467" t="s">
        <v>1417</v>
      </c>
      <c r="L2272" s="468"/>
      <c r="M2272" s="469"/>
      <c r="N2272" s="470"/>
      <c r="O2272" s="470"/>
      <c r="P2272" s="471"/>
      <c r="Q2272" s="468"/>
      <c r="R2272" s="469"/>
      <c r="S2272" s="469"/>
      <c r="T2272" s="469"/>
      <c r="U2272" s="469"/>
      <c r="V2272" s="469"/>
      <c r="W2272" s="469"/>
      <c r="X2272" s="469"/>
      <c r="Y2272" s="462">
        <f t="shared" si="17"/>
        <v>0</v>
      </c>
      <c r="Z2272" s="463"/>
      <c r="AA2272" s="464"/>
      <c r="AB2272" s="465"/>
      <c r="AC2272" s="465"/>
      <c r="AD2272" s="465"/>
      <c r="AE2272" s="466"/>
      <c r="AF2272" s="449"/>
      <c r="AG2272" s="449"/>
      <c r="AH2272" s="449"/>
    </row>
    <row r="2273" ht="11.25" customHeight="1">
      <c r="A2273" s="450"/>
      <c r="B2273" s="472"/>
      <c r="C2273" s="473"/>
      <c r="D2273" s="473"/>
      <c r="E2273" s="474"/>
      <c r="F2273" s="474"/>
      <c r="G2273" s="475"/>
      <c r="H2273" s="475"/>
      <c r="I2273" s="476"/>
      <c r="J2273" s="477"/>
      <c r="K2273" s="478" t="s">
        <v>1418</v>
      </c>
      <c r="L2273" s="479"/>
      <c r="M2273" s="480"/>
      <c r="N2273" s="481"/>
      <c r="O2273" s="481"/>
      <c r="P2273" s="482"/>
      <c r="Q2273" s="479"/>
      <c r="R2273" s="480"/>
      <c r="S2273" s="480"/>
      <c r="T2273" s="480"/>
      <c r="U2273" s="480"/>
      <c r="V2273" s="480"/>
      <c r="W2273" s="480"/>
      <c r="X2273" s="480"/>
      <c r="Y2273" s="483">
        <f t="shared" si="17"/>
        <v>0</v>
      </c>
      <c r="Z2273" s="484"/>
      <c r="AA2273" s="485"/>
      <c r="AB2273" s="486"/>
      <c r="AC2273" s="486"/>
      <c r="AD2273" s="486"/>
      <c r="AE2273" s="487"/>
      <c r="AF2273" s="449"/>
      <c r="AG2273" s="449"/>
      <c r="AH2273" s="449"/>
    </row>
    <row r="2274" ht="11.25" customHeight="1">
      <c r="A2274" s="431" t="str">
        <f>IF(B2274="","", YEAR(B2274))</f>
        <v/>
      </c>
      <c r="B2274" s="432"/>
      <c r="C2274" s="433"/>
      <c r="D2274" s="433"/>
      <c r="E2274" s="434" t="str">
        <f t="shared" ref="E2274:I2274" si="1144">IFERROR(AVERAGE(L2274:L2277),"")</f>
        <v/>
      </c>
      <c r="F2274" s="434" t="str">
        <f t="shared" si="1144"/>
        <v/>
      </c>
      <c r="G2274" s="435" t="str">
        <f t="shared" si="1144"/>
        <v/>
      </c>
      <c r="H2274" s="435" t="str">
        <f t="shared" si="1144"/>
        <v/>
      </c>
      <c r="I2274" s="436" t="str">
        <f t="shared" si="1144"/>
        <v/>
      </c>
      <c r="J2274" s="437">
        <f>SUMIFS(PRODUCTION[KG],PRODUCTION[GRADE],"3X50",PRODUCTION[DATE],B2274,PRODUCTION[BATCH],C2274,PRODUCTION[SHIFT],D2274)</f>
        <v>0</v>
      </c>
      <c r="K2274" s="438" t="s">
        <v>1414</v>
      </c>
      <c r="L2274" s="443"/>
      <c r="M2274" s="440"/>
      <c r="N2274" s="441"/>
      <c r="O2274" s="441"/>
      <c r="P2274" s="442"/>
      <c r="Q2274" s="443"/>
      <c r="R2274" s="440"/>
      <c r="S2274" s="440"/>
      <c r="T2274" s="440"/>
      <c r="U2274" s="440"/>
      <c r="V2274" s="440"/>
      <c r="W2274" s="440"/>
      <c r="X2274" s="440"/>
      <c r="Y2274" s="444">
        <f t="shared" si="17"/>
        <v>0</v>
      </c>
      <c r="Z2274" s="445"/>
      <c r="AA2274" s="446">
        <f t="shared" ref="AA2274:AE2274" si="1145">$J2274*E2274</f>
        <v>0</v>
      </c>
      <c r="AB2274" s="447">
        <f t="shared" si="1145"/>
        <v>0</v>
      </c>
      <c r="AC2274" s="447">
        <f t="shared" si="1145"/>
        <v>0</v>
      </c>
      <c r="AD2274" s="447">
        <f t="shared" si="1145"/>
        <v>0</v>
      </c>
      <c r="AE2274" s="448">
        <f t="shared" si="1145"/>
        <v>0</v>
      </c>
      <c r="AF2274" s="449"/>
      <c r="AG2274" s="449"/>
      <c r="AH2274" s="449"/>
    </row>
    <row r="2275" ht="11.25" customHeight="1">
      <c r="A2275" s="450"/>
      <c r="B2275" s="451"/>
      <c r="C2275" s="452"/>
      <c r="D2275" s="452"/>
      <c r="E2275" s="453"/>
      <c r="F2275" s="453"/>
      <c r="G2275" s="454"/>
      <c r="H2275" s="454"/>
      <c r="I2275" s="455"/>
      <c r="J2275" s="456"/>
      <c r="K2275" s="457" t="s">
        <v>1416</v>
      </c>
      <c r="L2275" s="458"/>
      <c r="M2275" s="459"/>
      <c r="N2275" s="460"/>
      <c r="O2275" s="460"/>
      <c r="P2275" s="461"/>
      <c r="Q2275" s="458"/>
      <c r="R2275" s="459"/>
      <c r="S2275" s="459"/>
      <c r="T2275" s="459"/>
      <c r="U2275" s="459"/>
      <c r="V2275" s="459"/>
      <c r="W2275" s="459"/>
      <c r="X2275" s="459"/>
      <c r="Y2275" s="462">
        <f t="shared" si="17"/>
        <v>0</v>
      </c>
      <c r="Z2275" s="463"/>
      <c r="AA2275" s="464"/>
      <c r="AB2275" s="465"/>
      <c r="AC2275" s="465"/>
      <c r="AD2275" s="465"/>
      <c r="AE2275" s="466"/>
      <c r="AF2275" s="449"/>
      <c r="AG2275" s="449"/>
      <c r="AH2275" s="449"/>
    </row>
    <row r="2276" ht="11.25" customHeight="1">
      <c r="A2276" s="450"/>
      <c r="B2276" s="451"/>
      <c r="C2276" s="452"/>
      <c r="D2276" s="452"/>
      <c r="E2276" s="453"/>
      <c r="F2276" s="453"/>
      <c r="G2276" s="454"/>
      <c r="H2276" s="454"/>
      <c r="I2276" s="455"/>
      <c r="J2276" s="456"/>
      <c r="K2276" s="467" t="s">
        <v>1417</v>
      </c>
      <c r="L2276" s="468"/>
      <c r="M2276" s="469"/>
      <c r="N2276" s="470"/>
      <c r="O2276" s="470"/>
      <c r="P2276" s="471"/>
      <c r="Q2276" s="468"/>
      <c r="R2276" s="469"/>
      <c r="S2276" s="469"/>
      <c r="T2276" s="469"/>
      <c r="U2276" s="469"/>
      <c r="V2276" s="469"/>
      <c r="W2276" s="469"/>
      <c r="X2276" s="469"/>
      <c r="Y2276" s="462">
        <f t="shared" si="17"/>
        <v>0</v>
      </c>
      <c r="Z2276" s="463"/>
      <c r="AA2276" s="464"/>
      <c r="AB2276" s="465"/>
      <c r="AC2276" s="465"/>
      <c r="AD2276" s="465"/>
      <c r="AE2276" s="466"/>
      <c r="AF2276" s="449"/>
      <c r="AG2276" s="449"/>
      <c r="AH2276" s="449"/>
    </row>
    <row r="2277" ht="11.25" customHeight="1">
      <c r="A2277" s="450"/>
      <c r="B2277" s="472"/>
      <c r="C2277" s="473"/>
      <c r="D2277" s="473"/>
      <c r="E2277" s="474"/>
      <c r="F2277" s="474"/>
      <c r="G2277" s="475"/>
      <c r="H2277" s="475"/>
      <c r="I2277" s="476"/>
      <c r="J2277" s="477"/>
      <c r="K2277" s="478" t="s">
        <v>1418</v>
      </c>
      <c r="L2277" s="479"/>
      <c r="M2277" s="480"/>
      <c r="N2277" s="481"/>
      <c r="O2277" s="481"/>
      <c r="P2277" s="482"/>
      <c r="Q2277" s="479"/>
      <c r="R2277" s="480"/>
      <c r="S2277" s="480"/>
      <c r="T2277" s="480"/>
      <c r="U2277" s="480"/>
      <c r="V2277" s="480"/>
      <c r="W2277" s="480"/>
      <c r="X2277" s="480"/>
      <c r="Y2277" s="483">
        <f t="shared" si="17"/>
        <v>0</v>
      </c>
      <c r="Z2277" s="484"/>
      <c r="AA2277" s="485"/>
      <c r="AB2277" s="486"/>
      <c r="AC2277" s="486"/>
      <c r="AD2277" s="486"/>
      <c r="AE2277" s="487"/>
      <c r="AF2277" s="449"/>
      <c r="AG2277" s="449"/>
      <c r="AH2277" s="449"/>
    </row>
    <row r="2278" ht="11.25" customHeight="1">
      <c r="A2278" s="431" t="str">
        <f>IF(B2278="","", YEAR(B2278))</f>
        <v/>
      </c>
      <c r="B2278" s="432"/>
      <c r="C2278" s="433"/>
      <c r="D2278" s="433"/>
      <c r="E2278" s="434" t="str">
        <f t="shared" ref="E2278:I2278" si="1146">IFERROR(AVERAGE(L2278:L2281),"")</f>
        <v/>
      </c>
      <c r="F2278" s="434" t="str">
        <f t="shared" si="1146"/>
        <v/>
      </c>
      <c r="G2278" s="435" t="str">
        <f t="shared" si="1146"/>
        <v/>
      </c>
      <c r="H2278" s="435" t="str">
        <f t="shared" si="1146"/>
        <v/>
      </c>
      <c r="I2278" s="436" t="str">
        <f t="shared" si="1146"/>
        <v/>
      </c>
      <c r="J2278" s="437">
        <f>SUMIFS(PRODUCTION[KG],PRODUCTION[GRADE],"3X50",PRODUCTION[DATE],B2278,PRODUCTION[BATCH],C2278,PRODUCTION[SHIFT],D2278)</f>
        <v>0</v>
      </c>
      <c r="K2278" s="438" t="s">
        <v>1414</v>
      </c>
      <c r="L2278" s="443"/>
      <c r="M2278" s="440"/>
      <c r="N2278" s="441"/>
      <c r="O2278" s="441"/>
      <c r="P2278" s="442"/>
      <c r="Q2278" s="443"/>
      <c r="R2278" s="440"/>
      <c r="S2278" s="440"/>
      <c r="T2278" s="440"/>
      <c r="U2278" s="440"/>
      <c r="V2278" s="440"/>
      <c r="W2278" s="440"/>
      <c r="X2278" s="440"/>
      <c r="Y2278" s="444">
        <f t="shared" si="17"/>
        <v>0</v>
      </c>
      <c r="Z2278" s="445"/>
      <c r="AA2278" s="446">
        <f t="shared" ref="AA2278:AE2278" si="1147">$J2278*E2278</f>
        <v>0</v>
      </c>
      <c r="AB2278" s="447">
        <f t="shared" si="1147"/>
        <v>0</v>
      </c>
      <c r="AC2278" s="447">
        <f t="shared" si="1147"/>
        <v>0</v>
      </c>
      <c r="AD2278" s="447">
        <f t="shared" si="1147"/>
        <v>0</v>
      </c>
      <c r="AE2278" s="448">
        <f t="shared" si="1147"/>
        <v>0</v>
      </c>
      <c r="AF2278" s="449"/>
      <c r="AG2278" s="449"/>
      <c r="AH2278" s="449"/>
    </row>
    <row r="2279" ht="11.25" customHeight="1">
      <c r="A2279" s="450"/>
      <c r="B2279" s="451"/>
      <c r="C2279" s="452"/>
      <c r="D2279" s="452"/>
      <c r="E2279" s="453"/>
      <c r="F2279" s="453"/>
      <c r="G2279" s="454"/>
      <c r="H2279" s="454"/>
      <c r="I2279" s="455"/>
      <c r="J2279" s="456"/>
      <c r="K2279" s="457" t="s">
        <v>1416</v>
      </c>
      <c r="L2279" s="458"/>
      <c r="M2279" s="459"/>
      <c r="N2279" s="460"/>
      <c r="O2279" s="460"/>
      <c r="P2279" s="461"/>
      <c r="Q2279" s="458"/>
      <c r="R2279" s="459"/>
      <c r="S2279" s="459"/>
      <c r="T2279" s="459"/>
      <c r="U2279" s="459"/>
      <c r="V2279" s="459"/>
      <c r="W2279" s="459"/>
      <c r="X2279" s="459"/>
      <c r="Y2279" s="462">
        <f t="shared" si="17"/>
        <v>0</v>
      </c>
      <c r="Z2279" s="463"/>
      <c r="AA2279" s="464"/>
      <c r="AB2279" s="465"/>
      <c r="AC2279" s="465"/>
      <c r="AD2279" s="465"/>
      <c r="AE2279" s="466"/>
      <c r="AF2279" s="449"/>
      <c r="AG2279" s="449"/>
      <c r="AH2279" s="449"/>
    </row>
    <row r="2280" ht="11.25" customHeight="1">
      <c r="A2280" s="450"/>
      <c r="B2280" s="451"/>
      <c r="C2280" s="452"/>
      <c r="D2280" s="452"/>
      <c r="E2280" s="453"/>
      <c r="F2280" s="453"/>
      <c r="G2280" s="454"/>
      <c r="H2280" s="454"/>
      <c r="I2280" s="455"/>
      <c r="J2280" s="456"/>
      <c r="K2280" s="467" t="s">
        <v>1417</v>
      </c>
      <c r="L2280" s="468"/>
      <c r="M2280" s="469"/>
      <c r="N2280" s="470"/>
      <c r="O2280" s="470"/>
      <c r="P2280" s="471"/>
      <c r="Q2280" s="468"/>
      <c r="R2280" s="469"/>
      <c r="S2280" s="469"/>
      <c r="T2280" s="469"/>
      <c r="U2280" s="469"/>
      <c r="V2280" s="469"/>
      <c r="W2280" s="469"/>
      <c r="X2280" s="469"/>
      <c r="Y2280" s="462">
        <f t="shared" si="17"/>
        <v>0</v>
      </c>
      <c r="Z2280" s="463"/>
      <c r="AA2280" s="464"/>
      <c r="AB2280" s="465"/>
      <c r="AC2280" s="465"/>
      <c r="AD2280" s="465"/>
      <c r="AE2280" s="466"/>
      <c r="AF2280" s="449"/>
      <c r="AG2280" s="449"/>
      <c r="AH2280" s="449"/>
    </row>
    <row r="2281" ht="11.25" customHeight="1">
      <c r="A2281" s="450"/>
      <c r="B2281" s="472"/>
      <c r="C2281" s="473"/>
      <c r="D2281" s="473"/>
      <c r="E2281" s="474"/>
      <c r="F2281" s="474"/>
      <c r="G2281" s="475"/>
      <c r="H2281" s="475"/>
      <c r="I2281" s="476"/>
      <c r="J2281" s="477"/>
      <c r="K2281" s="478" t="s">
        <v>1418</v>
      </c>
      <c r="L2281" s="479"/>
      <c r="M2281" s="480"/>
      <c r="N2281" s="481"/>
      <c r="O2281" s="481"/>
      <c r="P2281" s="482"/>
      <c r="Q2281" s="479"/>
      <c r="R2281" s="480"/>
      <c r="S2281" s="480"/>
      <c r="T2281" s="480"/>
      <c r="U2281" s="480"/>
      <c r="V2281" s="480"/>
      <c r="W2281" s="480"/>
      <c r="X2281" s="480"/>
      <c r="Y2281" s="483">
        <f t="shared" si="17"/>
        <v>0</v>
      </c>
      <c r="Z2281" s="484"/>
      <c r="AA2281" s="485"/>
      <c r="AB2281" s="486"/>
      <c r="AC2281" s="486"/>
      <c r="AD2281" s="486"/>
      <c r="AE2281" s="487"/>
      <c r="AF2281" s="449"/>
      <c r="AG2281" s="449"/>
      <c r="AH2281" s="449"/>
    </row>
    <row r="2282" ht="11.25" customHeight="1">
      <c r="A2282" s="431" t="str">
        <f>IF(B2282="","", YEAR(B2282))</f>
        <v/>
      </c>
      <c r="B2282" s="432"/>
      <c r="C2282" s="433"/>
      <c r="D2282" s="433"/>
      <c r="E2282" s="434" t="str">
        <f t="shared" ref="E2282:I2282" si="1148">IFERROR(AVERAGE(L2282:L2285),"")</f>
        <v/>
      </c>
      <c r="F2282" s="434" t="str">
        <f t="shared" si="1148"/>
        <v/>
      </c>
      <c r="G2282" s="435" t="str">
        <f t="shared" si="1148"/>
        <v/>
      </c>
      <c r="H2282" s="435" t="str">
        <f t="shared" si="1148"/>
        <v/>
      </c>
      <c r="I2282" s="436" t="str">
        <f t="shared" si="1148"/>
        <v/>
      </c>
      <c r="J2282" s="437">
        <f>SUMIFS(PRODUCTION[KG],PRODUCTION[GRADE],"3X50",PRODUCTION[DATE],B2282,PRODUCTION[BATCH],C2282,PRODUCTION[SHIFT],D2282)</f>
        <v>0</v>
      </c>
      <c r="K2282" s="438" t="s">
        <v>1414</v>
      </c>
      <c r="L2282" s="443"/>
      <c r="M2282" s="440"/>
      <c r="N2282" s="441"/>
      <c r="O2282" s="441"/>
      <c r="P2282" s="442"/>
      <c r="Q2282" s="443"/>
      <c r="R2282" s="440"/>
      <c r="S2282" s="440"/>
      <c r="T2282" s="440"/>
      <c r="U2282" s="440"/>
      <c r="V2282" s="440"/>
      <c r="W2282" s="440"/>
      <c r="X2282" s="440"/>
      <c r="Y2282" s="444">
        <f t="shared" si="17"/>
        <v>0</v>
      </c>
      <c r="Z2282" s="445"/>
      <c r="AA2282" s="446">
        <f t="shared" ref="AA2282:AE2282" si="1149">$J2282*E2282</f>
        <v>0</v>
      </c>
      <c r="AB2282" s="447">
        <f t="shared" si="1149"/>
        <v>0</v>
      </c>
      <c r="AC2282" s="447">
        <f t="shared" si="1149"/>
        <v>0</v>
      </c>
      <c r="AD2282" s="447">
        <f t="shared" si="1149"/>
        <v>0</v>
      </c>
      <c r="AE2282" s="448">
        <f t="shared" si="1149"/>
        <v>0</v>
      </c>
      <c r="AF2282" s="449"/>
      <c r="AG2282" s="449"/>
      <c r="AH2282" s="449"/>
    </row>
    <row r="2283" ht="11.25" customHeight="1">
      <c r="A2283" s="450"/>
      <c r="B2283" s="451"/>
      <c r="C2283" s="452"/>
      <c r="D2283" s="452"/>
      <c r="E2283" s="453"/>
      <c r="F2283" s="453"/>
      <c r="G2283" s="454"/>
      <c r="H2283" s="454"/>
      <c r="I2283" s="455"/>
      <c r="J2283" s="456"/>
      <c r="K2283" s="457" t="s">
        <v>1416</v>
      </c>
      <c r="L2283" s="458"/>
      <c r="M2283" s="459"/>
      <c r="N2283" s="460"/>
      <c r="O2283" s="460"/>
      <c r="P2283" s="461"/>
      <c r="Q2283" s="458"/>
      <c r="R2283" s="459"/>
      <c r="S2283" s="459"/>
      <c r="T2283" s="459"/>
      <c r="U2283" s="459"/>
      <c r="V2283" s="459"/>
      <c r="W2283" s="459"/>
      <c r="X2283" s="459"/>
      <c r="Y2283" s="462">
        <f t="shared" si="17"/>
        <v>0</v>
      </c>
      <c r="Z2283" s="463"/>
      <c r="AA2283" s="464"/>
      <c r="AB2283" s="465"/>
      <c r="AC2283" s="465"/>
      <c r="AD2283" s="465"/>
      <c r="AE2283" s="466"/>
      <c r="AF2283" s="449"/>
      <c r="AG2283" s="449"/>
      <c r="AH2283" s="449"/>
    </row>
    <row r="2284" ht="11.25" customHeight="1">
      <c r="A2284" s="450"/>
      <c r="B2284" s="451"/>
      <c r="C2284" s="452"/>
      <c r="D2284" s="452"/>
      <c r="E2284" s="453"/>
      <c r="F2284" s="453"/>
      <c r="G2284" s="454"/>
      <c r="H2284" s="454"/>
      <c r="I2284" s="455"/>
      <c r="J2284" s="456"/>
      <c r="K2284" s="467" t="s">
        <v>1417</v>
      </c>
      <c r="L2284" s="468"/>
      <c r="M2284" s="469"/>
      <c r="N2284" s="470"/>
      <c r="O2284" s="470"/>
      <c r="P2284" s="471"/>
      <c r="Q2284" s="468"/>
      <c r="R2284" s="469"/>
      <c r="S2284" s="469"/>
      <c r="T2284" s="469"/>
      <c r="U2284" s="469"/>
      <c r="V2284" s="469"/>
      <c r="W2284" s="469"/>
      <c r="X2284" s="469"/>
      <c r="Y2284" s="462">
        <f t="shared" si="17"/>
        <v>0</v>
      </c>
      <c r="Z2284" s="463"/>
      <c r="AA2284" s="464"/>
      <c r="AB2284" s="465"/>
      <c r="AC2284" s="465"/>
      <c r="AD2284" s="465"/>
      <c r="AE2284" s="466"/>
      <c r="AF2284" s="449"/>
      <c r="AG2284" s="449"/>
      <c r="AH2284" s="449"/>
    </row>
    <row r="2285" ht="11.25" customHeight="1">
      <c r="A2285" s="450"/>
      <c r="B2285" s="472"/>
      <c r="C2285" s="473"/>
      <c r="D2285" s="473"/>
      <c r="E2285" s="474"/>
      <c r="F2285" s="474"/>
      <c r="G2285" s="475"/>
      <c r="H2285" s="475"/>
      <c r="I2285" s="476"/>
      <c r="J2285" s="477"/>
      <c r="K2285" s="478" t="s">
        <v>1418</v>
      </c>
      <c r="L2285" s="479"/>
      <c r="M2285" s="480"/>
      <c r="N2285" s="481"/>
      <c r="O2285" s="481"/>
      <c r="P2285" s="482"/>
      <c r="Q2285" s="479"/>
      <c r="R2285" s="480"/>
      <c r="S2285" s="480"/>
      <c r="T2285" s="480"/>
      <c r="U2285" s="480"/>
      <c r="V2285" s="480"/>
      <c r="W2285" s="480"/>
      <c r="X2285" s="480"/>
      <c r="Y2285" s="483">
        <f t="shared" si="17"/>
        <v>0</v>
      </c>
      <c r="Z2285" s="484"/>
      <c r="AA2285" s="485"/>
      <c r="AB2285" s="486"/>
      <c r="AC2285" s="486"/>
      <c r="AD2285" s="486"/>
      <c r="AE2285" s="487"/>
      <c r="AF2285" s="449"/>
      <c r="AG2285" s="449"/>
      <c r="AH2285" s="449"/>
    </row>
    <row r="2286" ht="11.25" customHeight="1">
      <c r="A2286" s="431" t="str">
        <f>IF(B2286="","", YEAR(B2286))</f>
        <v/>
      </c>
      <c r="B2286" s="432"/>
      <c r="C2286" s="433"/>
      <c r="D2286" s="433"/>
      <c r="E2286" s="434" t="str">
        <f t="shared" ref="E2286:I2286" si="1150">IFERROR(AVERAGE(L2286:L2289),"")</f>
        <v/>
      </c>
      <c r="F2286" s="434" t="str">
        <f t="shared" si="1150"/>
        <v/>
      </c>
      <c r="G2286" s="435" t="str">
        <f t="shared" si="1150"/>
        <v/>
      </c>
      <c r="H2286" s="435" t="str">
        <f t="shared" si="1150"/>
        <v/>
      </c>
      <c r="I2286" s="436" t="str">
        <f t="shared" si="1150"/>
        <v/>
      </c>
      <c r="J2286" s="437">
        <f>SUMIFS(PRODUCTION[KG],PRODUCTION[GRADE],"3X50",PRODUCTION[DATE],B2286,PRODUCTION[BATCH],C2286,PRODUCTION[SHIFT],D2286)</f>
        <v>0</v>
      </c>
      <c r="K2286" s="438" t="s">
        <v>1414</v>
      </c>
      <c r="L2286" s="443"/>
      <c r="M2286" s="440"/>
      <c r="N2286" s="441"/>
      <c r="O2286" s="441"/>
      <c r="P2286" s="442"/>
      <c r="Q2286" s="443"/>
      <c r="R2286" s="440"/>
      <c r="S2286" s="440"/>
      <c r="T2286" s="440"/>
      <c r="U2286" s="440"/>
      <c r="V2286" s="440"/>
      <c r="W2286" s="440"/>
      <c r="X2286" s="440"/>
      <c r="Y2286" s="444">
        <f t="shared" si="17"/>
        <v>0</v>
      </c>
      <c r="Z2286" s="445"/>
      <c r="AA2286" s="446">
        <f t="shared" ref="AA2286:AE2286" si="1151">$J2286*E2286</f>
        <v>0</v>
      </c>
      <c r="AB2286" s="447">
        <f t="shared" si="1151"/>
        <v>0</v>
      </c>
      <c r="AC2286" s="447">
        <f t="shared" si="1151"/>
        <v>0</v>
      </c>
      <c r="AD2286" s="447">
        <f t="shared" si="1151"/>
        <v>0</v>
      </c>
      <c r="AE2286" s="448">
        <f t="shared" si="1151"/>
        <v>0</v>
      </c>
      <c r="AF2286" s="449"/>
      <c r="AG2286" s="449"/>
      <c r="AH2286" s="449"/>
    </row>
    <row r="2287" ht="11.25" customHeight="1">
      <c r="A2287" s="450"/>
      <c r="B2287" s="451"/>
      <c r="C2287" s="452"/>
      <c r="D2287" s="452"/>
      <c r="E2287" s="453"/>
      <c r="F2287" s="453"/>
      <c r="G2287" s="454"/>
      <c r="H2287" s="454"/>
      <c r="I2287" s="455"/>
      <c r="J2287" s="456"/>
      <c r="K2287" s="457" t="s">
        <v>1416</v>
      </c>
      <c r="L2287" s="458"/>
      <c r="M2287" s="459"/>
      <c r="N2287" s="460"/>
      <c r="O2287" s="460"/>
      <c r="P2287" s="461"/>
      <c r="Q2287" s="458"/>
      <c r="R2287" s="459"/>
      <c r="S2287" s="459"/>
      <c r="T2287" s="459"/>
      <c r="U2287" s="459"/>
      <c r="V2287" s="459"/>
      <c r="W2287" s="459"/>
      <c r="X2287" s="459"/>
      <c r="Y2287" s="462">
        <f t="shared" si="17"/>
        <v>0</v>
      </c>
      <c r="Z2287" s="463"/>
      <c r="AA2287" s="464"/>
      <c r="AB2287" s="465"/>
      <c r="AC2287" s="465"/>
      <c r="AD2287" s="465"/>
      <c r="AE2287" s="466"/>
      <c r="AF2287" s="449"/>
      <c r="AG2287" s="449"/>
      <c r="AH2287" s="449"/>
    </row>
    <row r="2288" ht="11.25" customHeight="1">
      <c r="A2288" s="450"/>
      <c r="B2288" s="451"/>
      <c r="C2288" s="452"/>
      <c r="D2288" s="452"/>
      <c r="E2288" s="453"/>
      <c r="F2288" s="453"/>
      <c r="G2288" s="454"/>
      <c r="H2288" s="454"/>
      <c r="I2288" s="455"/>
      <c r="J2288" s="456"/>
      <c r="K2288" s="467" t="s">
        <v>1417</v>
      </c>
      <c r="L2288" s="468"/>
      <c r="M2288" s="469"/>
      <c r="N2288" s="470"/>
      <c r="O2288" s="470"/>
      <c r="P2288" s="471"/>
      <c r="Q2288" s="468"/>
      <c r="R2288" s="469"/>
      <c r="S2288" s="469"/>
      <c r="T2288" s="469"/>
      <c r="U2288" s="469"/>
      <c r="V2288" s="469"/>
      <c r="W2288" s="469"/>
      <c r="X2288" s="469"/>
      <c r="Y2288" s="462">
        <f t="shared" si="17"/>
        <v>0</v>
      </c>
      <c r="Z2288" s="463"/>
      <c r="AA2288" s="464"/>
      <c r="AB2288" s="465"/>
      <c r="AC2288" s="465"/>
      <c r="AD2288" s="465"/>
      <c r="AE2288" s="466"/>
      <c r="AF2288" s="449"/>
      <c r="AG2288" s="449"/>
      <c r="AH2288" s="449"/>
    </row>
    <row r="2289" ht="11.25" customHeight="1">
      <c r="A2289" s="450"/>
      <c r="B2289" s="472"/>
      <c r="C2289" s="473"/>
      <c r="D2289" s="473"/>
      <c r="E2289" s="474"/>
      <c r="F2289" s="474"/>
      <c r="G2289" s="475"/>
      <c r="H2289" s="475"/>
      <c r="I2289" s="476"/>
      <c r="J2289" s="477"/>
      <c r="K2289" s="478" t="s">
        <v>1418</v>
      </c>
      <c r="L2289" s="479"/>
      <c r="M2289" s="480"/>
      <c r="N2289" s="481"/>
      <c r="O2289" s="481"/>
      <c r="P2289" s="482"/>
      <c r="Q2289" s="479"/>
      <c r="R2289" s="480"/>
      <c r="S2289" s="480"/>
      <c r="T2289" s="480"/>
      <c r="U2289" s="480"/>
      <c r="V2289" s="480"/>
      <c r="W2289" s="480"/>
      <c r="X2289" s="480"/>
      <c r="Y2289" s="483">
        <f t="shared" si="17"/>
        <v>0</v>
      </c>
      <c r="Z2289" s="484"/>
      <c r="AA2289" s="485"/>
      <c r="AB2289" s="486"/>
      <c r="AC2289" s="486"/>
      <c r="AD2289" s="486"/>
      <c r="AE2289" s="487"/>
      <c r="AF2289" s="449"/>
      <c r="AG2289" s="449"/>
      <c r="AH2289" s="449"/>
    </row>
    <row r="2290" ht="11.25" customHeight="1">
      <c r="A2290" s="431" t="str">
        <f>IF(B2290="","", YEAR(B2290))</f>
        <v/>
      </c>
      <c r="B2290" s="432"/>
      <c r="C2290" s="433"/>
      <c r="D2290" s="433"/>
      <c r="E2290" s="434" t="str">
        <f t="shared" ref="E2290:I2290" si="1152">IFERROR(AVERAGE(L2290:L2293),"")</f>
        <v/>
      </c>
      <c r="F2290" s="434" t="str">
        <f t="shared" si="1152"/>
        <v/>
      </c>
      <c r="G2290" s="435" t="str">
        <f t="shared" si="1152"/>
        <v/>
      </c>
      <c r="H2290" s="435" t="str">
        <f t="shared" si="1152"/>
        <v/>
      </c>
      <c r="I2290" s="436" t="str">
        <f t="shared" si="1152"/>
        <v/>
      </c>
      <c r="J2290" s="437">
        <f>SUMIFS(PRODUCTION[KG],PRODUCTION[GRADE],"3X50",PRODUCTION[DATE],B2290,PRODUCTION[BATCH],C2290,PRODUCTION[SHIFT],D2290)</f>
        <v>0</v>
      </c>
      <c r="K2290" s="438" t="s">
        <v>1414</v>
      </c>
      <c r="L2290" s="443"/>
      <c r="M2290" s="440"/>
      <c r="N2290" s="441"/>
      <c r="O2290" s="441"/>
      <c r="P2290" s="442"/>
      <c r="Q2290" s="443"/>
      <c r="R2290" s="440"/>
      <c r="S2290" s="440"/>
      <c r="T2290" s="440"/>
      <c r="U2290" s="440"/>
      <c r="V2290" s="440"/>
      <c r="W2290" s="440"/>
      <c r="X2290" s="440"/>
      <c r="Y2290" s="444">
        <f t="shared" si="17"/>
        <v>0</v>
      </c>
      <c r="Z2290" s="445"/>
      <c r="AA2290" s="446">
        <f t="shared" ref="AA2290:AE2290" si="1153">$J2290*E2290</f>
        <v>0</v>
      </c>
      <c r="AB2290" s="447">
        <f t="shared" si="1153"/>
        <v>0</v>
      </c>
      <c r="AC2290" s="447">
        <f t="shared" si="1153"/>
        <v>0</v>
      </c>
      <c r="AD2290" s="447">
        <f t="shared" si="1153"/>
        <v>0</v>
      </c>
      <c r="AE2290" s="448">
        <f t="shared" si="1153"/>
        <v>0</v>
      </c>
      <c r="AF2290" s="449"/>
      <c r="AG2290" s="449"/>
      <c r="AH2290" s="449"/>
    </row>
    <row r="2291" ht="11.25" customHeight="1">
      <c r="A2291" s="450"/>
      <c r="B2291" s="451"/>
      <c r="C2291" s="452"/>
      <c r="D2291" s="452"/>
      <c r="E2291" s="453"/>
      <c r="F2291" s="453"/>
      <c r="G2291" s="454"/>
      <c r="H2291" s="454"/>
      <c r="I2291" s="455"/>
      <c r="J2291" s="456"/>
      <c r="K2291" s="457" t="s">
        <v>1416</v>
      </c>
      <c r="L2291" s="458"/>
      <c r="M2291" s="459"/>
      <c r="N2291" s="460"/>
      <c r="O2291" s="460"/>
      <c r="P2291" s="461"/>
      <c r="Q2291" s="458"/>
      <c r="R2291" s="459"/>
      <c r="S2291" s="459"/>
      <c r="T2291" s="459"/>
      <c r="U2291" s="459"/>
      <c r="V2291" s="459"/>
      <c r="W2291" s="459"/>
      <c r="X2291" s="459"/>
      <c r="Y2291" s="462">
        <f t="shared" si="17"/>
        <v>0</v>
      </c>
      <c r="Z2291" s="463"/>
      <c r="AA2291" s="464"/>
      <c r="AB2291" s="465"/>
      <c r="AC2291" s="465"/>
      <c r="AD2291" s="465"/>
      <c r="AE2291" s="466"/>
      <c r="AF2291" s="449"/>
      <c r="AG2291" s="449"/>
      <c r="AH2291" s="449"/>
    </row>
    <row r="2292" ht="11.25" customHeight="1">
      <c r="A2292" s="450"/>
      <c r="B2292" s="451"/>
      <c r="C2292" s="452"/>
      <c r="D2292" s="452"/>
      <c r="E2292" s="453"/>
      <c r="F2292" s="453"/>
      <c r="G2292" s="454"/>
      <c r="H2292" s="454"/>
      <c r="I2292" s="455"/>
      <c r="J2292" s="456"/>
      <c r="K2292" s="467" t="s">
        <v>1417</v>
      </c>
      <c r="L2292" s="468"/>
      <c r="M2292" s="469"/>
      <c r="N2292" s="470"/>
      <c r="O2292" s="470"/>
      <c r="P2292" s="471"/>
      <c r="Q2292" s="468"/>
      <c r="R2292" s="469"/>
      <c r="S2292" s="469"/>
      <c r="T2292" s="469"/>
      <c r="U2292" s="469"/>
      <c r="V2292" s="469"/>
      <c r="W2292" s="469"/>
      <c r="X2292" s="469"/>
      <c r="Y2292" s="462">
        <f t="shared" si="17"/>
        <v>0</v>
      </c>
      <c r="Z2292" s="463"/>
      <c r="AA2292" s="464"/>
      <c r="AB2292" s="465"/>
      <c r="AC2292" s="465"/>
      <c r="AD2292" s="465"/>
      <c r="AE2292" s="466"/>
      <c r="AF2292" s="449"/>
      <c r="AG2292" s="449"/>
      <c r="AH2292" s="449"/>
    </row>
    <row r="2293" ht="11.25" customHeight="1">
      <c r="A2293" s="450"/>
      <c r="B2293" s="472"/>
      <c r="C2293" s="473"/>
      <c r="D2293" s="473"/>
      <c r="E2293" s="474"/>
      <c r="F2293" s="474"/>
      <c r="G2293" s="475"/>
      <c r="H2293" s="475"/>
      <c r="I2293" s="476"/>
      <c r="J2293" s="477"/>
      <c r="K2293" s="478" t="s">
        <v>1418</v>
      </c>
      <c r="L2293" s="479"/>
      <c r="M2293" s="480"/>
      <c r="N2293" s="481"/>
      <c r="O2293" s="481"/>
      <c r="P2293" s="482"/>
      <c r="Q2293" s="479"/>
      <c r="R2293" s="480"/>
      <c r="S2293" s="480"/>
      <c r="T2293" s="480"/>
      <c r="U2293" s="480"/>
      <c r="V2293" s="480"/>
      <c r="W2293" s="480"/>
      <c r="X2293" s="480"/>
      <c r="Y2293" s="483">
        <f t="shared" si="17"/>
        <v>0</v>
      </c>
      <c r="Z2293" s="484"/>
      <c r="AA2293" s="485"/>
      <c r="AB2293" s="486"/>
      <c r="AC2293" s="486"/>
      <c r="AD2293" s="486"/>
      <c r="AE2293" s="487"/>
      <c r="AF2293" s="449"/>
      <c r="AG2293" s="449"/>
      <c r="AH2293" s="449"/>
    </row>
    <row r="2294" ht="11.25" customHeight="1">
      <c r="A2294" s="431" t="str">
        <f>IF(B2294="","", YEAR(B2294))</f>
        <v/>
      </c>
      <c r="B2294" s="432"/>
      <c r="C2294" s="433"/>
      <c r="D2294" s="433"/>
      <c r="E2294" s="434" t="str">
        <f t="shared" ref="E2294:I2294" si="1154">IFERROR(AVERAGE(L2294:L2297),"")</f>
        <v/>
      </c>
      <c r="F2294" s="434" t="str">
        <f t="shared" si="1154"/>
        <v/>
      </c>
      <c r="G2294" s="435" t="str">
        <f t="shared" si="1154"/>
        <v/>
      </c>
      <c r="H2294" s="435" t="str">
        <f t="shared" si="1154"/>
        <v/>
      </c>
      <c r="I2294" s="436" t="str">
        <f t="shared" si="1154"/>
        <v/>
      </c>
      <c r="J2294" s="437">
        <f>SUMIFS(PRODUCTION[KG],PRODUCTION[GRADE],"3X50",PRODUCTION[DATE],B2294,PRODUCTION[BATCH],C2294,PRODUCTION[SHIFT],D2294)</f>
        <v>0</v>
      </c>
      <c r="K2294" s="438" t="s">
        <v>1414</v>
      </c>
      <c r="L2294" s="443"/>
      <c r="M2294" s="440"/>
      <c r="N2294" s="441"/>
      <c r="O2294" s="441"/>
      <c r="P2294" s="442"/>
      <c r="Q2294" s="443"/>
      <c r="R2294" s="440"/>
      <c r="S2294" s="440"/>
      <c r="T2294" s="440"/>
      <c r="U2294" s="440"/>
      <c r="V2294" s="440"/>
      <c r="W2294" s="440"/>
      <c r="X2294" s="440"/>
      <c r="Y2294" s="444">
        <f t="shared" si="17"/>
        <v>0</v>
      </c>
      <c r="Z2294" s="445"/>
      <c r="AA2294" s="446">
        <f t="shared" ref="AA2294:AE2294" si="1155">$J2294*E2294</f>
        <v>0</v>
      </c>
      <c r="AB2294" s="447">
        <f t="shared" si="1155"/>
        <v>0</v>
      </c>
      <c r="AC2294" s="447">
        <f t="shared" si="1155"/>
        <v>0</v>
      </c>
      <c r="AD2294" s="447">
        <f t="shared" si="1155"/>
        <v>0</v>
      </c>
      <c r="AE2294" s="448">
        <f t="shared" si="1155"/>
        <v>0</v>
      </c>
      <c r="AF2294" s="449"/>
      <c r="AG2294" s="449"/>
      <c r="AH2294" s="449"/>
    </row>
    <row r="2295" ht="11.25" customHeight="1">
      <c r="A2295" s="450"/>
      <c r="B2295" s="451"/>
      <c r="C2295" s="452"/>
      <c r="D2295" s="452"/>
      <c r="E2295" s="453"/>
      <c r="F2295" s="453"/>
      <c r="G2295" s="454"/>
      <c r="H2295" s="454"/>
      <c r="I2295" s="455"/>
      <c r="J2295" s="456"/>
      <c r="K2295" s="457" t="s">
        <v>1416</v>
      </c>
      <c r="L2295" s="458"/>
      <c r="M2295" s="459"/>
      <c r="N2295" s="460"/>
      <c r="O2295" s="460"/>
      <c r="P2295" s="461"/>
      <c r="Q2295" s="458"/>
      <c r="R2295" s="459"/>
      <c r="S2295" s="459"/>
      <c r="T2295" s="459"/>
      <c r="U2295" s="459"/>
      <c r="V2295" s="459"/>
      <c r="W2295" s="459"/>
      <c r="X2295" s="459"/>
      <c r="Y2295" s="462">
        <f t="shared" si="17"/>
        <v>0</v>
      </c>
      <c r="Z2295" s="463"/>
      <c r="AA2295" s="464"/>
      <c r="AB2295" s="465"/>
      <c r="AC2295" s="465"/>
      <c r="AD2295" s="465"/>
      <c r="AE2295" s="466"/>
      <c r="AF2295" s="449"/>
      <c r="AG2295" s="449"/>
      <c r="AH2295" s="449"/>
    </row>
    <row r="2296" ht="11.25" customHeight="1">
      <c r="A2296" s="450"/>
      <c r="B2296" s="451"/>
      <c r="C2296" s="452"/>
      <c r="D2296" s="452"/>
      <c r="E2296" s="453"/>
      <c r="F2296" s="453"/>
      <c r="G2296" s="454"/>
      <c r="H2296" s="454"/>
      <c r="I2296" s="455"/>
      <c r="J2296" s="456"/>
      <c r="K2296" s="467" t="s">
        <v>1417</v>
      </c>
      <c r="L2296" s="468"/>
      <c r="M2296" s="469"/>
      <c r="N2296" s="470"/>
      <c r="O2296" s="470"/>
      <c r="P2296" s="471"/>
      <c r="Q2296" s="468"/>
      <c r="R2296" s="469"/>
      <c r="S2296" s="469"/>
      <c r="T2296" s="469"/>
      <c r="U2296" s="469"/>
      <c r="V2296" s="469"/>
      <c r="W2296" s="469"/>
      <c r="X2296" s="469"/>
      <c r="Y2296" s="462">
        <f t="shared" si="17"/>
        <v>0</v>
      </c>
      <c r="Z2296" s="463"/>
      <c r="AA2296" s="464"/>
      <c r="AB2296" s="465"/>
      <c r="AC2296" s="465"/>
      <c r="AD2296" s="465"/>
      <c r="AE2296" s="466"/>
      <c r="AF2296" s="449"/>
      <c r="AG2296" s="449"/>
      <c r="AH2296" s="449"/>
    </row>
    <row r="2297" ht="11.25" customHeight="1">
      <c r="A2297" s="450"/>
      <c r="B2297" s="472"/>
      <c r="C2297" s="473"/>
      <c r="D2297" s="473"/>
      <c r="E2297" s="474"/>
      <c r="F2297" s="474"/>
      <c r="G2297" s="475"/>
      <c r="H2297" s="475"/>
      <c r="I2297" s="476"/>
      <c r="J2297" s="477"/>
      <c r="K2297" s="478" t="s">
        <v>1418</v>
      </c>
      <c r="L2297" s="479"/>
      <c r="M2297" s="480"/>
      <c r="N2297" s="481"/>
      <c r="O2297" s="481"/>
      <c r="P2297" s="482"/>
      <c r="Q2297" s="479"/>
      <c r="R2297" s="480"/>
      <c r="S2297" s="480"/>
      <c r="T2297" s="480"/>
      <c r="U2297" s="480"/>
      <c r="V2297" s="480"/>
      <c r="W2297" s="480"/>
      <c r="X2297" s="480"/>
      <c r="Y2297" s="483">
        <f t="shared" si="17"/>
        <v>0</v>
      </c>
      <c r="Z2297" s="484"/>
      <c r="AA2297" s="485"/>
      <c r="AB2297" s="486"/>
      <c r="AC2297" s="486"/>
      <c r="AD2297" s="486"/>
      <c r="AE2297" s="487"/>
      <c r="AF2297" s="449"/>
      <c r="AG2297" s="449"/>
      <c r="AH2297" s="449"/>
    </row>
    <row r="2298" ht="11.25" customHeight="1">
      <c r="A2298" s="431" t="str">
        <f>IF(B2298="","", YEAR(B2298))</f>
        <v/>
      </c>
      <c r="B2298" s="432"/>
      <c r="C2298" s="433"/>
      <c r="D2298" s="433"/>
      <c r="E2298" s="434" t="str">
        <f t="shared" ref="E2298:I2298" si="1156">IFERROR(AVERAGE(L2298:L2301),"")</f>
        <v/>
      </c>
      <c r="F2298" s="434" t="str">
        <f t="shared" si="1156"/>
        <v/>
      </c>
      <c r="G2298" s="435" t="str">
        <f t="shared" si="1156"/>
        <v/>
      </c>
      <c r="H2298" s="435" t="str">
        <f t="shared" si="1156"/>
        <v/>
      </c>
      <c r="I2298" s="436" t="str">
        <f t="shared" si="1156"/>
        <v/>
      </c>
      <c r="J2298" s="437">
        <f>SUMIFS(PRODUCTION[KG],PRODUCTION[GRADE],"3X50",PRODUCTION[DATE],B2298,PRODUCTION[BATCH],C2298,PRODUCTION[SHIFT],D2298)</f>
        <v>0</v>
      </c>
      <c r="K2298" s="438" t="s">
        <v>1414</v>
      </c>
      <c r="L2298" s="443"/>
      <c r="M2298" s="440"/>
      <c r="N2298" s="441"/>
      <c r="O2298" s="441"/>
      <c r="P2298" s="442"/>
      <c r="Q2298" s="443"/>
      <c r="R2298" s="440"/>
      <c r="S2298" s="440"/>
      <c r="T2298" s="440"/>
      <c r="U2298" s="440"/>
      <c r="V2298" s="440"/>
      <c r="W2298" s="440"/>
      <c r="X2298" s="440"/>
      <c r="Y2298" s="444">
        <f t="shared" si="17"/>
        <v>0</v>
      </c>
      <c r="Z2298" s="445"/>
      <c r="AA2298" s="446">
        <f t="shared" ref="AA2298:AE2298" si="1157">$J2298*E2298</f>
        <v>0</v>
      </c>
      <c r="AB2298" s="447">
        <f t="shared" si="1157"/>
        <v>0</v>
      </c>
      <c r="AC2298" s="447">
        <f t="shared" si="1157"/>
        <v>0</v>
      </c>
      <c r="AD2298" s="447">
        <f t="shared" si="1157"/>
        <v>0</v>
      </c>
      <c r="AE2298" s="448">
        <f t="shared" si="1157"/>
        <v>0</v>
      </c>
      <c r="AF2298" s="449"/>
      <c r="AG2298" s="449"/>
      <c r="AH2298" s="449"/>
    </row>
    <row r="2299" ht="11.25" customHeight="1">
      <c r="A2299" s="450"/>
      <c r="B2299" s="451"/>
      <c r="C2299" s="452"/>
      <c r="D2299" s="452"/>
      <c r="E2299" s="453"/>
      <c r="F2299" s="453"/>
      <c r="G2299" s="454"/>
      <c r="H2299" s="454"/>
      <c r="I2299" s="455"/>
      <c r="J2299" s="456"/>
      <c r="K2299" s="457" t="s">
        <v>1416</v>
      </c>
      <c r="L2299" s="458"/>
      <c r="M2299" s="459"/>
      <c r="N2299" s="460"/>
      <c r="O2299" s="460"/>
      <c r="P2299" s="461"/>
      <c r="Q2299" s="458"/>
      <c r="R2299" s="459"/>
      <c r="S2299" s="459"/>
      <c r="T2299" s="459"/>
      <c r="U2299" s="459"/>
      <c r="V2299" s="459"/>
      <c r="W2299" s="459"/>
      <c r="X2299" s="459"/>
      <c r="Y2299" s="462">
        <f t="shared" si="17"/>
        <v>0</v>
      </c>
      <c r="Z2299" s="463"/>
      <c r="AA2299" s="464"/>
      <c r="AB2299" s="465"/>
      <c r="AC2299" s="465"/>
      <c r="AD2299" s="465"/>
      <c r="AE2299" s="466"/>
      <c r="AF2299" s="449"/>
      <c r="AG2299" s="449"/>
      <c r="AH2299" s="449"/>
    </row>
    <row r="2300" ht="11.25" customHeight="1">
      <c r="A2300" s="450"/>
      <c r="B2300" s="451"/>
      <c r="C2300" s="452"/>
      <c r="D2300" s="452"/>
      <c r="E2300" s="453"/>
      <c r="F2300" s="453"/>
      <c r="G2300" s="454"/>
      <c r="H2300" s="454"/>
      <c r="I2300" s="455"/>
      <c r="J2300" s="456"/>
      <c r="K2300" s="467" t="s">
        <v>1417</v>
      </c>
      <c r="L2300" s="468"/>
      <c r="M2300" s="469"/>
      <c r="N2300" s="470"/>
      <c r="O2300" s="470"/>
      <c r="P2300" s="471"/>
      <c r="Q2300" s="468"/>
      <c r="R2300" s="469"/>
      <c r="S2300" s="469"/>
      <c r="T2300" s="469"/>
      <c r="U2300" s="469"/>
      <c r="V2300" s="469"/>
      <c r="W2300" s="469"/>
      <c r="X2300" s="469"/>
      <c r="Y2300" s="462">
        <f t="shared" si="17"/>
        <v>0</v>
      </c>
      <c r="Z2300" s="463"/>
      <c r="AA2300" s="464"/>
      <c r="AB2300" s="465"/>
      <c r="AC2300" s="465"/>
      <c r="AD2300" s="465"/>
      <c r="AE2300" s="466"/>
      <c r="AF2300" s="449"/>
      <c r="AG2300" s="449"/>
      <c r="AH2300" s="449"/>
    </row>
    <row r="2301" ht="11.25" customHeight="1">
      <c r="A2301" s="450"/>
      <c r="B2301" s="472"/>
      <c r="C2301" s="473"/>
      <c r="D2301" s="473"/>
      <c r="E2301" s="474"/>
      <c r="F2301" s="474"/>
      <c r="G2301" s="475"/>
      <c r="H2301" s="475"/>
      <c r="I2301" s="476"/>
      <c r="J2301" s="477"/>
      <c r="K2301" s="478" t="s">
        <v>1418</v>
      </c>
      <c r="L2301" s="479"/>
      <c r="M2301" s="480"/>
      <c r="N2301" s="481"/>
      <c r="O2301" s="481"/>
      <c r="P2301" s="482"/>
      <c r="Q2301" s="479"/>
      <c r="R2301" s="480"/>
      <c r="S2301" s="480"/>
      <c r="T2301" s="480"/>
      <c r="U2301" s="480"/>
      <c r="V2301" s="480"/>
      <c r="W2301" s="480"/>
      <c r="X2301" s="480"/>
      <c r="Y2301" s="483">
        <f t="shared" si="17"/>
        <v>0</v>
      </c>
      <c r="Z2301" s="484"/>
      <c r="AA2301" s="485"/>
      <c r="AB2301" s="486"/>
      <c r="AC2301" s="486"/>
      <c r="AD2301" s="486"/>
      <c r="AE2301" s="487"/>
      <c r="AF2301" s="449"/>
      <c r="AG2301" s="449"/>
      <c r="AH2301" s="449"/>
    </row>
    <row r="2302" ht="11.25" customHeight="1">
      <c r="A2302" s="431" t="str">
        <f>IF(B2302="","", YEAR(B2302))</f>
        <v/>
      </c>
      <c r="B2302" s="432"/>
      <c r="C2302" s="433"/>
      <c r="D2302" s="433"/>
      <c r="E2302" s="434" t="str">
        <f t="shared" ref="E2302:I2302" si="1158">IFERROR(AVERAGE(L2302:L2305),"")</f>
        <v/>
      </c>
      <c r="F2302" s="434" t="str">
        <f t="shared" si="1158"/>
        <v/>
      </c>
      <c r="G2302" s="435" t="str">
        <f t="shared" si="1158"/>
        <v/>
      </c>
      <c r="H2302" s="435" t="str">
        <f t="shared" si="1158"/>
        <v/>
      </c>
      <c r="I2302" s="436" t="str">
        <f t="shared" si="1158"/>
        <v/>
      </c>
      <c r="J2302" s="437">
        <f>SUMIFS(PRODUCTION[KG],PRODUCTION[GRADE],"3X50",PRODUCTION[DATE],B2302,PRODUCTION[BATCH],C2302,PRODUCTION[SHIFT],D2302)</f>
        <v>0</v>
      </c>
      <c r="K2302" s="438" t="s">
        <v>1414</v>
      </c>
      <c r="L2302" s="443"/>
      <c r="M2302" s="440"/>
      <c r="N2302" s="441"/>
      <c r="O2302" s="441"/>
      <c r="P2302" s="442"/>
      <c r="Q2302" s="443"/>
      <c r="R2302" s="440"/>
      <c r="S2302" s="440"/>
      <c r="T2302" s="440"/>
      <c r="U2302" s="440"/>
      <c r="V2302" s="440"/>
      <c r="W2302" s="440"/>
      <c r="X2302" s="440"/>
      <c r="Y2302" s="444">
        <f t="shared" si="17"/>
        <v>0</v>
      </c>
      <c r="Z2302" s="445"/>
      <c r="AA2302" s="446">
        <f t="shared" ref="AA2302:AE2302" si="1159">$J2302*E2302</f>
        <v>0</v>
      </c>
      <c r="AB2302" s="447">
        <f t="shared" si="1159"/>
        <v>0</v>
      </c>
      <c r="AC2302" s="447">
        <f t="shared" si="1159"/>
        <v>0</v>
      </c>
      <c r="AD2302" s="447">
        <f t="shared" si="1159"/>
        <v>0</v>
      </c>
      <c r="AE2302" s="448">
        <f t="shared" si="1159"/>
        <v>0</v>
      </c>
      <c r="AF2302" s="449"/>
      <c r="AG2302" s="449"/>
      <c r="AH2302" s="449"/>
    </row>
    <row r="2303" ht="11.25" customHeight="1">
      <c r="A2303" s="450"/>
      <c r="B2303" s="451"/>
      <c r="C2303" s="452"/>
      <c r="D2303" s="452"/>
      <c r="E2303" s="453"/>
      <c r="F2303" s="453"/>
      <c r="G2303" s="454"/>
      <c r="H2303" s="454"/>
      <c r="I2303" s="455"/>
      <c r="J2303" s="456"/>
      <c r="K2303" s="457" t="s">
        <v>1416</v>
      </c>
      <c r="L2303" s="458"/>
      <c r="M2303" s="459"/>
      <c r="N2303" s="460"/>
      <c r="O2303" s="460"/>
      <c r="P2303" s="461"/>
      <c r="Q2303" s="458"/>
      <c r="R2303" s="459"/>
      <c r="S2303" s="459"/>
      <c r="T2303" s="459"/>
      <c r="U2303" s="459"/>
      <c r="V2303" s="459"/>
      <c r="W2303" s="459"/>
      <c r="X2303" s="459"/>
      <c r="Y2303" s="462">
        <f t="shared" si="17"/>
        <v>0</v>
      </c>
      <c r="Z2303" s="463"/>
      <c r="AA2303" s="464"/>
      <c r="AB2303" s="465"/>
      <c r="AC2303" s="465"/>
      <c r="AD2303" s="465"/>
      <c r="AE2303" s="466"/>
      <c r="AF2303" s="449"/>
      <c r="AG2303" s="449"/>
      <c r="AH2303" s="449"/>
    </row>
    <row r="2304" ht="11.25" customHeight="1">
      <c r="A2304" s="450"/>
      <c r="B2304" s="451"/>
      <c r="C2304" s="452"/>
      <c r="D2304" s="452"/>
      <c r="E2304" s="453"/>
      <c r="F2304" s="453"/>
      <c r="G2304" s="454"/>
      <c r="H2304" s="454"/>
      <c r="I2304" s="455"/>
      <c r="J2304" s="456"/>
      <c r="K2304" s="467" t="s">
        <v>1417</v>
      </c>
      <c r="L2304" s="468"/>
      <c r="M2304" s="469"/>
      <c r="N2304" s="470"/>
      <c r="O2304" s="470"/>
      <c r="P2304" s="471"/>
      <c r="Q2304" s="468"/>
      <c r="R2304" s="469"/>
      <c r="S2304" s="469"/>
      <c r="T2304" s="469"/>
      <c r="U2304" s="469"/>
      <c r="V2304" s="469"/>
      <c r="W2304" s="469"/>
      <c r="X2304" s="469"/>
      <c r="Y2304" s="462">
        <f t="shared" si="17"/>
        <v>0</v>
      </c>
      <c r="Z2304" s="463"/>
      <c r="AA2304" s="464"/>
      <c r="AB2304" s="465"/>
      <c r="AC2304" s="465"/>
      <c r="AD2304" s="465"/>
      <c r="AE2304" s="466"/>
      <c r="AF2304" s="449"/>
      <c r="AG2304" s="449"/>
      <c r="AH2304" s="449"/>
    </row>
    <row r="2305" ht="11.25" customHeight="1">
      <c r="A2305" s="450"/>
      <c r="B2305" s="472"/>
      <c r="C2305" s="473"/>
      <c r="D2305" s="473"/>
      <c r="E2305" s="474"/>
      <c r="F2305" s="474"/>
      <c r="G2305" s="475"/>
      <c r="H2305" s="475"/>
      <c r="I2305" s="476"/>
      <c r="J2305" s="477"/>
      <c r="K2305" s="478" t="s">
        <v>1418</v>
      </c>
      <c r="L2305" s="479"/>
      <c r="M2305" s="480"/>
      <c r="N2305" s="481"/>
      <c r="O2305" s="481"/>
      <c r="P2305" s="482"/>
      <c r="Q2305" s="479"/>
      <c r="R2305" s="480"/>
      <c r="S2305" s="480"/>
      <c r="T2305" s="480"/>
      <c r="U2305" s="480"/>
      <c r="V2305" s="480"/>
      <c r="W2305" s="480"/>
      <c r="X2305" s="480"/>
      <c r="Y2305" s="483">
        <f t="shared" si="17"/>
        <v>0</v>
      </c>
      <c r="Z2305" s="484"/>
      <c r="AA2305" s="485"/>
      <c r="AB2305" s="486"/>
      <c r="AC2305" s="486"/>
      <c r="AD2305" s="486"/>
      <c r="AE2305" s="487"/>
      <c r="AF2305" s="449"/>
      <c r="AG2305" s="449"/>
      <c r="AH2305" s="449"/>
    </row>
    <row r="2306" ht="11.25" customHeight="1">
      <c r="A2306" s="431" t="str">
        <f>IF(B2306="","", YEAR(B2306))</f>
        <v/>
      </c>
      <c r="B2306" s="432"/>
      <c r="C2306" s="433"/>
      <c r="D2306" s="433"/>
      <c r="E2306" s="434" t="str">
        <f t="shared" ref="E2306:I2306" si="1160">IFERROR(AVERAGE(L2306:L2309),"")</f>
        <v/>
      </c>
      <c r="F2306" s="434" t="str">
        <f t="shared" si="1160"/>
        <v/>
      </c>
      <c r="G2306" s="435" t="str">
        <f t="shared" si="1160"/>
        <v/>
      </c>
      <c r="H2306" s="435" t="str">
        <f t="shared" si="1160"/>
        <v/>
      </c>
      <c r="I2306" s="436" t="str">
        <f t="shared" si="1160"/>
        <v/>
      </c>
      <c r="J2306" s="437">
        <f>SUMIFS(PRODUCTION[KG],PRODUCTION[GRADE],"3X50",PRODUCTION[DATE],B2306,PRODUCTION[BATCH],C2306,PRODUCTION[SHIFT],D2306)</f>
        <v>0</v>
      </c>
      <c r="K2306" s="438" t="s">
        <v>1414</v>
      </c>
      <c r="L2306" s="443"/>
      <c r="M2306" s="440"/>
      <c r="N2306" s="441"/>
      <c r="O2306" s="441"/>
      <c r="P2306" s="442"/>
      <c r="Q2306" s="443"/>
      <c r="R2306" s="440"/>
      <c r="S2306" s="440"/>
      <c r="T2306" s="440"/>
      <c r="U2306" s="440"/>
      <c r="V2306" s="440"/>
      <c r="W2306" s="440"/>
      <c r="X2306" s="440"/>
      <c r="Y2306" s="444">
        <f t="shared" si="17"/>
        <v>0</v>
      </c>
      <c r="Z2306" s="445"/>
      <c r="AA2306" s="446">
        <f t="shared" ref="AA2306:AE2306" si="1161">$J2306*E2306</f>
        <v>0</v>
      </c>
      <c r="AB2306" s="447">
        <f t="shared" si="1161"/>
        <v>0</v>
      </c>
      <c r="AC2306" s="447">
        <f t="shared" si="1161"/>
        <v>0</v>
      </c>
      <c r="AD2306" s="447">
        <f t="shared" si="1161"/>
        <v>0</v>
      </c>
      <c r="AE2306" s="448">
        <f t="shared" si="1161"/>
        <v>0</v>
      </c>
      <c r="AF2306" s="449"/>
      <c r="AG2306" s="449"/>
      <c r="AH2306" s="449"/>
    </row>
    <row r="2307" ht="11.25" customHeight="1">
      <c r="A2307" s="450"/>
      <c r="B2307" s="451"/>
      <c r="C2307" s="452"/>
      <c r="D2307" s="452"/>
      <c r="E2307" s="453"/>
      <c r="F2307" s="453"/>
      <c r="G2307" s="454"/>
      <c r="H2307" s="454"/>
      <c r="I2307" s="455"/>
      <c r="J2307" s="456"/>
      <c r="K2307" s="457" t="s">
        <v>1416</v>
      </c>
      <c r="L2307" s="458"/>
      <c r="M2307" s="459"/>
      <c r="N2307" s="460"/>
      <c r="O2307" s="460"/>
      <c r="P2307" s="461"/>
      <c r="Q2307" s="458"/>
      <c r="R2307" s="459"/>
      <c r="S2307" s="459"/>
      <c r="T2307" s="459"/>
      <c r="U2307" s="459"/>
      <c r="V2307" s="459"/>
      <c r="W2307" s="459"/>
      <c r="X2307" s="459"/>
      <c r="Y2307" s="462">
        <f t="shared" si="17"/>
        <v>0</v>
      </c>
      <c r="Z2307" s="463"/>
      <c r="AA2307" s="464"/>
      <c r="AB2307" s="465"/>
      <c r="AC2307" s="465"/>
      <c r="AD2307" s="465"/>
      <c r="AE2307" s="466"/>
      <c r="AF2307" s="449"/>
      <c r="AG2307" s="449"/>
      <c r="AH2307" s="449"/>
    </row>
    <row r="2308" ht="11.25" customHeight="1">
      <c r="A2308" s="450"/>
      <c r="B2308" s="451"/>
      <c r="C2308" s="452"/>
      <c r="D2308" s="452"/>
      <c r="E2308" s="453"/>
      <c r="F2308" s="453"/>
      <c r="G2308" s="454"/>
      <c r="H2308" s="454"/>
      <c r="I2308" s="455"/>
      <c r="J2308" s="456"/>
      <c r="K2308" s="467" t="s">
        <v>1417</v>
      </c>
      <c r="L2308" s="468"/>
      <c r="M2308" s="469"/>
      <c r="N2308" s="470"/>
      <c r="O2308" s="470"/>
      <c r="P2308" s="471"/>
      <c r="Q2308" s="468"/>
      <c r="R2308" s="469"/>
      <c r="S2308" s="469"/>
      <c r="T2308" s="469"/>
      <c r="U2308" s="469"/>
      <c r="V2308" s="469"/>
      <c r="W2308" s="469"/>
      <c r="X2308" s="469"/>
      <c r="Y2308" s="462">
        <f t="shared" si="17"/>
        <v>0</v>
      </c>
      <c r="Z2308" s="463"/>
      <c r="AA2308" s="464"/>
      <c r="AB2308" s="465"/>
      <c r="AC2308" s="465"/>
      <c r="AD2308" s="465"/>
      <c r="AE2308" s="466"/>
      <c r="AF2308" s="449"/>
      <c r="AG2308" s="449"/>
      <c r="AH2308" s="449"/>
    </row>
    <row r="2309" ht="11.25" customHeight="1">
      <c r="A2309" s="450"/>
      <c r="B2309" s="472"/>
      <c r="C2309" s="473"/>
      <c r="D2309" s="473"/>
      <c r="E2309" s="474"/>
      <c r="F2309" s="474"/>
      <c r="G2309" s="475"/>
      <c r="H2309" s="475"/>
      <c r="I2309" s="476"/>
      <c r="J2309" s="477"/>
      <c r="K2309" s="478" t="s">
        <v>1418</v>
      </c>
      <c r="L2309" s="479"/>
      <c r="M2309" s="480"/>
      <c r="N2309" s="481"/>
      <c r="O2309" s="481"/>
      <c r="P2309" s="482"/>
      <c r="Q2309" s="479"/>
      <c r="R2309" s="480"/>
      <c r="S2309" s="480"/>
      <c r="T2309" s="480"/>
      <c r="U2309" s="480"/>
      <c r="V2309" s="480"/>
      <c r="W2309" s="480"/>
      <c r="X2309" s="480"/>
      <c r="Y2309" s="483">
        <f t="shared" si="17"/>
        <v>0</v>
      </c>
      <c r="Z2309" s="484"/>
      <c r="AA2309" s="485"/>
      <c r="AB2309" s="486"/>
      <c r="AC2309" s="486"/>
      <c r="AD2309" s="486"/>
      <c r="AE2309" s="487"/>
      <c r="AF2309" s="449"/>
      <c r="AG2309" s="449"/>
      <c r="AH2309" s="449"/>
    </row>
    <row r="2310" ht="11.25" customHeight="1">
      <c r="A2310" s="431" t="str">
        <f>IF(B2310="","", YEAR(B2310))</f>
        <v/>
      </c>
      <c r="B2310" s="432"/>
      <c r="C2310" s="433"/>
      <c r="D2310" s="433"/>
      <c r="E2310" s="434" t="str">
        <f t="shared" ref="E2310:I2310" si="1162">IFERROR(AVERAGE(L2310:L2313),"")</f>
        <v/>
      </c>
      <c r="F2310" s="434" t="str">
        <f t="shared" si="1162"/>
        <v/>
      </c>
      <c r="G2310" s="435" t="str">
        <f t="shared" si="1162"/>
        <v/>
      </c>
      <c r="H2310" s="435" t="str">
        <f t="shared" si="1162"/>
        <v/>
      </c>
      <c r="I2310" s="436" t="str">
        <f t="shared" si="1162"/>
        <v/>
      </c>
      <c r="J2310" s="437">
        <f>SUMIFS(PRODUCTION[KG],PRODUCTION[GRADE],"3X50",PRODUCTION[DATE],B2310,PRODUCTION[BATCH],C2310,PRODUCTION[SHIFT],D2310)</f>
        <v>0</v>
      </c>
      <c r="K2310" s="438" t="s">
        <v>1414</v>
      </c>
      <c r="L2310" s="443"/>
      <c r="M2310" s="440"/>
      <c r="N2310" s="441"/>
      <c r="O2310" s="441"/>
      <c r="P2310" s="442"/>
      <c r="Q2310" s="443"/>
      <c r="R2310" s="440"/>
      <c r="S2310" s="440"/>
      <c r="T2310" s="440"/>
      <c r="U2310" s="440"/>
      <c r="V2310" s="440"/>
      <c r="W2310" s="440"/>
      <c r="X2310" s="440"/>
      <c r="Y2310" s="444">
        <f t="shared" si="17"/>
        <v>0</v>
      </c>
      <c r="Z2310" s="445"/>
      <c r="AA2310" s="446">
        <f t="shared" ref="AA2310:AE2310" si="1163">$J2310*E2310</f>
        <v>0</v>
      </c>
      <c r="AB2310" s="447">
        <f t="shared" si="1163"/>
        <v>0</v>
      </c>
      <c r="AC2310" s="447">
        <f t="shared" si="1163"/>
        <v>0</v>
      </c>
      <c r="AD2310" s="447">
        <f t="shared" si="1163"/>
        <v>0</v>
      </c>
      <c r="AE2310" s="448">
        <f t="shared" si="1163"/>
        <v>0</v>
      </c>
      <c r="AF2310" s="449"/>
      <c r="AG2310" s="449"/>
      <c r="AH2310" s="449"/>
    </row>
    <row r="2311" ht="11.25" customHeight="1">
      <c r="A2311" s="450"/>
      <c r="B2311" s="451"/>
      <c r="C2311" s="452"/>
      <c r="D2311" s="452"/>
      <c r="E2311" s="453"/>
      <c r="F2311" s="453"/>
      <c r="G2311" s="454"/>
      <c r="H2311" s="454"/>
      <c r="I2311" s="455"/>
      <c r="J2311" s="456"/>
      <c r="K2311" s="457" t="s">
        <v>1416</v>
      </c>
      <c r="L2311" s="458"/>
      <c r="M2311" s="459"/>
      <c r="N2311" s="460"/>
      <c r="O2311" s="460"/>
      <c r="P2311" s="461"/>
      <c r="Q2311" s="458"/>
      <c r="R2311" s="459"/>
      <c r="S2311" s="459"/>
      <c r="T2311" s="459"/>
      <c r="U2311" s="459"/>
      <c r="V2311" s="459"/>
      <c r="W2311" s="459"/>
      <c r="X2311" s="459"/>
      <c r="Y2311" s="462">
        <f t="shared" si="17"/>
        <v>0</v>
      </c>
      <c r="Z2311" s="463"/>
      <c r="AA2311" s="464"/>
      <c r="AB2311" s="465"/>
      <c r="AC2311" s="465"/>
      <c r="AD2311" s="465"/>
      <c r="AE2311" s="466"/>
      <c r="AF2311" s="449"/>
      <c r="AG2311" s="449"/>
      <c r="AH2311" s="449"/>
    </row>
    <row r="2312" ht="11.25" customHeight="1">
      <c r="A2312" s="450"/>
      <c r="B2312" s="451"/>
      <c r="C2312" s="452"/>
      <c r="D2312" s="452"/>
      <c r="E2312" s="453"/>
      <c r="F2312" s="453"/>
      <c r="G2312" s="454"/>
      <c r="H2312" s="454"/>
      <c r="I2312" s="455"/>
      <c r="J2312" s="456"/>
      <c r="K2312" s="467" t="s">
        <v>1417</v>
      </c>
      <c r="L2312" s="468"/>
      <c r="M2312" s="469"/>
      <c r="N2312" s="470"/>
      <c r="O2312" s="470"/>
      <c r="P2312" s="471"/>
      <c r="Q2312" s="468"/>
      <c r="R2312" s="469"/>
      <c r="S2312" s="469"/>
      <c r="T2312" s="469"/>
      <c r="U2312" s="469"/>
      <c r="V2312" s="469"/>
      <c r="W2312" s="469"/>
      <c r="X2312" s="469"/>
      <c r="Y2312" s="462">
        <f t="shared" si="17"/>
        <v>0</v>
      </c>
      <c r="Z2312" s="463"/>
      <c r="AA2312" s="464"/>
      <c r="AB2312" s="465"/>
      <c r="AC2312" s="465"/>
      <c r="AD2312" s="465"/>
      <c r="AE2312" s="466"/>
      <c r="AF2312" s="449"/>
      <c r="AG2312" s="449"/>
      <c r="AH2312" s="449"/>
    </row>
    <row r="2313" ht="11.25" customHeight="1">
      <c r="A2313" s="450"/>
      <c r="B2313" s="472"/>
      <c r="C2313" s="473"/>
      <c r="D2313" s="473"/>
      <c r="E2313" s="474"/>
      <c r="F2313" s="474"/>
      <c r="G2313" s="475"/>
      <c r="H2313" s="475"/>
      <c r="I2313" s="476"/>
      <c r="J2313" s="477"/>
      <c r="K2313" s="478" t="s">
        <v>1418</v>
      </c>
      <c r="L2313" s="479"/>
      <c r="M2313" s="480"/>
      <c r="N2313" s="481"/>
      <c r="O2313" s="481"/>
      <c r="P2313" s="482"/>
      <c r="Q2313" s="479"/>
      <c r="R2313" s="480"/>
      <c r="S2313" s="480"/>
      <c r="T2313" s="480"/>
      <c r="U2313" s="480"/>
      <c r="V2313" s="480"/>
      <c r="W2313" s="480"/>
      <c r="X2313" s="480"/>
      <c r="Y2313" s="483">
        <f t="shared" si="17"/>
        <v>0</v>
      </c>
      <c r="Z2313" s="484"/>
      <c r="AA2313" s="485"/>
      <c r="AB2313" s="486"/>
      <c r="AC2313" s="486"/>
      <c r="AD2313" s="486"/>
      <c r="AE2313" s="487"/>
      <c r="AF2313" s="449"/>
      <c r="AG2313" s="449"/>
      <c r="AH2313" s="449"/>
    </row>
    <row r="2314" ht="11.25" customHeight="1">
      <c r="A2314" s="431" t="str">
        <f>IF(B2314="","", YEAR(B2314))</f>
        <v/>
      </c>
      <c r="B2314" s="432"/>
      <c r="C2314" s="433"/>
      <c r="D2314" s="433"/>
      <c r="E2314" s="434" t="str">
        <f t="shared" ref="E2314:I2314" si="1164">IFERROR(AVERAGE(L2314:L2317),"")</f>
        <v/>
      </c>
      <c r="F2314" s="434" t="str">
        <f t="shared" si="1164"/>
        <v/>
      </c>
      <c r="G2314" s="435" t="str">
        <f t="shared" si="1164"/>
        <v/>
      </c>
      <c r="H2314" s="435" t="str">
        <f t="shared" si="1164"/>
        <v/>
      </c>
      <c r="I2314" s="436" t="str">
        <f t="shared" si="1164"/>
        <v/>
      </c>
      <c r="J2314" s="437">
        <f>SUMIFS(PRODUCTION[KG],PRODUCTION[GRADE],"3X50",PRODUCTION[DATE],B2314,PRODUCTION[BATCH],C2314,PRODUCTION[SHIFT],D2314)</f>
        <v>0</v>
      </c>
      <c r="K2314" s="438" t="s">
        <v>1414</v>
      </c>
      <c r="L2314" s="443"/>
      <c r="M2314" s="440"/>
      <c r="N2314" s="441"/>
      <c r="O2314" s="441"/>
      <c r="P2314" s="442"/>
      <c r="Q2314" s="443"/>
      <c r="R2314" s="440"/>
      <c r="S2314" s="440"/>
      <c r="T2314" s="440"/>
      <c r="U2314" s="440"/>
      <c r="V2314" s="440"/>
      <c r="W2314" s="440"/>
      <c r="X2314" s="440"/>
      <c r="Y2314" s="444">
        <f t="shared" si="17"/>
        <v>0</v>
      </c>
      <c r="Z2314" s="445"/>
      <c r="AA2314" s="446">
        <f t="shared" ref="AA2314:AE2314" si="1165">$J2314*E2314</f>
        <v>0</v>
      </c>
      <c r="AB2314" s="447">
        <f t="shared" si="1165"/>
        <v>0</v>
      </c>
      <c r="AC2314" s="447">
        <f t="shared" si="1165"/>
        <v>0</v>
      </c>
      <c r="AD2314" s="447">
        <f t="shared" si="1165"/>
        <v>0</v>
      </c>
      <c r="AE2314" s="448">
        <f t="shared" si="1165"/>
        <v>0</v>
      </c>
      <c r="AF2314" s="449"/>
      <c r="AG2314" s="449"/>
      <c r="AH2314" s="449"/>
    </row>
    <row r="2315" ht="11.25" customHeight="1">
      <c r="A2315" s="450"/>
      <c r="B2315" s="451"/>
      <c r="C2315" s="452"/>
      <c r="D2315" s="452"/>
      <c r="E2315" s="453"/>
      <c r="F2315" s="453"/>
      <c r="G2315" s="454"/>
      <c r="H2315" s="454"/>
      <c r="I2315" s="455"/>
      <c r="J2315" s="456"/>
      <c r="K2315" s="457" t="s">
        <v>1416</v>
      </c>
      <c r="L2315" s="458"/>
      <c r="M2315" s="459"/>
      <c r="N2315" s="460"/>
      <c r="O2315" s="460"/>
      <c r="P2315" s="461"/>
      <c r="Q2315" s="458"/>
      <c r="R2315" s="459"/>
      <c r="S2315" s="459"/>
      <c r="T2315" s="459"/>
      <c r="U2315" s="459"/>
      <c r="V2315" s="459"/>
      <c r="W2315" s="459"/>
      <c r="X2315" s="459"/>
      <c r="Y2315" s="462">
        <f t="shared" si="17"/>
        <v>0</v>
      </c>
      <c r="Z2315" s="463"/>
      <c r="AA2315" s="464"/>
      <c r="AB2315" s="465"/>
      <c r="AC2315" s="465"/>
      <c r="AD2315" s="465"/>
      <c r="AE2315" s="466"/>
      <c r="AF2315" s="449"/>
      <c r="AG2315" s="449"/>
      <c r="AH2315" s="449"/>
    </row>
    <row r="2316" ht="11.25" customHeight="1">
      <c r="A2316" s="450"/>
      <c r="B2316" s="451"/>
      <c r="C2316" s="452"/>
      <c r="D2316" s="452"/>
      <c r="E2316" s="453"/>
      <c r="F2316" s="453"/>
      <c r="G2316" s="454"/>
      <c r="H2316" s="454"/>
      <c r="I2316" s="455"/>
      <c r="J2316" s="456"/>
      <c r="K2316" s="467" t="s">
        <v>1417</v>
      </c>
      <c r="L2316" s="468"/>
      <c r="M2316" s="469"/>
      <c r="N2316" s="470"/>
      <c r="O2316" s="470"/>
      <c r="P2316" s="471"/>
      <c r="Q2316" s="468"/>
      <c r="R2316" s="469"/>
      <c r="S2316" s="469"/>
      <c r="T2316" s="469"/>
      <c r="U2316" s="469"/>
      <c r="V2316" s="469"/>
      <c r="W2316" s="469"/>
      <c r="X2316" s="469"/>
      <c r="Y2316" s="462">
        <f t="shared" si="17"/>
        <v>0</v>
      </c>
      <c r="Z2316" s="463"/>
      <c r="AA2316" s="464"/>
      <c r="AB2316" s="465"/>
      <c r="AC2316" s="465"/>
      <c r="AD2316" s="465"/>
      <c r="AE2316" s="466"/>
      <c r="AF2316" s="449"/>
      <c r="AG2316" s="449"/>
      <c r="AH2316" s="449"/>
    </row>
    <row r="2317" ht="11.25" customHeight="1">
      <c r="A2317" s="450"/>
      <c r="B2317" s="472"/>
      <c r="C2317" s="473"/>
      <c r="D2317" s="473"/>
      <c r="E2317" s="474"/>
      <c r="F2317" s="474"/>
      <c r="G2317" s="475"/>
      <c r="H2317" s="475"/>
      <c r="I2317" s="476"/>
      <c r="J2317" s="477"/>
      <c r="K2317" s="478" t="s">
        <v>1418</v>
      </c>
      <c r="L2317" s="479"/>
      <c r="M2317" s="480"/>
      <c r="N2317" s="481"/>
      <c r="O2317" s="481"/>
      <c r="P2317" s="482"/>
      <c r="Q2317" s="479"/>
      <c r="R2317" s="480"/>
      <c r="S2317" s="480"/>
      <c r="T2317" s="480"/>
      <c r="U2317" s="480"/>
      <c r="V2317" s="480"/>
      <c r="W2317" s="480"/>
      <c r="X2317" s="480"/>
      <c r="Y2317" s="483">
        <f t="shared" si="17"/>
        <v>0</v>
      </c>
      <c r="Z2317" s="484"/>
      <c r="AA2317" s="485"/>
      <c r="AB2317" s="486"/>
      <c r="AC2317" s="486"/>
      <c r="AD2317" s="486"/>
      <c r="AE2317" s="487"/>
      <c r="AF2317" s="449"/>
      <c r="AG2317" s="449"/>
      <c r="AH2317" s="449"/>
    </row>
    <row r="2318" ht="11.25" customHeight="1">
      <c r="A2318" s="431" t="str">
        <f>IF(B2318="","", YEAR(B2318))</f>
        <v/>
      </c>
      <c r="B2318" s="432"/>
      <c r="C2318" s="433"/>
      <c r="D2318" s="433"/>
      <c r="E2318" s="434" t="str">
        <f t="shared" ref="E2318:I2318" si="1166">IFERROR(AVERAGE(L2318:L2321),"")</f>
        <v/>
      </c>
      <c r="F2318" s="434" t="str">
        <f t="shared" si="1166"/>
        <v/>
      </c>
      <c r="G2318" s="435" t="str">
        <f t="shared" si="1166"/>
        <v/>
      </c>
      <c r="H2318" s="435" t="str">
        <f t="shared" si="1166"/>
        <v/>
      </c>
      <c r="I2318" s="436" t="str">
        <f t="shared" si="1166"/>
        <v/>
      </c>
      <c r="J2318" s="437">
        <f>SUMIFS(PRODUCTION[KG],PRODUCTION[GRADE],"3X50",PRODUCTION[DATE],B2318,PRODUCTION[BATCH],C2318,PRODUCTION[SHIFT],D2318)</f>
        <v>0</v>
      </c>
      <c r="K2318" s="438" t="s">
        <v>1414</v>
      </c>
      <c r="L2318" s="443"/>
      <c r="M2318" s="440"/>
      <c r="N2318" s="441"/>
      <c r="O2318" s="441"/>
      <c r="P2318" s="442"/>
      <c r="Q2318" s="443"/>
      <c r="R2318" s="440"/>
      <c r="S2318" s="440"/>
      <c r="T2318" s="440"/>
      <c r="U2318" s="440"/>
      <c r="V2318" s="440"/>
      <c r="W2318" s="440"/>
      <c r="X2318" s="440"/>
      <c r="Y2318" s="444">
        <f t="shared" si="17"/>
        <v>0</v>
      </c>
      <c r="Z2318" s="445"/>
      <c r="AA2318" s="446">
        <f t="shared" ref="AA2318:AE2318" si="1167">$J2318*E2318</f>
        <v>0</v>
      </c>
      <c r="AB2318" s="447">
        <f t="shared" si="1167"/>
        <v>0</v>
      </c>
      <c r="AC2318" s="447">
        <f t="shared" si="1167"/>
        <v>0</v>
      </c>
      <c r="AD2318" s="447">
        <f t="shared" si="1167"/>
        <v>0</v>
      </c>
      <c r="AE2318" s="448">
        <f t="shared" si="1167"/>
        <v>0</v>
      </c>
      <c r="AF2318" s="449"/>
      <c r="AG2318" s="449"/>
      <c r="AH2318" s="449"/>
    </row>
    <row r="2319" ht="11.25" customHeight="1">
      <c r="A2319" s="450"/>
      <c r="B2319" s="451"/>
      <c r="C2319" s="452"/>
      <c r="D2319" s="452"/>
      <c r="E2319" s="453"/>
      <c r="F2319" s="453"/>
      <c r="G2319" s="454"/>
      <c r="H2319" s="454"/>
      <c r="I2319" s="455"/>
      <c r="J2319" s="456"/>
      <c r="K2319" s="457" t="s">
        <v>1416</v>
      </c>
      <c r="L2319" s="458"/>
      <c r="M2319" s="459"/>
      <c r="N2319" s="460"/>
      <c r="O2319" s="460"/>
      <c r="P2319" s="461"/>
      <c r="Q2319" s="458"/>
      <c r="R2319" s="459"/>
      <c r="S2319" s="459"/>
      <c r="T2319" s="459"/>
      <c r="U2319" s="459"/>
      <c r="V2319" s="459"/>
      <c r="W2319" s="459"/>
      <c r="X2319" s="459"/>
      <c r="Y2319" s="462">
        <f t="shared" si="17"/>
        <v>0</v>
      </c>
      <c r="Z2319" s="463"/>
      <c r="AA2319" s="464"/>
      <c r="AB2319" s="465"/>
      <c r="AC2319" s="465"/>
      <c r="AD2319" s="465"/>
      <c r="AE2319" s="466"/>
      <c r="AF2319" s="449"/>
      <c r="AG2319" s="449"/>
      <c r="AH2319" s="449"/>
    </row>
    <row r="2320" ht="11.25" customHeight="1">
      <c r="A2320" s="450"/>
      <c r="B2320" s="451"/>
      <c r="C2320" s="452"/>
      <c r="D2320" s="452"/>
      <c r="E2320" s="453"/>
      <c r="F2320" s="453"/>
      <c r="G2320" s="454"/>
      <c r="H2320" s="454"/>
      <c r="I2320" s="455"/>
      <c r="J2320" s="456"/>
      <c r="K2320" s="467" t="s">
        <v>1417</v>
      </c>
      <c r="L2320" s="468"/>
      <c r="M2320" s="469"/>
      <c r="N2320" s="470"/>
      <c r="O2320" s="470"/>
      <c r="P2320" s="471"/>
      <c r="Q2320" s="468"/>
      <c r="R2320" s="469"/>
      <c r="S2320" s="469"/>
      <c r="T2320" s="469"/>
      <c r="U2320" s="469"/>
      <c r="V2320" s="469"/>
      <c r="W2320" s="469"/>
      <c r="X2320" s="469"/>
      <c r="Y2320" s="462">
        <f t="shared" si="17"/>
        <v>0</v>
      </c>
      <c r="Z2320" s="463"/>
      <c r="AA2320" s="464"/>
      <c r="AB2320" s="465"/>
      <c r="AC2320" s="465"/>
      <c r="AD2320" s="465"/>
      <c r="AE2320" s="466"/>
      <c r="AF2320" s="449"/>
      <c r="AG2320" s="449"/>
      <c r="AH2320" s="449"/>
    </row>
    <row r="2321" ht="11.25" customHeight="1">
      <c r="A2321" s="450"/>
      <c r="B2321" s="472"/>
      <c r="C2321" s="473"/>
      <c r="D2321" s="473"/>
      <c r="E2321" s="474"/>
      <c r="F2321" s="474"/>
      <c r="G2321" s="475"/>
      <c r="H2321" s="475"/>
      <c r="I2321" s="476"/>
      <c r="J2321" s="477"/>
      <c r="K2321" s="478" t="s">
        <v>1418</v>
      </c>
      <c r="L2321" s="479"/>
      <c r="M2321" s="480"/>
      <c r="N2321" s="481"/>
      <c r="O2321" s="481"/>
      <c r="P2321" s="482"/>
      <c r="Q2321" s="479"/>
      <c r="R2321" s="480"/>
      <c r="S2321" s="480"/>
      <c r="T2321" s="480"/>
      <c r="U2321" s="480"/>
      <c r="V2321" s="480"/>
      <c r="W2321" s="480"/>
      <c r="X2321" s="480"/>
      <c r="Y2321" s="483">
        <f t="shared" si="17"/>
        <v>0</v>
      </c>
      <c r="Z2321" s="484"/>
      <c r="AA2321" s="485"/>
      <c r="AB2321" s="486"/>
      <c r="AC2321" s="486"/>
      <c r="AD2321" s="486"/>
      <c r="AE2321" s="487"/>
      <c r="AF2321" s="449"/>
      <c r="AG2321" s="449"/>
      <c r="AH2321" s="449"/>
    </row>
    <row r="2322" ht="11.25" customHeight="1">
      <c r="A2322" s="431" t="str">
        <f>IF(B2322="","", YEAR(B2322))</f>
        <v/>
      </c>
      <c r="B2322" s="432"/>
      <c r="C2322" s="433"/>
      <c r="D2322" s="433"/>
      <c r="E2322" s="434" t="str">
        <f t="shared" ref="E2322:I2322" si="1168">IFERROR(AVERAGE(L2322:L2325),"")</f>
        <v/>
      </c>
      <c r="F2322" s="434" t="str">
        <f t="shared" si="1168"/>
        <v/>
      </c>
      <c r="G2322" s="435" t="str">
        <f t="shared" si="1168"/>
        <v/>
      </c>
      <c r="H2322" s="435" t="str">
        <f t="shared" si="1168"/>
        <v/>
      </c>
      <c r="I2322" s="436" t="str">
        <f t="shared" si="1168"/>
        <v/>
      </c>
      <c r="J2322" s="437">
        <f>SUMIFS(PRODUCTION[KG],PRODUCTION[GRADE],"3X50",PRODUCTION[DATE],B2322,PRODUCTION[BATCH],C2322,PRODUCTION[SHIFT],D2322)</f>
        <v>0</v>
      </c>
      <c r="K2322" s="438" t="s">
        <v>1414</v>
      </c>
      <c r="L2322" s="443"/>
      <c r="M2322" s="440"/>
      <c r="N2322" s="441"/>
      <c r="O2322" s="441"/>
      <c r="P2322" s="442"/>
      <c r="Q2322" s="443"/>
      <c r="R2322" s="440"/>
      <c r="S2322" s="440"/>
      <c r="T2322" s="440"/>
      <c r="U2322" s="440"/>
      <c r="V2322" s="440"/>
      <c r="W2322" s="440"/>
      <c r="X2322" s="440"/>
      <c r="Y2322" s="444">
        <f t="shared" si="17"/>
        <v>0</v>
      </c>
      <c r="Z2322" s="445"/>
      <c r="AA2322" s="446">
        <f t="shared" ref="AA2322:AE2322" si="1169">$J2322*E2322</f>
        <v>0</v>
      </c>
      <c r="AB2322" s="447">
        <f t="shared" si="1169"/>
        <v>0</v>
      </c>
      <c r="AC2322" s="447">
        <f t="shared" si="1169"/>
        <v>0</v>
      </c>
      <c r="AD2322" s="447">
        <f t="shared" si="1169"/>
        <v>0</v>
      </c>
      <c r="AE2322" s="448">
        <f t="shared" si="1169"/>
        <v>0</v>
      </c>
      <c r="AF2322" s="449"/>
      <c r="AG2322" s="449"/>
      <c r="AH2322" s="449"/>
    </row>
    <row r="2323" ht="11.25" customHeight="1">
      <c r="A2323" s="450"/>
      <c r="B2323" s="451"/>
      <c r="C2323" s="452"/>
      <c r="D2323" s="452"/>
      <c r="E2323" s="453"/>
      <c r="F2323" s="453"/>
      <c r="G2323" s="454"/>
      <c r="H2323" s="454"/>
      <c r="I2323" s="455"/>
      <c r="J2323" s="456"/>
      <c r="K2323" s="457" t="s">
        <v>1416</v>
      </c>
      <c r="L2323" s="458"/>
      <c r="M2323" s="459"/>
      <c r="N2323" s="460"/>
      <c r="O2323" s="460"/>
      <c r="P2323" s="461"/>
      <c r="Q2323" s="458"/>
      <c r="R2323" s="459"/>
      <c r="S2323" s="459"/>
      <c r="T2323" s="459"/>
      <c r="U2323" s="459"/>
      <c r="V2323" s="459"/>
      <c r="W2323" s="459"/>
      <c r="X2323" s="459"/>
      <c r="Y2323" s="462">
        <f t="shared" si="17"/>
        <v>0</v>
      </c>
      <c r="Z2323" s="463"/>
      <c r="AA2323" s="464"/>
      <c r="AB2323" s="465"/>
      <c r="AC2323" s="465"/>
      <c r="AD2323" s="465"/>
      <c r="AE2323" s="466"/>
      <c r="AF2323" s="449"/>
      <c r="AG2323" s="449"/>
      <c r="AH2323" s="449"/>
    </row>
    <row r="2324" ht="11.25" customHeight="1">
      <c r="A2324" s="450"/>
      <c r="B2324" s="451"/>
      <c r="C2324" s="452"/>
      <c r="D2324" s="452"/>
      <c r="E2324" s="453"/>
      <c r="F2324" s="453"/>
      <c r="G2324" s="454"/>
      <c r="H2324" s="454"/>
      <c r="I2324" s="455"/>
      <c r="J2324" s="456"/>
      <c r="K2324" s="467" t="s">
        <v>1417</v>
      </c>
      <c r="L2324" s="468"/>
      <c r="M2324" s="469"/>
      <c r="N2324" s="470"/>
      <c r="O2324" s="470"/>
      <c r="P2324" s="471"/>
      <c r="Q2324" s="468"/>
      <c r="R2324" s="469"/>
      <c r="S2324" s="469"/>
      <c r="T2324" s="469"/>
      <c r="U2324" s="469"/>
      <c r="V2324" s="469"/>
      <c r="W2324" s="469"/>
      <c r="X2324" s="469"/>
      <c r="Y2324" s="462">
        <f t="shared" si="17"/>
        <v>0</v>
      </c>
      <c r="Z2324" s="463"/>
      <c r="AA2324" s="464"/>
      <c r="AB2324" s="465"/>
      <c r="AC2324" s="465"/>
      <c r="AD2324" s="465"/>
      <c r="AE2324" s="466"/>
      <c r="AF2324" s="449"/>
      <c r="AG2324" s="449"/>
      <c r="AH2324" s="449"/>
    </row>
    <row r="2325" ht="11.25" customHeight="1">
      <c r="A2325" s="450"/>
      <c r="B2325" s="472"/>
      <c r="C2325" s="473"/>
      <c r="D2325" s="473"/>
      <c r="E2325" s="474"/>
      <c r="F2325" s="474"/>
      <c r="G2325" s="475"/>
      <c r="H2325" s="475"/>
      <c r="I2325" s="476"/>
      <c r="J2325" s="477"/>
      <c r="K2325" s="478" t="s">
        <v>1418</v>
      </c>
      <c r="L2325" s="479"/>
      <c r="M2325" s="480"/>
      <c r="N2325" s="481"/>
      <c r="O2325" s="481"/>
      <c r="P2325" s="482"/>
      <c r="Q2325" s="479"/>
      <c r="R2325" s="480"/>
      <c r="S2325" s="480"/>
      <c r="T2325" s="480"/>
      <c r="U2325" s="480"/>
      <c r="V2325" s="480"/>
      <c r="W2325" s="480"/>
      <c r="X2325" s="480"/>
      <c r="Y2325" s="483">
        <f t="shared" si="17"/>
        <v>0</v>
      </c>
      <c r="Z2325" s="484"/>
      <c r="AA2325" s="485"/>
      <c r="AB2325" s="486"/>
      <c r="AC2325" s="486"/>
      <c r="AD2325" s="486"/>
      <c r="AE2325" s="487"/>
      <c r="AF2325" s="449"/>
      <c r="AG2325" s="449"/>
      <c r="AH2325" s="449"/>
    </row>
    <row r="2326" ht="11.25" customHeight="1">
      <c r="A2326" s="431" t="str">
        <f>IF(B2326="","", YEAR(B2326))</f>
        <v/>
      </c>
      <c r="B2326" s="432"/>
      <c r="C2326" s="433"/>
      <c r="D2326" s="433"/>
      <c r="E2326" s="434" t="str">
        <f t="shared" ref="E2326:I2326" si="1170">IFERROR(AVERAGE(L2326:L2329),"")</f>
        <v/>
      </c>
      <c r="F2326" s="434" t="str">
        <f t="shared" si="1170"/>
        <v/>
      </c>
      <c r="G2326" s="435" t="str">
        <f t="shared" si="1170"/>
        <v/>
      </c>
      <c r="H2326" s="435" t="str">
        <f t="shared" si="1170"/>
        <v/>
      </c>
      <c r="I2326" s="436" t="str">
        <f t="shared" si="1170"/>
        <v/>
      </c>
      <c r="J2326" s="437">
        <f>SUMIFS(PRODUCTION[KG],PRODUCTION[GRADE],"3X50",PRODUCTION[DATE],B2326,PRODUCTION[BATCH],C2326,PRODUCTION[SHIFT],D2326)</f>
        <v>0</v>
      </c>
      <c r="K2326" s="438" t="s">
        <v>1414</v>
      </c>
      <c r="L2326" s="443"/>
      <c r="M2326" s="440"/>
      <c r="N2326" s="441"/>
      <c r="O2326" s="441"/>
      <c r="P2326" s="442"/>
      <c r="Q2326" s="443"/>
      <c r="R2326" s="440"/>
      <c r="S2326" s="440"/>
      <c r="T2326" s="440"/>
      <c r="U2326" s="440"/>
      <c r="V2326" s="440"/>
      <c r="W2326" s="440"/>
      <c r="X2326" s="440"/>
      <c r="Y2326" s="444">
        <f t="shared" si="17"/>
        <v>0</v>
      </c>
      <c r="Z2326" s="445"/>
      <c r="AA2326" s="446">
        <f t="shared" ref="AA2326:AE2326" si="1171">$J2326*E2326</f>
        <v>0</v>
      </c>
      <c r="AB2326" s="447">
        <f t="shared" si="1171"/>
        <v>0</v>
      </c>
      <c r="AC2326" s="447">
        <f t="shared" si="1171"/>
        <v>0</v>
      </c>
      <c r="AD2326" s="447">
        <f t="shared" si="1171"/>
        <v>0</v>
      </c>
      <c r="AE2326" s="448">
        <f t="shared" si="1171"/>
        <v>0</v>
      </c>
      <c r="AF2326" s="449"/>
      <c r="AG2326" s="449"/>
      <c r="AH2326" s="449"/>
    </row>
    <row r="2327" ht="11.25" customHeight="1">
      <c r="A2327" s="450"/>
      <c r="B2327" s="451"/>
      <c r="C2327" s="452"/>
      <c r="D2327" s="452"/>
      <c r="E2327" s="453"/>
      <c r="F2327" s="453"/>
      <c r="G2327" s="454"/>
      <c r="H2327" s="454"/>
      <c r="I2327" s="455"/>
      <c r="J2327" s="456"/>
      <c r="K2327" s="457" t="s">
        <v>1416</v>
      </c>
      <c r="L2327" s="458"/>
      <c r="M2327" s="459"/>
      <c r="N2327" s="460"/>
      <c r="O2327" s="460"/>
      <c r="P2327" s="461"/>
      <c r="Q2327" s="458"/>
      <c r="R2327" s="459"/>
      <c r="S2327" s="459"/>
      <c r="T2327" s="459"/>
      <c r="U2327" s="459"/>
      <c r="V2327" s="459"/>
      <c r="W2327" s="459"/>
      <c r="X2327" s="459"/>
      <c r="Y2327" s="462">
        <f t="shared" si="17"/>
        <v>0</v>
      </c>
      <c r="Z2327" s="463"/>
      <c r="AA2327" s="464"/>
      <c r="AB2327" s="465"/>
      <c r="AC2327" s="465"/>
      <c r="AD2327" s="465"/>
      <c r="AE2327" s="466"/>
      <c r="AF2327" s="449"/>
      <c r="AG2327" s="449"/>
      <c r="AH2327" s="449"/>
    </row>
    <row r="2328" ht="11.25" customHeight="1">
      <c r="A2328" s="450"/>
      <c r="B2328" s="451"/>
      <c r="C2328" s="452"/>
      <c r="D2328" s="452"/>
      <c r="E2328" s="453"/>
      <c r="F2328" s="453"/>
      <c r="G2328" s="454"/>
      <c r="H2328" s="454"/>
      <c r="I2328" s="455"/>
      <c r="J2328" s="456"/>
      <c r="K2328" s="467" t="s">
        <v>1417</v>
      </c>
      <c r="L2328" s="468"/>
      <c r="M2328" s="469"/>
      <c r="N2328" s="470"/>
      <c r="O2328" s="470"/>
      <c r="P2328" s="471"/>
      <c r="Q2328" s="468"/>
      <c r="R2328" s="469"/>
      <c r="S2328" s="469"/>
      <c r="T2328" s="469"/>
      <c r="U2328" s="469"/>
      <c r="V2328" s="469"/>
      <c r="W2328" s="469"/>
      <c r="X2328" s="469"/>
      <c r="Y2328" s="462">
        <f t="shared" si="17"/>
        <v>0</v>
      </c>
      <c r="Z2328" s="463"/>
      <c r="AA2328" s="464"/>
      <c r="AB2328" s="465"/>
      <c r="AC2328" s="465"/>
      <c r="AD2328" s="465"/>
      <c r="AE2328" s="466"/>
      <c r="AF2328" s="449"/>
      <c r="AG2328" s="449"/>
      <c r="AH2328" s="449"/>
    </row>
    <row r="2329" ht="11.25" customHeight="1">
      <c r="A2329" s="450"/>
      <c r="B2329" s="472"/>
      <c r="C2329" s="473"/>
      <c r="D2329" s="473"/>
      <c r="E2329" s="474"/>
      <c r="F2329" s="474"/>
      <c r="G2329" s="475"/>
      <c r="H2329" s="475"/>
      <c r="I2329" s="476"/>
      <c r="J2329" s="477"/>
      <c r="K2329" s="478" t="s">
        <v>1418</v>
      </c>
      <c r="L2329" s="479"/>
      <c r="M2329" s="480"/>
      <c r="N2329" s="481"/>
      <c r="O2329" s="481"/>
      <c r="P2329" s="482"/>
      <c r="Q2329" s="479"/>
      <c r="R2329" s="480"/>
      <c r="S2329" s="480"/>
      <c r="T2329" s="480"/>
      <c r="U2329" s="480"/>
      <c r="V2329" s="480"/>
      <c r="W2329" s="480"/>
      <c r="X2329" s="480"/>
      <c r="Y2329" s="483">
        <f t="shared" si="17"/>
        <v>0</v>
      </c>
      <c r="Z2329" s="484"/>
      <c r="AA2329" s="485"/>
      <c r="AB2329" s="486"/>
      <c r="AC2329" s="486"/>
      <c r="AD2329" s="486"/>
      <c r="AE2329" s="487"/>
      <c r="AF2329" s="449"/>
      <c r="AG2329" s="449"/>
      <c r="AH2329" s="449"/>
    </row>
    <row r="2330" ht="11.25" customHeight="1">
      <c r="A2330" s="431" t="str">
        <f>IF(B2330="","", YEAR(B2330))</f>
        <v/>
      </c>
      <c r="B2330" s="432"/>
      <c r="C2330" s="433"/>
      <c r="D2330" s="433"/>
      <c r="E2330" s="434" t="str">
        <f t="shared" ref="E2330:I2330" si="1172">IFERROR(AVERAGE(L2330:L2333),"")</f>
        <v/>
      </c>
      <c r="F2330" s="434" t="str">
        <f t="shared" si="1172"/>
        <v/>
      </c>
      <c r="G2330" s="435" t="str">
        <f t="shared" si="1172"/>
        <v/>
      </c>
      <c r="H2330" s="435" t="str">
        <f t="shared" si="1172"/>
        <v/>
      </c>
      <c r="I2330" s="436" t="str">
        <f t="shared" si="1172"/>
        <v/>
      </c>
      <c r="J2330" s="437">
        <f>SUMIFS(PRODUCTION[KG],PRODUCTION[GRADE],"3X50",PRODUCTION[DATE],B2330,PRODUCTION[BATCH],C2330,PRODUCTION[SHIFT],D2330)</f>
        <v>0</v>
      </c>
      <c r="K2330" s="438" t="s">
        <v>1414</v>
      </c>
      <c r="L2330" s="443"/>
      <c r="M2330" s="440"/>
      <c r="N2330" s="441"/>
      <c r="O2330" s="441"/>
      <c r="P2330" s="442"/>
      <c r="Q2330" s="443"/>
      <c r="R2330" s="440"/>
      <c r="S2330" s="440"/>
      <c r="T2330" s="440"/>
      <c r="U2330" s="440"/>
      <c r="V2330" s="440"/>
      <c r="W2330" s="440"/>
      <c r="X2330" s="440"/>
      <c r="Y2330" s="444">
        <f t="shared" si="17"/>
        <v>0</v>
      </c>
      <c r="Z2330" s="445"/>
      <c r="AA2330" s="446">
        <f t="shared" ref="AA2330:AE2330" si="1173">$J2330*E2330</f>
        <v>0</v>
      </c>
      <c r="AB2330" s="447">
        <f t="shared" si="1173"/>
        <v>0</v>
      </c>
      <c r="AC2330" s="447">
        <f t="shared" si="1173"/>
        <v>0</v>
      </c>
      <c r="AD2330" s="447">
        <f t="shared" si="1173"/>
        <v>0</v>
      </c>
      <c r="AE2330" s="448">
        <f t="shared" si="1173"/>
        <v>0</v>
      </c>
      <c r="AF2330" s="449"/>
      <c r="AG2330" s="449"/>
      <c r="AH2330" s="449"/>
    </row>
    <row r="2331" ht="11.25" customHeight="1">
      <c r="A2331" s="450"/>
      <c r="B2331" s="451"/>
      <c r="C2331" s="452"/>
      <c r="D2331" s="452"/>
      <c r="E2331" s="453"/>
      <c r="F2331" s="453"/>
      <c r="G2331" s="454"/>
      <c r="H2331" s="454"/>
      <c r="I2331" s="455"/>
      <c r="J2331" s="456"/>
      <c r="K2331" s="457" t="s">
        <v>1416</v>
      </c>
      <c r="L2331" s="458"/>
      <c r="M2331" s="459"/>
      <c r="N2331" s="460"/>
      <c r="O2331" s="460"/>
      <c r="P2331" s="461"/>
      <c r="Q2331" s="458"/>
      <c r="R2331" s="459"/>
      <c r="S2331" s="459"/>
      <c r="T2331" s="459"/>
      <c r="U2331" s="459"/>
      <c r="V2331" s="459"/>
      <c r="W2331" s="459"/>
      <c r="X2331" s="459"/>
      <c r="Y2331" s="462">
        <f t="shared" si="17"/>
        <v>0</v>
      </c>
      <c r="Z2331" s="463"/>
      <c r="AA2331" s="464"/>
      <c r="AB2331" s="465"/>
      <c r="AC2331" s="465"/>
      <c r="AD2331" s="465"/>
      <c r="AE2331" s="466"/>
      <c r="AF2331" s="449"/>
      <c r="AG2331" s="449"/>
      <c r="AH2331" s="449"/>
    </row>
    <row r="2332" ht="11.25" customHeight="1">
      <c r="A2332" s="450"/>
      <c r="B2332" s="451"/>
      <c r="C2332" s="452"/>
      <c r="D2332" s="452"/>
      <c r="E2332" s="453"/>
      <c r="F2332" s="453"/>
      <c r="G2332" s="454"/>
      <c r="H2332" s="454"/>
      <c r="I2332" s="455"/>
      <c r="J2332" s="456"/>
      <c r="K2332" s="467" t="s">
        <v>1417</v>
      </c>
      <c r="L2332" s="468"/>
      <c r="M2332" s="469"/>
      <c r="N2332" s="470"/>
      <c r="O2332" s="470"/>
      <c r="P2332" s="471"/>
      <c r="Q2332" s="468"/>
      <c r="R2332" s="469"/>
      <c r="S2332" s="469"/>
      <c r="T2332" s="469"/>
      <c r="U2332" s="469"/>
      <c r="V2332" s="469"/>
      <c r="W2332" s="469"/>
      <c r="X2332" s="469"/>
      <c r="Y2332" s="462">
        <f t="shared" si="17"/>
        <v>0</v>
      </c>
      <c r="Z2332" s="463"/>
      <c r="AA2332" s="464"/>
      <c r="AB2332" s="465"/>
      <c r="AC2332" s="465"/>
      <c r="AD2332" s="465"/>
      <c r="AE2332" s="466"/>
      <c r="AF2332" s="449"/>
      <c r="AG2332" s="449"/>
      <c r="AH2332" s="449"/>
    </row>
    <row r="2333" ht="11.25" customHeight="1">
      <c r="A2333" s="450"/>
      <c r="B2333" s="472"/>
      <c r="C2333" s="473"/>
      <c r="D2333" s="473"/>
      <c r="E2333" s="474"/>
      <c r="F2333" s="474"/>
      <c r="G2333" s="475"/>
      <c r="H2333" s="475"/>
      <c r="I2333" s="476"/>
      <c r="J2333" s="477"/>
      <c r="K2333" s="478" t="s">
        <v>1418</v>
      </c>
      <c r="L2333" s="479"/>
      <c r="M2333" s="480"/>
      <c r="N2333" s="481"/>
      <c r="O2333" s="481"/>
      <c r="P2333" s="482"/>
      <c r="Q2333" s="479"/>
      <c r="R2333" s="480"/>
      <c r="S2333" s="480"/>
      <c r="T2333" s="480"/>
      <c r="U2333" s="480"/>
      <c r="V2333" s="480"/>
      <c r="W2333" s="480"/>
      <c r="X2333" s="480"/>
      <c r="Y2333" s="483">
        <f t="shared" si="17"/>
        <v>0</v>
      </c>
      <c r="Z2333" s="484"/>
      <c r="AA2333" s="485"/>
      <c r="AB2333" s="486"/>
      <c r="AC2333" s="486"/>
      <c r="AD2333" s="486"/>
      <c r="AE2333" s="487"/>
      <c r="AF2333" s="449"/>
      <c r="AG2333" s="449"/>
      <c r="AH2333" s="449"/>
    </row>
    <row r="2334" ht="11.25" customHeight="1">
      <c r="A2334" s="431" t="str">
        <f>IF(B2334="","", YEAR(B2334))</f>
        <v/>
      </c>
      <c r="B2334" s="432"/>
      <c r="C2334" s="433"/>
      <c r="D2334" s="433"/>
      <c r="E2334" s="434" t="str">
        <f t="shared" ref="E2334:I2334" si="1174">IFERROR(AVERAGE(L2334:L2337),"")</f>
        <v/>
      </c>
      <c r="F2334" s="434" t="str">
        <f t="shared" si="1174"/>
        <v/>
      </c>
      <c r="G2334" s="435" t="str">
        <f t="shared" si="1174"/>
        <v/>
      </c>
      <c r="H2334" s="435" t="str">
        <f t="shared" si="1174"/>
        <v/>
      </c>
      <c r="I2334" s="436" t="str">
        <f t="shared" si="1174"/>
        <v/>
      </c>
      <c r="J2334" s="437">
        <f>SUMIFS(PRODUCTION[KG],PRODUCTION[GRADE],"3X50",PRODUCTION[DATE],B2334,PRODUCTION[BATCH],C2334,PRODUCTION[SHIFT],D2334)</f>
        <v>0</v>
      </c>
      <c r="K2334" s="438" t="s">
        <v>1414</v>
      </c>
      <c r="L2334" s="443"/>
      <c r="M2334" s="440"/>
      <c r="N2334" s="441"/>
      <c r="O2334" s="441"/>
      <c r="P2334" s="442"/>
      <c r="Q2334" s="443"/>
      <c r="R2334" s="440"/>
      <c r="S2334" s="440"/>
      <c r="T2334" s="440"/>
      <c r="U2334" s="440"/>
      <c r="V2334" s="440"/>
      <c r="W2334" s="440"/>
      <c r="X2334" s="440"/>
      <c r="Y2334" s="444">
        <f t="shared" si="17"/>
        <v>0</v>
      </c>
      <c r="Z2334" s="445"/>
      <c r="AA2334" s="446">
        <f t="shared" ref="AA2334:AE2334" si="1175">$J2334*E2334</f>
        <v>0</v>
      </c>
      <c r="AB2334" s="447">
        <f t="shared" si="1175"/>
        <v>0</v>
      </c>
      <c r="AC2334" s="447">
        <f t="shared" si="1175"/>
        <v>0</v>
      </c>
      <c r="AD2334" s="447">
        <f t="shared" si="1175"/>
        <v>0</v>
      </c>
      <c r="AE2334" s="448">
        <f t="shared" si="1175"/>
        <v>0</v>
      </c>
      <c r="AF2334" s="449"/>
      <c r="AG2334" s="449"/>
      <c r="AH2334" s="449"/>
    </row>
    <row r="2335" ht="11.25" customHeight="1">
      <c r="A2335" s="450"/>
      <c r="B2335" s="451"/>
      <c r="C2335" s="452"/>
      <c r="D2335" s="452"/>
      <c r="E2335" s="453"/>
      <c r="F2335" s="453"/>
      <c r="G2335" s="454"/>
      <c r="H2335" s="454"/>
      <c r="I2335" s="455"/>
      <c r="J2335" s="456"/>
      <c r="K2335" s="457" t="s">
        <v>1416</v>
      </c>
      <c r="L2335" s="458"/>
      <c r="M2335" s="459"/>
      <c r="N2335" s="460"/>
      <c r="O2335" s="460"/>
      <c r="P2335" s="461"/>
      <c r="Q2335" s="458"/>
      <c r="R2335" s="459"/>
      <c r="S2335" s="459"/>
      <c r="T2335" s="459"/>
      <c r="U2335" s="459"/>
      <c r="V2335" s="459"/>
      <c r="W2335" s="459"/>
      <c r="X2335" s="459"/>
      <c r="Y2335" s="462">
        <f t="shared" si="17"/>
        <v>0</v>
      </c>
      <c r="Z2335" s="463"/>
      <c r="AA2335" s="464"/>
      <c r="AB2335" s="465"/>
      <c r="AC2335" s="465"/>
      <c r="AD2335" s="465"/>
      <c r="AE2335" s="466"/>
      <c r="AF2335" s="449"/>
      <c r="AG2335" s="449"/>
      <c r="AH2335" s="449"/>
    </row>
    <row r="2336" ht="11.25" customHeight="1">
      <c r="A2336" s="450"/>
      <c r="B2336" s="451"/>
      <c r="C2336" s="452"/>
      <c r="D2336" s="452"/>
      <c r="E2336" s="453"/>
      <c r="F2336" s="453"/>
      <c r="G2336" s="454"/>
      <c r="H2336" s="454"/>
      <c r="I2336" s="455"/>
      <c r="J2336" s="456"/>
      <c r="K2336" s="467" t="s">
        <v>1417</v>
      </c>
      <c r="L2336" s="468"/>
      <c r="M2336" s="469"/>
      <c r="N2336" s="470"/>
      <c r="O2336" s="470"/>
      <c r="P2336" s="471"/>
      <c r="Q2336" s="468"/>
      <c r="R2336" s="469"/>
      <c r="S2336" s="469"/>
      <c r="T2336" s="469"/>
      <c r="U2336" s="469"/>
      <c r="V2336" s="469"/>
      <c r="W2336" s="469"/>
      <c r="X2336" s="469"/>
      <c r="Y2336" s="462">
        <f t="shared" si="17"/>
        <v>0</v>
      </c>
      <c r="Z2336" s="463"/>
      <c r="AA2336" s="464"/>
      <c r="AB2336" s="465"/>
      <c r="AC2336" s="465"/>
      <c r="AD2336" s="465"/>
      <c r="AE2336" s="466"/>
      <c r="AF2336" s="449"/>
      <c r="AG2336" s="449"/>
      <c r="AH2336" s="449"/>
    </row>
    <row r="2337" ht="11.25" customHeight="1">
      <c r="A2337" s="450"/>
      <c r="B2337" s="472"/>
      <c r="C2337" s="473"/>
      <c r="D2337" s="473"/>
      <c r="E2337" s="474"/>
      <c r="F2337" s="474"/>
      <c r="G2337" s="475"/>
      <c r="H2337" s="475"/>
      <c r="I2337" s="476"/>
      <c r="J2337" s="477"/>
      <c r="K2337" s="478" t="s">
        <v>1418</v>
      </c>
      <c r="L2337" s="479"/>
      <c r="M2337" s="480"/>
      <c r="N2337" s="481"/>
      <c r="O2337" s="481"/>
      <c r="P2337" s="482"/>
      <c r="Q2337" s="479"/>
      <c r="R2337" s="480"/>
      <c r="S2337" s="480"/>
      <c r="T2337" s="480"/>
      <c r="U2337" s="480"/>
      <c r="V2337" s="480"/>
      <c r="W2337" s="480"/>
      <c r="X2337" s="480"/>
      <c r="Y2337" s="483">
        <f t="shared" si="17"/>
        <v>0</v>
      </c>
      <c r="Z2337" s="484"/>
      <c r="AA2337" s="485"/>
      <c r="AB2337" s="486"/>
      <c r="AC2337" s="486"/>
      <c r="AD2337" s="486"/>
      <c r="AE2337" s="487"/>
      <c r="AF2337" s="449"/>
      <c r="AG2337" s="449"/>
      <c r="AH2337" s="449"/>
    </row>
    <row r="2338" ht="11.25" customHeight="1">
      <c r="A2338" s="431" t="str">
        <f>IF(B2338="","", YEAR(B2338))</f>
        <v/>
      </c>
      <c r="B2338" s="432"/>
      <c r="C2338" s="433"/>
      <c r="D2338" s="433"/>
      <c r="E2338" s="434" t="str">
        <f t="shared" ref="E2338:I2338" si="1176">IFERROR(AVERAGE(L2338:L2341),"")</f>
        <v/>
      </c>
      <c r="F2338" s="434" t="str">
        <f t="shared" si="1176"/>
        <v/>
      </c>
      <c r="G2338" s="435" t="str">
        <f t="shared" si="1176"/>
        <v/>
      </c>
      <c r="H2338" s="435" t="str">
        <f t="shared" si="1176"/>
        <v/>
      </c>
      <c r="I2338" s="436" t="str">
        <f t="shared" si="1176"/>
        <v/>
      </c>
      <c r="J2338" s="437">
        <f>SUMIFS(PRODUCTION[KG],PRODUCTION[GRADE],"3X50",PRODUCTION[DATE],B2338,PRODUCTION[BATCH],C2338,PRODUCTION[SHIFT],D2338)</f>
        <v>0</v>
      </c>
      <c r="K2338" s="438" t="s">
        <v>1414</v>
      </c>
      <c r="L2338" s="443"/>
      <c r="M2338" s="440"/>
      <c r="N2338" s="441"/>
      <c r="O2338" s="441"/>
      <c r="P2338" s="442"/>
      <c r="Q2338" s="443"/>
      <c r="R2338" s="440"/>
      <c r="S2338" s="440"/>
      <c r="T2338" s="440"/>
      <c r="U2338" s="440"/>
      <c r="V2338" s="440"/>
      <c r="W2338" s="440"/>
      <c r="X2338" s="440"/>
      <c r="Y2338" s="444">
        <f t="shared" si="17"/>
        <v>0</v>
      </c>
      <c r="Z2338" s="445"/>
      <c r="AA2338" s="446">
        <f t="shared" ref="AA2338:AE2338" si="1177">$J2338*E2338</f>
        <v>0</v>
      </c>
      <c r="AB2338" s="447">
        <f t="shared" si="1177"/>
        <v>0</v>
      </c>
      <c r="AC2338" s="447">
        <f t="shared" si="1177"/>
        <v>0</v>
      </c>
      <c r="AD2338" s="447">
        <f t="shared" si="1177"/>
        <v>0</v>
      </c>
      <c r="AE2338" s="448">
        <f t="shared" si="1177"/>
        <v>0</v>
      </c>
      <c r="AF2338" s="449"/>
      <c r="AG2338" s="449"/>
      <c r="AH2338" s="449"/>
    </row>
    <row r="2339" ht="11.25" customHeight="1">
      <c r="A2339" s="450"/>
      <c r="B2339" s="451"/>
      <c r="C2339" s="452"/>
      <c r="D2339" s="452"/>
      <c r="E2339" s="453"/>
      <c r="F2339" s="453"/>
      <c r="G2339" s="454"/>
      <c r="H2339" s="454"/>
      <c r="I2339" s="455"/>
      <c r="J2339" s="456"/>
      <c r="K2339" s="457" t="s">
        <v>1416</v>
      </c>
      <c r="L2339" s="458"/>
      <c r="M2339" s="459"/>
      <c r="N2339" s="460"/>
      <c r="O2339" s="460"/>
      <c r="P2339" s="461"/>
      <c r="Q2339" s="458"/>
      <c r="R2339" s="459"/>
      <c r="S2339" s="459"/>
      <c r="T2339" s="459"/>
      <c r="U2339" s="459"/>
      <c r="V2339" s="459"/>
      <c r="W2339" s="459"/>
      <c r="X2339" s="459"/>
      <c r="Y2339" s="462">
        <f t="shared" si="17"/>
        <v>0</v>
      </c>
      <c r="Z2339" s="463"/>
      <c r="AA2339" s="464"/>
      <c r="AB2339" s="465"/>
      <c r="AC2339" s="465"/>
      <c r="AD2339" s="465"/>
      <c r="AE2339" s="466"/>
      <c r="AF2339" s="449"/>
      <c r="AG2339" s="449"/>
      <c r="AH2339" s="449"/>
    </row>
    <row r="2340" ht="11.25" customHeight="1">
      <c r="A2340" s="450"/>
      <c r="B2340" s="451"/>
      <c r="C2340" s="452"/>
      <c r="D2340" s="452"/>
      <c r="E2340" s="453"/>
      <c r="F2340" s="453"/>
      <c r="G2340" s="454"/>
      <c r="H2340" s="454"/>
      <c r="I2340" s="455"/>
      <c r="J2340" s="456"/>
      <c r="K2340" s="467" t="s">
        <v>1417</v>
      </c>
      <c r="L2340" s="468"/>
      <c r="M2340" s="469"/>
      <c r="N2340" s="470"/>
      <c r="O2340" s="470"/>
      <c r="P2340" s="471"/>
      <c r="Q2340" s="468"/>
      <c r="R2340" s="469"/>
      <c r="S2340" s="469"/>
      <c r="T2340" s="469"/>
      <c r="U2340" s="469"/>
      <c r="V2340" s="469"/>
      <c r="W2340" s="469"/>
      <c r="X2340" s="469"/>
      <c r="Y2340" s="462">
        <f t="shared" si="17"/>
        <v>0</v>
      </c>
      <c r="Z2340" s="463"/>
      <c r="AA2340" s="464"/>
      <c r="AB2340" s="465"/>
      <c r="AC2340" s="465"/>
      <c r="AD2340" s="465"/>
      <c r="AE2340" s="466"/>
      <c r="AF2340" s="449"/>
      <c r="AG2340" s="449"/>
      <c r="AH2340" s="449"/>
    </row>
    <row r="2341" ht="11.25" customHeight="1">
      <c r="A2341" s="450"/>
      <c r="B2341" s="472"/>
      <c r="C2341" s="473"/>
      <c r="D2341" s="473"/>
      <c r="E2341" s="474"/>
      <c r="F2341" s="474"/>
      <c r="G2341" s="475"/>
      <c r="H2341" s="475"/>
      <c r="I2341" s="476"/>
      <c r="J2341" s="477"/>
      <c r="K2341" s="478" t="s">
        <v>1418</v>
      </c>
      <c r="L2341" s="479"/>
      <c r="M2341" s="480"/>
      <c r="N2341" s="481"/>
      <c r="O2341" s="481"/>
      <c r="P2341" s="482"/>
      <c r="Q2341" s="479"/>
      <c r="R2341" s="480"/>
      <c r="S2341" s="480"/>
      <c r="T2341" s="480"/>
      <c r="U2341" s="480"/>
      <c r="V2341" s="480"/>
      <c r="W2341" s="480"/>
      <c r="X2341" s="480"/>
      <c r="Y2341" s="483">
        <f t="shared" si="17"/>
        <v>0</v>
      </c>
      <c r="Z2341" s="484"/>
      <c r="AA2341" s="485"/>
      <c r="AB2341" s="486"/>
      <c r="AC2341" s="486"/>
      <c r="AD2341" s="486"/>
      <c r="AE2341" s="487"/>
      <c r="AF2341" s="449"/>
      <c r="AG2341" s="449"/>
      <c r="AH2341" s="449"/>
    </row>
    <row r="2342" ht="11.25" customHeight="1">
      <c r="A2342" s="431" t="str">
        <f>IF(B2342="","", YEAR(B2342))</f>
        <v/>
      </c>
      <c r="B2342" s="432"/>
      <c r="C2342" s="433"/>
      <c r="D2342" s="433"/>
      <c r="E2342" s="434" t="str">
        <f t="shared" ref="E2342:I2342" si="1178">IFERROR(AVERAGE(L2342:L2345),"")</f>
        <v/>
      </c>
      <c r="F2342" s="434" t="str">
        <f t="shared" si="1178"/>
        <v/>
      </c>
      <c r="G2342" s="435" t="str">
        <f t="shared" si="1178"/>
        <v/>
      </c>
      <c r="H2342" s="435" t="str">
        <f t="shared" si="1178"/>
        <v/>
      </c>
      <c r="I2342" s="436" t="str">
        <f t="shared" si="1178"/>
        <v/>
      </c>
      <c r="J2342" s="437">
        <f>SUMIFS(PRODUCTION[KG],PRODUCTION[GRADE],"3X50",PRODUCTION[DATE],B2342,PRODUCTION[BATCH],C2342,PRODUCTION[SHIFT],D2342)</f>
        <v>0</v>
      </c>
      <c r="K2342" s="438" t="s">
        <v>1414</v>
      </c>
      <c r="L2342" s="443"/>
      <c r="M2342" s="440"/>
      <c r="N2342" s="441"/>
      <c r="O2342" s="441"/>
      <c r="P2342" s="442"/>
      <c r="Q2342" s="443"/>
      <c r="R2342" s="440"/>
      <c r="S2342" s="440"/>
      <c r="T2342" s="440"/>
      <c r="U2342" s="440"/>
      <c r="V2342" s="440"/>
      <c r="W2342" s="440"/>
      <c r="X2342" s="440"/>
      <c r="Y2342" s="444">
        <f t="shared" si="17"/>
        <v>0</v>
      </c>
      <c r="Z2342" s="445"/>
      <c r="AA2342" s="446">
        <f t="shared" ref="AA2342:AE2342" si="1179">$J2342*E2342</f>
        <v>0</v>
      </c>
      <c r="AB2342" s="447">
        <f t="shared" si="1179"/>
        <v>0</v>
      </c>
      <c r="AC2342" s="447">
        <f t="shared" si="1179"/>
        <v>0</v>
      </c>
      <c r="AD2342" s="447">
        <f t="shared" si="1179"/>
        <v>0</v>
      </c>
      <c r="AE2342" s="448">
        <f t="shared" si="1179"/>
        <v>0</v>
      </c>
      <c r="AF2342" s="449"/>
      <c r="AG2342" s="449"/>
      <c r="AH2342" s="449"/>
    </row>
    <row r="2343" ht="11.25" customHeight="1">
      <c r="A2343" s="450"/>
      <c r="B2343" s="451"/>
      <c r="C2343" s="452"/>
      <c r="D2343" s="452"/>
      <c r="E2343" s="453"/>
      <c r="F2343" s="453"/>
      <c r="G2343" s="454"/>
      <c r="H2343" s="454"/>
      <c r="I2343" s="455"/>
      <c r="J2343" s="456"/>
      <c r="K2343" s="457" t="s">
        <v>1416</v>
      </c>
      <c r="L2343" s="458"/>
      <c r="M2343" s="459"/>
      <c r="N2343" s="460"/>
      <c r="O2343" s="460"/>
      <c r="P2343" s="461"/>
      <c r="Q2343" s="458"/>
      <c r="R2343" s="459"/>
      <c r="S2343" s="459"/>
      <c r="T2343" s="459"/>
      <c r="U2343" s="459"/>
      <c r="V2343" s="459"/>
      <c r="W2343" s="459"/>
      <c r="X2343" s="459"/>
      <c r="Y2343" s="462">
        <f t="shared" si="17"/>
        <v>0</v>
      </c>
      <c r="Z2343" s="463"/>
      <c r="AA2343" s="464"/>
      <c r="AB2343" s="465"/>
      <c r="AC2343" s="465"/>
      <c r="AD2343" s="465"/>
      <c r="AE2343" s="466"/>
      <c r="AF2343" s="449"/>
      <c r="AG2343" s="449"/>
      <c r="AH2343" s="449"/>
    </row>
    <row r="2344" ht="11.25" customHeight="1">
      <c r="A2344" s="450"/>
      <c r="B2344" s="451"/>
      <c r="C2344" s="452"/>
      <c r="D2344" s="452"/>
      <c r="E2344" s="453"/>
      <c r="F2344" s="453"/>
      <c r="G2344" s="454"/>
      <c r="H2344" s="454"/>
      <c r="I2344" s="455"/>
      <c r="J2344" s="456"/>
      <c r="K2344" s="467" t="s">
        <v>1417</v>
      </c>
      <c r="L2344" s="468"/>
      <c r="M2344" s="469"/>
      <c r="N2344" s="470"/>
      <c r="O2344" s="470"/>
      <c r="P2344" s="471"/>
      <c r="Q2344" s="468"/>
      <c r="R2344" s="469"/>
      <c r="S2344" s="469"/>
      <c r="T2344" s="469"/>
      <c r="U2344" s="469"/>
      <c r="V2344" s="469"/>
      <c r="W2344" s="469"/>
      <c r="X2344" s="469"/>
      <c r="Y2344" s="462">
        <f t="shared" si="17"/>
        <v>0</v>
      </c>
      <c r="Z2344" s="463"/>
      <c r="AA2344" s="464"/>
      <c r="AB2344" s="465"/>
      <c r="AC2344" s="465"/>
      <c r="AD2344" s="465"/>
      <c r="AE2344" s="466"/>
      <c r="AF2344" s="449"/>
      <c r="AG2344" s="449"/>
      <c r="AH2344" s="449"/>
    </row>
    <row r="2345" ht="11.25" customHeight="1">
      <c r="A2345" s="450"/>
      <c r="B2345" s="472"/>
      <c r="C2345" s="473"/>
      <c r="D2345" s="473"/>
      <c r="E2345" s="474"/>
      <c r="F2345" s="474"/>
      <c r="G2345" s="475"/>
      <c r="H2345" s="475"/>
      <c r="I2345" s="476"/>
      <c r="J2345" s="477"/>
      <c r="K2345" s="478" t="s">
        <v>1418</v>
      </c>
      <c r="L2345" s="479"/>
      <c r="M2345" s="480"/>
      <c r="N2345" s="481"/>
      <c r="O2345" s="481"/>
      <c r="P2345" s="482"/>
      <c r="Q2345" s="479"/>
      <c r="R2345" s="480"/>
      <c r="S2345" s="480"/>
      <c r="T2345" s="480"/>
      <c r="U2345" s="480"/>
      <c r="V2345" s="480"/>
      <c r="W2345" s="480"/>
      <c r="X2345" s="480"/>
      <c r="Y2345" s="483">
        <f t="shared" si="17"/>
        <v>0</v>
      </c>
      <c r="Z2345" s="484"/>
      <c r="AA2345" s="485"/>
      <c r="AB2345" s="486"/>
      <c r="AC2345" s="486"/>
      <c r="AD2345" s="486"/>
      <c r="AE2345" s="487"/>
      <c r="AF2345" s="449"/>
      <c r="AG2345" s="449"/>
      <c r="AH2345" s="449"/>
    </row>
    <row r="2346" ht="11.25" customHeight="1">
      <c r="A2346" s="431" t="str">
        <f>IF(B2346="","", YEAR(B2346))</f>
        <v/>
      </c>
      <c r="B2346" s="432"/>
      <c r="C2346" s="433"/>
      <c r="D2346" s="433"/>
      <c r="E2346" s="434" t="str">
        <f t="shared" ref="E2346:I2346" si="1180">IFERROR(AVERAGE(L2346:L2349),"")</f>
        <v/>
      </c>
      <c r="F2346" s="434" t="str">
        <f t="shared" si="1180"/>
        <v/>
      </c>
      <c r="G2346" s="435" t="str">
        <f t="shared" si="1180"/>
        <v/>
      </c>
      <c r="H2346" s="435" t="str">
        <f t="shared" si="1180"/>
        <v/>
      </c>
      <c r="I2346" s="436" t="str">
        <f t="shared" si="1180"/>
        <v/>
      </c>
      <c r="J2346" s="437">
        <f>SUMIFS(PRODUCTION[KG],PRODUCTION[GRADE],"3X50",PRODUCTION[DATE],B2346,PRODUCTION[BATCH],C2346,PRODUCTION[SHIFT],D2346)</f>
        <v>0</v>
      </c>
      <c r="K2346" s="438" t="s">
        <v>1414</v>
      </c>
      <c r="L2346" s="443"/>
      <c r="M2346" s="440"/>
      <c r="N2346" s="441"/>
      <c r="O2346" s="441"/>
      <c r="P2346" s="442"/>
      <c r="Q2346" s="443"/>
      <c r="R2346" s="440"/>
      <c r="S2346" s="440"/>
      <c r="T2346" s="440"/>
      <c r="U2346" s="440"/>
      <c r="V2346" s="440"/>
      <c r="W2346" s="440"/>
      <c r="X2346" s="440"/>
      <c r="Y2346" s="444">
        <f t="shared" si="17"/>
        <v>0</v>
      </c>
      <c r="Z2346" s="445"/>
      <c r="AA2346" s="446">
        <f t="shared" ref="AA2346:AE2346" si="1181">$J2346*E2346</f>
        <v>0</v>
      </c>
      <c r="AB2346" s="447">
        <f t="shared" si="1181"/>
        <v>0</v>
      </c>
      <c r="AC2346" s="447">
        <f t="shared" si="1181"/>
        <v>0</v>
      </c>
      <c r="AD2346" s="447">
        <f t="shared" si="1181"/>
        <v>0</v>
      </c>
      <c r="AE2346" s="448">
        <f t="shared" si="1181"/>
        <v>0</v>
      </c>
      <c r="AF2346" s="449"/>
      <c r="AG2346" s="449"/>
      <c r="AH2346" s="449"/>
    </row>
    <row r="2347" ht="11.25" customHeight="1">
      <c r="A2347" s="450"/>
      <c r="B2347" s="451"/>
      <c r="C2347" s="452"/>
      <c r="D2347" s="452"/>
      <c r="E2347" s="453"/>
      <c r="F2347" s="453"/>
      <c r="G2347" s="454"/>
      <c r="H2347" s="454"/>
      <c r="I2347" s="455"/>
      <c r="J2347" s="456"/>
      <c r="K2347" s="457" t="s">
        <v>1416</v>
      </c>
      <c r="L2347" s="458"/>
      <c r="M2347" s="459"/>
      <c r="N2347" s="460"/>
      <c r="O2347" s="460"/>
      <c r="P2347" s="461"/>
      <c r="Q2347" s="458"/>
      <c r="R2347" s="459"/>
      <c r="S2347" s="459"/>
      <c r="T2347" s="459"/>
      <c r="U2347" s="459"/>
      <c r="V2347" s="459"/>
      <c r="W2347" s="459"/>
      <c r="X2347" s="459"/>
      <c r="Y2347" s="462">
        <f t="shared" si="17"/>
        <v>0</v>
      </c>
      <c r="Z2347" s="463"/>
      <c r="AA2347" s="464"/>
      <c r="AB2347" s="465"/>
      <c r="AC2347" s="465"/>
      <c r="AD2347" s="465"/>
      <c r="AE2347" s="466"/>
      <c r="AF2347" s="449"/>
      <c r="AG2347" s="449"/>
      <c r="AH2347" s="449"/>
    </row>
    <row r="2348" ht="11.25" customHeight="1">
      <c r="A2348" s="450"/>
      <c r="B2348" s="451"/>
      <c r="C2348" s="452"/>
      <c r="D2348" s="452"/>
      <c r="E2348" s="453"/>
      <c r="F2348" s="453"/>
      <c r="G2348" s="454"/>
      <c r="H2348" s="454"/>
      <c r="I2348" s="455"/>
      <c r="J2348" s="456"/>
      <c r="K2348" s="467" t="s">
        <v>1417</v>
      </c>
      <c r="L2348" s="468"/>
      <c r="M2348" s="469"/>
      <c r="N2348" s="470"/>
      <c r="O2348" s="470"/>
      <c r="P2348" s="471"/>
      <c r="Q2348" s="468"/>
      <c r="R2348" s="469"/>
      <c r="S2348" s="469"/>
      <c r="T2348" s="469"/>
      <c r="U2348" s="469"/>
      <c r="V2348" s="469"/>
      <c r="W2348" s="469"/>
      <c r="X2348" s="469"/>
      <c r="Y2348" s="462">
        <f t="shared" si="17"/>
        <v>0</v>
      </c>
      <c r="Z2348" s="463"/>
      <c r="AA2348" s="464"/>
      <c r="AB2348" s="465"/>
      <c r="AC2348" s="465"/>
      <c r="AD2348" s="465"/>
      <c r="AE2348" s="466"/>
      <c r="AF2348" s="449"/>
      <c r="AG2348" s="449"/>
      <c r="AH2348" s="449"/>
    </row>
    <row r="2349" ht="11.25" customHeight="1">
      <c r="A2349" s="450"/>
      <c r="B2349" s="472"/>
      <c r="C2349" s="473"/>
      <c r="D2349" s="473"/>
      <c r="E2349" s="474"/>
      <c r="F2349" s="474"/>
      <c r="G2349" s="475"/>
      <c r="H2349" s="475"/>
      <c r="I2349" s="476"/>
      <c r="J2349" s="477"/>
      <c r="K2349" s="478" t="s">
        <v>1418</v>
      </c>
      <c r="L2349" s="479"/>
      <c r="M2349" s="480"/>
      <c r="N2349" s="481"/>
      <c r="O2349" s="481"/>
      <c r="P2349" s="482"/>
      <c r="Q2349" s="479"/>
      <c r="R2349" s="480"/>
      <c r="S2349" s="480"/>
      <c r="T2349" s="480"/>
      <c r="U2349" s="480"/>
      <c r="V2349" s="480"/>
      <c r="W2349" s="480"/>
      <c r="X2349" s="480"/>
      <c r="Y2349" s="483">
        <f t="shared" si="17"/>
        <v>0</v>
      </c>
      <c r="Z2349" s="484"/>
      <c r="AA2349" s="485"/>
      <c r="AB2349" s="486"/>
      <c r="AC2349" s="486"/>
      <c r="AD2349" s="486"/>
      <c r="AE2349" s="487"/>
      <c r="AF2349" s="449"/>
      <c r="AG2349" s="449"/>
      <c r="AH2349" s="449"/>
    </row>
    <row r="2350" ht="11.25" customHeight="1">
      <c r="A2350" s="431" t="str">
        <f>IF(B2350="","", YEAR(B2350))</f>
        <v/>
      </c>
      <c r="B2350" s="432"/>
      <c r="C2350" s="433"/>
      <c r="D2350" s="433"/>
      <c r="E2350" s="434" t="str">
        <f t="shared" ref="E2350:I2350" si="1182">IFERROR(AVERAGE(L2350:L2353),"")</f>
        <v/>
      </c>
      <c r="F2350" s="434" t="str">
        <f t="shared" si="1182"/>
        <v/>
      </c>
      <c r="G2350" s="435" t="str">
        <f t="shared" si="1182"/>
        <v/>
      </c>
      <c r="H2350" s="435" t="str">
        <f t="shared" si="1182"/>
        <v/>
      </c>
      <c r="I2350" s="436" t="str">
        <f t="shared" si="1182"/>
        <v/>
      </c>
      <c r="J2350" s="437">
        <f>SUMIFS(PRODUCTION[KG],PRODUCTION[GRADE],"3X50",PRODUCTION[DATE],B2350,PRODUCTION[BATCH],C2350,PRODUCTION[SHIFT],D2350)</f>
        <v>0</v>
      </c>
      <c r="K2350" s="438" t="s">
        <v>1414</v>
      </c>
      <c r="L2350" s="443"/>
      <c r="M2350" s="440"/>
      <c r="N2350" s="441"/>
      <c r="O2350" s="441"/>
      <c r="P2350" s="442"/>
      <c r="Q2350" s="443"/>
      <c r="R2350" s="440"/>
      <c r="S2350" s="440"/>
      <c r="T2350" s="440"/>
      <c r="U2350" s="440"/>
      <c r="V2350" s="440"/>
      <c r="W2350" s="440"/>
      <c r="X2350" s="440"/>
      <c r="Y2350" s="444">
        <f t="shared" si="17"/>
        <v>0</v>
      </c>
      <c r="Z2350" s="445"/>
      <c r="AA2350" s="446">
        <f t="shared" ref="AA2350:AE2350" si="1183">$J2350*E2350</f>
        <v>0</v>
      </c>
      <c r="AB2350" s="447">
        <f t="shared" si="1183"/>
        <v>0</v>
      </c>
      <c r="AC2350" s="447">
        <f t="shared" si="1183"/>
        <v>0</v>
      </c>
      <c r="AD2350" s="447">
        <f t="shared" si="1183"/>
        <v>0</v>
      </c>
      <c r="AE2350" s="448">
        <f t="shared" si="1183"/>
        <v>0</v>
      </c>
      <c r="AF2350" s="449"/>
      <c r="AG2350" s="449"/>
      <c r="AH2350" s="449"/>
    </row>
    <row r="2351" ht="11.25" customHeight="1">
      <c r="A2351" s="450"/>
      <c r="B2351" s="451"/>
      <c r="C2351" s="452"/>
      <c r="D2351" s="452"/>
      <c r="E2351" s="453"/>
      <c r="F2351" s="453"/>
      <c r="G2351" s="454"/>
      <c r="H2351" s="454"/>
      <c r="I2351" s="455"/>
      <c r="J2351" s="456"/>
      <c r="K2351" s="457" t="s">
        <v>1416</v>
      </c>
      <c r="L2351" s="458"/>
      <c r="M2351" s="459"/>
      <c r="N2351" s="460"/>
      <c r="O2351" s="460"/>
      <c r="P2351" s="461"/>
      <c r="Q2351" s="458"/>
      <c r="R2351" s="459"/>
      <c r="S2351" s="459"/>
      <c r="T2351" s="459"/>
      <c r="U2351" s="459"/>
      <c r="V2351" s="459"/>
      <c r="W2351" s="459"/>
      <c r="X2351" s="459"/>
      <c r="Y2351" s="462">
        <f t="shared" si="17"/>
        <v>0</v>
      </c>
      <c r="Z2351" s="463"/>
      <c r="AA2351" s="464"/>
      <c r="AB2351" s="465"/>
      <c r="AC2351" s="465"/>
      <c r="AD2351" s="465"/>
      <c r="AE2351" s="466"/>
      <c r="AF2351" s="449"/>
      <c r="AG2351" s="449"/>
      <c r="AH2351" s="449"/>
    </row>
    <row r="2352" ht="11.25" customHeight="1">
      <c r="A2352" s="450"/>
      <c r="B2352" s="451"/>
      <c r="C2352" s="452"/>
      <c r="D2352" s="452"/>
      <c r="E2352" s="453"/>
      <c r="F2352" s="453"/>
      <c r="G2352" s="454"/>
      <c r="H2352" s="454"/>
      <c r="I2352" s="455"/>
      <c r="J2352" s="456"/>
      <c r="K2352" s="467" t="s">
        <v>1417</v>
      </c>
      <c r="L2352" s="468"/>
      <c r="M2352" s="469"/>
      <c r="N2352" s="470"/>
      <c r="O2352" s="470"/>
      <c r="P2352" s="471"/>
      <c r="Q2352" s="468"/>
      <c r="R2352" s="469"/>
      <c r="S2352" s="469"/>
      <c r="T2352" s="469"/>
      <c r="U2352" s="469"/>
      <c r="V2352" s="469"/>
      <c r="W2352" s="469"/>
      <c r="X2352" s="469"/>
      <c r="Y2352" s="462">
        <f t="shared" si="17"/>
        <v>0</v>
      </c>
      <c r="Z2352" s="463"/>
      <c r="AA2352" s="464"/>
      <c r="AB2352" s="465"/>
      <c r="AC2352" s="465"/>
      <c r="AD2352" s="465"/>
      <c r="AE2352" s="466"/>
      <c r="AF2352" s="449"/>
      <c r="AG2352" s="449"/>
      <c r="AH2352" s="449"/>
    </row>
    <row r="2353" ht="11.25" customHeight="1">
      <c r="A2353" s="450"/>
      <c r="B2353" s="472"/>
      <c r="C2353" s="473"/>
      <c r="D2353" s="473"/>
      <c r="E2353" s="474"/>
      <c r="F2353" s="474"/>
      <c r="G2353" s="475"/>
      <c r="H2353" s="475"/>
      <c r="I2353" s="476"/>
      <c r="J2353" s="477"/>
      <c r="K2353" s="478" t="s">
        <v>1418</v>
      </c>
      <c r="L2353" s="479"/>
      <c r="M2353" s="480"/>
      <c r="N2353" s="481"/>
      <c r="O2353" s="481"/>
      <c r="P2353" s="482"/>
      <c r="Q2353" s="479"/>
      <c r="R2353" s="480"/>
      <c r="S2353" s="480"/>
      <c r="T2353" s="480"/>
      <c r="U2353" s="480"/>
      <c r="V2353" s="480"/>
      <c r="W2353" s="480"/>
      <c r="X2353" s="480"/>
      <c r="Y2353" s="483">
        <f t="shared" si="17"/>
        <v>0</v>
      </c>
      <c r="Z2353" s="484"/>
      <c r="AA2353" s="485"/>
      <c r="AB2353" s="486"/>
      <c r="AC2353" s="486"/>
      <c r="AD2353" s="486"/>
      <c r="AE2353" s="487"/>
      <c r="AF2353" s="449"/>
      <c r="AG2353" s="449"/>
      <c r="AH2353" s="449"/>
    </row>
    <row r="2354" ht="11.25" customHeight="1">
      <c r="A2354" s="431" t="str">
        <f>IF(B2354="","", YEAR(B2354))</f>
        <v/>
      </c>
      <c r="B2354" s="432"/>
      <c r="C2354" s="433"/>
      <c r="D2354" s="433"/>
      <c r="E2354" s="434" t="str">
        <f t="shared" ref="E2354:I2354" si="1184">IFERROR(AVERAGE(L2354:L2357),"")</f>
        <v/>
      </c>
      <c r="F2354" s="434" t="str">
        <f t="shared" si="1184"/>
        <v/>
      </c>
      <c r="G2354" s="435" t="str">
        <f t="shared" si="1184"/>
        <v/>
      </c>
      <c r="H2354" s="435" t="str">
        <f t="shared" si="1184"/>
        <v/>
      </c>
      <c r="I2354" s="436" t="str">
        <f t="shared" si="1184"/>
        <v/>
      </c>
      <c r="J2354" s="437">
        <f>SUMIFS(PRODUCTION[KG],PRODUCTION[GRADE],"3X50",PRODUCTION[DATE],B2354,PRODUCTION[BATCH],C2354,PRODUCTION[SHIFT],D2354)</f>
        <v>0</v>
      </c>
      <c r="K2354" s="438" t="s">
        <v>1414</v>
      </c>
      <c r="L2354" s="443"/>
      <c r="M2354" s="440"/>
      <c r="N2354" s="441"/>
      <c r="O2354" s="441"/>
      <c r="P2354" s="442"/>
      <c r="Q2354" s="443"/>
      <c r="R2354" s="440"/>
      <c r="S2354" s="440"/>
      <c r="T2354" s="440"/>
      <c r="U2354" s="440"/>
      <c r="V2354" s="440"/>
      <c r="W2354" s="440"/>
      <c r="X2354" s="440"/>
      <c r="Y2354" s="444">
        <f t="shared" si="17"/>
        <v>0</v>
      </c>
      <c r="Z2354" s="445"/>
      <c r="AA2354" s="446">
        <f t="shared" ref="AA2354:AE2354" si="1185">$J2354*E2354</f>
        <v>0</v>
      </c>
      <c r="AB2354" s="447">
        <f t="shared" si="1185"/>
        <v>0</v>
      </c>
      <c r="AC2354" s="447">
        <f t="shared" si="1185"/>
        <v>0</v>
      </c>
      <c r="AD2354" s="447">
        <f t="shared" si="1185"/>
        <v>0</v>
      </c>
      <c r="AE2354" s="448">
        <f t="shared" si="1185"/>
        <v>0</v>
      </c>
      <c r="AF2354" s="449"/>
      <c r="AG2354" s="449"/>
      <c r="AH2354" s="449"/>
    </row>
    <row r="2355" ht="11.25" customHeight="1">
      <c r="A2355" s="450"/>
      <c r="B2355" s="451"/>
      <c r="C2355" s="452"/>
      <c r="D2355" s="452"/>
      <c r="E2355" s="453"/>
      <c r="F2355" s="453"/>
      <c r="G2355" s="454"/>
      <c r="H2355" s="454"/>
      <c r="I2355" s="455"/>
      <c r="J2355" s="456"/>
      <c r="K2355" s="457" t="s">
        <v>1416</v>
      </c>
      <c r="L2355" s="458"/>
      <c r="M2355" s="459"/>
      <c r="N2355" s="460"/>
      <c r="O2355" s="460"/>
      <c r="P2355" s="461"/>
      <c r="Q2355" s="458"/>
      <c r="R2355" s="459"/>
      <c r="S2355" s="459"/>
      <c r="T2355" s="459"/>
      <c r="U2355" s="459"/>
      <c r="V2355" s="459"/>
      <c r="W2355" s="459"/>
      <c r="X2355" s="459"/>
      <c r="Y2355" s="462">
        <f t="shared" si="17"/>
        <v>0</v>
      </c>
      <c r="Z2355" s="463"/>
      <c r="AA2355" s="464"/>
      <c r="AB2355" s="465"/>
      <c r="AC2355" s="465"/>
      <c r="AD2355" s="465"/>
      <c r="AE2355" s="466"/>
      <c r="AF2355" s="449"/>
      <c r="AG2355" s="449"/>
      <c r="AH2355" s="449"/>
    </row>
    <row r="2356" ht="11.25" customHeight="1">
      <c r="A2356" s="450"/>
      <c r="B2356" s="451"/>
      <c r="C2356" s="452"/>
      <c r="D2356" s="452"/>
      <c r="E2356" s="453"/>
      <c r="F2356" s="453"/>
      <c r="G2356" s="454"/>
      <c r="H2356" s="454"/>
      <c r="I2356" s="455"/>
      <c r="J2356" s="456"/>
      <c r="K2356" s="467" t="s">
        <v>1417</v>
      </c>
      <c r="L2356" s="468"/>
      <c r="M2356" s="469"/>
      <c r="N2356" s="470"/>
      <c r="O2356" s="470"/>
      <c r="P2356" s="471"/>
      <c r="Q2356" s="468"/>
      <c r="R2356" s="469"/>
      <c r="S2356" s="469"/>
      <c r="T2356" s="469"/>
      <c r="U2356" s="469"/>
      <c r="V2356" s="469"/>
      <c r="W2356" s="469"/>
      <c r="X2356" s="469"/>
      <c r="Y2356" s="462">
        <f t="shared" si="17"/>
        <v>0</v>
      </c>
      <c r="Z2356" s="463"/>
      <c r="AA2356" s="464"/>
      <c r="AB2356" s="465"/>
      <c r="AC2356" s="465"/>
      <c r="AD2356" s="465"/>
      <c r="AE2356" s="466"/>
      <c r="AF2356" s="449"/>
      <c r="AG2356" s="449"/>
      <c r="AH2356" s="449"/>
    </row>
    <row r="2357" ht="11.25" customHeight="1">
      <c r="A2357" s="450"/>
      <c r="B2357" s="472"/>
      <c r="C2357" s="473"/>
      <c r="D2357" s="473"/>
      <c r="E2357" s="474"/>
      <c r="F2357" s="474"/>
      <c r="G2357" s="475"/>
      <c r="H2357" s="475"/>
      <c r="I2357" s="476"/>
      <c r="J2357" s="477"/>
      <c r="K2357" s="478" t="s">
        <v>1418</v>
      </c>
      <c r="L2357" s="479"/>
      <c r="M2357" s="480"/>
      <c r="N2357" s="481"/>
      <c r="O2357" s="481"/>
      <c r="P2357" s="482"/>
      <c r="Q2357" s="479"/>
      <c r="R2357" s="480"/>
      <c r="S2357" s="480"/>
      <c r="T2357" s="480"/>
      <c r="U2357" s="480"/>
      <c r="V2357" s="480"/>
      <c r="W2357" s="480"/>
      <c r="X2357" s="480"/>
      <c r="Y2357" s="483">
        <f t="shared" si="17"/>
        <v>0</v>
      </c>
      <c r="Z2357" s="484"/>
      <c r="AA2357" s="485"/>
      <c r="AB2357" s="486"/>
      <c r="AC2357" s="486"/>
      <c r="AD2357" s="486"/>
      <c r="AE2357" s="487"/>
      <c r="AF2357" s="449"/>
      <c r="AG2357" s="449"/>
      <c r="AH2357" s="449"/>
    </row>
    <row r="2358" ht="11.25" customHeight="1">
      <c r="A2358" s="431" t="str">
        <f>IF(B2358="","", YEAR(B2358))</f>
        <v/>
      </c>
      <c r="B2358" s="432"/>
      <c r="C2358" s="433"/>
      <c r="D2358" s="433"/>
      <c r="E2358" s="434" t="str">
        <f t="shared" ref="E2358:I2358" si="1186">IFERROR(AVERAGE(L2358:L2361),"")</f>
        <v/>
      </c>
      <c r="F2358" s="434" t="str">
        <f t="shared" si="1186"/>
        <v/>
      </c>
      <c r="G2358" s="435" t="str">
        <f t="shared" si="1186"/>
        <v/>
      </c>
      <c r="H2358" s="435" t="str">
        <f t="shared" si="1186"/>
        <v/>
      </c>
      <c r="I2358" s="436" t="str">
        <f t="shared" si="1186"/>
        <v/>
      </c>
      <c r="J2358" s="437">
        <f>SUMIFS(PRODUCTION[KG],PRODUCTION[GRADE],"3X50",PRODUCTION[DATE],B2358,PRODUCTION[BATCH],C2358,PRODUCTION[SHIFT],D2358)</f>
        <v>0</v>
      </c>
      <c r="K2358" s="438" t="s">
        <v>1414</v>
      </c>
      <c r="L2358" s="443"/>
      <c r="M2358" s="440"/>
      <c r="N2358" s="441"/>
      <c r="O2358" s="441"/>
      <c r="P2358" s="442"/>
      <c r="Q2358" s="443"/>
      <c r="R2358" s="440"/>
      <c r="S2358" s="440"/>
      <c r="T2358" s="440"/>
      <c r="U2358" s="440"/>
      <c r="V2358" s="440"/>
      <c r="W2358" s="440"/>
      <c r="X2358" s="440"/>
      <c r="Y2358" s="444">
        <f t="shared" si="17"/>
        <v>0</v>
      </c>
      <c r="Z2358" s="445"/>
      <c r="AA2358" s="446">
        <f t="shared" ref="AA2358:AE2358" si="1187">$J2358*E2358</f>
        <v>0</v>
      </c>
      <c r="AB2358" s="447">
        <f t="shared" si="1187"/>
        <v>0</v>
      </c>
      <c r="AC2358" s="447">
        <f t="shared" si="1187"/>
        <v>0</v>
      </c>
      <c r="AD2358" s="447">
        <f t="shared" si="1187"/>
        <v>0</v>
      </c>
      <c r="AE2358" s="448">
        <f t="shared" si="1187"/>
        <v>0</v>
      </c>
      <c r="AF2358" s="449"/>
      <c r="AG2358" s="449"/>
      <c r="AH2358" s="449"/>
    </row>
    <row r="2359" ht="11.25" customHeight="1">
      <c r="A2359" s="450"/>
      <c r="B2359" s="451"/>
      <c r="C2359" s="452"/>
      <c r="D2359" s="452"/>
      <c r="E2359" s="453"/>
      <c r="F2359" s="453"/>
      <c r="G2359" s="454"/>
      <c r="H2359" s="454"/>
      <c r="I2359" s="455"/>
      <c r="J2359" s="456"/>
      <c r="K2359" s="457" t="s">
        <v>1416</v>
      </c>
      <c r="L2359" s="458"/>
      <c r="M2359" s="459"/>
      <c r="N2359" s="460"/>
      <c r="O2359" s="460"/>
      <c r="P2359" s="461"/>
      <c r="Q2359" s="458"/>
      <c r="R2359" s="459"/>
      <c r="S2359" s="459"/>
      <c r="T2359" s="459"/>
      <c r="U2359" s="459"/>
      <c r="V2359" s="459"/>
      <c r="W2359" s="459"/>
      <c r="X2359" s="459"/>
      <c r="Y2359" s="462">
        <f t="shared" si="17"/>
        <v>0</v>
      </c>
      <c r="Z2359" s="463"/>
      <c r="AA2359" s="464"/>
      <c r="AB2359" s="465"/>
      <c r="AC2359" s="465"/>
      <c r="AD2359" s="465"/>
      <c r="AE2359" s="466"/>
      <c r="AF2359" s="449"/>
      <c r="AG2359" s="449"/>
      <c r="AH2359" s="449"/>
    </row>
    <row r="2360" ht="11.25" customHeight="1">
      <c r="A2360" s="450"/>
      <c r="B2360" s="451"/>
      <c r="C2360" s="452"/>
      <c r="D2360" s="452"/>
      <c r="E2360" s="453"/>
      <c r="F2360" s="453"/>
      <c r="G2360" s="454"/>
      <c r="H2360" s="454"/>
      <c r="I2360" s="455"/>
      <c r="J2360" s="456"/>
      <c r="K2360" s="467" t="s">
        <v>1417</v>
      </c>
      <c r="L2360" s="468"/>
      <c r="M2360" s="469"/>
      <c r="N2360" s="470"/>
      <c r="O2360" s="470"/>
      <c r="P2360" s="471"/>
      <c r="Q2360" s="468"/>
      <c r="R2360" s="469"/>
      <c r="S2360" s="469"/>
      <c r="T2360" s="469"/>
      <c r="U2360" s="469"/>
      <c r="V2360" s="469"/>
      <c r="W2360" s="469"/>
      <c r="X2360" s="469"/>
      <c r="Y2360" s="462">
        <f t="shared" si="17"/>
        <v>0</v>
      </c>
      <c r="Z2360" s="463"/>
      <c r="AA2360" s="464"/>
      <c r="AB2360" s="465"/>
      <c r="AC2360" s="465"/>
      <c r="AD2360" s="465"/>
      <c r="AE2360" s="466"/>
      <c r="AF2360" s="449"/>
      <c r="AG2360" s="449"/>
      <c r="AH2360" s="449"/>
    </row>
    <row r="2361" ht="11.25" customHeight="1">
      <c r="A2361" s="450"/>
      <c r="B2361" s="472"/>
      <c r="C2361" s="473"/>
      <c r="D2361" s="473"/>
      <c r="E2361" s="474"/>
      <c r="F2361" s="474"/>
      <c r="G2361" s="475"/>
      <c r="H2361" s="475"/>
      <c r="I2361" s="476"/>
      <c r="J2361" s="477"/>
      <c r="K2361" s="478" t="s">
        <v>1418</v>
      </c>
      <c r="L2361" s="479"/>
      <c r="M2361" s="480"/>
      <c r="N2361" s="481"/>
      <c r="O2361" s="481"/>
      <c r="P2361" s="482"/>
      <c r="Q2361" s="479"/>
      <c r="R2361" s="480"/>
      <c r="S2361" s="480"/>
      <c r="T2361" s="480"/>
      <c r="U2361" s="480"/>
      <c r="V2361" s="480"/>
      <c r="W2361" s="480"/>
      <c r="X2361" s="480"/>
      <c r="Y2361" s="483">
        <f t="shared" si="17"/>
        <v>0</v>
      </c>
      <c r="Z2361" s="484"/>
      <c r="AA2361" s="485"/>
      <c r="AB2361" s="486"/>
      <c r="AC2361" s="486"/>
      <c r="AD2361" s="486"/>
      <c r="AE2361" s="487"/>
      <c r="AF2361" s="449"/>
      <c r="AG2361" s="449"/>
      <c r="AH2361" s="449"/>
    </row>
    <row r="2362" ht="11.25" customHeight="1">
      <c r="A2362" s="431" t="str">
        <f>IF(B2362="","", YEAR(B2362))</f>
        <v/>
      </c>
      <c r="B2362" s="432"/>
      <c r="C2362" s="433"/>
      <c r="D2362" s="433"/>
      <c r="E2362" s="434" t="str">
        <f t="shared" ref="E2362:I2362" si="1188">IFERROR(AVERAGE(L2362:L2365),"")</f>
        <v/>
      </c>
      <c r="F2362" s="434" t="str">
        <f t="shared" si="1188"/>
        <v/>
      </c>
      <c r="G2362" s="435" t="str">
        <f t="shared" si="1188"/>
        <v/>
      </c>
      <c r="H2362" s="435" t="str">
        <f t="shared" si="1188"/>
        <v/>
      </c>
      <c r="I2362" s="436" t="str">
        <f t="shared" si="1188"/>
        <v/>
      </c>
      <c r="J2362" s="437">
        <f>SUMIFS(PRODUCTION[KG],PRODUCTION[GRADE],"3X50",PRODUCTION[DATE],B2362,PRODUCTION[BATCH],C2362,PRODUCTION[SHIFT],D2362)</f>
        <v>0</v>
      </c>
      <c r="K2362" s="438" t="s">
        <v>1414</v>
      </c>
      <c r="L2362" s="443"/>
      <c r="M2362" s="440"/>
      <c r="N2362" s="441"/>
      <c r="O2362" s="441"/>
      <c r="P2362" s="442"/>
      <c r="Q2362" s="443"/>
      <c r="R2362" s="440"/>
      <c r="S2362" s="440"/>
      <c r="T2362" s="440"/>
      <c r="U2362" s="440"/>
      <c r="V2362" s="440"/>
      <c r="W2362" s="440"/>
      <c r="X2362" s="440"/>
      <c r="Y2362" s="444">
        <f t="shared" si="17"/>
        <v>0</v>
      </c>
      <c r="Z2362" s="445"/>
      <c r="AA2362" s="446">
        <f t="shared" ref="AA2362:AE2362" si="1189">$J2362*E2362</f>
        <v>0</v>
      </c>
      <c r="AB2362" s="447">
        <f t="shared" si="1189"/>
        <v>0</v>
      </c>
      <c r="AC2362" s="447">
        <f t="shared" si="1189"/>
        <v>0</v>
      </c>
      <c r="AD2362" s="447">
        <f t="shared" si="1189"/>
        <v>0</v>
      </c>
      <c r="AE2362" s="448">
        <f t="shared" si="1189"/>
        <v>0</v>
      </c>
      <c r="AF2362" s="449"/>
      <c r="AG2362" s="449"/>
      <c r="AH2362" s="449"/>
    </row>
    <row r="2363" ht="11.25" customHeight="1">
      <c r="A2363" s="450"/>
      <c r="B2363" s="451"/>
      <c r="C2363" s="452"/>
      <c r="D2363" s="452"/>
      <c r="E2363" s="453"/>
      <c r="F2363" s="453"/>
      <c r="G2363" s="454"/>
      <c r="H2363" s="454"/>
      <c r="I2363" s="455"/>
      <c r="J2363" s="456"/>
      <c r="K2363" s="457" t="s">
        <v>1416</v>
      </c>
      <c r="L2363" s="458"/>
      <c r="M2363" s="459"/>
      <c r="N2363" s="460"/>
      <c r="O2363" s="460"/>
      <c r="P2363" s="461"/>
      <c r="Q2363" s="458"/>
      <c r="R2363" s="459"/>
      <c r="S2363" s="459"/>
      <c r="T2363" s="459"/>
      <c r="U2363" s="459"/>
      <c r="V2363" s="459"/>
      <c r="W2363" s="459"/>
      <c r="X2363" s="459"/>
      <c r="Y2363" s="462">
        <f t="shared" si="17"/>
        <v>0</v>
      </c>
      <c r="Z2363" s="463"/>
      <c r="AA2363" s="464"/>
      <c r="AB2363" s="465"/>
      <c r="AC2363" s="465"/>
      <c r="AD2363" s="465"/>
      <c r="AE2363" s="466"/>
      <c r="AF2363" s="449"/>
      <c r="AG2363" s="449"/>
      <c r="AH2363" s="449"/>
    </row>
    <row r="2364" ht="11.25" customHeight="1">
      <c r="A2364" s="450"/>
      <c r="B2364" s="451"/>
      <c r="C2364" s="452"/>
      <c r="D2364" s="452"/>
      <c r="E2364" s="453"/>
      <c r="F2364" s="453"/>
      <c r="G2364" s="454"/>
      <c r="H2364" s="454"/>
      <c r="I2364" s="455"/>
      <c r="J2364" s="456"/>
      <c r="K2364" s="467" t="s">
        <v>1417</v>
      </c>
      <c r="L2364" s="468"/>
      <c r="M2364" s="469"/>
      <c r="N2364" s="470"/>
      <c r="O2364" s="470"/>
      <c r="P2364" s="471"/>
      <c r="Q2364" s="468"/>
      <c r="R2364" s="469"/>
      <c r="S2364" s="469"/>
      <c r="T2364" s="469"/>
      <c r="U2364" s="469"/>
      <c r="V2364" s="469"/>
      <c r="W2364" s="469"/>
      <c r="X2364" s="469"/>
      <c r="Y2364" s="462">
        <f t="shared" si="17"/>
        <v>0</v>
      </c>
      <c r="Z2364" s="463"/>
      <c r="AA2364" s="464"/>
      <c r="AB2364" s="465"/>
      <c r="AC2364" s="465"/>
      <c r="AD2364" s="465"/>
      <c r="AE2364" s="466"/>
      <c r="AF2364" s="449"/>
      <c r="AG2364" s="449"/>
      <c r="AH2364" s="449"/>
    </row>
    <row r="2365" ht="11.25" customHeight="1">
      <c r="A2365" s="450"/>
      <c r="B2365" s="472"/>
      <c r="C2365" s="473"/>
      <c r="D2365" s="473"/>
      <c r="E2365" s="474"/>
      <c r="F2365" s="474"/>
      <c r="G2365" s="475"/>
      <c r="H2365" s="475"/>
      <c r="I2365" s="476"/>
      <c r="J2365" s="477"/>
      <c r="K2365" s="478" t="s">
        <v>1418</v>
      </c>
      <c r="L2365" s="479"/>
      <c r="M2365" s="480"/>
      <c r="N2365" s="481"/>
      <c r="O2365" s="481"/>
      <c r="P2365" s="482"/>
      <c r="Q2365" s="479"/>
      <c r="R2365" s="480"/>
      <c r="S2365" s="480"/>
      <c r="T2365" s="480"/>
      <c r="U2365" s="480"/>
      <c r="V2365" s="480"/>
      <c r="W2365" s="480"/>
      <c r="X2365" s="480"/>
      <c r="Y2365" s="483">
        <f t="shared" si="17"/>
        <v>0</v>
      </c>
      <c r="Z2365" s="484"/>
      <c r="AA2365" s="485"/>
      <c r="AB2365" s="486"/>
      <c r="AC2365" s="486"/>
      <c r="AD2365" s="486"/>
      <c r="AE2365" s="487"/>
      <c r="AF2365" s="449"/>
      <c r="AG2365" s="449"/>
      <c r="AH2365" s="449"/>
    </row>
    <row r="2366" ht="11.25" customHeight="1">
      <c r="A2366" s="431" t="str">
        <f>IF(B2366="","", YEAR(B2366))</f>
        <v/>
      </c>
      <c r="B2366" s="432"/>
      <c r="C2366" s="433"/>
      <c r="D2366" s="433"/>
      <c r="E2366" s="434" t="str">
        <f t="shared" ref="E2366:I2366" si="1190">IFERROR(AVERAGE(L2366:L2369),"")</f>
        <v/>
      </c>
      <c r="F2366" s="434" t="str">
        <f t="shared" si="1190"/>
        <v/>
      </c>
      <c r="G2366" s="435" t="str">
        <f t="shared" si="1190"/>
        <v/>
      </c>
      <c r="H2366" s="435" t="str">
        <f t="shared" si="1190"/>
        <v/>
      </c>
      <c r="I2366" s="436" t="str">
        <f t="shared" si="1190"/>
        <v/>
      </c>
      <c r="J2366" s="437">
        <f>SUMIFS(PRODUCTION[KG],PRODUCTION[GRADE],"3X50",PRODUCTION[DATE],B2366,PRODUCTION[BATCH],C2366,PRODUCTION[SHIFT],D2366)</f>
        <v>0</v>
      </c>
      <c r="K2366" s="438" t="s">
        <v>1414</v>
      </c>
      <c r="L2366" s="443"/>
      <c r="M2366" s="440"/>
      <c r="N2366" s="441"/>
      <c r="O2366" s="441"/>
      <c r="P2366" s="442"/>
      <c r="Q2366" s="443"/>
      <c r="R2366" s="440"/>
      <c r="S2366" s="440"/>
      <c r="T2366" s="440"/>
      <c r="U2366" s="440"/>
      <c r="V2366" s="440"/>
      <c r="W2366" s="440"/>
      <c r="X2366" s="440"/>
      <c r="Y2366" s="444">
        <f t="shared" si="17"/>
        <v>0</v>
      </c>
      <c r="Z2366" s="445"/>
      <c r="AA2366" s="446">
        <f t="shared" ref="AA2366:AE2366" si="1191">$J2366*E2366</f>
        <v>0</v>
      </c>
      <c r="AB2366" s="447">
        <f t="shared" si="1191"/>
        <v>0</v>
      </c>
      <c r="AC2366" s="447">
        <f t="shared" si="1191"/>
        <v>0</v>
      </c>
      <c r="AD2366" s="447">
        <f t="shared" si="1191"/>
        <v>0</v>
      </c>
      <c r="AE2366" s="448">
        <f t="shared" si="1191"/>
        <v>0</v>
      </c>
      <c r="AF2366" s="449"/>
      <c r="AG2366" s="449"/>
      <c r="AH2366" s="449"/>
    </row>
    <row r="2367" ht="11.25" customHeight="1">
      <c r="A2367" s="450"/>
      <c r="B2367" s="451"/>
      <c r="C2367" s="452"/>
      <c r="D2367" s="452"/>
      <c r="E2367" s="453"/>
      <c r="F2367" s="453"/>
      <c r="G2367" s="454"/>
      <c r="H2367" s="454"/>
      <c r="I2367" s="455"/>
      <c r="J2367" s="456"/>
      <c r="K2367" s="457" t="s">
        <v>1416</v>
      </c>
      <c r="L2367" s="458"/>
      <c r="M2367" s="459"/>
      <c r="N2367" s="460"/>
      <c r="O2367" s="460"/>
      <c r="P2367" s="461"/>
      <c r="Q2367" s="458"/>
      <c r="R2367" s="459"/>
      <c r="S2367" s="459"/>
      <c r="T2367" s="459"/>
      <c r="U2367" s="459"/>
      <c r="V2367" s="459"/>
      <c r="W2367" s="459"/>
      <c r="X2367" s="459"/>
      <c r="Y2367" s="462">
        <f t="shared" si="17"/>
        <v>0</v>
      </c>
      <c r="Z2367" s="463"/>
      <c r="AA2367" s="464"/>
      <c r="AB2367" s="465"/>
      <c r="AC2367" s="465"/>
      <c r="AD2367" s="465"/>
      <c r="AE2367" s="466"/>
      <c r="AF2367" s="449"/>
      <c r="AG2367" s="449"/>
      <c r="AH2367" s="449"/>
    </row>
    <row r="2368" ht="11.25" customHeight="1">
      <c r="A2368" s="450"/>
      <c r="B2368" s="451"/>
      <c r="C2368" s="452"/>
      <c r="D2368" s="452"/>
      <c r="E2368" s="453"/>
      <c r="F2368" s="453"/>
      <c r="G2368" s="454"/>
      <c r="H2368" s="454"/>
      <c r="I2368" s="455"/>
      <c r="J2368" s="456"/>
      <c r="K2368" s="467" t="s">
        <v>1417</v>
      </c>
      <c r="L2368" s="468"/>
      <c r="M2368" s="469"/>
      <c r="N2368" s="470"/>
      <c r="O2368" s="470"/>
      <c r="P2368" s="471"/>
      <c r="Q2368" s="468"/>
      <c r="R2368" s="469"/>
      <c r="S2368" s="469"/>
      <c r="T2368" s="469"/>
      <c r="U2368" s="469"/>
      <c r="V2368" s="469"/>
      <c r="W2368" s="469"/>
      <c r="X2368" s="469"/>
      <c r="Y2368" s="462">
        <f t="shared" si="17"/>
        <v>0</v>
      </c>
      <c r="Z2368" s="463"/>
      <c r="AA2368" s="464"/>
      <c r="AB2368" s="465"/>
      <c r="AC2368" s="465"/>
      <c r="AD2368" s="465"/>
      <c r="AE2368" s="466"/>
      <c r="AF2368" s="449"/>
      <c r="AG2368" s="449"/>
      <c r="AH2368" s="449"/>
    </row>
    <row r="2369" ht="11.25" customHeight="1">
      <c r="A2369" s="450"/>
      <c r="B2369" s="472"/>
      <c r="C2369" s="473"/>
      <c r="D2369" s="473"/>
      <c r="E2369" s="474"/>
      <c r="F2369" s="474"/>
      <c r="G2369" s="475"/>
      <c r="H2369" s="475"/>
      <c r="I2369" s="476"/>
      <c r="J2369" s="477"/>
      <c r="K2369" s="478" t="s">
        <v>1418</v>
      </c>
      <c r="L2369" s="479"/>
      <c r="M2369" s="480"/>
      <c r="N2369" s="481"/>
      <c r="O2369" s="481"/>
      <c r="P2369" s="482"/>
      <c r="Q2369" s="479"/>
      <c r="R2369" s="480"/>
      <c r="S2369" s="480"/>
      <c r="T2369" s="480"/>
      <c r="U2369" s="480"/>
      <c r="V2369" s="480"/>
      <c r="W2369" s="480"/>
      <c r="X2369" s="480"/>
      <c r="Y2369" s="483">
        <f t="shared" si="17"/>
        <v>0</v>
      </c>
      <c r="Z2369" s="484"/>
      <c r="AA2369" s="485"/>
      <c r="AB2369" s="486"/>
      <c r="AC2369" s="486"/>
      <c r="AD2369" s="486"/>
      <c r="AE2369" s="487"/>
      <c r="AF2369" s="449"/>
      <c r="AG2369" s="449"/>
      <c r="AH2369" s="449"/>
    </row>
    <row r="2370" ht="11.25" customHeight="1">
      <c r="A2370" s="431" t="str">
        <f>IF(B2370="","", YEAR(B2370))</f>
        <v/>
      </c>
      <c r="B2370" s="432"/>
      <c r="C2370" s="433"/>
      <c r="D2370" s="433"/>
      <c r="E2370" s="434" t="str">
        <f t="shared" ref="E2370:I2370" si="1192">IFERROR(AVERAGE(L2370:L2373),"")</f>
        <v/>
      </c>
      <c r="F2370" s="434" t="str">
        <f t="shared" si="1192"/>
        <v/>
      </c>
      <c r="G2370" s="435" t="str">
        <f t="shared" si="1192"/>
        <v/>
      </c>
      <c r="H2370" s="435" t="str">
        <f t="shared" si="1192"/>
        <v/>
      </c>
      <c r="I2370" s="436" t="str">
        <f t="shared" si="1192"/>
        <v/>
      </c>
      <c r="J2370" s="437">
        <f>SUMIFS(PRODUCTION[KG],PRODUCTION[GRADE],"3X50",PRODUCTION[DATE],B2370,PRODUCTION[BATCH],C2370,PRODUCTION[SHIFT],D2370)</f>
        <v>0</v>
      </c>
      <c r="K2370" s="438" t="s">
        <v>1414</v>
      </c>
      <c r="L2370" s="443"/>
      <c r="M2370" s="440"/>
      <c r="N2370" s="441"/>
      <c r="O2370" s="441"/>
      <c r="P2370" s="442"/>
      <c r="Q2370" s="443"/>
      <c r="R2370" s="440"/>
      <c r="S2370" s="440"/>
      <c r="T2370" s="440"/>
      <c r="U2370" s="440"/>
      <c r="V2370" s="440"/>
      <c r="W2370" s="440"/>
      <c r="X2370" s="440"/>
      <c r="Y2370" s="444">
        <f t="shared" si="17"/>
        <v>0</v>
      </c>
      <c r="Z2370" s="445"/>
      <c r="AA2370" s="446">
        <f t="shared" ref="AA2370:AE2370" si="1193">$J2370*E2370</f>
        <v>0</v>
      </c>
      <c r="AB2370" s="447">
        <f t="shared" si="1193"/>
        <v>0</v>
      </c>
      <c r="AC2370" s="447">
        <f t="shared" si="1193"/>
        <v>0</v>
      </c>
      <c r="AD2370" s="447">
        <f t="shared" si="1193"/>
        <v>0</v>
      </c>
      <c r="AE2370" s="448">
        <f t="shared" si="1193"/>
        <v>0</v>
      </c>
      <c r="AF2370" s="449"/>
      <c r="AG2370" s="449"/>
      <c r="AH2370" s="449"/>
    </row>
    <row r="2371" ht="11.25" customHeight="1">
      <c r="A2371" s="450"/>
      <c r="B2371" s="451"/>
      <c r="C2371" s="452"/>
      <c r="D2371" s="452"/>
      <c r="E2371" s="453"/>
      <c r="F2371" s="453"/>
      <c r="G2371" s="454"/>
      <c r="H2371" s="454"/>
      <c r="I2371" s="455"/>
      <c r="J2371" s="456"/>
      <c r="K2371" s="457" t="s">
        <v>1416</v>
      </c>
      <c r="L2371" s="458"/>
      <c r="M2371" s="459"/>
      <c r="N2371" s="460"/>
      <c r="O2371" s="460"/>
      <c r="P2371" s="461"/>
      <c r="Q2371" s="458"/>
      <c r="R2371" s="459"/>
      <c r="S2371" s="459"/>
      <c r="T2371" s="459"/>
      <c r="U2371" s="459"/>
      <c r="V2371" s="459"/>
      <c r="W2371" s="459"/>
      <c r="X2371" s="459"/>
      <c r="Y2371" s="462">
        <f t="shared" si="17"/>
        <v>0</v>
      </c>
      <c r="Z2371" s="463"/>
      <c r="AA2371" s="464"/>
      <c r="AB2371" s="465"/>
      <c r="AC2371" s="465"/>
      <c r="AD2371" s="465"/>
      <c r="AE2371" s="466"/>
      <c r="AF2371" s="449"/>
      <c r="AG2371" s="449"/>
      <c r="AH2371" s="449"/>
    </row>
    <row r="2372" ht="11.25" customHeight="1">
      <c r="A2372" s="450"/>
      <c r="B2372" s="451"/>
      <c r="C2372" s="452"/>
      <c r="D2372" s="452"/>
      <c r="E2372" s="453"/>
      <c r="F2372" s="453"/>
      <c r="G2372" s="454"/>
      <c r="H2372" s="454"/>
      <c r="I2372" s="455"/>
      <c r="J2372" s="456"/>
      <c r="K2372" s="467" t="s">
        <v>1417</v>
      </c>
      <c r="L2372" s="468"/>
      <c r="M2372" s="469"/>
      <c r="N2372" s="470"/>
      <c r="O2372" s="470"/>
      <c r="P2372" s="471"/>
      <c r="Q2372" s="468"/>
      <c r="R2372" s="469"/>
      <c r="S2372" s="469"/>
      <c r="T2372" s="469"/>
      <c r="U2372" s="469"/>
      <c r="V2372" s="469"/>
      <c r="W2372" s="469"/>
      <c r="X2372" s="469"/>
      <c r="Y2372" s="462">
        <f t="shared" si="17"/>
        <v>0</v>
      </c>
      <c r="Z2372" s="463"/>
      <c r="AA2372" s="464"/>
      <c r="AB2372" s="465"/>
      <c r="AC2372" s="465"/>
      <c r="AD2372" s="465"/>
      <c r="AE2372" s="466"/>
      <c r="AF2372" s="449"/>
      <c r="AG2372" s="449"/>
      <c r="AH2372" s="449"/>
    </row>
    <row r="2373" ht="11.25" customHeight="1">
      <c r="A2373" s="450"/>
      <c r="B2373" s="472"/>
      <c r="C2373" s="473"/>
      <c r="D2373" s="473"/>
      <c r="E2373" s="474"/>
      <c r="F2373" s="474"/>
      <c r="G2373" s="475"/>
      <c r="H2373" s="475"/>
      <c r="I2373" s="476"/>
      <c r="J2373" s="477"/>
      <c r="K2373" s="478" t="s">
        <v>1418</v>
      </c>
      <c r="L2373" s="479"/>
      <c r="M2373" s="480"/>
      <c r="N2373" s="481"/>
      <c r="O2373" s="481"/>
      <c r="P2373" s="482"/>
      <c r="Q2373" s="479"/>
      <c r="R2373" s="480"/>
      <c r="S2373" s="480"/>
      <c r="T2373" s="480"/>
      <c r="U2373" s="480"/>
      <c r="V2373" s="480"/>
      <c r="W2373" s="480"/>
      <c r="X2373" s="480"/>
      <c r="Y2373" s="483">
        <f t="shared" si="17"/>
        <v>0</v>
      </c>
      <c r="Z2373" s="484"/>
      <c r="AA2373" s="485"/>
      <c r="AB2373" s="486"/>
      <c r="AC2373" s="486"/>
      <c r="AD2373" s="486"/>
      <c r="AE2373" s="487"/>
      <c r="AF2373" s="449"/>
      <c r="AG2373" s="449"/>
      <c r="AH2373" s="449"/>
    </row>
    <row r="2374" ht="11.25" customHeight="1">
      <c r="A2374" s="431" t="str">
        <f>IF(B2374="","", YEAR(B2374))</f>
        <v/>
      </c>
      <c r="B2374" s="432"/>
      <c r="C2374" s="433"/>
      <c r="D2374" s="433"/>
      <c r="E2374" s="434" t="str">
        <f t="shared" ref="E2374:I2374" si="1194">IFERROR(AVERAGE(L2374:L2377),"")</f>
        <v/>
      </c>
      <c r="F2374" s="434" t="str">
        <f t="shared" si="1194"/>
        <v/>
      </c>
      <c r="G2374" s="435" t="str">
        <f t="shared" si="1194"/>
        <v/>
      </c>
      <c r="H2374" s="435" t="str">
        <f t="shared" si="1194"/>
        <v/>
      </c>
      <c r="I2374" s="436" t="str">
        <f t="shared" si="1194"/>
        <v/>
      </c>
      <c r="J2374" s="437">
        <f>SUMIFS(PRODUCTION[KG],PRODUCTION[GRADE],"3X50",PRODUCTION[DATE],B2374,PRODUCTION[BATCH],C2374,PRODUCTION[SHIFT],D2374)</f>
        <v>0</v>
      </c>
      <c r="K2374" s="438" t="s">
        <v>1414</v>
      </c>
      <c r="L2374" s="443"/>
      <c r="M2374" s="440"/>
      <c r="N2374" s="441"/>
      <c r="O2374" s="441"/>
      <c r="P2374" s="442"/>
      <c r="Q2374" s="443"/>
      <c r="R2374" s="440"/>
      <c r="S2374" s="440"/>
      <c r="T2374" s="440"/>
      <c r="U2374" s="440"/>
      <c r="V2374" s="440"/>
      <c r="W2374" s="440"/>
      <c r="X2374" s="440"/>
      <c r="Y2374" s="444">
        <f t="shared" si="17"/>
        <v>0</v>
      </c>
      <c r="Z2374" s="445"/>
      <c r="AA2374" s="446">
        <f t="shared" ref="AA2374:AE2374" si="1195">$J2374*E2374</f>
        <v>0</v>
      </c>
      <c r="AB2374" s="447">
        <f t="shared" si="1195"/>
        <v>0</v>
      </c>
      <c r="AC2374" s="447">
        <f t="shared" si="1195"/>
        <v>0</v>
      </c>
      <c r="AD2374" s="447">
        <f t="shared" si="1195"/>
        <v>0</v>
      </c>
      <c r="AE2374" s="448">
        <f t="shared" si="1195"/>
        <v>0</v>
      </c>
      <c r="AF2374" s="449"/>
      <c r="AG2374" s="449"/>
      <c r="AH2374" s="449"/>
    </row>
    <row r="2375" ht="11.25" customHeight="1">
      <c r="A2375" s="450"/>
      <c r="B2375" s="451"/>
      <c r="C2375" s="452"/>
      <c r="D2375" s="452"/>
      <c r="E2375" s="453"/>
      <c r="F2375" s="453"/>
      <c r="G2375" s="454"/>
      <c r="H2375" s="454"/>
      <c r="I2375" s="455"/>
      <c r="J2375" s="456"/>
      <c r="K2375" s="457" t="s">
        <v>1416</v>
      </c>
      <c r="L2375" s="458"/>
      <c r="M2375" s="459"/>
      <c r="N2375" s="460"/>
      <c r="O2375" s="460"/>
      <c r="P2375" s="461"/>
      <c r="Q2375" s="458"/>
      <c r="R2375" s="459"/>
      <c r="S2375" s="459"/>
      <c r="T2375" s="459"/>
      <c r="U2375" s="459"/>
      <c r="V2375" s="459"/>
      <c r="W2375" s="459"/>
      <c r="X2375" s="459"/>
      <c r="Y2375" s="462">
        <f t="shared" si="17"/>
        <v>0</v>
      </c>
      <c r="Z2375" s="463"/>
      <c r="AA2375" s="464"/>
      <c r="AB2375" s="465"/>
      <c r="AC2375" s="465"/>
      <c r="AD2375" s="465"/>
      <c r="AE2375" s="466"/>
      <c r="AF2375" s="449"/>
      <c r="AG2375" s="449"/>
      <c r="AH2375" s="449"/>
    </row>
    <row r="2376" ht="11.25" customHeight="1">
      <c r="A2376" s="450"/>
      <c r="B2376" s="451"/>
      <c r="C2376" s="452"/>
      <c r="D2376" s="452"/>
      <c r="E2376" s="453"/>
      <c r="F2376" s="453"/>
      <c r="G2376" s="454"/>
      <c r="H2376" s="454"/>
      <c r="I2376" s="455"/>
      <c r="J2376" s="456"/>
      <c r="K2376" s="467" t="s">
        <v>1417</v>
      </c>
      <c r="L2376" s="468"/>
      <c r="M2376" s="469"/>
      <c r="N2376" s="470"/>
      <c r="O2376" s="470"/>
      <c r="P2376" s="471"/>
      <c r="Q2376" s="468"/>
      <c r="R2376" s="469"/>
      <c r="S2376" s="469"/>
      <c r="T2376" s="469"/>
      <c r="U2376" s="469"/>
      <c r="V2376" s="469"/>
      <c r="W2376" s="469"/>
      <c r="X2376" s="469"/>
      <c r="Y2376" s="462">
        <f t="shared" si="17"/>
        <v>0</v>
      </c>
      <c r="Z2376" s="463"/>
      <c r="AA2376" s="464"/>
      <c r="AB2376" s="465"/>
      <c r="AC2376" s="465"/>
      <c r="AD2376" s="465"/>
      <c r="AE2376" s="466"/>
      <c r="AF2376" s="449"/>
      <c r="AG2376" s="449"/>
      <c r="AH2376" s="449"/>
    </row>
    <row r="2377" ht="11.25" customHeight="1">
      <c r="A2377" s="450"/>
      <c r="B2377" s="472"/>
      <c r="C2377" s="473"/>
      <c r="D2377" s="473"/>
      <c r="E2377" s="474"/>
      <c r="F2377" s="474"/>
      <c r="G2377" s="475"/>
      <c r="H2377" s="475"/>
      <c r="I2377" s="476"/>
      <c r="J2377" s="477"/>
      <c r="K2377" s="478" t="s">
        <v>1418</v>
      </c>
      <c r="L2377" s="479"/>
      <c r="M2377" s="480"/>
      <c r="N2377" s="481"/>
      <c r="O2377" s="481"/>
      <c r="P2377" s="482"/>
      <c r="Q2377" s="479"/>
      <c r="R2377" s="480"/>
      <c r="S2377" s="480"/>
      <c r="T2377" s="480"/>
      <c r="U2377" s="480"/>
      <c r="V2377" s="480"/>
      <c r="W2377" s="480"/>
      <c r="X2377" s="480"/>
      <c r="Y2377" s="483">
        <f t="shared" si="17"/>
        <v>0</v>
      </c>
      <c r="Z2377" s="484"/>
      <c r="AA2377" s="485"/>
      <c r="AB2377" s="486"/>
      <c r="AC2377" s="486"/>
      <c r="AD2377" s="486"/>
      <c r="AE2377" s="487"/>
      <c r="AF2377" s="449"/>
      <c r="AG2377" s="449"/>
      <c r="AH2377" s="449"/>
    </row>
    <row r="2378" ht="11.25" customHeight="1">
      <c r="A2378" s="431" t="str">
        <f>IF(B2378="","", YEAR(B2378))</f>
        <v/>
      </c>
      <c r="B2378" s="432"/>
      <c r="C2378" s="433"/>
      <c r="D2378" s="433"/>
      <c r="E2378" s="434" t="str">
        <f t="shared" ref="E2378:I2378" si="1196">IFERROR(AVERAGE(L2378:L2381),"")</f>
        <v/>
      </c>
      <c r="F2378" s="434" t="str">
        <f t="shared" si="1196"/>
        <v/>
      </c>
      <c r="G2378" s="435" t="str">
        <f t="shared" si="1196"/>
        <v/>
      </c>
      <c r="H2378" s="435" t="str">
        <f t="shared" si="1196"/>
        <v/>
      </c>
      <c r="I2378" s="436" t="str">
        <f t="shared" si="1196"/>
        <v/>
      </c>
      <c r="J2378" s="437">
        <f>SUMIFS(PRODUCTION[KG],PRODUCTION[GRADE],"3X50",PRODUCTION[DATE],B2378,PRODUCTION[BATCH],C2378,PRODUCTION[SHIFT],D2378)</f>
        <v>0</v>
      </c>
      <c r="K2378" s="438" t="s">
        <v>1414</v>
      </c>
      <c r="L2378" s="443"/>
      <c r="M2378" s="440"/>
      <c r="N2378" s="441"/>
      <c r="O2378" s="441"/>
      <c r="P2378" s="442"/>
      <c r="Q2378" s="443"/>
      <c r="R2378" s="440"/>
      <c r="S2378" s="440"/>
      <c r="T2378" s="440"/>
      <c r="U2378" s="440"/>
      <c r="V2378" s="440"/>
      <c r="W2378" s="440"/>
      <c r="X2378" s="440"/>
      <c r="Y2378" s="444">
        <f t="shared" si="17"/>
        <v>0</v>
      </c>
      <c r="Z2378" s="445"/>
      <c r="AA2378" s="446">
        <f t="shared" ref="AA2378:AE2378" si="1197">$J2378*E2378</f>
        <v>0</v>
      </c>
      <c r="AB2378" s="447">
        <f t="shared" si="1197"/>
        <v>0</v>
      </c>
      <c r="AC2378" s="447">
        <f t="shared" si="1197"/>
        <v>0</v>
      </c>
      <c r="AD2378" s="447">
        <f t="shared" si="1197"/>
        <v>0</v>
      </c>
      <c r="AE2378" s="448">
        <f t="shared" si="1197"/>
        <v>0</v>
      </c>
      <c r="AF2378" s="449"/>
      <c r="AG2378" s="449"/>
      <c r="AH2378" s="449"/>
    </row>
    <row r="2379" ht="11.25" customHeight="1">
      <c r="A2379" s="450"/>
      <c r="B2379" s="451"/>
      <c r="C2379" s="452"/>
      <c r="D2379" s="452"/>
      <c r="E2379" s="453"/>
      <c r="F2379" s="453"/>
      <c r="G2379" s="454"/>
      <c r="H2379" s="454"/>
      <c r="I2379" s="455"/>
      <c r="J2379" s="456"/>
      <c r="K2379" s="457" t="s">
        <v>1416</v>
      </c>
      <c r="L2379" s="458"/>
      <c r="M2379" s="459"/>
      <c r="N2379" s="460"/>
      <c r="O2379" s="460"/>
      <c r="P2379" s="461"/>
      <c r="Q2379" s="458"/>
      <c r="R2379" s="459"/>
      <c r="S2379" s="459"/>
      <c r="T2379" s="459"/>
      <c r="U2379" s="459"/>
      <c r="V2379" s="459"/>
      <c r="W2379" s="459"/>
      <c r="X2379" s="459"/>
      <c r="Y2379" s="462">
        <f t="shared" si="17"/>
        <v>0</v>
      </c>
      <c r="Z2379" s="463"/>
      <c r="AA2379" s="464"/>
      <c r="AB2379" s="465"/>
      <c r="AC2379" s="465"/>
      <c r="AD2379" s="465"/>
      <c r="AE2379" s="466"/>
      <c r="AF2379" s="449"/>
      <c r="AG2379" s="449"/>
      <c r="AH2379" s="449"/>
    </row>
    <row r="2380" ht="11.25" customHeight="1">
      <c r="A2380" s="450"/>
      <c r="B2380" s="451"/>
      <c r="C2380" s="452"/>
      <c r="D2380" s="452"/>
      <c r="E2380" s="453"/>
      <c r="F2380" s="453"/>
      <c r="G2380" s="454"/>
      <c r="H2380" s="454"/>
      <c r="I2380" s="455"/>
      <c r="J2380" s="456"/>
      <c r="K2380" s="467" t="s">
        <v>1417</v>
      </c>
      <c r="L2380" s="468"/>
      <c r="M2380" s="469"/>
      <c r="N2380" s="470"/>
      <c r="O2380" s="470"/>
      <c r="P2380" s="471"/>
      <c r="Q2380" s="468"/>
      <c r="R2380" s="469"/>
      <c r="S2380" s="469"/>
      <c r="T2380" s="469"/>
      <c r="U2380" s="469"/>
      <c r="V2380" s="469"/>
      <c r="W2380" s="469"/>
      <c r="X2380" s="469"/>
      <c r="Y2380" s="462">
        <f t="shared" si="17"/>
        <v>0</v>
      </c>
      <c r="Z2380" s="463"/>
      <c r="AA2380" s="464"/>
      <c r="AB2380" s="465"/>
      <c r="AC2380" s="465"/>
      <c r="AD2380" s="465"/>
      <c r="AE2380" s="466"/>
      <c r="AF2380" s="449"/>
      <c r="AG2380" s="449"/>
      <c r="AH2380" s="449"/>
    </row>
    <row r="2381" ht="11.25" customHeight="1">
      <c r="A2381" s="450"/>
      <c r="B2381" s="472"/>
      <c r="C2381" s="473"/>
      <c r="D2381" s="473"/>
      <c r="E2381" s="474"/>
      <c r="F2381" s="474"/>
      <c r="G2381" s="475"/>
      <c r="H2381" s="475"/>
      <c r="I2381" s="476"/>
      <c r="J2381" s="477"/>
      <c r="K2381" s="478" t="s">
        <v>1418</v>
      </c>
      <c r="L2381" s="479"/>
      <c r="M2381" s="480"/>
      <c r="N2381" s="481"/>
      <c r="O2381" s="481"/>
      <c r="P2381" s="482"/>
      <c r="Q2381" s="479"/>
      <c r="R2381" s="480"/>
      <c r="S2381" s="480"/>
      <c r="T2381" s="480"/>
      <c r="U2381" s="480"/>
      <c r="V2381" s="480"/>
      <c r="W2381" s="480"/>
      <c r="X2381" s="480"/>
      <c r="Y2381" s="483">
        <f t="shared" si="17"/>
        <v>0</v>
      </c>
      <c r="Z2381" s="484"/>
      <c r="AA2381" s="485"/>
      <c r="AB2381" s="486"/>
      <c r="AC2381" s="486"/>
      <c r="AD2381" s="486"/>
      <c r="AE2381" s="487"/>
      <c r="AF2381" s="449"/>
      <c r="AG2381" s="449"/>
      <c r="AH2381" s="449"/>
    </row>
    <row r="2382" ht="11.25" customHeight="1">
      <c r="A2382" s="431" t="str">
        <f>IF(B2382="","", YEAR(B2382))</f>
        <v/>
      </c>
      <c r="B2382" s="432"/>
      <c r="C2382" s="433"/>
      <c r="D2382" s="433"/>
      <c r="E2382" s="434" t="str">
        <f t="shared" ref="E2382:I2382" si="1198">IFERROR(AVERAGE(L2382:L2385),"")</f>
        <v/>
      </c>
      <c r="F2382" s="434" t="str">
        <f t="shared" si="1198"/>
        <v/>
      </c>
      <c r="G2382" s="435" t="str">
        <f t="shared" si="1198"/>
        <v/>
      </c>
      <c r="H2382" s="435" t="str">
        <f t="shared" si="1198"/>
        <v/>
      </c>
      <c r="I2382" s="436" t="str">
        <f t="shared" si="1198"/>
        <v/>
      </c>
      <c r="J2382" s="437">
        <f>SUMIFS(PRODUCTION[KG],PRODUCTION[GRADE],"3X50",PRODUCTION[DATE],B2382,PRODUCTION[BATCH],C2382,PRODUCTION[SHIFT],D2382)</f>
        <v>0</v>
      </c>
      <c r="K2382" s="438" t="s">
        <v>1414</v>
      </c>
      <c r="L2382" s="443"/>
      <c r="M2382" s="440"/>
      <c r="N2382" s="441"/>
      <c r="O2382" s="441"/>
      <c r="P2382" s="442"/>
      <c r="Q2382" s="443"/>
      <c r="R2382" s="440"/>
      <c r="S2382" s="440"/>
      <c r="T2382" s="440"/>
      <c r="U2382" s="440"/>
      <c r="V2382" s="440"/>
      <c r="W2382" s="440"/>
      <c r="X2382" s="440"/>
      <c r="Y2382" s="444">
        <f t="shared" si="17"/>
        <v>0</v>
      </c>
      <c r="Z2382" s="445"/>
      <c r="AA2382" s="446">
        <f t="shared" ref="AA2382:AE2382" si="1199">$J2382*E2382</f>
        <v>0</v>
      </c>
      <c r="AB2382" s="447">
        <f t="shared" si="1199"/>
        <v>0</v>
      </c>
      <c r="AC2382" s="447">
        <f t="shared" si="1199"/>
        <v>0</v>
      </c>
      <c r="AD2382" s="447">
        <f t="shared" si="1199"/>
        <v>0</v>
      </c>
      <c r="AE2382" s="448">
        <f t="shared" si="1199"/>
        <v>0</v>
      </c>
      <c r="AF2382" s="449"/>
      <c r="AG2382" s="449"/>
      <c r="AH2382" s="449"/>
    </row>
    <row r="2383" ht="11.25" customHeight="1">
      <c r="A2383" s="450"/>
      <c r="B2383" s="451"/>
      <c r="C2383" s="452"/>
      <c r="D2383" s="452"/>
      <c r="E2383" s="453"/>
      <c r="F2383" s="453"/>
      <c r="G2383" s="454"/>
      <c r="H2383" s="454"/>
      <c r="I2383" s="455"/>
      <c r="J2383" s="456"/>
      <c r="K2383" s="457" t="s">
        <v>1416</v>
      </c>
      <c r="L2383" s="458"/>
      <c r="M2383" s="459"/>
      <c r="N2383" s="460"/>
      <c r="O2383" s="460"/>
      <c r="P2383" s="461"/>
      <c r="Q2383" s="458"/>
      <c r="R2383" s="459"/>
      <c r="S2383" s="459"/>
      <c r="T2383" s="459"/>
      <c r="U2383" s="459"/>
      <c r="V2383" s="459"/>
      <c r="W2383" s="459"/>
      <c r="X2383" s="459"/>
      <c r="Y2383" s="462">
        <f t="shared" si="17"/>
        <v>0</v>
      </c>
      <c r="Z2383" s="463"/>
      <c r="AA2383" s="464"/>
      <c r="AB2383" s="465"/>
      <c r="AC2383" s="465"/>
      <c r="AD2383" s="465"/>
      <c r="AE2383" s="466"/>
      <c r="AF2383" s="449"/>
      <c r="AG2383" s="449"/>
      <c r="AH2383" s="449"/>
    </row>
    <row r="2384" ht="11.25" customHeight="1">
      <c r="A2384" s="450"/>
      <c r="B2384" s="451"/>
      <c r="C2384" s="452"/>
      <c r="D2384" s="452"/>
      <c r="E2384" s="453"/>
      <c r="F2384" s="453"/>
      <c r="G2384" s="454"/>
      <c r="H2384" s="454"/>
      <c r="I2384" s="455"/>
      <c r="J2384" s="456"/>
      <c r="K2384" s="467" t="s">
        <v>1417</v>
      </c>
      <c r="L2384" s="468"/>
      <c r="M2384" s="469"/>
      <c r="N2384" s="470"/>
      <c r="O2384" s="470"/>
      <c r="P2384" s="471"/>
      <c r="Q2384" s="468"/>
      <c r="R2384" s="469"/>
      <c r="S2384" s="469"/>
      <c r="T2384" s="469"/>
      <c r="U2384" s="469"/>
      <c r="V2384" s="469"/>
      <c r="W2384" s="469"/>
      <c r="X2384" s="469"/>
      <c r="Y2384" s="462">
        <f t="shared" si="17"/>
        <v>0</v>
      </c>
      <c r="Z2384" s="463"/>
      <c r="AA2384" s="464"/>
      <c r="AB2384" s="465"/>
      <c r="AC2384" s="465"/>
      <c r="AD2384" s="465"/>
      <c r="AE2384" s="466"/>
      <c r="AF2384" s="449"/>
      <c r="AG2384" s="449"/>
      <c r="AH2384" s="449"/>
    </row>
    <row r="2385" ht="11.25" customHeight="1">
      <c r="A2385" s="450"/>
      <c r="B2385" s="472"/>
      <c r="C2385" s="473"/>
      <c r="D2385" s="473"/>
      <c r="E2385" s="474"/>
      <c r="F2385" s="474"/>
      <c r="G2385" s="475"/>
      <c r="H2385" s="475"/>
      <c r="I2385" s="476"/>
      <c r="J2385" s="477"/>
      <c r="K2385" s="478" t="s">
        <v>1418</v>
      </c>
      <c r="L2385" s="479"/>
      <c r="M2385" s="480"/>
      <c r="N2385" s="481"/>
      <c r="O2385" s="481"/>
      <c r="P2385" s="482"/>
      <c r="Q2385" s="479"/>
      <c r="R2385" s="480"/>
      <c r="S2385" s="480"/>
      <c r="T2385" s="480"/>
      <c r="U2385" s="480"/>
      <c r="V2385" s="480"/>
      <c r="W2385" s="480"/>
      <c r="X2385" s="480"/>
      <c r="Y2385" s="483">
        <f t="shared" si="17"/>
        <v>0</v>
      </c>
      <c r="Z2385" s="484"/>
      <c r="AA2385" s="485"/>
      <c r="AB2385" s="486"/>
      <c r="AC2385" s="486"/>
      <c r="AD2385" s="486"/>
      <c r="AE2385" s="487"/>
      <c r="AF2385" s="449"/>
      <c r="AG2385" s="449"/>
      <c r="AH2385" s="449"/>
    </row>
    <row r="2386" ht="11.25" customHeight="1">
      <c r="A2386" s="431" t="str">
        <f>IF(B2386="","", YEAR(B2386))</f>
        <v/>
      </c>
      <c r="B2386" s="432"/>
      <c r="C2386" s="433"/>
      <c r="D2386" s="433"/>
      <c r="E2386" s="434" t="str">
        <f t="shared" ref="E2386:I2386" si="1200">IFERROR(AVERAGE(L2386:L2389),"")</f>
        <v/>
      </c>
      <c r="F2386" s="434" t="str">
        <f t="shared" si="1200"/>
        <v/>
      </c>
      <c r="G2386" s="435" t="str">
        <f t="shared" si="1200"/>
        <v/>
      </c>
      <c r="H2386" s="435" t="str">
        <f t="shared" si="1200"/>
        <v/>
      </c>
      <c r="I2386" s="436" t="str">
        <f t="shared" si="1200"/>
        <v/>
      </c>
      <c r="J2386" s="437">
        <f>SUMIFS(PRODUCTION[KG],PRODUCTION[GRADE],"3X50",PRODUCTION[DATE],B2386,PRODUCTION[BATCH],C2386,PRODUCTION[SHIFT],D2386)</f>
        <v>0</v>
      </c>
      <c r="K2386" s="438" t="s">
        <v>1414</v>
      </c>
      <c r="L2386" s="443"/>
      <c r="M2386" s="440"/>
      <c r="N2386" s="441"/>
      <c r="O2386" s="441"/>
      <c r="P2386" s="442"/>
      <c r="Q2386" s="443"/>
      <c r="R2386" s="440"/>
      <c r="S2386" s="440"/>
      <c r="T2386" s="440"/>
      <c r="U2386" s="440"/>
      <c r="V2386" s="440"/>
      <c r="W2386" s="440"/>
      <c r="X2386" s="440"/>
      <c r="Y2386" s="444">
        <f t="shared" si="17"/>
        <v>0</v>
      </c>
      <c r="Z2386" s="445"/>
      <c r="AA2386" s="446">
        <f t="shared" ref="AA2386:AE2386" si="1201">$J2386*E2386</f>
        <v>0</v>
      </c>
      <c r="AB2386" s="447">
        <f t="shared" si="1201"/>
        <v>0</v>
      </c>
      <c r="AC2386" s="447">
        <f t="shared" si="1201"/>
        <v>0</v>
      </c>
      <c r="AD2386" s="447">
        <f t="shared" si="1201"/>
        <v>0</v>
      </c>
      <c r="AE2386" s="448">
        <f t="shared" si="1201"/>
        <v>0</v>
      </c>
      <c r="AF2386" s="449"/>
      <c r="AG2386" s="449"/>
      <c r="AH2386" s="449"/>
    </row>
    <row r="2387" ht="11.25" customHeight="1">
      <c r="A2387" s="450"/>
      <c r="B2387" s="451"/>
      <c r="C2387" s="452"/>
      <c r="D2387" s="452"/>
      <c r="E2387" s="453"/>
      <c r="F2387" s="453"/>
      <c r="G2387" s="454"/>
      <c r="H2387" s="454"/>
      <c r="I2387" s="455"/>
      <c r="J2387" s="456"/>
      <c r="K2387" s="457" t="s">
        <v>1416</v>
      </c>
      <c r="L2387" s="458"/>
      <c r="M2387" s="459"/>
      <c r="N2387" s="460"/>
      <c r="O2387" s="460"/>
      <c r="P2387" s="461"/>
      <c r="Q2387" s="458"/>
      <c r="R2387" s="459"/>
      <c r="S2387" s="459"/>
      <c r="T2387" s="459"/>
      <c r="U2387" s="459"/>
      <c r="V2387" s="459"/>
      <c r="W2387" s="459"/>
      <c r="X2387" s="459"/>
      <c r="Y2387" s="462">
        <f t="shared" si="17"/>
        <v>0</v>
      </c>
      <c r="Z2387" s="463"/>
      <c r="AA2387" s="464"/>
      <c r="AB2387" s="465"/>
      <c r="AC2387" s="465"/>
      <c r="AD2387" s="465"/>
      <c r="AE2387" s="466"/>
      <c r="AF2387" s="449"/>
      <c r="AG2387" s="449"/>
      <c r="AH2387" s="449"/>
    </row>
    <row r="2388" ht="11.25" customHeight="1">
      <c r="A2388" s="450"/>
      <c r="B2388" s="451"/>
      <c r="C2388" s="452"/>
      <c r="D2388" s="452"/>
      <c r="E2388" s="453"/>
      <c r="F2388" s="453"/>
      <c r="G2388" s="454"/>
      <c r="H2388" s="454"/>
      <c r="I2388" s="455"/>
      <c r="J2388" s="456"/>
      <c r="K2388" s="467" t="s">
        <v>1417</v>
      </c>
      <c r="L2388" s="468"/>
      <c r="M2388" s="469"/>
      <c r="N2388" s="470"/>
      <c r="O2388" s="470"/>
      <c r="P2388" s="471"/>
      <c r="Q2388" s="468"/>
      <c r="R2388" s="469"/>
      <c r="S2388" s="469"/>
      <c r="T2388" s="469"/>
      <c r="U2388" s="469"/>
      <c r="V2388" s="469"/>
      <c r="W2388" s="469"/>
      <c r="X2388" s="469"/>
      <c r="Y2388" s="462">
        <f t="shared" si="17"/>
        <v>0</v>
      </c>
      <c r="Z2388" s="463"/>
      <c r="AA2388" s="464"/>
      <c r="AB2388" s="465"/>
      <c r="AC2388" s="465"/>
      <c r="AD2388" s="465"/>
      <c r="AE2388" s="466"/>
      <c r="AF2388" s="449"/>
      <c r="AG2388" s="449"/>
      <c r="AH2388" s="449"/>
    </row>
    <row r="2389" ht="11.25" customHeight="1">
      <c r="A2389" s="450"/>
      <c r="B2389" s="472"/>
      <c r="C2389" s="473"/>
      <c r="D2389" s="473"/>
      <c r="E2389" s="474"/>
      <c r="F2389" s="474"/>
      <c r="G2389" s="475"/>
      <c r="H2389" s="475"/>
      <c r="I2389" s="476"/>
      <c r="J2389" s="477"/>
      <c r="K2389" s="478" t="s">
        <v>1418</v>
      </c>
      <c r="L2389" s="479"/>
      <c r="M2389" s="480"/>
      <c r="N2389" s="481"/>
      <c r="O2389" s="481"/>
      <c r="P2389" s="482"/>
      <c r="Q2389" s="479"/>
      <c r="R2389" s="480"/>
      <c r="S2389" s="480"/>
      <c r="T2389" s="480"/>
      <c r="U2389" s="480"/>
      <c r="V2389" s="480"/>
      <c r="W2389" s="480"/>
      <c r="X2389" s="480"/>
      <c r="Y2389" s="483">
        <f t="shared" si="17"/>
        <v>0</v>
      </c>
      <c r="Z2389" s="484"/>
      <c r="AA2389" s="485"/>
      <c r="AB2389" s="486"/>
      <c r="AC2389" s="486"/>
      <c r="AD2389" s="486"/>
      <c r="AE2389" s="487"/>
      <c r="AF2389" s="449"/>
      <c r="AG2389" s="449"/>
      <c r="AH2389" s="449"/>
    </row>
    <row r="2390" ht="11.25" customHeight="1">
      <c r="A2390" s="431" t="str">
        <f>IF(B2390="","", YEAR(B2390))</f>
        <v/>
      </c>
      <c r="B2390" s="432"/>
      <c r="C2390" s="433"/>
      <c r="D2390" s="433"/>
      <c r="E2390" s="434" t="str">
        <f t="shared" ref="E2390:I2390" si="1202">IFERROR(AVERAGE(L2390:L2393),"")</f>
        <v/>
      </c>
      <c r="F2390" s="434" t="str">
        <f t="shared" si="1202"/>
        <v/>
      </c>
      <c r="G2390" s="435" t="str">
        <f t="shared" si="1202"/>
        <v/>
      </c>
      <c r="H2390" s="435" t="str">
        <f t="shared" si="1202"/>
        <v/>
      </c>
      <c r="I2390" s="436" t="str">
        <f t="shared" si="1202"/>
        <v/>
      </c>
      <c r="J2390" s="437">
        <f>SUMIFS(PRODUCTION[KG],PRODUCTION[GRADE],"3X50",PRODUCTION[DATE],B2390,PRODUCTION[BATCH],C2390,PRODUCTION[SHIFT],D2390)</f>
        <v>0</v>
      </c>
      <c r="K2390" s="438" t="s">
        <v>1414</v>
      </c>
      <c r="L2390" s="443"/>
      <c r="M2390" s="440"/>
      <c r="N2390" s="441"/>
      <c r="O2390" s="441"/>
      <c r="P2390" s="442"/>
      <c r="Q2390" s="443"/>
      <c r="R2390" s="440"/>
      <c r="S2390" s="440"/>
      <c r="T2390" s="440"/>
      <c r="U2390" s="440"/>
      <c r="V2390" s="440"/>
      <c r="W2390" s="440"/>
      <c r="X2390" s="440"/>
      <c r="Y2390" s="444">
        <f t="shared" si="17"/>
        <v>0</v>
      </c>
      <c r="Z2390" s="445"/>
      <c r="AA2390" s="446">
        <f t="shared" ref="AA2390:AE2390" si="1203">$J2390*E2390</f>
        <v>0</v>
      </c>
      <c r="AB2390" s="447">
        <f t="shared" si="1203"/>
        <v>0</v>
      </c>
      <c r="AC2390" s="447">
        <f t="shared" si="1203"/>
        <v>0</v>
      </c>
      <c r="AD2390" s="447">
        <f t="shared" si="1203"/>
        <v>0</v>
      </c>
      <c r="AE2390" s="448">
        <f t="shared" si="1203"/>
        <v>0</v>
      </c>
      <c r="AF2390" s="449"/>
      <c r="AG2390" s="449"/>
      <c r="AH2390" s="449"/>
    </row>
    <row r="2391" ht="11.25" customHeight="1">
      <c r="A2391" s="450"/>
      <c r="B2391" s="451"/>
      <c r="C2391" s="452"/>
      <c r="D2391" s="452"/>
      <c r="E2391" s="453"/>
      <c r="F2391" s="453"/>
      <c r="G2391" s="454"/>
      <c r="H2391" s="454"/>
      <c r="I2391" s="455"/>
      <c r="J2391" s="456"/>
      <c r="K2391" s="457" t="s">
        <v>1416</v>
      </c>
      <c r="L2391" s="458"/>
      <c r="M2391" s="459"/>
      <c r="N2391" s="460"/>
      <c r="O2391" s="460"/>
      <c r="P2391" s="461"/>
      <c r="Q2391" s="458"/>
      <c r="R2391" s="459"/>
      <c r="S2391" s="459"/>
      <c r="T2391" s="459"/>
      <c r="U2391" s="459"/>
      <c r="V2391" s="459"/>
      <c r="W2391" s="459"/>
      <c r="X2391" s="459"/>
      <c r="Y2391" s="462">
        <f t="shared" si="17"/>
        <v>0</v>
      </c>
      <c r="Z2391" s="463"/>
      <c r="AA2391" s="464"/>
      <c r="AB2391" s="465"/>
      <c r="AC2391" s="465"/>
      <c r="AD2391" s="465"/>
      <c r="AE2391" s="466"/>
      <c r="AF2391" s="449"/>
      <c r="AG2391" s="449"/>
      <c r="AH2391" s="449"/>
    </row>
    <row r="2392" ht="11.25" customHeight="1">
      <c r="A2392" s="450"/>
      <c r="B2392" s="451"/>
      <c r="C2392" s="452"/>
      <c r="D2392" s="452"/>
      <c r="E2392" s="453"/>
      <c r="F2392" s="453"/>
      <c r="G2392" s="454"/>
      <c r="H2392" s="454"/>
      <c r="I2392" s="455"/>
      <c r="J2392" s="456"/>
      <c r="K2392" s="467" t="s">
        <v>1417</v>
      </c>
      <c r="L2392" s="468"/>
      <c r="M2392" s="469"/>
      <c r="N2392" s="470"/>
      <c r="O2392" s="470"/>
      <c r="P2392" s="471"/>
      <c r="Q2392" s="468"/>
      <c r="R2392" s="469"/>
      <c r="S2392" s="469"/>
      <c r="T2392" s="469"/>
      <c r="U2392" s="469"/>
      <c r="V2392" s="469"/>
      <c r="W2392" s="469"/>
      <c r="X2392" s="469"/>
      <c r="Y2392" s="462">
        <f t="shared" si="17"/>
        <v>0</v>
      </c>
      <c r="Z2392" s="463"/>
      <c r="AA2392" s="464"/>
      <c r="AB2392" s="465"/>
      <c r="AC2392" s="465"/>
      <c r="AD2392" s="465"/>
      <c r="AE2392" s="466"/>
      <c r="AF2392" s="449"/>
      <c r="AG2392" s="449"/>
      <c r="AH2392" s="449"/>
    </row>
    <row r="2393" ht="11.25" customHeight="1">
      <c r="A2393" s="450"/>
      <c r="B2393" s="472"/>
      <c r="C2393" s="473"/>
      <c r="D2393" s="473"/>
      <c r="E2393" s="474"/>
      <c r="F2393" s="474"/>
      <c r="G2393" s="475"/>
      <c r="H2393" s="475"/>
      <c r="I2393" s="476"/>
      <c r="J2393" s="477"/>
      <c r="K2393" s="478" t="s">
        <v>1418</v>
      </c>
      <c r="L2393" s="479"/>
      <c r="M2393" s="480"/>
      <c r="N2393" s="481"/>
      <c r="O2393" s="481"/>
      <c r="P2393" s="482"/>
      <c r="Q2393" s="479"/>
      <c r="R2393" s="480"/>
      <c r="S2393" s="480"/>
      <c r="T2393" s="480"/>
      <c r="U2393" s="480"/>
      <c r="V2393" s="480"/>
      <c r="W2393" s="480"/>
      <c r="X2393" s="480"/>
      <c r="Y2393" s="483">
        <f t="shared" si="17"/>
        <v>0</v>
      </c>
      <c r="Z2393" s="484"/>
      <c r="AA2393" s="485"/>
      <c r="AB2393" s="486"/>
      <c r="AC2393" s="486"/>
      <c r="AD2393" s="486"/>
      <c r="AE2393" s="487"/>
      <c r="AF2393" s="449"/>
      <c r="AG2393" s="449"/>
      <c r="AH2393" s="449"/>
    </row>
    <row r="2394" ht="11.25" customHeight="1">
      <c r="A2394" s="431" t="str">
        <f>IF(B2394="","", YEAR(B2394))</f>
        <v/>
      </c>
      <c r="B2394" s="432"/>
      <c r="C2394" s="433"/>
      <c r="D2394" s="433"/>
      <c r="E2394" s="434" t="str">
        <f t="shared" ref="E2394:I2394" si="1204">IFERROR(AVERAGE(L2394:L2397),"")</f>
        <v/>
      </c>
      <c r="F2394" s="434" t="str">
        <f t="shared" si="1204"/>
        <v/>
      </c>
      <c r="G2394" s="435" t="str">
        <f t="shared" si="1204"/>
        <v/>
      </c>
      <c r="H2394" s="435" t="str">
        <f t="shared" si="1204"/>
        <v/>
      </c>
      <c r="I2394" s="436" t="str">
        <f t="shared" si="1204"/>
        <v/>
      </c>
      <c r="J2394" s="437">
        <f>SUMIFS(PRODUCTION[KG],PRODUCTION[GRADE],"3X50",PRODUCTION[DATE],B2394,PRODUCTION[BATCH],C2394,PRODUCTION[SHIFT],D2394)</f>
        <v>0</v>
      </c>
      <c r="K2394" s="438" t="s">
        <v>1414</v>
      </c>
      <c r="L2394" s="443"/>
      <c r="M2394" s="440"/>
      <c r="N2394" s="441"/>
      <c r="O2394" s="441"/>
      <c r="P2394" s="442"/>
      <c r="Q2394" s="443"/>
      <c r="R2394" s="440"/>
      <c r="S2394" s="440"/>
      <c r="T2394" s="440"/>
      <c r="U2394" s="440"/>
      <c r="V2394" s="440"/>
      <c r="W2394" s="440"/>
      <c r="X2394" s="440"/>
      <c r="Y2394" s="444">
        <f t="shared" si="17"/>
        <v>0</v>
      </c>
      <c r="Z2394" s="445"/>
      <c r="AA2394" s="446">
        <f t="shared" ref="AA2394:AE2394" si="1205">$J2394*E2394</f>
        <v>0</v>
      </c>
      <c r="AB2394" s="447">
        <f t="shared" si="1205"/>
        <v>0</v>
      </c>
      <c r="AC2394" s="447">
        <f t="shared" si="1205"/>
        <v>0</v>
      </c>
      <c r="AD2394" s="447">
        <f t="shared" si="1205"/>
        <v>0</v>
      </c>
      <c r="AE2394" s="448">
        <f t="shared" si="1205"/>
        <v>0</v>
      </c>
      <c r="AF2394" s="449"/>
      <c r="AG2394" s="449"/>
      <c r="AH2394" s="449"/>
    </row>
    <row r="2395" ht="11.25" customHeight="1">
      <c r="A2395" s="450"/>
      <c r="B2395" s="451"/>
      <c r="C2395" s="452"/>
      <c r="D2395" s="452"/>
      <c r="E2395" s="453"/>
      <c r="F2395" s="453"/>
      <c r="G2395" s="454"/>
      <c r="H2395" s="454"/>
      <c r="I2395" s="455"/>
      <c r="J2395" s="456"/>
      <c r="K2395" s="457" t="s">
        <v>1416</v>
      </c>
      <c r="L2395" s="458"/>
      <c r="M2395" s="459"/>
      <c r="N2395" s="460"/>
      <c r="O2395" s="460"/>
      <c r="P2395" s="461"/>
      <c r="Q2395" s="458"/>
      <c r="R2395" s="459"/>
      <c r="S2395" s="459"/>
      <c r="T2395" s="459"/>
      <c r="U2395" s="459"/>
      <c r="V2395" s="459"/>
      <c r="W2395" s="459"/>
      <c r="X2395" s="459"/>
      <c r="Y2395" s="462">
        <f t="shared" si="17"/>
        <v>0</v>
      </c>
      <c r="Z2395" s="463"/>
      <c r="AA2395" s="464"/>
      <c r="AB2395" s="465"/>
      <c r="AC2395" s="465"/>
      <c r="AD2395" s="465"/>
      <c r="AE2395" s="466"/>
      <c r="AF2395" s="449"/>
      <c r="AG2395" s="449"/>
      <c r="AH2395" s="449"/>
    </row>
    <row r="2396" ht="11.25" customHeight="1">
      <c r="A2396" s="450"/>
      <c r="B2396" s="451"/>
      <c r="C2396" s="452"/>
      <c r="D2396" s="452"/>
      <c r="E2396" s="453"/>
      <c r="F2396" s="453"/>
      <c r="G2396" s="454"/>
      <c r="H2396" s="454"/>
      <c r="I2396" s="455"/>
      <c r="J2396" s="456"/>
      <c r="K2396" s="467" t="s">
        <v>1417</v>
      </c>
      <c r="L2396" s="468"/>
      <c r="M2396" s="469"/>
      <c r="N2396" s="470"/>
      <c r="O2396" s="470"/>
      <c r="P2396" s="471"/>
      <c r="Q2396" s="468"/>
      <c r="R2396" s="469"/>
      <c r="S2396" s="469"/>
      <c r="T2396" s="469"/>
      <c r="U2396" s="469"/>
      <c r="V2396" s="469"/>
      <c r="W2396" s="469"/>
      <c r="X2396" s="469"/>
      <c r="Y2396" s="462">
        <f t="shared" si="17"/>
        <v>0</v>
      </c>
      <c r="Z2396" s="463"/>
      <c r="AA2396" s="464"/>
      <c r="AB2396" s="465"/>
      <c r="AC2396" s="465"/>
      <c r="AD2396" s="465"/>
      <c r="AE2396" s="466"/>
      <c r="AF2396" s="449"/>
      <c r="AG2396" s="449"/>
      <c r="AH2396" s="449"/>
    </row>
    <row r="2397" ht="11.25" customHeight="1">
      <c r="A2397" s="450"/>
      <c r="B2397" s="472"/>
      <c r="C2397" s="473"/>
      <c r="D2397" s="473"/>
      <c r="E2397" s="474"/>
      <c r="F2397" s="474"/>
      <c r="G2397" s="475"/>
      <c r="H2397" s="475"/>
      <c r="I2397" s="476"/>
      <c r="J2397" s="477"/>
      <c r="K2397" s="478" t="s">
        <v>1418</v>
      </c>
      <c r="L2397" s="479"/>
      <c r="M2397" s="480"/>
      <c r="N2397" s="481"/>
      <c r="O2397" s="481"/>
      <c r="P2397" s="482"/>
      <c r="Q2397" s="479"/>
      <c r="R2397" s="480"/>
      <c r="S2397" s="480"/>
      <c r="T2397" s="480"/>
      <c r="U2397" s="480"/>
      <c r="V2397" s="480"/>
      <c r="W2397" s="480"/>
      <c r="X2397" s="480"/>
      <c r="Y2397" s="483">
        <f t="shared" si="17"/>
        <v>0</v>
      </c>
      <c r="Z2397" s="484"/>
      <c r="AA2397" s="485"/>
      <c r="AB2397" s="486"/>
      <c r="AC2397" s="486"/>
      <c r="AD2397" s="486"/>
      <c r="AE2397" s="487"/>
      <c r="AF2397" s="449"/>
      <c r="AG2397" s="449"/>
      <c r="AH2397" s="449"/>
    </row>
    <row r="2398" ht="11.25" customHeight="1">
      <c r="A2398" s="431" t="str">
        <f>IF(B2398="","", YEAR(B2398))</f>
        <v/>
      </c>
      <c r="B2398" s="432"/>
      <c r="C2398" s="433"/>
      <c r="D2398" s="433"/>
      <c r="E2398" s="434" t="str">
        <f t="shared" ref="E2398:I2398" si="1206">IFERROR(AVERAGE(L2398:L2401),"")</f>
        <v/>
      </c>
      <c r="F2398" s="434" t="str">
        <f t="shared" si="1206"/>
        <v/>
      </c>
      <c r="G2398" s="435" t="str">
        <f t="shared" si="1206"/>
        <v/>
      </c>
      <c r="H2398" s="435" t="str">
        <f t="shared" si="1206"/>
        <v/>
      </c>
      <c r="I2398" s="436" t="str">
        <f t="shared" si="1206"/>
        <v/>
      </c>
      <c r="J2398" s="437">
        <f>SUMIFS(PRODUCTION[KG],PRODUCTION[GRADE],"3X50",PRODUCTION[DATE],B2398,PRODUCTION[BATCH],C2398,PRODUCTION[SHIFT],D2398)</f>
        <v>0</v>
      </c>
      <c r="K2398" s="438" t="s">
        <v>1414</v>
      </c>
      <c r="L2398" s="443"/>
      <c r="M2398" s="440"/>
      <c r="N2398" s="441"/>
      <c r="O2398" s="441"/>
      <c r="P2398" s="442"/>
      <c r="Q2398" s="443"/>
      <c r="R2398" s="440"/>
      <c r="S2398" s="440"/>
      <c r="T2398" s="440"/>
      <c r="U2398" s="440"/>
      <c r="V2398" s="440"/>
      <c r="W2398" s="440"/>
      <c r="X2398" s="440"/>
      <c r="Y2398" s="444">
        <f t="shared" si="17"/>
        <v>0</v>
      </c>
      <c r="Z2398" s="445"/>
      <c r="AA2398" s="446">
        <f t="shared" ref="AA2398:AE2398" si="1207">$J2398*E2398</f>
        <v>0</v>
      </c>
      <c r="AB2398" s="447">
        <f t="shared" si="1207"/>
        <v>0</v>
      </c>
      <c r="AC2398" s="447">
        <f t="shared" si="1207"/>
        <v>0</v>
      </c>
      <c r="AD2398" s="447">
        <f t="shared" si="1207"/>
        <v>0</v>
      </c>
      <c r="AE2398" s="448">
        <f t="shared" si="1207"/>
        <v>0</v>
      </c>
      <c r="AF2398" s="449"/>
      <c r="AG2398" s="449"/>
      <c r="AH2398" s="449"/>
    </row>
    <row r="2399" ht="11.25" customHeight="1">
      <c r="A2399" s="450"/>
      <c r="B2399" s="451"/>
      <c r="C2399" s="452"/>
      <c r="D2399" s="452"/>
      <c r="E2399" s="453"/>
      <c r="F2399" s="453"/>
      <c r="G2399" s="454"/>
      <c r="H2399" s="454"/>
      <c r="I2399" s="455"/>
      <c r="J2399" s="456"/>
      <c r="K2399" s="457" t="s">
        <v>1416</v>
      </c>
      <c r="L2399" s="458"/>
      <c r="M2399" s="459"/>
      <c r="N2399" s="460"/>
      <c r="O2399" s="460"/>
      <c r="P2399" s="461"/>
      <c r="Q2399" s="458"/>
      <c r="R2399" s="459"/>
      <c r="S2399" s="459"/>
      <c r="T2399" s="459"/>
      <c r="U2399" s="459"/>
      <c r="V2399" s="459"/>
      <c r="W2399" s="459"/>
      <c r="X2399" s="459"/>
      <c r="Y2399" s="462">
        <f t="shared" si="17"/>
        <v>0</v>
      </c>
      <c r="Z2399" s="463"/>
      <c r="AA2399" s="464"/>
      <c r="AB2399" s="465"/>
      <c r="AC2399" s="465"/>
      <c r="AD2399" s="465"/>
      <c r="AE2399" s="466"/>
      <c r="AF2399" s="449"/>
      <c r="AG2399" s="449"/>
      <c r="AH2399" s="449"/>
    </row>
    <row r="2400" ht="11.25" customHeight="1">
      <c r="A2400" s="450"/>
      <c r="B2400" s="451"/>
      <c r="C2400" s="452"/>
      <c r="D2400" s="452"/>
      <c r="E2400" s="453"/>
      <c r="F2400" s="453"/>
      <c r="G2400" s="454"/>
      <c r="H2400" s="454"/>
      <c r="I2400" s="455"/>
      <c r="J2400" s="456"/>
      <c r="K2400" s="467" t="s">
        <v>1417</v>
      </c>
      <c r="L2400" s="468"/>
      <c r="M2400" s="469"/>
      <c r="N2400" s="470"/>
      <c r="O2400" s="470"/>
      <c r="P2400" s="471"/>
      <c r="Q2400" s="468"/>
      <c r="R2400" s="469"/>
      <c r="S2400" s="469"/>
      <c r="T2400" s="469"/>
      <c r="U2400" s="469"/>
      <c r="V2400" s="469"/>
      <c r="W2400" s="469"/>
      <c r="X2400" s="469"/>
      <c r="Y2400" s="462">
        <f t="shared" si="17"/>
        <v>0</v>
      </c>
      <c r="Z2400" s="463"/>
      <c r="AA2400" s="464"/>
      <c r="AB2400" s="465"/>
      <c r="AC2400" s="465"/>
      <c r="AD2400" s="465"/>
      <c r="AE2400" s="466"/>
      <c r="AF2400" s="449"/>
      <c r="AG2400" s="449"/>
      <c r="AH2400" s="449"/>
    </row>
    <row r="2401" ht="11.25" customHeight="1">
      <c r="A2401" s="450"/>
      <c r="B2401" s="472"/>
      <c r="C2401" s="473"/>
      <c r="D2401" s="473"/>
      <c r="E2401" s="474"/>
      <c r="F2401" s="474"/>
      <c r="G2401" s="475"/>
      <c r="H2401" s="475"/>
      <c r="I2401" s="476"/>
      <c r="J2401" s="477"/>
      <c r="K2401" s="478" t="s">
        <v>1418</v>
      </c>
      <c r="L2401" s="479"/>
      <c r="M2401" s="480"/>
      <c r="N2401" s="481"/>
      <c r="O2401" s="481"/>
      <c r="P2401" s="482"/>
      <c r="Q2401" s="479"/>
      <c r="R2401" s="480"/>
      <c r="S2401" s="480"/>
      <c r="T2401" s="480"/>
      <c r="U2401" s="480"/>
      <c r="V2401" s="480"/>
      <c r="W2401" s="480"/>
      <c r="X2401" s="480"/>
      <c r="Y2401" s="483">
        <f t="shared" si="17"/>
        <v>0</v>
      </c>
      <c r="Z2401" s="484"/>
      <c r="AA2401" s="485"/>
      <c r="AB2401" s="486"/>
      <c r="AC2401" s="486"/>
      <c r="AD2401" s="486"/>
      <c r="AE2401" s="487"/>
      <c r="AF2401" s="449"/>
      <c r="AG2401" s="449"/>
      <c r="AH2401" s="449"/>
    </row>
    <row r="2402" ht="11.25" customHeight="1">
      <c r="A2402" s="431" t="str">
        <f>IF(B2402="","", YEAR(B2402))</f>
        <v/>
      </c>
      <c r="B2402" s="432"/>
      <c r="C2402" s="433"/>
      <c r="D2402" s="433"/>
      <c r="E2402" s="434" t="str">
        <f t="shared" ref="E2402:I2402" si="1208">IFERROR(AVERAGE(L2402:L2405),"")</f>
        <v/>
      </c>
      <c r="F2402" s="434" t="str">
        <f t="shared" si="1208"/>
        <v/>
      </c>
      <c r="G2402" s="435" t="str">
        <f t="shared" si="1208"/>
        <v/>
      </c>
      <c r="H2402" s="435" t="str">
        <f t="shared" si="1208"/>
        <v/>
      </c>
      <c r="I2402" s="436" t="str">
        <f t="shared" si="1208"/>
        <v/>
      </c>
      <c r="J2402" s="437">
        <f>SUMIFS(PRODUCTION[KG],PRODUCTION[GRADE],"3X50",PRODUCTION[DATE],B2402,PRODUCTION[BATCH],C2402,PRODUCTION[SHIFT],D2402)</f>
        <v>0</v>
      </c>
      <c r="K2402" s="438" t="s">
        <v>1414</v>
      </c>
      <c r="L2402" s="443"/>
      <c r="M2402" s="440"/>
      <c r="N2402" s="441"/>
      <c r="O2402" s="441"/>
      <c r="P2402" s="442"/>
      <c r="Q2402" s="443"/>
      <c r="R2402" s="440"/>
      <c r="S2402" s="440"/>
      <c r="T2402" s="440"/>
      <c r="U2402" s="440"/>
      <c r="V2402" s="440"/>
      <c r="W2402" s="440"/>
      <c r="X2402" s="440"/>
      <c r="Y2402" s="444">
        <f t="shared" si="17"/>
        <v>0</v>
      </c>
      <c r="Z2402" s="445"/>
      <c r="AA2402" s="446">
        <f t="shared" ref="AA2402:AE2402" si="1209">$J2402*E2402</f>
        <v>0</v>
      </c>
      <c r="AB2402" s="447">
        <f t="shared" si="1209"/>
        <v>0</v>
      </c>
      <c r="AC2402" s="447">
        <f t="shared" si="1209"/>
        <v>0</v>
      </c>
      <c r="AD2402" s="447">
        <f t="shared" si="1209"/>
        <v>0</v>
      </c>
      <c r="AE2402" s="448">
        <f t="shared" si="1209"/>
        <v>0</v>
      </c>
      <c r="AF2402" s="449"/>
      <c r="AG2402" s="449"/>
      <c r="AH2402" s="449"/>
    </row>
    <row r="2403" ht="11.25" customHeight="1">
      <c r="A2403" s="450"/>
      <c r="B2403" s="451"/>
      <c r="C2403" s="452"/>
      <c r="D2403" s="452"/>
      <c r="E2403" s="453"/>
      <c r="F2403" s="453"/>
      <c r="G2403" s="454"/>
      <c r="H2403" s="454"/>
      <c r="I2403" s="455"/>
      <c r="J2403" s="456"/>
      <c r="K2403" s="457" t="s">
        <v>1416</v>
      </c>
      <c r="L2403" s="458"/>
      <c r="M2403" s="459"/>
      <c r="N2403" s="460"/>
      <c r="O2403" s="460"/>
      <c r="P2403" s="461"/>
      <c r="Q2403" s="458"/>
      <c r="R2403" s="459"/>
      <c r="S2403" s="459"/>
      <c r="T2403" s="459"/>
      <c r="U2403" s="459"/>
      <c r="V2403" s="459"/>
      <c r="W2403" s="459"/>
      <c r="X2403" s="459"/>
      <c r="Y2403" s="462">
        <f t="shared" si="17"/>
        <v>0</v>
      </c>
      <c r="Z2403" s="463"/>
      <c r="AA2403" s="464"/>
      <c r="AB2403" s="465"/>
      <c r="AC2403" s="465"/>
      <c r="AD2403" s="465"/>
      <c r="AE2403" s="466"/>
      <c r="AF2403" s="449"/>
      <c r="AG2403" s="449"/>
      <c r="AH2403" s="449"/>
    </row>
    <row r="2404" ht="11.25" customHeight="1">
      <c r="A2404" s="450"/>
      <c r="B2404" s="451"/>
      <c r="C2404" s="452"/>
      <c r="D2404" s="452"/>
      <c r="E2404" s="453"/>
      <c r="F2404" s="453"/>
      <c r="G2404" s="454"/>
      <c r="H2404" s="454"/>
      <c r="I2404" s="455"/>
      <c r="J2404" s="456"/>
      <c r="K2404" s="467" t="s">
        <v>1417</v>
      </c>
      <c r="L2404" s="468"/>
      <c r="M2404" s="469"/>
      <c r="N2404" s="470"/>
      <c r="O2404" s="470"/>
      <c r="P2404" s="471"/>
      <c r="Q2404" s="468"/>
      <c r="R2404" s="469"/>
      <c r="S2404" s="469"/>
      <c r="T2404" s="469"/>
      <c r="U2404" s="469"/>
      <c r="V2404" s="469"/>
      <c r="W2404" s="469"/>
      <c r="X2404" s="469"/>
      <c r="Y2404" s="462">
        <f t="shared" si="17"/>
        <v>0</v>
      </c>
      <c r="Z2404" s="463"/>
      <c r="AA2404" s="464"/>
      <c r="AB2404" s="465"/>
      <c r="AC2404" s="465"/>
      <c r="AD2404" s="465"/>
      <c r="AE2404" s="466"/>
      <c r="AF2404" s="449"/>
      <c r="AG2404" s="449"/>
      <c r="AH2404" s="449"/>
    </row>
    <row r="2405" ht="11.25" customHeight="1">
      <c r="A2405" s="450"/>
      <c r="B2405" s="472"/>
      <c r="C2405" s="473"/>
      <c r="D2405" s="473"/>
      <c r="E2405" s="474"/>
      <c r="F2405" s="474"/>
      <c r="G2405" s="475"/>
      <c r="H2405" s="475"/>
      <c r="I2405" s="476"/>
      <c r="J2405" s="477"/>
      <c r="K2405" s="478" t="s">
        <v>1418</v>
      </c>
      <c r="L2405" s="479"/>
      <c r="M2405" s="480"/>
      <c r="N2405" s="481"/>
      <c r="O2405" s="481"/>
      <c r="P2405" s="482"/>
      <c r="Q2405" s="479"/>
      <c r="R2405" s="480"/>
      <c r="S2405" s="480"/>
      <c r="T2405" s="480"/>
      <c r="U2405" s="480"/>
      <c r="V2405" s="480"/>
      <c r="W2405" s="480"/>
      <c r="X2405" s="480"/>
      <c r="Y2405" s="483">
        <f t="shared" si="17"/>
        <v>0</v>
      </c>
      <c r="Z2405" s="484"/>
      <c r="AA2405" s="485"/>
      <c r="AB2405" s="486"/>
      <c r="AC2405" s="486"/>
      <c r="AD2405" s="486"/>
      <c r="AE2405" s="487"/>
      <c r="AF2405" s="449"/>
      <c r="AG2405" s="449"/>
      <c r="AH2405" s="449"/>
    </row>
    <row r="2406" ht="11.25" customHeight="1">
      <c r="A2406" s="431" t="str">
        <f>IF(B2406="","", YEAR(B2406))</f>
        <v/>
      </c>
      <c r="B2406" s="432"/>
      <c r="C2406" s="433"/>
      <c r="D2406" s="433"/>
      <c r="E2406" s="434" t="str">
        <f t="shared" ref="E2406:I2406" si="1210">IFERROR(AVERAGE(L2406:L2409),"")</f>
        <v/>
      </c>
      <c r="F2406" s="434" t="str">
        <f t="shared" si="1210"/>
        <v/>
      </c>
      <c r="G2406" s="435" t="str">
        <f t="shared" si="1210"/>
        <v/>
      </c>
      <c r="H2406" s="435" t="str">
        <f t="shared" si="1210"/>
        <v/>
      </c>
      <c r="I2406" s="436" t="str">
        <f t="shared" si="1210"/>
        <v/>
      </c>
      <c r="J2406" s="437">
        <f>SUMIFS(PRODUCTION[KG],PRODUCTION[GRADE],"3X50",PRODUCTION[DATE],B2406,PRODUCTION[BATCH],C2406,PRODUCTION[SHIFT],D2406)</f>
        <v>0</v>
      </c>
      <c r="K2406" s="438" t="s">
        <v>1414</v>
      </c>
      <c r="L2406" s="443"/>
      <c r="M2406" s="440"/>
      <c r="N2406" s="441"/>
      <c r="O2406" s="441"/>
      <c r="P2406" s="442"/>
      <c r="Q2406" s="443"/>
      <c r="R2406" s="440"/>
      <c r="S2406" s="440"/>
      <c r="T2406" s="440"/>
      <c r="U2406" s="440"/>
      <c r="V2406" s="440"/>
      <c r="W2406" s="440"/>
      <c r="X2406" s="440"/>
      <c r="Y2406" s="444">
        <f t="shared" si="17"/>
        <v>0</v>
      </c>
      <c r="Z2406" s="445"/>
      <c r="AA2406" s="446">
        <f t="shared" ref="AA2406:AE2406" si="1211">$J2406*E2406</f>
        <v>0</v>
      </c>
      <c r="AB2406" s="447">
        <f t="shared" si="1211"/>
        <v>0</v>
      </c>
      <c r="AC2406" s="447">
        <f t="shared" si="1211"/>
        <v>0</v>
      </c>
      <c r="AD2406" s="447">
        <f t="shared" si="1211"/>
        <v>0</v>
      </c>
      <c r="AE2406" s="448">
        <f t="shared" si="1211"/>
        <v>0</v>
      </c>
      <c r="AF2406" s="449"/>
      <c r="AG2406" s="449"/>
      <c r="AH2406" s="449"/>
    </row>
    <row r="2407" ht="11.25" customHeight="1">
      <c r="A2407" s="450"/>
      <c r="B2407" s="451"/>
      <c r="C2407" s="452"/>
      <c r="D2407" s="452"/>
      <c r="E2407" s="453"/>
      <c r="F2407" s="453"/>
      <c r="G2407" s="454"/>
      <c r="H2407" s="454"/>
      <c r="I2407" s="455"/>
      <c r="J2407" s="456"/>
      <c r="K2407" s="457" t="s">
        <v>1416</v>
      </c>
      <c r="L2407" s="458"/>
      <c r="M2407" s="459"/>
      <c r="N2407" s="460"/>
      <c r="O2407" s="460"/>
      <c r="P2407" s="461"/>
      <c r="Q2407" s="458"/>
      <c r="R2407" s="459"/>
      <c r="S2407" s="459"/>
      <c r="T2407" s="459"/>
      <c r="U2407" s="459"/>
      <c r="V2407" s="459"/>
      <c r="W2407" s="459"/>
      <c r="X2407" s="459"/>
      <c r="Y2407" s="462">
        <f t="shared" si="17"/>
        <v>0</v>
      </c>
      <c r="Z2407" s="463"/>
      <c r="AA2407" s="464"/>
      <c r="AB2407" s="465"/>
      <c r="AC2407" s="465"/>
      <c r="AD2407" s="465"/>
      <c r="AE2407" s="466"/>
      <c r="AF2407" s="449"/>
      <c r="AG2407" s="449"/>
      <c r="AH2407" s="449"/>
    </row>
    <row r="2408" ht="11.25" customHeight="1">
      <c r="A2408" s="450"/>
      <c r="B2408" s="451"/>
      <c r="C2408" s="452"/>
      <c r="D2408" s="452"/>
      <c r="E2408" s="453"/>
      <c r="F2408" s="453"/>
      <c r="G2408" s="454"/>
      <c r="H2408" s="454"/>
      <c r="I2408" s="455"/>
      <c r="J2408" s="456"/>
      <c r="K2408" s="467" t="s">
        <v>1417</v>
      </c>
      <c r="L2408" s="468"/>
      <c r="M2408" s="469"/>
      <c r="N2408" s="470"/>
      <c r="O2408" s="470"/>
      <c r="P2408" s="471"/>
      <c r="Q2408" s="468"/>
      <c r="R2408" s="469"/>
      <c r="S2408" s="469"/>
      <c r="T2408" s="469"/>
      <c r="U2408" s="469"/>
      <c r="V2408" s="469"/>
      <c r="W2408" s="469"/>
      <c r="X2408" s="469"/>
      <c r="Y2408" s="462">
        <f t="shared" si="17"/>
        <v>0</v>
      </c>
      <c r="Z2408" s="463"/>
      <c r="AA2408" s="464"/>
      <c r="AB2408" s="465"/>
      <c r="AC2408" s="465"/>
      <c r="AD2408" s="465"/>
      <c r="AE2408" s="466"/>
      <c r="AF2408" s="449"/>
      <c r="AG2408" s="449"/>
      <c r="AH2408" s="449"/>
    </row>
    <row r="2409" ht="11.25" customHeight="1">
      <c r="A2409" s="450"/>
      <c r="B2409" s="472"/>
      <c r="C2409" s="473"/>
      <c r="D2409" s="473"/>
      <c r="E2409" s="474"/>
      <c r="F2409" s="474"/>
      <c r="G2409" s="475"/>
      <c r="H2409" s="475"/>
      <c r="I2409" s="476"/>
      <c r="J2409" s="477"/>
      <c r="K2409" s="478" t="s">
        <v>1418</v>
      </c>
      <c r="L2409" s="479"/>
      <c r="M2409" s="480"/>
      <c r="N2409" s="481"/>
      <c r="O2409" s="481"/>
      <c r="P2409" s="482"/>
      <c r="Q2409" s="479"/>
      <c r="R2409" s="480"/>
      <c r="S2409" s="480"/>
      <c r="T2409" s="480"/>
      <c r="U2409" s="480"/>
      <c r="V2409" s="480"/>
      <c r="W2409" s="480"/>
      <c r="X2409" s="480"/>
      <c r="Y2409" s="483">
        <f t="shared" si="17"/>
        <v>0</v>
      </c>
      <c r="Z2409" s="484"/>
      <c r="AA2409" s="485"/>
      <c r="AB2409" s="486"/>
      <c r="AC2409" s="486"/>
      <c r="AD2409" s="486"/>
      <c r="AE2409" s="487"/>
      <c r="AF2409" s="449"/>
      <c r="AG2409" s="449"/>
      <c r="AH2409" s="449"/>
    </row>
    <row r="2410" ht="11.25" customHeight="1">
      <c r="A2410" s="431" t="str">
        <f>IF(B2410="","", YEAR(B2410))</f>
        <v/>
      </c>
      <c r="B2410" s="432"/>
      <c r="C2410" s="433"/>
      <c r="D2410" s="433"/>
      <c r="E2410" s="434" t="str">
        <f t="shared" ref="E2410:I2410" si="1212">IFERROR(AVERAGE(L2410:L2413),"")</f>
        <v/>
      </c>
      <c r="F2410" s="434" t="str">
        <f t="shared" si="1212"/>
        <v/>
      </c>
      <c r="G2410" s="435" t="str">
        <f t="shared" si="1212"/>
        <v/>
      </c>
      <c r="H2410" s="435" t="str">
        <f t="shared" si="1212"/>
        <v/>
      </c>
      <c r="I2410" s="436" t="str">
        <f t="shared" si="1212"/>
        <v/>
      </c>
      <c r="J2410" s="437">
        <f>SUMIFS(PRODUCTION[KG],PRODUCTION[GRADE],"3X50",PRODUCTION[DATE],B2410,PRODUCTION[BATCH],C2410,PRODUCTION[SHIFT],D2410)</f>
        <v>0</v>
      </c>
      <c r="K2410" s="438" t="s">
        <v>1414</v>
      </c>
      <c r="L2410" s="443"/>
      <c r="M2410" s="440"/>
      <c r="N2410" s="441"/>
      <c r="O2410" s="441"/>
      <c r="P2410" s="442"/>
      <c r="Q2410" s="443"/>
      <c r="R2410" s="440"/>
      <c r="S2410" s="440"/>
      <c r="T2410" s="440"/>
      <c r="U2410" s="440"/>
      <c r="V2410" s="440"/>
      <c r="W2410" s="440"/>
      <c r="X2410" s="440"/>
      <c r="Y2410" s="444">
        <f t="shared" si="17"/>
        <v>0</v>
      </c>
      <c r="Z2410" s="445"/>
      <c r="AA2410" s="446">
        <f t="shared" ref="AA2410:AE2410" si="1213">$J2410*E2410</f>
        <v>0</v>
      </c>
      <c r="AB2410" s="447">
        <f t="shared" si="1213"/>
        <v>0</v>
      </c>
      <c r="AC2410" s="447">
        <f t="shared" si="1213"/>
        <v>0</v>
      </c>
      <c r="AD2410" s="447">
        <f t="shared" si="1213"/>
        <v>0</v>
      </c>
      <c r="AE2410" s="448">
        <f t="shared" si="1213"/>
        <v>0</v>
      </c>
      <c r="AF2410" s="449"/>
      <c r="AG2410" s="449"/>
      <c r="AH2410" s="449"/>
    </row>
    <row r="2411" ht="11.25" customHeight="1">
      <c r="A2411" s="450"/>
      <c r="B2411" s="451"/>
      <c r="C2411" s="452"/>
      <c r="D2411" s="452"/>
      <c r="E2411" s="453"/>
      <c r="F2411" s="453"/>
      <c r="G2411" s="454"/>
      <c r="H2411" s="454"/>
      <c r="I2411" s="455"/>
      <c r="J2411" s="456"/>
      <c r="K2411" s="457" t="s">
        <v>1416</v>
      </c>
      <c r="L2411" s="458"/>
      <c r="M2411" s="459"/>
      <c r="N2411" s="460"/>
      <c r="O2411" s="460"/>
      <c r="P2411" s="461"/>
      <c r="Q2411" s="458"/>
      <c r="R2411" s="459"/>
      <c r="S2411" s="459"/>
      <c r="T2411" s="459"/>
      <c r="U2411" s="459"/>
      <c r="V2411" s="459"/>
      <c r="W2411" s="459"/>
      <c r="X2411" s="459"/>
      <c r="Y2411" s="462">
        <f t="shared" si="17"/>
        <v>0</v>
      </c>
      <c r="Z2411" s="463"/>
      <c r="AA2411" s="464"/>
      <c r="AB2411" s="465"/>
      <c r="AC2411" s="465"/>
      <c r="AD2411" s="465"/>
      <c r="AE2411" s="466"/>
      <c r="AF2411" s="449"/>
      <c r="AG2411" s="449"/>
      <c r="AH2411" s="449"/>
    </row>
    <row r="2412" ht="11.25" customHeight="1">
      <c r="A2412" s="450"/>
      <c r="B2412" s="451"/>
      <c r="C2412" s="452"/>
      <c r="D2412" s="452"/>
      <c r="E2412" s="453"/>
      <c r="F2412" s="453"/>
      <c r="G2412" s="454"/>
      <c r="H2412" s="454"/>
      <c r="I2412" s="455"/>
      <c r="J2412" s="456"/>
      <c r="K2412" s="467" t="s">
        <v>1417</v>
      </c>
      <c r="L2412" s="468"/>
      <c r="M2412" s="469"/>
      <c r="N2412" s="470"/>
      <c r="O2412" s="470"/>
      <c r="P2412" s="471"/>
      <c r="Q2412" s="468"/>
      <c r="R2412" s="469"/>
      <c r="S2412" s="469"/>
      <c r="T2412" s="469"/>
      <c r="U2412" s="469"/>
      <c r="V2412" s="469"/>
      <c r="W2412" s="469"/>
      <c r="X2412" s="469"/>
      <c r="Y2412" s="462">
        <f t="shared" si="17"/>
        <v>0</v>
      </c>
      <c r="Z2412" s="463"/>
      <c r="AA2412" s="464"/>
      <c r="AB2412" s="465"/>
      <c r="AC2412" s="465"/>
      <c r="AD2412" s="465"/>
      <c r="AE2412" s="466"/>
      <c r="AF2412" s="449"/>
      <c r="AG2412" s="449"/>
      <c r="AH2412" s="449"/>
    </row>
    <row r="2413" ht="11.25" customHeight="1">
      <c r="A2413" s="450"/>
      <c r="B2413" s="472"/>
      <c r="C2413" s="473"/>
      <c r="D2413" s="473"/>
      <c r="E2413" s="474"/>
      <c r="F2413" s="474"/>
      <c r="G2413" s="475"/>
      <c r="H2413" s="475"/>
      <c r="I2413" s="476"/>
      <c r="J2413" s="477"/>
      <c r="K2413" s="478" t="s">
        <v>1418</v>
      </c>
      <c r="L2413" s="479"/>
      <c r="M2413" s="480"/>
      <c r="N2413" s="481"/>
      <c r="O2413" s="481"/>
      <c r="P2413" s="482"/>
      <c r="Q2413" s="479"/>
      <c r="R2413" s="480"/>
      <c r="S2413" s="480"/>
      <c r="T2413" s="480"/>
      <c r="U2413" s="480"/>
      <c r="V2413" s="480"/>
      <c r="W2413" s="480"/>
      <c r="X2413" s="480"/>
      <c r="Y2413" s="483">
        <f t="shared" si="17"/>
        <v>0</v>
      </c>
      <c r="Z2413" s="484"/>
      <c r="AA2413" s="485"/>
      <c r="AB2413" s="486"/>
      <c r="AC2413" s="486"/>
      <c r="AD2413" s="486"/>
      <c r="AE2413" s="487"/>
      <c r="AF2413" s="449"/>
      <c r="AG2413" s="449"/>
      <c r="AH2413" s="449"/>
    </row>
    <row r="2414" ht="11.25" customHeight="1">
      <c r="A2414" s="431" t="str">
        <f>IF(B2414="","", YEAR(B2414))</f>
        <v/>
      </c>
      <c r="B2414" s="432"/>
      <c r="C2414" s="433"/>
      <c r="D2414" s="433"/>
      <c r="E2414" s="434" t="str">
        <f t="shared" ref="E2414:I2414" si="1214">IFERROR(AVERAGE(L2414:L2417),"")</f>
        <v/>
      </c>
      <c r="F2414" s="434" t="str">
        <f t="shared" si="1214"/>
        <v/>
      </c>
      <c r="G2414" s="435" t="str">
        <f t="shared" si="1214"/>
        <v/>
      </c>
      <c r="H2414" s="435" t="str">
        <f t="shared" si="1214"/>
        <v/>
      </c>
      <c r="I2414" s="436" t="str">
        <f t="shared" si="1214"/>
        <v/>
      </c>
      <c r="J2414" s="437">
        <f>SUMIFS(PRODUCTION[KG],PRODUCTION[GRADE],"3X50",PRODUCTION[DATE],B2414,PRODUCTION[BATCH],C2414,PRODUCTION[SHIFT],D2414)</f>
        <v>0</v>
      </c>
      <c r="K2414" s="438" t="s">
        <v>1414</v>
      </c>
      <c r="L2414" s="443"/>
      <c r="M2414" s="440"/>
      <c r="N2414" s="441"/>
      <c r="O2414" s="441"/>
      <c r="P2414" s="442"/>
      <c r="Q2414" s="443"/>
      <c r="R2414" s="440"/>
      <c r="S2414" s="440"/>
      <c r="T2414" s="440"/>
      <c r="U2414" s="440"/>
      <c r="V2414" s="440"/>
      <c r="W2414" s="440"/>
      <c r="X2414" s="440"/>
      <c r="Y2414" s="444">
        <f t="shared" si="17"/>
        <v>0</v>
      </c>
      <c r="Z2414" s="445"/>
      <c r="AA2414" s="446">
        <f t="shared" ref="AA2414:AE2414" si="1215">$J2414*E2414</f>
        <v>0</v>
      </c>
      <c r="AB2414" s="447">
        <f t="shared" si="1215"/>
        <v>0</v>
      </c>
      <c r="AC2414" s="447">
        <f t="shared" si="1215"/>
        <v>0</v>
      </c>
      <c r="AD2414" s="447">
        <f t="shared" si="1215"/>
        <v>0</v>
      </c>
      <c r="AE2414" s="448">
        <f t="shared" si="1215"/>
        <v>0</v>
      </c>
      <c r="AF2414" s="449"/>
      <c r="AG2414" s="449"/>
      <c r="AH2414" s="449"/>
    </row>
    <row r="2415" ht="11.25" customHeight="1">
      <c r="A2415" s="450"/>
      <c r="B2415" s="451"/>
      <c r="C2415" s="452"/>
      <c r="D2415" s="452"/>
      <c r="E2415" s="453"/>
      <c r="F2415" s="453"/>
      <c r="G2415" s="454"/>
      <c r="H2415" s="454"/>
      <c r="I2415" s="455"/>
      <c r="J2415" s="456"/>
      <c r="K2415" s="457" t="s">
        <v>1416</v>
      </c>
      <c r="L2415" s="458"/>
      <c r="M2415" s="459"/>
      <c r="N2415" s="460"/>
      <c r="O2415" s="460"/>
      <c r="P2415" s="461"/>
      <c r="Q2415" s="458"/>
      <c r="R2415" s="459"/>
      <c r="S2415" s="459"/>
      <c r="T2415" s="459"/>
      <c r="U2415" s="459"/>
      <c r="V2415" s="459"/>
      <c r="W2415" s="459"/>
      <c r="X2415" s="459"/>
      <c r="Y2415" s="462">
        <f t="shared" si="17"/>
        <v>0</v>
      </c>
      <c r="Z2415" s="463"/>
      <c r="AA2415" s="464"/>
      <c r="AB2415" s="465"/>
      <c r="AC2415" s="465"/>
      <c r="AD2415" s="465"/>
      <c r="AE2415" s="466"/>
      <c r="AF2415" s="449"/>
      <c r="AG2415" s="449"/>
      <c r="AH2415" s="449"/>
    </row>
    <row r="2416" ht="11.25" customHeight="1">
      <c r="A2416" s="450"/>
      <c r="B2416" s="451"/>
      <c r="C2416" s="452"/>
      <c r="D2416" s="452"/>
      <c r="E2416" s="453"/>
      <c r="F2416" s="453"/>
      <c r="G2416" s="454"/>
      <c r="H2416" s="454"/>
      <c r="I2416" s="455"/>
      <c r="J2416" s="456"/>
      <c r="K2416" s="467" t="s">
        <v>1417</v>
      </c>
      <c r="L2416" s="468"/>
      <c r="M2416" s="469"/>
      <c r="N2416" s="470"/>
      <c r="O2416" s="470"/>
      <c r="P2416" s="471"/>
      <c r="Q2416" s="468"/>
      <c r="R2416" s="469"/>
      <c r="S2416" s="469"/>
      <c r="T2416" s="469"/>
      <c r="U2416" s="469"/>
      <c r="V2416" s="469"/>
      <c r="W2416" s="469"/>
      <c r="X2416" s="469"/>
      <c r="Y2416" s="462">
        <f t="shared" si="17"/>
        <v>0</v>
      </c>
      <c r="Z2416" s="463"/>
      <c r="AA2416" s="464"/>
      <c r="AB2416" s="465"/>
      <c r="AC2416" s="465"/>
      <c r="AD2416" s="465"/>
      <c r="AE2416" s="466"/>
      <c r="AF2416" s="449"/>
      <c r="AG2416" s="449"/>
      <c r="AH2416" s="449"/>
    </row>
    <row r="2417" ht="11.25" customHeight="1">
      <c r="A2417" s="450"/>
      <c r="B2417" s="472"/>
      <c r="C2417" s="473"/>
      <c r="D2417" s="473"/>
      <c r="E2417" s="474"/>
      <c r="F2417" s="474"/>
      <c r="G2417" s="475"/>
      <c r="H2417" s="475"/>
      <c r="I2417" s="476"/>
      <c r="J2417" s="477"/>
      <c r="K2417" s="478" t="s">
        <v>1418</v>
      </c>
      <c r="L2417" s="479"/>
      <c r="M2417" s="480"/>
      <c r="N2417" s="481"/>
      <c r="O2417" s="481"/>
      <c r="P2417" s="482"/>
      <c r="Q2417" s="479"/>
      <c r="R2417" s="480"/>
      <c r="S2417" s="480"/>
      <c r="T2417" s="480"/>
      <c r="U2417" s="480"/>
      <c r="V2417" s="480"/>
      <c r="W2417" s="480"/>
      <c r="X2417" s="480"/>
      <c r="Y2417" s="483">
        <f t="shared" si="17"/>
        <v>0</v>
      </c>
      <c r="Z2417" s="484"/>
      <c r="AA2417" s="485"/>
      <c r="AB2417" s="486"/>
      <c r="AC2417" s="486"/>
      <c r="AD2417" s="486"/>
      <c r="AE2417" s="487"/>
      <c r="AF2417" s="449"/>
      <c r="AG2417" s="449"/>
      <c r="AH2417" s="449"/>
    </row>
    <row r="2418" ht="11.25" customHeight="1">
      <c r="A2418" s="431" t="str">
        <f>IF(B2418="","", YEAR(B2418))</f>
        <v/>
      </c>
      <c r="B2418" s="432"/>
      <c r="C2418" s="433"/>
      <c r="D2418" s="433"/>
      <c r="E2418" s="434" t="str">
        <f t="shared" ref="E2418:I2418" si="1216">IFERROR(AVERAGE(L2418:L2421),"")</f>
        <v/>
      </c>
      <c r="F2418" s="434" t="str">
        <f t="shared" si="1216"/>
        <v/>
      </c>
      <c r="G2418" s="435" t="str">
        <f t="shared" si="1216"/>
        <v/>
      </c>
      <c r="H2418" s="435" t="str">
        <f t="shared" si="1216"/>
        <v/>
      </c>
      <c r="I2418" s="436" t="str">
        <f t="shared" si="1216"/>
        <v/>
      </c>
      <c r="J2418" s="437">
        <f>SUMIFS(PRODUCTION[KG],PRODUCTION[GRADE],"3X50",PRODUCTION[DATE],B2418,PRODUCTION[BATCH],C2418,PRODUCTION[SHIFT],D2418)</f>
        <v>0</v>
      </c>
      <c r="K2418" s="438" t="s">
        <v>1414</v>
      </c>
      <c r="L2418" s="443"/>
      <c r="M2418" s="440"/>
      <c r="N2418" s="441"/>
      <c r="O2418" s="441"/>
      <c r="P2418" s="442"/>
      <c r="Q2418" s="443"/>
      <c r="R2418" s="440"/>
      <c r="S2418" s="440"/>
      <c r="T2418" s="440"/>
      <c r="U2418" s="440"/>
      <c r="V2418" s="440"/>
      <c r="W2418" s="440"/>
      <c r="X2418" s="440"/>
      <c r="Y2418" s="444">
        <f t="shared" si="17"/>
        <v>0</v>
      </c>
      <c r="Z2418" s="445"/>
      <c r="AA2418" s="446">
        <f t="shared" ref="AA2418:AE2418" si="1217">$J2418*E2418</f>
        <v>0</v>
      </c>
      <c r="AB2418" s="447">
        <f t="shared" si="1217"/>
        <v>0</v>
      </c>
      <c r="AC2418" s="447">
        <f t="shared" si="1217"/>
        <v>0</v>
      </c>
      <c r="AD2418" s="447">
        <f t="shared" si="1217"/>
        <v>0</v>
      </c>
      <c r="AE2418" s="448">
        <f t="shared" si="1217"/>
        <v>0</v>
      </c>
      <c r="AF2418" s="449"/>
      <c r="AG2418" s="449"/>
      <c r="AH2418" s="449"/>
    </row>
    <row r="2419" ht="11.25" customHeight="1">
      <c r="A2419" s="450"/>
      <c r="B2419" s="451"/>
      <c r="C2419" s="452"/>
      <c r="D2419" s="452"/>
      <c r="E2419" s="453"/>
      <c r="F2419" s="453"/>
      <c r="G2419" s="454"/>
      <c r="H2419" s="454"/>
      <c r="I2419" s="455"/>
      <c r="J2419" s="456"/>
      <c r="K2419" s="457" t="s">
        <v>1416</v>
      </c>
      <c r="L2419" s="458"/>
      <c r="M2419" s="459"/>
      <c r="N2419" s="460"/>
      <c r="O2419" s="460"/>
      <c r="P2419" s="461"/>
      <c r="Q2419" s="458"/>
      <c r="R2419" s="459"/>
      <c r="S2419" s="459"/>
      <c r="T2419" s="459"/>
      <c r="U2419" s="459"/>
      <c r="V2419" s="459"/>
      <c r="W2419" s="459"/>
      <c r="X2419" s="459"/>
      <c r="Y2419" s="462">
        <f t="shared" si="17"/>
        <v>0</v>
      </c>
      <c r="Z2419" s="463"/>
      <c r="AA2419" s="464"/>
      <c r="AB2419" s="465"/>
      <c r="AC2419" s="465"/>
      <c r="AD2419" s="465"/>
      <c r="AE2419" s="466"/>
      <c r="AF2419" s="449"/>
      <c r="AG2419" s="449"/>
      <c r="AH2419" s="449"/>
    </row>
    <row r="2420" ht="11.25" customHeight="1">
      <c r="A2420" s="450"/>
      <c r="B2420" s="451"/>
      <c r="C2420" s="452"/>
      <c r="D2420" s="452"/>
      <c r="E2420" s="453"/>
      <c r="F2420" s="453"/>
      <c r="G2420" s="454"/>
      <c r="H2420" s="454"/>
      <c r="I2420" s="455"/>
      <c r="J2420" s="456"/>
      <c r="K2420" s="467" t="s">
        <v>1417</v>
      </c>
      <c r="L2420" s="468"/>
      <c r="M2420" s="469"/>
      <c r="N2420" s="470"/>
      <c r="O2420" s="470"/>
      <c r="P2420" s="471"/>
      <c r="Q2420" s="468"/>
      <c r="R2420" s="469"/>
      <c r="S2420" s="469"/>
      <c r="T2420" s="469"/>
      <c r="U2420" s="469"/>
      <c r="V2420" s="469"/>
      <c r="W2420" s="469"/>
      <c r="X2420" s="469"/>
      <c r="Y2420" s="462">
        <f t="shared" si="17"/>
        <v>0</v>
      </c>
      <c r="Z2420" s="463"/>
      <c r="AA2420" s="464"/>
      <c r="AB2420" s="465"/>
      <c r="AC2420" s="465"/>
      <c r="AD2420" s="465"/>
      <c r="AE2420" s="466"/>
      <c r="AF2420" s="449"/>
      <c r="AG2420" s="449"/>
      <c r="AH2420" s="449"/>
    </row>
    <row r="2421" ht="11.25" customHeight="1">
      <c r="A2421" s="450"/>
      <c r="B2421" s="472"/>
      <c r="C2421" s="473"/>
      <c r="D2421" s="473"/>
      <c r="E2421" s="474"/>
      <c r="F2421" s="474"/>
      <c r="G2421" s="475"/>
      <c r="H2421" s="475"/>
      <c r="I2421" s="476"/>
      <c r="J2421" s="477"/>
      <c r="K2421" s="478" t="s">
        <v>1418</v>
      </c>
      <c r="L2421" s="479"/>
      <c r="M2421" s="480"/>
      <c r="N2421" s="481"/>
      <c r="O2421" s="481"/>
      <c r="P2421" s="482"/>
      <c r="Q2421" s="479"/>
      <c r="R2421" s="480"/>
      <c r="S2421" s="480"/>
      <c r="T2421" s="480"/>
      <c r="U2421" s="480"/>
      <c r="V2421" s="480"/>
      <c r="W2421" s="480"/>
      <c r="X2421" s="480"/>
      <c r="Y2421" s="483">
        <f t="shared" si="17"/>
        <v>0</v>
      </c>
      <c r="Z2421" s="484"/>
      <c r="AA2421" s="485"/>
      <c r="AB2421" s="486"/>
      <c r="AC2421" s="486"/>
      <c r="AD2421" s="486"/>
      <c r="AE2421" s="487"/>
      <c r="AF2421" s="449"/>
      <c r="AG2421" s="449"/>
      <c r="AH2421" s="449"/>
    </row>
    <row r="2422" ht="11.25" customHeight="1">
      <c r="A2422" s="431" t="str">
        <f>IF(B2422="","", YEAR(B2422))</f>
        <v/>
      </c>
      <c r="B2422" s="432"/>
      <c r="C2422" s="433"/>
      <c r="D2422" s="433"/>
      <c r="E2422" s="434" t="str">
        <f t="shared" ref="E2422:I2422" si="1218">IFERROR(AVERAGE(L2422:L2425),"")</f>
        <v/>
      </c>
      <c r="F2422" s="434" t="str">
        <f t="shared" si="1218"/>
        <v/>
      </c>
      <c r="G2422" s="435" t="str">
        <f t="shared" si="1218"/>
        <v/>
      </c>
      <c r="H2422" s="435" t="str">
        <f t="shared" si="1218"/>
        <v/>
      </c>
      <c r="I2422" s="436" t="str">
        <f t="shared" si="1218"/>
        <v/>
      </c>
      <c r="J2422" s="437">
        <f>SUMIFS(PRODUCTION[KG],PRODUCTION[GRADE],"3X50",PRODUCTION[DATE],B2422,PRODUCTION[BATCH],C2422,PRODUCTION[SHIFT],D2422)</f>
        <v>0</v>
      </c>
      <c r="K2422" s="438" t="s">
        <v>1414</v>
      </c>
      <c r="L2422" s="443"/>
      <c r="M2422" s="440"/>
      <c r="N2422" s="441"/>
      <c r="O2422" s="441"/>
      <c r="P2422" s="442"/>
      <c r="Q2422" s="443"/>
      <c r="R2422" s="440"/>
      <c r="S2422" s="440"/>
      <c r="T2422" s="440"/>
      <c r="U2422" s="440"/>
      <c r="V2422" s="440"/>
      <c r="W2422" s="440"/>
      <c r="X2422" s="440"/>
      <c r="Y2422" s="444">
        <f t="shared" si="17"/>
        <v>0</v>
      </c>
      <c r="Z2422" s="445"/>
      <c r="AA2422" s="446">
        <f t="shared" ref="AA2422:AE2422" si="1219">$J2422*E2422</f>
        <v>0</v>
      </c>
      <c r="AB2422" s="447">
        <f t="shared" si="1219"/>
        <v>0</v>
      </c>
      <c r="AC2422" s="447">
        <f t="shared" si="1219"/>
        <v>0</v>
      </c>
      <c r="AD2422" s="447">
        <f t="shared" si="1219"/>
        <v>0</v>
      </c>
      <c r="AE2422" s="448">
        <f t="shared" si="1219"/>
        <v>0</v>
      </c>
      <c r="AF2422" s="449"/>
      <c r="AG2422" s="449"/>
      <c r="AH2422" s="449"/>
    </row>
    <row r="2423" ht="11.25" customHeight="1">
      <c r="A2423" s="450"/>
      <c r="B2423" s="451"/>
      <c r="C2423" s="452"/>
      <c r="D2423" s="452"/>
      <c r="E2423" s="453"/>
      <c r="F2423" s="453"/>
      <c r="G2423" s="454"/>
      <c r="H2423" s="454"/>
      <c r="I2423" s="455"/>
      <c r="J2423" s="456"/>
      <c r="K2423" s="457" t="s">
        <v>1416</v>
      </c>
      <c r="L2423" s="458"/>
      <c r="M2423" s="459"/>
      <c r="N2423" s="460"/>
      <c r="O2423" s="460"/>
      <c r="P2423" s="461"/>
      <c r="Q2423" s="458"/>
      <c r="R2423" s="459"/>
      <c r="S2423" s="459"/>
      <c r="T2423" s="459"/>
      <c r="U2423" s="459"/>
      <c r="V2423" s="459"/>
      <c r="W2423" s="459"/>
      <c r="X2423" s="459"/>
      <c r="Y2423" s="462">
        <f t="shared" si="17"/>
        <v>0</v>
      </c>
      <c r="Z2423" s="463"/>
      <c r="AA2423" s="464"/>
      <c r="AB2423" s="465"/>
      <c r="AC2423" s="465"/>
      <c r="AD2423" s="465"/>
      <c r="AE2423" s="466"/>
      <c r="AF2423" s="449"/>
      <c r="AG2423" s="449"/>
      <c r="AH2423" s="449"/>
    </row>
    <row r="2424" ht="11.25" customHeight="1">
      <c r="A2424" s="450"/>
      <c r="B2424" s="451"/>
      <c r="C2424" s="452"/>
      <c r="D2424" s="452"/>
      <c r="E2424" s="453"/>
      <c r="F2424" s="453"/>
      <c r="G2424" s="454"/>
      <c r="H2424" s="454"/>
      <c r="I2424" s="455"/>
      <c r="J2424" s="456"/>
      <c r="K2424" s="467" t="s">
        <v>1417</v>
      </c>
      <c r="L2424" s="468"/>
      <c r="M2424" s="469"/>
      <c r="N2424" s="470"/>
      <c r="O2424" s="470"/>
      <c r="P2424" s="471"/>
      <c r="Q2424" s="468"/>
      <c r="R2424" s="469"/>
      <c r="S2424" s="469"/>
      <c r="T2424" s="469"/>
      <c r="U2424" s="469"/>
      <c r="V2424" s="469"/>
      <c r="W2424" s="469"/>
      <c r="X2424" s="469"/>
      <c r="Y2424" s="462">
        <f t="shared" si="17"/>
        <v>0</v>
      </c>
      <c r="Z2424" s="463"/>
      <c r="AA2424" s="464"/>
      <c r="AB2424" s="465"/>
      <c r="AC2424" s="465"/>
      <c r="AD2424" s="465"/>
      <c r="AE2424" s="466"/>
      <c r="AF2424" s="449"/>
      <c r="AG2424" s="449"/>
      <c r="AH2424" s="449"/>
    </row>
    <row r="2425" ht="11.25" customHeight="1">
      <c r="A2425" s="450"/>
      <c r="B2425" s="472"/>
      <c r="C2425" s="473"/>
      <c r="D2425" s="473"/>
      <c r="E2425" s="474"/>
      <c r="F2425" s="474"/>
      <c r="G2425" s="475"/>
      <c r="H2425" s="475"/>
      <c r="I2425" s="476"/>
      <c r="J2425" s="477"/>
      <c r="K2425" s="478" t="s">
        <v>1418</v>
      </c>
      <c r="L2425" s="479"/>
      <c r="M2425" s="480"/>
      <c r="N2425" s="481"/>
      <c r="O2425" s="481"/>
      <c r="P2425" s="482"/>
      <c r="Q2425" s="479"/>
      <c r="R2425" s="480"/>
      <c r="S2425" s="480"/>
      <c r="T2425" s="480"/>
      <c r="U2425" s="480"/>
      <c r="V2425" s="480"/>
      <c r="W2425" s="480"/>
      <c r="X2425" s="480"/>
      <c r="Y2425" s="483">
        <f t="shared" si="17"/>
        <v>0</v>
      </c>
      <c r="Z2425" s="484"/>
      <c r="AA2425" s="485"/>
      <c r="AB2425" s="486"/>
      <c r="AC2425" s="486"/>
      <c r="AD2425" s="486"/>
      <c r="AE2425" s="487"/>
      <c r="AF2425" s="449"/>
      <c r="AG2425" s="449"/>
      <c r="AH2425" s="449"/>
    </row>
    <row r="2426" ht="11.25" customHeight="1">
      <c r="A2426" s="431" t="str">
        <f>IF(B2426="","", YEAR(B2426))</f>
        <v/>
      </c>
      <c r="B2426" s="432"/>
      <c r="C2426" s="433"/>
      <c r="D2426" s="433"/>
      <c r="E2426" s="434" t="str">
        <f t="shared" ref="E2426:I2426" si="1220">IFERROR(AVERAGE(L2426:L2429),"")</f>
        <v/>
      </c>
      <c r="F2426" s="434" t="str">
        <f t="shared" si="1220"/>
        <v/>
      </c>
      <c r="G2426" s="435" t="str">
        <f t="shared" si="1220"/>
        <v/>
      </c>
      <c r="H2426" s="435" t="str">
        <f t="shared" si="1220"/>
        <v/>
      </c>
      <c r="I2426" s="436" t="str">
        <f t="shared" si="1220"/>
        <v/>
      </c>
      <c r="J2426" s="437">
        <f>SUMIFS(PRODUCTION[KG],PRODUCTION[GRADE],"3X50",PRODUCTION[DATE],B2426,PRODUCTION[BATCH],C2426,PRODUCTION[SHIFT],D2426)</f>
        <v>0</v>
      </c>
      <c r="K2426" s="438" t="s">
        <v>1414</v>
      </c>
      <c r="L2426" s="443"/>
      <c r="M2426" s="440"/>
      <c r="N2426" s="441"/>
      <c r="O2426" s="441"/>
      <c r="P2426" s="442"/>
      <c r="Q2426" s="443"/>
      <c r="R2426" s="440"/>
      <c r="S2426" s="440"/>
      <c r="T2426" s="440"/>
      <c r="U2426" s="440"/>
      <c r="V2426" s="440"/>
      <c r="W2426" s="440"/>
      <c r="X2426" s="440"/>
      <c r="Y2426" s="444">
        <f t="shared" si="17"/>
        <v>0</v>
      </c>
      <c r="Z2426" s="445"/>
      <c r="AA2426" s="446">
        <f t="shared" ref="AA2426:AE2426" si="1221">$J2426*E2426</f>
        <v>0</v>
      </c>
      <c r="AB2426" s="447">
        <f t="shared" si="1221"/>
        <v>0</v>
      </c>
      <c r="AC2426" s="447">
        <f t="shared" si="1221"/>
        <v>0</v>
      </c>
      <c r="AD2426" s="447">
        <f t="shared" si="1221"/>
        <v>0</v>
      </c>
      <c r="AE2426" s="448">
        <f t="shared" si="1221"/>
        <v>0</v>
      </c>
      <c r="AF2426" s="449"/>
      <c r="AG2426" s="449"/>
      <c r="AH2426" s="449"/>
    </row>
    <row r="2427" ht="11.25" customHeight="1">
      <c r="A2427" s="450"/>
      <c r="B2427" s="451"/>
      <c r="C2427" s="452"/>
      <c r="D2427" s="452"/>
      <c r="E2427" s="453"/>
      <c r="F2427" s="453"/>
      <c r="G2427" s="454"/>
      <c r="H2427" s="454"/>
      <c r="I2427" s="455"/>
      <c r="J2427" s="456"/>
      <c r="K2427" s="457" t="s">
        <v>1416</v>
      </c>
      <c r="L2427" s="458"/>
      <c r="M2427" s="459"/>
      <c r="N2427" s="460"/>
      <c r="O2427" s="460"/>
      <c r="P2427" s="461"/>
      <c r="Q2427" s="458"/>
      <c r="R2427" s="459"/>
      <c r="S2427" s="459"/>
      <c r="T2427" s="459"/>
      <c r="U2427" s="459"/>
      <c r="V2427" s="459"/>
      <c r="W2427" s="459"/>
      <c r="X2427" s="459"/>
      <c r="Y2427" s="462">
        <f t="shared" si="17"/>
        <v>0</v>
      </c>
      <c r="Z2427" s="463"/>
      <c r="AA2427" s="464"/>
      <c r="AB2427" s="465"/>
      <c r="AC2427" s="465"/>
      <c r="AD2427" s="465"/>
      <c r="AE2427" s="466"/>
      <c r="AF2427" s="449"/>
      <c r="AG2427" s="449"/>
      <c r="AH2427" s="449"/>
    </row>
    <row r="2428" ht="11.25" customHeight="1">
      <c r="A2428" s="450"/>
      <c r="B2428" s="451"/>
      <c r="C2428" s="452"/>
      <c r="D2428" s="452"/>
      <c r="E2428" s="453"/>
      <c r="F2428" s="453"/>
      <c r="G2428" s="454"/>
      <c r="H2428" s="454"/>
      <c r="I2428" s="455"/>
      <c r="J2428" s="456"/>
      <c r="K2428" s="467" t="s">
        <v>1417</v>
      </c>
      <c r="L2428" s="468"/>
      <c r="M2428" s="469"/>
      <c r="N2428" s="470"/>
      <c r="O2428" s="470"/>
      <c r="P2428" s="471"/>
      <c r="Q2428" s="468"/>
      <c r="R2428" s="469"/>
      <c r="S2428" s="469"/>
      <c r="T2428" s="469"/>
      <c r="U2428" s="469"/>
      <c r="V2428" s="469"/>
      <c r="W2428" s="469"/>
      <c r="X2428" s="469"/>
      <c r="Y2428" s="462">
        <f t="shared" si="17"/>
        <v>0</v>
      </c>
      <c r="Z2428" s="463"/>
      <c r="AA2428" s="464"/>
      <c r="AB2428" s="465"/>
      <c r="AC2428" s="465"/>
      <c r="AD2428" s="465"/>
      <c r="AE2428" s="466"/>
      <c r="AF2428" s="449"/>
      <c r="AG2428" s="449"/>
      <c r="AH2428" s="449"/>
    </row>
    <row r="2429" ht="11.25" customHeight="1">
      <c r="A2429" s="450"/>
      <c r="B2429" s="472"/>
      <c r="C2429" s="473"/>
      <c r="D2429" s="473"/>
      <c r="E2429" s="474"/>
      <c r="F2429" s="474"/>
      <c r="G2429" s="475"/>
      <c r="H2429" s="475"/>
      <c r="I2429" s="476"/>
      <c r="J2429" s="477"/>
      <c r="K2429" s="478" t="s">
        <v>1418</v>
      </c>
      <c r="L2429" s="479"/>
      <c r="M2429" s="480"/>
      <c r="N2429" s="481"/>
      <c r="O2429" s="481"/>
      <c r="P2429" s="482"/>
      <c r="Q2429" s="479"/>
      <c r="R2429" s="480"/>
      <c r="S2429" s="480"/>
      <c r="T2429" s="480"/>
      <c r="U2429" s="480"/>
      <c r="V2429" s="480"/>
      <c r="W2429" s="480"/>
      <c r="X2429" s="480"/>
      <c r="Y2429" s="483">
        <f t="shared" si="17"/>
        <v>0</v>
      </c>
      <c r="Z2429" s="484"/>
      <c r="AA2429" s="485"/>
      <c r="AB2429" s="486"/>
      <c r="AC2429" s="486"/>
      <c r="AD2429" s="486"/>
      <c r="AE2429" s="487"/>
      <c r="AF2429" s="449"/>
      <c r="AG2429" s="449"/>
      <c r="AH2429" s="449"/>
    </row>
    <row r="2430" ht="11.25" customHeight="1">
      <c r="A2430" s="431" t="str">
        <f>IF(B2430="","", YEAR(B2430))</f>
        <v/>
      </c>
      <c r="B2430" s="432"/>
      <c r="C2430" s="433"/>
      <c r="D2430" s="433"/>
      <c r="E2430" s="434" t="str">
        <f t="shared" ref="E2430:I2430" si="1222">IFERROR(AVERAGE(L2430:L2433),"")</f>
        <v/>
      </c>
      <c r="F2430" s="434" t="str">
        <f t="shared" si="1222"/>
        <v/>
      </c>
      <c r="G2430" s="435" t="str">
        <f t="shared" si="1222"/>
        <v/>
      </c>
      <c r="H2430" s="435" t="str">
        <f t="shared" si="1222"/>
        <v/>
      </c>
      <c r="I2430" s="436" t="str">
        <f t="shared" si="1222"/>
        <v/>
      </c>
      <c r="J2430" s="437">
        <f>SUMIFS(PRODUCTION[KG],PRODUCTION[GRADE],"3X50",PRODUCTION[DATE],B2430,PRODUCTION[BATCH],C2430,PRODUCTION[SHIFT],D2430)</f>
        <v>0</v>
      </c>
      <c r="K2430" s="438" t="s">
        <v>1414</v>
      </c>
      <c r="L2430" s="443"/>
      <c r="M2430" s="440"/>
      <c r="N2430" s="441"/>
      <c r="O2430" s="441"/>
      <c r="P2430" s="442"/>
      <c r="Q2430" s="443"/>
      <c r="R2430" s="440"/>
      <c r="S2430" s="440"/>
      <c r="T2430" s="440"/>
      <c r="U2430" s="440"/>
      <c r="V2430" s="440"/>
      <c r="W2430" s="440"/>
      <c r="X2430" s="440"/>
      <c r="Y2430" s="444">
        <f t="shared" si="17"/>
        <v>0</v>
      </c>
      <c r="Z2430" s="445"/>
      <c r="AA2430" s="446">
        <f t="shared" ref="AA2430:AE2430" si="1223">$J2430*E2430</f>
        <v>0</v>
      </c>
      <c r="AB2430" s="447">
        <f t="shared" si="1223"/>
        <v>0</v>
      </c>
      <c r="AC2430" s="447">
        <f t="shared" si="1223"/>
        <v>0</v>
      </c>
      <c r="AD2430" s="447">
        <f t="shared" si="1223"/>
        <v>0</v>
      </c>
      <c r="AE2430" s="448">
        <f t="shared" si="1223"/>
        <v>0</v>
      </c>
      <c r="AF2430" s="449"/>
      <c r="AG2430" s="449"/>
      <c r="AH2430" s="449"/>
    </row>
    <row r="2431" ht="11.25" customHeight="1">
      <c r="A2431" s="450"/>
      <c r="B2431" s="451"/>
      <c r="C2431" s="452"/>
      <c r="D2431" s="452"/>
      <c r="E2431" s="453"/>
      <c r="F2431" s="453"/>
      <c r="G2431" s="454"/>
      <c r="H2431" s="454"/>
      <c r="I2431" s="455"/>
      <c r="J2431" s="456"/>
      <c r="K2431" s="457" t="s">
        <v>1416</v>
      </c>
      <c r="L2431" s="458"/>
      <c r="M2431" s="459"/>
      <c r="N2431" s="460"/>
      <c r="O2431" s="460"/>
      <c r="P2431" s="461"/>
      <c r="Q2431" s="458"/>
      <c r="R2431" s="459"/>
      <c r="S2431" s="459"/>
      <c r="T2431" s="459"/>
      <c r="U2431" s="459"/>
      <c r="V2431" s="459"/>
      <c r="W2431" s="459"/>
      <c r="X2431" s="459"/>
      <c r="Y2431" s="462">
        <f t="shared" si="17"/>
        <v>0</v>
      </c>
      <c r="Z2431" s="463"/>
      <c r="AA2431" s="464"/>
      <c r="AB2431" s="465"/>
      <c r="AC2431" s="465"/>
      <c r="AD2431" s="465"/>
      <c r="AE2431" s="466"/>
      <c r="AF2431" s="449"/>
      <c r="AG2431" s="449"/>
      <c r="AH2431" s="449"/>
    </row>
    <row r="2432" ht="11.25" customHeight="1">
      <c r="A2432" s="450"/>
      <c r="B2432" s="451"/>
      <c r="C2432" s="452"/>
      <c r="D2432" s="452"/>
      <c r="E2432" s="453"/>
      <c r="F2432" s="453"/>
      <c r="G2432" s="454"/>
      <c r="H2432" s="454"/>
      <c r="I2432" s="455"/>
      <c r="J2432" s="456"/>
      <c r="K2432" s="467" t="s">
        <v>1417</v>
      </c>
      <c r="L2432" s="468"/>
      <c r="M2432" s="469"/>
      <c r="N2432" s="470"/>
      <c r="O2432" s="470"/>
      <c r="P2432" s="471"/>
      <c r="Q2432" s="468"/>
      <c r="R2432" s="469"/>
      <c r="S2432" s="469"/>
      <c r="T2432" s="469"/>
      <c r="U2432" s="469"/>
      <c r="V2432" s="469"/>
      <c r="W2432" s="469"/>
      <c r="X2432" s="469"/>
      <c r="Y2432" s="462">
        <f t="shared" si="17"/>
        <v>0</v>
      </c>
      <c r="Z2432" s="463"/>
      <c r="AA2432" s="464"/>
      <c r="AB2432" s="465"/>
      <c r="AC2432" s="465"/>
      <c r="AD2432" s="465"/>
      <c r="AE2432" s="466"/>
      <c r="AF2432" s="449"/>
      <c r="AG2432" s="449"/>
      <c r="AH2432" s="449"/>
    </row>
    <row r="2433" ht="11.25" customHeight="1">
      <c r="A2433" s="450"/>
      <c r="B2433" s="472"/>
      <c r="C2433" s="473"/>
      <c r="D2433" s="473"/>
      <c r="E2433" s="474"/>
      <c r="F2433" s="474"/>
      <c r="G2433" s="475"/>
      <c r="H2433" s="475"/>
      <c r="I2433" s="476"/>
      <c r="J2433" s="477"/>
      <c r="K2433" s="478" t="s">
        <v>1418</v>
      </c>
      <c r="L2433" s="479"/>
      <c r="M2433" s="480"/>
      <c r="N2433" s="481"/>
      <c r="O2433" s="481"/>
      <c r="P2433" s="482"/>
      <c r="Q2433" s="479"/>
      <c r="R2433" s="480"/>
      <c r="S2433" s="480"/>
      <c r="T2433" s="480"/>
      <c r="U2433" s="480"/>
      <c r="V2433" s="480"/>
      <c r="W2433" s="480"/>
      <c r="X2433" s="480"/>
      <c r="Y2433" s="483">
        <f t="shared" si="17"/>
        <v>0</v>
      </c>
      <c r="Z2433" s="484"/>
      <c r="AA2433" s="485"/>
      <c r="AB2433" s="486"/>
      <c r="AC2433" s="486"/>
      <c r="AD2433" s="486"/>
      <c r="AE2433" s="487"/>
      <c r="AF2433" s="449"/>
      <c r="AG2433" s="449"/>
      <c r="AH2433" s="449"/>
    </row>
    <row r="2434" ht="11.25" customHeight="1">
      <c r="A2434" s="431" t="str">
        <f>IF(B2434="","", YEAR(B2434))</f>
        <v/>
      </c>
      <c r="B2434" s="432"/>
      <c r="C2434" s="433"/>
      <c r="D2434" s="433"/>
      <c r="E2434" s="434" t="str">
        <f t="shared" ref="E2434:I2434" si="1224">IFERROR(AVERAGE(L2434:L2437),"")</f>
        <v/>
      </c>
      <c r="F2434" s="434" t="str">
        <f t="shared" si="1224"/>
        <v/>
      </c>
      <c r="G2434" s="435" t="str">
        <f t="shared" si="1224"/>
        <v/>
      </c>
      <c r="H2434" s="435" t="str">
        <f t="shared" si="1224"/>
        <v/>
      </c>
      <c r="I2434" s="436" t="str">
        <f t="shared" si="1224"/>
        <v/>
      </c>
      <c r="J2434" s="437">
        <f>SUMIFS(PRODUCTION[KG],PRODUCTION[GRADE],"3X50",PRODUCTION[DATE],B2434,PRODUCTION[BATCH],C2434,PRODUCTION[SHIFT],D2434)</f>
        <v>0</v>
      </c>
      <c r="K2434" s="438" t="s">
        <v>1414</v>
      </c>
      <c r="L2434" s="443"/>
      <c r="M2434" s="440"/>
      <c r="N2434" s="441"/>
      <c r="O2434" s="441"/>
      <c r="P2434" s="442"/>
      <c r="Q2434" s="443"/>
      <c r="R2434" s="440"/>
      <c r="S2434" s="440"/>
      <c r="T2434" s="440"/>
      <c r="U2434" s="440"/>
      <c r="V2434" s="440"/>
      <c r="W2434" s="440"/>
      <c r="X2434" s="440"/>
      <c r="Y2434" s="444">
        <f t="shared" si="17"/>
        <v>0</v>
      </c>
      <c r="Z2434" s="445"/>
      <c r="AA2434" s="446">
        <f t="shared" ref="AA2434:AE2434" si="1225">$J2434*E2434</f>
        <v>0</v>
      </c>
      <c r="AB2434" s="447">
        <f t="shared" si="1225"/>
        <v>0</v>
      </c>
      <c r="AC2434" s="447">
        <f t="shared" si="1225"/>
        <v>0</v>
      </c>
      <c r="AD2434" s="447">
        <f t="shared" si="1225"/>
        <v>0</v>
      </c>
      <c r="AE2434" s="448">
        <f t="shared" si="1225"/>
        <v>0</v>
      </c>
      <c r="AF2434" s="449"/>
      <c r="AG2434" s="449"/>
      <c r="AH2434" s="449"/>
    </row>
    <row r="2435" ht="11.25" customHeight="1">
      <c r="A2435" s="450"/>
      <c r="B2435" s="451"/>
      <c r="C2435" s="452"/>
      <c r="D2435" s="452"/>
      <c r="E2435" s="453"/>
      <c r="F2435" s="453"/>
      <c r="G2435" s="454"/>
      <c r="H2435" s="454"/>
      <c r="I2435" s="455"/>
      <c r="J2435" s="456"/>
      <c r="K2435" s="457" t="s">
        <v>1416</v>
      </c>
      <c r="L2435" s="458"/>
      <c r="M2435" s="459"/>
      <c r="N2435" s="460"/>
      <c r="O2435" s="460"/>
      <c r="P2435" s="461"/>
      <c r="Q2435" s="458"/>
      <c r="R2435" s="459"/>
      <c r="S2435" s="459"/>
      <c r="T2435" s="459"/>
      <c r="U2435" s="459"/>
      <c r="V2435" s="459"/>
      <c r="W2435" s="459"/>
      <c r="X2435" s="459"/>
      <c r="Y2435" s="462">
        <f t="shared" si="17"/>
        <v>0</v>
      </c>
      <c r="Z2435" s="463"/>
      <c r="AA2435" s="464"/>
      <c r="AB2435" s="465"/>
      <c r="AC2435" s="465"/>
      <c r="AD2435" s="465"/>
      <c r="AE2435" s="466"/>
      <c r="AF2435" s="449"/>
      <c r="AG2435" s="449"/>
      <c r="AH2435" s="449"/>
    </row>
    <row r="2436" ht="11.25" customHeight="1">
      <c r="A2436" s="450"/>
      <c r="B2436" s="451"/>
      <c r="C2436" s="452"/>
      <c r="D2436" s="452"/>
      <c r="E2436" s="453"/>
      <c r="F2436" s="453"/>
      <c r="G2436" s="454"/>
      <c r="H2436" s="454"/>
      <c r="I2436" s="455"/>
      <c r="J2436" s="456"/>
      <c r="K2436" s="467" t="s">
        <v>1417</v>
      </c>
      <c r="L2436" s="468"/>
      <c r="M2436" s="469"/>
      <c r="N2436" s="470"/>
      <c r="O2436" s="470"/>
      <c r="P2436" s="471"/>
      <c r="Q2436" s="468"/>
      <c r="R2436" s="469"/>
      <c r="S2436" s="469"/>
      <c r="T2436" s="469"/>
      <c r="U2436" s="469"/>
      <c r="V2436" s="469"/>
      <c r="W2436" s="469"/>
      <c r="X2436" s="469"/>
      <c r="Y2436" s="462">
        <f t="shared" si="17"/>
        <v>0</v>
      </c>
      <c r="Z2436" s="463"/>
      <c r="AA2436" s="464"/>
      <c r="AB2436" s="465"/>
      <c r="AC2436" s="465"/>
      <c r="AD2436" s="465"/>
      <c r="AE2436" s="466"/>
      <c r="AF2436" s="449"/>
      <c r="AG2436" s="449"/>
      <c r="AH2436" s="449"/>
    </row>
    <row r="2437" ht="11.25" customHeight="1">
      <c r="A2437" s="450"/>
      <c r="B2437" s="472"/>
      <c r="C2437" s="473"/>
      <c r="D2437" s="473"/>
      <c r="E2437" s="474"/>
      <c r="F2437" s="474"/>
      <c r="G2437" s="475"/>
      <c r="H2437" s="475"/>
      <c r="I2437" s="476"/>
      <c r="J2437" s="477"/>
      <c r="K2437" s="478" t="s">
        <v>1418</v>
      </c>
      <c r="L2437" s="479"/>
      <c r="M2437" s="480"/>
      <c r="N2437" s="481"/>
      <c r="O2437" s="481"/>
      <c r="P2437" s="482"/>
      <c r="Q2437" s="479"/>
      <c r="R2437" s="480"/>
      <c r="S2437" s="480"/>
      <c r="T2437" s="480"/>
      <c r="U2437" s="480"/>
      <c r="V2437" s="480"/>
      <c r="W2437" s="480"/>
      <c r="X2437" s="480"/>
      <c r="Y2437" s="483">
        <f t="shared" si="17"/>
        <v>0</v>
      </c>
      <c r="Z2437" s="484"/>
      <c r="AA2437" s="485"/>
      <c r="AB2437" s="486"/>
      <c r="AC2437" s="486"/>
      <c r="AD2437" s="486"/>
      <c r="AE2437" s="487"/>
      <c r="AF2437" s="449"/>
      <c r="AG2437" s="449"/>
      <c r="AH2437" s="449"/>
    </row>
    <row r="2438" ht="11.25" customHeight="1">
      <c r="A2438" s="431" t="str">
        <f>IF(B2438="","", YEAR(B2438))</f>
        <v/>
      </c>
      <c r="B2438" s="432"/>
      <c r="C2438" s="433"/>
      <c r="D2438" s="433"/>
      <c r="E2438" s="434" t="str">
        <f t="shared" ref="E2438:I2438" si="1226">IFERROR(AVERAGE(L2438:L2441),"")</f>
        <v/>
      </c>
      <c r="F2438" s="434" t="str">
        <f t="shared" si="1226"/>
        <v/>
      </c>
      <c r="G2438" s="435" t="str">
        <f t="shared" si="1226"/>
        <v/>
      </c>
      <c r="H2438" s="435" t="str">
        <f t="shared" si="1226"/>
        <v/>
      </c>
      <c r="I2438" s="436" t="str">
        <f t="shared" si="1226"/>
        <v/>
      </c>
      <c r="J2438" s="437">
        <f>SUMIFS(PRODUCTION[KG],PRODUCTION[GRADE],"3X50",PRODUCTION[DATE],B2438,PRODUCTION[BATCH],C2438,PRODUCTION[SHIFT],D2438)</f>
        <v>0</v>
      </c>
      <c r="K2438" s="438" t="s">
        <v>1414</v>
      </c>
      <c r="L2438" s="443"/>
      <c r="M2438" s="440"/>
      <c r="N2438" s="441"/>
      <c r="O2438" s="441"/>
      <c r="P2438" s="442"/>
      <c r="Q2438" s="443"/>
      <c r="R2438" s="440"/>
      <c r="S2438" s="440"/>
      <c r="T2438" s="440"/>
      <c r="U2438" s="440"/>
      <c r="V2438" s="440"/>
      <c r="W2438" s="440"/>
      <c r="X2438" s="440"/>
      <c r="Y2438" s="444">
        <f t="shared" si="17"/>
        <v>0</v>
      </c>
      <c r="Z2438" s="445"/>
      <c r="AA2438" s="446">
        <f t="shared" ref="AA2438:AE2438" si="1227">$J2438*E2438</f>
        <v>0</v>
      </c>
      <c r="AB2438" s="447">
        <f t="shared" si="1227"/>
        <v>0</v>
      </c>
      <c r="AC2438" s="447">
        <f t="shared" si="1227"/>
        <v>0</v>
      </c>
      <c r="AD2438" s="447">
        <f t="shared" si="1227"/>
        <v>0</v>
      </c>
      <c r="AE2438" s="448">
        <f t="shared" si="1227"/>
        <v>0</v>
      </c>
      <c r="AF2438" s="449"/>
      <c r="AG2438" s="449"/>
      <c r="AH2438" s="449"/>
    </row>
    <row r="2439" ht="11.25" customHeight="1">
      <c r="A2439" s="450"/>
      <c r="B2439" s="451"/>
      <c r="C2439" s="452"/>
      <c r="D2439" s="452"/>
      <c r="E2439" s="453"/>
      <c r="F2439" s="453"/>
      <c r="G2439" s="454"/>
      <c r="H2439" s="454"/>
      <c r="I2439" s="455"/>
      <c r="J2439" s="456"/>
      <c r="K2439" s="457" t="s">
        <v>1416</v>
      </c>
      <c r="L2439" s="458"/>
      <c r="M2439" s="459"/>
      <c r="N2439" s="460"/>
      <c r="O2439" s="460"/>
      <c r="P2439" s="461"/>
      <c r="Q2439" s="458"/>
      <c r="R2439" s="459"/>
      <c r="S2439" s="459"/>
      <c r="T2439" s="459"/>
      <c r="U2439" s="459"/>
      <c r="V2439" s="459"/>
      <c r="W2439" s="459"/>
      <c r="X2439" s="459"/>
      <c r="Y2439" s="462">
        <f t="shared" si="17"/>
        <v>0</v>
      </c>
      <c r="Z2439" s="463"/>
      <c r="AA2439" s="464"/>
      <c r="AB2439" s="465"/>
      <c r="AC2439" s="465"/>
      <c r="AD2439" s="465"/>
      <c r="AE2439" s="466"/>
      <c r="AF2439" s="449"/>
      <c r="AG2439" s="449"/>
      <c r="AH2439" s="449"/>
    </row>
    <row r="2440" ht="11.25" customHeight="1">
      <c r="A2440" s="450"/>
      <c r="B2440" s="451"/>
      <c r="C2440" s="452"/>
      <c r="D2440" s="452"/>
      <c r="E2440" s="453"/>
      <c r="F2440" s="453"/>
      <c r="G2440" s="454"/>
      <c r="H2440" s="454"/>
      <c r="I2440" s="455"/>
      <c r="J2440" s="456"/>
      <c r="K2440" s="467" t="s">
        <v>1417</v>
      </c>
      <c r="L2440" s="468"/>
      <c r="M2440" s="469"/>
      <c r="N2440" s="470"/>
      <c r="O2440" s="470"/>
      <c r="P2440" s="471"/>
      <c r="Q2440" s="468"/>
      <c r="R2440" s="469"/>
      <c r="S2440" s="469"/>
      <c r="T2440" s="469"/>
      <c r="U2440" s="469"/>
      <c r="V2440" s="469"/>
      <c r="W2440" s="469"/>
      <c r="X2440" s="469"/>
      <c r="Y2440" s="462">
        <f t="shared" si="17"/>
        <v>0</v>
      </c>
      <c r="Z2440" s="463"/>
      <c r="AA2440" s="464"/>
      <c r="AB2440" s="465"/>
      <c r="AC2440" s="465"/>
      <c r="AD2440" s="465"/>
      <c r="AE2440" s="466"/>
      <c r="AF2440" s="449"/>
      <c r="AG2440" s="449"/>
      <c r="AH2440" s="449"/>
    </row>
    <row r="2441" ht="11.25" customHeight="1">
      <c r="A2441" s="450"/>
      <c r="B2441" s="472"/>
      <c r="C2441" s="473"/>
      <c r="D2441" s="473"/>
      <c r="E2441" s="474"/>
      <c r="F2441" s="474"/>
      <c r="G2441" s="475"/>
      <c r="H2441" s="475"/>
      <c r="I2441" s="476"/>
      <c r="J2441" s="477"/>
      <c r="K2441" s="478" t="s">
        <v>1418</v>
      </c>
      <c r="L2441" s="479"/>
      <c r="M2441" s="480"/>
      <c r="N2441" s="481"/>
      <c r="O2441" s="481"/>
      <c r="P2441" s="482"/>
      <c r="Q2441" s="479"/>
      <c r="R2441" s="480"/>
      <c r="S2441" s="480"/>
      <c r="T2441" s="480"/>
      <c r="U2441" s="480"/>
      <c r="V2441" s="480"/>
      <c r="W2441" s="480"/>
      <c r="X2441" s="480"/>
      <c r="Y2441" s="483">
        <f t="shared" si="17"/>
        <v>0</v>
      </c>
      <c r="Z2441" s="484"/>
      <c r="AA2441" s="485"/>
      <c r="AB2441" s="486"/>
      <c r="AC2441" s="486"/>
      <c r="AD2441" s="486"/>
      <c r="AE2441" s="487"/>
      <c r="AF2441" s="449"/>
      <c r="AG2441" s="449"/>
      <c r="AH2441" s="449"/>
    </row>
    <row r="2442" ht="11.25" customHeight="1">
      <c r="A2442" s="431" t="str">
        <f>IF(B2442="","", YEAR(B2442))</f>
        <v/>
      </c>
      <c r="B2442" s="432"/>
      <c r="C2442" s="433"/>
      <c r="D2442" s="433"/>
      <c r="E2442" s="434" t="str">
        <f t="shared" ref="E2442:I2442" si="1228">IFERROR(AVERAGE(L2442:L2445),"")</f>
        <v/>
      </c>
      <c r="F2442" s="434" t="str">
        <f t="shared" si="1228"/>
        <v/>
      </c>
      <c r="G2442" s="435" t="str">
        <f t="shared" si="1228"/>
        <v/>
      </c>
      <c r="H2442" s="435" t="str">
        <f t="shared" si="1228"/>
        <v/>
      </c>
      <c r="I2442" s="436" t="str">
        <f t="shared" si="1228"/>
        <v/>
      </c>
      <c r="J2442" s="437">
        <f>SUMIFS(PRODUCTION[KG],PRODUCTION[GRADE],"3X50",PRODUCTION[DATE],B2442,PRODUCTION[BATCH],C2442,PRODUCTION[SHIFT],D2442)</f>
        <v>0</v>
      </c>
      <c r="K2442" s="438" t="s">
        <v>1414</v>
      </c>
      <c r="L2442" s="443"/>
      <c r="M2442" s="440"/>
      <c r="N2442" s="441"/>
      <c r="O2442" s="441"/>
      <c r="P2442" s="442"/>
      <c r="Q2442" s="443"/>
      <c r="R2442" s="440"/>
      <c r="S2442" s="440"/>
      <c r="T2442" s="440"/>
      <c r="U2442" s="440"/>
      <c r="V2442" s="440"/>
      <c r="W2442" s="440"/>
      <c r="X2442" s="440"/>
      <c r="Y2442" s="444">
        <f t="shared" si="17"/>
        <v>0</v>
      </c>
      <c r="Z2442" s="445"/>
      <c r="AA2442" s="446">
        <f t="shared" ref="AA2442:AE2442" si="1229">$J2442*E2442</f>
        <v>0</v>
      </c>
      <c r="AB2442" s="447">
        <f t="shared" si="1229"/>
        <v>0</v>
      </c>
      <c r="AC2442" s="447">
        <f t="shared" si="1229"/>
        <v>0</v>
      </c>
      <c r="AD2442" s="447">
        <f t="shared" si="1229"/>
        <v>0</v>
      </c>
      <c r="AE2442" s="448">
        <f t="shared" si="1229"/>
        <v>0</v>
      </c>
      <c r="AF2442" s="449"/>
      <c r="AG2442" s="449"/>
      <c r="AH2442" s="449"/>
    </row>
    <row r="2443" ht="11.25" customHeight="1">
      <c r="A2443" s="450"/>
      <c r="B2443" s="451"/>
      <c r="C2443" s="452"/>
      <c r="D2443" s="452"/>
      <c r="E2443" s="453"/>
      <c r="F2443" s="453"/>
      <c r="G2443" s="454"/>
      <c r="H2443" s="454"/>
      <c r="I2443" s="455"/>
      <c r="J2443" s="456"/>
      <c r="K2443" s="457" t="s">
        <v>1416</v>
      </c>
      <c r="L2443" s="458"/>
      <c r="M2443" s="459"/>
      <c r="N2443" s="460"/>
      <c r="O2443" s="460"/>
      <c r="P2443" s="461"/>
      <c r="Q2443" s="458"/>
      <c r="R2443" s="459"/>
      <c r="S2443" s="459"/>
      <c r="T2443" s="459"/>
      <c r="U2443" s="459"/>
      <c r="V2443" s="459"/>
      <c r="W2443" s="459"/>
      <c r="X2443" s="459"/>
      <c r="Y2443" s="462">
        <f t="shared" si="17"/>
        <v>0</v>
      </c>
      <c r="Z2443" s="463"/>
      <c r="AA2443" s="464"/>
      <c r="AB2443" s="465"/>
      <c r="AC2443" s="465"/>
      <c r="AD2443" s="465"/>
      <c r="AE2443" s="466"/>
      <c r="AF2443" s="449"/>
      <c r="AG2443" s="449"/>
      <c r="AH2443" s="449"/>
    </row>
    <row r="2444" ht="11.25" customHeight="1">
      <c r="A2444" s="450"/>
      <c r="B2444" s="451"/>
      <c r="C2444" s="452"/>
      <c r="D2444" s="452"/>
      <c r="E2444" s="453"/>
      <c r="F2444" s="453"/>
      <c r="G2444" s="454"/>
      <c r="H2444" s="454"/>
      <c r="I2444" s="455"/>
      <c r="J2444" s="456"/>
      <c r="K2444" s="467" t="s">
        <v>1417</v>
      </c>
      <c r="L2444" s="468"/>
      <c r="M2444" s="469"/>
      <c r="N2444" s="470"/>
      <c r="O2444" s="470"/>
      <c r="P2444" s="471"/>
      <c r="Q2444" s="468"/>
      <c r="R2444" s="469"/>
      <c r="S2444" s="469"/>
      <c r="T2444" s="469"/>
      <c r="U2444" s="469"/>
      <c r="V2444" s="469"/>
      <c r="W2444" s="469"/>
      <c r="X2444" s="469"/>
      <c r="Y2444" s="462">
        <f t="shared" si="17"/>
        <v>0</v>
      </c>
      <c r="Z2444" s="463"/>
      <c r="AA2444" s="464"/>
      <c r="AB2444" s="465"/>
      <c r="AC2444" s="465"/>
      <c r="AD2444" s="465"/>
      <c r="AE2444" s="466"/>
      <c r="AF2444" s="449"/>
      <c r="AG2444" s="449"/>
      <c r="AH2444" s="449"/>
    </row>
    <row r="2445" ht="11.25" customHeight="1">
      <c r="A2445" s="450"/>
      <c r="B2445" s="472"/>
      <c r="C2445" s="473"/>
      <c r="D2445" s="473"/>
      <c r="E2445" s="474"/>
      <c r="F2445" s="474"/>
      <c r="G2445" s="475"/>
      <c r="H2445" s="475"/>
      <c r="I2445" s="476"/>
      <c r="J2445" s="477"/>
      <c r="K2445" s="478" t="s">
        <v>1418</v>
      </c>
      <c r="L2445" s="479"/>
      <c r="M2445" s="480"/>
      <c r="N2445" s="481"/>
      <c r="O2445" s="481"/>
      <c r="P2445" s="482"/>
      <c r="Q2445" s="479"/>
      <c r="R2445" s="480"/>
      <c r="S2445" s="480"/>
      <c r="T2445" s="480"/>
      <c r="U2445" s="480"/>
      <c r="V2445" s="480"/>
      <c r="W2445" s="480"/>
      <c r="X2445" s="480"/>
      <c r="Y2445" s="483">
        <f t="shared" si="17"/>
        <v>0</v>
      </c>
      <c r="Z2445" s="484"/>
      <c r="AA2445" s="485"/>
      <c r="AB2445" s="486"/>
      <c r="AC2445" s="486"/>
      <c r="AD2445" s="486"/>
      <c r="AE2445" s="487"/>
      <c r="AF2445" s="449"/>
      <c r="AG2445" s="449"/>
      <c r="AH2445" s="449"/>
    </row>
    <row r="2446" ht="11.25" customHeight="1">
      <c r="A2446" s="431" t="str">
        <f>IF(B2446="","", YEAR(B2446))</f>
        <v/>
      </c>
      <c r="B2446" s="432"/>
      <c r="C2446" s="433"/>
      <c r="D2446" s="433"/>
      <c r="E2446" s="434" t="str">
        <f t="shared" ref="E2446:I2446" si="1230">IFERROR(AVERAGE(L2446:L2449),"")</f>
        <v/>
      </c>
      <c r="F2446" s="434" t="str">
        <f t="shared" si="1230"/>
        <v/>
      </c>
      <c r="G2446" s="435" t="str">
        <f t="shared" si="1230"/>
        <v/>
      </c>
      <c r="H2446" s="435" t="str">
        <f t="shared" si="1230"/>
        <v/>
      </c>
      <c r="I2446" s="436" t="str">
        <f t="shared" si="1230"/>
        <v/>
      </c>
      <c r="J2446" s="437">
        <f>SUMIFS(PRODUCTION[KG],PRODUCTION[GRADE],"3X50",PRODUCTION[DATE],B2446,PRODUCTION[BATCH],C2446,PRODUCTION[SHIFT],D2446)</f>
        <v>0</v>
      </c>
      <c r="K2446" s="438" t="s">
        <v>1414</v>
      </c>
      <c r="L2446" s="443"/>
      <c r="M2446" s="440"/>
      <c r="N2446" s="441"/>
      <c r="O2446" s="441"/>
      <c r="P2446" s="442"/>
      <c r="Q2446" s="443"/>
      <c r="R2446" s="440"/>
      <c r="S2446" s="440"/>
      <c r="T2446" s="440"/>
      <c r="U2446" s="440"/>
      <c r="V2446" s="440"/>
      <c r="W2446" s="440"/>
      <c r="X2446" s="440"/>
      <c r="Y2446" s="444">
        <f t="shared" si="17"/>
        <v>0</v>
      </c>
      <c r="Z2446" s="445"/>
      <c r="AA2446" s="446">
        <f t="shared" ref="AA2446:AE2446" si="1231">$J2446*E2446</f>
        <v>0</v>
      </c>
      <c r="AB2446" s="447">
        <f t="shared" si="1231"/>
        <v>0</v>
      </c>
      <c r="AC2446" s="447">
        <f t="shared" si="1231"/>
        <v>0</v>
      </c>
      <c r="AD2446" s="447">
        <f t="shared" si="1231"/>
        <v>0</v>
      </c>
      <c r="AE2446" s="448">
        <f t="shared" si="1231"/>
        <v>0</v>
      </c>
      <c r="AF2446" s="449"/>
      <c r="AG2446" s="449"/>
      <c r="AH2446" s="449"/>
    </row>
    <row r="2447" ht="11.25" customHeight="1">
      <c r="A2447" s="450"/>
      <c r="B2447" s="451"/>
      <c r="C2447" s="452"/>
      <c r="D2447" s="452"/>
      <c r="E2447" s="453"/>
      <c r="F2447" s="453"/>
      <c r="G2447" s="454"/>
      <c r="H2447" s="454"/>
      <c r="I2447" s="455"/>
      <c r="J2447" s="456"/>
      <c r="K2447" s="457" t="s">
        <v>1416</v>
      </c>
      <c r="L2447" s="458"/>
      <c r="M2447" s="459"/>
      <c r="N2447" s="460"/>
      <c r="O2447" s="460"/>
      <c r="P2447" s="461"/>
      <c r="Q2447" s="458"/>
      <c r="R2447" s="459"/>
      <c r="S2447" s="459"/>
      <c r="T2447" s="459"/>
      <c r="U2447" s="459"/>
      <c r="V2447" s="459"/>
      <c r="W2447" s="459"/>
      <c r="X2447" s="459"/>
      <c r="Y2447" s="462">
        <f t="shared" si="17"/>
        <v>0</v>
      </c>
      <c r="Z2447" s="463"/>
      <c r="AA2447" s="464"/>
      <c r="AB2447" s="465"/>
      <c r="AC2447" s="465"/>
      <c r="AD2447" s="465"/>
      <c r="AE2447" s="466"/>
      <c r="AF2447" s="449"/>
      <c r="AG2447" s="449"/>
      <c r="AH2447" s="449"/>
    </row>
    <row r="2448" ht="11.25" customHeight="1">
      <c r="A2448" s="450"/>
      <c r="B2448" s="451"/>
      <c r="C2448" s="452"/>
      <c r="D2448" s="452"/>
      <c r="E2448" s="453"/>
      <c r="F2448" s="453"/>
      <c r="G2448" s="454"/>
      <c r="H2448" s="454"/>
      <c r="I2448" s="455"/>
      <c r="J2448" s="456"/>
      <c r="K2448" s="467" t="s">
        <v>1417</v>
      </c>
      <c r="L2448" s="468"/>
      <c r="M2448" s="469"/>
      <c r="N2448" s="470"/>
      <c r="O2448" s="470"/>
      <c r="P2448" s="471"/>
      <c r="Q2448" s="468"/>
      <c r="R2448" s="469"/>
      <c r="S2448" s="469"/>
      <c r="T2448" s="469"/>
      <c r="U2448" s="469"/>
      <c r="V2448" s="469"/>
      <c r="W2448" s="469"/>
      <c r="X2448" s="469"/>
      <c r="Y2448" s="462">
        <f t="shared" si="17"/>
        <v>0</v>
      </c>
      <c r="Z2448" s="463"/>
      <c r="AA2448" s="464"/>
      <c r="AB2448" s="465"/>
      <c r="AC2448" s="465"/>
      <c r="AD2448" s="465"/>
      <c r="AE2448" s="466"/>
      <c r="AF2448" s="449"/>
      <c r="AG2448" s="449"/>
      <c r="AH2448" s="449"/>
    </row>
    <row r="2449" ht="11.25" customHeight="1">
      <c r="A2449" s="450"/>
      <c r="B2449" s="472"/>
      <c r="C2449" s="473"/>
      <c r="D2449" s="473"/>
      <c r="E2449" s="474"/>
      <c r="F2449" s="474"/>
      <c r="G2449" s="475"/>
      <c r="H2449" s="475"/>
      <c r="I2449" s="476"/>
      <c r="J2449" s="477"/>
      <c r="K2449" s="478" t="s">
        <v>1418</v>
      </c>
      <c r="L2449" s="479"/>
      <c r="M2449" s="480"/>
      <c r="N2449" s="481"/>
      <c r="O2449" s="481"/>
      <c r="P2449" s="482"/>
      <c r="Q2449" s="479"/>
      <c r="R2449" s="480"/>
      <c r="S2449" s="480"/>
      <c r="T2449" s="480"/>
      <c r="U2449" s="480"/>
      <c r="V2449" s="480"/>
      <c r="W2449" s="480"/>
      <c r="X2449" s="480"/>
      <c r="Y2449" s="483">
        <f t="shared" si="17"/>
        <v>0</v>
      </c>
      <c r="Z2449" s="484"/>
      <c r="AA2449" s="485"/>
      <c r="AB2449" s="486"/>
      <c r="AC2449" s="486"/>
      <c r="AD2449" s="486"/>
      <c r="AE2449" s="487"/>
      <c r="AF2449" s="449"/>
      <c r="AG2449" s="449"/>
      <c r="AH2449" s="449"/>
    </row>
    <row r="2450" ht="11.25" customHeight="1">
      <c r="A2450" s="431" t="str">
        <f>IF(B2450="","", YEAR(B2450))</f>
        <v/>
      </c>
      <c r="B2450" s="432"/>
      <c r="C2450" s="433"/>
      <c r="D2450" s="433"/>
      <c r="E2450" s="434" t="str">
        <f t="shared" ref="E2450:I2450" si="1232">IFERROR(AVERAGE(L2450:L2453),"")</f>
        <v/>
      </c>
      <c r="F2450" s="434" t="str">
        <f t="shared" si="1232"/>
        <v/>
      </c>
      <c r="G2450" s="435" t="str">
        <f t="shared" si="1232"/>
        <v/>
      </c>
      <c r="H2450" s="435" t="str">
        <f t="shared" si="1232"/>
        <v/>
      </c>
      <c r="I2450" s="436" t="str">
        <f t="shared" si="1232"/>
        <v/>
      </c>
      <c r="J2450" s="437">
        <f>SUMIFS(PRODUCTION[KG],PRODUCTION[GRADE],"3X50",PRODUCTION[DATE],B2450,PRODUCTION[BATCH],C2450,PRODUCTION[SHIFT],D2450)</f>
        <v>0</v>
      </c>
      <c r="K2450" s="438" t="s">
        <v>1414</v>
      </c>
      <c r="L2450" s="443"/>
      <c r="M2450" s="440"/>
      <c r="N2450" s="441"/>
      <c r="O2450" s="441"/>
      <c r="P2450" s="442"/>
      <c r="Q2450" s="443"/>
      <c r="R2450" s="440"/>
      <c r="S2450" s="440"/>
      <c r="T2450" s="440"/>
      <c r="U2450" s="440"/>
      <c r="V2450" s="440"/>
      <c r="W2450" s="440"/>
      <c r="X2450" s="440"/>
      <c r="Y2450" s="444">
        <f t="shared" si="17"/>
        <v>0</v>
      </c>
      <c r="Z2450" s="445"/>
      <c r="AA2450" s="446">
        <f t="shared" ref="AA2450:AE2450" si="1233">$J2450*E2450</f>
        <v>0</v>
      </c>
      <c r="AB2450" s="447">
        <f t="shared" si="1233"/>
        <v>0</v>
      </c>
      <c r="AC2450" s="447">
        <f t="shared" si="1233"/>
        <v>0</v>
      </c>
      <c r="AD2450" s="447">
        <f t="shared" si="1233"/>
        <v>0</v>
      </c>
      <c r="AE2450" s="448">
        <f t="shared" si="1233"/>
        <v>0</v>
      </c>
      <c r="AF2450" s="449"/>
      <c r="AG2450" s="449"/>
      <c r="AH2450" s="449"/>
    </row>
    <row r="2451" ht="11.25" customHeight="1">
      <c r="A2451" s="450"/>
      <c r="B2451" s="451"/>
      <c r="C2451" s="452"/>
      <c r="D2451" s="452"/>
      <c r="E2451" s="453"/>
      <c r="F2451" s="453"/>
      <c r="G2451" s="454"/>
      <c r="H2451" s="454"/>
      <c r="I2451" s="455"/>
      <c r="J2451" s="456"/>
      <c r="K2451" s="457" t="s">
        <v>1416</v>
      </c>
      <c r="L2451" s="458"/>
      <c r="M2451" s="459"/>
      <c r="N2451" s="460"/>
      <c r="O2451" s="460"/>
      <c r="P2451" s="461"/>
      <c r="Q2451" s="458"/>
      <c r="R2451" s="459"/>
      <c r="S2451" s="459"/>
      <c r="T2451" s="459"/>
      <c r="U2451" s="459"/>
      <c r="V2451" s="459"/>
      <c r="W2451" s="459"/>
      <c r="X2451" s="459"/>
      <c r="Y2451" s="462">
        <f t="shared" si="17"/>
        <v>0</v>
      </c>
      <c r="Z2451" s="463"/>
      <c r="AA2451" s="464"/>
      <c r="AB2451" s="465"/>
      <c r="AC2451" s="465"/>
      <c r="AD2451" s="465"/>
      <c r="AE2451" s="466"/>
      <c r="AF2451" s="449"/>
      <c r="AG2451" s="449"/>
      <c r="AH2451" s="449"/>
    </row>
    <row r="2452" ht="11.25" customHeight="1">
      <c r="A2452" s="450"/>
      <c r="B2452" s="451"/>
      <c r="C2452" s="452"/>
      <c r="D2452" s="452"/>
      <c r="E2452" s="453"/>
      <c r="F2452" s="453"/>
      <c r="G2452" s="454"/>
      <c r="H2452" s="454"/>
      <c r="I2452" s="455"/>
      <c r="J2452" s="456"/>
      <c r="K2452" s="467" t="s">
        <v>1417</v>
      </c>
      <c r="L2452" s="468"/>
      <c r="M2452" s="469"/>
      <c r="N2452" s="470"/>
      <c r="O2452" s="470"/>
      <c r="P2452" s="471"/>
      <c r="Q2452" s="468"/>
      <c r="R2452" s="469"/>
      <c r="S2452" s="469"/>
      <c r="T2452" s="469"/>
      <c r="U2452" s="469"/>
      <c r="V2452" s="469"/>
      <c r="W2452" s="469"/>
      <c r="X2452" s="469"/>
      <c r="Y2452" s="462">
        <f t="shared" si="17"/>
        <v>0</v>
      </c>
      <c r="Z2452" s="463"/>
      <c r="AA2452" s="464"/>
      <c r="AB2452" s="465"/>
      <c r="AC2452" s="465"/>
      <c r="AD2452" s="465"/>
      <c r="AE2452" s="466"/>
      <c r="AF2452" s="449"/>
      <c r="AG2452" s="449"/>
      <c r="AH2452" s="449"/>
    </row>
    <row r="2453" ht="11.25" customHeight="1">
      <c r="A2453" s="450"/>
      <c r="B2453" s="472"/>
      <c r="C2453" s="473"/>
      <c r="D2453" s="473"/>
      <c r="E2453" s="474"/>
      <c r="F2453" s="474"/>
      <c r="G2453" s="475"/>
      <c r="H2453" s="475"/>
      <c r="I2453" s="476"/>
      <c r="J2453" s="477"/>
      <c r="K2453" s="478" t="s">
        <v>1418</v>
      </c>
      <c r="L2453" s="479"/>
      <c r="M2453" s="480"/>
      <c r="N2453" s="481"/>
      <c r="O2453" s="481"/>
      <c r="P2453" s="482"/>
      <c r="Q2453" s="479"/>
      <c r="R2453" s="480"/>
      <c r="S2453" s="480"/>
      <c r="T2453" s="480"/>
      <c r="U2453" s="480"/>
      <c r="V2453" s="480"/>
      <c r="W2453" s="480"/>
      <c r="X2453" s="480"/>
      <c r="Y2453" s="483">
        <f t="shared" si="17"/>
        <v>0</v>
      </c>
      <c r="Z2453" s="484"/>
      <c r="AA2453" s="485"/>
      <c r="AB2453" s="486"/>
      <c r="AC2453" s="486"/>
      <c r="AD2453" s="486"/>
      <c r="AE2453" s="487"/>
      <c r="AF2453" s="449"/>
      <c r="AG2453" s="449"/>
      <c r="AH2453" s="449"/>
    </row>
    <row r="2454" ht="11.25" customHeight="1">
      <c r="A2454" s="431" t="str">
        <f>IF(B2454="","", YEAR(B2454))</f>
        <v/>
      </c>
      <c r="B2454" s="432"/>
      <c r="C2454" s="433"/>
      <c r="D2454" s="433"/>
      <c r="E2454" s="434" t="str">
        <f t="shared" ref="E2454:I2454" si="1234">IFERROR(AVERAGE(L2454:L2457),"")</f>
        <v/>
      </c>
      <c r="F2454" s="434" t="str">
        <f t="shared" si="1234"/>
        <v/>
      </c>
      <c r="G2454" s="435" t="str">
        <f t="shared" si="1234"/>
        <v/>
      </c>
      <c r="H2454" s="435" t="str">
        <f t="shared" si="1234"/>
        <v/>
      </c>
      <c r="I2454" s="436" t="str">
        <f t="shared" si="1234"/>
        <v/>
      </c>
      <c r="J2454" s="437">
        <f>SUMIFS(PRODUCTION[KG],PRODUCTION[GRADE],"3X50",PRODUCTION[DATE],B2454,PRODUCTION[BATCH],C2454,PRODUCTION[SHIFT],D2454)</f>
        <v>0</v>
      </c>
      <c r="K2454" s="438" t="s">
        <v>1414</v>
      </c>
      <c r="L2454" s="443"/>
      <c r="M2454" s="440"/>
      <c r="N2454" s="441"/>
      <c r="O2454" s="441"/>
      <c r="P2454" s="442"/>
      <c r="Q2454" s="443"/>
      <c r="R2454" s="440"/>
      <c r="S2454" s="440"/>
      <c r="T2454" s="440"/>
      <c r="U2454" s="440"/>
      <c r="V2454" s="440"/>
      <c r="W2454" s="440"/>
      <c r="X2454" s="440"/>
      <c r="Y2454" s="444">
        <f t="shared" si="17"/>
        <v>0</v>
      </c>
      <c r="Z2454" s="445"/>
      <c r="AA2454" s="446">
        <f t="shared" ref="AA2454:AE2454" si="1235">$J2454*E2454</f>
        <v>0</v>
      </c>
      <c r="AB2454" s="447">
        <f t="shared" si="1235"/>
        <v>0</v>
      </c>
      <c r="AC2454" s="447">
        <f t="shared" si="1235"/>
        <v>0</v>
      </c>
      <c r="AD2454" s="447">
        <f t="shared" si="1235"/>
        <v>0</v>
      </c>
      <c r="AE2454" s="448">
        <f t="shared" si="1235"/>
        <v>0</v>
      </c>
      <c r="AF2454" s="449"/>
      <c r="AG2454" s="449"/>
      <c r="AH2454" s="449"/>
    </row>
    <row r="2455" ht="11.25" customHeight="1">
      <c r="A2455" s="450"/>
      <c r="B2455" s="451"/>
      <c r="C2455" s="452"/>
      <c r="D2455" s="452"/>
      <c r="E2455" s="453"/>
      <c r="F2455" s="453"/>
      <c r="G2455" s="454"/>
      <c r="H2455" s="454"/>
      <c r="I2455" s="455"/>
      <c r="J2455" s="456"/>
      <c r="K2455" s="457" t="s">
        <v>1416</v>
      </c>
      <c r="L2455" s="458"/>
      <c r="M2455" s="459"/>
      <c r="N2455" s="460"/>
      <c r="O2455" s="460"/>
      <c r="P2455" s="461"/>
      <c r="Q2455" s="458"/>
      <c r="R2455" s="459"/>
      <c r="S2455" s="459"/>
      <c r="T2455" s="459"/>
      <c r="U2455" s="459"/>
      <c r="V2455" s="459"/>
      <c r="W2455" s="459"/>
      <c r="X2455" s="459"/>
      <c r="Y2455" s="462">
        <f t="shared" si="17"/>
        <v>0</v>
      </c>
      <c r="Z2455" s="463"/>
      <c r="AA2455" s="464"/>
      <c r="AB2455" s="465"/>
      <c r="AC2455" s="465"/>
      <c r="AD2455" s="465"/>
      <c r="AE2455" s="466"/>
      <c r="AF2455" s="449"/>
      <c r="AG2455" s="449"/>
      <c r="AH2455" s="449"/>
    </row>
    <row r="2456" ht="11.25" customHeight="1">
      <c r="A2456" s="450"/>
      <c r="B2456" s="451"/>
      <c r="C2456" s="452"/>
      <c r="D2456" s="452"/>
      <c r="E2456" s="453"/>
      <c r="F2456" s="453"/>
      <c r="G2456" s="454"/>
      <c r="H2456" s="454"/>
      <c r="I2456" s="455"/>
      <c r="J2456" s="456"/>
      <c r="K2456" s="467" t="s">
        <v>1417</v>
      </c>
      <c r="L2456" s="468"/>
      <c r="M2456" s="469"/>
      <c r="N2456" s="470"/>
      <c r="O2456" s="470"/>
      <c r="P2456" s="471"/>
      <c r="Q2456" s="468"/>
      <c r="R2456" s="469"/>
      <c r="S2456" s="469"/>
      <c r="T2456" s="469"/>
      <c r="U2456" s="469"/>
      <c r="V2456" s="469"/>
      <c r="W2456" s="469"/>
      <c r="X2456" s="469"/>
      <c r="Y2456" s="462">
        <f t="shared" si="17"/>
        <v>0</v>
      </c>
      <c r="Z2456" s="463"/>
      <c r="AA2456" s="464"/>
      <c r="AB2456" s="465"/>
      <c r="AC2456" s="465"/>
      <c r="AD2456" s="465"/>
      <c r="AE2456" s="466"/>
      <c r="AF2456" s="449"/>
      <c r="AG2456" s="449"/>
      <c r="AH2456" s="449"/>
    </row>
    <row r="2457" ht="11.25" customHeight="1">
      <c r="A2457" s="450"/>
      <c r="B2457" s="472"/>
      <c r="C2457" s="473"/>
      <c r="D2457" s="473"/>
      <c r="E2457" s="474"/>
      <c r="F2457" s="474"/>
      <c r="G2457" s="475"/>
      <c r="H2457" s="475"/>
      <c r="I2457" s="476"/>
      <c r="J2457" s="477"/>
      <c r="K2457" s="478" t="s">
        <v>1418</v>
      </c>
      <c r="L2457" s="479"/>
      <c r="M2457" s="480"/>
      <c r="N2457" s="481"/>
      <c r="O2457" s="481"/>
      <c r="P2457" s="482"/>
      <c r="Q2457" s="479"/>
      <c r="R2457" s="480"/>
      <c r="S2457" s="480"/>
      <c r="T2457" s="480"/>
      <c r="U2457" s="480"/>
      <c r="V2457" s="480"/>
      <c r="W2457" s="480"/>
      <c r="X2457" s="480"/>
      <c r="Y2457" s="483">
        <f t="shared" si="17"/>
        <v>0</v>
      </c>
      <c r="Z2457" s="484"/>
      <c r="AA2457" s="485"/>
      <c r="AB2457" s="486"/>
      <c r="AC2457" s="486"/>
      <c r="AD2457" s="486"/>
      <c r="AE2457" s="487"/>
      <c r="AF2457" s="449"/>
      <c r="AG2457" s="449"/>
      <c r="AH2457" s="449"/>
    </row>
    <row r="2458" ht="11.25" customHeight="1">
      <c r="A2458" s="431" t="str">
        <f>IF(B2458="","", YEAR(B2458))</f>
        <v/>
      </c>
      <c r="B2458" s="432"/>
      <c r="C2458" s="433"/>
      <c r="D2458" s="433"/>
      <c r="E2458" s="434" t="str">
        <f t="shared" ref="E2458:I2458" si="1236">IFERROR(AVERAGE(L2458:L2461),"")</f>
        <v/>
      </c>
      <c r="F2458" s="434" t="str">
        <f t="shared" si="1236"/>
        <v/>
      </c>
      <c r="G2458" s="435" t="str">
        <f t="shared" si="1236"/>
        <v/>
      </c>
      <c r="H2458" s="435" t="str">
        <f t="shared" si="1236"/>
        <v/>
      </c>
      <c r="I2458" s="436" t="str">
        <f t="shared" si="1236"/>
        <v/>
      </c>
      <c r="J2458" s="437">
        <f>SUMIFS(PRODUCTION[KG],PRODUCTION[GRADE],"3X50",PRODUCTION[DATE],B2458,PRODUCTION[BATCH],C2458,PRODUCTION[SHIFT],D2458)</f>
        <v>0</v>
      </c>
      <c r="K2458" s="438" t="s">
        <v>1414</v>
      </c>
      <c r="L2458" s="443"/>
      <c r="M2458" s="440"/>
      <c r="N2458" s="441"/>
      <c r="O2458" s="441"/>
      <c r="P2458" s="442"/>
      <c r="Q2458" s="443"/>
      <c r="R2458" s="440"/>
      <c r="S2458" s="440"/>
      <c r="T2458" s="440"/>
      <c r="U2458" s="440"/>
      <c r="V2458" s="440"/>
      <c r="W2458" s="440"/>
      <c r="X2458" s="440"/>
      <c r="Y2458" s="444">
        <f t="shared" si="17"/>
        <v>0</v>
      </c>
      <c r="Z2458" s="445"/>
      <c r="AA2458" s="446">
        <f t="shared" ref="AA2458:AE2458" si="1237">$J2458*E2458</f>
        <v>0</v>
      </c>
      <c r="AB2458" s="447">
        <f t="shared" si="1237"/>
        <v>0</v>
      </c>
      <c r="AC2458" s="447">
        <f t="shared" si="1237"/>
        <v>0</v>
      </c>
      <c r="AD2458" s="447">
        <f t="shared" si="1237"/>
        <v>0</v>
      </c>
      <c r="AE2458" s="448">
        <f t="shared" si="1237"/>
        <v>0</v>
      </c>
      <c r="AF2458" s="449"/>
      <c r="AG2458" s="449"/>
      <c r="AH2458" s="449"/>
    </row>
    <row r="2459" ht="11.25" customHeight="1">
      <c r="A2459" s="450"/>
      <c r="B2459" s="451"/>
      <c r="C2459" s="452"/>
      <c r="D2459" s="452"/>
      <c r="E2459" s="453"/>
      <c r="F2459" s="453"/>
      <c r="G2459" s="454"/>
      <c r="H2459" s="454"/>
      <c r="I2459" s="455"/>
      <c r="J2459" s="456"/>
      <c r="K2459" s="457" t="s">
        <v>1416</v>
      </c>
      <c r="L2459" s="458"/>
      <c r="M2459" s="459"/>
      <c r="N2459" s="460"/>
      <c r="O2459" s="460"/>
      <c r="P2459" s="461"/>
      <c r="Q2459" s="458"/>
      <c r="R2459" s="459"/>
      <c r="S2459" s="459"/>
      <c r="T2459" s="459"/>
      <c r="U2459" s="459"/>
      <c r="V2459" s="459"/>
      <c r="W2459" s="459"/>
      <c r="X2459" s="459"/>
      <c r="Y2459" s="462">
        <f t="shared" si="17"/>
        <v>0</v>
      </c>
      <c r="Z2459" s="463"/>
      <c r="AA2459" s="464"/>
      <c r="AB2459" s="465"/>
      <c r="AC2459" s="465"/>
      <c r="AD2459" s="465"/>
      <c r="AE2459" s="466"/>
      <c r="AF2459" s="449"/>
      <c r="AG2459" s="449"/>
      <c r="AH2459" s="449"/>
    </row>
    <row r="2460" ht="11.25" customHeight="1">
      <c r="A2460" s="450"/>
      <c r="B2460" s="451"/>
      <c r="C2460" s="452"/>
      <c r="D2460" s="452"/>
      <c r="E2460" s="453"/>
      <c r="F2460" s="453"/>
      <c r="G2460" s="454"/>
      <c r="H2460" s="454"/>
      <c r="I2460" s="455"/>
      <c r="J2460" s="456"/>
      <c r="K2460" s="467" t="s">
        <v>1417</v>
      </c>
      <c r="L2460" s="468"/>
      <c r="M2460" s="469"/>
      <c r="N2460" s="470"/>
      <c r="O2460" s="470"/>
      <c r="P2460" s="471"/>
      <c r="Q2460" s="468"/>
      <c r="R2460" s="469"/>
      <c r="S2460" s="469"/>
      <c r="T2460" s="469"/>
      <c r="U2460" s="469"/>
      <c r="V2460" s="469"/>
      <c r="W2460" s="469"/>
      <c r="X2460" s="469"/>
      <c r="Y2460" s="462">
        <f t="shared" si="17"/>
        <v>0</v>
      </c>
      <c r="Z2460" s="463"/>
      <c r="AA2460" s="464"/>
      <c r="AB2460" s="465"/>
      <c r="AC2460" s="465"/>
      <c r="AD2460" s="465"/>
      <c r="AE2460" s="466"/>
      <c r="AF2460" s="449"/>
      <c r="AG2460" s="449"/>
      <c r="AH2460" s="449"/>
    </row>
    <row r="2461" ht="11.25" customHeight="1">
      <c r="A2461" s="450"/>
      <c r="B2461" s="472"/>
      <c r="C2461" s="473"/>
      <c r="D2461" s="473"/>
      <c r="E2461" s="474"/>
      <c r="F2461" s="474"/>
      <c r="G2461" s="475"/>
      <c r="H2461" s="475"/>
      <c r="I2461" s="476"/>
      <c r="J2461" s="477"/>
      <c r="K2461" s="478" t="s">
        <v>1418</v>
      </c>
      <c r="L2461" s="479"/>
      <c r="M2461" s="480"/>
      <c r="N2461" s="481"/>
      <c r="O2461" s="481"/>
      <c r="P2461" s="482"/>
      <c r="Q2461" s="479"/>
      <c r="R2461" s="480"/>
      <c r="S2461" s="480"/>
      <c r="T2461" s="480"/>
      <c r="U2461" s="480"/>
      <c r="V2461" s="480"/>
      <c r="W2461" s="480"/>
      <c r="X2461" s="480"/>
      <c r="Y2461" s="483">
        <f t="shared" si="17"/>
        <v>0</v>
      </c>
      <c r="Z2461" s="484"/>
      <c r="AA2461" s="485"/>
      <c r="AB2461" s="486"/>
      <c r="AC2461" s="486"/>
      <c r="AD2461" s="486"/>
      <c r="AE2461" s="487"/>
      <c r="AF2461" s="449"/>
      <c r="AG2461" s="449"/>
      <c r="AH2461" s="449"/>
    </row>
    <row r="2462" ht="11.25" customHeight="1">
      <c r="A2462" s="431" t="str">
        <f>IF(B2462="","", YEAR(B2462))</f>
        <v/>
      </c>
      <c r="B2462" s="432"/>
      <c r="C2462" s="433"/>
      <c r="D2462" s="433"/>
      <c r="E2462" s="434" t="str">
        <f t="shared" ref="E2462:I2462" si="1238">IFERROR(AVERAGE(L2462:L2465),"")</f>
        <v/>
      </c>
      <c r="F2462" s="434" t="str">
        <f t="shared" si="1238"/>
        <v/>
      </c>
      <c r="G2462" s="435" t="str">
        <f t="shared" si="1238"/>
        <v/>
      </c>
      <c r="H2462" s="435" t="str">
        <f t="shared" si="1238"/>
        <v/>
      </c>
      <c r="I2462" s="436" t="str">
        <f t="shared" si="1238"/>
        <v/>
      </c>
      <c r="J2462" s="437">
        <f>SUMIFS(PRODUCTION[KG],PRODUCTION[GRADE],"3X50",PRODUCTION[DATE],B2462,PRODUCTION[BATCH],C2462,PRODUCTION[SHIFT],D2462)</f>
        <v>0</v>
      </c>
      <c r="K2462" s="438" t="s">
        <v>1414</v>
      </c>
      <c r="L2462" s="443"/>
      <c r="M2462" s="440"/>
      <c r="N2462" s="441"/>
      <c r="O2462" s="441"/>
      <c r="P2462" s="442"/>
      <c r="Q2462" s="443"/>
      <c r="R2462" s="440"/>
      <c r="S2462" s="440"/>
      <c r="T2462" s="440"/>
      <c r="U2462" s="440"/>
      <c r="V2462" s="440"/>
      <c r="W2462" s="440"/>
      <c r="X2462" s="440"/>
      <c r="Y2462" s="444">
        <f t="shared" si="17"/>
        <v>0</v>
      </c>
      <c r="Z2462" s="445"/>
      <c r="AA2462" s="446">
        <f t="shared" ref="AA2462:AE2462" si="1239">$J2462*E2462</f>
        <v>0</v>
      </c>
      <c r="AB2462" s="447">
        <f t="shared" si="1239"/>
        <v>0</v>
      </c>
      <c r="AC2462" s="447">
        <f t="shared" si="1239"/>
        <v>0</v>
      </c>
      <c r="AD2462" s="447">
        <f t="shared" si="1239"/>
        <v>0</v>
      </c>
      <c r="AE2462" s="448">
        <f t="shared" si="1239"/>
        <v>0</v>
      </c>
      <c r="AF2462" s="449"/>
      <c r="AG2462" s="449"/>
      <c r="AH2462" s="449"/>
    </row>
    <row r="2463" ht="11.25" customHeight="1">
      <c r="A2463" s="450"/>
      <c r="B2463" s="451"/>
      <c r="C2463" s="452"/>
      <c r="D2463" s="452"/>
      <c r="E2463" s="453"/>
      <c r="F2463" s="453"/>
      <c r="G2463" s="454"/>
      <c r="H2463" s="454"/>
      <c r="I2463" s="455"/>
      <c r="J2463" s="456"/>
      <c r="K2463" s="457" t="s">
        <v>1416</v>
      </c>
      <c r="L2463" s="458"/>
      <c r="M2463" s="459"/>
      <c r="N2463" s="460"/>
      <c r="O2463" s="460"/>
      <c r="P2463" s="461"/>
      <c r="Q2463" s="458"/>
      <c r="R2463" s="459"/>
      <c r="S2463" s="459"/>
      <c r="T2463" s="459"/>
      <c r="U2463" s="459"/>
      <c r="V2463" s="459"/>
      <c r="W2463" s="459"/>
      <c r="X2463" s="459"/>
      <c r="Y2463" s="462">
        <f t="shared" si="17"/>
        <v>0</v>
      </c>
      <c r="Z2463" s="463"/>
      <c r="AA2463" s="464"/>
      <c r="AB2463" s="465"/>
      <c r="AC2463" s="465"/>
      <c r="AD2463" s="465"/>
      <c r="AE2463" s="466"/>
      <c r="AF2463" s="449"/>
      <c r="AG2463" s="449"/>
      <c r="AH2463" s="449"/>
    </row>
    <row r="2464" ht="11.25" customHeight="1">
      <c r="A2464" s="450"/>
      <c r="B2464" s="451"/>
      <c r="C2464" s="452"/>
      <c r="D2464" s="452"/>
      <c r="E2464" s="453"/>
      <c r="F2464" s="453"/>
      <c r="G2464" s="454"/>
      <c r="H2464" s="454"/>
      <c r="I2464" s="455"/>
      <c r="J2464" s="456"/>
      <c r="K2464" s="467" t="s">
        <v>1417</v>
      </c>
      <c r="L2464" s="468"/>
      <c r="M2464" s="469"/>
      <c r="N2464" s="470"/>
      <c r="O2464" s="470"/>
      <c r="P2464" s="471"/>
      <c r="Q2464" s="468"/>
      <c r="R2464" s="469"/>
      <c r="S2464" s="469"/>
      <c r="T2464" s="469"/>
      <c r="U2464" s="469"/>
      <c r="V2464" s="469"/>
      <c r="W2464" s="469"/>
      <c r="X2464" s="469"/>
      <c r="Y2464" s="462">
        <f t="shared" si="17"/>
        <v>0</v>
      </c>
      <c r="Z2464" s="463"/>
      <c r="AA2464" s="464"/>
      <c r="AB2464" s="465"/>
      <c r="AC2464" s="465"/>
      <c r="AD2464" s="465"/>
      <c r="AE2464" s="466"/>
      <c r="AF2464" s="449"/>
      <c r="AG2464" s="449"/>
      <c r="AH2464" s="449"/>
    </row>
    <row r="2465" ht="11.25" customHeight="1">
      <c r="A2465" s="450"/>
      <c r="B2465" s="472"/>
      <c r="C2465" s="473"/>
      <c r="D2465" s="473"/>
      <c r="E2465" s="474"/>
      <c r="F2465" s="474"/>
      <c r="G2465" s="475"/>
      <c r="H2465" s="475"/>
      <c r="I2465" s="476"/>
      <c r="J2465" s="477"/>
      <c r="K2465" s="478" t="s">
        <v>1418</v>
      </c>
      <c r="L2465" s="479"/>
      <c r="M2465" s="480"/>
      <c r="N2465" s="481"/>
      <c r="O2465" s="481"/>
      <c r="P2465" s="482"/>
      <c r="Q2465" s="479"/>
      <c r="R2465" s="480"/>
      <c r="S2465" s="480"/>
      <c r="T2465" s="480"/>
      <c r="U2465" s="480"/>
      <c r="V2465" s="480"/>
      <c r="W2465" s="480"/>
      <c r="X2465" s="480"/>
      <c r="Y2465" s="483">
        <f t="shared" si="17"/>
        <v>0</v>
      </c>
      <c r="Z2465" s="484"/>
      <c r="AA2465" s="485"/>
      <c r="AB2465" s="486"/>
      <c r="AC2465" s="486"/>
      <c r="AD2465" s="486"/>
      <c r="AE2465" s="487"/>
      <c r="AF2465" s="449"/>
      <c r="AG2465" s="449"/>
      <c r="AH2465" s="449"/>
    </row>
    <row r="2466" ht="11.25" customHeight="1">
      <c r="A2466" s="431" t="str">
        <f>IF(B2466="","", YEAR(B2466))</f>
        <v/>
      </c>
      <c r="B2466" s="432"/>
      <c r="C2466" s="433"/>
      <c r="D2466" s="433"/>
      <c r="E2466" s="434" t="str">
        <f t="shared" ref="E2466:I2466" si="1240">IFERROR(AVERAGE(L2466:L2469),"")</f>
        <v/>
      </c>
      <c r="F2466" s="434" t="str">
        <f t="shared" si="1240"/>
        <v/>
      </c>
      <c r="G2466" s="435" t="str">
        <f t="shared" si="1240"/>
        <v/>
      </c>
      <c r="H2466" s="435" t="str">
        <f t="shared" si="1240"/>
        <v/>
      </c>
      <c r="I2466" s="436" t="str">
        <f t="shared" si="1240"/>
        <v/>
      </c>
      <c r="J2466" s="437">
        <f>SUMIFS(PRODUCTION[KG],PRODUCTION[GRADE],"3X50",PRODUCTION[DATE],B2466,PRODUCTION[BATCH],C2466,PRODUCTION[SHIFT],D2466)</f>
        <v>0</v>
      </c>
      <c r="K2466" s="438" t="s">
        <v>1414</v>
      </c>
      <c r="L2466" s="443"/>
      <c r="M2466" s="440"/>
      <c r="N2466" s="441"/>
      <c r="O2466" s="441"/>
      <c r="P2466" s="442"/>
      <c r="Q2466" s="443"/>
      <c r="R2466" s="440"/>
      <c r="S2466" s="440"/>
      <c r="T2466" s="440"/>
      <c r="U2466" s="440"/>
      <c r="V2466" s="440"/>
      <c r="W2466" s="440"/>
      <c r="X2466" s="440"/>
      <c r="Y2466" s="444">
        <f t="shared" si="17"/>
        <v>0</v>
      </c>
      <c r="Z2466" s="445"/>
      <c r="AA2466" s="446">
        <f t="shared" ref="AA2466:AE2466" si="1241">$J2466*E2466</f>
        <v>0</v>
      </c>
      <c r="AB2466" s="447">
        <f t="shared" si="1241"/>
        <v>0</v>
      </c>
      <c r="AC2466" s="447">
        <f t="shared" si="1241"/>
        <v>0</v>
      </c>
      <c r="AD2466" s="447">
        <f t="shared" si="1241"/>
        <v>0</v>
      </c>
      <c r="AE2466" s="448">
        <f t="shared" si="1241"/>
        <v>0</v>
      </c>
      <c r="AF2466" s="449"/>
      <c r="AG2466" s="449"/>
      <c r="AH2466" s="449"/>
    </row>
    <row r="2467" ht="11.25" customHeight="1">
      <c r="A2467" s="450"/>
      <c r="B2467" s="451"/>
      <c r="C2467" s="452"/>
      <c r="D2467" s="452"/>
      <c r="E2467" s="453"/>
      <c r="F2467" s="453"/>
      <c r="G2467" s="454"/>
      <c r="H2467" s="454"/>
      <c r="I2467" s="455"/>
      <c r="J2467" s="456"/>
      <c r="K2467" s="457" t="s">
        <v>1416</v>
      </c>
      <c r="L2467" s="458"/>
      <c r="M2467" s="459"/>
      <c r="N2467" s="460"/>
      <c r="O2467" s="460"/>
      <c r="P2467" s="461"/>
      <c r="Q2467" s="458"/>
      <c r="R2467" s="459"/>
      <c r="S2467" s="459"/>
      <c r="T2467" s="459"/>
      <c r="U2467" s="459"/>
      <c r="V2467" s="459"/>
      <c r="W2467" s="459"/>
      <c r="X2467" s="459"/>
      <c r="Y2467" s="462">
        <f t="shared" si="17"/>
        <v>0</v>
      </c>
      <c r="Z2467" s="463"/>
      <c r="AA2467" s="464"/>
      <c r="AB2467" s="465"/>
      <c r="AC2467" s="465"/>
      <c r="AD2467" s="465"/>
      <c r="AE2467" s="466"/>
      <c r="AF2467" s="449"/>
      <c r="AG2467" s="449"/>
      <c r="AH2467" s="449"/>
    </row>
    <row r="2468" ht="11.25" customHeight="1">
      <c r="A2468" s="450"/>
      <c r="B2468" s="451"/>
      <c r="C2468" s="452"/>
      <c r="D2468" s="452"/>
      <c r="E2468" s="453"/>
      <c r="F2468" s="453"/>
      <c r="G2468" s="454"/>
      <c r="H2468" s="454"/>
      <c r="I2468" s="455"/>
      <c r="J2468" s="456"/>
      <c r="K2468" s="467" t="s">
        <v>1417</v>
      </c>
      <c r="L2468" s="468"/>
      <c r="M2468" s="469"/>
      <c r="N2468" s="470"/>
      <c r="O2468" s="470"/>
      <c r="P2468" s="471"/>
      <c r="Q2468" s="468"/>
      <c r="R2468" s="469"/>
      <c r="S2468" s="469"/>
      <c r="T2468" s="469"/>
      <c r="U2468" s="469"/>
      <c r="V2468" s="469"/>
      <c r="W2468" s="469"/>
      <c r="X2468" s="469"/>
      <c r="Y2468" s="462">
        <f t="shared" si="17"/>
        <v>0</v>
      </c>
      <c r="Z2468" s="463"/>
      <c r="AA2468" s="464"/>
      <c r="AB2468" s="465"/>
      <c r="AC2468" s="465"/>
      <c r="AD2468" s="465"/>
      <c r="AE2468" s="466"/>
      <c r="AF2468" s="449"/>
      <c r="AG2468" s="449"/>
      <c r="AH2468" s="449"/>
    </row>
    <row r="2469" ht="11.25" customHeight="1">
      <c r="A2469" s="450"/>
      <c r="B2469" s="472"/>
      <c r="C2469" s="473"/>
      <c r="D2469" s="473"/>
      <c r="E2469" s="474"/>
      <c r="F2469" s="474"/>
      <c r="G2469" s="475"/>
      <c r="H2469" s="475"/>
      <c r="I2469" s="476"/>
      <c r="J2469" s="477"/>
      <c r="K2469" s="478" t="s">
        <v>1418</v>
      </c>
      <c r="L2469" s="479"/>
      <c r="M2469" s="480"/>
      <c r="N2469" s="481"/>
      <c r="O2469" s="481"/>
      <c r="P2469" s="482"/>
      <c r="Q2469" s="479"/>
      <c r="R2469" s="480"/>
      <c r="S2469" s="480"/>
      <c r="T2469" s="480"/>
      <c r="U2469" s="480"/>
      <c r="V2469" s="480"/>
      <c r="W2469" s="480"/>
      <c r="X2469" s="480"/>
      <c r="Y2469" s="483">
        <f t="shared" si="17"/>
        <v>0</v>
      </c>
      <c r="Z2469" s="484"/>
      <c r="AA2469" s="485"/>
      <c r="AB2469" s="486"/>
      <c r="AC2469" s="486"/>
      <c r="AD2469" s="486"/>
      <c r="AE2469" s="487"/>
      <c r="AF2469" s="449"/>
      <c r="AG2469" s="449"/>
      <c r="AH2469" s="449"/>
    </row>
    <row r="2470" ht="11.25" customHeight="1">
      <c r="A2470" s="431" t="str">
        <f>IF(B2470="","", YEAR(B2470))</f>
        <v/>
      </c>
      <c r="B2470" s="432"/>
      <c r="C2470" s="433"/>
      <c r="D2470" s="433"/>
      <c r="E2470" s="434" t="str">
        <f t="shared" ref="E2470:I2470" si="1242">IFERROR(AVERAGE(L2470:L2473),"")</f>
        <v/>
      </c>
      <c r="F2470" s="434" t="str">
        <f t="shared" si="1242"/>
        <v/>
      </c>
      <c r="G2470" s="435" t="str">
        <f t="shared" si="1242"/>
        <v/>
      </c>
      <c r="H2470" s="435" t="str">
        <f t="shared" si="1242"/>
        <v/>
      </c>
      <c r="I2470" s="436" t="str">
        <f t="shared" si="1242"/>
        <v/>
      </c>
      <c r="J2470" s="437">
        <f>SUMIFS(PRODUCTION[KG],PRODUCTION[GRADE],"3X50",PRODUCTION[DATE],B2470,PRODUCTION[BATCH],C2470,PRODUCTION[SHIFT],D2470)</f>
        <v>0</v>
      </c>
      <c r="K2470" s="438" t="s">
        <v>1414</v>
      </c>
      <c r="L2470" s="443"/>
      <c r="M2470" s="440"/>
      <c r="N2470" s="441"/>
      <c r="O2470" s="441"/>
      <c r="P2470" s="442"/>
      <c r="Q2470" s="443"/>
      <c r="R2470" s="440"/>
      <c r="S2470" s="440"/>
      <c r="T2470" s="440"/>
      <c r="U2470" s="440"/>
      <c r="V2470" s="440"/>
      <c r="W2470" s="440"/>
      <c r="X2470" s="440"/>
      <c r="Y2470" s="444">
        <f t="shared" si="17"/>
        <v>0</v>
      </c>
      <c r="Z2470" s="445"/>
      <c r="AA2470" s="446">
        <f t="shared" ref="AA2470:AE2470" si="1243">$J2470*E2470</f>
        <v>0</v>
      </c>
      <c r="AB2470" s="447">
        <f t="shared" si="1243"/>
        <v>0</v>
      </c>
      <c r="AC2470" s="447">
        <f t="shared" si="1243"/>
        <v>0</v>
      </c>
      <c r="AD2470" s="447">
        <f t="shared" si="1243"/>
        <v>0</v>
      </c>
      <c r="AE2470" s="448">
        <f t="shared" si="1243"/>
        <v>0</v>
      </c>
      <c r="AF2470" s="449"/>
      <c r="AG2470" s="449"/>
      <c r="AH2470" s="449"/>
    </row>
    <row r="2471" ht="11.25" customHeight="1">
      <c r="A2471" s="450"/>
      <c r="B2471" s="451"/>
      <c r="C2471" s="452"/>
      <c r="D2471" s="452"/>
      <c r="E2471" s="453"/>
      <c r="F2471" s="453"/>
      <c r="G2471" s="454"/>
      <c r="H2471" s="454"/>
      <c r="I2471" s="455"/>
      <c r="J2471" s="456"/>
      <c r="K2471" s="457" t="s">
        <v>1416</v>
      </c>
      <c r="L2471" s="458"/>
      <c r="M2471" s="459"/>
      <c r="N2471" s="460"/>
      <c r="O2471" s="460"/>
      <c r="P2471" s="461"/>
      <c r="Q2471" s="458"/>
      <c r="R2471" s="459"/>
      <c r="S2471" s="459"/>
      <c r="T2471" s="459"/>
      <c r="U2471" s="459"/>
      <c r="V2471" s="459"/>
      <c r="W2471" s="459"/>
      <c r="X2471" s="459"/>
      <c r="Y2471" s="462">
        <f t="shared" si="17"/>
        <v>0</v>
      </c>
      <c r="Z2471" s="463"/>
      <c r="AA2471" s="464"/>
      <c r="AB2471" s="465"/>
      <c r="AC2471" s="465"/>
      <c r="AD2471" s="465"/>
      <c r="AE2471" s="466"/>
      <c r="AF2471" s="449"/>
      <c r="AG2471" s="449"/>
      <c r="AH2471" s="449"/>
    </row>
    <row r="2472" ht="11.25" customHeight="1">
      <c r="A2472" s="450"/>
      <c r="B2472" s="451"/>
      <c r="C2472" s="452"/>
      <c r="D2472" s="452"/>
      <c r="E2472" s="453"/>
      <c r="F2472" s="453"/>
      <c r="G2472" s="454"/>
      <c r="H2472" s="454"/>
      <c r="I2472" s="455"/>
      <c r="J2472" s="456"/>
      <c r="K2472" s="467" t="s">
        <v>1417</v>
      </c>
      <c r="L2472" s="468"/>
      <c r="M2472" s="469"/>
      <c r="N2472" s="470"/>
      <c r="O2472" s="470"/>
      <c r="P2472" s="471"/>
      <c r="Q2472" s="468"/>
      <c r="R2472" s="469"/>
      <c r="S2472" s="469"/>
      <c r="T2472" s="469"/>
      <c r="U2472" s="469"/>
      <c r="V2472" s="469"/>
      <c r="W2472" s="469"/>
      <c r="X2472" s="469"/>
      <c r="Y2472" s="462">
        <f t="shared" si="17"/>
        <v>0</v>
      </c>
      <c r="Z2472" s="463"/>
      <c r="AA2472" s="464"/>
      <c r="AB2472" s="465"/>
      <c r="AC2472" s="465"/>
      <c r="AD2472" s="465"/>
      <c r="AE2472" s="466"/>
      <c r="AF2472" s="449"/>
      <c r="AG2472" s="449"/>
      <c r="AH2472" s="449"/>
    </row>
    <row r="2473" ht="11.25" customHeight="1">
      <c r="A2473" s="450"/>
      <c r="B2473" s="472"/>
      <c r="C2473" s="473"/>
      <c r="D2473" s="473"/>
      <c r="E2473" s="474"/>
      <c r="F2473" s="474"/>
      <c r="G2473" s="475"/>
      <c r="H2473" s="475"/>
      <c r="I2473" s="476"/>
      <c r="J2473" s="477"/>
      <c r="K2473" s="478" t="s">
        <v>1418</v>
      </c>
      <c r="L2473" s="479"/>
      <c r="M2473" s="480"/>
      <c r="N2473" s="481"/>
      <c r="O2473" s="481"/>
      <c r="P2473" s="482"/>
      <c r="Q2473" s="479"/>
      <c r="R2473" s="480"/>
      <c r="S2473" s="480"/>
      <c r="T2473" s="480"/>
      <c r="U2473" s="480"/>
      <c r="V2473" s="480"/>
      <c r="W2473" s="480"/>
      <c r="X2473" s="480"/>
      <c r="Y2473" s="483">
        <f t="shared" si="17"/>
        <v>0</v>
      </c>
      <c r="Z2473" s="484"/>
      <c r="AA2473" s="485"/>
      <c r="AB2473" s="486"/>
      <c r="AC2473" s="486"/>
      <c r="AD2473" s="486"/>
      <c r="AE2473" s="487"/>
      <c r="AF2473" s="449"/>
      <c r="AG2473" s="449"/>
      <c r="AH2473" s="449"/>
    </row>
    <row r="2474" ht="11.25" customHeight="1">
      <c r="A2474" s="431" t="str">
        <f>IF(B2474="","", YEAR(B2474))</f>
        <v/>
      </c>
      <c r="B2474" s="432"/>
      <c r="C2474" s="433"/>
      <c r="D2474" s="433"/>
      <c r="E2474" s="434" t="str">
        <f t="shared" ref="E2474:I2474" si="1244">IFERROR(AVERAGE(L2474:L2477),"")</f>
        <v/>
      </c>
      <c r="F2474" s="434" t="str">
        <f t="shared" si="1244"/>
        <v/>
      </c>
      <c r="G2474" s="435" t="str">
        <f t="shared" si="1244"/>
        <v/>
      </c>
      <c r="H2474" s="435" t="str">
        <f t="shared" si="1244"/>
        <v/>
      </c>
      <c r="I2474" s="436" t="str">
        <f t="shared" si="1244"/>
        <v/>
      </c>
      <c r="J2474" s="437">
        <f>SUMIFS(PRODUCTION[KG],PRODUCTION[GRADE],"3X50",PRODUCTION[DATE],B2474,PRODUCTION[BATCH],C2474,PRODUCTION[SHIFT],D2474)</f>
        <v>0</v>
      </c>
      <c r="K2474" s="438" t="s">
        <v>1414</v>
      </c>
      <c r="L2474" s="443"/>
      <c r="M2474" s="440"/>
      <c r="N2474" s="441"/>
      <c r="O2474" s="441"/>
      <c r="P2474" s="442"/>
      <c r="Q2474" s="443"/>
      <c r="R2474" s="440"/>
      <c r="S2474" s="440"/>
      <c r="T2474" s="440"/>
      <c r="U2474" s="440"/>
      <c r="V2474" s="440"/>
      <c r="W2474" s="440"/>
      <c r="X2474" s="440"/>
      <c r="Y2474" s="444">
        <f t="shared" si="17"/>
        <v>0</v>
      </c>
      <c r="Z2474" s="445"/>
      <c r="AA2474" s="446">
        <f t="shared" ref="AA2474:AE2474" si="1245">$J2474*E2474</f>
        <v>0</v>
      </c>
      <c r="AB2474" s="447">
        <f t="shared" si="1245"/>
        <v>0</v>
      </c>
      <c r="AC2474" s="447">
        <f t="shared" si="1245"/>
        <v>0</v>
      </c>
      <c r="AD2474" s="447">
        <f t="shared" si="1245"/>
        <v>0</v>
      </c>
      <c r="AE2474" s="448">
        <f t="shared" si="1245"/>
        <v>0</v>
      </c>
      <c r="AF2474" s="449"/>
      <c r="AG2474" s="449"/>
      <c r="AH2474" s="449"/>
    </row>
    <row r="2475" ht="11.25" customHeight="1">
      <c r="A2475" s="450"/>
      <c r="B2475" s="451"/>
      <c r="C2475" s="452"/>
      <c r="D2475" s="452"/>
      <c r="E2475" s="453"/>
      <c r="F2475" s="453"/>
      <c r="G2475" s="454"/>
      <c r="H2475" s="454"/>
      <c r="I2475" s="455"/>
      <c r="J2475" s="456"/>
      <c r="K2475" s="457" t="s">
        <v>1416</v>
      </c>
      <c r="L2475" s="458"/>
      <c r="M2475" s="459"/>
      <c r="N2475" s="460"/>
      <c r="O2475" s="460"/>
      <c r="P2475" s="461"/>
      <c r="Q2475" s="458"/>
      <c r="R2475" s="459"/>
      <c r="S2475" s="459"/>
      <c r="T2475" s="459"/>
      <c r="U2475" s="459"/>
      <c r="V2475" s="459"/>
      <c r="W2475" s="459"/>
      <c r="X2475" s="459"/>
      <c r="Y2475" s="462">
        <f t="shared" si="17"/>
        <v>0</v>
      </c>
      <c r="Z2475" s="463"/>
      <c r="AA2475" s="464"/>
      <c r="AB2475" s="465"/>
      <c r="AC2475" s="465"/>
      <c r="AD2475" s="465"/>
      <c r="AE2475" s="466"/>
      <c r="AF2475" s="449"/>
      <c r="AG2475" s="449"/>
      <c r="AH2475" s="449"/>
    </row>
    <row r="2476" ht="11.25" customHeight="1">
      <c r="A2476" s="450"/>
      <c r="B2476" s="451"/>
      <c r="C2476" s="452"/>
      <c r="D2476" s="452"/>
      <c r="E2476" s="453"/>
      <c r="F2476" s="453"/>
      <c r="G2476" s="454"/>
      <c r="H2476" s="454"/>
      <c r="I2476" s="455"/>
      <c r="J2476" s="456"/>
      <c r="K2476" s="467" t="s">
        <v>1417</v>
      </c>
      <c r="L2476" s="468"/>
      <c r="M2476" s="469"/>
      <c r="N2476" s="470"/>
      <c r="O2476" s="470"/>
      <c r="P2476" s="471"/>
      <c r="Q2476" s="468"/>
      <c r="R2476" s="469"/>
      <c r="S2476" s="469"/>
      <c r="T2476" s="469"/>
      <c r="U2476" s="469"/>
      <c r="V2476" s="469"/>
      <c r="W2476" s="469"/>
      <c r="X2476" s="469"/>
      <c r="Y2476" s="462">
        <f t="shared" si="17"/>
        <v>0</v>
      </c>
      <c r="Z2476" s="463"/>
      <c r="AA2476" s="464"/>
      <c r="AB2476" s="465"/>
      <c r="AC2476" s="465"/>
      <c r="AD2476" s="465"/>
      <c r="AE2476" s="466"/>
      <c r="AF2476" s="449"/>
      <c r="AG2476" s="449"/>
      <c r="AH2476" s="449"/>
    </row>
    <row r="2477" ht="11.25" customHeight="1">
      <c r="A2477" s="450"/>
      <c r="B2477" s="472"/>
      <c r="C2477" s="473"/>
      <c r="D2477" s="473"/>
      <c r="E2477" s="474"/>
      <c r="F2477" s="474"/>
      <c r="G2477" s="475"/>
      <c r="H2477" s="475"/>
      <c r="I2477" s="476"/>
      <c r="J2477" s="477"/>
      <c r="K2477" s="478" t="s">
        <v>1418</v>
      </c>
      <c r="L2477" s="479"/>
      <c r="M2477" s="480"/>
      <c r="N2477" s="481"/>
      <c r="O2477" s="481"/>
      <c r="P2477" s="482"/>
      <c r="Q2477" s="479"/>
      <c r="R2477" s="480"/>
      <c r="S2477" s="480"/>
      <c r="T2477" s="480"/>
      <c r="U2477" s="480"/>
      <c r="V2477" s="480"/>
      <c r="W2477" s="480"/>
      <c r="X2477" s="480"/>
      <c r="Y2477" s="483">
        <f t="shared" si="17"/>
        <v>0</v>
      </c>
      <c r="Z2477" s="484"/>
      <c r="AA2477" s="485"/>
      <c r="AB2477" s="486"/>
      <c r="AC2477" s="486"/>
      <c r="AD2477" s="486"/>
      <c r="AE2477" s="487"/>
      <c r="AF2477" s="449"/>
      <c r="AG2477" s="449"/>
      <c r="AH2477" s="449"/>
    </row>
    <row r="2478" ht="11.25" customHeight="1">
      <c r="A2478" s="431" t="str">
        <f>IF(B2478="","", YEAR(B2478))</f>
        <v/>
      </c>
      <c r="B2478" s="432"/>
      <c r="C2478" s="433"/>
      <c r="D2478" s="433"/>
      <c r="E2478" s="434" t="str">
        <f t="shared" ref="E2478:I2478" si="1246">IFERROR(AVERAGE(L2478:L2481),"")</f>
        <v/>
      </c>
      <c r="F2478" s="434" t="str">
        <f t="shared" si="1246"/>
        <v/>
      </c>
      <c r="G2478" s="435" t="str">
        <f t="shared" si="1246"/>
        <v/>
      </c>
      <c r="H2478" s="435" t="str">
        <f t="shared" si="1246"/>
        <v/>
      </c>
      <c r="I2478" s="436" t="str">
        <f t="shared" si="1246"/>
        <v/>
      </c>
      <c r="J2478" s="437">
        <f>SUMIFS(PRODUCTION[KG],PRODUCTION[GRADE],"3X50",PRODUCTION[DATE],B2478,PRODUCTION[BATCH],C2478,PRODUCTION[SHIFT],D2478)</f>
        <v>0</v>
      </c>
      <c r="K2478" s="438" t="s">
        <v>1414</v>
      </c>
      <c r="L2478" s="443"/>
      <c r="M2478" s="440"/>
      <c r="N2478" s="441"/>
      <c r="O2478" s="441"/>
      <c r="P2478" s="442"/>
      <c r="Q2478" s="443"/>
      <c r="R2478" s="440"/>
      <c r="S2478" s="440"/>
      <c r="T2478" s="440"/>
      <c r="U2478" s="440"/>
      <c r="V2478" s="440"/>
      <c r="W2478" s="440"/>
      <c r="X2478" s="440"/>
      <c r="Y2478" s="444">
        <f t="shared" si="17"/>
        <v>0</v>
      </c>
      <c r="Z2478" s="445"/>
      <c r="AA2478" s="446">
        <f t="shared" ref="AA2478:AE2478" si="1247">$J2478*E2478</f>
        <v>0</v>
      </c>
      <c r="AB2478" s="447">
        <f t="shared" si="1247"/>
        <v>0</v>
      </c>
      <c r="AC2478" s="447">
        <f t="shared" si="1247"/>
        <v>0</v>
      </c>
      <c r="AD2478" s="447">
        <f t="shared" si="1247"/>
        <v>0</v>
      </c>
      <c r="AE2478" s="448">
        <f t="shared" si="1247"/>
        <v>0</v>
      </c>
      <c r="AF2478" s="449"/>
      <c r="AG2478" s="449"/>
      <c r="AH2478" s="449"/>
    </row>
    <row r="2479" ht="11.25" customHeight="1">
      <c r="A2479" s="450"/>
      <c r="B2479" s="451"/>
      <c r="C2479" s="452"/>
      <c r="D2479" s="452"/>
      <c r="E2479" s="453"/>
      <c r="F2479" s="453"/>
      <c r="G2479" s="454"/>
      <c r="H2479" s="454"/>
      <c r="I2479" s="455"/>
      <c r="J2479" s="456"/>
      <c r="K2479" s="457" t="s">
        <v>1416</v>
      </c>
      <c r="L2479" s="458"/>
      <c r="M2479" s="459"/>
      <c r="N2479" s="460"/>
      <c r="O2479" s="460"/>
      <c r="P2479" s="461"/>
      <c r="Q2479" s="458"/>
      <c r="R2479" s="459"/>
      <c r="S2479" s="459"/>
      <c r="T2479" s="459"/>
      <c r="U2479" s="459"/>
      <c r="V2479" s="459"/>
      <c r="W2479" s="459"/>
      <c r="X2479" s="459"/>
      <c r="Y2479" s="462">
        <f t="shared" si="17"/>
        <v>0</v>
      </c>
      <c r="Z2479" s="463"/>
      <c r="AA2479" s="464"/>
      <c r="AB2479" s="465"/>
      <c r="AC2479" s="465"/>
      <c r="AD2479" s="465"/>
      <c r="AE2479" s="466"/>
      <c r="AF2479" s="449"/>
      <c r="AG2479" s="449"/>
      <c r="AH2479" s="449"/>
    </row>
    <row r="2480" ht="11.25" customHeight="1">
      <c r="A2480" s="450"/>
      <c r="B2480" s="451"/>
      <c r="C2480" s="452"/>
      <c r="D2480" s="452"/>
      <c r="E2480" s="453"/>
      <c r="F2480" s="453"/>
      <c r="G2480" s="454"/>
      <c r="H2480" s="454"/>
      <c r="I2480" s="455"/>
      <c r="J2480" s="456"/>
      <c r="K2480" s="467" t="s">
        <v>1417</v>
      </c>
      <c r="L2480" s="468"/>
      <c r="M2480" s="469"/>
      <c r="N2480" s="470"/>
      <c r="O2480" s="470"/>
      <c r="P2480" s="471"/>
      <c r="Q2480" s="468"/>
      <c r="R2480" s="469"/>
      <c r="S2480" s="469"/>
      <c r="T2480" s="469"/>
      <c r="U2480" s="469"/>
      <c r="V2480" s="469"/>
      <c r="W2480" s="469"/>
      <c r="X2480" s="469"/>
      <c r="Y2480" s="462">
        <f t="shared" si="17"/>
        <v>0</v>
      </c>
      <c r="Z2480" s="463"/>
      <c r="AA2480" s="464"/>
      <c r="AB2480" s="465"/>
      <c r="AC2480" s="465"/>
      <c r="AD2480" s="465"/>
      <c r="AE2480" s="466"/>
      <c r="AF2480" s="449"/>
      <c r="AG2480" s="449"/>
      <c r="AH2480" s="449"/>
    </row>
    <row r="2481" ht="11.25" customHeight="1">
      <c r="A2481" s="450"/>
      <c r="B2481" s="472"/>
      <c r="C2481" s="473"/>
      <c r="D2481" s="473"/>
      <c r="E2481" s="474"/>
      <c r="F2481" s="474"/>
      <c r="G2481" s="475"/>
      <c r="H2481" s="475"/>
      <c r="I2481" s="476"/>
      <c r="J2481" s="477"/>
      <c r="K2481" s="478" t="s">
        <v>1418</v>
      </c>
      <c r="L2481" s="479"/>
      <c r="M2481" s="480"/>
      <c r="N2481" s="481"/>
      <c r="O2481" s="481"/>
      <c r="P2481" s="482"/>
      <c r="Q2481" s="479"/>
      <c r="R2481" s="480"/>
      <c r="S2481" s="480"/>
      <c r="T2481" s="480"/>
      <c r="U2481" s="480"/>
      <c r="V2481" s="480"/>
      <c r="W2481" s="480"/>
      <c r="X2481" s="480"/>
      <c r="Y2481" s="483">
        <f t="shared" si="17"/>
        <v>0</v>
      </c>
      <c r="Z2481" s="484"/>
      <c r="AA2481" s="485"/>
      <c r="AB2481" s="486"/>
      <c r="AC2481" s="486"/>
      <c r="AD2481" s="486"/>
      <c r="AE2481" s="487"/>
      <c r="AF2481" s="449"/>
      <c r="AG2481" s="449"/>
      <c r="AH2481" s="449"/>
    </row>
    <row r="2482" ht="11.25" customHeight="1">
      <c r="A2482" s="431" t="str">
        <f>IF(B2482="","", YEAR(B2482))</f>
        <v/>
      </c>
      <c r="B2482" s="432"/>
      <c r="C2482" s="433"/>
      <c r="D2482" s="433"/>
      <c r="E2482" s="434" t="str">
        <f t="shared" ref="E2482:I2482" si="1248">IFERROR(AVERAGE(L2482:L2485),"")</f>
        <v/>
      </c>
      <c r="F2482" s="434" t="str">
        <f t="shared" si="1248"/>
        <v/>
      </c>
      <c r="G2482" s="435" t="str">
        <f t="shared" si="1248"/>
        <v/>
      </c>
      <c r="H2482" s="435" t="str">
        <f t="shared" si="1248"/>
        <v/>
      </c>
      <c r="I2482" s="436" t="str">
        <f t="shared" si="1248"/>
        <v/>
      </c>
      <c r="J2482" s="437">
        <f>SUMIFS(PRODUCTION[KG],PRODUCTION[GRADE],"3X50",PRODUCTION[DATE],B2482,PRODUCTION[BATCH],C2482,PRODUCTION[SHIFT],D2482)</f>
        <v>0</v>
      </c>
      <c r="K2482" s="438" t="s">
        <v>1414</v>
      </c>
      <c r="L2482" s="443"/>
      <c r="M2482" s="440"/>
      <c r="N2482" s="441"/>
      <c r="O2482" s="441"/>
      <c r="P2482" s="442"/>
      <c r="Q2482" s="443"/>
      <c r="R2482" s="440"/>
      <c r="S2482" s="440"/>
      <c r="T2482" s="440"/>
      <c r="U2482" s="440"/>
      <c r="V2482" s="440"/>
      <c r="W2482" s="440"/>
      <c r="X2482" s="440"/>
      <c r="Y2482" s="444">
        <f t="shared" si="17"/>
        <v>0</v>
      </c>
      <c r="Z2482" s="445"/>
      <c r="AA2482" s="446">
        <f t="shared" ref="AA2482:AE2482" si="1249">$J2482*E2482</f>
        <v>0</v>
      </c>
      <c r="AB2482" s="447">
        <f t="shared" si="1249"/>
        <v>0</v>
      </c>
      <c r="AC2482" s="447">
        <f t="shared" si="1249"/>
        <v>0</v>
      </c>
      <c r="AD2482" s="447">
        <f t="shared" si="1249"/>
        <v>0</v>
      </c>
      <c r="AE2482" s="448">
        <f t="shared" si="1249"/>
        <v>0</v>
      </c>
      <c r="AF2482" s="449"/>
      <c r="AG2482" s="449"/>
      <c r="AH2482" s="449"/>
    </row>
    <row r="2483" ht="11.25" customHeight="1">
      <c r="A2483" s="450"/>
      <c r="B2483" s="451"/>
      <c r="C2483" s="452"/>
      <c r="D2483" s="452"/>
      <c r="E2483" s="453"/>
      <c r="F2483" s="453"/>
      <c r="G2483" s="454"/>
      <c r="H2483" s="454"/>
      <c r="I2483" s="455"/>
      <c r="J2483" s="456"/>
      <c r="K2483" s="457" t="s">
        <v>1416</v>
      </c>
      <c r="L2483" s="458"/>
      <c r="M2483" s="459"/>
      <c r="N2483" s="460"/>
      <c r="O2483" s="460"/>
      <c r="P2483" s="461"/>
      <c r="Q2483" s="458"/>
      <c r="R2483" s="459"/>
      <c r="S2483" s="459"/>
      <c r="T2483" s="459"/>
      <c r="U2483" s="459"/>
      <c r="V2483" s="459"/>
      <c r="W2483" s="459"/>
      <c r="X2483" s="459"/>
      <c r="Y2483" s="462">
        <f t="shared" si="17"/>
        <v>0</v>
      </c>
      <c r="Z2483" s="463"/>
      <c r="AA2483" s="464"/>
      <c r="AB2483" s="465"/>
      <c r="AC2483" s="465"/>
      <c r="AD2483" s="465"/>
      <c r="AE2483" s="466"/>
      <c r="AF2483" s="449"/>
      <c r="AG2483" s="449"/>
      <c r="AH2483" s="449"/>
    </row>
    <row r="2484" ht="11.25" customHeight="1">
      <c r="A2484" s="450"/>
      <c r="B2484" s="451"/>
      <c r="C2484" s="452"/>
      <c r="D2484" s="452"/>
      <c r="E2484" s="453"/>
      <c r="F2484" s="453"/>
      <c r="G2484" s="454"/>
      <c r="H2484" s="454"/>
      <c r="I2484" s="455"/>
      <c r="J2484" s="456"/>
      <c r="K2484" s="467" t="s">
        <v>1417</v>
      </c>
      <c r="L2484" s="468"/>
      <c r="M2484" s="469"/>
      <c r="N2484" s="470"/>
      <c r="O2484" s="470"/>
      <c r="P2484" s="471"/>
      <c r="Q2484" s="468"/>
      <c r="R2484" s="469"/>
      <c r="S2484" s="469"/>
      <c r="T2484" s="469"/>
      <c r="U2484" s="469"/>
      <c r="V2484" s="469"/>
      <c r="W2484" s="469"/>
      <c r="X2484" s="469"/>
      <c r="Y2484" s="462">
        <f t="shared" si="17"/>
        <v>0</v>
      </c>
      <c r="Z2484" s="463"/>
      <c r="AA2484" s="464"/>
      <c r="AB2484" s="465"/>
      <c r="AC2484" s="465"/>
      <c r="AD2484" s="465"/>
      <c r="AE2484" s="466"/>
      <c r="AF2484" s="449"/>
      <c r="AG2484" s="449"/>
      <c r="AH2484" s="449"/>
    </row>
    <row r="2485" ht="11.25" customHeight="1">
      <c r="A2485" s="450"/>
      <c r="B2485" s="472"/>
      <c r="C2485" s="473"/>
      <c r="D2485" s="473"/>
      <c r="E2485" s="474"/>
      <c r="F2485" s="474"/>
      <c r="G2485" s="475"/>
      <c r="H2485" s="475"/>
      <c r="I2485" s="476"/>
      <c r="J2485" s="477"/>
      <c r="K2485" s="478" t="s">
        <v>1418</v>
      </c>
      <c r="L2485" s="479"/>
      <c r="M2485" s="480"/>
      <c r="N2485" s="481"/>
      <c r="O2485" s="481"/>
      <c r="P2485" s="482"/>
      <c r="Q2485" s="479"/>
      <c r="R2485" s="480"/>
      <c r="S2485" s="480"/>
      <c r="T2485" s="480"/>
      <c r="U2485" s="480"/>
      <c r="V2485" s="480"/>
      <c r="W2485" s="480"/>
      <c r="X2485" s="480"/>
      <c r="Y2485" s="483">
        <f t="shared" si="17"/>
        <v>0</v>
      </c>
      <c r="Z2485" s="484"/>
      <c r="AA2485" s="485"/>
      <c r="AB2485" s="486"/>
      <c r="AC2485" s="486"/>
      <c r="AD2485" s="486"/>
      <c r="AE2485" s="487"/>
      <c r="AF2485" s="449"/>
      <c r="AG2485" s="449"/>
      <c r="AH2485" s="449"/>
    </row>
    <row r="2486" ht="11.25" customHeight="1">
      <c r="A2486" s="431" t="str">
        <f>IF(B2486="","", YEAR(B2486))</f>
        <v/>
      </c>
      <c r="B2486" s="432"/>
      <c r="C2486" s="433"/>
      <c r="D2486" s="433"/>
      <c r="E2486" s="434" t="str">
        <f t="shared" ref="E2486:I2486" si="1250">IFERROR(AVERAGE(L2486:L2489),"")</f>
        <v/>
      </c>
      <c r="F2486" s="434" t="str">
        <f t="shared" si="1250"/>
        <v/>
      </c>
      <c r="G2486" s="435" t="str">
        <f t="shared" si="1250"/>
        <v/>
      </c>
      <c r="H2486" s="435" t="str">
        <f t="shared" si="1250"/>
        <v/>
      </c>
      <c r="I2486" s="436" t="str">
        <f t="shared" si="1250"/>
        <v/>
      </c>
      <c r="J2486" s="437">
        <f>SUMIFS(PRODUCTION[KG],PRODUCTION[GRADE],"3X50",PRODUCTION[DATE],B2486,PRODUCTION[BATCH],C2486,PRODUCTION[SHIFT],D2486)</f>
        <v>0</v>
      </c>
      <c r="K2486" s="438" t="s">
        <v>1414</v>
      </c>
      <c r="L2486" s="443"/>
      <c r="M2486" s="440"/>
      <c r="N2486" s="441"/>
      <c r="O2486" s="441"/>
      <c r="P2486" s="442"/>
      <c r="Q2486" s="443"/>
      <c r="R2486" s="440"/>
      <c r="S2486" s="440"/>
      <c r="T2486" s="440"/>
      <c r="U2486" s="440"/>
      <c r="V2486" s="440"/>
      <c r="W2486" s="440"/>
      <c r="X2486" s="440"/>
      <c r="Y2486" s="444">
        <f t="shared" si="17"/>
        <v>0</v>
      </c>
      <c r="Z2486" s="445"/>
      <c r="AA2486" s="446">
        <f t="shared" ref="AA2486:AE2486" si="1251">$J2486*E2486</f>
        <v>0</v>
      </c>
      <c r="AB2486" s="447">
        <f t="shared" si="1251"/>
        <v>0</v>
      </c>
      <c r="AC2486" s="447">
        <f t="shared" si="1251"/>
        <v>0</v>
      </c>
      <c r="AD2486" s="447">
        <f t="shared" si="1251"/>
        <v>0</v>
      </c>
      <c r="AE2486" s="448">
        <f t="shared" si="1251"/>
        <v>0</v>
      </c>
      <c r="AF2486" s="449"/>
      <c r="AG2486" s="449"/>
      <c r="AH2486" s="449"/>
    </row>
    <row r="2487" ht="11.25" customHeight="1">
      <c r="A2487" s="450"/>
      <c r="B2487" s="451"/>
      <c r="C2487" s="452"/>
      <c r="D2487" s="452"/>
      <c r="E2487" s="453"/>
      <c r="F2487" s="453"/>
      <c r="G2487" s="454"/>
      <c r="H2487" s="454"/>
      <c r="I2487" s="455"/>
      <c r="J2487" s="456"/>
      <c r="K2487" s="457" t="s">
        <v>1416</v>
      </c>
      <c r="L2487" s="458"/>
      <c r="M2487" s="459"/>
      <c r="N2487" s="460"/>
      <c r="O2487" s="460"/>
      <c r="P2487" s="461"/>
      <c r="Q2487" s="458"/>
      <c r="R2487" s="459"/>
      <c r="S2487" s="459"/>
      <c r="T2487" s="459"/>
      <c r="U2487" s="459"/>
      <c r="V2487" s="459"/>
      <c r="W2487" s="459"/>
      <c r="X2487" s="459"/>
      <c r="Y2487" s="462">
        <f t="shared" si="17"/>
        <v>0</v>
      </c>
      <c r="Z2487" s="463"/>
      <c r="AA2487" s="464"/>
      <c r="AB2487" s="465"/>
      <c r="AC2487" s="465"/>
      <c r="AD2487" s="465"/>
      <c r="AE2487" s="466"/>
      <c r="AF2487" s="449"/>
      <c r="AG2487" s="449"/>
      <c r="AH2487" s="449"/>
    </row>
    <row r="2488" ht="11.25" customHeight="1">
      <c r="A2488" s="450"/>
      <c r="B2488" s="451"/>
      <c r="C2488" s="452"/>
      <c r="D2488" s="452"/>
      <c r="E2488" s="453"/>
      <c r="F2488" s="453"/>
      <c r="G2488" s="454"/>
      <c r="H2488" s="454"/>
      <c r="I2488" s="455"/>
      <c r="J2488" s="456"/>
      <c r="K2488" s="467" t="s">
        <v>1417</v>
      </c>
      <c r="L2488" s="468"/>
      <c r="M2488" s="469"/>
      <c r="N2488" s="470"/>
      <c r="O2488" s="470"/>
      <c r="P2488" s="471"/>
      <c r="Q2488" s="468"/>
      <c r="R2488" s="469"/>
      <c r="S2488" s="469"/>
      <c r="T2488" s="469"/>
      <c r="U2488" s="469"/>
      <c r="V2488" s="469"/>
      <c r="W2488" s="469"/>
      <c r="X2488" s="469"/>
      <c r="Y2488" s="462">
        <f t="shared" si="17"/>
        <v>0</v>
      </c>
      <c r="Z2488" s="463"/>
      <c r="AA2488" s="464"/>
      <c r="AB2488" s="465"/>
      <c r="AC2488" s="465"/>
      <c r="AD2488" s="465"/>
      <c r="AE2488" s="466"/>
      <c r="AF2488" s="449"/>
      <c r="AG2488" s="449"/>
      <c r="AH2488" s="449"/>
    </row>
    <row r="2489" ht="11.25" customHeight="1">
      <c r="A2489" s="450"/>
      <c r="B2489" s="472"/>
      <c r="C2489" s="473"/>
      <c r="D2489" s="473"/>
      <c r="E2489" s="474"/>
      <c r="F2489" s="474"/>
      <c r="G2489" s="475"/>
      <c r="H2489" s="475"/>
      <c r="I2489" s="476"/>
      <c r="J2489" s="477"/>
      <c r="K2489" s="478" t="s">
        <v>1418</v>
      </c>
      <c r="L2489" s="479"/>
      <c r="M2489" s="480"/>
      <c r="N2489" s="481"/>
      <c r="O2489" s="481"/>
      <c r="P2489" s="482"/>
      <c r="Q2489" s="479"/>
      <c r="R2489" s="480"/>
      <c r="S2489" s="480"/>
      <c r="T2489" s="480"/>
      <c r="U2489" s="480"/>
      <c r="V2489" s="480"/>
      <c r="W2489" s="480"/>
      <c r="X2489" s="480"/>
      <c r="Y2489" s="483">
        <f t="shared" si="17"/>
        <v>0</v>
      </c>
      <c r="Z2489" s="484"/>
      <c r="AA2489" s="485"/>
      <c r="AB2489" s="486"/>
      <c r="AC2489" s="486"/>
      <c r="AD2489" s="486"/>
      <c r="AE2489" s="487"/>
      <c r="AF2489" s="449"/>
      <c r="AG2489" s="449"/>
      <c r="AH2489" s="449"/>
    </row>
    <row r="2490" ht="11.25" customHeight="1">
      <c r="A2490" s="431" t="str">
        <f>IF(B2490="","", YEAR(B2490))</f>
        <v/>
      </c>
      <c r="B2490" s="432"/>
      <c r="C2490" s="433"/>
      <c r="D2490" s="433"/>
      <c r="E2490" s="434" t="str">
        <f t="shared" ref="E2490:I2490" si="1252">IFERROR(AVERAGE(L2490:L2493),"")</f>
        <v/>
      </c>
      <c r="F2490" s="434" t="str">
        <f t="shared" si="1252"/>
        <v/>
      </c>
      <c r="G2490" s="435" t="str">
        <f t="shared" si="1252"/>
        <v/>
      </c>
      <c r="H2490" s="435" t="str">
        <f t="shared" si="1252"/>
        <v/>
      </c>
      <c r="I2490" s="436" t="str">
        <f t="shared" si="1252"/>
        <v/>
      </c>
      <c r="J2490" s="437">
        <f>SUMIFS(PRODUCTION[KG],PRODUCTION[GRADE],"3X50",PRODUCTION[DATE],B2490,PRODUCTION[BATCH],C2490,PRODUCTION[SHIFT],D2490)</f>
        <v>0</v>
      </c>
      <c r="K2490" s="438" t="s">
        <v>1414</v>
      </c>
      <c r="L2490" s="443"/>
      <c r="M2490" s="440"/>
      <c r="N2490" s="441"/>
      <c r="O2490" s="441"/>
      <c r="P2490" s="442"/>
      <c r="Q2490" s="443"/>
      <c r="R2490" s="440"/>
      <c r="S2490" s="440"/>
      <c r="T2490" s="440"/>
      <c r="U2490" s="440"/>
      <c r="V2490" s="440"/>
      <c r="W2490" s="440"/>
      <c r="X2490" s="440"/>
      <c r="Y2490" s="444">
        <f t="shared" si="17"/>
        <v>0</v>
      </c>
      <c r="Z2490" s="445"/>
      <c r="AA2490" s="446">
        <f t="shared" ref="AA2490:AE2490" si="1253">$J2490*E2490</f>
        <v>0</v>
      </c>
      <c r="AB2490" s="447">
        <f t="shared" si="1253"/>
        <v>0</v>
      </c>
      <c r="AC2490" s="447">
        <f t="shared" si="1253"/>
        <v>0</v>
      </c>
      <c r="AD2490" s="447">
        <f t="shared" si="1253"/>
        <v>0</v>
      </c>
      <c r="AE2490" s="448">
        <f t="shared" si="1253"/>
        <v>0</v>
      </c>
      <c r="AF2490" s="449"/>
      <c r="AG2490" s="449"/>
      <c r="AH2490" s="449"/>
    </row>
    <row r="2491" ht="11.25" customHeight="1">
      <c r="A2491" s="450"/>
      <c r="B2491" s="451"/>
      <c r="C2491" s="452"/>
      <c r="D2491" s="452"/>
      <c r="E2491" s="453"/>
      <c r="F2491" s="453"/>
      <c r="G2491" s="454"/>
      <c r="H2491" s="454"/>
      <c r="I2491" s="455"/>
      <c r="J2491" s="456"/>
      <c r="K2491" s="457" t="s">
        <v>1416</v>
      </c>
      <c r="L2491" s="458"/>
      <c r="M2491" s="459"/>
      <c r="N2491" s="460"/>
      <c r="O2491" s="460"/>
      <c r="P2491" s="461"/>
      <c r="Q2491" s="458"/>
      <c r="R2491" s="459"/>
      <c r="S2491" s="459"/>
      <c r="T2491" s="459"/>
      <c r="U2491" s="459"/>
      <c r="V2491" s="459"/>
      <c r="W2491" s="459"/>
      <c r="X2491" s="459"/>
      <c r="Y2491" s="462">
        <f t="shared" si="17"/>
        <v>0</v>
      </c>
      <c r="Z2491" s="463"/>
      <c r="AA2491" s="464"/>
      <c r="AB2491" s="465"/>
      <c r="AC2491" s="465"/>
      <c r="AD2491" s="465"/>
      <c r="AE2491" s="466"/>
      <c r="AF2491" s="449"/>
      <c r="AG2491" s="449"/>
      <c r="AH2491" s="449"/>
    </row>
    <row r="2492" ht="11.25" customHeight="1">
      <c r="A2492" s="450"/>
      <c r="B2492" s="451"/>
      <c r="C2492" s="452"/>
      <c r="D2492" s="452"/>
      <c r="E2492" s="453"/>
      <c r="F2492" s="453"/>
      <c r="G2492" s="454"/>
      <c r="H2492" s="454"/>
      <c r="I2492" s="455"/>
      <c r="J2492" s="456"/>
      <c r="K2492" s="467" t="s">
        <v>1417</v>
      </c>
      <c r="L2492" s="468"/>
      <c r="M2492" s="469"/>
      <c r="N2492" s="470"/>
      <c r="O2492" s="470"/>
      <c r="P2492" s="471"/>
      <c r="Q2492" s="468"/>
      <c r="R2492" s="469"/>
      <c r="S2492" s="469"/>
      <c r="T2492" s="469"/>
      <c r="U2492" s="469"/>
      <c r="V2492" s="469"/>
      <c r="W2492" s="469"/>
      <c r="X2492" s="469"/>
      <c r="Y2492" s="462">
        <f t="shared" si="17"/>
        <v>0</v>
      </c>
      <c r="Z2492" s="463"/>
      <c r="AA2492" s="464"/>
      <c r="AB2492" s="465"/>
      <c r="AC2492" s="465"/>
      <c r="AD2492" s="465"/>
      <c r="AE2492" s="466"/>
      <c r="AF2492" s="449"/>
      <c r="AG2492" s="449"/>
      <c r="AH2492" s="449"/>
    </row>
    <row r="2493" ht="11.25" customHeight="1">
      <c r="A2493" s="450"/>
      <c r="B2493" s="472"/>
      <c r="C2493" s="473"/>
      <c r="D2493" s="473"/>
      <c r="E2493" s="474"/>
      <c r="F2493" s="474"/>
      <c r="G2493" s="475"/>
      <c r="H2493" s="475"/>
      <c r="I2493" s="476"/>
      <c r="J2493" s="477"/>
      <c r="K2493" s="478" t="s">
        <v>1418</v>
      </c>
      <c r="L2493" s="479"/>
      <c r="M2493" s="480"/>
      <c r="N2493" s="481"/>
      <c r="O2493" s="481"/>
      <c r="P2493" s="482"/>
      <c r="Q2493" s="479"/>
      <c r="R2493" s="480"/>
      <c r="S2493" s="480"/>
      <c r="T2493" s="480"/>
      <c r="U2493" s="480"/>
      <c r="V2493" s="480"/>
      <c r="W2493" s="480"/>
      <c r="X2493" s="480"/>
      <c r="Y2493" s="483">
        <f t="shared" si="17"/>
        <v>0</v>
      </c>
      <c r="Z2493" s="484"/>
      <c r="AA2493" s="485"/>
      <c r="AB2493" s="486"/>
      <c r="AC2493" s="486"/>
      <c r="AD2493" s="486"/>
      <c r="AE2493" s="487"/>
      <c r="AF2493" s="449"/>
      <c r="AG2493" s="449"/>
      <c r="AH2493" s="449"/>
    </row>
    <row r="2494" ht="11.25" customHeight="1">
      <c r="A2494" s="431" t="str">
        <f>IF(B2494="","", YEAR(B2494))</f>
        <v/>
      </c>
      <c r="B2494" s="432"/>
      <c r="C2494" s="433"/>
      <c r="D2494" s="433"/>
      <c r="E2494" s="434" t="str">
        <f t="shared" ref="E2494:I2494" si="1254">IFERROR(AVERAGE(L2494:L2497),"")</f>
        <v/>
      </c>
      <c r="F2494" s="434" t="str">
        <f t="shared" si="1254"/>
        <v/>
      </c>
      <c r="G2494" s="435" t="str">
        <f t="shared" si="1254"/>
        <v/>
      </c>
      <c r="H2494" s="435" t="str">
        <f t="shared" si="1254"/>
        <v/>
      </c>
      <c r="I2494" s="436" t="str">
        <f t="shared" si="1254"/>
        <v/>
      </c>
      <c r="J2494" s="437">
        <f>SUMIFS(PRODUCTION[KG],PRODUCTION[GRADE],"3X50",PRODUCTION[DATE],B2494,PRODUCTION[BATCH],C2494,PRODUCTION[SHIFT],D2494)</f>
        <v>0</v>
      </c>
      <c r="K2494" s="438" t="s">
        <v>1414</v>
      </c>
      <c r="L2494" s="443"/>
      <c r="M2494" s="440"/>
      <c r="N2494" s="441"/>
      <c r="O2494" s="441"/>
      <c r="P2494" s="442"/>
      <c r="Q2494" s="443"/>
      <c r="R2494" s="440"/>
      <c r="S2494" s="440"/>
      <c r="T2494" s="440"/>
      <c r="U2494" s="440"/>
      <c r="V2494" s="440"/>
      <c r="W2494" s="440"/>
      <c r="X2494" s="440"/>
      <c r="Y2494" s="444">
        <f t="shared" si="17"/>
        <v>0</v>
      </c>
      <c r="Z2494" s="445"/>
      <c r="AA2494" s="446">
        <f t="shared" ref="AA2494:AE2494" si="1255">$J2494*E2494</f>
        <v>0</v>
      </c>
      <c r="AB2494" s="447">
        <f t="shared" si="1255"/>
        <v>0</v>
      </c>
      <c r="AC2494" s="447">
        <f t="shared" si="1255"/>
        <v>0</v>
      </c>
      <c r="AD2494" s="447">
        <f t="shared" si="1255"/>
        <v>0</v>
      </c>
      <c r="AE2494" s="448">
        <f t="shared" si="1255"/>
        <v>0</v>
      </c>
      <c r="AF2494" s="449"/>
      <c r="AG2494" s="449"/>
      <c r="AH2494" s="449"/>
    </row>
    <row r="2495" ht="11.25" customHeight="1">
      <c r="A2495" s="450"/>
      <c r="B2495" s="451"/>
      <c r="C2495" s="452"/>
      <c r="D2495" s="452"/>
      <c r="E2495" s="453"/>
      <c r="F2495" s="453"/>
      <c r="G2495" s="454"/>
      <c r="H2495" s="454"/>
      <c r="I2495" s="455"/>
      <c r="J2495" s="456"/>
      <c r="K2495" s="457" t="s">
        <v>1416</v>
      </c>
      <c r="L2495" s="458"/>
      <c r="M2495" s="459"/>
      <c r="N2495" s="460"/>
      <c r="O2495" s="460"/>
      <c r="P2495" s="461"/>
      <c r="Q2495" s="458"/>
      <c r="R2495" s="459"/>
      <c r="S2495" s="459"/>
      <c r="T2495" s="459"/>
      <c r="U2495" s="459"/>
      <c r="V2495" s="459"/>
      <c r="W2495" s="459"/>
      <c r="X2495" s="459"/>
      <c r="Y2495" s="462">
        <f t="shared" si="17"/>
        <v>0</v>
      </c>
      <c r="Z2495" s="463"/>
      <c r="AA2495" s="464"/>
      <c r="AB2495" s="465"/>
      <c r="AC2495" s="465"/>
      <c r="AD2495" s="465"/>
      <c r="AE2495" s="466"/>
      <c r="AF2495" s="449"/>
      <c r="AG2495" s="449"/>
      <c r="AH2495" s="449"/>
    </row>
    <row r="2496" ht="11.25" customHeight="1">
      <c r="A2496" s="450"/>
      <c r="B2496" s="451"/>
      <c r="C2496" s="452"/>
      <c r="D2496" s="452"/>
      <c r="E2496" s="453"/>
      <c r="F2496" s="453"/>
      <c r="G2496" s="454"/>
      <c r="H2496" s="454"/>
      <c r="I2496" s="455"/>
      <c r="J2496" s="456"/>
      <c r="K2496" s="467" t="s">
        <v>1417</v>
      </c>
      <c r="L2496" s="468"/>
      <c r="M2496" s="469"/>
      <c r="N2496" s="470"/>
      <c r="O2496" s="470"/>
      <c r="P2496" s="471"/>
      <c r="Q2496" s="468"/>
      <c r="R2496" s="469"/>
      <c r="S2496" s="469"/>
      <c r="T2496" s="469"/>
      <c r="U2496" s="469"/>
      <c r="V2496" s="469"/>
      <c r="W2496" s="469"/>
      <c r="X2496" s="469"/>
      <c r="Y2496" s="462">
        <f t="shared" si="17"/>
        <v>0</v>
      </c>
      <c r="Z2496" s="463"/>
      <c r="AA2496" s="464"/>
      <c r="AB2496" s="465"/>
      <c r="AC2496" s="465"/>
      <c r="AD2496" s="465"/>
      <c r="AE2496" s="466"/>
      <c r="AF2496" s="449"/>
      <c r="AG2496" s="449"/>
      <c r="AH2496" s="449"/>
    </row>
    <row r="2497" ht="11.25" customHeight="1">
      <c r="A2497" s="450"/>
      <c r="B2497" s="472"/>
      <c r="C2497" s="473"/>
      <c r="D2497" s="473"/>
      <c r="E2497" s="474"/>
      <c r="F2497" s="474"/>
      <c r="G2497" s="475"/>
      <c r="H2497" s="475"/>
      <c r="I2497" s="476"/>
      <c r="J2497" s="477"/>
      <c r="K2497" s="478" t="s">
        <v>1418</v>
      </c>
      <c r="L2497" s="479"/>
      <c r="M2497" s="480"/>
      <c r="N2497" s="481"/>
      <c r="O2497" s="481"/>
      <c r="P2497" s="482"/>
      <c r="Q2497" s="479"/>
      <c r="R2497" s="480"/>
      <c r="S2497" s="480"/>
      <c r="T2497" s="480"/>
      <c r="U2497" s="480"/>
      <c r="V2497" s="480"/>
      <c r="W2497" s="480"/>
      <c r="X2497" s="480"/>
      <c r="Y2497" s="483">
        <f t="shared" si="17"/>
        <v>0</v>
      </c>
      <c r="Z2497" s="484"/>
      <c r="AA2497" s="485"/>
      <c r="AB2497" s="486"/>
      <c r="AC2497" s="486"/>
      <c r="AD2497" s="486"/>
      <c r="AE2497" s="487"/>
      <c r="AF2497" s="449"/>
      <c r="AG2497" s="449"/>
      <c r="AH2497" s="449"/>
    </row>
    <row r="2498" ht="11.25" customHeight="1">
      <c r="A2498" s="431" t="str">
        <f>IF(B2498="","", YEAR(B2498))</f>
        <v/>
      </c>
      <c r="B2498" s="432"/>
      <c r="C2498" s="433"/>
      <c r="D2498" s="433"/>
      <c r="E2498" s="434" t="str">
        <f t="shared" ref="E2498:I2498" si="1256">IFERROR(AVERAGE(L2498:L2501),"")</f>
        <v/>
      </c>
      <c r="F2498" s="434" t="str">
        <f t="shared" si="1256"/>
        <v/>
      </c>
      <c r="G2498" s="435" t="str">
        <f t="shared" si="1256"/>
        <v/>
      </c>
      <c r="H2498" s="435" t="str">
        <f t="shared" si="1256"/>
        <v/>
      </c>
      <c r="I2498" s="436" t="str">
        <f t="shared" si="1256"/>
        <v/>
      </c>
      <c r="J2498" s="437">
        <f>SUMIFS(PRODUCTION[KG],PRODUCTION[GRADE],"3X50",PRODUCTION[DATE],B2498,PRODUCTION[BATCH],C2498,PRODUCTION[SHIFT],D2498)</f>
        <v>0</v>
      </c>
      <c r="K2498" s="438" t="s">
        <v>1414</v>
      </c>
      <c r="L2498" s="443"/>
      <c r="M2498" s="440"/>
      <c r="N2498" s="441"/>
      <c r="O2498" s="441"/>
      <c r="P2498" s="442"/>
      <c r="Q2498" s="443"/>
      <c r="R2498" s="440"/>
      <c r="S2498" s="440"/>
      <c r="T2498" s="440"/>
      <c r="U2498" s="440"/>
      <c r="V2498" s="440"/>
      <c r="W2498" s="440"/>
      <c r="X2498" s="440"/>
      <c r="Y2498" s="444">
        <f t="shared" si="17"/>
        <v>0</v>
      </c>
      <c r="Z2498" s="445"/>
      <c r="AA2498" s="446">
        <f t="shared" ref="AA2498:AE2498" si="1257">$J2498*E2498</f>
        <v>0</v>
      </c>
      <c r="AB2498" s="447">
        <f t="shared" si="1257"/>
        <v>0</v>
      </c>
      <c r="AC2498" s="447">
        <f t="shared" si="1257"/>
        <v>0</v>
      </c>
      <c r="AD2498" s="447">
        <f t="shared" si="1257"/>
        <v>0</v>
      </c>
      <c r="AE2498" s="448">
        <f t="shared" si="1257"/>
        <v>0</v>
      </c>
      <c r="AF2498" s="449"/>
      <c r="AG2498" s="449"/>
      <c r="AH2498" s="449"/>
    </row>
    <row r="2499" ht="11.25" customHeight="1">
      <c r="A2499" s="450"/>
      <c r="B2499" s="451"/>
      <c r="C2499" s="452"/>
      <c r="D2499" s="452"/>
      <c r="E2499" s="453"/>
      <c r="F2499" s="453"/>
      <c r="G2499" s="454"/>
      <c r="H2499" s="454"/>
      <c r="I2499" s="455"/>
      <c r="J2499" s="456"/>
      <c r="K2499" s="457" t="s">
        <v>1416</v>
      </c>
      <c r="L2499" s="458"/>
      <c r="M2499" s="459"/>
      <c r="N2499" s="460"/>
      <c r="O2499" s="460"/>
      <c r="P2499" s="461"/>
      <c r="Q2499" s="458"/>
      <c r="R2499" s="459"/>
      <c r="S2499" s="459"/>
      <c r="T2499" s="459"/>
      <c r="U2499" s="459"/>
      <c r="V2499" s="459"/>
      <c r="W2499" s="459"/>
      <c r="X2499" s="459"/>
      <c r="Y2499" s="462">
        <f t="shared" si="17"/>
        <v>0</v>
      </c>
      <c r="Z2499" s="463"/>
      <c r="AA2499" s="464"/>
      <c r="AB2499" s="465"/>
      <c r="AC2499" s="465"/>
      <c r="AD2499" s="465"/>
      <c r="AE2499" s="466"/>
      <c r="AF2499" s="449"/>
      <c r="AG2499" s="449"/>
      <c r="AH2499" s="449"/>
    </row>
    <row r="2500" ht="11.25" customHeight="1">
      <c r="A2500" s="450"/>
      <c r="B2500" s="451"/>
      <c r="C2500" s="452"/>
      <c r="D2500" s="452"/>
      <c r="E2500" s="453"/>
      <c r="F2500" s="453"/>
      <c r="G2500" s="454"/>
      <c r="H2500" s="454"/>
      <c r="I2500" s="455"/>
      <c r="J2500" s="456"/>
      <c r="K2500" s="467" t="s">
        <v>1417</v>
      </c>
      <c r="L2500" s="468"/>
      <c r="M2500" s="469"/>
      <c r="N2500" s="470"/>
      <c r="O2500" s="470"/>
      <c r="P2500" s="471"/>
      <c r="Q2500" s="468"/>
      <c r="R2500" s="469"/>
      <c r="S2500" s="469"/>
      <c r="T2500" s="469"/>
      <c r="U2500" s="469"/>
      <c r="V2500" s="469"/>
      <c r="W2500" s="469"/>
      <c r="X2500" s="469"/>
      <c r="Y2500" s="462">
        <f t="shared" si="17"/>
        <v>0</v>
      </c>
      <c r="Z2500" s="463"/>
      <c r="AA2500" s="464"/>
      <c r="AB2500" s="465"/>
      <c r="AC2500" s="465"/>
      <c r="AD2500" s="465"/>
      <c r="AE2500" s="466"/>
      <c r="AF2500" s="449"/>
      <c r="AG2500" s="449"/>
      <c r="AH2500" s="449"/>
    </row>
    <row r="2501" ht="11.25" customHeight="1">
      <c r="A2501" s="450"/>
      <c r="B2501" s="472"/>
      <c r="C2501" s="473"/>
      <c r="D2501" s="473"/>
      <c r="E2501" s="474"/>
      <c r="F2501" s="474"/>
      <c r="G2501" s="475"/>
      <c r="H2501" s="475"/>
      <c r="I2501" s="476"/>
      <c r="J2501" s="477"/>
      <c r="K2501" s="478" t="s">
        <v>1418</v>
      </c>
      <c r="L2501" s="479"/>
      <c r="M2501" s="480"/>
      <c r="N2501" s="481"/>
      <c r="O2501" s="481"/>
      <c r="P2501" s="482"/>
      <c r="Q2501" s="479"/>
      <c r="R2501" s="480"/>
      <c r="S2501" s="480"/>
      <c r="T2501" s="480"/>
      <c r="U2501" s="480"/>
      <c r="V2501" s="480"/>
      <c r="W2501" s="480"/>
      <c r="X2501" s="480"/>
      <c r="Y2501" s="483">
        <f t="shared" si="17"/>
        <v>0</v>
      </c>
      <c r="Z2501" s="484"/>
      <c r="AA2501" s="485"/>
      <c r="AB2501" s="486"/>
      <c r="AC2501" s="486"/>
      <c r="AD2501" s="486"/>
      <c r="AE2501" s="487"/>
      <c r="AF2501" s="449"/>
      <c r="AG2501" s="449"/>
      <c r="AH2501" s="449"/>
    </row>
    <row r="2502" ht="11.25" customHeight="1">
      <c r="A2502" s="431" t="str">
        <f>IF(B2502="","", YEAR(B2502))</f>
        <v/>
      </c>
      <c r="B2502" s="432"/>
      <c r="C2502" s="433"/>
      <c r="D2502" s="433"/>
      <c r="E2502" s="434" t="str">
        <f t="shared" ref="E2502:I2502" si="1258">IFERROR(AVERAGE(L2502:L2505),"")</f>
        <v/>
      </c>
      <c r="F2502" s="434" t="str">
        <f t="shared" si="1258"/>
        <v/>
      </c>
      <c r="G2502" s="435" t="str">
        <f t="shared" si="1258"/>
        <v/>
      </c>
      <c r="H2502" s="435" t="str">
        <f t="shared" si="1258"/>
        <v/>
      </c>
      <c r="I2502" s="436" t="str">
        <f t="shared" si="1258"/>
        <v/>
      </c>
      <c r="J2502" s="437">
        <f>SUMIFS(PRODUCTION[KG],PRODUCTION[GRADE],"3X50",PRODUCTION[DATE],B2502,PRODUCTION[BATCH],C2502,PRODUCTION[SHIFT],D2502)</f>
        <v>0</v>
      </c>
      <c r="K2502" s="438" t="s">
        <v>1414</v>
      </c>
      <c r="L2502" s="443"/>
      <c r="M2502" s="440"/>
      <c r="N2502" s="441"/>
      <c r="O2502" s="441"/>
      <c r="P2502" s="442"/>
      <c r="Q2502" s="443"/>
      <c r="R2502" s="440"/>
      <c r="S2502" s="440"/>
      <c r="T2502" s="440"/>
      <c r="U2502" s="440"/>
      <c r="V2502" s="440"/>
      <c r="W2502" s="440"/>
      <c r="X2502" s="440"/>
      <c r="Y2502" s="444">
        <f t="shared" si="17"/>
        <v>0</v>
      </c>
      <c r="Z2502" s="445"/>
      <c r="AA2502" s="446">
        <f t="shared" ref="AA2502:AE2502" si="1259">$J2502*E2502</f>
        <v>0</v>
      </c>
      <c r="AB2502" s="447">
        <f t="shared" si="1259"/>
        <v>0</v>
      </c>
      <c r="AC2502" s="447">
        <f t="shared" si="1259"/>
        <v>0</v>
      </c>
      <c r="AD2502" s="447">
        <f t="shared" si="1259"/>
        <v>0</v>
      </c>
      <c r="AE2502" s="448">
        <f t="shared" si="1259"/>
        <v>0</v>
      </c>
      <c r="AF2502" s="449"/>
      <c r="AG2502" s="449"/>
      <c r="AH2502" s="449"/>
    </row>
    <row r="2503" ht="11.25" customHeight="1">
      <c r="A2503" s="450"/>
      <c r="B2503" s="451"/>
      <c r="C2503" s="452"/>
      <c r="D2503" s="452"/>
      <c r="E2503" s="453"/>
      <c r="F2503" s="453"/>
      <c r="G2503" s="454"/>
      <c r="H2503" s="454"/>
      <c r="I2503" s="455"/>
      <c r="J2503" s="456"/>
      <c r="K2503" s="457" t="s">
        <v>1416</v>
      </c>
      <c r="L2503" s="458"/>
      <c r="M2503" s="459"/>
      <c r="N2503" s="460"/>
      <c r="O2503" s="460"/>
      <c r="P2503" s="461"/>
      <c r="Q2503" s="458"/>
      <c r="R2503" s="459"/>
      <c r="S2503" s="459"/>
      <c r="T2503" s="459"/>
      <c r="U2503" s="459"/>
      <c r="V2503" s="459"/>
      <c r="W2503" s="459"/>
      <c r="X2503" s="459"/>
      <c r="Y2503" s="462">
        <f t="shared" si="17"/>
        <v>0</v>
      </c>
      <c r="Z2503" s="463"/>
      <c r="AA2503" s="464"/>
      <c r="AB2503" s="465"/>
      <c r="AC2503" s="465"/>
      <c r="AD2503" s="465"/>
      <c r="AE2503" s="466"/>
      <c r="AF2503" s="449"/>
      <c r="AG2503" s="449"/>
      <c r="AH2503" s="449"/>
    </row>
    <row r="2504" ht="11.25" customHeight="1">
      <c r="A2504" s="450"/>
      <c r="B2504" s="451"/>
      <c r="C2504" s="452"/>
      <c r="D2504" s="452"/>
      <c r="E2504" s="453"/>
      <c r="F2504" s="453"/>
      <c r="G2504" s="454"/>
      <c r="H2504" s="454"/>
      <c r="I2504" s="455"/>
      <c r="J2504" s="456"/>
      <c r="K2504" s="467" t="s">
        <v>1417</v>
      </c>
      <c r="L2504" s="468"/>
      <c r="M2504" s="469"/>
      <c r="N2504" s="470"/>
      <c r="O2504" s="470"/>
      <c r="P2504" s="471"/>
      <c r="Q2504" s="468"/>
      <c r="R2504" s="469"/>
      <c r="S2504" s="469"/>
      <c r="T2504" s="469"/>
      <c r="U2504" s="469"/>
      <c r="V2504" s="469"/>
      <c r="W2504" s="469"/>
      <c r="X2504" s="469"/>
      <c r="Y2504" s="462">
        <f t="shared" si="17"/>
        <v>0</v>
      </c>
      <c r="Z2504" s="463"/>
      <c r="AA2504" s="464"/>
      <c r="AB2504" s="465"/>
      <c r="AC2504" s="465"/>
      <c r="AD2504" s="465"/>
      <c r="AE2504" s="466"/>
      <c r="AF2504" s="449"/>
      <c r="AG2504" s="449"/>
      <c r="AH2504" s="449"/>
    </row>
    <row r="2505" ht="11.25" customHeight="1">
      <c r="A2505" s="450"/>
      <c r="B2505" s="472"/>
      <c r="C2505" s="473"/>
      <c r="D2505" s="473"/>
      <c r="E2505" s="474"/>
      <c r="F2505" s="474"/>
      <c r="G2505" s="475"/>
      <c r="H2505" s="475"/>
      <c r="I2505" s="476"/>
      <c r="J2505" s="477"/>
      <c r="K2505" s="478" t="s">
        <v>1418</v>
      </c>
      <c r="L2505" s="479"/>
      <c r="M2505" s="480"/>
      <c r="N2505" s="481"/>
      <c r="O2505" s="481"/>
      <c r="P2505" s="482"/>
      <c r="Q2505" s="479"/>
      <c r="R2505" s="480"/>
      <c r="S2505" s="480"/>
      <c r="T2505" s="480"/>
      <c r="U2505" s="480"/>
      <c r="V2505" s="480"/>
      <c r="W2505" s="480"/>
      <c r="X2505" s="480"/>
      <c r="Y2505" s="483">
        <f t="shared" si="17"/>
        <v>0</v>
      </c>
      <c r="Z2505" s="484"/>
      <c r="AA2505" s="485"/>
      <c r="AB2505" s="486"/>
      <c r="AC2505" s="486"/>
      <c r="AD2505" s="486"/>
      <c r="AE2505" s="487"/>
      <c r="AF2505" s="449"/>
      <c r="AG2505" s="449"/>
      <c r="AH2505" s="449"/>
    </row>
    <row r="2506" ht="11.25" customHeight="1">
      <c r="A2506" s="431" t="str">
        <f>IF(B2506="","", YEAR(B2506))</f>
        <v/>
      </c>
      <c r="B2506" s="432"/>
      <c r="C2506" s="433"/>
      <c r="D2506" s="433"/>
      <c r="E2506" s="434" t="str">
        <f t="shared" ref="E2506:I2506" si="1260">IFERROR(AVERAGE(L2506:L2509),"")</f>
        <v/>
      </c>
      <c r="F2506" s="434" t="str">
        <f t="shared" si="1260"/>
        <v/>
      </c>
      <c r="G2506" s="435" t="str">
        <f t="shared" si="1260"/>
        <v/>
      </c>
      <c r="H2506" s="435" t="str">
        <f t="shared" si="1260"/>
        <v/>
      </c>
      <c r="I2506" s="436" t="str">
        <f t="shared" si="1260"/>
        <v/>
      </c>
      <c r="J2506" s="437">
        <f>SUMIFS(PRODUCTION[KG],PRODUCTION[GRADE],"3X50",PRODUCTION[DATE],B2506,PRODUCTION[BATCH],C2506,PRODUCTION[SHIFT],D2506)</f>
        <v>0</v>
      </c>
      <c r="K2506" s="438" t="s">
        <v>1414</v>
      </c>
      <c r="L2506" s="443"/>
      <c r="M2506" s="440"/>
      <c r="N2506" s="441"/>
      <c r="O2506" s="441"/>
      <c r="P2506" s="442"/>
      <c r="Q2506" s="443"/>
      <c r="R2506" s="440"/>
      <c r="S2506" s="440"/>
      <c r="T2506" s="440"/>
      <c r="U2506" s="440"/>
      <c r="V2506" s="440"/>
      <c r="W2506" s="440"/>
      <c r="X2506" s="440"/>
      <c r="Y2506" s="444">
        <f t="shared" si="17"/>
        <v>0</v>
      </c>
      <c r="Z2506" s="445"/>
      <c r="AA2506" s="446">
        <f t="shared" ref="AA2506:AE2506" si="1261">$J2506*E2506</f>
        <v>0</v>
      </c>
      <c r="AB2506" s="447">
        <f t="shared" si="1261"/>
        <v>0</v>
      </c>
      <c r="AC2506" s="447">
        <f t="shared" si="1261"/>
        <v>0</v>
      </c>
      <c r="AD2506" s="447">
        <f t="shared" si="1261"/>
        <v>0</v>
      </c>
      <c r="AE2506" s="448">
        <f t="shared" si="1261"/>
        <v>0</v>
      </c>
      <c r="AF2506" s="449"/>
      <c r="AG2506" s="449"/>
      <c r="AH2506" s="449"/>
    </row>
    <row r="2507" ht="11.25" customHeight="1">
      <c r="A2507" s="450"/>
      <c r="B2507" s="451"/>
      <c r="C2507" s="452"/>
      <c r="D2507" s="452"/>
      <c r="E2507" s="453"/>
      <c r="F2507" s="453"/>
      <c r="G2507" s="454"/>
      <c r="H2507" s="454"/>
      <c r="I2507" s="455"/>
      <c r="J2507" s="456"/>
      <c r="K2507" s="457" t="s">
        <v>1416</v>
      </c>
      <c r="L2507" s="458"/>
      <c r="M2507" s="459"/>
      <c r="N2507" s="460"/>
      <c r="O2507" s="460"/>
      <c r="P2507" s="461"/>
      <c r="Q2507" s="458"/>
      <c r="R2507" s="459"/>
      <c r="S2507" s="459"/>
      <c r="T2507" s="459"/>
      <c r="U2507" s="459"/>
      <c r="V2507" s="459"/>
      <c r="W2507" s="459"/>
      <c r="X2507" s="459"/>
      <c r="Y2507" s="462">
        <f t="shared" si="17"/>
        <v>0</v>
      </c>
      <c r="Z2507" s="463"/>
      <c r="AA2507" s="464"/>
      <c r="AB2507" s="465"/>
      <c r="AC2507" s="465"/>
      <c r="AD2507" s="465"/>
      <c r="AE2507" s="466"/>
      <c r="AF2507" s="449"/>
      <c r="AG2507" s="449"/>
      <c r="AH2507" s="449"/>
    </row>
    <row r="2508" ht="11.25" customHeight="1">
      <c r="A2508" s="450"/>
      <c r="B2508" s="451"/>
      <c r="C2508" s="452"/>
      <c r="D2508" s="452"/>
      <c r="E2508" s="453"/>
      <c r="F2508" s="453"/>
      <c r="G2508" s="454"/>
      <c r="H2508" s="454"/>
      <c r="I2508" s="455"/>
      <c r="J2508" s="456"/>
      <c r="K2508" s="467" t="s">
        <v>1417</v>
      </c>
      <c r="L2508" s="468"/>
      <c r="M2508" s="469"/>
      <c r="N2508" s="470"/>
      <c r="O2508" s="470"/>
      <c r="P2508" s="471"/>
      <c r="Q2508" s="468"/>
      <c r="R2508" s="469"/>
      <c r="S2508" s="469"/>
      <c r="T2508" s="469"/>
      <c r="U2508" s="469"/>
      <c r="V2508" s="469"/>
      <c r="W2508" s="469"/>
      <c r="X2508" s="469"/>
      <c r="Y2508" s="462">
        <f t="shared" si="17"/>
        <v>0</v>
      </c>
      <c r="Z2508" s="463"/>
      <c r="AA2508" s="464"/>
      <c r="AB2508" s="465"/>
      <c r="AC2508" s="465"/>
      <c r="AD2508" s="465"/>
      <c r="AE2508" s="466"/>
      <c r="AF2508" s="449"/>
      <c r="AG2508" s="449"/>
      <c r="AH2508" s="449"/>
    </row>
    <row r="2509" ht="11.25" customHeight="1">
      <c r="A2509" s="450"/>
      <c r="B2509" s="472"/>
      <c r="C2509" s="473"/>
      <c r="D2509" s="473"/>
      <c r="E2509" s="474"/>
      <c r="F2509" s="474"/>
      <c r="G2509" s="475"/>
      <c r="H2509" s="475"/>
      <c r="I2509" s="476"/>
      <c r="J2509" s="477"/>
      <c r="K2509" s="478" t="s">
        <v>1418</v>
      </c>
      <c r="L2509" s="479"/>
      <c r="M2509" s="480"/>
      <c r="N2509" s="481"/>
      <c r="O2509" s="481"/>
      <c r="P2509" s="482"/>
      <c r="Q2509" s="479"/>
      <c r="R2509" s="480"/>
      <c r="S2509" s="480"/>
      <c r="T2509" s="480"/>
      <c r="U2509" s="480"/>
      <c r="V2509" s="480"/>
      <c r="W2509" s="480"/>
      <c r="X2509" s="480"/>
      <c r="Y2509" s="483">
        <f t="shared" si="17"/>
        <v>0</v>
      </c>
      <c r="Z2509" s="484"/>
      <c r="AA2509" s="485"/>
      <c r="AB2509" s="486"/>
      <c r="AC2509" s="486"/>
      <c r="AD2509" s="486"/>
      <c r="AE2509" s="487"/>
      <c r="AF2509" s="449"/>
      <c r="AG2509" s="449"/>
      <c r="AH2509" s="449"/>
    </row>
    <row r="2510" ht="11.25" customHeight="1">
      <c r="A2510" s="431" t="str">
        <f>IF(B2510="","", YEAR(B2510))</f>
        <v/>
      </c>
      <c r="B2510" s="432"/>
      <c r="C2510" s="433"/>
      <c r="D2510" s="433"/>
      <c r="E2510" s="434" t="str">
        <f t="shared" ref="E2510:I2510" si="1262">IFERROR(AVERAGE(L2510:L2513),"")</f>
        <v/>
      </c>
      <c r="F2510" s="434" t="str">
        <f t="shared" si="1262"/>
        <v/>
      </c>
      <c r="G2510" s="435" t="str">
        <f t="shared" si="1262"/>
        <v/>
      </c>
      <c r="H2510" s="435" t="str">
        <f t="shared" si="1262"/>
        <v/>
      </c>
      <c r="I2510" s="436" t="str">
        <f t="shared" si="1262"/>
        <v/>
      </c>
      <c r="J2510" s="437">
        <f>SUMIFS(PRODUCTION[KG],PRODUCTION[GRADE],"3X50",PRODUCTION[DATE],B2510,PRODUCTION[BATCH],C2510,PRODUCTION[SHIFT],D2510)</f>
        <v>0</v>
      </c>
      <c r="K2510" s="438" t="s">
        <v>1414</v>
      </c>
      <c r="L2510" s="443"/>
      <c r="M2510" s="440"/>
      <c r="N2510" s="441"/>
      <c r="O2510" s="441"/>
      <c r="P2510" s="442"/>
      <c r="Q2510" s="443"/>
      <c r="R2510" s="440"/>
      <c r="S2510" s="440"/>
      <c r="T2510" s="440"/>
      <c r="U2510" s="440"/>
      <c r="V2510" s="440"/>
      <c r="W2510" s="440"/>
      <c r="X2510" s="440"/>
      <c r="Y2510" s="444">
        <f t="shared" si="17"/>
        <v>0</v>
      </c>
      <c r="Z2510" s="445"/>
      <c r="AA2510" s="446">
        <f t="shared" ref="AA2510:AE2510" si="1263">$J2510*E2510</f>
        <v>0</v>
      </c>
      <c r="AB2510" s="447">
        <f t="shared" si="1263"/>
        <v>0</v>
      </c>
      <c r="AC2510" s="447">
        <f t="shared" si="1263"/>
        <v>0</v>
      </c>
      <c r="AD2510" s="447">
        <f t="shared" si="1263"/>
        <v>0</v>
      </c>
      <c r="AE2510" s="448">
        <f t="shared" si="1263"/>
        <v>0</v>
      </c>
      <c r="AF2510" s="449"/>
      <c r="AG2510" s="449"/>
      <c r="AH2510" s="449"/>
    </row>
    <row r="2511" ht="11.25" customHeight="1">
      <c r="A2511" s="450"/>
      <c r="B2511" s="451"/>
      <c r="C2511" s="452"/>
      <c r="D2511" s="452"/>
      <c r="E2511" s="453"/>
      <c r="F2511" s="453"/>
      <c r="G2511" s="454"/>
      <c r="H2511" s="454"/>
      <c r="I2511" s="455"/>
      <c r="J2511" s="456"/>
      <c r="K2511" s="457" t="s">
        <v>1416</v>
      </c>
      <c r="L2511" s="458"/>
      <c r="M2511" s="459"/>
      <c r="N2511" s="460"/>
      <c r="O2511" s="460"/>
      <c r="P2511" s="461"/>
      <c r="Q2511" s="458"/>
      <c r="R2511" s="459"/>
      <c r="S2511" s="459"/>
      <c r="T2511" s="459"/>
      <c r="U2511" s="459"/>
      <c r="V2511" s="459"/>
      <c r="W2511" s="459"/>
      <c r="X2511" s="459"/>
      <c r="Y2511" s="462">
        <f t="shared" si="17"/>
        <v>0</v>
      </c>
      <c r="Z2511" s="463"/>
      <c r="AA2511" s="464"/>
      <c r="AB2511" s="465"/>
      <c r="AC2511" s="465"/>
      <c r="AD2511" s="465"/>
      <c r="AE2511" s="466"/>
      <c r="AF2511" s="449"/>
      <c r="AG2511" s="449"/>
      <c r="AH2511" s="449"/>
    </row>
    <row r="2512" ht="11.25" customHeight="1">
      <c r="A2512" s="450"/>
      <c r="B2512" s="451"/>
      <c r="C2512" s="452"/>
      <c r="D2512" s="452"/>
      <c r="E2512" s="453"/>
      <c r="F2512" s="453"/>
      <c r="G2512" s="454"/>
      <c r="H2512" s="454"/>
      <c r="I2512" s="455"/>
      <c r="J2512" s="456"/>
      <c r="K2512" s="467" t="s">
        <v>1417</v>
      </c>
      <c r="L2512" s="468"/>
      <c r="M2512" s="469"/>
      <c r="N2512" s="470"/>
      <c r="O2512" s="470"/>
      <c r="P2512" s="471"/>
      <c r="Q2512" s="468"/>
      <c r="R2512" s="469"/>
      <c r="S2512" s="469"/>
      <c r="T2512" s="469"/>
      <c r="U2512" s="469"/>
      <c r="V2512" s="469"/>
      <c r="W2512" s="469"/>
      <c r="X2512" s="469"/>
      <c r="Y2512" s="462">
        <f t="shared" si="17"/>
        <v>0</v>
      </c>
      <c r="Z2512" s="463"/>
      <c r="AA2512" s="464"/>
      <c r="AB2512" s="465"/>
      <c r="AC2512" s="465"/>
      <c r="AD2512" s="465"/>
      <c r="AE2512" s="466"/>
      <c r="AF2512" s="449"/>
      <c r="AG2512" s="449"/>
      <c r="AH2512" s="449"/>
    </row>
    <row r="2513" ht="11.25" customHeight="1">
      <c r="A2513" s="450"/>
      <c r="B2513" s="472"/>
      <c r="C2513" s="473"/>
      <c r="D2513" s="473"/>
      <c r="E2513" s="474"/>
      <c r="F2513" s="474"/>
      <c r="G2513" s="475"/>
      <c r="H2513" s="475"/>
      <c r="I2513" s="476"/>
      <c r="J2513" s="477"/>
      <c r="K2513" s="478" t="s">
        <v>1418</v>
      </c>
      <c r="L2513" s="479"/>
      <c r="M2513" s="480"/>
      <c r="N2513" s="481"/>
      <c r="O2513" s="481"/>
      <c r="P2513" s="482"/>
      <c r="Q2513" s="479"/>
      <c r="R2513" s="480"/>
      <c r="S2513" s="480"/>
      <c r="T2513" s="480"/>
      <c r="U2513" s="480"/>
      <c r="V2513" s="480"/>
      <c r="W2513" s="480"/>
      <c r="X2513" s="480"/>
      <c r="Y2513" s="483">
        <f t="shared" si="17"/>
        <v>0</v>
      </c>
      <c r="Z2513" s="484"/>
      <c r="AA2513" s="485"/>
      <c r="AB2513" s="486"/>
      <c r="AC2513" s="486"/>
      <c r="AD2513" s="486"/>
      <c r="AE2513" s="487"/>
      <c r="AF2513" s="449"/>
      <c r="AG2513" s="449"/>
      <c r="AH2513" s="449"/>
    </row>
    <row r="2514" ht="11.25" customHeight="1">
      <c r="A2514" s="431" t="str">
        <f>IF(B2514="","", YEAR(B2514))</f>
        <v/>
      </c>
      <c r="B2514" s="432"/>
      <c r="C2514" s="433"/>
      <c r="D2514" s="433"/>
      <c r="E2514" s="434" t="str">
        <f t="shared" ref="E2514:I2514" si="1264">IFERROR(AVERAGE(L2514:L2517),"")</f>
        <v/>
      </c>
      <c r="F2514" s="434" t="str">
        <f t="shared" si="1264"/>
        <v/>
      </c>
      <c r="G2514" s="435" t="str">
        <f t="shared" si="1264"/>
        <v/>
      </c>
      <c r="H2514" s="435" t="str">
        <f t="shared" si="1264"/>
        <v/>
      </c>
      <c r="I2514" s="436" t="str">
        <f t="shared" si="1264"/>
        <v/>
      </c>
      <c r="J2514" s="437">
        <f>SUMIFS(PRODUCTION[KG],PRODUCTION[GRADE],"3X50",PRODUCTION[DATE],B2514,PRODUCTION[BATCH],C2514,PRODUCTION[SHIFT],D2514)</f>
        <v>0</v>
      </c>
      <c r="K2514" s="438" t="s">
        <v>1414</v>
      </c>
      <c r="L2514" s="443"/>
      <c r="M2514" s="440"/>
      <c r="N2514" s="441"/>
      <c r="O2514" s="441"/>
      <c r="P2514" s="442"/>
      <c r="Q2514" s="443"/>
      <c r="R2514" s="440"/>
      <c r="S2514" s="440"/>
      <c r="T2514" s="440"/>
      <c r="U2514" s="440"/>
      <c r="V2514" s="440"/>
      <c r="W2514" s="440"/>
      <c r="X2514" s="440"/>
      <c r="Y2514" s="444">
        <f t="shared" si="17"/>
        <v>0</v>
      </c>
      <c r="Z2514" s="445"/>
      <c r="AA2514" s="446">
        <f t="shared" ref="AA2514:AE2514" si="1265">$J2514*E2514</f>
        <v>0</v>
      </c>
      <c r="AB2514" s="447">
        <f t="shared" si="1265"/>
        <v>0</v>
      </c>
      <c r="AC2514" s="447">
        <f t="shared" si="1265"/>
        <v>0</v>
      </c>
      <c r="AD2514" s="447">
        <f t="shared" si="1265"/>
        <v>0</v>
      </c>
      <c r="AE2514" s="448">
        <f t="shared" si="1265"/>
        <v>0</v>
      </c>
      <c r="AF2514" s="449"/>
      <c r="AG2514" s="449"/>
      <c r="AH2514" s="449"/>
    </row>
    <row r="2515" ht="11.25" customHeight="1">
      <c r="A2515" s="450"/>
      <c r="B2515" s="451"/>
      <c r="C2515" s="452"/>
      <c r="D2515" s="452"/>
      <c r="E2515" s="453"/>
      <c r="F2515" s="453"/>
      <c r="G2515" s="454"/>
      <c r="H2515" s="454"/>
      <c r="I2515" s="455"/>
      <c r="J2515" s="456"/>
      <c r="K2515" s="457" t="s">
        <v>1416</v>
      </c>
      <c r="L2515" s="458"/>
      <c r="M2515" s="459"/>
      <c r="N2515" s="460"/>
      <c r="O2515" s="460"/>
      <c r="P2515" s="461"/>
      <c r="Q2515" s="458"/>
      <c r="R2515" s="459"/>
      <c r="S2515" s="459"/>
      <c r="T2515" s="459"/>
      <c r="U2515" s="459"/>
      <c r="V2515" s="459"/>
      <c r="W2515" s="459"/>
      <c r="X2515" s="459"/>
      <c r="Y2515" s="462">
        <f t="shared" si="17"/>
        <v>0</v>
      </c>
      <c r="Z2515" s="463"/>
      <c r="AA2515" s="464"/>
      <c r="AB2515" s="465"/>
      <c r="AC2515" s="465"/>
      <c r="AD2515" s="465"/>
      <c r="AE2515" s="466"/>
      <c r="AF2515" s="449"/>
      <c r="AG2515" s="449"/>
      <c r="AH2515" s="449"/>
    </row>
    <row r="2516" ht="11.25" customHeight="1">
      <c r="A2516" s="450"/>
      <c r="B2516" s="451"/>
      <c r="C2516" s="452"/>
      <c r="D2516" s="452"/>
      <c r="E2516" s="453"/>
      <c r="F2516" s="453"/>
      <c r="G2516" s="454"/>
      <c r="H2516" s="454"/>
      <c r="I2516" s="455"/>
      <c r="J2516" s="456"/>
      <c r="K2516" s="467" t="s">
        <v>1417</v>
      </c>
      <c r="L2516" s="468"/>
      <c r="M2516" s="469"/>
      <c r="N2516" s="470"/>
      <c r="O2516" s="470"/>
      <c r="P2516" s="471"/>
      <c r="Q2516" s="468"/>
      <c r="R2516" s="469"/>
      <c r="S2516" s="469"/>
      <c r="T2516" s="469"/>
      <c r="U2516" s="469"/>
      <c r="V2516" s="469"/>
      <c r="W2516" s="469"/>
      <c r="X2516" s="469"/>
      <c r="Y2516" s="462">
        <f t="shared" si="17"/>
        <v>0</v>
      </c>
      <c r="Z2516" s="463"/>
      <c r="AA2516" s="464"/>
      <c r="AB2516" s="465"/>
      <c r="AC2516" s="465"/>
      <c r="AD2516" s="465"/>
      <c r="AE2516" s="466"/>
      <c r="AF2516" s="449"/>
      <c r="AG2516" s="449"/>
      <c r="AH2516" s="449"/>
    </row>
    <row r="2517" ht="11.25" customHeight="1">
      <c r="A2517" s="450"/>
      <c r="B2517" s="472"/>
      <c r="C2517" s="473"/>
      <c r="D2517" s="473"/>
      <c r="E2517" s="474"/>
      <c r="F2517" s="474"/>
      <c r="G2517" s="475"/>
      <c r="H2517" s="475"/>
      <c r="I2517" s="476"/>
      <c r="J2517" s="477"/>
      <c r="K2517" s="478" t="s">
        <v>1418</v>
      </c>
      <c r="L2517" s="479"/>
      <c r="M2517" s="480"/>
      <c r="N2517" s="481"/>
      <c r="O2517" s="481"/>
      <c r="P2517" s="482"/>
      <c r="Q2517" s="479"/>
      <c r="R2517" s="480"/>
      <c r="S2517" s="480"/>
      <c r="T2517" s="480"/>
      <c r="U2517" s="480"/>
      <c r="V2517" s="480"/>
      <c r="W2517" s="480"/>
      <c r="X2517" s="480"/>
      <c r="Y2517" s="483">
        <f t="shared" si="17"/>
        <v>0</v>
      </c>
      <c r="Z2517" s="484"/>
      <c r="AA2517" s="485"/>
      <c r="AB2517" s="486"/>
      <c r="AC2517" s="486"/>
      <c r="AD2517" s="486"/>
      <c r="AE2517" s="487"/>
      <c r="AF2517" s="449"/>
      <c r="AG2517" s="449"/>
      <c r="AH2517" s="449"/>
    </row>
    <row r="2518" ht="11.25" customHeight="1">
      <c r="A2518" s="431" t="str">
        <f>IF(B2518="","", YEAR(B2518))</f>
        <v/>
      </c>
      <c r="B2518" s="432"/>
      <c r="C2518" s="433"/>
      <c r="D2518" s="433"/>
      <c r="E2518" s="434" t="str">
        <f t="shared" ref="E2518:I2518" si="1266">IFERROR(AVERAGE(L2518:L2521),"")</f>
        <v/>
      </c>
      <c r="F2518" s="434" t="str">
        <f t="shared" si="1266"/>
        <v/>
      </c>
      <c r="G2518" s="435" t="str">
        <f t="shared" si="1266"/>
        <v/>
      </c>
      <c r="H2518" s="435" t="str">
        <f t="shared" si="1266"/>
        <v/>
      </c>
      <c r="I2518" s="436" t="str">
        <f t="shared" si="1266"/>
        <v/>
      </c>
      <c r="J2518" s="437">
        <f>SUMIFS(PRODUCTION[KG],PRODUCTION[GRADE],"3X50",PRODUCTION[DATE],B2518,PRODUCTION[BATCH],C2518,PRODUCTION[SHIFT],D2518)</f>
        <v>0</v>
      </c>
      <c r="K2518" s="438" t="s">
        <v>1414</v>
      </c>
      <c r="L2518" s="443"/>
      <c r="M2518" s="440"/>
      <c r="N2518" s="441"/>
      <c r="O2518" s="441"/>
      <c r="P2518" s="442"/>
      <c r="Q2518" s="443"/>
      <c r="R2518" s="440"/>
      <c r="S2518" s="440"/>
      <c r="T2518" s="440"/>
      <c r="U2518" s="440"/>
      <c r="V2518" s="440"/>
      <c r="W2518" s="440"/>
      <c r="X2518" s="440"/>
      <c r="Y2518" s="444">
        <f t="shared" si="17"/>
        <v>0</v>
      </c>
      <c r="Z2518" s="445"/>
      <c r="AA2518" s="446">
        <f t="shared" ref="AA2518:AE2518" si="1267">$J2518*E2518</f>
        <v>0</v>
      </c>
      <c r="AB2518" s="447">
        <f t="shared" si="1267"/>
        <v>0</v>
      </c>
      <c r="AC2518" s="447">
        <f t="shared" si="1267"/>
        <v>0</v>
      </c>
      <c r="AD2518" s="447">
        <f t="shared" si="1267"/>
        <v>0</v>
      </c>
      <c r="AE2518" s="448">
        <f t="shared" si="1267"/>
        <v>0</v>
      </c>
      <c r="AF2518" s="449"/>
      <c r="AG2518" s="449"/>
      <c r="AH2518" s="449"/>
    </row>
    <row r="2519" ht="11.25" customHeight="1">
      <c r="A2519" s="450"/>
      <c r="B2519" s="451"/>
      <c r="C2519" s="452"/>
      <c r="D2519" s="452"/>
      <c r="E2519" s="453"/>
      <c r="F2519" s="453"/>
      <c r="G2519" s="454"/>
      <c r="H2519" s="454"/>
      <c r="I2519" s="455"/>
      <c r="J2519" s="456"/>
      <c r="K2519" s="457" t="s">
        <v>1416</v>
      </c>
      <c r="L2519" s="458"/>
      <c r="M2519" s="459"/>
      <c r="N2519" s="460"/>
      <c r="O2519" s="460"/>
      <c r="P2519" s="461"/>
      <c r="Q2519" s="458"/>
      <c r="R2519" s="459"/>
      <c r="S2519" s="459"/>
      <c r="T2519" s="459"/>
      <c r="U2519" s="459"/>
      <c r="V2519" s="459"/>
      <c r="W2519" s="459"/>
      <c r="X2519" s="459"/>
      <c r="Y2519" s="462">
        <f t="shared" si="17"/>
        <v>0</v>
      </c>
      <c r="Z2519" s="463"/>
      <c r="AA2519" s="464"/>
      <c r="AB2519" s="465"/>
      <c r="AC2519" s="465"/>
      <c r="AD2519" s="465"/>
      <c r="AE2519" s="466"/>
      <c r="AF2519" s="449"/>
      <c r="AG2519" s="449"/>
      <c r="AH2519" s="449"/>
    </row>
    <row r="2520" ht="11.25" customHeight="1">
      <c r="A2520" s="450"/>
      <c r="B2520" s="451"/>
      <c r="C2520" s="452"/>
      <c r="D2520" s="452"/>
      <c r="E2520" s="453"/>
      <c r="F2520" s="453"/>
      <c r="G2520" s="454"/>
      <c r="H2520" s="454"/>
      <c r="I2520" s="455"/>
      <c r="J2520" s="456"/>
      <c r="K2520" s="467" t="s">
        <v>1417</v>
      </c>
      <c r="L2520" s="468"/>
      <c r="M2520" s="469"/>
      <c r="N2520" s="470"/>
      <c r="O2520" s="470"/>
      <c r="P2520" s="471"/>
      <c r="Q2520" s="468"/>
      <c r="R2520" s="469"/>
      <c r="S2520" s="469"/>
      <c r="T2520" s="469"/>
      <c r="U2520" s="469"/>
      <c r="V2520" s="469"/>
      <c r="W2520" s="469"/>
      <c r="X2520" s="469"/>
      <c r="Y2520" s="462">
        <f t="shared" si="17"/>
        <v>0</v>
      </c>
      <c r="Z2520" s="463"/>
      <c r="AA2520" s="464"/>
      <c r="AB2520" s="465"/>
      <c r="AC2520" s="465"/>
      <c r="AD2520" s="465"/>
      <c r="AE2520" s="466"/>
      <c r="AF2520" s="449"/>
      <c r="AG2520" s="449"/>
      <c r="AH2520" s="449"/>
    </row>
    <row r="2521" ht="11.25" customHeight="1">
      <c r="A2521" s="450"/>
      <c r="B2521" s="472"/>
      <c r="C2521" s="473"/>
      <c r="D2521" s="473"/>
      <c r="E2521" s="474"/>
      <c r="F2521" s="474"/>
      <c r="G2521" s="475"/>
      <c r="H2521" s="475"/>
      <c r="I2521" s="476"/>
      <c r="J2521" s="477"/>
      <c r="K2521" s="478" t="s">
        <v>1418</v>
      </c>
      <c r="L2521" s="479"/>
      <c r="M2521" s="480"/>
      <c r="N2521" s="481"/>
      <c r="O2521" s="481"/>
      <c r="P2521" s="482"/>
      <c r="Q2521" s="479"/>
      <c r="R2521" s="480"/>
      <c r="S2521" s="480"/>
      <c r="T2521" s="480"/>
      <c r="U2521" s="480"/>
      <c r="V2521" s="480"/>
      <c r="W2521" s="480"/>
      <c r="X2521" s="480"/>
      <c r="Y2521" s="483">
        <f t="shared" si="17"/>
        <v>0</v>
      </c>
      <c r="Z2521" s="484"/>
      <c r="AA2521" s="485"/>
      <c r="AB2521" s="486"/>
      <c r="AC2521" s="486"/>
      <c r="AD2521" s="486"/>
      <c r="AE2521" s="487"/>
      <c r="AF2521" s="449"/>
      <c r="AG2521" s="449"/>
      <c r="AH2521" s="449"/>
    </row>
    <row r="2522" ht="11.25" customHeight="1">
      <c r="A2522" s="431" t="str">
        <f>IF(B2522="","", YEAR(B2522))</f>
        <v/>
      </c>
      <c r="B2522" s="432"/>
      <c r="C2522" s="433"/>
      <c r="D2522" s="433"/>
      <c r="E2522" s="434" t="str">
        <f t="shared" ref="E2522:I2522" si="1268">IFERROR(AVERAGE(L2522:L2525),"")</f>
        <v/>
      </c>
      <c r="F2522" s="434" t="str">
        <f t="shared" si="1268"/>
        <v/>
      </c>
      <c r="G2522" s="435" t="str">
        <f t="shared" si="1268"/>
        <v/>
      </c>
      <c r="H2522" s="435" t="str">
        <f t="shared" si="1268"/>
        <v/>
      </c>
      <c r="I2522" s="436" t="str">
        <f t="shared" si="1268"/>
        <v/>
      </c>
      <c r="J2522" s="437">
        <f>SUMIFS(PRODUCTION[KG],PRODUCTION[GRADE],"3X50",PRODUCTION[DATE],B2522,PRODUCTION[BATCH],C2522,PRODUCTION[SHIFT],D2522)</f>
        <v>0</v>
      </c>
      <c r="K2522" s="438" t="s">
        <v>1414</v>
      </c>
      <c r="L2522" s="443"/>
      <c r="M2522" s="440"/>
      <c r="N2522" s="441"/>
      <c r="O2522" s="441"/>
      <c r="P2522" s="442"/>
      <c r="Q2522" s="443"/>
      <c r="R2522" s="440"/>
      <c r="S2522" s="440"/>
      <c r="T2522" s="440"/>
      <c r="U2522" s="440"/>
      <c r="V2522" s="440"/>
      <c r="W2522" s="440"/>
      <c r="X2522" s="440"/>
      <c r="Y2522" s="444">
        <f t="shared" si="17"/>
        <v>0</v>
      </c>
      <c r="Z2522" s="445"/>
      <c r="AA2522" s="446">
        <f t="shared" ref="AA2522:AE2522" si="1269">$J2522*E2522</f>
        <v>0</v>
      </c>
      <c r="AB2522" s="447">
        <f t="shared" si="1269"/>
        <v>0</v>
      </c>
      <c r="AC2522" s="447">
        <f t="shared" si="1269"/>
        <v>0</v>
      </c>
      <c r="AD2522" s="447">
        <f t="shared" si="1269"/>
        <v>0</v>
      </c>
      <c r="AE2522" s="448">
        <f t="shared" si="1269"/>
        <v>0</v>
      </c>
      <c r="AF2522" s="449"/>
      <c r="AG2522" s="449"/>
      <c r="AH2522" s="449"/>
    </row>
    <row r="2523" ht="11.25" customHeight="1">
      <c r="A2523" s="450"/>
      <c r="B2523" s="451"/>
      <c r="C2523" s="452"/>
      <c r="D2523" s="452"/>
      <c r="E2523" s="453"/>
      <c r="F2523" s="453"/>
      <c r="G2523" s="454"/>
      <c r="H2523" s="454"/>
      <c r="I2523" s="455"/>
      <c r="J2523" s="456"/>
      <c r="K2523" s="457" t="s">
        <v>1416</v>
      </c>
      <c r="L2523" s="458"/>
      <c r="M2523" s="459"/>
      <c r="N2523" s="460"/>
      <c r="O2523" s="460"/>
      <c r="P2523" s="461"/>
      <c r="Q2523" s="458"/>
      <c r="R2523" s="459"/>
      <c r="S2523" s="459"/>
      <c r="T2523" s="459"/>
      <c r="U2523" s="459"/>
      <c r="V2523" s="459"/>
      <c r="W2523" s="459"/>
      <c r="X2523" s="459"/>
      <c r="Y2523" s="462">
        <f t="shared" si="17"/>
        <v>0</v>
      </c>
      <c r="Z2523" s="463"/>
      <c r="AA2523" s="464"/>
      <c r="AB2523" s="465"/>
      <c r="AC2523" s="465"/>
      <c r="AD2523" s="465"/>
      <c r="AE2523" s="466"/>
      <c r="AF2523" s="449"/>
      <c r="AG2523" s="449"/>
      <c r="AH2523" s="449"/>
    </row>
    <row r="2524" ht="11.25" customHeight="1">
      <c r="A2524" s="450"/>
      <c r="B2524" s="451"/>
      <c r="C2524" s="452"/>
      <c r="D2524" s="452"/>
      <c r="E2524" s="453"/>
      <c r="F2524" s="453"/>
      <c r="G2524" s="454"/>
      <c r="H2524" s="454"/>
      <c r="I2524" s="455"/>
      <c r="J2524" s="456"/>
      <c r="K2524" s="467" t="s">
        <v>1417</v>
      </c>
      <c r="L2524" s="468"/>
      <c r="M2524" s="469"/>
      <c r="N2524" s="470"/>
      <c r="O2524" s="470"/>
      <c r="P2524" s="471"/>
      <c r="Q2524" s="468"/>
      <c r="R2524" s="469"/>
      <c r="S2524" s="469"/>
      <c r="T2524" s="469"/>
      <c r="U2524" s="469"/>
      <c r="V2524" s="469"/>
      <c r="W2524" s="469"/>
      <c r="X2524" s="469"/>
      <c r="Y2524" s="462">
        <f t="shared" si="17"/>
        <v>0</v>
      </c>
      <c r="Z2524" s="463"/>
      <c r="AA2524" s="464"/>
      <c r="AB2524" s="465"/>
      <c r="AC2524" s="465"/>
      <c r="AD2524" s="465"/>
      <c r="AE2524" s="466"/>
      <c r="AF2524" s="449"/>
      <c r="AG2524" s="449"/>
      <c r="AH2524" s="449"/>
    </row>
    <row r="2525" ht="11.25" customHeight="1">
      <c r="A2525" s="450"/>
      <c r="B2525" s="472"/>
      <c r="C2525" s="473"/>
      <c r="D2525" s="473"/>
      <c r="E2525" s="474"/>
      <c r="F2525" s="474"/>
      <c r="G2525" s="475"/>
      <c r="H2525" s="475"/>
      <c r="I2525" s="476"/>
      <c r="J2525" s="477"/>
      <c r="K2525" s="478" t="s">
        <v>1418</v>
      </c>
      <c r="L2525" s="479"/>
      <c r="M2525" s="480"/>
      <c r="N2525" s="481"/>
      <c r="O2525" s="481"/>
      <c r="P2525" s="482"/>
      <c r="Q2525" s="479"/>
      <c r="R2525" s="480"/>
      <c r="S2525" s="480"/>
      <c r="T2525" s="480"/>
      <c r="U2525" s="480"/>
      <c r="V2525" s="480"/>
      <c r="W2525" s="480"/>
      <c r="X2525" s="480"/>
      <c r="Y2525" s="483">
        <f t="shared" si="17"/>
        <v>0</v>
      </c>
      <c r="Z2525" s="484"/>
      <c r="AA2525" s="485"/>
      <c r="AB2525" s="486"/>
      <c r="AC2525" s="486"/>
      <c r="AD2525" s="486"/>
      <c r="AE2525" s="487"/>
      <c r="AF2525" s="449"/>
      <c r="AG2525" s="449"/>
      <c r="AH2525" s="449"/>
    </row>
    <row r="2526" ht="11.25" customHeight="1">
      <c r="A2526" s="431" t="str">
        <f>IF(B2526="","", YEAR(B2526))</f>
        <v/>
      </c>
      <c r="B2526" s="432"/>
      <c r="C2526" s="433"/>
      <c r="D2526" s="433"/>
      <c r="E2526" s="434" t="str">
        <f t="shared" ref="E2526:I2526" si="1270">IFERROR(AVERAGE(L2526:L2529),"")</f>
        <v/>
      </c>
      <c r="F2526" s="434" t="str">
        <f t="shared" si="1270"/>
        <v/>
      </c>
      <c r="G2526" s="435" t="str">
        <f t="shared" si="1270"/>
        <v/>
      </c>
      <c r="H2526" s="435" t="str">
        <f t="shared" si="1270"/>
        <v/>
      </c>
      <c r="I2526" s="436" t="str">
        <f t="shared" si="1270"/>
        <v/>
      </c>
      <c r="J2526" s="437">
        <f>SUMIFS(PRODUCTION[KG],PRODUCTION[GRADE],"3X50",PRODUCTION[DATE],B2526,PRODUCTION[BATCH],C2526,PRODUCTION[SHIFT],D2526)</f>
        <v>0</v>
      </c>
      <c r="K2526" s="438" t="s">
        <v>1414</v>
      </c>
      <c r="L2526" s="443"/>
      <c r="M2526" s="440"/>
      <c r="N2526" s="441"/>
      <c r="O2526" s="441"/>
      <c r="P2526" s="442"/>
      <c r="Q2526" s="443"/>
      <c r="R2526" s="440"/>
      <c r="S2526" s="440"/>
      <c r="T2526" s="440"/>
      <c r="U2526" s="440"/>
      <c r="V2526" s="440"/>
      <c r="W2526" s="440"/>
      <c r="X2526" s="440"/>
      <c r="Y2526" s="444">
        <f t="shared" si="17"/>
        <v>0</v>
      </c>
      <c r="Z2526" s="445"/>
      <c r="AA2526" s="446">
        <f t="shared" ref="AA2526:AE2526" si="1271">$J2526*E2526</f>
        <v>0</v>
      </c>
      <c r="AB2526" s="447">
        <f t="shared" si="1271"/>
        <v>0</v>
      </c>
      <c r="AC2526" s="447">
        <f t="shared" si="1271"/>
        <v>0</v>
      </c>
      <c r="AD2526" s="447">
        <f t="shared" si="1271"/>
        <v>0</v>
      </c>
      <c r="AE2526" s="448">
        <f t="shared" si="1271"/>
        <v>0</v>
      </c>
      <c r="AF2526" s="449"/>
      <c r="AG2526" s="449"/>
      <c r="AH2526" s="449"/>
    </row>
    <row r="2527" ht="11.25" customHeight="1">
      <c r="A2527" s="450"/>
      <c r="B2527" s="451"/>
      <c r="C2527" s="452"/>
      <c r="D2527" s="452"/>
      <c r="E2527" s="453"/>
      <c r="F2527" s="453"/>
      <c r="G2527" s="454"/>
      <c r="H2527" s="454"/>
      <c r="I2527" s="455"/>
      <c r="J2527" s="456"/>
      <c r="K2527" s="457" t="s">
        <v>1416</v>
      </c>
      <c r="L2527" s="458"/>
      <c r="M2527" s="459"/>
      <c r="N2527" s="460"/>
      <c r="O2527" s="460"/>
      <c r="P2527" s="461"/>
      <c r="Q2527" s="458"/>
      <c r="R2527" s="459"/>
      <c r="S2527" s="459"/>
      <c r="T2527" s="459"/>
      <c r="U2527" s="459"/>
      <c r="V2527" s="459"/>
      <c r="W2527" s="459"/>
      <c r="X2527" s="459"/>
      <c r="Y2527" s="462">
        <f t="shared" si="17"/>
        <v>0</v>
      </c>
      <c r="Z2527" s="463"/>
      <c r="AA2527" s="464"/>
      <c r="AB2527" s="465"/>
      <c r="AC2527" s="465"/>
      <c r="AD2527" s="465"/>
      <c r="AE2527" s="466"/>
      <c r="AF2527" s="449"/>
      <c r="AG2527" s="449"/>
      <c r="AH2527" s="449"/>
    </row>
    <row r="2528" ht="11.25" customHeight="1">
      <c r="A2528" s="450"/>
      <c r="B2528" s="451"/>
      <c r="C2528" s="452"/>
      <c r="D2528" s="452"/>
      <c r="E2528" s="453"/>
      <c r="F2528" s="453"/>
      <c r="G2528" s="454"/>
      <c r="H2528" s="454"/>
      <c r="I2528" s="455"/>
      <c r="J2528" s="456"/>
      <c r="K2528" s="467" t="s">
        <v>1417</v>
      </c>
      <c r="L2528" s="468"/>
      <c r="M2528" s="469"/>
      <c r="N2528" s="470"/>
      <c r="O2528" s="470"/>
      <c r="P2528" s="471"/>
      <c r="Q2528" s="468"/>
      <c r="R2528" s="469"/>
      <c r="S2528" s="469"/>
      <c r="T2528" s="469"/>
      <c r="U2528" s="469"/>
      <c r="V2528" s="469"/>
      <c r="W2528" s="469"/>
      <c r="X2528" s="469"/>
      <c r="Y2528" s="462">
        <f t="shared" si="17"/>
        <v>0</v>
      </c>
      <c r="Z2528" s="463"/>
      <c r="AA2528" s="464"/>
      <c r="AB2528" s="465"/>
      <c r="AC2528" s="465"/>
      <c r="AD2528" s="465"/>
      <c r="AE2528" s="466"/>
      <c r="AF2528" s="449"/>
      <c r="AG2528" s="449"/>
      <c r="AH2528" s="449"/>
    </row>
    <row r="2529" ht="11.25" customHeight="1">
      <c r="A2529" s="450"/>
      <c r="B2529" s="472"/>
      <c r="C2529" s="473"/>
      <c r="D2529" s="473"/>
      <c r="E2529" s="474"/>
      <c r="F2529" s="474"/>
      <c r="G2529" s="475"/>
      <c r="H2529" s="475"/>
      <c r="I2529" s="476"/>
      <c r="J2529" s="477"/>
      <c r="K2529" s="478" t="s">
        <v>1418</v>
      </c>
      <c r="L2529" s="479"/>
      <c r="M2529" s="480"/>
      <c r="N2529" s="481"/>
      <c r="O2529" s="481"/>
      <c r="P2529" s="482"/>
      <c r="Q2529" s="479"/>
      <c r="R2529" s="480"/>
      <c r="S2529" s="480"/>
      <c r="T2529" s="480"/>
      <c r="U2529" s="480"/>
      <c r="V2529" s="480"/>
      <c r="W2529" s="480"/>
      <c r="X2529" s="480"/>
      <c r="Y2529" s="483">
        <f t="shared" si="17"/>
        <v>0</v>
      </c>
      <c r="Z2529" s="484"/>
      <c r="AA2529" s="485"/>
      <c r="AB2529" s="486"/>
      <c r="AC2529" s="486"/>
      <c r="AD2529" s="486"/>
      <c r="AE2529" s="487"/>
      <c r="AF2529" s="449"/>
      <c r="AG2529" s="449"/>
      <c r="AH2529" s="449"/>
    </row>
    <row r="2530" ht="11.25" customHeight="1">
      <c r="A2530" s="431" t="str">
        <f>IF(B2530="","", YEAR(B2530))</f>
        <v/>
      </c>
      <c r="B2530" s="432"/>
      <c r="C2530" s="433"/>
      <c r="D2530" s="433"/>
      <c r="E2530" s="434" t="str">
        <f t="shared" ref="E2530:I2530" si="1272">IFERROR(AVERAGE(L2530:L2533),"")</f>
        <v/>
      </c>
      <c r="F2530" s="434" t="str">
        <f t="shared" si="1272"/>
        <v/>
      </c>
      <c r="G2530" s="435" t="str">
        <f t="shared" si="1272"/>
        <v/>
      </c>
      <c r="H2530" s="435" t="str">
        <f t="shared" si="1272"/>
        <v/>
      </c>
      <c r="I2530" s="436" t="str">
        <f t="shared" si="1272"/>
        <v/>
      </c>
      <c r="J2530" s="437">
        <f>SUMIFS(PRODUCTION[KG],PRODUCTION[GRADE],"3X50",PRODUCTION[DATE],B2530,PRODUCTION[BATCH],C2530,PRODUCTION[SHIFT],D2530)</f>
        <v>0</v>
      </c>
      <c r="K2530" s="438" t="s">
        <v>1414</v>
      </c>
      <c r="L2530" s="443"/>
      <c r="M2530" s="440"/>
      <c r="N2530" s="441"/>
      <c r="O2530" s="441"/>
      <c r="P2530" s="442"/>
      <c r="Q2530" s="443"/>
      <c r="R2530" s="440"/>
      <c r="S2530" s="440"/>
      <c r="T2530" s="440"/>
      <c r="U2530" s="440"/>
      <c r="V2530" s="440"/>
      <c r="W2530" s="440"/>
      <c r="X2530" s="440"/>
      <c r="Y2530" s="444">
        <f t="shared" si="17"/>
        <v>0</v>
      </c>
      <c r="Z2530" s="445"/>
      <c r="AA2530" s="446">
        <f t="shared" ref="AA2530:AE2530" si="1273">$J2530*E2530</f>
        <v>0</v>
      </c>
      <c r="AB2530" s="447">
        <f t="shared" si="1273"/>
        <v>0</v>
      </c>
      <c r="AC2530" s="447">
        <f t="shared" si="1273"/>
        <v>0</v>
      </c>
      <c r="AD2530" s="447">
        <f t="shared" si="1273"/>
        <v>0</v>
      </c>
      <c r="AE2530" s="448">
        <f t="shared" si="1273"/>
        <v>0</v>
      </c>
      <c r="AF2530" s="449"/>
      <c r="AG2530" s="449"/>
      <c r="AH2530" s="449"/>
    </row>
    <row r="2531" ht="11.25" customHeight="1">
      <c r="A2531" s="450"/>
      <c r="B2531" s="451"/>
      <c r="C2531" s="452"/>
      <c r="D2531" s="452"/>
      <c r="E2531" s="453"/>
      <c r="F2531" s="453"/>
      <c r="G2531" s="454"/>
      <c r="H2531" s="454"/>
      <c r="I2531" s="455"/>
      <c r="J2531" s="456"/>
      <c r="K2531" s="457" t="s">
        <v>1416</v>
      </c>
      <c r="L2531" s="458"/>
      <c r="M2531" s="459"/>
      <c r="N2531" s="460"/>
      <c r="O2531" s="460"/>
      <c r="P2531" s="461"/>
      <c r="Q2531" s="458"/>
      <c r="R2531" s="459"/>
      <c r="S2531" s="459"/>
      <c r="T2531" s="459"/>
      <c r="U2531" s="459"/>
      <c r="V2531" s="459"/>
      <c r="W2531" s="459"/>
      <c r="X2531" s="459"/>
      <c r="Y2531" s="462">
        <f t="shared" si="17"/>
        <v>0</v>
      </c>
      <c r="Z2531" s="463"/>
      <c r="AA2531" s="464"/>
      <c r="AB2531" s="465"/>
      <c r="AC2531" s="465"/>
      <c r="AD2531" s="465"/>
      <c r="AE2531" s="466"/>
      <c r="AF2531" s="449"/>
      <c r="AG2531" s="449"/>
      <c r="AH2531" s="449"/>
    </row>
    <row r="2532" ht="11.25" customHeight="1">
      <c r="A2532" s="450"/>
      <c r="B2532" s="451"/>
      <c r="C2532" s="452"/>
      <c r="D2532" s="452"/>
      <c r="E2532" s="453"/>
      <c r="F2532" s="453"/>
      <c r="G2532" s="454"/>
      <c r="H2532" s="454"/>
      <c r="I2532" s="455"/>
      <c r="J2532" s="456"/>
      <c r="K2532" s="467" t="s">
        <v>1417</v>
      </c>
      <c r="L2532" s="468"/>
      <c r="M2532" s="469"/>
      <c r="N2532" s="470"/>
      <c r="O2532" s="470"/>
      <c r="P2532" s="471"/>
      <c r="Q2532" s="468"/>
      <c r="R2532" s="469"/>
      <c r="S2532" s="469"/>
      <c r="T2532" s="469"/>
      <c r="U2532" s="469"/>
      <c r="V2532" s="469"/>
      <c r="W2532" s="469"/>
      <c r="X2532" s="469"/>
      <c r="Y2532" s="462">
        <f t="shared" si="17"/>
        <v>0</v>
      </c>
      <c r="Z2532" s="463"/>
      <c r="AA2532" s="464"/>
      <c r="AB2532" s="465"/>
      <c r="AC2532" s="465"/>
      <c r="AD2532" s="465"/>
      <c r="AE2532" s="466"/>
      <c r="AF2532" s="449"/>
      <c r="AG2532" s="449"/>
      <c r="AH2532" s="449"/>
    </row>
    <row r="2533" ht="11.25" customHeight="1">
      <c r="A2533" s="450"/>
      <c r="B2533" s="472"/>
      <c r="C2533" s="473"/>
      <c r="D2533" s="473"/>
      <c r="E2533" s="474"/>
      <c r="F2533" s="474"/>
      <c r="G2533" s="475"/>
      <c r="H2533" s="475"/>
      <c r="I2533" s="476"/>
      <c r="J2533" s="477"/>
      <c r="K2533" s="478" t="s">
        <v>1418</v>
      </c>
      <c r="L2533" s="479"/>
      <c r="M2533" s="480"/>
      <c r="N2533" s="481"/>
      <c r="O2533" s="481"/>
      <c r="P2533" s="482"/>
      <c r="Q2533" s="479"/>
      <c r="R2533" s="480"/>
      <c r="S2533" s="480"/>
      <c r="T2533" s="480"/>
      <c r="U2533" s="480"/>
      <c r="V2533" s="480"/>
      <c r="W2533" s="480"/>
      <c r="X2533" s="480"/>
      <c r="Y2533" s="483">
        <f t="shared" si="17"/>
        <v>0</v>
      </c>
      <c r="Z2533" s="484"/>
      <c r="AA2533" s="485"/>
      <c r="AB2533" s="486"/>
      <c r="AC2533" s="486"/>
      <c r="AD2533" s="486"/>
      <c r="AE2533" s="487"/>
      <c r="AF2533" s="449"/>
      <c r="AG2533" s="449"/>
      <c r="AH2533" s="449"/>
    </row>
    <row r="2534" ht="11.25" customHeight="1">
      <c r="A2534" s="431" t="str">
        <f>IF(B2534="","", YEAR(B2534))</f>
        <v/>
      </c>
      <c r="B2534" s="432"/>
      <c r="C2534" s="433"/>
      <c r="D2534" s="433"/>
      <c r="E2534" s="434" t="str">
        <f t="shared" ref="E2534:I2534" si="1274">IFERROR(AVERAGE(L2534:L2537),"")</f>
        <v/>
      </c>
      <c r="F2534" s="434" t="str">
        <f t="shared" si="1274"/>
        <v/>
      </c>
      <c r="G2534" s="435" t="str">
        <f t="shared" si="1274"/>
        <v/>
      </c>
      <c r="H2534" s="435" t="str">
        <f t="shared" si="1274"/>
        <v/>
      </c>
      <c r="I2534" s="436" t="str">
        <f t="shared" si="1274"/>
        <v/>
      </c>
      <c r="J2534" s="437">
        <f>SUMIFS(PRODUCTION[KG],PRODUCTION[GRADE],"3X50",PRODUCTION[DATE],B2534,PRODUCTION[BATCH],C2534,PRODUCTION[SHIFT],D2534)</f>
        <v>0</v>
      </c>
      <c r="K2534" s="438" t="s">
        <v>1414</v>
      </c>
      <c r="L2534" s="443"/>
      <c r="M2534" s="440"/>
      <c r="N2534" s="441"/>
      <c r="O2534" s="441"/>
      <c r="P2534" s="442"/>
      <c r="Q2534" s="443"/>
      <c r="R2534" s="440"/>
      <c r="S2534" s="440"/>
      <c r="T2534" s="440"/>
      <c r="U2534" s="440"/>
      <c r="V2534" s="440"/>
      <c r="W2534" s="440"/>
      <c r="X2534" s="440"/>
      <c r="Y2534" s="444">
        <f t="shared" si="17"/>
        <v>0</v>
      </c>
      <c r="Z2534" s="445"/>
      <c r="AA2534" s="446">
        <f t="shared" ref="AA2534:AE2534" si="1275">$J2534*E2534</f>
        <v>0</v>
      </c>
      <c r="AB2534" s="447">
        <f t="shared" si="1275"/>
        <v>0</v>
      </c>
      <c r="AC2534" s="447">
        <f t="shared" si="1275"/>
        <v>0</v>
      </c>
      <c r="AD2534" s="447">
        <f t="shared" si="1275"/>
        <v>0</v>
      </c>
      <c r="AE2534" s="448">
        <f t="shared" si="1275"/>
        <v>0</v>
      </c>
      <c r="AF2534" s="449"/>
      <c r="AG2534" s="449"/>
      <c r="AH2534" s="449"/>
    </row>
    <row r="2535" ht="11.25" customHeight="1">
      <c r="A2535" s="450"/>
      <c r="B2535" s="451"/>
      <c r="C2535" s="452"/>
      <c r="D2535" s="452"/>
      <c r="E2535" s="453"/>
      <c r="F2535" s="453"/>
      <c r="G2535" s="454"/>
      <c r="H2535" s="454"/>
      <c r="I2535" s="455"/>
      <c r="J2535" s="456"/>
      <c r="K2535" s="457" t="s">
        <v>1416</v>
      </c>
      <c r="L2535" s="458"/>
      <c r="M2535" s="459"/>
      <c r="N2535" s="460"/>
      <c r="O2535" s="460"/>
      <c r="P2535" s="461"/>
      <c r="Q2535" s="458"/>
      <c r="R2535" s="459"/>
      <c r="S2535" s="459"/>
      <c r="T2535" s="459"/>
      <c r="U2535" s="459"/>
      <c r="V2535" s="459"/>
      <c r="W2535" s="459"/>
      <c r="X2535" s="459"/>
      <c r="Y2535" s="462">
        <f t="shared" si="17"/>
        <v>0</v>
      </c>
      <c r="Z2535" s="463"/>
      <c r="AA2535" s="464"/>
      <c r="AB2535" s="465"/>
      <c r="AC2535" s="465"/>
      <c r="AD2535" s="465"/>
      <c r="AE2535" s="466"/>
      <c r="AF2535" s="449"/>
      <c r="AG2535" s="449"/>
      <c r="AH2535" s="449"/>
    </row>
    <row r="2536" ht="11.25" customHeight="1">
      <c r="A2536" s="450"/>
      <c r="B2536" s="451"/>
      <c r="C2536" s="452"/>
      <c r="D2536" s="452"/>
      <c r="E2536" s="453"/>
      <c r="F2536" s="453"/>
      <c r="G2536" s="454"/>
      <c r="H2536" s="454"/>
      <c r="I2536" s="455"/>
      <c r="J2536" s="456"/>
      <c r="K2536" s="467" t="s">
        <v>1417</v>
      </c>
      <c r="L2536" s="468"/>
      <c r="M2536" s="469"/>
      <c r="N2536" s="470"/>
      <c r="O2536" s="470"/>
      <c r="P2536" s="471"/>
      <c r="Q2536" s="468"/>
      <c r="R2536" s="469"/>
      <c r="S2536" s="469"/>
      <c r="T2536" s="469"/>
      <c r="U2536" s="469"/>
      <c r="V2536" s="469"/>
      <c r="W2536" s="469"/>
      <c r="X2536" s="469"/>
      <c r="Y2536" s="462">
        <f t="shared" si="17"/>
        <v>0</v>
      </c>
      <c r="Z2536" s="463"/>
      <c r="AA2536" s="464"/>
      <c r="AB2536" s="465"/>
      <c r="AC2536" s="465"/>
      <c r="AD2536" s="465"/>
      <c r="AE2536" s="466"/>
      <c r="AF2536" s="449"/>
      <c r="AG2536" s="449"/>
      <c r="AH2536" s="449"/>
    </row>
    <row r="2537" ht="11.25" customHeight="1">
      <c r="A2537" s="450"/>
      <c r="B2537" s="472"/>
      <c r="C2537" s="473"/>
      <c r="D2537" s="473"/>
      <c r="E2537" s="474"/>
      <c r="F2537" s="474"/>
      <c r="G2537" s="475"/>
      <c r="H2537" s="475"/>
      <c r="I2537" s="476"/>
      <c r="J2537" s="477"/>
      <c r="K2537" s="478" t="s">
        <v>1418</v>
      </c>
      <c r="L2537" s="479"/>
      <c r="M2537" s="480"/>
      <c r="N2537" s="481"/>
      <c r="O2537" s="481"/>
      <c r="P2537" s="482"/>
      <c r="Q2537" s="479"/>
      <c r="R2537" s="480"/>
      <c r="S2537" s="480"/>
      <c r="T2537" s="480"/>
      <c r="U2537" s="480"/>
      <c r="V2537" s="480"/>
      <c r="W2537" s="480"/>
      <c r="X2537" s="480"/>
      <c r="Y2537" s="483">
        <f t="shared" si="17"/>
        <v>0</v>
      </c>
      <c r="Z2537" s="484"/>
      <c r="AA2537" s="485"/>
      <c r="AB2537" s="486"/>
      <c r="AC2537" s="486"/>
      <c r="AD2537" s="486"/>
      <c r="AE2537" s="487"/>
      <c r="AF2537" s="449"/>
      <c r="AG2537" s="449"/>
      <c r="AH2537" s="449"/>
    </row>
    <row r="2538" ht="11.25" customHeight="1">
      <c r="A2538" s="431" t="str">
        <f>IF(B2538="","", YEAR(B2538))</f>
        <v/>
      </c>
      <c r="B2538" s="432"/>
      <c r="C2538" s="433"/>
      <c r="D2538" s="433"/>
      <c r="E2538" s="434" t="str">
        <f t="shared" ref="E2538:I2538" si="1276">IFERROR(AVERAGE(L2538:L2541),"")</f>
        <v/>
      </c>
      <c r="F2538" s="434" t="str">
        <f t="shared" si="1276"/>
        <v/>
      </c>
      <c r="G2538" s="435" t="str">
        <f t="shared" si="1276"/>
        <v/>
      </c>
      <c r="H2538" s="435" t="str">
        <f t="shared" si="1276"/>
        <v/>
      </c>
      <c r="I2538" s="436" t="str">
        <f t="shared" si="1276"/>
        <v/>
      </c>
      <c r="J2538" s="437">
        <f>SUMIFS(PRODUCTION[KG],PRODUCTION[GRADE],"3X50",PRODUCTION[DATE],B2538,PRODUCTION[BATCH],C2538,PRODUCTION[SHIFT],D2538)</f>
        <v>0</v>
      </c>
      <c r="K2538" s="438" t="s">
        <v>1414</v>
      </c>
      <c r="L2538" s="443"/>
      <c r="M2538" s="440"/>
      <c r="N2538" s="441"/>
      <c r="O2538" s="441"/>
      <c r="P2538" s="442"/>
      <c r="Q2538" s="443"/>
      <c r="R2538" s="440"/>
      <c r="S2538" s="440"/>
      <c r="T2538" s="440"/>
      <c r="U2538" s="440"/>
      <c r="V2538" s="440"/>
      <c r="W2538" s="440"/>
      <c r="X2538" s="440"/>
      <c r="Y2538" s="444">
        <f t="shared" si="17"/>
        <v>0</v>
      </c>
      <c r="Z2538" s="445"/>
      <c r="AA2538" s="446">
        <f t="shared" ref="AA2538:AE2538" si="1277">$J2538*E2538</f>
        <v>0</v>
      </c>
      <c r="AB2538" s="447">
        <f t="shared" si="1277"/>
        <v>0</v>
      </c>
      <c r="AC2538" s="447">
        <f t="shared" si="1277"/>
        <v>0</v>
      </c>
      <c r="AD2538" s="447">
        <f t="shared" si="1277"/>
        <v>0</v>
      </c>
      <c r="AE2538" s="448">
        <f t="shared" si="1277"/>
        <v>0</v>
      </c>
      <c r="AF2538" s="449"/>
      <c r="AG2538" s="449"/>
      <c r="AH2538" s="449"/>
    </row>
    <row r="2539" ht="11.25" customHeight="1">
      <c r="A2539" s="450"/>
      <c r="B2539" s="451"/>
      <c r="C2539" s="452"/>
      <c r="D2539" s="452"/>
      <c r="E2539" s="453"/>
      <c r="F2539" s="453"/>
      <c r="G2539" s="454"/>
      <c r="H2539" s="454"/>
      <c r="I2539" s="455"/>
      <c r="J2539" s="456"/>
      <c r="K2539" s="457" t="s">
        <v>1416</v>
      </c>
      <c r="L2539" s="458"/>
      <c r="M2539" s="459"/>
      <c r="N2539" s="460"/>
      <c r="O2539" s="460"/>
      <c r="P2539" s="461"/>
      <c r="Q2539" s="458"/>
      <c r="R2539" s="459"/>
      <c r="S2539" s="459"/>
      <c r="T2539" s="459"/>
      <c r="U2539" s="459"/>
      <c r="V2539" s="459"/>
      <c r="W2539" s="459"/>
      <c r="X2539" s="459"/>
      <c r="Y2539" s="462">
        <f t="shared" si="17"/>
        <v>0</v>
      </c>
      <c r="Z2539" s="463"/>
      <c r="AA2539" s="464"/>
      <c r="AB2539" s="465"/>
      <c r="AC2539" s="465"/>
      <c r="AD2539" s="465"/>
      <c r="AE2539" s="466"/>
      <c r="AF2539" s="449"/>
      <c r="AG2539" s="449"/>
      <c r="AH2539" s="449"/>
    </row>
    <row r="2540" ht="11.25" customHeight="1">
      <c r="A2540" s="450"/>
      <c r="B2540" s="451"/>
      <c r="C2540" s="452"/>
      <c r="D2540" s="452"/>
      <c r="E2540" s="453"/>
      <c r="F2540" s="453"/>
      <c r="G2540" s="454"/>
      <c r="H2540" s="454"/>
      <c r="I2540" s="455"/>
      <c r="J2540" s="456"/>
      <c r="K2540" s="467" t="s">
        <v>1417</v>
      </c>
      <c r="L2540" s="468"/>
      <c r="M2540" s="469"/>
      <c r="N2540" s="470"/>
      <c r="O2540" s="470"/>
      <c r="P2540" s="471"/>
      <c r="Q2540" s="468"/>
      <c r="R2540" s="469"/>
      <c r="S2540" s="469"/>
      <c r="T2540" s="469"/>
      <c r="U2540" s="469"/>
      <c r="V2540" s="469"/>
      <c r="W2540" s="469"/>
      <c r="X2540" s="469"/>
      <c r="Y2540" s="462">
        <f t="shared" si="17"/>
        <v>0</v>
      </c>
      <c r="Z2540" s="463"/>
      <c r="AA2540" s="464"/>
      <c r="AB2540" s="465"/>
      <c r="AC2540" s="465"/>
      <c r="AD2540" s="465"/>
      <c r="AE2540" s="466"/>
      <c r="AF2540" s="449"/>
      <c r="AG2540" s="449"/>
      <c r="AH2540" s="449"/>
    </row>
    <row r="2541" ht="11.25" customHeight="1">
      <c r="A2541" s="450"/>
      <c r="B2541" s="472"/>
      <c r="C2541" s="473"/>
      <c r="D2541" s="473"/>
      <c r="E2541" s="474"/>
      <c r="F2541" s="474"/>
      <c r="G2541" s="475"/>
      <c r="H2541" s="475"/>
      <c r="I2541" s="476"/>
      <c r="J2541" s="477"/>
      <c r="K2541" s="478" t="s">
        <v>1418</v>
      </c>
      <c r="L2541" s="479"/>
      <c r="M2541" s="480"/>
      <c r="N2541" s="481"/>
      <c r="O2541" s="481"/>
      <c r="P2541" s="482"/>
      <c r="Q2541" s="479"/>
      <c r="R2541" s="480"/>
      <c r="S2541" s="480"/>
      <c r="T2541" s="480"/>
      <c r="U2541" s="480"/>
      <c r="V2541" s="480"/>
      <c r="W2541" s="480"/>
      <c r="X2541" s="480"/>
      <c r="Y2541" s="483">
        <f t="shared" si="17"/>
        <v>0</v>
      </c>
      <c r="Z2541" s="484"/>
      <c r="AA2541" s="485"/>
      <c r="AB2541" s="486"/>
      <c r="AC2541" s="486"/>
      <c r="AD2541" s="486"/>
      <c r="AE2541" s="487"/>
      <c r="AF2541" s="449"/>
      <c r="AG2541" s="449"/>
      <c r="AH2541" s="449"/>
    </row>
    <row r="2542" ht="11.25" customHeight="1">
      <c r="A2542" s="431" t="str">
        <f>IF(B2542="","", YEAR(B2542))</f>
        <v/>
      </c>
      <c r="B2542" s="432"/>
      <c r="C2542" s="433"/>
      <c r="D2542" s="433"/>
      <c r="E2542" s="434" t="str">
        <f t="shared" ref="E2542:I2542" si="1278">IFERROR(AVERAGE(L2542:L2545),"")</f>
        <v/>
      </c>
      <c r="F2542" s="434" t="str">
        <f t="shared" si="1278"/>
        <v/>
      </c>
      <c r="G2542" s="435" t="str">
        <f t="shared" si="1278"/>
        <v/>
      </c>
      <c r="H2542" s="435" t="str">
        <f t="shared" si="1278"/>
        <v/>
      </c>
      <c r="I2542" s="436" t="str">
        <f t="shared" si="1278"/>
        <v/>
      </c>
      <c r="J2542" s="437">
        <f>SUMIFS(PRODUCTION[KG],PRODUCTION[GRADE],"3X50",PRODUCTION[DATE],B2542,PRODUCTION[BATCH],C2542,PRODUCTION[SHIFT],D2542)</f>
        <v>0</v>
      </c>
      <c r="K2542" s="438" t="s">
        <v>1414</v>
      </c>
      <c r="L2542" s="443"/>
      <c r="M2542" s="440"/>
      <c r="N2542" s="441"/>
      <c r="O2542" s="441"/>
      <c r="P2542" s="442"/>
      <c r="Q2542" s="443"/>
      <c r="R2542" s="440"/>
      <c r="S2542" s="440"/>
      <c r="T2542" s="440"/>
      <c r="U2542" s="440"/>
      <c r="V2542" s="440"/>
      <c r="W2542" s="440"/>
      <c r="X2542" s="440"/>
      <c r="Y2542" s="444">
        <f t="shared" si="17"/>
        <v>0</v>
      </c>
      <c r="Z2542" s="445"/>
      <c r="AA2542" s="446">
        <f t="shared" ref="AA2542:AE2542" si="1279">$J2542*E2542</f>
        <v>0</v>
      </c>
      <c r="AB2542" s="447">
        <f t="shared" si="1279"/>
        <v>0</v>
      </c>
      <c r="AC2542" s="447">
        <f t="shared" si="1279"/>
        <v>0</v>
      </c>
      <c r="AD2542" s="447">
        <f t="shared" si="1279"/>
        <v>0</v>
      </c>
      <c r="AE2542" s="448">
        <f t="shared" si="1279"/>
        <v>0</v>
      </c>
      <c r="AF2542" s="449"/>
      <c r="AG2542" s="449"/>
      <c r="AH2542" s="449"/>
    </row>
    <row r="2543" ht="11.25" customHeight="1">
      <c r="A2543" s="450"/>
      <c r="B2543" s="451"/>
      <c r="C2543" s="452"/>
      <c r="D2543" s="452"/>
      <c r="E2543" s="453"/>
      <c r="F2543" s="453"/>
      <c r="G2543" s="454"/>
      <c r="H2543" s="454"/>
      <c r="I2543" s="455"/>
      <c r="J2543" s="456"/>
      <c r="K2543" s="457" t="s">
        <v>1416</v>
      </c>
      <c r="L2543" s="458"/>
      <c r="M2543" s="459"/>
      <c r="N2543" s="460"/>
      <c r="O2543" s="460"/>
      <c r="P2543" s="461"/>
      <c r="Q2543" s="458"/>
      <c r="R2543" s="459"/>
      <c r="S2543" s="459"/>
      <c r="T2543" s="459"/>
      <c r="U2543" s="459"/>
      <c r="V2543" s="459"/>
      <c r="W2543" s="459"/>
      <c r="X2543" s="459"/>
      <c r="Y2543" s="462">
        <f t="shared" si="17"/>
        <v>0</v>
      </c>
      <c r="Z2543" s="463"/>
      <c r="AA2543" s="464"/>
      <c r="AB2543" s="465"/>
      <c r="AC2543" s="465"/>
      <c r="AD2543" s="465"/>
      <c r="AE2543" s="466"/>
      <c r="AF2543" s="449"/>
      <c r="AG2543" s="449"/>
      <c r="AH2543" s="449"/>
    </row>
    <row r="2544" ht="11.25" customHeight="1">
      <c r="A2544" s="450"/>
      <c r="B2544" s="451"/>
      <c r="C2544" s="452"/>
      <c r="D2544" s="452"/>
      <c r="E2544" s="453"/>
      <c r="F2544" s="453"/>
      <c r="G2544" s="454"/>
      <c r="H2544" s="454"/>
      <c r="I2544" s="455"/>
      <c r="J2544" s="456"/>
      <c r="K2544" s="467" t="s">
        <v>1417</v>
      </c>
      <c r="L2544" s="468"/>
      <c r="M2544" s="469"/>
      <c r="N2544" s="470"/>
      <c r="O2544" s="470"/>
      <c r="P2544" s="471"/>
      <c r="Q2544" s="468"/>
      <c r="R2544" s="469"/>
      <c r="S2544" s="469"/>
      <c r="T2544" s="469"/>
      <c r="U2544" s="469"/>
      <c r="V2544" s="469"/>
      <c r="W2544" s="469"/>
      <c r="X2544" s="469"/>
      <c r="Y2544" s="462">
        <f t="shared" si="17"/>
        <v>0</v>
      </c>
      <c r="Z2544" s="463"/>
      <c r="AA2544" s="464"/>
      <c r="AB2544" s="465"/>
      <c r="AC2544" s="465"/>
      <c r="AD2544" s="465"/>
      <c r="AE2544" s="466"/>
      <c r="AF2544" s="449"/>
      <c r="AG2544" s="449"/>
      <c r="AH2544" s="449"/>
    </row>
    <row r="2545" ht="11.25" customHeight="1">
      <c r="A2545" s="450"/>
      <c r="B2545" s="472"/>
      <c r="C2545" s="473"/>
      <c r="D2545" s="473"/>
      <c r="E2545" s="474"/>
      <c r="F2545" s="474"/>
      <c r="G2545" s="475"/>
      <c r="H2545" s="475"/>
      <c r="I2545" s="476"/>
      <c r="J2545" s="477"/>
      <c r="K2545" s="478" t="s">
        <v>1418</v>
      </c>
      <c r="L2545" s="479"/>
      <c r="M2545" s="480"/>
      <c r="N2545" s="481"/>
      <c r="O2545" s="481"/>
      <c r="P2545" s="482"/>
      <c r="Q2545" s="479"/>
      <c r="R2545" s="480"/>
      <c r="S2545" s="480"/>
      <c r="T2545" s="480"/>
      <c r="U2545" s="480"/>
      <c r="V2545" s="480"/>
      <c r="W2545" s="480"/>
      <c r="X2545" s="480"/>
      <c r="Y2545" s="483">
        <f t="shared" si="17"/>
        <v>0</v>
      </c>
      <c r="Z2545" s="484"/>
      <c r="AA2545" s="485"/>
      <c r="AB2545" s="486"/>
      <c r="AC2545" s="486"/>
      <c r="AD2545" s="486"/>
      <c r="AE2545" s="487"/>
      <c r="AF2545" s="449"/>
      <c r="AG2545" s="449"/>
      <c r="AH2545" s="449"/>
    </row>
    <row r="2546" ht="11.25" customHeight="1">
      <c r="A2546" s="431" t="str">
        <f>IF(B2546="","", YEAR(B2546))</f>
        <v/>
      </c>
      <c r="B2546" s="432"/>
      <c r="C2546" s="433"/>
      <c r="D2546" s="433"/>
      <c r="E2546" s="434" t="str">
        <f t="shared" ref="E2546:I2546" si="1280">IFERROR(AVERAGE(L2546:L2549),"")</f>
        <v/>
      </c>
      <c r="F2546" s="434" t="str">
        <f t="shared" si="1280"/>
        <v/>
      </c>
      <c r="G2546" s="435" t="str">
        <f t="shared" si="1280"/>
        <v/>
      </c>
      <c r="H2546" s="435" t="str">
        <f t="shared" si="1280"/>
        <v/>
      </c>
      <c r="I2546" s="436" t="str">
        <f t="shared" si="1280"/>
        <v/>
      </c>
      <c r="J2546" s="437">
        <f>SUMIFS(PRODUCTION[KG],PRODUCTION[GRADE],"3X50",PRODUCTION[DATE],B2546,PRODUCTION[BATCH],C2546,PRODUCTION[SHIFT],D2546)</f>
        <v>0</v>
      </c>
      <c r="K2546" s="438" t="s">
        <v>1414</v>
      </c>
      <c r="L2546" s="443"/>
      <c r="M2546" s="440"/>
      <c r="N2546" s="441"/>
      <c r="O2546" s="441"/>
      <c r="P2546" s="442"/>
      <c r="Q2546" s="443"/>
      <c r="R2546" s="440"/>
      <c r="S2546" s="440"/>
      <c r="T2546" s="440"/>
      <c r="U2546" s="440"/>
      <c r="V2546" s="440"/>
      <c r="W2546" s="440"/>
      <c r="X2546" s="440"/>
      <c r="Y2546" s="444">
        <f t="shared" si="17"/>
        <v>0</v>
      </c>
      <c r="Z2546" s="445"/>
      <c r="AA2546" s="446">
        <f t="shared" ref="AA2546:AE2546" si="1281">$J2546*E2546</f>
        <v>0</v>
      </c>
      <c r="AB2546" s="447">
        <f t="shared" si="1281"/>
        <v>0</v>
      </c>
      <c r="AC2546" s="447">
        <f t="shared" si="1281"/>
        <v>0</v>
      </c>
      <c r="AD2546" s="447">
        <f t="shared" si="1281"/>
        <v>0</v>
      </c>
      <c r="AE2546" s="448">
        <f t="shared" si="1281"/>
        <v>0</v>
      </c>
      <c r="AF2546" s="449"/>
      <c r="AG2546" s="449"/>
      <c r="AH2546" s="449"/>
    </row>
    <row r="2547" ht="11.25" customHeight="1">
      <c r="A2547" s="450"/>
      <c r="B2547" s="451"/>
      <c r="C2547" s="452"/>
      <c r="D2547" s="452"/>
      <c r="E2547" s="453"/>
      <c r="F2547" s="453"/>
      <c r="G2547" s="454"/>
      <c r="H2547" s="454"/>
      <c r="I2547" s="455"/>
      <c r="J2547" s="456"/>
      <c r="K2547" s="457" t="s">
        <v>1416</v>
      </c>
      <c r="L2547" s="458"/>
      <c r="M2547" s="459"/>
      <c r="N2547" s="460"/>
      <c r="O2547" s="460"/>
      <c r="P2547" s="461"/>
      <c r="Q2547" s="458"/>
      <c r="R2547" s="459"/>
      <c r="S2547" s="459"/>
      <c r="T2547" s="459"/>
      <c r="U2547" s="459"/>
      <c r="V2547" s="459"/>
      <c r="W2547" s="459"/>
      <c r="X2547" s="459"/>
      <c r="Y2547" s="462">
        <f t="shared" si="17"/>
        <v>0</v>
      </c>
      <c r="Z2547" s="463"/>
      <c r="AA2547" s="464"/>
      <c r="AB2547" s="465"/>
      <c r="AC2547" s="465"/>
      <c r="AD2547" s="465"/>
      <c r="AE2547" s="466"/>
      <c r="AF2547" s="449"/>
      <c r="AG2547" s="449"/>
      <c r="AH2547" s="449"/>
    </row>
    <row r="2548" ht="11.25" customHeight="1">
      <c r="A2548" s="450"/>
      <c r="B2548" s="451"/>
      <c r="C2548" s="452"/>
      <c r="D2548" s="452"/>
      <c r="E2548" s="453"/>
      <c r="F2548" s="453"/>
      <c r="G2548" s="454"/>
      <c r="H2548" s="454"/>
      <c r="I2548" s="455"/>
      <c r="J2548" s="456"/>
      <c r="K2548" s="467" t="s">
        <v>1417</v>
      </c>
      <c r="L2548" s="468"/>
      <c r="M2548" s="469"/>
      <c r="N2548" s="470"/>
      <c r="O2548" s="470"/>
      <c r="P2548" s="471"/>
      <c r="Q2548" s="468"/>
      <c r="R2548" s="469"/>
      <c r="S2548" s="469"/>
      <c r="T2548" s="469"/>
      <c r="U2548" s="469"/>
      <c r="V2548" s="469"/>
      <c r="W2548" s="469"/>
      <c r="X2548" s="469"/>
      <c r="Y2548" s="462">
        <f t="shared" si="17"/>
        <v>0</v>
      </c>
      <c r="Z2548" s="463"/>
      <c r="AA2548" s="464"/>
      <c r="AB2548" s="465"/>
      <c r="AC2548" s="465"/>
      <c r="AD2548" s="465"/>
      <c r="AE2548" s="466"/>
      <c r="AF2548" s="449"/>
      <c r="AG2548" s="449"/>
      <c r="AH2548" s="449"/>
    </row>
    <row r="2549" ht="11.25" customHeight="1">
      <c r="A2549" s="450"/>
      <c r="B2549" s="472"/>
      <c r="C2549" s="473"/>
      <c r="D2549" s="473"/>
      <c r="E2549" s="474"/>
      <c r="F2549" s="474"/>
      <c r="G2549" s="475"/>
      <c r="H2549" s="475"/>
      <c r="I2549" s="476"/>
      <c r="J2549" s="477"/>
      <c r="K2549" s="478" t="s">
        <v>1418</v>
      </c>
      <c r="L2549" s="479"/>
      <c r="M2549" s="480"/>
      <c r="N2549" s="481"/>
      <c r="O2549" s="481"/>
      <c r="P2549" s="482"/>
      <c r="Q2549" s="479"/>
      <c r="R2549" s="480"/>
      <c r="S2549" s="480"/>
      <c r="T2549" s="480"/>
      <c r="U2549" s="480"/>
      <c r="V2549" s="480"/>
      <c r="W2549" s="480"/>
      <c r="X2549" s="480"/>
      <c r="Y2549" s="483">
        <f t="shared" si="17"/>
        <v>0</v>
      </c>
      <c r="Z2549" s="484"/>
      <c r="AA2549" s="485"/>
      <c r="AB2549" s="486"/>
      <c r="AC2549" s="486"/>
      <c r="AD2549" s="486"/>
      <c r="AE2549" s="487"/>
      <c r="AF2549" s="449"/>
      <c r="AG2549" s="449"/>
      <c r="AH2549" s="449"/>
    </row>
    <row r="2550" ht="11.25" customHeight="1">
      <c r="A2550" s="431" t="str">
        <f>IF(B2550="","", YEAR(B2550))</f>
        <v/>
      </c>
      <c r="B2550" s="432"/>
      <c r="C2550" s="433"/>
      <c r="D2550" s="433"/>
      <c r="E2550" s="434" t="str">
        <f t="shared" ref="E2550:I2550" si="1282">IFERROR(AVERAGE(L2550:L2553),"")</f>
        <v/>
      </c>
      <c r="F2550" s="434" t="str">
        <f t="shared" si="1282"/>
        <v/>
      </c>
      <c r="G2550" s="435" t="str">
        <f t="shared" si="1282"/>
        <v/>
      </c>
      <c r="H2550" s="435" t="str">
        <f t="shared" si="1282"/>
        <v/>
      </c>
      <c r="I2550" s="436" t="str">
        <f t="shared" si="1282"/>
        <v/>
      </c>
      <c r="J2550" s="437">
        <f>SUMIFS(PRODUCTION[KG],PRODUCTION[GRADE],"3X50",PRODUCTION[DATE],B2550,PRODUCTION[BATCH],C2550,PRODUCTION[SHIFT],D2550)</f>
        <v>0</v>
      </c>
      <c r="K2550" s="438" t="s">
        <v>1414</v>
      </c>
      <c r="L2550" s="443"/>
      <c r="M2550" s="440"/>
      <c r="N2550" s="441"/>
      <c r="O2550" s="441"/>
      <c r="P2550" s="442"/>
      <c r="Q2550" s="443"/>
      <c r="R2550" s="440"/>
      <c r="S2550" s="440"/>
      <c r="T2550" s="440"/>
      <c r="U2550" s="440"/>
      <c r="V2550" s="440"/>
      <c r="W2550" s="440"/>
      <c r="X2550" s="440"/>
      <c r="Y2550" s="444">
        <f t="shared" si="17"/>
        <v>0</v>
      </c>
      <c r="Z2550" s="445"/>
      <c r="AA2550" s="446">
        <f t="shared" ref="AA2550:AE2550" si="1283">$J2550*E2550</f>
        <v>0</v>
      </c>
      <c r="AB2550" s="447">
        <f t="shared" si="1283"/>
        <v>0</v>
      </c>
      <c r="AC2550" s="447">
        <f t="shared" si="1283"/>
        <v>0</v>
      </c>
      <c r="AD2550" s="447">
        <f t="shared" si="1283"/>
        <v>0</v>
      </c>
      <c r="AE2550" s="448">
        <f t="shared" si="1283"/>
        <v>0</v>
      </c>
      <c r="AF2550" s="449"/>
      <c r="AG2550" s="449"/>
      <c r="AH2550" s="449"/>
    </row>
    <row r="2551" ht="11.25" customHeight="1">
      <c r="A2551" s="450"/>
      <c r="B2551" s="451"/>
      <c r="C2551" s="452"/>
      <c r="D2551" s="452"/>
      <c r="E2551" s="453"/>
      <c r="F2551" s="453"/>
      <c r="G2551" s="454"/>
      <c r="H2551" s="454"/>
      <c r="I2551" s="455"/>
      <c r="J2551" s="456"/>
      <c r="K2551" s="457" t="s">
        <v>1416</v>
      </c>
      <c r="L2551" s="458"/>
      <c r="M2551" s="459"/>
      <c r="N2551" s="460"/>
      <c r="O2551" s="460"/>
      <c r="P2551" s="461"/>
      <c r="Q2551" s="458"/>
      <c r="R2551" s="459"/>
      <c r="S2551" s="459"/>
      <c r="T2551" s="459"/>
      <c r="U2551" s="459"/>
      <c r="V2551" s="459"/>
      <c r="W2551" s="459"/>
      <c r="X2551" s="459"/>
      <c r="Y2551" s="462">
        <f t="shared" si="17"/>
        <v>0</v>
      </c>
      <c r="Z2551" s="463"/>
      <c r="AA2551" s="464"/>
      <c r="AB2551" s="465"/>
      <c r="AC2551" s="465"/>
      <c r="AD2551" s="465"/>
      <c r="AE2551" s="466"/>
      <c r="AF2551" s="449"/>
      <c r="AG2551" s="449"/>
      <c r="AH2551" s="449"/>
    </row>
    <row r="2552" ht="11.25" customHeight="1">
      <c r="A2552" s="450"/>
      <c r="B2552" s="451"/>
      <c r="C2552" s="452"/>
      <c r="D2552" s="452"/>
      <c r="E2552" s="453"/>
      <c r="F2552" s="453"/>
      <c r="G2552" s="454"/>
      <c r="H2552" s="454"/>
      <c r="I2552" s="455"/>
      <c r="J2552" s="456"/>
      <c r="K2552" s="467" t="s">
        <v>1417</v>
      </c>
      <c r="L2552" s="468"/>
      <c r="M2552" s="469"/>
      <c r="N2552" s="470"/>
      <c r="O2552" s="470"/>
      <c r="P2552" s="471"/>
      <c r="Q2552" s="468"/>
      <c r="R2552" s="469"/>
      <c r="S2552" s="469"/>
      <c r="T2552" s="469"/>
      <c r="U2552" s="469"/>
      <c r="V2552" s="469"/>
      <c r="W2552" s="469"/>
      <c r="X2552" s="469"/>
      <c r="Y2552" s="462">
        <f t="shared" si="17"/>
        <v>0</v>
      </c>
      <c r="Z2552" s="463"/>
      <c r="AA2552" s="464"/>
      <c r="AB2552" s="465"/>
      <c r="AC2552" s="465"/>
      <c r="AD2552" s="465"/>
      <c r="AE2552" s="466"/>
      <c r="AF2552" s="449"/>
      <c r="AG2552" s="449"/>
      <c r="AH2552" s="449"/>
    </row>
    <row r="2553" ht="11.25" customHeight="1">
      <c r="A2553" s="450"/>
      <c r="B2553" s="472"/>
      <c r="C2553" s="473"/>
      <c r="D2553" s="473"/>
      <c r="E2553" s="474"/>
      <c r="F2553" s="474"/>
      <c r="G2553" s="475"/>
      <c r="H2553" s="475"/>
      <c r="I2553" s="476"/>
      <c r="J2553" s="477"/>
      <c r="K2553" s="478" t="s">
        <v>1418</v>
      </c>
      <c r="L2553" s="479"/>
      <c r="M2553" s="480"/>
      <c r="N2553" s="481"/>
      <c r="O2553" s="481"/>
      <c r="P2553" s="482"/>
      <c r="Q2553" s="479"/>
      <c r="R2553" s="480"/>
      <c r="S2553" s="480"/>
      <c r="T2553" s="480"/>
      <c r="U2553" s="480"/>
      <c r="V2553" s="480"/>
      <c r="W2553" s="480"/>
      <c r="X2553" s="480"/>
      <c r="Y2553" s="483">
        <f t="shared" si="17"/>
        <v>0</v>
      </c>
      <c r="Z2553" s="484"/>
      <c r="AA2553" s="485"/>
      <c r="AB2553" s="486"/>
      <c r="AC2553" s="486"/>
      <c r="AD2553" s="486"/>
      <c r="AE2553" s="487"/>
      <c r="AF2553" s="449"/>
      <c r="AG2553" s="449"/>
      <c r="AH2553" s="449"/>
    </row>
    <row r="2554" ht="11.25" customHeight="1">
      <c r="A2554" s="431" t="str">
        <f>IF(B2554="","", YEAR(B2554))</f>
        <v/>
      </c>
      <c r="B2554" s="432"/>
      <c r="C2554" s="433"/>
      <c r="D2554" s="433"/>
      <c r="E2554" s="434" t="str">
        <f t="shared" ref="E2554:I2554" si="1284">IFERROR(AVERAGE(L2554:L2557),"")</f>
        <v/>
      </c>
      <c r="F2554" s="434" t="str">
        <f t="shared" si="1284"/>
        <v/>
      </c>
      <c r="G2554" s="435" t="str">
        <f t="shared" si="1284"/>
        <v/>
      </c>
      <c r="H2554" s="435" t="str">
        <f t="shared" si="1284"/>
        <v/>
      </c>
      <c r="I2554" s="436" t="str">
        <f t="shared" si="1284"/>
        <v/>
      </c>
      <c r="J2554" s="437">
        <f>SUMIFS(PRODUCTION[KG],PRODUCTION[GRADE],"3X50",PRODUCTION[DATE],B2554,PRODUCTION[BATCH],C2554,PRODUCTION[SHIFT],D2554)</f>
        <v>0</v>
      </c>
      <c r="K2554" s="438" t="s">
        <v>1414</v>
      </c>
      <c r="L2554" s="443"/>
      <c r="M2554" s="440"/>
      <c r="N2554" s="441"/>
      <c r="O2554" s="441"/>
      <c r="P2554" s="442"/>
      <c r="Q2554" s="443"/>
      <c r="R2554" s="440"/>
      <c r="S2554" s="440"/>
      <c r="T2554" s="440"/>
      <c r="U2554" s="440"/>
      <c r="V2554" s="440"/>
      <c r="W2554" s="440"/>
      <c r="X2554" s="440"/>
      <c r="Y2554" s="444">
        <f t="shared" si="17"/>
        <v>0</v>
      </c>
      <c r="Z2554" s="445"/>
      <c r="AA2554" s="446">
        <f t="shared" ref="AA2554:AE2554" si="1285">$J2554*E2554</f>
        <v>0</v>
      </c>
      <c r="AB2554" s="447">
        <f t="shared" si="1285"/>
        <v>0</v>
      </c>
      <c r="AC2554" s="447">
        <f t="shared" si="1285"/>
        <v>0</v>
      </c>
      <c r="AD2554" s="447">
        <f t="shared" si="1285"/>
        <v>0</v>
      </c>
      <c r="AE2554" s="448">
        <f t="shared" si="1285"/>
        <v>0</v>
      </c>
      <c r="AF2554" s="449"/>
      <c r="AG2554" s="449"/>
      <c r="AH2554" s="449"/>
    </row>
    <row r="2555" ht="11.25" customHeight="1">
      <c r="A2555" s="450"/>
      <c r="B2555" s="451"/>
      <c r="C2555" s="452"/>
      <c r="D2555" s="452"/>
      <c r="E2555" s="453"/>
      <c r="F2555" s="453"/>
      <c r="G2555" s="454"/>
      <c r="H2555" s="454"/>
      <c r="I2555" s="455"/>
      <c r="J2555" s="456"/>
      <c r="K2555" s="457" t="s">
        <v>1416</v>
      </c>
      <c r="L2555" s="458"/>
      <c r="M2555" s="459"/>
      <c r="N2555" s="460"/>
      <c r="O2555" s="460"/>
      <c r="P2555" s="461"/>
      <c r="Q2555" s="458"/>
      <c r="R2555" s="459"/>
      <c r="S2555" s="459"/>
      <c r="T2555" s="459"/>
      <c r="U2555" s="459"/>
      <c r="V2555" s="459"/>
      <c r="W2555" s="459"/>
      <c r="X2555" s="459"/>
      <c r="Y2555" s="462">
        <f t="shared" si="17"/>
        <v>0</v>
      </c>
      <c r="Z2555" s="463"/>
      <c r="AA2555" s="464"/>
      <c r="AB2555" s="465"/>
      <c r="AC2555" s="465"/>
      <c r="AD2555" s="465"/>
      <c r="AE2555" s="466"/>
      <c r="AF2555" s="449"/>
      <c r="AG2555" s="449"/>
      <c r="AH2555" s="449"/>
    </row>
    <row r="2556" ht="11.25" customHeight="1">
      <c r="A2556" s="450"/>
      <c r="B2556" s="451"/>
      <c r="C2556" s="452"/>
      <c r="D2556" s="452"/>
      <c r="E2556" s="453"/>
      <c r="F2556" s="453"/>
      <c r="G2556" s="454"/>
      <c r="H2556" s="454"/>
      <c r="I2556" s="455"/>
      <c r="J2556" s="456"/>
      <c r="K2556" s="467" t="s">
        <v>1417</v>
      </c>
      <c r="L2556" s="468"/>
      <c r="M2556" s="469"/>
      <c r="N2556" s="470"/>
      <c r="O2556" s="470"/>
      <c r="P2556" s="471"/>
      <c r="Q2556" s="468"/>
      <c r="R2556" s="469"/>
      <c r="S2556" s="469"/>
      <c r="T2556" s="469"/>
      <c r="U2556" s="469"/>
      <c r="V2556" s="469"/>
      <c r="W2556" s="469"/>
      <c r="X2556" s="469"/>
      <c r="Y2556" s="462">
        <f t="shared" si="17"/>
        <v>0</v>
      </c>
      <c r="Z2556" s="463"/>
      <c r="AA2556" s="464"/>
      <c r="AB2556" s="465"/>
      <c r="AC2556" s="465"/>
      <c r="AD2556" s="465"/>
      <c r="AE2556" s="466"/>
      <c r="AF2556" s="449"/>
      <c r="AG2556" s="449"/>
      <c r="AH2556" s="449"/>
    </row>
    <row r="2557" ht="11.25" customHeight="1">
      <c r="A2557" s="450"/>
      <c r="B2557" s="472"/>
      <c r="C2557" s="473"/>
      <c r="D2557" s="473"/>
      <c r="E2557" s="474"/>
      <c r="F2557" s="474"/>
      <c r="G2557" s="475"/>
      <c r="H2557" s="475"/>
      <c r="I2557" s="476"/>
      <c r="J2557" s="477"/>
      <c r="K2557" s="478" t="s">
        <v>1418</v>
      </c>
      <c r="L2557" s="479"/>
      <c r="M2557" s="480"/>
      <c r="N2557" s="481"/>
      <c r="O2557" s="481"/>
      <c r="P2557" s="482"/>
      <c r="Q2557" s="479"/>
      <c r="R2557" s="480"/>
      <c r="S2557" s="480"/>
      <c r="T2557" s="480"/>
      <c r="U2557" s="480"/>
      <c r="V2557" s="480"/>
      <c r="W2557" s="480"/>
      <c r="X2557" s="480"/>
      <c r="Y2557" s="483">
        <f t="shared" si="17"/>
        <v>0</v>
      </c>
      <c r="Z2557" s="484"/>
      <c r="AA2557" s="485"/>
      <c r="AB2557" s="486"/>
      <c r="AC2557" s="486"/>
      <c r="AD2557" s="486"/>
      <c r="AE2557" s="487"/>
      <c r="AF2557" s="449"/>
      <c r="AG2557" s="449"/>
      <c r="AH2557" s="449"/>
    </row>
    <row r="2558" ht="11.25" customHeight="1">
      <c r="A2558" s="431" t="str">
        <f>IF(B2558="","", YEAR(B2558))</f>
        <v/>
      </c>
      <c r="B2558" s="432"/>
      <c r="C2558" s="433"/>
      <c r="D2558" s="433"/>
      <c r="E2558" s="434" t="str">
        <f t="shared" ref="E2558:I2558" si="1286">IFERROR(AVERAGE(L2558:L2561),"")</f>
        <v/>
      </c>
      <c r="F2558" s="434" t="str">
        <f t="shared" si="1286"/>
        <v/>
      </c>
      <c r="G2558" s="435" t="str">
        <f t="shared" si="1286"/>
        <v/>
      </c>
      <c r="H2558" s="435" t="str">
        <f t="shared" si="1286"/>
        <v/>
      </c>
      <c r="I2558" s="436" t="str">
        <f t="shared" si="1286"/>
        <v/>
      </c>
      <c r="J2558" s="437">
        <f>SUMIFS(PRODUCTION[KG],PRODUCTION[GRADE],"3X50",PRODUCTION[DATE],B2558,PRODUCTION[BATCH],C2558,PRODUCTION[SHIFT],D2558)</f>
        <v>0</v>
      </c>
      <c r="K2558" s="438" t="s">
        <v>1414</v>
      </c>
      <c r="L2558" s="443"/>
      <c r="M2558" s="440"/>
      <c r="N2558" s="441"/>
      <c r="O2558" s="441"/>
      <c r="P2558" s="442"/>
      <c r="Q2558" s="443"/>
      <c r="R2558" s="440"/>
      <c r="S2558" s="440"/>
      <c r="T2558" s="440"/>
      <c r="U2558" s="440"/>
      <c r="V2558" s="440"/>
      <c r="W2558" s="440"/>
      <c r="X2558" s="440"/>
      <c r="Y2558" s="444">
        <f t="shared" si="17"/>
        <v>0</v>
      </c>
      <c r="Z2558" s="445"/>
      <c r="AA2558" s="446">
        <f t="shared" ref="AA2558:AE2558" si="1287">$J2558*E2558</f>
        <v>0</v>
      </c>
      <c r="AB2558" s="447">
        <f t="shared" si="1287"/>
        <v>0</v>
      </c>
      <c r="AC2558" s="447">
        <f t="shared" si="1287"/>
        <v>0</v>
      </c>
      <c r="AD2558" s="447">
        <f t="shared" si="1287"/>
        <v>0</v>
      </c>
      <c r="AE2558" s="448">
        <f t="shared" si="1287"/>
        <v>0</v>
      </c>
      <c r="AF2558" s="449"/>
      <c r="AG2558" s="449"/>
      <c r="AH2558" s="449"/>
    </row>
    <row r="2559" ht="11.25" customHeight="1">
      <c r="A2559" s="450"/>
      <c r="B2559" s="451"/>
      <c r="C2559" s="452"/>
      <c r="D2559" s="452"/>
      <c r="E2559" s="453"/>
      <c r="F2559" s="453"/>
      <c r="G2559" s="454"/>
      <c r="H2559" s="454"/>
      <c r="I2559" s="455"/>
      <c r="J2559" s="456"/>
      <c r="K2559" s="457" t="s">
        <v>1416</v>
      </c>
      <c r="L2559" s="458"/>
      <c r="M2559" s="459"/>
      <c r="N2559" s="460"/>
      <c r="O2559" s="460"/>
      <c r="P2559" s="461"/>
      <c r="Q2559" s="458"/>
      <c r="R2559" s="459"/>
      <c r="S2559" s="459"/>
      <c r="T2559" s="459"/>
      <c r="U2559" s="459"/>
      <c r="V2559" s="459"/>
      <c r="W2559" s="459"/>
      <c r="X2559" s="459"/>
      <c r="Y2559" s="462">
        <f t="shared" si="17"/>
        <v>0</v>
      </c>
      <c r="Z2559" s="463"/>
      <c r="AA2559" s="464"/>
      <c r="AB2559" s="465"/>
      <c r="AC2559" s="465"/>
      <c r="AD2559" s="465"/>
      <c r="AE2559" s="466"/>
      <c r="AF2559" s="449"/>
      <c r="AG2559" s="449"/>
      <c r="AH2559" s="449"/>
    </row>
    <row r="2560" ht="11.25" customHeight="1">
      <c r="A2560" s="450"/>
      <c r="B2560" s="451"/>
      <c r="C2560" s="452"/>
      <c r="D2560" s="452"/>
      <c r="E2560" s="453"/>
      <c r="F2560" s="453"/>
      <c r="G2560" s="454"/>
      <c r="H2560" s="454"/>
      <c r="I2560" s="455"/>
      <c r="J2560" s="456"/>
      <c r="K2560" s="467" t="s">
        <v>1417</v>
      </c>
      <c r="L2560" s="468"/>
      <c r="M2560" s="469"/>
      <c r="N2560" s="470"/>
      <c r="O2560" s="470"/>
      <c r="P2560" s="471"/>
      <c r="Q2560" s="468"/>
      <c r="R2560" s="469"/>
      <c r="S2560" s="469"/>
      <c r="T2560" s="469"/>
      <c r="U2560" s="469"/>
      <c r="V2560" s="469"/>
      <c r="W2560" s="469"/>
      <c r="X2560" s="469"/>
      <c r="Y2560" s="462">
        <f t="shared" si="17"/>
        <v>0</v>
      </c>
      <c r="Z2560" s="463"/>
      <c r="AA2560" s="464"/>
      <c r="AB2560" s="465"/>
      <c r="AC2560" s="465"/>
      <c r="AD2560" s="465"/>
      <c r="AE2560" s="466"/>
      <c r="AF2560" s="449"/>
      <c r="AG2560" s="449"/>
      <c r="AH2560" s="449"/>
    </row>
    <row r="2561" ht="11.25" customHeight="1">
      <c r="A2561" s="450"/>
      <c r="B2561" s="472"/>
      <c r="C2561" s="473"/>
      <c r="D2561" s="473"/>
      <c r="E2561" s="474"/>
      <c r="F2561" s="474"/>
      <c r="G2561" s="475"/>
      <c r="H2561" s="475"/>
      <c r="I2561" s="476"/>
      <c r="J2561" s="477"/>
      <c r="K2561" s="478" t="s">
        <v>1418</v>
      </c>
      <c r="L2561" s="479"/>
      <c r="M2561" s="480"/>
      <c r="N2561" s="481"/>
      <c r="O2561" s="481"/>
      <c r="P2561" s="482"/>
      <c r="Q2561" s="479"/>
      <c r="R2561" s="480"/>
      <c r="S2561" s="480"/>
      <c r="T2561" s="480"/>
      <c r="U2561" s="480"/>
      <c r="V2561" s="480"/>
      <c r="W2561" s="480"/>
      <c r="X2561" s="480"/>
      <c r="Y2561" s="483">
        <f t="shared" si="17"/>
        <v>0</v>
      </c>
      <c r="Z2561" s="484"/>
      <c r="AA2561" s="485"/>
      <c r="AB2561" s="486"/>
      <c r="AC2561" s="486"/>
      <c r="AD2561" s="486"/>
      <c r="AE2561" s="487"/>
      <c r="AF2561" s="449"/>
      <c r="AG2561" s="449"/>
      <c r="AH2561" s="449"/>
    </row>
    <row r="2562" ht="11.25" customHeight="1">
      <c r="A2562" s="431" t="str">
        <f>IF(B2562="","", YEAR(B2562))</f>
        <v/>
      </c>
      <c r="B2562" s="432"/>
      <c r="C2562" s="433"/>
      <c r="D2562" s="433"/>
      <c r="E2562" s="434" t="str">
        <f t="shared" ref="E2562:I2562" si="1288">IFERROR(AVERAGE(L2562:L2565),"")</f>
        <v/>
      </c>
      <c r="F2562" s="434" t="str">
        <f t="shared" si="1288"/>
        <v/>
      </c>
      <c r="G2562" s="435" t="str">
        <f t="shared" si="1288"/>
        <v/>
      </c>
      <c r="H2562" s="435" t="str">
        <f t="shared" si="1288"/>
        <v/>
      </c>
      <c r="I2562" s="436" t="str">
        <f t="shared" si="1288"/>
        <v/>
      </c>
      <c r="J2562" s="437">
        <f>SUMIFS(PRODUCTION[KG],PRODUCTION[GRADE],"3X50",PRODUCTION[DATE],B2562,PRODUCTION[BATCH],C2562,PRODUCTION[SHIFT],D2562)</f>
        <v>0</v>
      </c>
      <c r="K2562" s="438" t="s">
        <v>1414</v>
      </c>
      <c r="L2562" s="443"/>
      <c r="M2562" s="440"/>
      <c r="N2562" s="441"/>
      <c r="O2562" s="441"/>
      <c r="P2562" s="442"/>
      <c r="Q2562" s="443"/>
      <c r="R2562" s="440"/>
      <c r="S2562" s="440"/>
      <c r="T2562" s="440"/>
      <c r="U2562" s="440"/>
      <c r="V2562" s="440"/>
      <c r="W2562" s="440"/>
      <c r="X2562" s="440"/>
      <c r="Y2562" s="444">
        <f t="shared" si="17"/>
        <v>0</v>
      </c>
      <c r="Z2562" s="445"/>
      <c r="AA2562" s="446">
        <f t="shared" ref="AA2562:AE2562" si="1289">$J2562*E2562</f>
        <v>0</v>
      </c>
      <c r="AB2562" s="447">
        <f t="shared" si="1289"/>
        <v>0</v>
      </c>
      <c r="AC2562" s="447">
        <f t="shared" si="1289"/>
        <v>0</v>
      </c>
      <c r="AD2562" s="447">
        <f t="shared" si="1289"/>
        <v>0</v>
      </c>
      <c r="AE2562" s="448">
        <f t="shared" si="1289"/>
        <v>0</v>
      </c>
      <c r="AF2562" s="449"/>
      <c r="AG2562" s="449"/>
      <c r="AH2562" s="449"/>
    </row>
    <row r="2563" ht="11.25" customHeight="1">
      <c r="A2563" s="450"/>
      <c r="B2563" s="451"/>
      <c r="C2563" s="452"/>
      <c r="D2563" s="452"/>
      <c r="E2563" s="453"/>
      <c r="F2563" s="453"/>
      <c r="G2563" s="454"/>
      <c r="H2563" s="454"/>
      <c r="I2563" s="455"/>
      <c r="J2563" s="456"/>
      <c r="K2563" s="457" t="s">
        <v>1416</v>
      </c>
      <c r="L2563" s="458"/>
      <c r="M2563" s="459"/>
      <c r="N2563" s="460"/>
      <c r="O2563" s="460"/>
      <c r="P2563" s="461"/>
      <c r="Q2563" s="458"/>
      <c r="R2563" s="459"/>
      <c r="S2563" s="459"/>
      <c r="T2563" s="459"/>
      <c r="U2563" s="459"/>
      <c r="V2563" s="459"/>
      <c r="W2563" s="459"/>
      <c r="X2563" s="459"/>
      <c r="Y2563" s="462">
        <f t="shared" si="17"/>
        <v>0</v>
      </c>
      <c r="Z2563" s="463"/>
      <c r="AA2563" s="464"/>
      <c r="AB2563" s="465"/>
      <c r="AC2563" s="465"/>
      <c r="AD2563" s="465"/>
      <c r="AE2563" s="466"/>
      <c r="AF2563" s="449"/>
      <c r="AG2563" s="449"/>
      <c r="AH2563" s="449"/>
    </row>
    <row r="2564" ht="11.25" customHeight="1">
      <c r="A2564" s="450"/>
      <c r="B2564" s="451"/>
      <c r="C2564" s="452"/>
      <c r="D2564" s="452"/>
      <c r="E2564" s="453"/>
      <c r="F2564" s="453"/>
      <c r="G2564" s="454"/>
      <c r="H2564" s="454"/>
      <c r="I2564" s="455"/>
      <c r="J2564" s="456"/>
      <c r="K2564" s="467" t="s">
        <v>1417</v>
      </c>
      <c r="L2564" s="468"/>
      <c r="M2564" s="469"/>
      <c r="N2564" s="470"/>
      <c r="O2564" s="470"/>
      <c r="P2564" s="471"/>
      <c r="Q2564" s="468"/>
      <c r="R2564" s="469"/>
      <c r="S2564" s="469"/>
      <c r="T2564" s="469"/>
      <c r="U2564" s="469"/>
      <c r="V2564" s="469"/>
      <c r="W2564" s="469"/>
      <c r="X2564" s="469"/>
      <c r="Y2564" s="462">
        <f t="shared" si="17"/>
        <v>0</v>
      </c>
      <c r="Z2564" s="463"/>
      <c r="AA2564" s="464"/>
      <c r="AB2564" s="465"/>
      <c r="AC2564" s="465"/>
      <c r="AD2564" s="465"/>
      <c r="AE2564" s="466"/>
      <c r="AF2564" s="449"/>
      <c r="AG2564" s="449"/>
      <c r="AH2564" s="449"/>
    </row>
    <row r="2565" ht="11.25" customHeight="1">
      <c r="A2565" s="450"/>
      <c r="B2565" s="472"/>
      <c r="C2565" s="473"/>
      <c r="D2565" s="473"/>
      <c r="E2565" s="474"/>
      <c r="F2565" s="474"/>
      <c r="G2565" s="475"/>
      <c r="H2565" s="475"/>
      <c r="I2565" s="476"/>
      <c r="J2565" s="477"/>
      <c r="K2565" s="478" t="s">
        <v>1418</v>
      </c>
      <c r="L2565" s="479"/>
      <c r="M2565" s="480"/>
      <c r="N2565" s="481"/>
      <c r="O2565" s="481"/>
      <c r="P2565" s="482"/>
      <c r="Q2565" s="479"/>
      <c r="R2565" s="480"/>
      <c r="S2565" s="480"/>
      <c r="T2565" s="480"/>
      <c r="U2565" s="480"/>
      <c r="V2565" s="480"/>
      <c r="W2565" s="480"/>
      <c r="X2565" s="480"/>
      <c r="Y2565" s="483">
        <f t="shared" si="17"/>
        <v>0</v>
      </c>
      <c r="Z2565" s="484"/>
      <c r="AA2565" s="485"/>
      <c r="AB2565" s="486"/>
      <c r="AC2565" s="486"/>
      <c r="AD2565" s="486"/>
      <c r="AE2565" s="487"/>
      <c r="AF2565" s="449"/>
      <c r="AG2565" s="449"/>
      <c r="AH2565" s="449"/>
    </row>
    <row r="2566" ht="11.25" customHeight="1">
      <c r="A2566" s="431" t="str">
        <f>IF(B2566="","", YEAR(B2566))</f>
        <v/>
      </c>
      <c r="B2566" s="432"/>
      <c r="C2566" s="433"/>
      <c r="D2566" s="433"/>
      <c r="E2566" s="434" t="str">
        <f t="shared" ref="E2566:I2566" si="1290">IFERROR(AVERAGE(L2566:L2569),"")</f>
        <v/>
      </c>
      <c r="F2566" s="434" t="str">
        <f t="shared" si="1290"/>
        <v/>
      </c>
      <c r="G2566" s="435" t="str">
        <f t="shared" si="1290"/>
        <v/>
      </c>
      <c r="H2566" s="435" t="str">
        <f t="shared" si="1290"/>
        <v/>
      </c>
      <c r="I2566" s="436" t="str">
        <f t="shared" si="1290"/>
        <v/>
      </c>
      <c r="J2566" s="437">
        <f>SUMIFS(PRODUCTION[KG],PRODUCTION[GRADE],"3X50",PRODUCTION[DATE],B2566,PRODUCTION[BATCH],C2566,PRODUCTION[SHIFT],D2566)</f>
        <v>0</v>
      </c>
      <c r="K2566" s="438" t="s">
        <v>1414</v>
      </c>
      <c r="L2566" s="443"/>
      <c r="M2566" s="440"/>
      <c r="N2566" s="441"/>
      <c r="O2566" s="441"/>
      <c r="P2566" s="442"/>
      <c r="Q2566" s="443"/>
      <c r="R2566" s="440"/>
      <c r="S2566" s="440"/>
      <c r="T2566" s="440"/>
      <c r="U2566" s="440"/>
      <c r="V2566" s="440"/>
      <c r="W2566" s="440"/>
      <c r="X2566" s="440"/>
      <c r="Y2566" s="444">
        <f t="shared" si="17"/>
        <v>0</v>
      </c>
      <c r="Z2566" s="445"/>
      <c r="AA2566" s="446">
        <f t="shared" ref="AA2566:AE2566" si="1291">$J2566*E2566</f>
        <v>0</v>
      </c>
      <c r="AB2566" s="447">
        <f t="shared" si="1291"/>
        <v>0</v>
      </c>
      <c r="AC2566" s="447">
        <f t="shared" si="1291"/>
        <v>0</v>
      </c>
      <c r="AD2566" s="447">
        <f t="shared" si="1291"/>
        <v>0</v>
      </c>
      <c r="AE2566" s="448">
        <f t="shared" si="1291"/>
        <v>0</v>
      </c>
      <c r="AF2566" s="449"/>
      <c r="AG2566" s="449"/>
      <c r="AH2566" s="449"/>
    </row>
    <row r="2567" ht="11.25" customHeight="1">
      <c r="A2567" s="450"/>
      <c r="B2567" s="451"/>
      <c r="C2567" s="452"/>
      <c r="D2567" s="452"/>
      <c r="E2567" s="453"/>
      <c r="F2567" s="453"/>
      <c r="G2567" s="454"/>
      <c r="H2567" s="454"/>
      <c r="I2567" s="455"/>
      <c r="J2567" s="456"/>
      <c r="K2567" s="457" t="s">
        <v>1416</v>
      </c>
      <c r="L2567" s="458"/>
      <c r="M2567" s="459"/>
      <c r="N2567" s="460"/>
      <c r="O2567" s="460"/>
      <c r="P2567" s="461"/>
      <c r="Q2567" s="458"/>
      <c r="R2567" s="459"/>
      <c r="S2567" s="459"/>
      <c r="T2567" s="459"/>
      <c r="U2567" s="459"/>
      <c r="V2567" s="459"/>
      <c r="W2567" s="459"/>
      <c r="X2567" s="459"/>
      <c r="Y2567" s="462">
        <f t="shared" si="17"/>
        <v>0</v>
      </c>
      <c r="Z2567" s="463"/>
      <c r="AA2567" s="464"/>
      <c r="AB2567" s="465"/>
      <c r="AC2567" s="465"/>
      <c r="AD2567" s="465"/>
      <c r="AE2567" s="466"/>
      <c r="AF2567" s="449"/>
      <c r="AG2567" s="449"/>
      <c r="AH2567" s="449"/>
    </row>
    <row r="2568" ht="11.25" customHeight="1">
      <c r="A2568" s="450"/>
      <c r="B2568" s="451"/>
      <c r="C2568" s="452"/>
      <c r="D2568" s="452"/>
      <c r="E2568" s="453"/>
      <c r="F2568" s="453"/>
      <c r="G2568" s="454"/>
      <c r="H2568" s="454"/>
      <c r="I2568" s="455"/>
      <c r="J2568" s="456"/>
      <c r="K2568" s="467" t="s">
        <v>1417</v>
      </c>
      <c r="L2568" s="468"/>
      <c r="M2568" s="469"/>
      <c r="N2568" s="470"/>
      <c r="O2568" s="470"/>
      <c r="P2568" s="471"/>
      <c r="Q2568" s="468"/>
      <c r="R2568" s="469"/>
      <c r="S2568" s="469"/>
      <c r="T2568" s="469"/>
      <c r="U2568" s="469"/>
      <c r="V2568" s="469"/>
      <c r="W2568" s="469"/>
      <c r="X2568" s="469"/>
      <c r="Y2568" s="462">
        <f t="shared" si="17"/>
        <v>0</v>
      </c>
      <c r="Z2568" s="463"/>
      <c r="AA2568" s="464"/>
      <c r="AB2568" s="465"/>
      <c r="AC2568" s="465"/>
      <c r="AD2568" s="465"/>
      <c r="AE2568" s="466"/>
      <c r="AF2568" s="449"/>
      <c r="AG2568" s="449"/>
      <c r="AH2568" s="449"/>
    </row>
    <row r="2569" ht="11.25" customHeight="1">
      <c r="A2569" s="450"/>
      <c r="B2569" s="472"/>
      <c r="C2569" s="473"/>
      <c r="D2569" s="473"/>
      <c r="E2569" s="474"/>
      <c r="F2569" s="474"/>
      <c r="G2569" s="475"/>
      <c r="H2569" s="475"/>
      <c r="I2569" s="476"/>
      <c r="J2569" s="477"/>
      <c r="K2569" s="478" t="s">
        <v>1418</v>
      </c>
      <c r="L2569" s="479"/>
      <c r="M2569" s="480"/>
      <c r="N2569" s="481"/>
      <c r="O2569" s="481"/>
      <c r="P2569" s="482"/>
      <c r="Q2569" s="479"/>
      <c r="R2569" s="480"/>
      <c r="S2569" s="480"/>
      <c r="T2569" s="480"/>
      <c r="U2569" s="480"/>
      <c r="V2569" s="480"/>
      <c r="W2569" s="480"/>
      <c r="X2569" s="480"/>
      <c r="Y2569" s="483">
        <f t="shared" si="17"/>
        <v>0</v>
      </c>
      <c r="Z2569" s="484"/>
      <c r="AA2569" s="485"/>
      <c r="AB2569" s="486"/>
      <c r="AC2569" s="486"/>
      <c r="AD2569" s="486"/>
      <c r="AE2569" s="487"/>
      <c r="AF2569" s="449"/>
      <c r="AG2569" s="449"/>
      <c r="AH2569" s="449"/>
    </row>
    <row r="2570" ht="11.25" customHeight="1">
      <c r="A2570" s="431" t="str">
        <f>IF(B2570="","", YEAR(B2570))</f>
        <v/>
      </c>
      <c r="B2570" s="432"/>
      <c r="C2570" s="433"/>
      <c r="D2570" s="433"/>
      <c r="E2570" s="434" t="str">
        <f t="shared" ref="E2570:I2570" si="1292">IFERROR(AVERAGE(L2570:L2573),"")</f>
        <v/>
      </c>
      <c r="F2570" s="434" t="str">
        <f t="shared" si="1292"/>
        <v/>
      </c>
      <c r="G2570" s="435" t="str">
        <f t="shared" si="1292"/>
        <v/>
      </c>
      <c r="H2570" s="435" t="str">
        <f t="shared" si="1292"/>
        <v/>
      </c>
      <c r="I2570" s="436" t="str">
        <f t="shared" si="1292"/>
        <v/>
      </c>
      <c r="J2570" s="437">
        <f>SUMIFS(PRODUCTION[KG],PRODUCTION[GRADE],"3X50",PRODUCTION[DATE],B2570,PRODUCTION[BATCH],C2570,PRODUCTION[SHIFT],D2570)</f>
        <v>0</v>
      </c>
      <c r="K2570" s="438" t="s">
        <v>1414</v>
      </c>
      <c r="L2570" s="443"/>
      <c r="M2570" s="440"/>
      <c r="N2570" s="441"/>
      <c r="O2570" s="441"/>
      <c r="P2570" s="442"/>
      <c r="Q2570" s="443"/>
      <c r="R2570" s="440"/>
      <c r="S2570" s="440"/>
      <c r="T2570" s="440"/>
      <c r="U2570" s="440"/>
      <c r="V2570" s="440"/>
      <c r="W2570" s="440"/>
      <c r="X2570" s="440"/>
      <c r="Y2570" s="444">
        <f t="shared" si="17"/>
        <v>0</v>
      </c>
      <c r="Z2570" s="445"/>
      <c r="AA2570" s="446">
        <f t="shared" ref="AA2570:AE2570" si="1293">$J2570*E2570</f>
        <v>0</v>
      </c>
      <c r="AB2570" s="447">
        <f t="shared" si="1293"/>
        <v>0</v>
      </c>
      <c r="AC2570" s="447">
        <f t="shared" si="1293"/>
        <v>0</v>
      </c>
      <c r="AD2570" s="447">
        <f t="shared" si="1293"/>
        <v>0</v>
      </c>
      <c r="AE2570" s="448">
        <f t="shared" si="1293"/>
        <v>0</v>
      </c>
      <c r="AF2570" s="449"/>
      <c r="AG2570" s="449"/>
      <c r="AH2570" s="449"/>
    </row>
    <row r="2571" ht="11.25" customHeight="1">
      <c r="A2571" s="450"/>
      <c r="B2571" s="451"/>
      <c r="C2571" s="452"/>
      <c r="D2571" s="452"/>
      <c r="E2571" s="453"/>
      <c r="F2571" s="453"/>
      <c r="G2571" s="454"/>
      <c r="H2571" s="454"/>
      <c r="I2571" s="455"/>
      <c r="J2571" s="456"/>
      <c r="K2571" s="457" t="s">
        <v>1416</v>
      </c>
      <c r="L2571" s="458"/>
      <c r="M2571" s="459"/>
      <c r="N2571" s="460"/>
      <c r="O2571" s="460"/>
      <c r="P2571" s="461"/>
      <c r="Q2571" s="458"/>
      <c r="R2571" s="459"/>
      <c r="S2571" s="459"/>
      <c r="T2571" s="459"/>
      <c r="U2571" s="459"/>
      <c r="V2571" s="459"/>
      <c r="W2571" s="459"/>
      <c r="X2571" s="459"/>
      <c r="Y2571" s="462">
        <f t="shared" si="17"/>
        <v>0</v>
      </c>
      <c r="Z2571" s="463"/>
      <c r="AA2571" s="464"/>
      <c r="AB2571" s="465"/>
      <c r="AC2571" s="465"/>
      <c r="AD2571" s="465"/>
      <c r="AE2571" s="466"/>
      <c r="AF2571" s="449"/>
      <c r="AG2571" s="449"/>
      <c r="AH2571" s="449"/>
    </row>
    <row r="2572" ht="11.25" customHeight="1">
      <c r="A2572" s="450"/>
      <c r="B2572" s="451"/>
      <c r="C2572" s="452"/>
      <c r="D2572" s="452"/>
      <c r="E2572" s="453"/>
      <c r="F2572" s="453"/>
      <c r="G2572" s="454"/>
      <c r="H2572" s="454"/>
      <c r="I2572" s="455"/>
      <c r="J2572" s="456"/>
      <c r="K2572" s="467" t="s">
        <v>1417</v>
      </c>
      <c r="L2572" s="468"/>
      <c r="M2572" s="469"/>
      <c r="N2572" s="470"/>
      <c r="O2572" s="470"/>
      <c r="P2572" s="471"/>
      <c r="Q2572" s="468"/>
      <c r="R2572" s="469"/>
      <c r="S2572" s="469"/>
      <c r="T2572" s="469"/>
      <c r="U2572" s="469"/>
      <c r="V2572" s="469"/>
      <c r="W2572" s="469"/>
      <c r="X2572" s="469"/>
      <c r="Y2572" s="462">
        <f t="shared" si="17"/>
        <v>0</v>
      </c>
      <c r="Z2572" s="463"/>
      <c r="AA2572" s="464"/>
      <c r="AB2572" s="465"/>
      <c r="AC2572" s="465"/>
      <c r="AD2572" s="465"/>
      <c r="AE2572" s="466"/>
      <c r="AF2572" s="449"/>
      <c r="AG2572" s="449"/>
      <c r="AH2572" s="449"/>
    </row>
    <row r="2573" ht="11.25" customHeight="1">
      <c r="A2573" s="450"/>
      <c r="B2573" s="472"/>
      <c r="C2573" s="473"/>
      <c r="D2573" s="473"/>
      <c r="E2573" s="474"/>
      <c r="F2573" s="474"/>
      <c r="G2573" s="475"/>
      <c r="H2573" s="475"/>
      <c r="I2573" s="476"/>
      <c r="J2573" s="477"/>
      <c r="K2573" s="478" t="s">
        <v>1418</v>
      </c>
      <c r="L2573" s="479"/>
      <c r="M2573" s="480"/>
      <c r="N2573" s="481"/>
      <c r="O2573" s="481"/>
      <c r="P2573" s="482"/>
      <c r="Q2573" s="479"/>
      <c r="R2573" s="480"/>
      <c r="S2573" s="480"/>
      <c r="T2573" s="480"/>
      <c r="U2573" s="480"/>
      <c r="V2573" s="480"/>
      <c r="W2573" s="480"/>
      <c r="X2573" s="480"/>
      <c r="Y2573" s="483">
        <f t="shared" si="17"/>
        <v>0</v>
      </c>
      <c r="Z2573" s="484"/>
      <c r="AA2573" s="485"/>
      <c r="AB2573" s="486"/>
      <c r="AC2573" s="486"/>
      <c r="AD2573" s="486"/>
      <c r="AE2573" s="487"/>
      <c r="AF2573" s="449"/>
      <c r="AG2573" s="449"/>
      <c r="AH2573" s="449"/>
    </row>
    <row r="2574" ht="11.25" customHeight="1">
      <c r="A2574" s="431" t="str">
        <f>IF(B2574="","", YEAR(B2574))</f>
        <v/>
      </c>
      <c r="B2574" s="432"/>
      <c r="C2574" s="433"/>
      <c r="D2574" s="433"/>
      <c r="E2574" s="434" t="str">
        <f t="shared" ref="E2574:I2574" si="1294">IFERROR(AVERAGE(L2574:L2577),"")</f>
        <v/>
      </c>
      <c r="F2574" s="434" t="str">
        <f t="shared" si="1294"/>
        <v/>
      </c>
      <c r="G2574" s="435" t="str">
        <f t="shared" si="1294"/>
        <v/>
      </c>
      <c r="H2574" s="435" t="str">
        <f t="shared" si="1294"/>
        <v/>
      </c>
      <c r="I2574" s="436" t="str">
        <f t="shared" si="1294"/>
        <v/>
      </c>
      <c r="J2574" s="437">
        <f>SUMIFS(PRODUCTION[KG],PRODUCTION[GRADE],"3X50",PRODUCTION[DATE],B2574,PRODUCTION[BATCH],C2574,PRODUCTION[SHIFT],D2574)</f>
        <v>0</v>
      </c>
      <c r="K2574" s="438" t="s">
        <v>1414</v>
      </c>
      <c r="L2574" s="443"/>
      <c r="M2574" s="440"/>
      <c r="N2574" s="441"/>
      <c r="O2574" s="441"/>
      <c r="P2574" s="442"/>
      <c r="Q2574" s="443"/>
      <c r="R2574" s="440"/>
      <c r="S2574" s="440"/>
      <c r="T2574" s="440"/>
      <c r="U2574" s="440"/>
      <c r="V2574" s="440"/>
      <c r="W2574" s="440"/>
      <c r="X2574" s="440"/>
      <c r="Y2574" s="444">
        <f t="shared" si="17"/>
        <v>0</v>
      </c>
      <c r="Z2574" s="445"/>
      <c r="AA2574" s="446">
        <f t="shared" ref="AA2574:AE2574" si="1295">$J2574*E2574</f>
        <v>0</v>
      </c>
      <c r="AB2574" s="447">
        <f t="shared" si="1295"/>
        <v>0</v>
      </c>
      <c r="AC2574" s="447">
        <f t="shared" si="1295"/>
        <v>0</v>
      </c>
      <c r="AD2574" s="447">
        <f t="shared" si="1295"/>
        <v>0</v>
      </c>
      <c r="AE2574" s="448">
        <f t="shared" si="1295"/>
        <v>0</v>
      </c>
      <c r="AF2574" s="449"/>
      <c r="AG2574" s="449"/>
      <c r="AH2574" s="449"/>
    </row>
    <row r="2575" ht="11.25" customHeight="1">
      <c r="A2575" s="450"/>
      <c r="B2575" s="451"/>
      <c r="C2575" s="452"/>
      <c r="D2575" s="452"/>
      <c r="E2575" s="453"/>
      <c r="F2575" s="453"/>
      <c r="G2575" s="454"/>
      <c r="H2575" s="454"/>
      <c r="I2575" s="455"/>
      <c r="J2575" s="456"/>
      <c r="K2575" s="457" t="s">
        <v>1416</v>
      </c>
      <c r="L2575" s="458"/>
      <c r="M2575" s="459"/>
      <c r="N2575" s="460"/>
      <c r="O2575" s="460"/>
      <c r="P2575" s="461"/>
      <c r="Q2575" s="458"/>
      <c r="R2575" s="459"/>
      <c r="S2575" s="459"/>
      <c r="T2575" s="459"/>
      <c r="U2575" s="459"/>
      <c r="V2575" s="459"/>
      <c r="W2575" s="459"/>
      <c r="X2575" s="459"/>
      <c r="Y2575" s="462">
        <f t="shared" si="17"/>
        <v>0</v>
      </c>
      <c r="Z2575" s="463"/>
      <c r="AA2575" s="464"/>
      <c r="AB2575" s="465"/>
      <c r="AC2575" s="465"/>
      <c r="AD2575" s="465"/>
      <c r="AE2575" s="466"/>
      <c r="AF2575" s="449"/>
      <c r="AG2575" s="449"/>
      <c r="AH2575" s="449"/>
    </row>
    <row r="2576" ht="11.25" customHeight="1">
      <c r="A2576" s="450"/>
      <c r="B2576" s="451"/>
      <c r="C2576" s="452"/>
      <c r="D2576" s="452"/>
      <c r="E2576" s="453"/>
      <c r="F2576" s="453"/>
      <c r="G2576" s="454"/>
      <c r="H2576" s="454"/>
      <c r="I2576" s="455"/>
      <c r="J2576" s="456"/>
      <c r="K2576" s="467" t="s">
        <v>1417</v>
      </c>
      <c r="L2576" s="468"/>
      <c r="M2576" s="469"/>
      <c r="N2576" s="470"/>
      <c r="O2576" s="470"/>
      <c r="P2576" s="471"/>
      <c r="Q2576" s="468"/>
      <c r="R2576" s="469"/>
      <c r="S2576" s="469"/>
      <c r="T2576" s="469"/>
      <c r="U2576" s="469"/>
      <c r="V2576" s="469"/>
      <c r="W2576" s="469"/>
      <c r="X2576" s="469"/>
      <c r="Y2576" s="462">
        <f t="shared" si="17"/>
        <v>0</v>
      </c>
      <c r="Z2576" s="463"/>
      <c r="AA2576" s="464"/>
      <c r="AB2576" s="465"/>
      <c r="AC2576" s="465"/>
      <c r="AD2576" s="465"/>
      <c r="AE2576" s="466"/>
      <c r="AF2576" s="449"/>
      <c r="AG2576" s="449"/>
      <c r="AH2576" s="449"/>
    </row>
    <row r="2577" ht="11.25" customHeight="1">
      <c r="A2577" s="450"/>
      <c r="B2577" s="472"/>
      <c r="C2577" s="473"/>
      <c r="D2577" s="473"/>
      <c r="E2577" s="474"/>
      <c r="F2577" s="474"/>
      <c r="G2577" s="475"/>
      <c r="H2577" s="475"/>
      <c r="I2577" s="476"/>
      <c r="J2577" s="477"/>
      <c r="K2577" s="478" t="s">
        <v>1418</v>
      </c>
      <c r="L2577" s="479"/>
      <c r="M2577" s="480"/>
      <c r="N2577" s="481"/>
      <c r="O2577" s="481"/>
      <c r="P2577" s="482"/>
      <c r="Q2577" s="479"/>
      <c r="R2577" s="480"/>
      <c r="S2577" s="480"/>
      <c r="T2577" s="480"/>
      <c r="U2577" s="480"/>
      <c r="V2577" s="480"/>
      <c r="W2577" s="480"/>
      <c r="X2577" s="480"/>
      <c r="Y2577" s="483">
        <f t="shared" si="17"/>
        <v>0</v>
      </c>
      <c r="Z2577" s="484"/>
      <c r="AA2577" s="485"/>
      <c r="AB2577" s="486"/>
      <c r="AC2577" s="486"/>
      <c r="AD2577" s="486"/>
      <c r="AE2577" s="487"/>
      <c r="AF2577" s="449"/>
      <c r="AG2577" s="449"/>
      <c r="AH2577" s="449"/>
    </row>
    <row r="2578" ht="11.25" customHeight="1">
      <c r="A2578" s="431" t="str">
        <f>IF(B2578="","", YEAR(B2578))</f>
        <v/>
      </c>
      <c r="B2578" s="432"/>
      <c r="C2578" s="433"/>
      <c r="D2578" s="433"/>
      <c r="E2578" s="434" t="str">
        <f t="shared" ref="E2578:I2578" si="1296">IFERROR(AVERAGE(L2578:L2581),"")</f>
        <v/>
      </c>
      <c r="F2578" s="434" t="str">
        <f t="shared" si="1296"/>
        <v/>
      </c>
      <c r="G2578" s="435" t="str">
        <f t="shared" si="1296"/>
        <v/>
      </c>
      <c r="H2578" s="435" t="str">
        <f t="shared" si="1296"/>
        <v/>
      </c>
      <c r="I2578" s="436" t="str">
        <f t="shared" si="1296"/>
        <v/>
      </c>
      <c r="J2578" s="437">
        <f>SUMIFS(PRODUCTION[KG],PRODUCTION[GRADE],"3X50",PRODUCTION[DATE],B2578,PRODUCTION[BATCH],C2578,PRODUCTION[SHIFT],D2578)</f>
        <v>0</v>
      </c>
      <c r="K2578" s="438" t="s">
        <v>1414</v>
      </c>
      <c r="L2578" s="443"/>
      <c r="M2578" s="440"/>
      <c r="N2578" s="441"/>
      <c r="O2578" s="441"/>
      <c r="P2578" s="442"/>
      <c r="Q2578" s="443"/>
      <c r="R2578" s="440"/>
      <c r="S2578" s="440"/>
      <c r="T2578" s="440"/>
      <c r="U2578" s="440"/>
      <c r="V2578" s="440"/>
      <c r="W2578" s="440"/>
      <c r="X2578" s="440"/>
      <c r="Y2578" s="444">
        <f t="shared" si="17"/>
        <v>0</v>
      </c>
      <c r="Z2578" s="445"/>
      <c r="AA2578" s="446">
        <f t="shared" ref="AA2578:AE2578" si="1297">$J2578*E2578</f>
        <v>0</v>
      </c>
      <c r="AB2578" s="447">
        <f t="shared" si="1297"/>
        <v>0</v>
      </c>
      <c r="AC2578" s="447">
        <f t="shared" si="1297"/>
        <v>0</v>
      </c>
      <c r="AD2578" s="447">
        <f t="shared" si="1297"/>
        <v>0</v>
      </c>
      <c r="AE2578" s="448">
        <f t="shared" si="1297"/>
        <v>0</v>
      </c>
      <c r="AF2578" s="449"/>
      <c r="AG2578" s="449"/>
      <c r="AH2578" s="449"/>
    </row>
    <row r="2579" ht="11.25" customHeight="1">
      <c r="A2579" s="450"/>
      <c r="B2579" s="451"/>
      <c r="C2579" s="452"/>
      <c r="D2579" s="452"/>
      <c r="E2579" s="453"/>
      <c r="F2579" s="453"/>
      <c r="G2579" s="454"/>
      <c r="H2579" s="454"/>
      <c r="I2579" s="455"/>
      <c r="J2579" s="456"/>
      <c r="K2579" s="457" t="s">
        <v>1416</v>
      </c>
      <c r="L2579" s="458"/>
      <c r="M2579" s="459"/>
      <c r="N2579" s="460"/>
      <c r="O2579" s="460"/>
      <c r="P2579" s="461"/>
      <c r="Q2579" s="458"/>
      <c r="R2579" s="459"/>
      <c r="S2579" s="459"/>
      <c r="T2579" s="459"/>
      <c r="U2579" s="459"/>
      <c r="V2579" s="459"/>
      <c r="W2579" s="459"/>
      <c r="X2579" s="459"/>
      <c r="Y2579" s="462">
        <f t="shared" si="17"/>
        <v>0</v>
      </c>
      <c r="Z2579" s="463"/>
      <c r="AA2579" s="464"/>
      <c r="AB2579" s="465"/>
      <c r="AC2579" s="465"/>
      <c r="AD2579" s="465"/>
      <c r="AE2579" s="466"/>
      <c r="AF2579" s="449"/>
      <c r="AG2579" s="449"/>
      <c r="AH2579" s="449"/>
    </row>
    <row r="2580" ht="11.25" customHeight="1">
      <c r="A2580" s="450"/>
      <c r="B2580" s="451"/>
      <c r="C2580" s="452"/>
      <c r="D2580" s="452"/>
      <c r="E2580" s="453"/>
      <c r="F2580" s="453"/>
      <c r="G2580" s="454"/>
      <c r="H2580" s="454"/>
      <c r="I2580" s="455"/>
      <c r="J2580" s="456"/>
      <c r="K2580" s="467" t="s">
        <v>1417</v>
      </c>
      <c r="L2580" s="468"/>
      <c r="M2580" s="469"/>
      <c r="N2580" s="470"/>
      <c r="O2580" s="470"/>
      <c r="P2580" s="471"/>
      <c r="Q2580" s="468"/>
      <c r="R2580" s="469"/>
      <c r="S2580" s="469"/>
      <c r="T2580" s="469"/>
      <c r="U2580" s="469"/>
      <c r="V2580" s="469"/>
      <c r="W2580" s="469"/>
      <c r="X2580" s="469"/>
      <c r="Y2580" s="462">
        <f t="shared" si="17"/>
        <v>0</v>
      </c>
      <c r="Z2580" s="463"/>
      <c r="AA2580" s="464"/>
      <c r="AB2580" s="465"/>
      <c r="AC2580" s="465"/>
      <c r="AD2580" s="465"/>
      <c r="AE2580" s="466"/>
      <c r="AF2580" s="449"/>
      <c r="AG2580" s="449"/>
      <c r="AH2580" s="449"/>
    </row>
    <row r="2581" ht="11.25" customHeight="1">
      <c r="A2581" s="450"/>
      <c r="B2581" s="472"/>
      <c r="C2581" s="473"/>
      <c r="D2581" s="473"/>
      <c r="E2581" s="474"/>
      <c r="F2581" s="474"/>
      <c r="G2581" s="475"/>
      <c r="H2581" s="475"/>
      <c r="I2581" s="476"/>
      <c r="J2581" s="477"/>
      <c r="K2581" s="478" t="s">
        <v>1418</v>
      </c>
      <c r="L2581" s="479"/>
      <c r="M2581" s="480"/>
      <c r="N2581" s="481"/>
      <c r="O2581" s="481"/>
      <c r="P2581" s="482"/>
      <c r="Q2581" s="479"/>
      <c r="R2581" s="480"/>
      <c r="S2581" s="480"/>
      <c r="T2581" s="480"/>
      <c r="U2581" s="480"/>
      <c r="V2581" s="480"/>
      <c r="W2581" s="480"/>
      <c r="X2581" s="480"/>
      <c r="Y2581" s="483">
        <f t="shared" si="17"/>
        <v>0</v>
      </c>
      <c r="Z2581" s="484"/>
      <c r="AA2581" s="485"/>
      <c r="AB2581" s="486"/>
      <c r="AC2581" s="486"/>
      <c r="AD2581" s="486"/>
      <c r="AE2581" s="487"/>
      <c r="AF2581" s="449"/>
      <c r="AG2581" s="449"/>
      <c r="AH2581" s="449"/>
    </row>
    <row r="2582" ht="11.25" customHeight="1">
      <c r="A2582" s="431" t="str">
        <f>IF(B2582="","", YEAR(B2582))</f>
        <v/>
      </c>
      <c r="B2582" s="432"/>
      <c r="C2582" s="433"/>
      <c r="D2582" s="433"/>
      <c r="E2582" s="434" t="str">
        <f t="shared" ref="E2582:I2582" si="1298">IFERROR(AVERAGE(L2582:L2585),"")</f>
        <v/>
      </c>
      <c r="F2582" s="434" t="str">
        <f t="shared" si="1298"/>
        <v/>
      </c>
      <c r="G2582" s="435" t="str">
        <f t="shared" si="1298"/>
        <v/>
      </c>
      <c r="H2582" s="435" t="str">
        <f t="shared" si="1298"/>
        <v/>
      </c>
      <c r="I2582" s="436" t="str">
        <f t="shared" si="1298"/>
        <v/>
      </c>
      <c r="J2582" s="437">
        <f>SUMIFS(PRODUCTION[KG],PRODUCTION[GRADE],"3X50",PRODUCTION[DATE],B2582,PRODUCTION[BATCH],C2582,PRODUCTION[SHIFT],D2582)</f>
        <v>0</v>
      </c>
      <c r="K2582" s="438" t="s">
        <v>1414</v>
      </c>
      <c r="L2582" s="443"/>
      <c r="M2582" s="440"/>
      <c r="N2582" s="441"/>
      <c r="O2582" s="441"/>
      <c r="P2582" s="442"/>
      <c r="Q2582" s="443"/>
      <c r="R2582" s="440"/>
      <c r="S2582" s="440"/>
      <c r="T2582" s="440"/>
      <c r="U2582" s="440"/>
      <c r="V2582" s="440"/>
      <c r="W2582" s="440"/>
      <c r="X2582" s="440"/>
      <c r="Y2582" s="444">
        <f t="shared" si="17"/>
        <v>0</v>
      </c>
      <c r="Z2582" s="445"/>
      <c r="AA2582" s="446">
        <f t="shared" ref="AA2582:AE2582" si="1299">$J2582*E2582</f>
        <v>0</v>
      </c>
      <c r="AB2582" s="447">
        <f t="shared" si="1299"/>
        <v>0</v>
      </c>
      <c r="AC2582" s="447">
        <f t="shared" si="1299"/>
        <v>0</v>
      </c>
      <c r="AD2582" s="447">
        <f t="shared" si="1299"/>
        <v>0</v>
      </c>
      <c r="AE2582" s="448">
        <f t="shared" si="1299"/>
        <v>0</v>
      </c>
      <c r="AF2582" s="449"/>
      <c r="AG2582" s="449"/>
      <c r="AH2582" s="449"/>
    </row>
    <row r="2583" ht="11.25" customHeight="1">
      <c r="A2583" s="450"/>
      <c r="B2583" s="451"/>
      <c r="C2583" s="452"/>
      <c r="D2583" s="452"/>
      <c r="E2583" s="453"/>
      <c r="F2583" s="453"/>
      <c r="G2583" s="454"/>
      <c r="H2583" s="454"/>
      <c r="I2583" s="455"/>
      <c r="J2583" s="456"/>
      <c r="K2583" s="457" t="s">
        <v>1416</v>
      </c>
      <c r="L2583" s="458"/>
      <c r="M2583" s="459"/>
      <c r="N2583" s="460"/>
      <c r="O2583" s="460"/>
      <c r="P2583" s="461"/>
      <c r="Q2583" s="458"/>
      <c r="R2583" s="459"/>
      <c r="S2583" s="459"/>
      <c r="T2583" s="459"/>
      <c r="U2583" s="459"/>
      <c r="V2583" s="459"/>
      <c r="W2583" s="459"/>
      <c r="X2583" s="459"/>
      <c r="Y2583" s="462">
        <f t="shared" si="17"/>
        <v>0</v>
      </c>
      <c r="Z2583" s="463"/>
      <c r="AA2583" s="464"/>
      <c r="AB2583" s="465"/>
      <c r="AC2583" s="465"/>
      <c r="AD2583" s="465"/>
      <c r="AE2583" s="466"/>
      <c r="AF2583" s="449"/>
      <c r="AG2583" s="449"/>
      <c r="AH2583" s="449"/>
    </row>
    <row r="2584" ht="11.25" customHeight="1">
      <c r="A2584" s="450"/>
      <c r="B2584" s="451"/>
      <c r="C2584" s="452"/>
      <c r="D2584" s="452"/>
      <c r="E2584" s="453"/>
      <c r="F2584" s="453"/>
      <c r="G2584" s="454"/>
      <c r="H2584" s="454"/>
      <c r="I2584" s="455"/>
      <c r="J2584" s="456"/>
      <c r="K2584" s="467" t="s">
        <v>1417</v>
      </c>
      <c r="L2584" s="468"/>
      <c r="M2584" s="469"/>
      <c r="N2584" s="470"/>
      <c r="O2584" s="470"/>
      <c r="P2584" s="471"/>
      <c r="Q2584" s="468"/>
      <c r="R2584" s="469"/>
      <c r="S2584" s="469"/>
      <c r="T2584" s="469"/>
      <c r="U2584" s="469"/>
      <c r="V2584" s="469"/>
      <c r="W2584" s="469"/>
      <c r="X2584" s="469"/>
      <c r="Y2584" s="462">
        <f t="shared" si="17"/>
        <v>0</v>
      </c>
      <c r="Z2584" s="463"/>
      <c r="AA2584" s="464"/>
      <c r="AB2584" s="465"/>
      <c r="AC2584" s="465"/>
      <c r="AD2584" s="465"/>
      <c r="AE2584" s="466"/>
      <c r="AF2584" s="449"/>
      <c r="AG2584" s="449"/>
      <c r="AH2584" s="449"/>
    </row>
    <row r="2585" ht="11.25" customHeight="1">
      <c r="A2585" s="450"/>
      <c r="B2585" s="472"/>
      <c r="C2585" s="473"/>
      <c r="D2585" s="473"/>
      <c r="E2585" s="474"/>
      <c r="F2585" s="474"/>
      <c r="G2585" s="475"/>
      <c r="H2585" s="475"/>
      <c r="I2585" s="476"/>
      <c r="J2585" s="477"/>
      <c r="K2585" s="478" t="s">
        <v>1418</v>
      </c>
      <c r="L2585" s="479"/>
      <c r="M2585" s="480"/>
      <c r="N2585" s="481"/>
      <c r="O2585" s="481"/>
      <c r="P2585" s="482"/>
      <c r="Q2585" s="479"/>
      <c r="R2585" s="480"/>
      <c r="S2585" s="480"/>
      <c r="T2585" s="480"/>
      <c r="U2585" s="480"/>
      <c r="V2585" s="480"/>
      <c r="W2585" s="480"/>
      <c r="X2585" s="480"/>
      <c r="Y2585" s="483">
        <f t="shared" si="17"/>
        <v>0</v>
      </c>
      <c r="Z2585" s="484"/>
      <c r="AA2585" s="485"/>
      <c r="AB2585" s="486"/>
      <c r="AC2585" s="486"/>
      <c r="AD2585" s="486"/>
      <c r="AE2585" s="487"/>
      <c r="AF2585" s="449"/>
      <c r="AG2585" s="449"/>
      <c r="AH2585" s="449"/>
    </row>
    <row r="2586" ht="11.25" customHeight="1">
      <c r="A2586" s="431" t="str">
        <f>IF(B2586="","", YEAR(B2586))</f>
        <v/>
      </c>
      <c r="B2586" s="432"/>
      <c r="C2586" s="433"/>
      <c r="D2586" s="433"/>
      <c r="E2586" s="434" t="str">
        <f t="shared" ref="E2586:I2586" si="1300">IFERROR(AVERAGE(L2586:L2589),"")</f>
        <v/>
      </c>
      <c r="F2586" s="434" t="str">
        <f t="shared" si="1300"/>
        <v/>
      </c>
      <c r="G2586" s="435" t="str">
        <f t="shared" si="1300"/>
        <v/>
      </c>
      <c r="H2586" s="435" t="str">
        <f t="shared" si="1300"/>
        <v/>
      </c>
      <c r="I2586" s="436" t="str">
        <f t="shared" si="1300"/>
        <v/>
      </c>
      <c r="J2586" s="437">
        <f>SUMIFS(PRODUCTION[KG],PRODUCTION[GRADE],"3X50",PRODUCTION[DATE],B2586,PRODUCTION[BATCH],C2586,PRODUCTION[SHIFT],D2586)</f>
        <v>0</v>
      </c>
      <c r="K2586" s="438" t="s">
        <v>1414</v>
      </c>
      <c r="L2586" s="443"/>
      <c r="M2586" s="440"/>
      <c r="N2586" s="441"/>
      <c r="O2586" s="441"/>
      <c r="P2586" s="442"/>
      <c r="Q2586" s="443"/>
      <c r="R2586" s="440"/>
      <c r="S2586" s="440"/>
      <c r="T2586" s="440"/>
      <c r="U2586" s="440"/>
      <c r="V2586" s="440"/>
      <c r="W2586" s="440"/>
      <c r="X2586" s="440"/>
      <c r="Y2586" s="444">
        <f t="shared" si="17"/>
        <v>0</v>
      </c>
      <c r="Z2586" s="445"/>
      <c r="AA2586" s="446">
        <f t="shared" ref="AA2586:AE2586" si="1301">$J2586*E2586</f>
        <v>0</v>
      </c>
      <c r="AB2586" s="447">
        <f t="shared" si="1301"/>
        <v>0</v>
      </c>
      <c r="AC2586" s="447">
        <f t="shared" si="1301"/>
        <v>0</v>
      </c>
      <c r="AD2586" s="447">
        <f t="shared" si="1301"/>
        <v>0</v>
      </c>
      <c r="AE2586" s="448">
        <f t="shared" si="1301"/>
        <v>0</v>
      </c>
      <c r="AF2586" s="449"/>
      <c r="AG2586" s="449"/>
      <c r="AH2586" s="449"/>
    </row>
    <row r="2587" ht="11.25" customHeight="1">
      <c r="A2587" s="450"/>
      <c r="B2587" s="451"/>
      <c r="C2587" s="452"/>
      <c r="D2587" s="452"/>
      <c r="E2587" s="453"/>
      <c r="F2587" s="453"/>
      <c r="G2587" s="454"/>
      <c r="H2587" s="454"/>
      <c r="I2587" s="455"/>
      <c r="J2587" s="456"/>
      <c r="K2587" s="457" t="s">
        <v>1416</v>
      </c>
      <c r="L2587" s="458"/>
      <c r="M2587" s="459"/>
      <c r="N2587" s="460"/>
      <c r="O2587" s="460"/>
      <c r="P2587" s="461"/>
      <c r="Q2587" s="458"/>
      <c r="R2587" s="459"/>
      <c r="S2587" s="459"/>
      <c r="T2587" s="459"/>
      <c r="U2587" s="459"/>
      <c r="V2587" s="459"/>
      <c r="W2587" s="459"/>
      <c r="X2587" s="459"/>
      <c r="Y2587" s="462">
        <f t="shared" si="17"/>
        <v>0</v>
      </c>
      <c r="Z2587" s="463"/>
      <c r="AA2587" s="464"/>
      <c r="AB2587" s="465"/>
      <c r="AC2587" s="465"/>
      <c r="AD2587" s="465"/>
      <c r="AE2587" s="466"/>
      <c r="AF2587" s="449"/>
      <c r="AG2587" s="449"/>
      <c r="AH2587" s="449"/>
    </row>
    <row r="2588" ht="11.25" customHeight="1">
      <c r="A2588" s="450"/>
      <c r="B2588" s="451"/>
      <c r="C2588" s="452"/>
      <c r="D2588" s="452"/>
      <c r="E2588" s="453"/>
      <c r="F2588" s="453"/>
      <c r="G2588" s="454"/>
      <c r="H2588" s="454"/>
      <c r="I2588" s="455"/>
      <c r="J2588" s="456"/>
      <c r="K2588" s="467" t="s">
        <v>1417</v>
      </c>
      <c r="L2588" s="468"/>
      <c r="M2588" s="469"/>
      <c r="N2588" s="470"/>
      <c r="O2588" s="470"/>
      <c r="P2588" s="471"/>
      <c r="Q2588" s="468"/>
      <c r="R2588" s="469"/>
      <c r="S2588" s="469"/>
      <c r="T2588" s="469"/>
      <c r="U2588" s="469"/>
      <c r="V2588" s="469"/>
      <c r="W2588" s="469"/>
      <c r="X2588" s="469"/>
      <c r="Y2588" s="462">
        <f t="shared" si="17"/>
        <v>0</v>
      </c>
      <c r="Z2588" s="463"/>
      <c r="AA2588" s="464"/>
      <c r="AB2588" s="465"/>
      <c r="AC2588" s="465"/>
      <c r="AD2588" s="465"/>
      <c r="AE2588" s="466"/>
      <c r="AF2588" s="449"/>
      <c r="AG2588" s="449"/>
      <c r="AH2588" s="449"/>
    </row>
    <row r="2589" ht="11.25" customHeight="1">
      <c r="A2589" s="450"/>
      <c r="B2589" s="472"/>
      <c r="C2589" s="473"/>
      <c r="D2589" s="473"/>
      <c r="E2589" s="474"/>
      <c r="F2589" s="474"/>
      <c r="G2589" s="475"/>
      <c r="H2589" s="475"/>
      <c r="I2589" s="476"/>
      <c r="J2589" s="477"/>
      <c r="K2589" s="478" t="s">
        <v>1418</v>
      </c>
      <c r="L2589" s="479"/>
      <c r="M2589" s="480"/>
      <c r="N2589" s="481"/>
      <c r="O2589" s="481"/>
      <c r="P2589" s="482"/>
      <c r="Q2589" s="479"/>
      <c r="R2589" s="480"/>
      <c r="S2589" s="480"/>
      <c r="T2589" s="480"/>
      <c r="U2589" s="480"/>
      <c r="V2589" s="480"/>
      <c r="W2589" s="480"/>
      <c r="X2589" s="480"/>
      <c r="Y2589" s="483">
        <f t="shared" si="17"/>
        <v>0</v>
      </c>
      <c r="Z2589" s="484"/>
      <c r="AA2589" s="485"/>
      <c r="AB2589" s="486"/>
      <c r="AC2589" s="486"/>
      <c r="AD2589" s="486"/>
      <c r="AE2589" s="487"/>
      <c r="AF2589" s="449"/>
      <c r="AG2589" s="449"/>
      <c r="AH2589" s="449"/>
    </row>
    <row r="2590" ht="11.25" customHeight="1">
      <c r="A2590" s="431" t="str">
        <f>IF(B2590="","", YEAR(B2590))</f>
        <v/>
      </c>
      <c r="B2590" s="432"/>
      <c r="C2590" s="433"/>
      <c r="D2590" s="433"/>
      <c r="E2590" s="434" t="str">
        <f t="shared" ref="E2590:I2590" si="1302">IFERROR(AVERAGE(L2590:L2593),"")</f>
        <v/>
      </c>
      <c r="F2590" s="434" t="str">
        <f t="shared" si="1302"/>
        <v/>
      </c>
      <c r="G2590" s="435" t="str">
        <f t="shared" si="1302"/>
        <v/>
      </c>
      <c r="H2590" s="435" t="str">
        <f t="shared" si="1302"/>
        <v/>
      </c>
      <c r="I2590" s="436" t="str">
        <f t="shared" si="1302"/>
        <v/>
      </c>
      <c r="J2590" s="437">
        <f>SUMIFS(PRODUCTION[KG],PRODUCTION[GRADE],"3X50",PRODUCTION[DATE],B2590,PRODUCTION[BATCH],C2590,PRODUCTION[SHIFT],D2590)</f>
        <v>0</v>
      </c>
      <c r="K2590" s="438" t="s">
        <v>1414</v>
      </c>
      <c r="L2590" s="443"/>
      <c r="M2590" s="440"/>
      <c r="N2590" s="441"/>
      <c r="O2590" s="441"/>
      <c r="P2590" s="442"/>
      <c r="Q2590" s="443"/>
      <c r="R2590" s="440"/>
      <c r="S2590" s="440"/>
      <c r="T2590" s="440"/>
      <c r="U2590" s="440"/>
      <c r="V2590" s="440"/>
      <c r="W2590" s="440"/>
      <c r="X2590" s="440"/>
      <c r="Y2590" s="444">
        <f t="shared" si="17"/>
        <v>0</v>
      </c>
      <c r="Z2590" s="445"/>
      <c r="AA2590" s="446">
        <f t="shared" ref="AA2590:AE2590" si="1303">$J2590*E2590</f>
        <v>0</v>
      </c>
      <c r="AB2590" s="447">
        <f t="shared" si="1303"/>
        <v>0</v>
      </c>
      <c r="AC2590" s="447">
        <f t="shared" si="1303"/>
        <v>0</v>
      </c>
      <c r="AD2590" s="447">
        <f t="shared" si="1303"/>
        <v>0</v>
      </c>
      <c r="AE2590" s="448">
        <f t="shared" si="1303"/>
        <v>0</v>
      </c>
      <c r="AF2590" s="449"/>
      <c r="AG2590" s="449"/>
      <c r="AH2590" s="449"/>
    </row>
    <row r="2591" ht="11.25" customHeight="1">
      <c r="A2591" s="450"/>
      <c r="B2591" s="451"/>
      <c r="C2591" s="452"/>
      <c r="D2591" s="452"/>
      <c r="E2591" s="453"/>
      <c r="F2591" s="453"/>
      <c r="G2591" s="454"/>
      <c r="H2591" s="454"/>
      <c r="I2591" s="455"/>
      <c r="J2591" s="456"/>
      <c r="K2591" s="457" t="s">
        <v>1416</v>
      </c>
      <c r="L2591" s="458"/>
      <c r="M2591" s="459"/>
      <c r="N2591" s="460"/>
      <c r="O2591" s="460"/>
      <c r="P2591" s="461"/>
      <c r="Q2591" s="458"/>
      <c r="R2591" s="459"/>
      <c r="S2591" s="459"/>
      <c r="T2591" s="459"/>
      <c r="U2591" s="459"/>
      <c r="V2591" s="459"/>
      <c r="W2591" s="459"/>
      <c r="X2591" s="459"/>
      <c r="Y2591" s="462">
        <f t="shared" si="17"/>
        <v>0</v>
      </c>
      <c r="Z2591" s="463"/>
      <c r="AA2591" s="464"/>
      <c r="AB2591" s="465"/>
      <c r="AC2591" s="465"/>
      <c r="AD2591" s="465"/>
      <c r="AE2591" s="466"/>
      <c r="AF2591" s="449"/>
      <c r="AG2591" s="449"/>
      <c r="AH2591" s="449"/>
    </row>
    <row r="2592" ht="11.25" customHeight="1">
      <c r="A2592" s="450"/>
      <c r="B2592" s="451"/>
      <c r="C2592" s="452"/>
      <c r="D2592" s="452"/>
      <c r="E2592" s="453"/>
      <c r="F2592" s="453"/>
      <c r="G2592" s="454"/>
      <c r="H2592" s="454"/>
      <c r="I2592" s="455"/>
      <c r="J2592" s="456"/>
      <c r="K2592" s="467" t="s">
        <v>1417</v>
      </c>
      <c r="L2592" s="468"/>
      <c r="M2592" s="469"/>
      <c r="N2592" s="470"/>
      <c r="O2592" s="470"/>
      <c r="P2592" s="471"/>
      <c r="Q2592" s="468"/>
      <c r="R2592" s="469"/>
      <c r="S2592" s="469"/>
      <c r="T2592" s="469"/>
      <c r="U2592" s="469"/>
      <c r="V2592" s="469"/>
      <c r="W2592" s="469"/>
      <c r="X2592" s="469"/>
      <c r="Y2592" s="462">
        <f t="shared" si="17"/>
        <v>0</v>
      </c>
      <c r="Z2592" s="463"/>
      <c r="AA2592" s="464"/>
      <c r="AB2592" s="465"/>
      <c r="AC2592" s="465"/>
      <c r="AD2592" s="465"/>
      <c r="AE2592" s="466"/>
      <c r="AF2592" s="449"/>
      <c r="AG2592" s="449"/>
      <c r="AH2592" s="449"/>
    </row>
    <row r="2593" ht="11.25" customHeight="1">
      <c r="A2593" s="450"/>
      <c r="B2593" s="472"/>
      <c r="C2593" s="473"/>
      <c r="D2593" s="473"/>
      <c r="E2593" s="474"/>
      <c r="F2593" s="474"/>
      <c r="G2593" s="475"/>
      <c r="H2593" s="475"/>
      <c r="I2593" s="476"/>
      <c r="J2593" s="477"/>
      <c r="K2593" s="478" t="s">
        <v>1418</v>
      </c>
      <c r="L2593" s="479"/>
      <c r="M2593" s="480"/>
      <c r="N2593" s="481"/>
      <c r="O2593" s="481"/>
      <c r="P2593" s="482"/>
      <c r="Q2593" s="479"/>
      <c r="R2593" s="480"/>
      <c r="S2593" s="480"/>
      <c r="T2593" s="480"/>
      <c r="U2593" s="480"/>
      <c r="V2593" s="480"/>
      <c r="W2593" s="480"/>
      <c r="X2593" s="480"/>
      <c r="Y2593" s="483">
        <f t="shared" si="17"/>
        <v>0</v>
      </c>
      <c r="Z2593" s="484"/>
      <c r="AA2593" s="485"/>
      <c r="AB2593" s="486"/>
      <c r="AC2593" s="486"/>
      <c r="AD2593" s="486"/>
      <c r="AE2593" s="487"/>
      <c r="AF2593" s="449"/>
      <c r="AG2593" s="449"/>
      <c r="AH2593" s="449"/>
    </row>
    <row r="2594" ht="11.25" customHeight="1">
      <c r="A2594" s="431" t="str">
        <f>IF(B2594="","", YEAR(B2594))</f>
        <v/>
      </c>
      <c r="B2594" s="432"/>
      <c r="C2594" s="433"/>
      <c r="D2594" s="433"/>
      <c r="E2594" s="434" t="str">
        <f t="shared" ref="E2594:I2594" si="1304">IFERROR(AVERAGE(L2594:L2597),"")</f>
        <v/>
      </c>
      <c r="F2594" s="434" t="str">
        <f t="shared" si="1304"/>
        <v/>
      </c>
      <c r="G2594" s="435" t="str">
        <f t="shared" si="1304"/>
        <v/>
      </c>
      <c r="H2594" s="435" t="str">
        <f t="shared" si="1304"/>
        <v/>
      </c>
      <c r="I2594" s="436" t="str">
        <f t="shared" si="1304"/>
        <v/>
      </c>
      <c r="J2594" s="437">
        <f>SUMIFS(PRODUCTION[KG],PRODUCTION[GRADE],"3X50",PRODUCTION[DATE],B2594,PRODUCTION[BATCH],C2594,PRODUCTION[SHIFT],D2594)</f>
        <v>0</v>
      </c>
      <c r="K2594" s="438" t="s">
        <v>1414</v>
      </c>
      <c r="L2594" s="443"/>
      <c r="M2594" s="440"/>
      <c r="N2594" s="441"/>
      <c r="O2594" s="441"/>
      <c r="P2594" s="442"/>
      <c r="Q2594" s="443"/>
      <c r="R2594" s="440"/>
      <c r="S2594" s="440"/>
      <c r="T2594" s="440"/>
      <c r="U2594" s="440"/>
      <c r="V2594" s="440"/>
      <c r="W2594" s="440"/>
      <c r="X2594" s="440"/>
      <c r="Y2594" s="444">
        <f t="shared" si="17"/>
        <v>0</v>
      </c>
      <c r="Z2594" s="445"/>
      <c r="AA2594" s="446">
        <f t="shared" ref="AA2594:AE2594" si="1305">$J2594*E2594</f>
        <v>0</v>
      </c>
      <c r="AB2594" s="447">
        <f t="shared" si="1305"/>
        <v>0</v>
      </c>
      <c r="AC2594" s="447">
        <f t="shared" si="1305"/>
        <v>0</v>
      </c>
      <c r="AD2594" s="447">
        <f t="shared" si="1305"/>
        <v>0</v>
      </c>
      <c r="AE2594" s="448">
        <f t="shared" si="1305"/>
        <v>0</v>
      </c>
      <c r="AF2594" s="449"/>
      <c r="AG2594" s="449"/>
      <c r="AH2594" s="449"/>
    </row>
    <row r="2595" ht="11.25" customHeight="1">
      <c r="A2595" s="450"/>
      <c r="B2595" s="451"/>
      <c r="C2595" s="452"/>
      <c r="D2595" s="452"/>
      <c r="E2595" s="453"/>
      <c r="F2595" s="453"/>
      <c r="G2595" s="454"/>
      <c r="H2595" s="454"/>
      <c r="I2595" s="455"/>
      <c r="J2595" s="456"/>
      <c r="K2595" s="457" t="s">
        <v>1416</v>
      </c>
      <c r="L2595" s="458"/>
      <c r="M2595" s="459"/>
      <c r="N2595" s="460"/>
      <c r="O2595" s="460"/>
      <c r="P2595" s="461"/>
      <c r="Q2595" s="458"/>
      <c r="R2595" s="459"/>
      <c r="S2595" s="459"/>
      <c r="T2595" s="459"/>
      <c r="U2595" s="459"/>
      <c r="V2595" s="459"/>
      <c r="W2595" s="459"/>
      <c r="X2595" s="459"/>
      <c r="Y2595" s="462">
        <f t="shared" si="17"/>
        <v>0</v>
      </c>
      <c r="Z2595" s="463"/>
      <c r="AA2595" s="464"/>
      <c r="AB2595" s="465"/>
      <c r="AC2595" s="465"/>
      <c r="AD2595" s="465"/>
      <c r="AE2595" s="466"/>
      <c r="AF2595" s="449"/>
      <c r="AG2595" s="449"/>
      <c r="AH2595" s="449"/>
    </row>
    <row r="2596" ht="11.25" customHeight="1">
      <c r="A2596" s="450"/>
      <c r="B2596" s="451"/>
      <c r="C2596" s="452"/>
      <c r="D2596" s="452"/>
      <c r="E2596" s="453"/>
      <c r="F2596" s="453"/>
      <c r="G2596" s="454"/>
      <c r="H2596" s="454"/>
      <c r="I2596" s="455"/>
      <c r="J2596" s="456"/>
      <c r="K2596" s="467" t="s">
        <v>1417</v>
      </c>
      <c r="L2596" s="468"/>
      <c r="M2596" s="469"/>
      <c r="N2596" s="470"/>
      <c r="O2596" s="470"/>
      <c r="P2596" s="471"/>
      <c r="Q2596" s="468"/>
      <c r="R2596" s="469"/>
      <c r="S2596" s="469"/>
      <c r="T2596" s="469"/>
      <c r="U2596" s="469"/>
      <c r="V2596" s="469"/>
      <c r="W2596" s="469"/>
      <c r="X2596" s="469"/>
      <c r="Y2596" s="462">
        <f t="shared" si="17"/>
        <v>0</v>
      </c>
      <c r="Z2596" s="463"/>
      <c r="AA2596" s="464"/>
      <c r="AB2596" s="465"/>
      <c r="AC2596" s="465"/>
      <c r="AD2596" s="465"/>
      <c r="AE2596" s="466"/>
      <c r="AF2596" s="449"/>
      <c r="AG2596" s="449"/>
      <c r="AH2596" s="449"/>
    </row>
    <row r="2597" ht="11.25" customHeight="1">
      <c r="A2597" s="450"/>
      <c r="B2597" s="472"/>
      <c r="C2597" s="473"/>
      <c r="D2597" s="473"/>
      <c r="E2597" s="474"/>
      <c r="F2597" s="474"/>
      <c r="G2597" s="475"/>
      <c r="H2597" s="475"/>
      <c r="I2597" s="476"/>
      <c r="J2597" s="477"/>
      <c r="K2597" s="478" t="s">
        <v>1418</v>
      </c>
      <c r="L2597" s="479"/>
      <c r="M2597" s="480"/>
      <c r="N2597" s="481"/>
      <c r="O2597" s="481"/>
      <c r="P2597" s="482"/>
      <c r="Q2597" s="479"/>
      <c r="R2597" s="480"/>
      <c r="S2597" s="480"/>
      <c r="T2597" s="480"/>
      <c r="U2597" s="480"/>
      <c r="V2597" s="480"/>
      <c r="W2597" s="480"/>
      <c r="X2597" s="480"/>
      <c r="Y2597" s="483">
        <f t="shared" si="17"/>
        <v>0</v>
      </c>
      <c r="Z2597" s="484"/>
      <c r="AA2597" s="485"/>
      <c r="AB2597" s="486"/>
      <c r="AC2597" s="486"/>
      <c r="AD2597" s="486"/>
      <c r="AE2597" s="487"/>
      <c r="AF2597" s="449"/>
      <c r="AG2597" s="449"/>
      <c r="AH2597" s="449"/>
    </row>
    <row r="2598" ht="11.25" customHeight="1">
      <c r="A2598" s="431" t="str">
        <f>IF(B2598="","", YEAR(B2598))</f>
        <v/>
      </c>
      <c r="B2598" s="432"/>
      <c r="C2598" s="433"/>
      <c r="D2598" s="433"/>
      <c r="E2598" s="434" t="str">
        <f t="shared" ref="E2598:I2598" si="1306">IFERROR(AVERAGE(L2598:L2601),"")</f>
        <v/>
      </c>
      <c r="F2598" s="434" t="str">
        <f t="shared" si="1306"/>
        <v/>
      </c>
      <c r="G2598" s="435" t="str">
        <f t="shared" si="1306"/>
        <v/>
      </c>
      <c r="H2598" s="435" t="str">
        <f t="shared" si="1306"/>
        <v/>
      </c>
      <c r="I2598" s="436" t="str">
        <f t="shared" si="1306"/>
        <v/>
      </c>
      <c r="J2598" s="437">
        <f>SUMIFS(PRODUCTION[KG],PRODUCTION[GRADE],"3X50",PRODUCTION[DATE],B2598,PRODUCTION[BATCH],C2598,PRODUCTION[SHIFT],D2598)</f>
        <v>0</v>
      </c>
      <c r="K2598" s="438" t="s">
        <v>1414</v>
      </c>
      <c r="L2598" s="443"/>
      <c r="M2598" s="440"/>
      <c r="N2598" s="441"/>
      <c r="O2598" s="441"/>
      <c r="P2598" s="442"/>
      <c r="Q2598" s="443"/>
      <c r="R2598" s="440"/>
      <c r="S2598" s="440"/>
      <c r="T2598" s="440"/>
      <c r="U2598" s="440"/>
      <c r="V2598" s="440"/>
      <c r="W2598" s="440"/>
      <c r="X2598" s="440"/>
      <c r="Y2598" s="444">
        <f t="shared" si="17"/>
        <v>0</v>
      </c>
      <c r="Z2598" s="445"/>
      <c r="AA2598" s="446">
        <f t="shared" ref="AA2598:AE2598" si="1307">$J2598*E2598</f>
        <v>0</v>
      </c>
      <c r="AB2598" s="447">
        <f t="shared" si="1307"/>
        <v>0</v>
      </c>
      <c r="AC2598" s="447">
        <f t="shared" si="1307"/>
        <v>0</v>
      </c>
      <c r="AD2598" s="447">
        <f t="shared" si="1307"/>
        <v>0</v>
      </c>
      <c r="AE2598" s="448">
        <f t="shared" si="1307"/>
        <v>0</v>
      </c>
      <c r="AF2598" s="449"/>
      <c r="AG2598" s="449"/>
      <c r="AH2598" s="449"/>
    </row>
    <row r="2599" ht="11.25" customHeight="1">
      <c r="A2599" s="450"/>
      <c r="B2599" s="451"/>
      <c r="C2599" s="452"/>
      <c r="D2599" s="452"/>
      <c r="E2599" s="453"/>
      <c r="F2599" s="453"/>
      <c r="G2599" s="454"/>
      <c r="H2599" s="454"/>
      <c r="I2599" s="455"/>
      <c r="J2599" s="456"/>
      <c r="K2599" s="457" t="s">
        <v>1416</v>
      </c>
      <c r="L2599" s="458"/>
      <c r="M2599" s="459"/>
      <c r="N2599" s="460"/>
      <c r="O2599" s="460"/>
      <c r="P2599" s="461"/>
      <c r="Q2599" s="458"/>
      <c r="R2599" s="459"/>
      <c r="S2599" s="459"/>
      <c r="T2599" s="459"/>
      <c r="U2599" s="459"/>
      <c r="V2599" s="459"/>
      <c r="W2599" s="459"/>
      <c r="X2599" s="459"/>
      <c r="Y2599" s="462">
        <f t="shared" si="17"/>
        <v>0</v>
      </c>
      <c r="Z2599" s="463"/>
      <c r="AA2599" s="464"/>
      <c r="AB2599" s="465"/>
      <c r="AC2599" s="465"/>
      <c r="AD2599" s="465"/>
      <c r="AE2599" s="466"/>
      <c r="AF2599" s="449"/>
      <c r="AG2599" s="449"/>
      <c r="AH2599" s="449"/>
    </row>
    <row r="2600" ht="11.25" customHeight="1">
      <c r="A2600" s="450"/>
      <c r="B2600" s="451"/>
      <c r="C2600" s="452"/>
      <c r="D2600" s="452"/>
      <c r="E2600" s="453"/>
      <c r="F2600" s="453"/>
      <c r="G2600" s="454"/>
      <c r="H2600" s="454"/>
      <c r="I2600" s="455"/>
      <c r="J2600" s="456"/>
      <c r="K2600" s="467" t="s">
        <v>1417</v>
      </c>
      <c r="L2600" s="468"/>
      <c r="M2600" s="469"/>
      <c r="N2600" s="470"/>
      <c r="O2600" s="470"/>
      <c r="P2600" s="471"/>
      <c r="Q2600" s="468"/>
      <c r="R2600" s="469"/>
      <c r="S2600" s="469"/>
      <c r="T2600" s="469"/>
      <c r="U2600" s="469"/>
      <c r="V2600" s="469"/>
      <c r="W2600" s="469"/>
      <c r="X2600" s="469"/>
      <c r="Y2600" s="462">
        <f t="shared" si="17"/>
        <v>0</v>
      </c>
      <c r="Z2600" s="463"/>
      <c r="AA2600" s="464"/>
      <c r="AB2600" s="465"/>
      <c r="AC2600" s="465"/>
      <c r="AD2600" s="465"/>
      <c r="AE2600" s="466"/>
      <c r="AF2600" s="449"/>
      <c r="AG2600" s="449"/>
      <c r="AH2600" s="449"/>
    </row>
    <row r="2601" ht="11.25" customHeight="1">
      <c r="A2601" s="450"/>
      <c r="B2601" s="472"/>
      <c r="C2601" s="473"/>
      <c r="D2601" s="473"/>
      <c r="E2601" s="474"/>
      <c r="F2601" s="474"/>
      <c r="G2601" s="475"/>
      <c r="H2601" s="475"/>
      <c r="I2601" s="476"/>
      <c r="J2601" s="477"/>
      <c r="K2601" s="478" t="s">
        <v>1418</v>
      </c>
      <c r="L2601" s="479"/>
      <c r="M2601" s="480"/>
      <c r="N2601" s="481"/>
      <c r="O2601" s="481"/>
      <c r="P2601" s="482"/>
      <c r="Q2601" s="479"/>
      <c r="R2601" s="480"/>
      <c r="S2601" s="480"/>
      <c r="T2601" s="480"/>
      <c r="U2601" s="480"/>
      <c r="V2601" s="480"/>
      <c r="W2601" s="480"/>
      <c r="X2601" s="480"/>
      <c r="Y2601" s="483">
        <f t="shared" si="17"/>
        <v>0</v>
      </c>
      <c r="Z2601" s="484"/>
      <c r="AA2601" s="485"/>
      <c r="AB2601" s="486"/>
      <c r="AC2601" s="486"/>
      <c r="AD2601" s="486"/>
      <c r="AE2601" s="487"/>
      <c r="AF2601" s="449"/>
      <c r="AG2601" s="449"/>
      <c r="AH2601" s="449"/>
    </row>
    <row r="2602" ht="11.25" customHeight="1">
      <c r="A2602" s="431" t="str">
        <f>IF(B2602="","", YEAR(B2602))</f>
        <v/>
      </c>
      <c r="B2602" s="432"/>
      <c r="C2602" s="433"/>
      <c r="D2602" s="433"/>
      <c r="E2602" s="434" t="str">
        <f t="shared" ref="E2602:I2602" si="1308">IFERROR(AVERAGE(L2602:L2605),"")</f>
        <v/>
      </c>
      <c r="F2602" s="434" t="str">
        <f t="shared" si="1308"/>
        <v/>
      </c>
      <c r="G2602" s="435" t="str">
        <f t="shared" si="1308"/>
        <v/>
      </c>
      <c r="H2602" s="435" t="str">
        <f t="shared" si="1308"/>
        <v/>
      </c>
      <c r="I2602" s="436" t="str">
        <f t="shared" si="1308"/>
        <v/>
      </c>
      <c r="J2602" s="437">
        <f>SUMIFS(PRODUCTION[KG],PRODUCTION[GRADE],"3X50",PRODUCTION[DATE],B2602,PRODUCTION[BATCH],C2602,PRODUCTION[SHIFT],D2602)</f>
        <v>0</v>
      </c>
      <c r="K2602" s="438" t="s">
        <v>1414</v>
      </c>
      <c r="L2602" s="443"/>
      <c r="M2602" s="440"/>
      <c r="N2602" s="441"/>
      <c r="O2602" s="441"/>
      <c r="P2602" s="442"/>
      <c r="Q2602" s="443"/>
      <c r="R2602" s="440"/>
      <c r="S2602" s="440"/>
      <c r="T2602" s="440"/>
      <c r="U2602" s="440"/>
      <c r="V2602" s="440"/>
      <c r="W2602" s="440"/>
      <c r="X2602" s="440"/>
      <c r="Y2602" s="444">
        <f t="shared" si="17"/>
        <v>0</v>
      </c>
      <c r="Z2602" s="445"/>
      <c r="AA2602" s="446">
        <f t="shared" ref="AA2602:AE2602" si="1309">$J2602*E2602</f>
        <v>0</v>
      </c>
      <c r="AB2602" s="447">
        <f t="shared" si="1309"/>
        <v>0</v>
      </c>
      <c r="AC2602" s="447">
        <f t="shared" si="1309"/>
        <v>0</v>
      </c>
      <c r="AD2602" s="447">
        <f t="shared" si="1309"/>
        <v>0</v>
      </c>
      <c r="AE2602" s="448">
        <f t="shared" si="1309"/>
        <v>0</v>
      </c>
      <c r="AF2602" s="449"/>
      <c r="AG2602" s="449"/>
      <c r="AH2602" s="449"/>
    </row>
    <row r="2603" ht="11.25" customHeight="1">
      <c r="A2603" s="450"/>
      <c r="B2603" s="451"/>
      <c r="C2603" s="452"/>
      <c r="D2603" s="452"/>
      <c r="E2603" s="453"/>
      <c r="F2603" s="453"/>
      <c r="G2603" s="454"/>
      <c r="H2603" s="454"/>
      <c r="I2603" s="455"/>
      <c r="J2603" s="456"/>
      <c r="K2603" s="457" t="s">
        <v>1416</v>
      </c>
      <c r="L2603" s="458"/>
      <c r="M2603" s="459"/>
      <c r="N2603" s="460"/>
      <c r="O2603" s="460"/>
      <c r="P2603" s="461"/>
      <c r="Q2603" s="458"/>
      <c r="R2603" s="459"/>
      <c r="S2603" s="459"/>
      <c r="T2603" s="459"/>
      <c r="U2603" s="459"/>
      <c r="V2603" s="459"/>
      <c r="W2603" s="459"/>
      <c r="X2603" s="459"/>
      <c r="Y2603" s="462">
        <f t="shared" si="17"/>
        <v>0</v>
      </c>
      <c r="Z2603" s="463"/>
      <c r="AA2603" s="464"/>
      <c r="AB2603" s="465"/>
      <c r="AC2603" s="465"/>
      <c r="AD2603" s="465"/>
      <c r="AE2603" s="466"/>
      <c r="AF2603" s="449"/>
      <c r="AG2603" s="449"/>
      <c r="AH2603" s="449"/>
    </row>
    <row r="2604" ht="11.25" customHeight="1">
      <c r="A2604" s="450"/>
      <c r="B2604" s="451"/>
      <c r="C2604" s="452"/>
      <c r="D2604" s="452"/>
      <c r="E2604" s="453"/>
      <c r="F2604" s="453"/>
      <c r="G2604" s="454"/>
      <c r="H2604" s="454"/>
      <c r="I2604" s="455"/>
      <c r="J2604" s="456"/>
      <c r="K2604" s="467" t="s">
        <v>1417</v>
      </c>
      <c r="L2604" s="468"/>
      <c r="M2604" s="469"/>
      <c r="N2604" s="470"/>
      <c r="O2604" s="470"/>
      <c r="P2604" s="471"/>
      <c r="Q2604" s="468"/>
      <c r="R2604" s="469"/>
      <c r="S2604" s="469"/>
      <c r="T2604" s="469"/>
      <c r="U2604" s="469"/>
      <c r="V2604" s="469"/>
      <c r="W2604" s="469"/>
      <c r="X2604" s="469"/>
      <c r="Y2604" s="462">
        <f t="shared" si="17"/>
        <v>0</v>
      </c>
      <c r="Z2604" s="463"/>
      <c r="AA2604" s="464"/>
      <c r="AB2604" s="465"/>
      <c r="AC2604" s="465"/>
      <c r="AD2604" s="465"/>
      <c r="AE2604" s="466"/>
      <c r="AF2604" s="449"/>
      <c r="AG2604" s="449"/>
      <c r="AH2604" s="449"/>
    </row>
    <row r="2605" ht="11.25" customHeight="1">
      <c r="A2605" s="450"/>
      <c r="B2605" s="472"/>
      <c r="C2605" s="473"/>
      <c r="D2605" s="473"/>
      <c r="E2605" s="474"/>
      <c r="F2605" s="474"/>
      <c r="G2605" s="475"/>
      <c r="H2605" s="475"/>
      <c r="I2605" s="476"/>
      <c r="J2605" s="477"/>
      <c r="K2605" s="478" t="s">
        <v>1418</v>
      </c>
      <c r="L2605" s="479"/>
      <c r="M2605" s="480"/>
      <c r="N2605" s="481"/>
      <c r="O2605" s="481"/>
      <c r="P2605" s="482"/>
      <c r="Q2605" s="479"/>
      <c r="R2605" s="480"/>
      <c r="S2605" s="480"/>
      <c r="T2605" s="480"/>
      <c r="U2605" s="480"/>
      <c r="V2605" s="480"/>
      <c r="W2605" s="480"/>
      <c r="X2605" s="480"/>
      <c r="Y2605" s="483">
        <f t="shared" si="17"/>
        <v>0</v>
      </c>
      <c r="Z2605" s="484"/>
      <c r="AA2605" s="485"/>
      <c r="AB2605" s="486"/>
      <c r="AC2605" s="486"/>
      <c r="AD2605" s="486"/>
      <c r="AE2605" s="487"/>
      <c r="AF2605" s="449"/>
      <c r="AG2605" s="449"/>
      <c r="AH2605" s="449"/>
    </row>
    <row r="2606" ht="11.25" customHeight="1">
      <c r="A2606" s="431" t="str">
        <f>IF(B2606="","", YEAR(B2606))</f>
        <v/>
      </c>
      <c r="B2606" s="432"/>
      <c r="C2606" s="433"/>
      <c r="D2606" s="433"/>
      <c r="E2606" s="434" t="str">
        <f t="shared" ref="E2606:I2606" si="1310">IFERROR(AVERAGE(L2606:L2609),"")</f>
        <v/>
      </c>
      <c r="F2606" s="434" t="str">
        <f t="shared" si="1310"/>
        <v/>
      </c>
      <c r="G2606" s="435" t="str">
        <f t="shared" si="1310"/>
        <v/>
      </c>
      <c r="H2606" s="435" t="str">
        <f t="shared" si="1310"/>
        <v/>
      </c>
      <c r="I2606" s="436" t="str">
        <f t="shared" si="1310"/>
        <v/>
      </c>
      <c r="J2606" s="437">
        <f>SUMIFS(PRODUCTION[KG],PRODUCTION[GRADE],"3X50",PRODUCTION[DATE],B2606,PRODUCTION[BATCH],C2606,PRODUCTION[SHIFT],D2606)</f>
        <v>0</v>
      </c>
      <c r="K2606" s="438" t="s">
        <v>1414</v>
      </c>
      <c r="L2606" s="443"/>
      <c r="M2606" s="440"/>
      <c r="N2606" s="441"/>
      <c r="O2606" s="441"/>
      <c r="P2606" s="442"/>
      <c r="Q2606" s="443"/>
      <c r="R2606" s="440"/>
      <c r="S2606" s="440"/>
      <c r="T2606" s="440"/>
      <c r="U2606" s="440"/>
      <c r="V2606" s="440"/>
      <c r="W2606" s="440"/>
      <c r="X2606" s="440"/>
      <c r="Y2606" s="444">
        <f t="shared" si="17"/>
        <v>0</v>
      </c>
      <c r="Z2606" s="445"/>
      <c r="AA2606" s="446">
        <f t="shared" ref="AA2606:AE2606" si="1311">$J2606*E2606</f>
        <v>0</v>
      </c>
      <c r="AB2606" s="447">
        <f t="shared" si="1311"/>
        <v>0</v>
      </c>
      <c r="AC2606" s="447">
        <f t="shared" si="1311"/>
        <v>0</v>
      </c>
      <c r="AD2606" s="447">
        <f t="shared" si="1311"/>
        <v>0</v>
      </c>
      <c r="AE2606" s="448">
        <f t="shared" si="1311"/>
        <v>0</v>
      </c>
      <c r="AF2606" s="449"/>
      <c r="AG2606" s="449"/>
      <c r="AH2606" s="449"/>
    </row>
    <row r="2607" ht="11.25" customHeight="1">
      <c r="A2607" s="450"/>
      <c r="B2607" s="451"/>
      <c r="C2607" s="452"/>
      <c r="D2607" s="452"/>
      <c r="E2607" s="453"/>
      <c r="F2607" s="453"/>
      <c r="G2607" s="454"/>
      <c r="H2607" s="454"/>
      <c r="I2607" s="455"/>
      <c r="J2607" s="456"/>
      <c r="K2607" s="457" t="s">
        <v>1416</v>
      </c>
      <c r="L2607" s="458"/>
      <c r="M2607" s="459"/>
      <c r="N2607" s="460"/>
      <c r="O2607" s="460"/>
      <c r="P2607" s="461"/>
      <c r="Q2607" s="458"/>
      <c r="R2607" s="459"/>
      <c r="S2607" s="459"/>
      <c r="T2607" s="459"/>
      <c r="U2607" s="459"/>
      <c r="V2607" s="459"/>
      <c r="W2607" s="459"/>
      <c r="X2607" s="459"/>
      <c r="Y2607" s="462">
        <f t="shared" si="17"/>
        <v>0</v>
      </c>
      <c r="Z2607" s="463"/>
      <c r="AA2607" s="464"/>
      <c r="AB2607" s="465"/>
      <c r="AC2607" s="465"/>
      <c r="AD2607" s="465"/>
      <c r="AE2607" s="466"/>
      <c r="AF2607" s="449"/>
      <c r="AG2607" s="449"/>
      <c r="AH2607" s="449"/>
    </row>
    <row r="2608" ht="11.25" customHeight="1">
      <c r="A2608" s="450"/>
      <c r="B2608" s="451"/>
      <c r="C2608" s="452"/>
      <c r="D2608" s="452"/>
      <c r="E2608" s="453"/>
      <c r="F2608" s="453"/>
      <c r="G2608" s="454"/>
      <c r="H2608" s="454"/>
      <c r="I2608" s="455"/>
      <c r="J2608" s="456"/>
      <c r="K2608" s="467" t="s">
        <v>1417</v>
      </c>
      <c r="L2608" s="468"/>
      <c r="M2608" s="469"/>
      <c r="N2608" s="470"/>
      <c r="O2608" s="470"/>
      <c r="P2608" s="471"/>
      <c r="Q2608" s="468"/>
      <c r="R2608" s="469"/>
      <c r="S2608" s="469"/>
      <c r="T2608" s="469"/>
      <c r="U2608" s="469"/>
      <c r="V2608" s="469"/>
      <c r="W2608" s="469"/>
      <c r="X2608" s="469"/>
      <c r="Y2608" s="462">
        <f t="shared" si="17"/>
        <v>0</v>
      </c>
      <c r="Z2608" s="463"/>
      <c r="AA2608" s="464"/>
      <c r="AB2608" s="465"/>
      <c r="AC2608" s="465"/>
      <c r="AD2608" s="465"/>
      <c r="AE2608" s="466"/>
      <c r="AF2608" s="449"/>
      <c r="AG2608" s="449"/>
      <c r="AH2608" s="449"/>
    </row>
    <row r="2609" ht="11.25" customHeight="1">
      <c r="A2609" s="450"/>
      <c r="B2609" s="472"/>
      <c r="C2609" s="473"/>
      <c r="D2609" s="473"/>
      <c r="E2609" s="474"/>
      <c r="F2609" s="474"/>
      <c r="G2609" s="475"/>
      <c r="H2609" s="475"/>
      <c r="I2609" s="476"/>
      <c r="J2609" s="477"/>
      <c r="K2609" s="478" t="s">
        <v>1418</v>
      </c>
      <c r="L2609" s="479"/>
      <c r="M2609" s="480"/>
      <c r="N2609" s="481"/>
      <c r="O2609" s="481"/>
      <c r="P2609" s="482"/>
      <c r="Q2609" s="479"/>
      <c r="R2609" s="480"/>
      <c r="S2609" s="480"/>
      <c r="T2609" s="480"/>
      <c r="U2609" s="480"/>
      <c r="V2609" s="480"/>
      <c r="W2609" s="480"/>
      <c r="X2609" s="480"/>
      <c r="Y2609" s="483">
        <f t="shared" si="17"/>
        <v>0</v>
      </c>
      <c r="Z2609" s="484"/>
      <c r="AA2609" s="485"/>
      <c r="AB2609" s="486"/>
      <c r="AC2609" s="486"/>
      <c r="AD2609" s="486"/>
      <c r="AE2609" s="487"/>
      <c r="AF2609" s="449"/>
      <c r="AG2609" s="449"/>
      <c r="AH2609" s="449"/>
    </row>
    <row r="2610" ht="11.25" customHeight="1">
      <c r="A2610" s="431" t="str">
        <f>IF(B2610="","", YEAR(B2610))</f>
        <v/>
      </c>
      <c r="B2610" s="432"/>
      <c r="C2610" s="433"/>
      <c r="D2610" s="433"/>
      <c r="E2610" s="434" t="str">
        <f t="shared" ref="E2610:I2610" si="1312">IFERROR(AVERAGE(L2610:L2613),"")</f>
        <v/>
      </c>
      <c r="F2610" s="434" t="str">
        <f t="shared" si="1312"/>
        <v/>
      </c>
      <c r="G2610" s="435" t="str">
        <f t="shared" si="1312"/>
        <v/>
      </c>
      <c r="H2610" s="435" t="str">
        <f t="shared" si="1312"/>
        <v/>
      </c>
      <c r="I2610" s="436" t="str">
        <f t="shared" si="1312"/>
        <v/>
      </c>
      <c r="J2610" s="437">
        <f>SUMIFS(PRODUCTION[KG],PRODUCTION[GRADE],"3X50",PRODUCTION[DATE],B2610,PRODUCTION[BATCH],C2610,PRODUCTION[SHIFT],D2610)</f>
        <v>0</v>
      </c>
      <c r="K2610" s="438" t="s">
        <v>1414</v>
      </c>
      <c r="L2610" s="443"/>
      <c r="M2610" s="440"/>
      <c r="N2610" s="441"/>
      <c r="O2610" s="441"/>
      <c r="P2610" s="442"/>
      <c r="Q2610" s="443"/>
      <c r="R2610" s="440"/>
      <c r="S2610" s="440"/>
      <c r="T2610" s="440"/>
      <c r="U2610" s="440"/>
      <c r="V2610" s="440"/>
      <c r="W2610" s="440"/>
      <c r="X2610" s="440"/>
      <c r="Y2610" s="444">
        <f t="shared" si="17"/>
        <v>0</v>
      </c>
      <c r="Z2610" s="445"/>
      <c r="AA2610" s="446">
        <f t="shared" ref="AA2610:AE2610" si="1313">$J2610*E2610</f>
        <v>0</v>
      </c>
      <c r="AB2610" s="447">
        <f t="shared" si="1313"/>
        <v>0</v>
      </c>
      <c r="AC2610" s="447">
        <f t="shared" si="1313"/>
        <v>0</v>
      </c>
      <c r="AD2610" s="447">
        <f t="shared" si="1313"/>
        <v>0</v>
      </c>
      <c r="AE2610" s="448">
        <f t="shared" si="1313"/>
        <v>0</v>
      </c>
      <c r="AF2610" s="449"/>
      <c r="AG2610" s="449"/>
      <c r="AH2610" s="449"/>
    </row>
    <row r="2611" ht="11.25" customHeight="1">
      <c r="A2611" s="450"/>
      <c r="B2611" s="451"/>
      <c r="C2611" s="452"/>
      <c r="D2611" s="452"/>
      <c r="E2611" s="453"/>
      <c r="F2611" s="453"/>
      <c r="G2611" s="454"/>
      <c r="H2611" s="454"/>
      <c r="I2611" s="455"/>
      <c r="J2611" s="456"/>
      <c r="K2611" s="457" t="s">
        <v>1416</v>
      </c>
      <c r="L2611" s="458"/>
      <c r="M2611" s="459"/>
      <c r="N2611" s="460"/>
      <c r="O2611" s="460"/>
      <c r="P2611" s="461"/>
      <c r="Q2611" s="458"/>
      <c r="R2611" s="459"/>
      <c r="S2611" s="459"/>
      <c r="T2611" s="459"/>
      <c r="U2611" s="459"/>
      <c r="V2611" s="459"/>
      <c r="W2611" s="459"/>
      <c r="X2611" s="459"/>
      <c r="Y2611" s="462">
        <f t="shared" si="17"/>
        <v>0</v>
      </c>
      <c r="Z2611" s="463"/>
      <c r="AA2611" s="464"/>
      <c r="AB2611" s="465"/>
      <c r="AC2611" s="465"/>
      <c r="AD2611" s="465"/>
      <c r="AE2611" s="466"/>
      <c r="AF2611" s="449"/>
      <c r="AG2611" s="449"/>
      <c r="AH2611" s="449"/>
    </row>
    <row r="2612" ht="11.25" customHeight="1">
      <c r="A2612" s="450"/>
      <c r="B2612" s="451"/>
      <c r="C2612" s="452"/>
      <c r="D2612" s="452"/>
      <c r="E2612" s="453"/>
      <c r="F2612" s="453"/>
      <c r="G2612" s="454"/>
      <c r="H2612" s="454"/>
      <c r="I2612" s="455"/>
      <c r="J2612" s="456"/>
      <c r="K2612" s="467" t="s">
        <v>1417</v>
      </c>
      <c r="L2612" s="468"/>
      <c r="M2612" s="469"/>
      <c r="N2612" s="470"/>
      <c r="O2612" s="470"/>
      <c r="P2612" s="471"/>
      <c r="Q2612" s="468"/>
      <c r="R2612" s="469"/>
      <c r="S2612" s="469"/>
      <c r="T2612" s="469"/>
      <c r="U2612" s="469"/>
      <c r="V2612" s="469"/>
      <c r="W2612" s="469"/>
      <c r="X2612" s="469"/>
      <c r="Y2612" s="462">
        <f t="shared" si="17"/>
        <v>0</v>
      </c>
      <c r="Z2612" s="463"/>
      <c r="AA2612" s="464"/>
      <c r="AB2612" s="465"/>
      <c r="AC2612" s="465"/>
      <c r="AD2612" s="465"/>
      <c r="AE2612" s="466"/>
      <c r="AF2612" s="449"/>
      <c r="AG2612" s="449"/>
      <c r="AH2612" s="449"/>
    </row>
    <row r="2613" ht="11.25" customHeight="1">
      <c r="A2613" s="450"/>
      <c r="B2613" s="472"/>
      <c r="C2613" s="473"/>
      <c r="D2613" s="473"/>
      <c r="E2613" s="474"/>
      <c r="F2613" s="474"/>
      <c r="G2613" s="475"/>
      <c r="H2613" s="475"/>
      <c r="I2613" s="476"/>
      <c r="J2613" s="477"/>
      <c r="K2613" s="478" t="s">
        <v>1418</v>
      </c>
      <c r="L2613" s="479"/>
      <c r="M2613" s="480"/>
      <c r="N2613" s="481"/>
      <c r="O2613" s="481"/>
      <c r="P2613" s="482"/>
      <c r="Q2613" s="479"/>
      <c r="R2613" s="480"/>
      <c r="S2613" s="480"/>
      <c r="T2613" s="480"/>
      <c r="U2613" s="480"/>
      <c r="V2613" s="480"/>
      <c r="W2613" s="480"/>
      <c r="X2613" s="480"/>
      <c r="Y2613" s="483">
        <f t="shared" si="17"/>
        <v>0</v>
      </c>
      <c r="Z2613" s="484"/>
      <c r="AA2613" s="485"/>
      <c r="AB2613" s="486"/>
      <c r="AC2613" s="486"/>
      <c r="AD2613" s="486"/>
      <c r="AE2613" s="487"/>
      <c r="AF2613" s="449"/>
      <c r="AG2613" s="449"/>
      <c r="AH2613" s="449"/>
    </row>
    <row r="2614" ht="11.25" customHeight="1">
      <c r="A2614" s="431" t="str">
        <f>IF(B2614="","", YEAR(B2614))</f>
        <v/>
      </c>
      <c r="B2614" s="432"/>
      <c r="C2614" s="433"/>
      <c r="D2614" s="433"/>
      <c r="E2614" s="434" t="str">
        <f t="shared" ref="E2614:I2614" si="1314">IFERROR(AVERAGE(L2614:L2617),"")</f>
        <v/>
      </c>
      <c r="F2614" s="434" t="str">
        <f t="shared" si="1314"/>
        <v/>
      </c>
      <c r="G2614" s="435" t="str">
        <f t="shared" si="1314"/>
        <v/>
      </c>
      <c r="H2614" s="435" t="str">
        <f t="shared" si="1314"/>
        <v/>
      </c>
      <c r="I2614" s="436" t="str">
        <f t="shared" si="1314"/>
        <v/>
      </c>
      <c r="J2614" s="437">
        <f>SUMIFS(PRODUCTION[KG],PRODUCTION[GRADE],"3X50",PRODUCTION[DATE],B2614,PRODUCTION[BATCH],C2614,PRODUCTION[SHIFT],D2614)</f>
        <v>0</v>
      </c>
      <c r="K2614" s="438" t="s">
        <v>1414</v>
      </c>
      <c r="L2614" s="443"/>
      <c r="M2614" s="440"/>
      <c r="N2614" s="441"/>
      <c r="O2614" s="441"/>
      <c r="P2614" s="442"/>
      <c r="Q2614" s="443"/>
      <c r="R2614" s="440"/>
      <c r="S2614" s="440"/>
      <c r="T2614" s="440"/>
      <c r="U2614" s="440"/>
      <c r="V2614" s="440"/>
      <c r="W2614" s="440"/>
      <c r="X2614" s="440"/>
      <c r="Y2614" s="444">
        <f t="shared" si="17"/>
        <v>0</v>
      </c>
      <c r="Z2614" s="445"/>
      <c r="AA2614" s="446">
        <f t="shared" ref="AA2614:AE2614" si="1315">$J2614*E2614</f>
        <v>0</v>
      </c>
      <c r="AB2614" s="447">
        <f t="shared" si="1315"/>
        <v>0</v>
      </c>
      <c r="AC2614" s="447">
        <f t="shared" si="1315"/>
        <v>0</v>
      </c>
      <c r="AD2614" s="447">
        <f t="shared" si="1315"/>
        <v>0</v>
      </c>
      <c r="AE2614" s="448">
        <f t="shared" si="1315"/>
        <v>0</v>
      </c>
      <c r="AF2614" s="449"/>
      <c r="AG2614" s="449"/>
      <c r="AH2614" s="449"/>
    </row>
    <row r="2615" ht="11.25" customHeight="1">
      <c r="A2615" s="450"/>
      <c r="B2615" s="451"/>
      <c r="C2615" s="452"/>
      <c r="D2615" s="452"/>
      <c r="E2615" s="453"/>
      <c r="F2615" s="453"/>
      <c r="G2615" s="454"/>
      <c r="H2615" s="454"/>
      <c r="I2615" s="455"/>
      <c r="J2615" s="456"/>
      <c r="K2615" s="457" t="s">
        <v>1416</v>
      </c>
      <c r="L2615" s="458"/>
      <c r="M2615" s="459"/>
      <c r="N2615" s="460"/>
      <c r="O2615" s="460"/>
      <c r="P2615" s="461"/>
      <c r="Q2615" s="458"/>
      <c r="R2615" s="459"/>
      <c r="S2615" s="459"/>
      <c r="T2615" s="459"/>
      <c r="U2615" s="459"/>
      <c r="V2615" s="459"/>
      <c r="W2615" s="459"/>
      <c r="X2615" s="459"/>
      <c r="Y2615" s="462">
        <f t="shared" si="17"/>
        <v>0</v>
      </c>
      <c r="Z2615" s="463"/>
      <c r="AA2615" s="464"/>
      <c r="AB2615" s="465"/>
      <c r="AC2615" s="465"/>
      <c r="AD2615" s="465"/>
      <c r="AE2615" s="466"/>
      <c r="AF2615" s="449"/>
      <c r="AG2615" s="449"/>
      <c r="AH2615" s="449"/>
    </row>
    <row r="2616" ht="11.25" customHeight="1">
      <c r="A2616" s="450"/>
      <c r="B2616" s="451"/>
      <c r="C2616" s="452"/>
      <c r="D2616" s="452"/>
      <c r="E2616" s="453"/>
      <c r="F2616" s="453"/>
      <c r="G2616" s="454"/>
      <c r="H2616" s="454"/>
      <c r="I2616" s="455"/>
      <c r="J2616" s="456"/>
      <c r="K2616" s="467" t="s">
        <v>1417</v>
      </c>
      <c r="L2616" s="468"/>
      <c r="M2616" s="469"/>
      <c r="N2616" s="470"/>
      <c r="O2616" s="470"/>
      <c r="P2616" s="471"/>
      <c r="Q2616" s="468"/>
      <c r="R2616" s="469"/>
      <c r="S2616" s="469"/>
      <c r="T2616" s="469"/>
      <c r="U2616" s="469"/>
      <c r="V2616" s="469"/>
      <c r="W2616" s="469"/>
      <c r="X2616" s="469"/>
      <c r="Y2616" s="462">
        <f t="shared" si="17"/>
        <v>0</v>
      </c>
      <c r="Z2616" s="463"/>
      <c r="AA2616" s="464"/>
      <c r="AB2616" s="465"/>
      <c r="AC2616" s="465"/>
      <c r="AD2616" s="465"/>
      <c r="AE2616" s="466"/>
      <c r="AF2616" s="449"/>
      <c r="AG2616" s="449"/>
      <c r="AH2616" s="449"/>
    </row>
    <row r="2617" ht="11.25" customHeight="1">
      <c r="A2617" s="450"/>
      <c r="B2617" s="472"/>
      <c r="C2617" s="473"/>
      <c r="D2617" s="473"/>
      <c r="E2617" s="474"/>
      <c r="F2617" s="474"/>
      <c r="G2617" s="475"/>
      <c r="H2617" s="475"/>
      <c r="I2617" s="476"/>
      <c r="J2617" s="477"/>
      <c r="K2617" s="478" t="s">
        <v>1418</v>
      </c>
      <c r="L2617" s="479"/>
      <c r="M2617" s="480"/>
      <c r="N2617" s="481"/>
      <c r="O2617" s="481"/>
      <c r="P2617" s="482"/>
      <c r="Q2617" s="479"/>
      <c r="R2617" s="480"/>
      <c r="S2617" s="480"/>
      <c r="T2617" s="480"/>
      <c r="U2617" s="480"/>
      <c r="V2617" s="480"/>
      <c r="W2617" s="480"/>
      <c r="X2617" s="480"/>
      <c r="Y2617" s="483">
        <f t="shared" si="17"/>
        <v>0</v>
      </c>
      <c r="Z2617" s="484"/>
      <c r="AA2617" s="485"/>
      <c r="AB2617" s="486"/>
      <c r="AC2617" s="486"/>
      <c r="AD2617" s="486"/>
      <c r="AE2617" s="487"/>
      <c r="AF2617" s="449"/>
      <c r="AG2617" s="449"/>
      <c r="AH2617" s="449"/>
    </row>
    <row r="2618" ht="11.25" customHeight="1">
      <c r="A2618" s="431" t="str">
        <f>IF(B2618="","", YEAR(B2618))</f>
        <v/>
      </c>
      <c r="B2618" s="432"/>
      <c r="C2618" s="433"/>
      <c r="D2618" s="433"/>
      <c r="E2618" s="434" t="str">
        <f t="shared" ref="E2618:I2618" si="1316">IFERROR(AVERAGE(L2618:L2621),"")</f>
        <v/>
      </c>
      <c r="F2618" s="434" t="str">
        <f t="shared" si="1316"/>
        <v/>
      </c>
      <c r="G2618" s="435" t="str">
        <f t="shared" si="1316"/>
        <v/>
      </c>
      <c r="H2618" s="435" t="str">
        <f t="shared" si="1316"/>
        <v/>
      </c>
      <c r="I2618" s="436" t="str">
        <f t="shared" si="1316"/>
        <v/>
      </c>
      <c r="J2618" s="437">
        <f>SUMIFS(PRODUCTION[KG],PRODUCTION[GRADE],"3X50",PRODUCTION[DATE],B2618,PRODUCTION[BATCH],C2618,PRODUCTION[SHIFT],D2618)</f>
        <v>0</v>
      </c>
      <c r="K2618" s="438" t="s">
        <v>1414</v>
      </c>
      <c r="L2618" s="443"/>
      <c r="M2618" s="440"/>
      <c r="N2618" s="441"/>
      <c r="O2618" s="441"/>
      <c r="P2618" s="442"/>
      <c r="Q2618" s="443"/>
      <c r="R2618" s="440"/>
      <c r="S2618" s="440"/>
      <c r="T2618" s="440"/>
      <c r="U2618" s="440"/>
      <c r="V2618" s="440"/>
      <c r="W2618" s="440"/>
      <c r="X2618" s="440"/>
      <c r="Y2618" s="444">
        <f t="shared" si="17"/>
        <v>0</v>
      </c>
      <c r="Z2618" s="445"/>
      <c r="AA2618" s="446">
        <f t="shared" ref="AA2618:AE2618" si="1317">$J2618*E2618</f>
        <v>0</v>
      </c>
      <c r="AB2618" s="447">
        <f t="shared" si="1317"/>
        <v>0</v>
      </c>
      <c r="AC2618" s="447">
        <f t="shared" si="1317"/>
        <v>0</v>
      </c>
      <c r="AD2618" s="447">
        <f t="shared" si="1317"/>
        <v>0</v>
      </c>
      <c r="AE2618" s="448">
        <f t="shared" si="1317"/>
        <v>0</v>
      </c>
      <c r="AF2618" s="449"/>
      <c r="AG2618" s="449"/>
      <c r="AH2618" s="449"/>
    </row>
    <row r="2619" ht="11.25" customHeight="1">
      <c r="A2619" s="450"/>
      <c r="B2619" s="451"/>
      <c r="C2619" s="452"/>
      <c r="D2619" s="452"/>
      <c r="E2619" s="453"/>
      <c r="F2619" s="453"/>
      <c r="G2619" s="454"/>
      <c r="H2619" s="454"/>
      <c r="I2619" s="455"/>
      <c r="J2619" s="456"/>
      <c r="K2619" s="457" t="s">
        <v>1416</v>
      </c>
      <c r="L2619" s="458"/>
      <c r="M2619" s="459"/>
      <c r="N2619" s="460"/>
      <c r="O2619" s="460"/>
      <c r="P2619" s="461"/>
      <c r="Q2619" s="458"/>
      <c r="R2619" s="459"/>
      <c r="S2619" s="459"/>
      <c r="T2619" s="459"/>
      <c r="U2619" s="459"/>
      <c r="V2619" s="459"/>
      <c r="W2619" s="459"/>
      <c r="X2619" s="459"/>
      <c r="Y2619" s="462">
        <f t="shared" si="17"/>
        <v>0</v>
      </c>
      <c r="Z2619" s="463"/>
      <c r="AA2619" s="464"/>
      <c r="AB2619" s="465"/>
      <c r="AC2619" s="465"/>
      <c r="AD2619" s="465"/>
      <c r="AE2619" s="466"/>
      <c r="AF2619" s="449"/>
      <c r="AG2619" s="449"/>
      <c r="AH2619" s="449"/>
    </row>
    <row r="2620" ht="11.25" customHeight="1">
      <c r="A2620" s="450"/>
      <c r="B2620" s="451"/>
      <c r="C2620" s="452"/>
      <c r="D2620" s="452"/>
      <c r="E2620" s="453"/>
      <c r="F2620" s="453"/>
      <c r="G2620" s="454"/>
      <c r="H2620" s="454"/>
      <c r="I2620" s="455"/>
      <c r="J2620" s="456"/>
      <c r="K2620" s="467" t="s">
        <v>1417</v>
      </c>
      <c r="L2620" s="468"/>
      <c r="M2620" s="469"/>
      <c r="N2620" s="470"/>
      <c r="O2620" s="470"/>
      <c r="P2620" s="471"/>
      <c r="Q2620" s="468"/>
      <c r="R2620" s="469"/>
      <c r="S2620" s="469"/>
      <c r="T2620" s="469"/>
      <c r="U2620" s="469"/>
      <c r="V2620" s="469"/>
      <c r="W2620" s="469"/>
      <c r="X2620" s="469"/>
      <c r="Y2620" s="462">
        <f t="shared" si="17"/>
        <v>0</v>
      </c>
      <c r="Z2620" s="463"/>
      <c r="AA2620" s="464"/>
      <c r="AB2620" s="465"/>
      <c r="AC2620" s="465"/>
      <c r="AD2620" s="465"/>
      <c r="AE2620" s="466"/>
      <c r="AF2620" s="449"/>
      <c r="AG2620" s="449"/>
      <c r="AH2620" s="449"/>
    </row>
    <row r="2621" ht="11.25" customHeight="1">
      <c r="A2621" s="450"/>
      <c r="B2621" s="472"/>
      <c r="C2621" s="473"/>
      <c r="D2621" s="473"/>
      <c r="E2621" s="474"/>
      <c r="F2621" s="474"/>
      <c r="G2621" s="475"/>
      <c r="H2621" s="475"/>
      <c r="I2621" s="476"/>
      <c r="J2621" s="477"/>
      <c r="K2621" s="478" t="s">
        <v>1418</v>
      </c>
      <c r="L2621" s="479"/>
      <c r="M2621" s="480"/>
      <c r="N2621" s="481"/>
      <c r="O2621" s="481"/>
      <c r="P2621" s="482"/>
      <c r="Q2621" s="479"/>
      <c r="R2621" s="480"/>
      <c r="S2621" s="480"/>
      <c r="T2621" s="480"/>
      <c r="U2621" s="480"/>
      <c r="V2621" s="480"/>
      <c r="W2621" s="480"/>
      <c r="X2621" s="480"/>
      <c r="Y2621" s="483">
        <f t="shared" si="17"/>
        <v>0</v>
      </c>
      <c r="Z2621" s="484"/>
      <c r="AA2621" s="485"/>
      <c r="AB2621" s="486"/>
      <c r="AC2621" s="486"/>
      <c r="AD2621" s="486"/>
      <c r="AE2621" s="487"/>
      <c r="AF2621" s="449"/>
      <c r="AG2621" s="449"/>
      <c r="AH2621" s="449"/>
    </row>
    <row r="2622" ht="11.25" customHeight="1">
      <c r="A2622" s="431" t="str">
        <f>IF(B2622="","", YEAR(B2622))</f>
        <v/>
      </c>
      <c r="B2622" s="432"/>
      <c r="C2622" s="433"/>
      <c r="D2622" s="433"/>
      <c r="E2622" s="434" t="str">
        <f t="shared" ref="E2622:I2622" si="1318">IFERROR(AVERAGE(L2622:L2625),"")</f>
        <v/>
      </c>
      <c r="F2622" s="434" t="str">
        <f t="shared" si="1318"/>
        <v/>
      </c>
      <c r="G2622" s="435" t="str">
        <f t="shared" si="1318"/>
        <v/>
      </c>
      <c r="H2622" s="435" t="str">
        <f t="shared" si="1318"/>
        <v/>
      </c>
      <c r="I2622" s="436" t="str">
        <f t="shared" si="1318"/>
        <v/>
      </c>
      <c r="J2622" s="437">
        <f>SUMIFS(PRODUCTION[KG],PRODUCTION[GRADE],"3X50",PRODUCTION[DATE],B2622,PRODUCTION[BATCH],C2622,PRODUCTION[SHIFT],D2622)</f>
        <v>0</v>
      </c>
      <c r="K2622" s="438" t="s">
        <v>1414</v>
      </c>
      <c r="L2622" s="443"/>
      <c r="M2622" s="440"/>
      <c r="N2622" s="441"/>
      <c r="O2622" s="441"/>
      <c r="P2622" s="442"/>
      <c r="Q2622" s="443"/>
      <c r="R2622" s="440"/>
      <c r="S2622" s="440"/>
      <c r="T2622" s="440"/>
      <c r="U2622" s="440"/>
      <c r="V2622" s="440"/>
      <c r="W2622" s="440"/>
      <c r="X2622" s="440"/>
      <c r="Y2622" s="444">
        <f t="shared" si="17"/>
        <v>0</v>
      </c>
      <c r="Z2622" s="445"/>
      <c r="AA2622" s="446">
        <f t="shared" ref="AA2622:AE2622" si="1319">$J2622*E2622</f>
        <v>0</v>
      </c>
      <c r="AB2622" s="447">
        <f t="shared" si="1319"/>
        <v>0</v>
      </c>
      <c r="AC2622" s="447">
        <f t="shared" si="1319"/>
        <v>0</v>
      </c>
      <c r="AD2622" s="447">
        <f t="shared" si="1319"/>
        <v>0</v>
      </c>
      <c r="AE2622" s="448">
        <f t="shared" si="1319"/>
        <v>0</v>
      </c>
      <c r="AF2622" s="449"/>
      <c r="AG2622" s="449"/>
      <c r="AH2622" s="449"/>
    </row>
    <row r="2623" ht="11.25" customHeight="1">
      <c r="A2623" s="450"/>
      <c r="B2623" s="451"/>
      <c r="C2623" s="452"/>
      <c r="D2623" s="452"/>
      <c r="E2623" s="453"/>
      <c r="F2623" s="453"/>
      <c r="G2623" s="454"/>
      <c r="H2623" s="454"/>
      <c r="I2623" s="455"/>
      <c r="J2623" s="456"/>
      <c r="K2623" s="457" t="s">
        <v>1416</v>
      </c>
      <c r="L2623" s="458"/>
      <c r="M2623" s="459"/>
      <c r="N2623" s="460"/>
      <c r="O2623" s="460"/>
      <c r="P2623" s="461"/>
      <c r="Q2623" s="458"/>
      <c r="R2623" s="459"/>
      <c r="S2623" s="459"/>
      <c r="T2623" s="459"/>
      <c r="U2623" s="459"/>
      <c r="V2623" s="459"/>
      <c r="W2623" s="459"/>
      <c r="X2623" s="459"/>
      <c r="Y2623" s="462">
        <f t="shared" si="17"/>
        <v>0</v>
      </c>
      <c r="Z2623" s="463"/>
      <c r="AA2623" s="464"/>
      <c r="AB2623" s="465"/>
      <c r="AC2623" s="465"/>
      <c r="AD2623" s="465"/>
      <c r="AE2623" s="466"/>
      <c r="AF2623" s="449"/>
      <c r="AG2623" s="449"/>
      <c r="AH2623" s="449"/>
    </row>
    <row r="2624" ht="11.25" customHeight="1">
      <c r="A2624" s="450"/>
      <c r="B2624" s="451"/>
      <c r="C2624" s="452"/>
      <c r="D2624" s="452"/>
      <c r="E2624" s="453"/>
      <c r="F2624" s="453"/>
      <c r="G2624" s="454"/>
      <c r="H2624" s="454"/>
      <c r="I2624" s="455"/>
      <c r="J2624" s="456"/>
      <c r="K2624" s="467" t="s">
        <v>1417</v>
      </c>
      <c r="L2624" s="468"/>
      <c r="M2624" s="469"/>
      <c r="N2624" s="470"/>
      <c r="O2624" s="470"/>
      <c r="P2624" s="471"/>
      <c r="Q2624" s="468"/>
      <c r="R2624" s="469"/>
      <c r="S2624" s="469"/>
      <c r="T2624" s="469"/>
      <c r="U2624" s="469"/>
      <c r="V2624" s="469"/>
      <c r="W2624" s="469"/>
      <c r="X2624" s="469"/>
      <c r="Y2624" s="462">
        <f t="shared" si="17"/>
        <v>0</v>
      </c>
      <c r="Z2624" s="463"/>
      <c r="AA2624" s="464"/>
      <c r="AB2624" s="465"/>
      <c r="AC2624" s="465"/>
      <c r="AD2624" s="465"/>
      <c r="AE2624" s="466"/>
      <c r="AF2624" s="449"/>
      <c r="AG2624" s="449"/>
      <c r="AH2624" s="449"/>
    </row>
    <row r="2625" ht="11.25" customHeight="1">
      <c r="A2625" s="450"/>
      <c r="B2625" s="472"/>
      <c r="C2625" s="473"/>
      <c r="D2625" s="473"/>
      <c r="E2625" s="474"/>
      <c r="F2625" s="474"/>
      <c r="G2625" s="475"/>
      <c r="H2625" s="475"/>
      <c r="I2625" s="476"/>
      <c r="J2625" s="477"/>
      <c r="K2625" s="478" t="s">
        <v>1418</v>
      </c>
      <c r="L2625" s="479"/>
      <c r="M2625" s="480"/>
      <c r="N2625" s="481"/>
      <c r="O2625" s="481"/>
      <c r="P2625" s="482"/>
      <c r="Q2625" s="479"/>
      <c r="R2625" s="480"/>
      <c r="S2625" s="480"/>
      <c r="T2625" s="480"/>
      <c r="U2625" s="480"/>
      <c r="V2625" s="480"/>
      <c r="W2625" s="480"/>
      <c r="X2625" s="480"/>
      <c r="Y2625" s="483">
        <f t="shared" si="17"/>
        <v>0</v>
      </c>
      <c r="Z2625" s="484"/>
      <c r="AA2625" s="485"/>
      <c r="AB2625" s="486"/>
      <c r="AC2625" s="486"/>
      <c r="AD2625" s="486"/>
      <c r="AE2625" s="487"/>
      <c r="AF2625" s="449"/>
      <c r="AG2625" s="449"/>
      <c r="AH2625" s="449"/>
    </row>
    <row r="2626" ht="11.25" customHeight="1">
      <c r="A2626" s="431" t="str">
        <f>IF(B2626="","", YEAR(B2626))</f>
        <v/>
      </c>
      <c r="B2626" s="432"/>
      <c r="C2626" s="433"/>
      <c r="D2626" s="433"/>
      <c r="E2626" s="434" t="str">
        <f t="shared" ref="E2626:I2626" si="1320">IFERROR(AVERAGE(L2626:L2629),"")</f>
        <v/>
      </c>
      <c r="F2626" s="434" t="str">
        <f t="shared" si="1320"/>
        <v/>
      </c>
      <c r="G2626" s="435" t="str">
        <f t="shared" si="1320"/>
        <v/>
      </c>
      <c r="H2626" s="435" t="str">
        <f t="shared" si="1320"/>
        <v/>
      </c>
      <c r="I2626" s="436" t="str">
        <f t="shared" si="1320"/>
        <v/>
      </c>
      <c r="J2626" s="437">
        <f>SUMIFS(PRODUCTION[KG],PRODUCTION[GRADE],"3X50",PRODUCTION[DATE],B2626,PRODUCTION[BATCH],C2626,PRODUCTION[SHIFT],D2626)</f>
        <v>0</v>
      </c>
      <c r="K2626" s="438" t="s">
        <v>1414</v>
      </c>
      <c r="L2626" s="443"/>
      <c r="M2626" s="440"/>
      <c r="N2626" s="441"/>
      <c r="O2626" s="441"/>
      <c r="P2626" s="442"/>
      <c r="Q2626" s="443"/>
      <c r="R2626" s="440"/>
      <c r="S2626" s="440"/>
      <c r="T2626" s="440"/>
      <c r="U2626" s="440"/>
      <c r="V2626" s="440"/>
      <c r="W2626" s="440"/>
      <c r="X2626" s="440"/>
      <c r="Y2626" s="444">
        <f t="shared" si="17"/>
        <v>0</v>
      </c>
      <c r="Z2626" s="445"/>
      <c r="AA2626" s="446">
        <f t="shared" ref="AA2626:AE2626" si="1321">$J2626*E2626</f>
        <v>0</v>
      </c>
      <c r="AB2626" s="447">
        <f t="shared" si="1321"/>
        <v>0</v>
      </c>
      <c r="AC2626" s="447">
        <f t="shared" si="1321"/>
        <v>0</v>
      </c>
      <c r="AD2626" s="447">
        <f t="shared" si="1321"/>
        <v>0</v>
      </c>
      <c r="AE2626" s="448">
        <f t="shared" si="1321"/>
        <v>0</v>
      </c>
      <c r="AF2626" s="449"/>
      <c r="AG2626" s="449"/>
      <c r="AH2626" s="449"/>
    </row>
    <row r="2627" ht="11.25" customHeight="1">
      <c r="A2627" s="450"/>
      <c r="B2627" s="451"/>
      <c r="C2627" s="452"/>
      <c r="D2627" s="452"/>
      <c r="E2627" s="453"/>
      <c r="F2627" s="453"/>
      <c r="G2627" s="454"/>
      <c r="H2627" s="454"/>
      <c r="I2627" s="455"/>
      <c r="J2627" s="456"/>
      <c r="K2627" s="457" t="s">
        <v>1416</v>
      </c>
      <c r="L2627" s="458"/>
      <c r="M2627" s="459"/>
      <c r="N2627" s="460"/>
      <c r="O2627" s="460"/>
      <c r="P2627" s="461"/>
      <c r="Q2627" s="458"/>
      <c r="R2627" s="459"/>
      <c r="S2627" s="459"/>
      <c r="T2627" s="459"/>
      <c r="U2627" s="459"/>
      <c r="V2627" s="459"/>
      <c r="W2627" s="459"/>
      <c r="X2627" s="459"/>
      <c r="Y2627" s="462">
        <f t="shared" si="17"/>
        <v>0</v>
      </c>
      <c r="Z2627" s="463"/>
      <c r="AA2627" s="464"/>
      <c r="AB2627" s="465"/>
      <c r="AC2627" s="465"/>
      <c r="AD2627" s="465"/>
      <c r="AE2627" s="466"/>
      <c r="AF2627" s="449"/>
      <c r="AG2627" s="449"/>
      <c r="AH2627" s="449"/>
    </row>
    <row r="2628" ht="11.25" customHeight="1">
      <c r="A2628" s="450"/>
      <c r="B2628" s="451"/>
      <c r="C2628" s="452"/>
      <c r="D2628" s="452"/>
      <c r="E2628" s="453"/>
      <c r="F2628" s="453"/>
      <c r="G2628" s="454"/>
      <c r="H2628" s="454"/>
      <c r="I2628" s="455"/>
      <c r="J2628" s="456"/>
      <c r="K2628" s="467" t="s">
        <v>1417</v>
      </c>
      <c r="L2628" s="468"/>
      <c r="M2628" s="469"/>
      <c r="N2628" s="470"/>
      <c r="O2628" s="470"/>
      <c r="P2628" s="471"/>
      <c r="Q2628" s="468"/>
      <c r="R2628" s="469"/>
      <c r="S2628" s="469"/>
      <c r="T2628" s="469"/>
      <c r="U2628" s="469"/>
      <c r="V2628" s="469"/>
      <c r="W2628" s="469"/>
      <c r="X2628" s="469"/>
      <c r="Y2628" s="462">
        <f t="shared" si="17"/>
        <v>0</v>
      </c>
      <c r="Z2628" s="463"/>
      <c r="AA2628" s="464"/>
      <c r="AB2628" s="465"/>
      <c r="AC2628" s="465"/>
      <c r="AD2628" s="465"/>
      <c r="AE2628" s="466"/>
      <c r="AF2628" s="449"/>
      <c r="AG2628" s="449"/>
      <c r="AH2628" s="449"/>
    </row>
    <row r="2629" ht="11.25" customHeight="1">
      <c r="A2629" s="450"/>
      <c r="B2629" s="472"/>
      <c r="C2629" s="473"/>
      <c r="D2629" s="473"/>
      <c r="E2629" s="474"/>
      <c r="F2629" s="474"/>
      <c r="G2629" s="475"/>
      <c r="H2629" s="475"/>
      <c r="I2629" s="476"/>
      <c r="J2629" s="477"/>
      <c r="K2629" s="478" t="s">
        <v>1418</v>
      </c>
      <c r="L2629" s="479"/>
      <c r="M2629" s="480"/>
      <c r="N2629" s="481"/>
      <c r="O2629" s="481"/>
      <c r="P2629" s="482"/>
      <c r="Q2629" s="479"/>
      <c r="R2629" s="480"/>
      <c r="S2629" s="480"/>
      <c r="T2629" s="480"/>
      <c r="U2629" s="480"/>
      <c r="V2629" s="480"/>
      <c r="W2629" s="480"/>
      <c r="X2629" s="480"/>
      <c r="Y2629" s="483">
        <f t="shared" si="17"/>
        <v>0</v>
      </c>
      <c r="Z2629" s="484"/>
      <c r="AA2629" s="485"/>
      <c r="AB2629" s="486"/>
      <c r="AC2629" s="486"/>
      <c r="AD2629" s="486"/>
      <c r="AE2629" s="487"/>
      <c r="AF2629" s="449"/>
      <c r="AG2629" s="449"/>
      <c r="AH2629" s="449"/>
    </row>
    <row r="2630" ht="11.25" customHeight="1">
      <c r="A2630" s="431" t="str">
        <f>IF(B2630="","", YEAR(B2630))</f>
        <v/>
      </c>
      <c r="B2630" s="432"/>
      <c r="C2630" s="433"/>
      <c r="D2630" s="433"/>
      <c r="E2630" s="434" t="str">
        <f t="shared" ref="E2630:I2630" si="1322">IFERROR(AVERAGE(L2630:L2633),"")</f>
        <v/>
      </c>
      <c r="F2630" s="434" t="str">
        <f t="shared" si="1322"/>
        <v/>
      </c>
      <c r="G2630" s="435" t="str">
        <f t="shared" si="1322"/>
        <v/>
      </c>
      <c r="H2630" s="435" t="str">
        <f t="shared" si="1322"/>
        <v/>
      </c>
      <c r="I2630" s="436" t="str">
        <f t="shared" si="1322"/>
        <v/>
      </c>
      <c r="J2630" s="437">
        <f>SUMIFS(PRODUCTION[KG],PRODUCTION[GRADE],"3X50",PRODUCTION[DATE],B2630,PRODUCTION[BATCH],C2630,PRODUCTION[SHIFT],D2630)</f>
        <v>0</v>
      </c>
      <c r="K2630" s="438" t="s">
        <v>1414</v>
      </c>
      <c r="L2630" s="443"/>
      <c r="M2630" s="440"/>
      <c r="N2630" s="441"/>
      <c r="O2630" s="441"/>
      <c r="P2630" s="442"/>
      <c r="Q2630" s="443"/>
      <c r="R2630" s="440"/>
      <c r="S2630" s="440"/>
      <c r="T2630" s="440"/>
      <c r="U2630" s="440"/>
      <c r="V2630" s="440"/>
      <c r="W2630" s="440"/>
      <c r="X2630" s="440"/>
      <c r="Y2630" s="444">
        <f t="shared" si="17"/>
        <v>0</v>
      </c>
      <c r="Z2630" s="445"/>
      <c r="AA2630" s="446">
        <f t="shared" ref="AA2630:AE2630" si="1323">$J2630*E2630</f>
        <v>0</v>
      </c>
      <c r="AB2630" s="447">
        <f t="shared" si="1323"/>
        <v>0</v>
      </c>
      <c r="AC2630" s="447">
        <f t="shared" si="1323"/>
        <v>0</v>
      </c>
      <c r="AD2630" s="447">
        <f t="shared" si="1323"/>
        <v>0</v>
      </c>
      <c r="AE2630" s="448">
        <f t="shared" si="1323"/>
        <v>0</v>
      </c>
      <c r="AF2630" s="449"/>
      <c r="AG2630" s="449"/>
      <c r="AH2630" s="449"/>
    </row>
    <row r="2631" ht="11.25" customHeight="1">
      <c r="A2631" s="450"/>
      <c r="B2631" s="451"/>
      <c r="C2631" s="452"/>
      <c r="D2631" s="452"/>
      <c r="E2631" s="453"/>
      <c r="F2631" s="453"/>
      <c r="G2631" s="454"/>
      <c r="H2631" s="454"/>
      <c r="I2631" s="455"/>
      <c r="J2631" s="456"/>
      <c r="K2631" s="457" t="s">
        <v>1416</v>
      </c>
      <c r="L2631" s="458"/>
      <c r="M2631" s="459"/>
      <c r="N2631" s="460"/>
      <c r="O2631" s="460"/>
      <c r="P2631" s="461"/>
      <c r="Q2631" s="458"/>
      <c r="R2631" s="459"/>
      <c r="S2631" s="459"/>
      <c r="T2631" s="459"/>
      <c r="U2631" s="459"/>
      <c r="V2631" s="459"/>
      <c r="W2631" s="459"/>
      <c r="X2631" s="459"/>
      <c r="Y2631" s="462">
        <f t="shared" si="17"/>
        <v>0</v>
      </c>
      <c r="Z2631" s="463"/>
      <c r="AA2631" s="464"/>
      <c r="AB2631" s="465"/>
      <c r="AC2631" s="465"/>
      <c r="AD2631" s="465"/>
      <c r="AE2631" s="466"/>
      <c r="AF2631" s="449"/>
      <c r="AG2631" s="449"/>
      <c r="AH2631" s="449"/>
    </row>
    <row r="2632" ht="11.25" customHeight="1">
      <c r="A2632" s="450"/>
      <c r="B2632" s="451"/>
      <c r="C2632" s="452"/>
      <c r="D2632" s="452"/>
      <c r="E2632" s="453"/>
      <c r="F2632" s="453"/>
      <c r="G2632" s="454"/>
      <c r="H2632" s="454"/>
      <c r="I2632" s="455"/>
      <c r="J2632" s="456"/>
      <c r="K2632" s="467" t="s">
        <v>1417</v>
      </c>
      <c r="L2632" s="468"/>
      <c r="M2632" s="469"/>
      <c r="N2632" s="470"/>
      <c r="O2632" s="470"/>
      <c r="P2632" s="471"/>
      <c r="Q2632" s="468"/>
      <c r="R2632" s="469"/>
      <c r="S2632" s="469"/>
      <c r="T2632" s="469"/>
      <c r="U2632" s="469"/>
      <c r="V2632" s="469"/>
      <c r="W2632" s="469"/>
      <c r="X2632" s="469"/>
      <c r="Y2632" s="462">
        <f t="shared" si="17"/>
        <v>0</v>
      </c>
      <c r="Z2632" s="463"/>
      <c r="AA2632" s="464"/>
      <c r="AB2632" s="465"/>
      <c r="AC2632" s="465"/>
      <c r="AD2632" s="465"/>
      <c r="AE2632" s="466"/>
      <c r="AF2632" s="449"/>
      <c r="AG2632" s="449"/>
      <c r="AH2632" s="449"/>
    </row>
    <row r="2633" ht="11.25" customHeight="1">
      <c r="A2633" s="450"/>
      <c r="B2633" s="472"/>
      <c r="C2633" s="473"/>
      <c r="D2633" s="473"/>
      <c r="E2633" s="474"/>
      <c r="F2633" s="474"/>
      <c r="G2633" s="475"/>
      <c r="H2633" s="475"/>
      <c r="I2633" s="476"/>
      <c r="J2633" s="477"/>
      <c r="K2633" s="478" t="s">
        <v>1418</v>
      </c>
      <c r="L2633" s="479"/>
      <c r="M2633" s="480"/>
      <c r="N2633" s="481"/>
      <c r="O2633" s="481"/>
      <c r="P2633" s="482"/>
      <c r="Q2633" s="479"/>
      <c r="R2633" s="480"/>
      <c r="S2633" s="480"/>
      <c r="T2633" s="480"/>
      <c r="U2633" s="480"/>
      <c r="V2633" s="480"/>
      <c r="W2633" s="480"/>
      <c r="X2633" s="480"/>
      <c r="Y2633" s="483">
        <f t="shared" si="17"/>
        <v>0</v>
      </c>
      <c r="Z2633" s="484"/>
      <c r="AA2633" s="485"/>
      <c r="AB2633" s="486"/>
      <c r="AC2633" s="486"/>
      <c r="AD2633" s="486"/>
      <c r="AE2633" s="487"/>
      <c r="AF2633" s="449"/>
      <c r="AG2633" s="449"/>
      <c r="AH2633" s="449"/>
    </row>
    <row r="2634" ht="11.25" customHeight="1">
      <c r="A2634" s="431" t="str">
        <f>IF(B2634="","", YEAR(B2634))</f>
        <v/>
      </c>
      <c r="B2634" s="432"/>
      <c r="C2634" s="433"/>
      <c r="D2634" s="433"/>
      <c r="E2634" s="434" t="str">
        <f t="shared" ref="E2634:I2634" si="1324">IFERROR(AVERAGE(L2634:L2637),"")</f>
        <v/>
      </c>
      <c r="F2634" s="434" t="str">
        <f t="shared" si="1324"/>
        <v/>
      </c>
      <c r="G2634" s="435" t="str">
        <f t="shared" si="1324"/>
        <v/>
      </c>
      <c r="H2634" s="435" t="str">
        <f t="shared" si="1324"/>
        <v/>
      </c>
      <c r="I2634" s="436" t="str">
        <f t="shared" si="1324"/>
        <v/>
      </c>
      <c r="J2634" s="437">
        <f>SUMIFS(PRODUCTION[KG],PRODUCTION[GRADE],"3X50",PRODUCTION[DATE],B2634,PRODUCTION[BATCH],C2634,PRODUCTION[SHIFT],D2634)</f>
        <v>0</v>
      </c>
      <c r="K2634" s="438" t="s">
        <v>1414</v>
      </c>
      <c r="L2634" s="443"/>
      <c r="M2634" s="440"/>
      <c r="N2634" s="441"/>
      <c r="O2634" s="441"/>
      <c r="P2634" s="442"/>
      <c r="Q2634" s="443"/>
      <c r="R2634" s="440"/>
      <c r="S2634" s="440"/>
      <c r="T2634" s="440"/>
      <c r="U2634" s="440"/>
      <c r="V2634" s="440"/>
      <c r="W2634" s="440"/>
      <c r="X2634" s="440"/>
      <c r="Y2634" s="444">
        <f t="shared" si="17"/>
        <v>0</v>
      </c>
      <c r="Z2634" s="445"/>
      <c r="AA2634" s="446">
        <f t="shared" ref="AA2634:AE2634" si="1325">$J2634*E2634</f>
        <v>0</v>
      </c>
      <c r="AB2634" s="447">
        <f t="shared" si="1325"/>
        <v>0</v>
      </c>
      <c r="AC2634" s="447">
        <f t="shared" si="1325"/>
        <v>0</v>
      </c>
      <c r="AD2634" s="447">
        <f t="shared" si="1325"/>
        <v>0</v>
      </c>
      <c r="AE2634" s="448">
        <f t="shared" si="1325"/>
        <v>0</v>
      </c>
      <c r="AF2634" s="449"/>
      <c r="AG2634" s="449"/>
      <c r="AH2634" s="449"/>
    </row>
    <row r="2635" ht="11.25" customHeight="1">
      <c r="A2635" s="450"/>
      <c r="B2635" s="451"/>
      <c r="C2635" s="452"/>
      <c r="D2635" s="452"/>
      <c r="E2635" s="453"/>
      <c r="F2635" s="453"/>
      <c r="G2635" s="454"/>
      <c r="H2635" s="454"/>
      <c r="I2635" s="455"/>
      <c r="J2635" s="456"/>
      <c r="K2635" s="457" t="s">
        <v>1416</v>
      </c>
      <c r="L2635" s="458"/>
      <c r="M2635" s="459"/>
      <c r="N2635" s="460"/>
      <c r="O2635" s="460"/>
      <c r="P2635" s="461"/>
      <c r="Q2635" s="458"/>
      <c r="R2635" s="459"/>
      <c r="S2635" s="459"/>
      <c r="T2635" s="459"/>
      <c r="U2635" s="459"/>
      <c r="V2635" s="459"/>
      <c r="W2635" s="459"/>
      <c r="X2635" s="459"/>
      <c r="Y2635" s="462">
        <f t="shared" si="17"/>
        <v>0</v>
      </c>
      <c r="Z2635" s="463"/>
      <c r="AA2635" s="464"/>
      <c r="AB2635" s="465"/>
      <c r="AC2635" s="465"/>
      <c r="AD2635" s="465"/>
      <c r="AE2635" s="466"/>
      <c r="AF2635" s="449"/>
      <c r="AG2635" s="449"/>
      <c r="AH2635" s="449"/>
    </row>
    <row r="2636" ht="11.25" customHeight="1">
      <c r="A2636" s="450"/>
      <c r="B2636" s="451"/>
      <c r="C2636" s="452"/>
      <c r="D2636" s="452"/>
      <c r="E2636" s="453"/>
      <c r="F2636" s="453"/>
      <c r="G2636" s="454"/>
      <c r="H2636" s="454"/>
      <c r="I2636" s="455"/>
      <c r="J2636" s="456"/>
      <c r="K2636" s="467" t="s">
        <v>1417</v>
      </c>
      <c r="L2636" s="468"/>
      <c r="M2636" s="469"/>
      <c r="N2636" s="470"/>
      <c r="O2636" s="470"/>
      <c r="P2636" s="471"/>
      <c r="Q2636" s="468"/>
      <c r="R2636" s="469"/>
      <c r="S2636" s="469"/>
      <c r="T2636" s="469"/>
      <c r="U2636" s="469"/>
      <c r="V2636" s="469"/>
      <c r="W2636" s="469"/>
      <c r="X2636" s="469"/>
      <c r="Y2636" s="462">
        <f t="shared" si="17"/>
        <v>0</v>
      </c>
      <c r="Z2636" s="463"/>
      <c r="AA2636" s="464"/>
      <c r="AB2636" s="465"/>
      <c r="AC2636" s="465"/>
      <c r="AD2636" s="465"/>
      <c r="AE2636" s="466"/>
      <c r="AF2636" s="449"/>
      <c r="AG2636" s="449"/>
      <c r="AH2636" s="449"/>
    </row>
    <row r="2637" ht="11.25" customHeight="1">
      <c r="A2637" s="450"/>
      <c r="B2637" s="472"/>
      <c r="C2637" s="473"/>
      <c r="D2637" s="473"/>
      <c r="E2637" s="474"/>
      <c r="F2637" s="474"/>
      <c r="G2637" s="475"/>
      <c r="H2637" s="475"/>
      <c r="I2637" s="476"/>
      <c r="J2637" s="477"/>
      <c r="K2637" s="478" t="s">
        <v>1418</v>
      </c>
      <c r="L2637" s="479"/>
      <c r="M2637" s="480"/>
      <c r="N2637" s="481"/>
      <c r="O2637" s="481"/>
      <c r="P2637" s="482"/>
      <c r="Q2637" s="479"/>
      <c r="R2637" s="480"/>
      <c r="S2637" s="480"/>
      <c r="T2637" s="480"/>
      <c r="U2637" s="480"/>
      <c r="V2637" s="480"/>
      <c r="W2637" s="480"/>
      <c r="X2637" s="480"/>
      <c r="Y2637" s="483">
        <f t="shared" si="17"/>
        <v>0</v>
      </c>
      <c r="Z2637" s="484"/>
      <c r="AA2637" s="485"/>
      <c r="AB2637" s="486"/>
      <c r="AC2637" s="486"/>
      <c r="AD2637" s="486"/>
      <c r="AE2637" s="487"/>
      <c r="AF2637" s="449"/>
      <c r="AG2637" s="449"/>
      <c r="AH2637" s="449"/>
    </row>
    <row r="2638" ht="11.25" customHeight="1">
      <c r="A2638" s="431" t="str">
        <f>IF(B2638="","", YEAR(B2638))</f>
        <v/>
      </c>
      <c r="B2638" s="432"/>
      <c r="C2638" s="433"/>
      <c r="D2638" s="433"/>
      <c r="E2638" s="434" t="str">
        <f t="shared" ref="E2638:I2638" si="1326">IFERROR(AVERAGE(L2638:L2641),"")</f>
        <v/>
      </c>
      <c r="F2638" s="434" t="str">
        <f t="shared" si="1326"/>
        <v/>
      </c>
      <c r="G2638" s="435" t="str">
        <f t="shared" si="1326"/>
        <v/>
      </c>
      <c r="H2638" s="435" t="str">
        <f t="shared" si="1326"/>
        <v/>
      </c>
      <c r="I2638" s="436" t="str">
        <f t="shared" si="1326"/>
        <v/>
      </c>
      <c r="J2638" s="437">
        <f>SUMIFS(PRODUCTION[KG],PRODUCTION[GRADE],"3X50",PRODUCTION[DATE],B2638,PRODUCTION[BATCH],C2638,PRODUCTION[SHIFT],D2638)</f>
        <v>0</v>
      </c>
      <c r="K2638" s="438" t="s">
        <v>1414</v>
      </c>
      <c r="L2638" s="443"/>
      <c r="M2638" s="440"/>
      <c r="N2638" s="441"/>
      <c r="O2638" s="441"/>
      <c r="P2638" s="442"/>
      <c r="Q2638" s="443"/>
      <c r="R2638" s="440"/>
      <c r="S2638" s="440"/>
      <c r="T2638" s="440"/>
      <c r="U2638" s="440"/>
      <c r="V2638" s="440"/>
      <c r="W2638" s="440"/>
      <c r="X2638" s="440"/>
      <c r="Y2638" s="444">
        <f t="shared" si="17"/>
        <v>0</v>
      </c>
      <c r="Z2638" s="445"/>
      <c r="AA2638" s="446">
        <f t="shared" ref="AA2638:AE2638" si="1327">$J2638*E2638</f>
        <v>0</v>
      </c>
      <c r="AB2638" s="447">
        <f t="shared" si="1327"/>
        <v>0</v>
      </c>
      <c r="AC2638" s="447">
        <f t="shared" si="1327"/>
        <v>0</v>
      </c>
      <c r="AD2638" s="447">
        <f t="shared" si="1327"/>
        <v>0</v>
      </c>
      <c r="AE2638" s="448">
        <f t="shared" si="1327"/>
        <v>0</v>
      </c>
      <c r="AF2638" s="449"/>
      <c r="AG2638" s="449"/>
      <c r="AH2638" s="449"/>
    </row>
    <row r="2639" ht="11.25" customHeight="1">
      <c r="A2639" s="450"/>
      <c r="B2639" s="451"/>
      <c r="C2639" s="452"/>
      <c r="D2639" s="452"/>
      <c r="E2639" s="453"/>
      <c r="F2639" s="453"/>
      <c r="G2639" s="454"/>
      <c r="H2639" s="454"/>
      <c r="I2639" s="455"/>
      <c r="J2639" s="456"/>
      <c r="K2639" s="457" t="s">
        <v>1416</v>
      </c>
      <c r="L2639" s="458"/>
      <c r="M2639" s="459"/>
      <c r="N2639" s="460"/>
      <c r="O2639" s="460"/>
      <c r="P2639" s="461"/>
      <c r="Q2639" s="458"/>
      <c r="R2639" s="459"/>
      <c r="S2639" s="459"/>
      <c r="T2639" s="459"/>
      <c r="U2639" s="459"/>
      <c r="V2639" s="459"/>
      <c r="W2639" s="459"/>
      <c r="X2639" s="459"/>
      <c r="Y2639" s="462">
        <f t="shared" si="17"/>
        <v>0</v>
      </c>
      <c r="Z2639" s="463"/>
      <c r="AA2639" s="464"/>
      <c r="AB2639" s="465"/>
      <c r="AC2639" s="465"/>
      <c r="AD2639" s="465"/>
      <c r="AE2639" s="466"/>
      <c r="AF2639" s="449"/>
      <c r="AG2639" s="449"/>
      <c r="AH2639" s="449"/>
    </row>
    <row r="2640" ht="11.25" customHeight="1">
      <c r="A2640" s="450"/>
      <c r="B2640" s="451"/>
      <c r="C2640" s="452"/>
      <c r="D2640" s="452"/>
      <c r="E2640" s="453"/>
      <c r="F2640" s="453"/>
      <c r="G2640" s="454"/>
      <c r="H2640" s="454"/>
      <c r="I2640" s="455"/>
      <c r="J2640" s="456"/>
      <c r="K2640" s="467" t="s">
        <v>1417</v>
      </c>
      <c r="L2640" s="468"/>
      <c r="M2640" s="469"/>
      <c r="N2640" s="470"/>
      <c r="O2640" s="470"/>
      <c r="P2640" s="471"/>
      <c r="Q2640" s="468"/>
      <c r="R2640" s="469"/>
      <c r="S2640" s="469"/>
      <c r="T2640" s="469"/>
      <c r="U2640" s="469"/>
      <c r="V2640" s="469"/>
      <c r="W2640" s="469"/>
      <c r="X2640" s="469"/>
      <c r="Y2640" s="462">
        <f t="shared" si="17"/>
        <v>0</v>
      </c>
      <c r="Z2640" s="463"/>
      <c r="AA2640" s="464"/>
      <c r="AB2640" s="465"/>
      <c r="AC2640" s="465"/>
      <c r="AD2640" s="465"/>
      <c r="AE2640" s="466"/>
      <c r="AF2640" s="449"/>
      <c r="AG2640" s="449"/>
      <c r="AH2640" s="449"/>
    </row>
    <row r="2641" ht="11.25" customHeight="1">
      <c r="A2641" s="450"/>
      <c r="B2641" s="472"/>
      <c r="C2641" s="473"/>
      <c r="D2641" s="473"/>
      <c r="E2641" s="474"/>
      <c r="F2641" s="474"/>
      <c r="G2641" s="475"/>
      <c r="H2641" s="475"/>
      <c r="I2641" s="476"/>
      <c r="J2641" s="477"/>
      <c r="K2641" s="478" t="s">
        <v>1418</v>
      </c>
      <c r="L2641" s="479"/>
      <c r="M2641" s="480"/>
      <c r="N2641" s="481"/>
      <c r="O2641" s="481"/>
      <c r="P2641" s="482"/>
      <c r="Q2641" s="479"/>
      <c r="R2641" s="480"/>
      <c r="S2641" s="480"/>
      <c r="T2641" s="480"/>
      <c r="U2641" s="480"/>
      <c r="V2641" s="480"/>
      <c r="W2641" s="480"/>
      <c r="X2641" s="480"/>
      <c r="Y2641" s="483">
        <f t="shared" si="17"/>
        <v>0</v>
      </c>
      <c r="Z2641" s="484"/>
      <c r="AA2641" s="485"/>
      <c r="AB2641" s="486"/>
      <c r="AC2641" s="486"/>
      <c r="AD2641" s="486"/>
      <c r="AE2641" s="487"/>
      <c r="AF2641" s="449"/>
      <c r="AG2641" s="449"/>
      <c r="AH2641" s="449"/>
    </row>
    <row r="2642" ht="11.25" customHeight="1">
      <c r="A2642" s="431" t="str">
        <f>IF(B2642="","", YEAR(B2642))</f>
        <v/>
      </c>
      <c r="B2642" s="432"/>
      <c r="C2642" s="433"/>
      <c r="D2642" s="433"/>
      <c r="E2642" s="434" t="str">
        <f t="shared" ref="E2642:I2642" si="1328">IFERROR(AVERAGE(L2642:L2645),"")</f>
        <v/>
      </c>
      <c r="F2642" s="434" t="str">
        <f t="shared" si="1328"/>
        <v/>
      </c>
      <c r="G2642" s="435" t="str">
        <f t="shared" si="1328"/>
        <v/>
      </c>
      <c r="H2642" s="435" t="str">
        <f t="shared" si="1328"/>
        <v/>
      </c>
      <c r="I2642" s="436" t="str">
        <f t="shared" si="1328"/>
        <v/>
      </c>
      <c r="J2642" s="437">
        <f>SUMIFS(PRODUCTION[KG],PRODUCTION[GRADE],"3X50",PRODUCTION[DATE],B2642,PRODUCTION[BATCH],C2642,PRODUCTION[SHIFT],D2642)</f>
        <v>0</v>
      </c>
      <c r="K2642" s="438" t="s">
        <v>1414</v>
      </c>
      <c r="L2642" s="443"/>
      <c r="M2642" s="440"/>
      <c r="N2642" s="441"/>
      <c r="O2642" s="441"/>
      <c r="P2642" s="442"/>
      <c r="Q2642" s="443"/>
      <c r="R2642" s="440"/>
      <c r="S2642" s="440"/>
      <c r="T2642" s="440"/>
      <c r="U2642" s="440"/>
      <c r="V2642" s="440"/>
      <c r="W2642" s="440"/>
      <c r="X2642" s="440"/>
      <c r="Y2642" s="444">
        <f t="shared" si="17"/>
        <v>0</v>
      </c>
      <c r="Z2642" s="445"/>
      <c r="AA2642" s="446">
        <f t="shared" ref="AA2642:AE2642" si="1329">$J2642*E2642</f>
        <v>0</v>
      </c>
      <c r="AB2642" s="447">
        <f t="shared" si="1329"/>
        <v>0</v>
      </c>
      <c r="AC2642" s="447">
        <f t="shared" si="1329"/>
        <v>0</v>
      </c>
      <c r="AD2642" s="447">
        <f t="shared" si="1329"/>
        <v>0</v>
      </c>
      <c r="AE2642" s="448">
        <f t="shared" si="1329"/>
        <v>0</v>
      </c>
      <c r="AF2642" s="449"/>
      <c r="AG2642" s="449"/>
      <c r="AH2642" s="449"/>
    </row>
    <row r="2643" ht="11.25" customHeight="1">
      <c r="A2643" s="450"/>
      <c r="B2643" s="451"/>
      <c r="C2643" s="452"/>
      <c r="D2643" s="452"/>
      <c r="E2643" s="453"/>
      <c r="F2643" s="453"/>
      <c r="G2643" s="454"/>
      <c r="H2643" s="454"/>
      <c r="I2643" s="455"/>
      <c r="J2643" s="456"/>
      <c r="K2643" s="457" t="s">
        <v>1416</v>
      </c>
      <c r="L2643" s="458"/>
      <c r="M2643" s="459"/>
      <c r="N2643" s="460"/>
      <c r="O2643" s="460"/>
      <c r="P2643" s="461"/>
      <c r="Q2643" s="458"/>
      <c r="R2643" s="459"/>
      <c r="S2643" s="459"/>
      <c r="T2643" s="459"/>
      <c r="U2643" s="459"/>
      <c r="V2643" s="459"/>
      <c r="W2643" s="459"/>
      <c r="X2643" s="459"/>
      <c r="Y2643" s="462">
        <f t="shared" si="17"/>
        <v>0</v>
      </c>
      <c r="Z2643" s="463"/>
      <c r="AA2643" s="464"/>
      <c r="AB2643" s="465"/>
      <c r="AC2643" s="465"/>
      <c r="AD2643" s="465"/>
      <c r="AE2643" s="466"/>
      <c r="AF2643" s="449"/>
      <c r="AG2643" s="449"/>
      <c r="AH2643" s="449"/>
    </row>
    <row r="2644" ht="11.25" customHeight="1">
      <c r="A2644" s="450"/>
      <c r="B2644" s="451"/>
      <c r="C2644" s="452"/>
      <c r="D2644" s="452"/>
      <c r="E2644" s="453"/>
      <c r="F2644" s="453"/>
      <c r="G2644" s="454"/>
      <c r="H2644" s="454"/>
      <c r="I2644" s="455"/>
      <c r="J2644" s="456"/>
      <c r="K2644" s="467" t="s">
        <v>1417</v>
      </c>
      <c r="L2644" s="468"/>
      <c r="M2644" s="469"/>
      <c r="N2644" s="470"/>
      <c r="O2644" s="470"/>
      <c r="P2644" s="471"/>
      <c r="Q2644" s="468"/>
      <c r="R2644" s="469"/>
      <c r="S2644" s="469"/>
      <c r="T2644" s="469"/>
      <c r="U2644" s="469"/>
      <c r="V2644" s="469"/>
      <c r="W2644" s="469"/>
      <c r="X2644" s="469"/>
      <c r="Y2644" s="462">
        <f t="shared" si="17"/>
        <v>0</v>
      </c>
      <c r="Z2644" s="463"/>
      <c r="AA2644" s="464"/>
      <c r="AB2644" s="465"/>
      <c r="AC2644" s="465"/>
      <c r="AD2644" s="465"/>
      <c r="AE2644" s="466"/>
      <c r="AF2644" s="449"/>
      <c r="AG2644" s="449"/>
      <c r="AH2644" s="449"/>
    </row>
    <row r="2645" ht="11.25" customHeight="1">
      <c r="A2645" s="450"/>
      <c r="B2645" s="472"/>
      <c r="C2645" s="473"/>
      <c r="D2645" s="473"/>
      <c r="E2645" s="474"/>
      <c r="F2645" s="474"/>
      <c r="G2645" s="475"/>
      <c r="H2645" s="475"/>
      <c r="I2645" s="476"/>
      <c r="J2645" s="477"/>
      <c r="K2645" s="478" t="s">
        <v>1418</v>
      </c>
      <c r="L2645" s="479"/>
      <c r="M2645" s="480"/>
      <c r="N2645" s="481"/>
      <c r="O2645" s="481"/>
      <c r="P2645" s="482"/>
      <c r="Q2645" s="479"/>
      <c r="R2645" s="480"/>
      <c r="S2645" s="480"/>
      <c r="T2645" s="480"/>
      <c r="U2645" s="480"/>
      <c r="V2645" s="480"/>
      <c r="W2645" s="480"/>
      <c r="X2645" s="480"/>
      <c r="Y2645" s="483">
        <f t="shared" si="17"/>
        <v>0</v>
      </c>
      <c r="Z2645" s="484"/>
      <c r="AA2645" s="485"/>
      <c r="AB2645" s="486"/>
      <c r="AC2645" s="486"/>
      <c r="AD2645" s="486"/>
      <c r="AE2645" s="487"/>
      <c r="AF2645" s="449"/>
      <c r="AG2645" s="449"/>
      <c r="AH2645" s="449"/>
    </row>
    <row r="2646" ht="11.25" customHeight="1">
      <c r="A2646" s="431" t="str">
        <f>IF(B2646="","", YEAR(B2646))</f>
        <v/>
      </c>
      <c r="B2646" s="432"/>
      <c r="C2646" s="433"/>
      <c r="D2646" s="433"/>
      <c r="E2646" s="434" t="str">
        <f t="shared" ref="E2646:I2646" si="1330">IFERROR(AVERAGE(L2646:L2649),"")</f>
        <v/>
      </c>
      <c r="F2646" s="434" t="str">
        <f t="shared" si="1330"/>
        <v/>
      </c>
      <c r="G2646" s="435" t="str">
        <f t="shared" si="1330"/>
        <v/>
      </c>
      <c r="H2646" s="435" t="str">
        <f t="shared" si="1330"/>
        <v/>
      </c>
      <c r="I2646" s="436" t="str">
        <f t="shared" si="1330"/>
        <v/>
      </c>
      <c r="J2646" s="437">
        <f>SUMIFS(PRODUCTION[KG],PRODUCTION[GRADE],"3X50",PRODUCTION[DATE],B2646,PRODUCTION[BATCH],C2646,PRODUCTION[SHIFT],D2646)</f>
        <v>0</v>
      </c>
      <c r="K2646" s="438" t="s">
        <v>1414</v>
      </c>
      <c r="L2646" s="443"/>
      <c r="M2646" s="440"/>
      <c r="N2646" s="441"/>
      <c r="O2646" s="441"/>
      <c r="P2646" s="442"/>
      <c r="Q2646" s="443"/>
      <c r="R2646" s="440"/>
      <c r="S2646" s="440"/>
      <c r="T2646" s="440"/>
      <c r="U2646" s="440"/>
      <c r="V2646" s="440"/>
      <c r="W2646" s="440"/>
      <c r="X2646" s="440"/>
      <c r="Y2646" s="444">
        <f t="shared" si="17"/>
        <v>0</v>
      </c>
      <c r="Z2646" s="445"/>
      <c r="AA2646" s="446">
        <f t="shared" ref="AA2646:AE2646" si="1331">$J2646*E2646</f>
        <v>0</v>
      </c>
      <c r="AB2646" s="447">
        <f t="shared" si="1331"/>
        <v>0</v>
      </c>
      <c r="AC2646" s="447">
        <f t="shared" si="1331"/>
        <v>0</v>
      </c>
      <c r="AD2646" s="447">
        <f t="shared" si="1331"/>
        <v>0</v>
      </c>
      <c r="AE2646" s="448">
        <f t="shared" si="1331"/>
        <v>0</v>
      </c>
      <c r="AF2646" s="449"/>
      <c r="AG2646" s="449"/>
      <c r="AH2646" s="449"/>
    </row>
    <row r="2647" ht="11.25" customHeight="1">
      <c r="A2647" s="450"/>
      <c r="B2647" s="451"/>
      <c r="C2647" s="452"/>
      <c r="D2647" s="452"/>
      <c r="E2647" s="453"/>
      <c r="F2647" s="453"/>
      <c r="G2647" s="454"/>
      <c r="H2647" s="454"/>
      <c r="I2647" s="455"/>
      <c r="J2647" s="456"/>
      <c r="K2647" s="457" t="s">
        <v>1416</v>
      </c>
      <c r="L2647" s="458"/>
      <c r="M2647" s="459"/>
      <c r="N2647" s="460"/>
      <c r="O2647" s="460"/>
      <c r="P2647" s="461"/>
      <c r="Q2647" s="458"/>
      <c r="R2647" s="459"/>
      <c r="S2647" s="459"/>
      <c r="T2647" s="459"/>
      <c r="U2647" s="459"/>
      <c r="V2647" s="459"/>
      <c r="W2647" s="459"/>
      <c r="X2647" s="459"/>
      <c r="Y2647" s="462">
        <f t="shared" si="17"/>
        <v>0</v>
      </c>
      <c r="Z2647" s="463"/>
      <c r="AA2647" s="464"/>
      <c r="AB2647" s="465"/>
      <c r="AC2647" s="465"/>
      <c r="AD2647" s="465"/>
      <c r="AE2647" s="466"/>
      <c r="AF2647" s="449"/>
      <c r="AG2647" s="449"/>
      <c r="AH2647" s="449"/>
    </row>
    <row r="2648" ht="11.25" customHeight="1">
      <c r="A2648" s="450"/>
      <c r="B2648" s="451"/>
      <c r="C2648" s="452"/>
      <c r="D2648" s="452"/>
      <c r="E2648" s="453"/>
      <c r="F2648" s="453"/>
      <c r="G2648" s="454"/>
      <c r="H2648" s="454"/>
      <c r="I2648" s="455"/>
      <c r="J2648" s="456"/>
      <c r="K2648" s="467" t="s">
        <v>1417</v>
      </c>
      <c r="L2648" s="468"/>
      <c r="M2648" s="469"/>
      <c r="N2648" s="470"/>
      <c r="O2648" s="470"/>
      <c r="P2648" s="471"/>
      <c r="Q2648" s="468"/>
      <c r="R2648" s="469"/>
      <c r="S2648" s="469"/>
      <c r="T2648" s="469"/>
      <c r="U2648" s="469"/>
      <c r="V2648" s="469"/>
      <c r="W2648" s="469"/>
      <c r="X2648" s="469"/>
      <c r="Y2648" s="462">
        <f t="shared" si="17"/>
        <v>0</v>
      </c>
      <c r="Z2648" s="463"/>
      <c r="AA2648" s="464"/>
      <c r="AB2648" s="465"/>
      <c r="AC2648" s="465"/>
      <c r="AD2648" s="465"/>
      <c r="AE2648" s="466"/>
      <c r="AF2648" s="449"/>
      <c r="AG2648" s="449"/>
      <c r="AH2648" s="449"/>
    </row>
    <row r="2649" ht="11.25" customHeight="1">
      <c r="A2649" s="450"/>
      <c r="B2649" s="472"/>
      <c r="C2649" s="473"/>
      <c r="D2649" s="473"/>
      <c r="E2649" s="474"/>
      <c r="F2649" s="474"/>
      <c r="G2649" s="475"/>
      <c r="H2649" s="475"/>
      <c r="I2649" s="476"/>
      <c r="J2649" s="477"/>
      <c r="K2649" s="478" t="s">
        <v>1418</v>
      </c>
      <c r="L2649" s="479"/>
      <c r="M2649" s="480"/>
      <c r="N2649" s="481"/>
      <c r="O2649" s="481"/>
      <c r="P2649" s="482"/>
      <c r="Q2649" s="479"/>
      <c r="R2649" s="480"/>
      <c r="S2649" s="480"/>
      <c r="T2649" s="480"/>
      <c r="U2649" s="480"/>
      <c r="V2649" s="480"/>
      <c r="W2649" s="480"/>
      <c r="X2649" s="480"/>
      <c r="Y2649" s="483">
        <f t="shared" si="17"/>
        <v>0</v>
      </c>
      <c r="Z2649" s="484"/>
      <c r="AA2649" s="485"/>
      <c r="AB2649" s="486"/>
      <c r="AC2649" s="486"/>
      <c r="AD2649" s="486"/>
      <c r="AE2649" s="487"/>
      <c r="AF2649" s="449"/>
      <c r="AG2649" s="449"/>
      <c r="AH2649" s="449"/>
    </row>
    <row r="2650" ht="11.25" customHeight="1">
      <c r="A2650" s="431" t="str">
        <f>IF(B2650="","", YEAR(B2650))</f>
        <v/>
      </c>
      <c r="B2650" s="432"/>
      <c r="C2650" s="433"/>
      <c r="D2650" s="433"/>
      <c r="E2650" s="434" t="str">
        <f t="shared" ref="E2650:I2650" si="1332">IFERROR(AVERAGE(L2650:L2653),"")</f>
        <v/>
      </c>
      <c r="F2650" s="434" t="str">
        <f t="shared" si="1332"/>
        <v/>
      </c>
      <c r="G2650" s="435" t="str">
        <f t="shared" si="1332"/>
        <v/>
      </c>
      <c r="H2650" s="435" t="str">
        <f t="shared" si="1332"/>
        <v/>
      </c>
      <c r="I2650" s="436" t="str">
        <f t="shared" si="1332"/>
        <v/>
      </c>
      <c r="J2650" s="437">
        <f>SUMIFS(PRODUCTION[KG],PRODUCTION[GRADE],"3X50",PRODUCTION[DATE],B2650,PRODUCTION[BATCH],C2650,PRODUCTION[SHIFT],D2650)</f>
        <v>0</v>
      </c>
      <c r="K2650" s="438" t="s">
        <v>1414</v>
      </c>
      <c r="L2650" s="443"/>
      <c r="M2650" s="440"/>
      <c r="N2650" s="441"/>
      <c r="O2650" s="441"/>
      <c r="P2650" s="442"/>
      <c r="Q2650" s="443"/>
      <c r="R2650" s="440"/>
      <c r="S2650" s="440"/>
      <c r="T2650" s="440"/>
      <c r="U2650" s="440"/>
      <c r="V2650" s="440"/>
      <c r="W2650" s="440"/>
      <c r="X2650" s="440"/>
      <c r="Y2650" s="444">
        <f t="shared" si="17"/>
        <v>0</v>
      </c>
      <c r="Z2650" s="445"/>
      <c r="AA2650" s="446">
        <f t="shared" ref="AA2650:AE2650" si="1333">$J2650*E2650</f>
        <v>0</v>
      </c>
      <c r="AB2650" s="447">
        <f t="shared" si="1333"/>
        <v>0</v>
      </c>
      <c r="AC2650" s="447">
        <f t="shared" si="1333"/>
        <v>0</v>
      </c>
      <c r="AD2650" s="447">
        <f t="shared" si="1333"/>
        <v>0</v>
      </c>
      <c r="AE2650" s="448">
        <f t="shared" si="1333"/>
        <v>0</v>
      </c>
      <c r="AF2650" s="449"/>
      <c r="AG2650" s="449"/>
      <c r="AH2650" s="449"/>
    </row>
    <row r="2651" ht="11.25" customHeight="1">
      <c r="A2651" s="450"/>
      <c r="B2651" s="451"/>
      <c r="C2651" s="452"/>
      <c r="D2651" s="452"/>
      <c r="E2651" s="453"/>
      <c r="F2651" s="453"/>
      <c r="G2651" s="454"/>
      <c r="H2651" s="454"/>
      <c r="I2651" s="455"/>
      <c r="J2651" s="456"/>
      <c r="K2651" s="457" t="s">
        <v>1416</v>
      </c>
      <c r="L2651" s="458"/>
      <c r="M2651" s="459"/>
      <c r="N2651" s="460"/>
      <c r="O2651" s="460"/>
      <c r="P2651" s="461"/>
      <c r="Q2651" s="458"/>
      <c r="R2651" s="459"/>
      <c r="S2651" s="459"/>
      <c r="T2651" s="459"/>
      <c r="U2651" s="459"/>
      <c r="V2651" s="459"/>
      <c r="W2651" s="459"/>
      <c r="X2651" s="459"/>
      <c r="Y2651" s="462">
        <f t="shared" si="17"/>
        <v>0</v>
      </c>
      <c r="Z2651" s="463"/>
      <c r="AA2651" s="464"/>
      <c r="AB2651" s="465"/>
      <c r="AC2651" s="465"/>
      <c r="AD2651" s="465"/>
      <c r="AE2651" s="466"/>
      <c r="AF2651" s="449"/>
      <c r="AG2651" s="449"/>
      <c r="AH2651" s="449"/>
    </row>
    <row r="2652" ht="11.25" customHeight="1">
      <c r="A2652" s="450"/>
      <c r="B2652" s="451"/>
      <c r="C2652" s="452"/>
      <c r="D2652" s="452"/>
      <c r="E2652" s="453"/>
      <c r="F2652" s="453"/>
      <c r="G2652" s="454"/>
      <c r="H2652" s="454"/>
      <c r="I2652" s="455"/>
      <c r="J2652" s="456"/>
      <c r="K2652" s="467" t="s">
        <v>1417</v>
      </c>
      <c r="L2652" s="468"/>
      <c r="M2652" s="469"/>
      <c r="N2652" s="470"/>
      <c r="O2652" s="470"/>
      <c r="P2652" s="471"/>
      <c r="Q2652" s="468"/>
      <c r="R2652" s="469"/>
      <c r="S2652" s="469"/>
      <c r="T2652" s="469"/>
      <c r="U2652" s="469"/>
      <c r="V2652" s="469"/>
      <c r="W2652" s="469"/>
      <c r="X2652" s="469"/>
      <c r="Y2652" s="462">
        <f t="shared" si="17"/>
        <v>0</v>
      </c>
      <c r="Z2652" s="463"/>
      <c r="AA2652" s="464"/>
      <c r="AB2652" s="465"/>
      <c r="AC2652" s="465"/>
      <c r="AD2652" s="465"/>
      <c r="AE2652" s="466"/>
      <c r="AF2652" s="449"/>
      <c r="AG2652" s="449"/>
      <c r="AH2652" s="449"/>
    </row>
    <row r="2653" ht="11.25" customHeight="1">
      <c r="A2653" s="450"/>
      <c r="B2653" s="472"/>
      <c r="C2653" s="473"/>
      <c r="D2653" s="473"/>
      <c r="E2653" s="474"/>
      <c r="F2653" s="474"/>
      <c r="G2653" s="475"/>
      <c r="H2653" s="475"/>
      <c r="I2653" s="476"/>
      <c r="J2653" s="477"/>
      <c r="K2653" s="478" t="s">
        <v>1418</v>
      </c>
      <c r="L2653" s="479"/>
      <c r="M2653" s="480"/>
      <c r="N2653" s="481"/>
      <c r="O2653" s="481"/>
      <c r="P2653" s="482"/>
      <c r="Q2653" s="479"/>
      <c r="R2653" s="480"/>
      <c r="S2653" s="480"/>
      <c r="T2653" s="480"/>
      <c r="U2653" s="480"/>
      <c r="V2653" s="480"/>
      <c r="W2653" s="480"/>
      <c r="X2653" s="480"/>
      <c r="Y2653" s="483">
        <f t="shared" si="17"/>
        <v>0</v>
      </c>
      <c r="Z2653" s="484"/>
      <c r="AA2653" s="485"/>
      <c r="AB2653" s="486"/>
      <c r="AC2653" s="486"/>
      <c r="AD2653" s="486"/>
      <c r="AE2653" s="487"/>
      <c r="AF2653" s="449"/>
      <c r="AG2653" s="449"/>
      <c r="AH2653" s="449"/>
    </row>
    <row r="2654" ht="11.25" customHeight="1">
      <c r="A2654" s="431" t="str">
        <f>IF(B2654="","", YEAR(B2654))</f>
        <v/>
      </c>
      <c r="B2654" s="432"/>
      <c r="C2654" s="433"/>
      <c r="D2654" s="433"/>
      <c r="E2654" s="434" t="str">
        <f t="shared" ref="E2654:I2654" si="1334">IFERROR(AVERAGE(L2654:L2657),"")</f>
        <v/>
      </c>
      <c r="F2654" s="434" t="str">
        <f t="shared" si="1334"/>
        <v/>
      </c>
      <c r="G2654" s="435" t="str">
        <f t="shared" si="1334"/>
        <v/>
      </c>
      <c r="H2654" s="435" t="str">
        <f t="shared" si="1334"/>
        <v/>
      </c>
      <c r="I2654" s="436" t="str">
        <f t="shared" si="1334"/>
        <v/>
      </c>
      <c r="J2654" s="437">
        <f>SUMIFS(PRODUCTION[KG],PRODUCTION[GRADE],"3X50",PRODUCTION[DATE],B2654,PRODUCTION[BATCH],C2654,PRODUCTION[SHIFT],D2654)</f>
        <v>0</v>
      </c>
      <c r="K2654" s="438" t="s">
        <v>1414</v>
      </c>
      <c r="L2654" s="443"/>
      <c r="M2654" s="440"/>
      <c r="N2654" s="441"/>
      <c r="O2654" s="441"/>
      <c r="P2654" s="442"/>
      <c r="Q2654" s="443"/>
      <c r="R2654" s="440"/>
      <c r="S2654" s="440"/>
      <c r="T2654" s="440"/>
      <c r="U2654" s="440"/>
      <c r="V2654" s="440"/>
      <c r="W2654" s="440"/>
      <c r="X2654" s="440"/>
      <c r="Y2654" s="444">
        <f t="shared" si="17"/>
        <v>0</v>
      </c>
      <c r="Z2654" s="445"/>
      <c r="AA2654" s="446">
        <f t="shared" ref="AA2654:AE2654" si="1335">$J2654*E2654</f>
        <v>0</v>
      </c>
      <c r="AB2654" s="447">
        <f t="shared" si="1335"/>
        <v>0</v>
      </c>
      <c r="AC2654" s="447">
        <f t="shared" si="1335"/>
        <v>0</v>
      </c>
      <c r="AD2654" s="447">
        <f t="shared" si="1335"/>
        <v>0</v>
      </c>
      <c r="AE2654" s="448">
        <f t="shared" si="1335"/>
        <v>0</v>
      </c>
      <c r="AF2654" s="449"/>
      <c r="AG2654" s="449"/>
      <c r="AH2654" s="449"/>
    </row>
    <row r="2655" ht="11.25" customHeight="1">
      <c r="A2655" s="450"/>
      <c r="B2655" s="451"/>
      <c r="C2655" s="452"/>
      <c r="D2655" s="452"/>
      <c r="E2655" s="453"/>
      <c r="F2655" s="453"/>
      <c r="G2655" s="454"/>
      <c r="H2655" s="454"/>
      <c r="I2655" s="455"/>
      <c r="J2655" s="456"/>
      <c r="K2655" s="457" t="s">
        <v>1416</v>
      </c>
      <c r="L2655" s="458"/>
      <c r="M2655" s="459"/>
      <c r="N2655" s="460"/>
      <c r="O2655" s="460"/>
      <c r="P2655" s="461"/>
      <c r="Q2655" s="458"/>
      <c r="R2655" s="459"/>
      <c r="S2655" s="459"/>
      <c r="T2655" s="459"/>
      <c r="U2655" s="459"/>
      <c r="V2655" s="459"/>
      <c r="W2655" s="459"/>
      <c r="X2655" s="459"/>
      <c r="Y2655" s="462">
        <f t="shared" si="17"/>
        <v>0</v>
      </c>
      <c r="Z2655" s="463"/>
      <c r="AA2655" s="464"/>
      <c r="AB2655" s="465"/>
      <c r="AC2655" s="465"/>
      <c r="AD2655" s="465"/>
      <c r="AE2655" s="466"/>
      <c r="AF2655" s="449"/>
      <c r="AG2655" s="449"/>
      <c r="AH2655" s="449"/>
    </row>
    <row r="2656" ht="11.25" customHeight="1">
      <c r="A2656" s="450"/>
      <c r="B2656" s="451"/>
      <c r="C2656" s="452"/>
      <c r="D2656" s="452"/>
      <c r="E2656" s="453"/>
      <c r="F2656" s="453"/>
      <c r="G2656" s="454"/>
      <c r="H2656" s="454"/>
      <c r="I2656" s="455"/>
      <c r="J2656" s="456"/>
      <c r="K2656" s="467" t="s">
        <v>1417</v>
      </c>
      <c r="L2656" s="468"/>
      <c r="M2656" s="469"/>
      <c r="N2656" s="470"/>
      <c r="O2656" s="470"/>
      <c r="P2656" s="471"/>
      <c r="Q2656" s="468"/>
      <c r="R2656" s="469"/>
      <c r="S2656" s="469"/>
      <c r="T2656" s="469"/>
      <c r="U2656" s="469"/>
      <c r="V2656" s="469"/>
      <c r="W2656" s="469"/>
      <c r="X2656" s="469"/>
      <c r="Y2656" s="462">
        <f t="shared" si="17"/>
        <v>0</v>
      </c>
      <c r="Z2656" s="463"/>
      <c r="AA2656" s="464"/>
      <c r="AB2656" s="465"/>
      <c r="AC2656" s="465"/>
      <c r="AD2656" s="465"/>
      <c r="AE2656" s="466"/>
      <c r="AF2656" s="449"/>
      <c r="AG2656" s="449"/>
      <c r="AH2656" s="449"/>
    </row>
    <row r="2657" ht="11.25" customHeight="1">
      <c r="A2657" s="450"/>
      <c r="B2657" s="472"/>
      <c r="C2657" s="473"/>
      <c r="D2657" s="473"/>
      <c r="E2657" s="474"/>
      <c r="F2657" s="474"/>
      <c r="G2657" s="475"/>
      <c r="H2657" s="475"/>
      <c r="I2657" s="476"/>
      <c r="J2657" s="477"/>
      <c r="K2657" s="478" t="s">
        <v>1418</v>
      </c>
      <c r="L2657" s="479"/>
      <c r="M2657" s="480"/>
      <c r="N2657" s="481"/>
      <c r="O2657" s="481"/>
      <c r="P2657" s="482"/>
      <c r="Q2657" s="479"/>
      <c r="R2657" s="480"/>
      <c r="S2657" s="480"/>
      <c r="T2657" s="480"/>
      <c r="U2657" s="480"/>
      <c r="V2657" s="480"/>
      <c r="W2657" s="480"/>
      <c r="X2657" s="480"/>
      <c r="Y2657" s="483">
        <f t="shared" si="17"/>
        <v>0</v>
      </c>
      <c r="Z2657" s="484"/>
      <c r="AA2657" s="485"/>
      <c r="AB2657" s="486"/>
      <c r="AC2657" s="486"/>
      <c r="AD2657" s="486"/>
      <c r="AE2657" s="487"/>
      <c r="AF2657" s="449"/>
      <c r="AG2657" s="449"/>
      <c r="AH2657" s="449"/>
    </row>
    <row r="2658" ht="11.25" customHeight="1">
      <c r="A2658" s="431" t="str">
        <f>IF(B2658="","", YEAR(B2658))</f>
        <v/>
      </c>
      <c r="B2658" s="432"/>
      <c r="C2658" s="433"/>
      <c r="D2658" s="433"/>
      <c r="E2658" s="434" t="str">
        <f t="shared" ref="E2658:I2658" si="1336">IFERROR(AVERAGE(L2658:L2661),"")</f>
        <v/>
      </c>
      <c r="F2658" s="434" t="str">
        <f t="shared" si="1336"/>
        <v/>
      </c>
      <c r="G2658" s="435" t="str">
        <f t="shared" si="1336"/>
        <v/>
      </c>
      <c r="H2658" s="435" t="str">
        <f t="shared" si="1336"/>
        <v/>
      </c>
      <c r="I2658" s="436" t="str">
        <f t="shared" si="1336"/>
        <v/>
      </c>
      <c r="J2658" s="437">
        <f>SUMIFS(PRODUCTION[KG],PRODUCTION[GRADE],"3X50",PRODUCTION[DATE],B2658,PRODUCTION[BATCH],C2658,PRODUCTION[SHIFT],D2658)</f>
        <v>0</v>
      </c>
      <c r="K2658" s="438" t="s">
        <v>1414</v>
      </c>
      <c r="L2658" s="443"/>
      <c r="M2658" s="440"/>
      <c r="N2658" s="441"/>
      <c r="O2658" s="441"/>
      <c r="P2658" s="442"/>
      <c r="Q2658" s="443"/>
      <c r="R2658" s="440"/>
      <c r="S2658" s="440"/>
      <c r="T2658" s="440"/>
      <c r="U2658" s="440"/>
      <c r="V2658" s="440"/>
      <c r="W2658" s="440"/>
      <c r="X2658" s="440"/>
      <c r="Y2658" s="444">
        <f t="shared" si="17"/>
        <v>0</v>
      </c>
      <c r="Z2658" s="445"/>
      <c r="AA2658" s="446">
        <f t="shared" ref="AA2658:AE2658" si="1337">$J2658*E2658</f>
        <v>0</v>
      </c>
      <c r="AB2658" s="447">
        <f t="shared" si="1337"/>
        <v>0</v>
      </c>
      <c r="AC2658" s="447">
        <f t="shared" si="1337"/>
        <v>0</v>
      </c>
      <c r="AD2658" s="447">
        <f t="shared" si="1337"/>
        <v>0</v>
      </c>
      <c r="AE2658" s="448">
        <f t="shared" si="1337"/>
        <v>0</v>
      </c>
      <c r="AF2658" s="449"/>
      <c r="AG2658" s="449"/>
      <c r="AH2658" s="449"/>
    </row>
    <row r="2659" ht="11.25" customHeight="1">
      <c r="A2659" s="450"/>
      <c r="B2659" s="451"/>
      <c r="C2659" s="452"/>
      <c r="D2659" s="452"/>
      <c r="E2659" s="453"/>
      <c r="F2659" s="453"/>
      <c r="G2659" s="454"/>
      <c r="H2659" s="454"/>
      <c r="I2659" s="455"/>
      <c r="J2659" s="456"/>
      <c r="K2659" s="457" t="s">
        <v>1416</v>
      </c>
      <c r="L2659" s="458"/>
      <c r="M2659" s="459"/>
      <c r="N2659" s="460"/>
      <c r="O2659" s="460"/>
      <c r="P2659" s="461"/>
      <c r="Q2659" s="458"/>
      <c r="R2659" s="459"/>
      <c r="S2659" s="459"/>
      <c r="T2659" s="459"/>
      <c r="U2659" s="459"/>
      <c r="V2659" s="459"/>
      <c r="W2659" s="459"/>
      <c r="X2659" s="459"/>
      <c r="Y2659" s="462">
        <f t="shared" si="17"/>
        <v>0</v>
      </c>
      <c r="Z2659" s="463"/>
      <c r="AA2659" s="464"/>
      <c r="AB2659" s="465"/>
      <c r="AC2659" s="465"/>
      <c r="AD2659" s="465"/>
      <c r="AE2659" s="466"/>
      <c r="AF2659" s="449"/>
      <c r="AG2659" s="449"/>
      <c r="AH2659" s="449"/>
    </row>
    <row r="2660" ht="11.25" customHeight="1">
      <c r="A2660" s="450"/>
      <c r="B2660" s="451"/>
      <c r="C2660" s="452"/>
      <c r="D2660" s="452"/>
      <c r="E2660" s="453"/>
      <c r="F2660" s="453"/>
      <c r="G2660" s="454"/>
      <c r="H2660" s="454"/>
      <c r="I2660" s="455"/>
      <c r="J2660" s="456"/>
      <c r="K2660" s="467" t="s">
        <v>1417</v>
      </c>
      <c r="L2660" s="468"/>
      <c r="M2660" s="469"/>
      <c r="N2660" s="470"/>
      <c r="O2660" s="470"/>
      <c r="P2660" s="471"/>
      <c r="Q2660" s="468"/>
      <c r="R2660" s="469"/>
      <c r="S2660" s="469"/>
      <c r="T2660" s="469"/>
      <c r="U2660" s="469"/>
      <c r="V2660" s="469"/>
      <c r="W2660" s="469"/>
      <c r="X2660" s="469"/>
      <c r="Y2660" s="462">
        <f t="shared" si="17"/>
        <v>0</v>
      </c>
      <c r="Z2660" s="463"/>
      <c r="AA2660" s="464"/>
      <c r="AB2660" s="465"/>
      <c r="AC2660" s="465"/>
      <c r="AD2660" s="465"/>
      <c r="AE2660" s="466"/>
      <c r="AF2660" s="449"/>
      <c r="AG2660" s="449"/>
      <c r="AH2660" s="449"/>
    </row>
    <row r="2661" ht="11.25" customHeight="1">
      <c r="A2661" s="450"/>
      <c r="B2661" s="472"/>
      <c r="C2661" s="473"/>
      <c r="D2661" s="473"/>
      <c r="E2661" s="474"/>
      <c r="F2661" s="474"/>
      <c r="G2661" s="475"/>
      <c r="H2661" s="475"/>
      <c r="I2661" s="476"/>
      <c r="J2661" s="477"/>
      <c r="K2661" s="478" t="s">
        <v>1418</v>
      </c>
      <c r="L2661" s="479"/>
      <c r="M2661" s="480"/>
      <c r="N2661" s="481"/>
      <c r="O2661" s="481"/>
      <c r="P2661" s="482"/>
      <c r="Q2661" s="479"/>
      <c r="R2661" s="480"/>
      <c r="S2661" s="480"/>
      <c r="T2661" s="480"/>
      <c r="U2661" s="480"/>
      <c r="V2661" s="480"/>
      <c r="W2661" s="480"/>
      <c r="X2661" s="480"/>
      <c r="Y2661" s="483">
        <f t="shared" si="17"/>
        <v>0</v>
      </c>
      <c r="Z2661" s="484"/>
      <c r="AA2661" s="485"/>
      <c r="AB2661" s="486"/>
      <c r="AC2661" s="486"/>
      <c r="AD2661" s="486"/>
      <c r="AE2661" s="487"/>
      <c r="AF2661" s="449"/>
      <c r="AG2661" s="449"/>
      <c r="AH2661" s="449"/>
    </row>
    <row r="2662" ht="11.25" customHeight="1">
      <c r="A2662" s="431" t="str">
        <f>IF(B2662="","", YEAR(B2662))</f>
        <v/>
      </c>
      <c r="B2662" s="432"/>
      <c r="C2662" s="433"/>
      <c r="D2662" s="433"/>
      <c r="E2662" s="434" t="str">
        <f t="shared" ref="E2662:I2662" si="1338">IFERROR(AVERAGE(L2662:L2665),"")</f>
        <v/>
      </c>
      <c r="F2662" s="434" t="str">
        <f t="shared" si="1338"/>
        <v/>
      </c>
      <c r="G2662" s="435" t="str">
        <f t="shared" si="1338"/>
        <v/>
      </c>
      <c r="H2662" s="435" t="str">
        <f t="shared" si="1338"/>
        <v/>
      </c>
      <c r="I2662" s="436" t="str">
        <f t="shared" si="1338"/>
        <v/>
      </c>
      <c r="J2662" s="437">
        <f>SUMIFS(PRODUCTION[KG],PRODUCTION[GRADE],"3X50",PRODUCTION[DATE],B2662,PRODUCTION[BATCH],C2662,PRODUCTION[SHIFT],D2662)</f>
        <v>0</v>
      </c>
      <c r="K2662" s="438" t="s">
        <v>1414</v>
      </c>
      <c r="L2662" s="443"/>
      <c r="M2662" s="440"/>
      <c r="N2662" s="441"/>
      <c r="O2662" s="441"/>
      <c r="P2662" s="442"/>
      <c r="Q2662" s="443"/>
      <c r="R2662" s="440"/>
      <c r="S2662" s="440"/>
      <c r="T2662" s="440"/>
      <c r="U2662" s="440"/>
      <c r="V2662" s="440"/>
      <c r="W2662" s="440"/>
      <c r="X2662" s="440"/>
      <c r="Y2662" s="444">
        <f t="shared" si="17"/>
        <v>0</v>
      </c>
      <c r="Z2662" s="445"/>
      <c r="AA2662" s="446">
        <f t="shared" ref="AA2662:AE2662" si="1339">$J2662*E2662</f>
        <v>0</v>
      </c>
      <c r="AB2662" s="447">
        <f t="shared" si="1339"/>
        <v>0</v>
      </c>
      <c r="AC2662" s="447">
        <f t="shared" si="1339"/>
        <v>0</v>
      </c>
      <c r="AD2662" s="447">
        <f t="shared" si="1339"/>
        <v>0</v>
      </c>
      <c r="AE2662" s="448">
        <f t="shared" si="1339"/>
        <v>0</v>
      </c>
      <c r="AF2662" s="449"/>
      <c r="AG2662" s="449"/>
      <c r="AH2662" s="449"/>
    </row>
    <row r="2663" ht="11.25" customHeight="1">
      <c r="A2663" s="450"/>
      <c r="B2663" s="451"/>
      <c r="C2663" s="452"/>
      <c r="D2663" s="452"/>
      <c r="E2663" s="453"/>
      <c r="F2663" s="453"/>
      <c r="G2663" s="454"/>
      <c r="H2663" s="454"/>
      <c r="I2663" s="455"/>
      <c r="J2663" s="456"/>
      <c r="K2663" s="457" t="s">
        <v>1416</v>
      </c>
      <c r="L2663" s="458"/>
      <c r="M2663" s="459"/>
      <c r="N2663" s="460"/>
      <c r="O2663" s="460"/>
      <c r="P2663" s="461"/>
      <c r="Q2663" s="458"/>
      <c r="R2663" s="459"/>
      <c r="S2663" s="459"/>
      <c r="T2663" s="459"/>
      <c r="U2663" s="459"/>
      <c r="V2663" s="459"/>
      <c r="W2663" s="459"/>
      <c r="X2663" s="459"/>
      <c r="Y2663" s="462">
        <f t="shared" si="17"/>
        <v>0</v>
      </c>
      <c r="Z2663" s="463"/>
      <c r="AA2663" s="464"/>
      <c r="AB2663" s="465"/>
      <c r="AC2663" s="465"/>
      <c r="AD2663" s="465"/>
      <c r="AE2663" s="466"/>
      <c r="AF2663" s="449"/>
      <c r="AG2663" s="449"/>
      <c r="AH2663" s="449"/>
    </row>
    <row r="2664" ht="11.25" customHeight="1">
      <c r="A2664" s="450"/>
      <c r="B2664" s="451"/>
      <c r="C2664" s="452"/>
      <c r="D2664" s="452"/>
      <c r="E2664" s="453"/>
      <c r="F2664" s="453"/>
      <c r="G2664" s="454"/>
      <c r="H2664" s="454"/>
      <c r="I2664" s="455"/>
      <c r="J2664" s="456"/>
      <c r="K2664" s="467" t="s">
        <v>1417</v>
      </c>
      <c r="L2664" s="468"/>
      <c r="M2664" s="469"/>
      <c r="N2664" s="470"/>
      <c r="O2664" s="470"/>
      <c r="P2664" s="471"/>
      <c r="Q2664" s="468"/>
      <c r="R2664" s="469"/>
      <c r="S2664" s="469"/>
      <c r="T2664" s="469"/>
      <c r="U2664" s="469"/>
      <c r="V2664" s="469"/>
      <c r="W2664" s="469"/>
      <c r="X2664" s="469"/>
      <c r="Y2664" s="462">
        <f t="shared" si="17"/>
        <v>0</v>
      </c>
      <c r="Z2664" s="463"/>
      <c r="AA2664" s="464"/>
      <c r="AB2664" s="465"/>
      <c r="AC2664" s="465"/>
      <c r="AD2664" s="465"/>
      <c r="AE2664" s="466"/>
      <c r="AF2664" s="449"/>
      <c r="AG2664" s="449"/>
      <c r="AH2664" s="449"/>
    </row>
    <row r="2665" ht="11.25" customHeight="1">
      <c r="A2665" s="450"/>
      <c r="B2665" s="472"/>
      <c r="C2665" s="473"/>
      <c r="D2665" s="473"/>
      <c r="E2665" s="474"/>
      <c r="F2665" s="474"/>
      <c r="G2665" s="475"/>
      <c r="H2665" s="475"/>
      <c r="I2665" s="476"/>
      <c r="J2665" s="477"/>
      <c r="K2665" s="478" t="s">
        <v>1418</v>
      </c>
      <c r="L2665" s="479"/>
      <c r="M2665" s="480"/>
      <c r="N2665" s="481"/>
      <c r="O2665" s="481"/>
      <c r="P2665" s="482"/>
      <c r="Q2665" s="479"/>
      <c r="R2665" s="480"/>
      <c r="S2665" s="480"/>
      <c r="T2665" s="480"/>
      <c r="U2665" s="480"/>
      <c r="V2665" s="480"/>
      <c r="W2665" s="480"/>
      <c r="X2665" s="480"/>
      <c r="Y2665" s="483">
        <f t="shared" si="17"/>
        <v>0</v>
      </c>
      <c r="Z2665" s="484"/>
      <c r="AA2665" s="485"/>
      <c r="AB2665" s="486"/>
      <c r="AC2665" s="486"/>
      <c r="AD2665" s="486"/>
      <c r="AE2665" s="487"/>
      <c r="AF2665" s="449"/>
      <c r="AG2665" s="449"/>
      <c r="AH2665" s="449"/>
    </row>
    <row r="2666" ht="11.25" customHeight="1">
      <c r="A2666" s="431" t="str">
        <f>IF(B2666="","", YEAR(B2666))</f>
        <v/>
      </c>
      <c r="B2666" s="432"/>
      <c r="C2666" s="433"/>
      <c r="D2666" s="433"/>
      <c r="E2666" s="434" t="str">
        <f t="shared" ref="E2666:I2666" si="1340">IFERROR(AVERAGE(L2666:L2669),"")</f>
        <v/>
      </c>
      <c r="F2666" s="434" t="str">
        <f t="shared" si="1340"/>
        <v/>
      </c>
      <c r="G2666" s="435" t="str">
        <f t="shared" si="1340"/>
        <v/>
      </c>
      <c r="H2666" s="435" t="str">
        <f t="shared" si="1340"/>
        <v/>
      </c>
      <c r="I2666" s="436" t="str">
        <f t="shared" si="1340"/>
        <v/>
      </c>
      <c r="J2666" s="437">
        <f>SUMIFS(PRODUCTION[KG],PRODUCTION[GRADE],"3X50",PRODUCTION[DATE],B2666,PRODUCTION[BATCH],C2666,PRODUCTION[SHIFT],D2666)</f>
        <v>0</v>
      </c>
      <c r="K2666" s="438" t="s">
        <v>1414</v>
      </c>
      <c r="L2666" s="443"/>
      <c r="M2666" s="440"/>
      <c r="N2666" s="441"/>
      <c r="O2666" s="441"/>
      <c r="P2666" s="442"/>
      <c r="Q2666" s="443"/>
      <c r="R2666" s="440"/>
      <c r="S2666" s="440"/>
      <c r="T2666" s="440"/>
      <c r="U2666" s="440"/>
      <c r="V2666" s="440"/>
      <c r="W2666" s="440"/>
      <c r="X2666" s="440"/>
      <c r="Y2666" s="444">
        <f t="shared" si="17"/>
        <v>0</v>
      </c>
      <c r="Z2666" s="445"/>
      <c r="AA2666" s="446">
        <f t="shared" ref="AA2666:AE2666" si="1341">$J2666*E2666</f>
        <v>0</v>
      </c>
      <c r="AB2666" s="447">
        <f t="shared" si="1341"/>
        <v>0</v>
      </c>
      <c r="AC2666" s="447">
        <f t="shared" si="1341"/>
        <v>0</v>
      </c>
      <c r="AD2666" s="447">
        <f t="shared" si="1341"/>
        <v>0</v>
      </c>
      <c r="AE2666" s="448">
        <f t="shared" si="1341"/>
        <v>0</v>
      </c>
      <c r="AF2666" s="449"/>
      <c r="AG2666" s="449"/>
      <c r="AH2666" s="449"/>
    </row>
    <row r="2667" ht="11.25" customHeight="1">
      <c r="A2667" s="450"/>
      <c r="B2667" s="451"/>
      <c r="C2667" s="452"/>
      <c r="D2667" s="452"/>
      <c r="E2667" s="453"/>
      <c r="F2667" s="453"/>
      <c r="G2667" s="454"/>
      <c r="H2667" s="454"/>
      <c r="I2667" s="455"/>
      <c r="J2667" s="456"/>
      <c r="K2667" s="457" t="s">
        <v>1416</v>
      </c>
      <c r="L2667" s="458"/>
      <c r="M2667" s="459"/>
      <c r="N2667" s="460"/>
      <c r="O2667" s="460"/>
      <c r="P2667" s="461"/>
      <c r="Q2667" s="458"/>
      <c r="R2667" s="459"/>
      <c r="S2667" s="459"/>
      <c r="T2667" s="459"/>
      <c r="U2667" s="459"/>
      <c r="V2667" s="459"/>
      <c r="W2667" s="459"/>
      <c r="X2667" s="459"/>
      <c r="Y2667" s="462">
        <f t="shared" si="17"/>
        <v>0</v>
      </c>
      <c r="Z2667" s="463"/>
      <c r="AA2667" s="464"/>
      <c r="AB2667" s="465"/>
      <c r="AC2667" s="465"/>
      <c r="AD2667" s="465"/>
      <c r="AE2667" s="466"/>
      <c r="AF2667" s="449"/>
      <c r="AG2667" s="449"/>
      <c r="AH2667" s="449"/>
    </row>
    <row r="2668" ht="11.25" customHeight="1">
      <c r="A2668" s="450"/>
      <c r="B2668" s="451"/>
      <c r="C2668" s="452"/>
      <c r="D2668" s="452"/>
      <c r="E2668" s="453"/>
      <c r="F2668" s="453"/>
      <c r="G2668" s="454"/>
      <c r="H2668" s="454"/>
      <c r="I2668" s="455"/>
      <c r="J2668" s="456"/>
      <c r="K2668" s="467" t="s">
        <v>1417</v>
      </c>
      <c r="L2668" s="468"/>
      <c r="M2668" s="469"/>
      <c r="N2668" s="470"/>
      <c r="O2668" s="470"/>
      <c r="P2668" s="471"/>
      <c r="Q2668" s="468"/>
      <c r="R2668" s="469"/>
      <c r="S2668" s="469"/>
      <c r="T2668" s="469"/>
      <c r="U2668" s="469"/>
      <c r="V2668" s="469"/>
      <c r="W2668" s="469"/>
      <c r="X2668" s="469"/>
      <c r="Y2668" s="462">
        <f t="shared" si="17"/>
        <v>0</v>
      </c>
      <c r="Z2668" s="463"/>
      <c r="AA2668" s="464"/>
      <c r="AB2668" s="465"/>
      <c r="AC2668" s="465"/>
      <c r="AD2668" s="465"/>
      <c r="AE2668" s="466"/>
      <c r="AF2668" s="449"/>
      <c r="AG2668" s="449"/>
      <c r="AH2668" s="449"/>
    </row>
    <row r="2669" ht="11.25" customHeight="1">
      <c r="A2669" s="450"/>
      <c r="B2669" s="472"/>
      <c r="C2669" s="473"/>
      <c r="D2669" s="473"/>
      <c r="E2669" s="474"/>
      <c r="F2669" s="474"/>
      <c r="G2669" s="475"/>
      <c r="H2669" s="475"/>
      <c r="I2669" s="476"/>
      <c r="J2669" s="477"/>
      <c r="K2669" s="478" t="s">
        <v>1418</v>
      </c>
      <c r="L2669" s="479"/>
      <c r="M2669" s="480"/>
      <c r="N2669" s="481"/>
      <c r="O2669" s="481"/>
      <c r="P2669" s="482"/>
      <c r="Q2669" s="479"/>
      <c r="R2669" s="480"/>
      <c r="S2669" s="480"/>
      <c r="T2669" s="480"/>
      <c r="U2669" s="480"/>
      <c r="V2669" s="480"/>
      <c r="W2669" s="480"/>
      <c r="X2669" s="480"/>
      <c r="Y2669" s="483">
        <f t="shared" si="17"/>
        <v>0</v>
      </c>
      <c r="Z2669" s="484"/>
      <c r="AA2669" s="485"/>
      <c r="AB2669" s="486"/>
      <c r="AC2669" s="486"/>
      <c r="AD2669" s="486"/>
      <c r="AE2669" s="487"/>
      <c r="AF2669" s="449"/>
      <c r="AG2669" s="449"/>
      <c r="AH2669" s="449"/>
    </row>
    <row r="2670" ht="11.25" customHeight="1">
      <c r="A2670" s="431" t="str">
        <f>IF(B2670="","", YEAR(B2670))</f>
        <v/>
      </c>
      <c r="B2670" s="432"/>
      <c r="C2670" s="433"/>
      <c r="D2670" s="433"/>
      <c r="E2670" s="434" t="str">
        <f t="shared" ref="E2670:I2670" si="1342">IFERROR(AVERAGE(L2670:L2673),"")</f>
        <v/>
      </c>
      <c r="F2670" s="434" t="str">
        <f t="shared" si="1342"/>
        <v/>
      </c>
      <c r="G2670" s="435" t="str">
        <f t="shared" si="1342"/>
        <v/>
      </c>
      <c r="H2670" s="435" t="str">
        <f t="shared" si="1342"/>
        <v/>
      </c>
      <c r="I2670" s="436" t="str">
        <f t="shared" si="1342"/>
        <v/>
      </c>
      <c r="J2670" s="437">
        <f>SUMIFS(PRODUCTION[KG],PRODUCTION[GRADE],"3X50",PRODUCTION[DATE],B2670,PRODUCTION[BATCH],C2670,PRODUCTION[SHIFT],D2670)</f>
        <v>0</v>
      </c>
      <c r="K2670" s="438" t="s">
        <v>1414</v>
      </c>
      <c r="L2670" s="443"/>
      <c r="M2670" s="440"/>
      <c r="N2670" s="441"/>
      <c r="O2670" s="441"/>
      <c r="P2670" s="442"/>
      <c r="Q2670" s="443"/>
      <c r="R2670" s="440"/>
      <c r="S2670" s="440"/>
      <c r="T2670" s="440"/>
      <c r="U2670" s="440"/>
      <c r="V2670" s="440"/>
      <c r="W2670" s="440"/>
      <c r="X2670" s="440"/>
      <c r="Y2670" s="444">
        <f t="shared" si="17"/>
        <v>0</v>
      </c>
      <c r="Z2670" s="445"/>
      <c r="AA2670" s="446">
        <f t="shared" ref="AA2670:AE2670" si="1343">$J2670*E2670</f>
        <v>0</v>
      </c>
      <c r="AB2670" s="447">
        <f t="shared" si="1343"/>
        <v>0</v>
      </c>
      <c r="AC2670" s="447">
        <f t="shared" si="1343"/>
        <v>0</v>
      </c>
      <c r="AD2670" s="447">
        <f t="shared" si="1343"/>
        <v>0</v>
      </c>
      <c r="AE2670" s="448">
        <f t="shared" si="1343"/>
        <v>0</v>
      </c>
      <c r="AF2670" s="449"/>
      <c r="AG2670" s="449"/>
      <c r="AH2670" s="449"/>
    </row>
    <row r="2671" ht="11.25" customHeight="1">
      <c r="A2671" s="450"/>
      <c r="B2671" s="451"/>
      <c r="C2671" s="452"/>
      <c r="D2671" s="452"/>
      <c r="E2671" s="453"/>
      <c r="F2671" s="453"/>
      <c r="G2671" s="454"/>
      <c r="H2671" s="454"/>
      <c r="I2671" s="455"/>
      <c r="J2671" s="456"/>
      <c r="K2671" s="457" t="s">
        <v>1416</v>
      </c>
      <c r="L2671" s="458"/>
      <c r="M2671" s="459"/>
      <c r="N2671" s="460"/>
      <c r="O2671" s="460"/>
      <c r="P2671" s="461"/>
      <c r="Q2671" s="458"/>
      <c r="R2671" s="459"/>
      <c r="S2671" s="459"/>
      <c r="T2671" s="459"/>
      <c r="U2671" s="459"/>
      <c r="V2671" s="459"/>
      <c r="W2671" s="459"/>
      <c r="X2671" s="459"/>
      <c r="Y2671" s="462">
        <f t="shared" si="17"/>
        <v>0</v>
      </c>
      <c r="Z2671" s="463"/>
      <c r="AA2671" s="464"/>
      <c r="AB2671" s="465"/>
      <c r="AC2671" s="465"/>
      <c r="AD2671" s="465"/>
      <c r="AE2671" s="466"/>
      <c r="AF2671" s="449"/>
      <c r="AG2671" s="449"/>
      <c r="AH2671" s="449"/>
    </row>
    <row r="2672" ht="11.25" customHeight="1">
      <c r="A2672" s="450"/>
      <c r="B2672" s="451"/>
      <c r="C2672" s="452"/>
      <c r="D2672" s="452"/>
      <c r="E2672" s="453"/>
      <c r="F2672" s="453"/>
      <c r="G2672" s="454"/>
      <c r="H2672" s="454"/>
      <c r="I2672" s="455"/>
      <c r="J2672" s="456"/>
      <c r="K2672" s="467" t="s">
        <v>1417</v>
      </c>
      <c r="L2672" s="468"/>
      <c r="M2672" s="469"/>
      <c r="N2672" s="470"/>
      <c r="O2672" s="470"/>
      <c r="P2672" s="471"/>
      <c r="Q2672" s="468"/>
      <c r="R2672" s="469"/>
      <c r="S2672" s="469"/>
      <c r="T2672" s="469"/>
      <c r="U2672" s="469"/>
      <c r="V2672" s="469"/>
      <c r="W2672" s="469"/>
      <c r="X2672" s="469"/>
      <c r="Y2672" s="462">
        <f t="shared" si="17"/>
        <v>0</v>
      </c>
      <c r="Z2672" s="463"/>
      <c r="AA2672" s="464"/>
      <c r="AB2672" s="465"/>
      <c r="AC2672" s="465"/>
      <c r="AD2672" s="465"/>
      <c r="AE2672" s="466"/>
      <c r="AF2672" s="449"/>
      <c r="AG2672" s="449"/>
      <c r="AH2672" s="449"/>
    </row>
    <row r="2673" ht="11.25" customHeight="1">
      <c r="A2673" s="450"/>
      <c r="B2673" s="472"/>
      <c r="C2673" s="473"/>
      <c r="D2673" s="473"/>
      <c r="E2673" s="474"/>
      <c r="F2673" s="474"/>
      <c r="G2673" s="475"/>
      <c r="H2673" s="475"/>
      <c r="I2673" s="476"/>
      <c r="J2673" s="477"/>
      <c r="K2673" s="478" t="s">
        <v>1418</v>
      </c>
      <c r="L2673" s="479"/>
      <c r="M2673" s="480"/>
      <c r="N2673" s="481"/>
      <c r="O2673" s="481"/>
      <c r="P2673" s="482"/>
      <c r="Q2673" s="479"/>
      <c r="R2673" s="480"/>
      <c r="S2673" s="480"/>
      <c r="T2673" s="480"/>
      <c r="U2673" s="480"/>
      <c r="V2673" s="480"/>
      <c r="W2673" s="480"/>
      <c r="X2673" s="480"/>
      <c r="Y2673" s="483">
        <f t="shared" si="17"/>
        <v>0</v>
      </c>
      <c r="Z2673" s="484"/>
      <c r="AA2673" s="485"/>
      <c r="AB2673" s="486"/>
      <c r="AC2673" s="486"/>
      <c r="AD2673" s="486"/>
      <c r="AE2673" s="487"/>
      <c r="AF2673" s="449"/>
      <c r="AG2673" s="449"/>
      <c r="AH2673" s="449"/>
    </row>
    <row r="2674" ht="11.25" customHeight="1">
      <c r="A2674" s="431" t="str">
        <f>IF(B2674="","", YEAR(B2674))</f>
        <v/>
      </c>
      <c r="B2674" s="432"/>
      <c r="C2674" s="433"/>
      <c r="D2674" s="433"/>
      <c r="E2674" s="434" t="str">
        <f t="shared" ref="E2674:I2674" si="1344">IFERROR(AVERAGE(L2674:L2677),"")</f>
        <v/>
      </c>
      <c r="F2674" s="434" t="str">
        <f t="shared" si="1344"/>
        <v/>
      </c>
      <c r="G2674" s="435" t="str">
        <f t="shared" si="1344"/>
        <v/>
      </c>
      <c r="H2674" s="435" t="str">
        <f t="shared" si="1344"/>
        <v/>
      </c>
      <c r="I2674" s="436" t="str">
        <f t="shared" si="1344"/>
        <v/>
      </c>
      <c r="J2674" s="437">
        <f>SUMIFS(PRODUCTION[KG],PRODUCTION[GRADE],"3X50",PRODUCTION[DATE],B2674,PRODUCTION[BATCH],C2674,PRODUCTION[SHIFT],D2674)</f>
        <v>0</v>
      </c>
      <c r="K2674" s="438" t="s">
        <v>1414</v>
      </c>
      <c r="L2674" s="443"/>
      <c r="M2674" s="440"/>
      <c r="N2674" s="441"/>
      <c r="O2674" s="441"/>
      <c r="P2674" s="442"/>
      <c r="Q2674" s="443"/>
      <c r="R2674" s="440"/>
      <c r="S2674" s="440"/>
      <c r="T2674" s="440"/>
      <c r="U2674" s="440"/>
      <c r="V2674" s="440"/>
      <c r="W2674" s="440"/>
      <c r="X2674" s="440"/>
      <c r="Y2674" s="444">
        <f t="shared" si="17"/>
        <v>0</v>
      </c>
      <c r="Z2674" s="445"/>
      <c r="AA2674" s="446">
        <f t="shared" ref="AA2674:AE2674" si="1345">$J2674*E2674</f>
        <v>0</v>
      </c>
      <c r="AB2674" s="447">
        <f t="shared" si="1345"/>
        <v>0</v>
      </c>
      <c r="AC2674" s="447">
        <f t="shared" si="1345"/>
        <v>0</v>
      </c>
      <c r="AD2674" s="447">
        <f t="shared" si="1345"/>
        <v>0</v>
      </c>
      <c r="AE2674" s="448">
        <f t="shared" si="1345"/>
        <v>0</v>
      </c>
      <c r="AF2674" s="449"/>
      <c r="AG2674" s="449"/>
      <c r="AH2674" s="449"/>
    </row>
    <row r="2675" ht="11.25" customHeight="1">
      <c r="A2675" s="450"/>
      <c r="B2675" s="451"/>
      <c r="C2675" s="452"/>
      <c r="D2675" s="452"/>
      <c r="E2675" s="453"/>
      <c r="F2675" s="453"/>
      <c r="G2675" s="454"/>
      <c r="H2675" s="454"/>
      <c r="I2675" s="455"/>
      <c r="J2675" s="456"/>
      <c r="K2675" s="457" t="s">
        <v>1416</v>
      </c>
      <c r="L2675" s="458"/>
      <c r="M2675" s="459"/>
      <c r="N2675" s="460"/>
      <c r="O2675" s="460"/>
      <c r="P2675" s="461"/>
      <c r="Q2675" s="458"/>
      <c r="R2675" s="459"/>
      <c r="S2675" s="459"/>
      <c r="T2675" s="459"/>
      <c r="U2675" s="459"/>
      <c r="V2675" s="459"/>
      <c r="W2675" s="459"/>
      <c r="X2675" s="459"/>
      <c r="Y2675" s="462">
        <f t="shared" si="17"/>
        <v>0</v>
      </c>
      <c r="Z2675" s="463"/>
      <c r="AA2675" s="464"/>
      <c r="AB2675" s="465"/>
      <c r="AC2675" s="465"/>
      <c r="AD2675" s="465"/>
      <c r="AE2675" s="466"/>
      <c r="AF2675" s="449"/>
      <c r="AG2675" s="449"/>
      <c r="AH2675" s="449"/>
    </row>
    <row r="2676" ht="11.25" customHeight="1">
      <c r="A2676" s="450"/>
      <c r="B2676" s="451"/>
      <c r="C2676" s="452"/>
      <c r="D2676" s="452"/>
      <c r="E2676" s="453"/>
      <c r="F2676" s="453"/>
      <c r="G2676" s="454"/>
      <c r="H2676" s="454"/>
      <c r="I2676" s="455"/>
      <c r="J2676" s="456"/>
      <c r="K2676" s="467" t="s">
        <v>1417</v>
      </c>
      <c r="L2676" s="468"/>
      <c r="M2676" s="469"/>
      <c r="N2676" s="470"/>
      <c r="O2676" s="470"/>
      <c r="P2676" s="471"/>
      <c r="Q2676" s="468"/>
      <c r="R2676" s="469"/>
      <c r="S2676" s="469"/>
      <c r="T2676" s="469"/>
      <c r="U2676" s="469"/>
      <c r="V2676" s="469"/>
      <c r="W2676" s="469"/>
      <c r="X2676" s="469"/>
      <c r="Y2676" s="462">
        <f t="shared" si="17"/>
        <v>0</v>
      </c>
      <c r="Z2676" s="463"/>
      <c r="AA2676" s="464"/>
      <c r="AB2676" s="465"/>
      <c r="AC2676" s="465"/>
      <c r="AD2676" s="465"/>
      <c r="AE2676" s="466"/>
      <c r="AF2676" s="449"/>
      <c r="AG2676" s="449"/>
      <c r="AH2676" s="449"/>
    </row>
    <row r="2677" ht="11.25" customHeight="1">
      <c r="A2677" s="450"/>
      <c r="B2677" s="472"/>
      <c r="C2677" s="473"/>
      <c r="D2677" s="473"/>
      <c r="E2677" s="474"/>
      <c r="F2677" s="474"/>
      <c r="G2677" s="475"/>
      <c r="H2677" s="475"/>
      <c r="I2677" s="476"/>
      <c r="J2677" s="477"/>
      <c r="K2677" s="478" t="s">
        <v>1418</v>
      </c>
      <c r="L2677" s="479"/>
      <c r="M2677" s="480"/>
      <c r="N2677" s="481"/>
      <c r="O2677" s="481"/>
      <c r="P2677" s="482"/>
      <c r="Q2677" s="479"/>
      <c r="R2677" s="480"/>
      <c r="S2677" s="480"/>
      <c r="T2677" s="480"/>
      <c r="U2677" s="480"/>
      <c r="V2677" s="480"/>
      <c r="W2677" s="480"/>
      <c r="X2677" s="480"/>
      <c r="Y2677" s="483">
        <f t="shared" si="17"/>
        <v>0</v>
      </c>
      <c r="Z2677" s="484"/>
      <c r="AA2677" s="485"/>
      <c r="AB2677" s="486"/>
      <c r="AC2677" s="486"/>
      <c r="AD2677" s="486"/>
      <c r="AE2677" s="487"/>
      <c r="AF2677" s="449"/>
      <c r="AG2677" s="449"/>
      <c r="AH2677" s="449"/>
    </row>
    <row r="2678" ht="11.25" customHeight="1">
      <c r="A2678" s="431" t="str">
        <f>IF(B2678="","", YEAR(B2678))</f>
        <v/>
      </c>
      <c r="B2678" s="432"/>
      <c r="C2678" s="433"/>
      <c r="D2678" s="433"/>
      <c r="E2678" s="434" t="str">
        <f t="shared" ref="E2678:I2678" si="1346">IFERROR(AVERAGE(L2678:L2681),"")</f>
        <v/>
      </c>
      <c r="F2678" s="434" t="str">
        <f t="shared" si="1346"/>
        <v/>
      </c>
      <c r="G2678" s="435" t="str">
        <f t="shared" si="1346"/>
        <v/>
      </c>
      <c r="H2678" s="435" t="str">
        <f t="shared" si="1346"/>
        <v/>
      </c>
      <c r="I2678" s="436" t="str">
        <f t="shared" si="1346"/>
        <v/>
      </c>
      <c r="J2678" s="437">
        <f>SUMIFS(PRODUCTION[KG],PRODUCTION[GRADE],"3X50",PRODUCTION[DATE],B2678,PRODUCTION[BATCH],C2678,PRODUCTION[SHIFT],D2678)</f>
        <v>0</v>
      </c>
      <c r="K2678" s="438" t="s">
        <v>1414</v>
      </c>
      <c r="L2678" s="443"/>
      <c r="M2678" s="440"/>
      <c r="N2678" s="441"/>
      <c r="O2678" s="441"/>
      <c r="P2678" s="442"/>
      <c r="Q2678" s="443"/>
      <c r="R2678" s="440"/>
      <c r="S2678" s="440"/>
      <c r="T2678" s="440"/>
      <c r="U2678" s="440"/>
      <c r="V2678" s="440"/>
      <c r="W2678" s="440"/>
      <c r="X2678" s="440"/>
      <c r="Y2678" s="444">
        <f t="shared" si="17"/>
        <v>0</v>
      </c>
      <c r="Z2678" s="445"/>
      <c r="AA2678" s="446">
        <f t="shared" ref="AA2678:AE2678" si="1347">$J2678*E2678</f>
        <v>0</v>
      </c>
      <c r="AB2678" s="447">
        <f t="shared" si="1347"/>
        <v>0</v>
      </c>
      <c r="AC2678" s="447">
        <f t="shared" si="1347"/>
        <v>0</v>
      </c>
      <c r="AD2678" s="447">
        <f t="shared" si="1347"/>
        <v>0</v>
      </c>
      <c r="AE2678" s="448">
        <f t="shared" si="1347"/>
        <v>0</v>
      </c>
      <c r="AF2678" s="449"/>
      <c r="AG2678" s="449"/>
      <c r="AH2678" s="449"/>
    </row>
    <row r="2679" ht="11.25" customHeight="1">
      <c r="A2679" s="450"/>
      <c r="B2679" s="451"/>
      <c r="C2679" s="452"/>
      <c r="D2679" s="452"/>
      <c r="E2679" s="453"/>
      <c r="F2679" s="453"/>
      <c r="G2679" s="454"/>
      <c r="H2679" s="454"/>
      <c r="I2679" s="455"/>
      <c r="J2679" s="456"/>
      <c r="K2679" s="457" t="s">
        <v>1416</v>
      </c>
      <c r="L2679" s="458"/>
      <c r="M2679" s="459"/>
      <c r="N2679" s="460"/>
      <c r="O2679" s="460"/>
      <c r="P2679" s="461"/>
      <c r="Q2679" s="458"/>
      <c r="R2679" s="459"/>
      <c r="S2679" s="459"/>
      <c r="T2679" s="459"/>
      <c r="U2679" s="459"/>
      <c r="V2679" s="459"/>
      <c r="W2679" s="459"/>
      <c r="X2679" s="459"/>
      <c r="Y2679" s="462">
        <f t="shared" si="17"/>
        <v>0</v>
      </c>
      <c r="Z2679" s="463"/>
      <c r="AA2679" s="464"/>
      <c r="AB2679" s="465"/>
      <c r="AC2679" s="465"/>
      <c r="AD2679" s="465"/>
      <c r="AE2679" s="466"/>
      <c r="AF2679" s="449"/>
      <c r="AG2679" s="449"/>
      <c r="AH2679" s="449"/>
    </row>
    <row r="2680" ht="11.25" customHeight="1">
      <c r="A2680" s="450"/>
      <c r="B2680" s="451"/>
      <c r="C2680" s="452"/>
      <c r="D2680" s="452"/>
      <c r="E2680" s="453"/>
      <c r="F2680" s="453"/>
      <c r="G2680" s="454"/>
      <c r="H2680" s="454"/>
      <c r="I2680" s="455"/>
      <c r="J2680" s="456"/>
      <c r="K2680" s="467" t="s">
        <v>1417</v>
      </c>
      <c r="L2680" s="468"/>
      <c r="M2680" s="469"/>
      <c r="N2680" s="470"/>
      <c r="O2680" s="470"/>
      <c r="P2680" s="471"/>
      <c r="Q2680" s="468"/>
      <c r="R2680" s="469"/>
      <c r="S2680" s="469"/>
      <c r="T2680" s="469"/>
      <c r="U2680" s="469"/>
      <c r="V2680" s="469"/>
      <c r="W2680" s="469"/>
      <c r="X2680" s="469"/>
      <c r="Y2680" s="462">
        <f t="shared" si="17"/>
        <v>0</v>
      </c>
      <c r="Z2680" s="463"/>
      <c r="AA2680" s="464"/>
      <c r="AB2680" s="465"/>
      <c r="AC2680" s="465"/>
      <c r="AD2680" s="465"/>
      <c r="AE2680" s="466"/>
      <c r="AF2680" s="449"/>
      <c r="AG2680" s="449"/>
      <c r="AH2680" s="449"/>
    </row>
    <row r="2681" ht="11.25" customHeight="1">
      <c r="A2681" s="450"/>
      <c r="B2681" s="472"/>
      <c r="C2681" s="473"/>
      <c r="D2681" s="473"/>
      <c r="E2681" s="474"/>
      <c r="F2681" s="474"/>
      <c r="G2681" s="475"/>
      <c r="H2681" s="475"/>
      <c r="I2681" s="476"/>
      <c r="J2681" s="477"/>
      <c r="K2681" s="478" t="s">
        <v>1418</v>
      </c>
      <c r="L2681" s="479"/>
      <c r="M2681" s="480"/>
      <c r="N2681" s="481"/>
      <c r="O2681" s="481"/>
      <c r="P2681" s="482"/>
      <c r="Q2681" s="479"/>
      <c r="R2681" s="480"/>
      <c r="S2681" s="480"/>
      <c r="T2681" s="480"/>
      <c r="U2681" s="480"/>
      <c r="V2681" s="480"/>
      <c r="W2681" s="480"/>
      <c r="X2681" s="480"/>
      <c r="Y2681" s="483">
        <f t="shared" si="17"/>
        <v>0</v>
      </c>
      <c r="Z2681" s="484"/>
      <c r="AA2681" s="485"/>
      <c r="AB2681" s="486"/>
      <c r="AC2681" s="486"/>
      <c r="AD2681" s="486"/>
      <c r="AE2681" s="487"/>
      <c r="AF2681" s="449"/>
      <c r="AG2681" s="449"/>
      <c r="AH2681" s="449"/>
    </row>
    <row r="2682" ht="11.25" customHeight="1">
      <c r="A2682" s="431" t="str">
        <f>IF(B2682="","", YEAR(B2682))</f>
        <v/>
      </c>
      <c r="B2682" s="432"/>
      <c r="C2682" s="433"/>
      <c r="D2682" s="433"/>
      <c r="E2682" s="434" t="str">
        <f t="shared" ref="E2682:I2682" si="1348">IFERROR(AVERAGE(L2682:L2685),"")</f>
        <v/>
      </c>
      <c r="F2682" s="434" t="str">
        <f t="shared" si="1348"/>
        <v/>
      </c>
      <c r="G2682" s="435" t="str">
        <f t="shared" si="1348"/>
        <v/>
      </c>
      <c r="H2682" s="435" t="str">
        <f t="shared" si="1348"/>
        <v/>
      </c>
      <c r="I2682" s="436" t="str">
        <f t="shared" si="1348"/>
        <v/>
      </c>
      <c r="J2682" s="437">
        <f>SUMIFS(PRODUCTION[KG],PRODUCTION[GRADE],"3X50",PRODUCTION[DATE],B2682,PRODUCTION[BATCH],C2682,PRODUCTION[SHIFT],D2682)</f>
        <v>0</v>
      </c>
      <c r="K2682" s="438" t="s">
        <v>1414</v>
      </c>
      <c r="L2682" s="443"/>
      <c r="M2682" s="440"/>
      <c r="N2682" s="441"/>
      <c r="O2682" s="441"/>
      <c r="P2682" s="442"/>
      <c r="Q2682" s="443"/>
      <c r="R2682" s="440"/>
      <c r="S2682" s="440"/>
      <c r="T2682" s="440"/>
      <c r="U2682" s="440"/>
      <c r="V2682" s="440"/>
      <c r="W2682" s="440"/>
      <c r="X2682" s="440"/>
      <c r="Y2682" s="444">
        <f t="shared" si="17"/>
        <v>0</v>
      </c>
      <c r="Z2682" s="445"/>
      <c r="AA2682" s="446">
        <f t="shared" ref="AA2682:AE2682" si="1349">$J2682*E2682</f>
        <v>0</v>
      </c>
      <c r="AB2682" s="447">
        <f t="shared" si="1349"/>
        <v>0</v>
      </c>
      <c r="AC2682" s="447">
        <f t="shared" si="1349"/>
        <v>0</v>
      </c>
      <c r="AD2682" s="447">
        <f t="shared" si="1349"/>
        <v>0</v>
      </c>
      <c r="AE2682" s="448">
        <f t="shared" si="1349"/>
        <v>0</v>
      </c>
      <c r="AF2682" s="449"/>
      <c r="AG2682" s="449"/>
      <c r="AH2682" s="449"/>
    </row>
    <row r="2683" ht="11.25" customHeight="1">
      <c r="A2683" s="450"/>
      <c r="B2683" s="451"/>
      <c r="C2683" s="452"/>
      <c r="D2683" s="452"/>
      <c r="E2683" s="453"/>
      <c r="F2683" s="453"/>
      <c r="G2683" s="454"/>
      <c r="H2683" s="454"/>
      <c r="I2683" s="455"/>
      <c r="J2683" s="456"/>
      <c r="K2683" s="457" t="s">
        <v>1416</v>
      </c>
      <c r="L2683" s="458"/>
      <c r="M2683" s="459"/>
      <c r="N2683" s="460"/>
      <c r="O2683" s="460"/>
      <c r="P2683" s="461"/>
      <c r="Q2683" s="458"/>
      <c r="R2683" s="459"/>
      <c r="S2683" s="459"/>
      <c r="T2683" s="459"/>
      <c r="U2683" s="459"/>
      <c r="V2683" s="459"/>
      <c r="W2683" s="459"/>
      <c r="X2683" s="459"/>
      <c r="Y2683" s="462">
        <f t="shared" si="17"/>
        <v>0</v>
      </c>
      <c r="Z2683" s="463"/>
      <c r="AA2683" s="464"/>
      <c r="AB2683" s="465"/>
      <c r="AC2683" s="465"/>
      <c r="AD2683" s="465"/>
      <c r="AE2683" s="466"/>
      <c r="AF2683" s="449"/>
      <c r="AG2683" s="449"/>
      <c r="AH2683" s="449"/>
    </row>
    <row r="2684" ht="11.25" customHeight="1">
      <c r="A2684" s="450"/>
      <c r="B2684" s="451"/>
      <c r="C2684" s="452"/>
      <c r="D2684" s="452"/>
      <c r="E2684" s="453"/>
      <c r="F2684" s="453"/>
      <c r="G2684" s="454"/>
      <c r="H2684" s="454"/>
      <c r="I2684" s="455"/>
      <c r="J2684" s="456"/>
      <c r="K2684" s="467" t="s">
        <v>1417</v>
      </c>
      <c r="L2684" s="468"/>
      <c r="M2684" s="469"/>
      <c r="N2684" s="470"/>
      <c r="O2684" s="470"/>
      <c r="P2684" s="471"/>
      <c r="Q2684" s="468"/>
      <c r="R2684" s="469"/>
      <c r="S2684" s="469"/>
      <c r="T2684" s="469"/>
      <c r="U2684" s="469"/>
      <c r="V2684" s="469"/>
      <c r="W2684" s="469"/>
      <c r="X2684" s="469"/>
      <c r="Y2684" s="462">
        <f t="shared" si="17"/>
        <v>0</v>
      </c>
      <c r="Z2684" s="463"/>
      <c r="AA2684" s="464"/>
      <c r="AB2684" s="465"/>
      <c r="AC2684" s="465"/>
      <c r="AD2684" s="465"/>
      <c r="AE2684" s="466"/>
      <c r="AF2684" s="449"/>
      <c r="AG2684" s="449"/>
      <c r="AH2684" s="449"/>
    </row>
    <row r="2685" ht="11.25" customHeight="1">
      <c r="A2685" s="450"/>
      <c r="B2685" s="472"/>
      <c r="C2685" s="473"/>
      <c r="D2685" s="473"/>
      <c r="E2685" s="474"/>
      <c r="F2685" s="474"/>
      <c r="G2685" s="475"/>
      <c r="H2685" s="475"/>
      <c r="I2685" s="476"/>
      <c r="J2685" s="477"/>
      <c r="K2685" s="478" t="s">
        <v>1418</v>
      </c>
      <c r="L2685" s="479"/>
      <c r="M2685" s="480"/>
      <c r="N2685" s="481"/>
      <c r="O2685" s="481"/>
      <c r="P2685" s="482"/>
      <c r="Q2685" s="479"/>
      <c r="R2685" s="480"/>
      <c r="S2685" s="480"/>
      <c r="T2685" s="480"/>
      <c r="U2685" s="480"/>
      <c r="V2685" s="480"/>
      <c r="W2685" s="480"/>
      <c r="X2685" s="480"/>
      <c r="Y2685" s="483">
        <f t="shared" si="17"/>
        <v>0</v>
      </c>
      <c r="Z2685" s="484"/>
      <c r="AA2685" s="485"/>
      <c r="AB2685" s="486"/>
      <c r="AC2685" s="486"/>
      <c r="AD2685" s="486"/>
      <c r="AE2685" s="487"/>
      <c r="AF2685" s="449"/>
      <c r="AG2685" s="449"/>
      <c r="AH2685" s="449"/>
    </row>
    <row r="2686" ht="11.25" customHeight="1">
      <c r="A2686" s="431" t="str">
        <f>IF(B2686="","", YEAR(B2686))</f>
        <v/>
      </c>
      <c r="B2686" s="432"/>
      <c r="C2686" s="433"/>
      <c r="D2686" s="433"/>
      <c r="E2686" s="434" t="str">
        <f t="shared" ref="E2686:I2686" si="1350">IFERROR(AVERAGE(L2686:L2689),"")</f>
        <v/>
      </c>
      <c r="F2686" s="434" t="str">
        <f t="shared" si="1350"/>
        <v/>
      </c>
      <c r="G2686" s="435" t="str">
        <f t="shared" si="1350"/>
        <v/>
      </c>
      <c r="H2686" s="435" t="str">
        <f t="shared" si="1350"/>
        <v/>
      </c>
      <c r="I2686" s="436" t="str">
        <f t="shared" si="1350"/>
        <v/>
      </c>
      <c r="J2686" s="437">
        <f>SUMIFS(PRODUCTION[KG],PRODUCTION[GRADE],"3X50",PRODUCTION[DATE],B2686,PRODUCTION[BATCH],C2686,PRODUCTION[SHIFT],D2686)</f>
        <v>0</v>
      </c>
      <c r="K2686" s="438" t="s">
        <v>1414</v>
      </c>
      <c r="L2686" s="443"/>
      <c r="M2686" s="440"/>
      <c r="N2686" s="441"/>
      <c r="O2686" s="441"/>
      <c r="P2686" s="442"/>
      <c r="Q2686" s="443"/>
      <c r="R2686" s="440"/>
      <c r="S2686" s="440"/>
      <c r="T2686" s="440"/>
      <c r="U2686" s="440"/>
      <c r="V2686" s="440"/>
      <c r="W2686" s="440"/>
      <c r="X2686" s="440"/>
      <c r="Y2686" s="444">
        <f t="shared" si="17"/>
        <v>0</v>
      </c>
      <c r="Z2686" s="445"/>
      <c r="AA2686" s="446">
        <f t="shared" ref="AA2686:AE2686" si="1351">$J2686*E2686</f>
        <v>0</v>
      </c>
      <c r="AB2686" s="447">
        <f t="shared" si="1351"/>
        <v>0</v>
      </c>
      <c r="AC2686" s="447">
        <f t="shared" si="1351"/>
        <v>0</v>
      </c>
      <c r="AD2686" s="447">
        <f t="shared" si="1351"/>
        <v>0</v>
      </c>
      <c r="AE2686" s="448">
        <f t="shared" si="1351"/>
        <v>0</v>
      </c>
      <c r="AF2686" s="449"/>
      <c r="AG2686" s="449"/>
      <c r="AH2686" s="449"/>
    </row>
    <row r="2687" ht="11.25" customHeight="1">
      <c r="A2687" s="450"/>
      <c r="B2687" s="451"/>
      <c r="C2687" s="452"/>
      <c r="D2687" s="452"/>
      <c r="E2687" s="453"/>
      <c r="F2687" s="453"/>
      <c r="G2687" s="454"/>
      <c r="H2687" s="454"/>
      <c r="I2687" s="455"/>
      <c r="J2687" s="456"/>
      <c r="K2687" s="457" t="s">
        <v>1416</v>
      </c>
      <c r="L2687" s="458"/>
      <c r="M2687" s="459"/>
      <c r="N2687" s="460"/>
      <c r="O2687" s="460"/>
      <c r="P2687" s="461"/>
      <c r="Q2687" s="458"/>
      <c r="R2687" s="459"/>
      <c r="S2687" s="459"/>
      <c r="T2687" s="459"/>
      <c r="U2687" s="459"/>
      <c r="V2687" s="459"/>
      <c r="W2687" s="459"/>
      <c r="X2687" s="459"/>
      <c r="Y2687" s="462">
        <f t="shared" si="17"/>
        <v>0</v>
      </c>
      <c r="Z2687" s="463"/>
      <c r="AA2687" s="464"/>
      <c r="AB2687" s="465"/>
      <c r="AC2687" s="465"/>
      <c r="AD2687" s="465"/>
      <c r="AE2687" s="466"/>
      <c r="AF2687" s="449"/>
      <c r="AG2687" s="449"/>
      <c r="AH2687" s="449"/>
    </row>
    <row r="2688" ht="11.25" customHeight="1">
      <c r="A2688" s="450"/>
      <c r="B2688" s="451"/>
      <c r="C2688" s="452"/>
      <c r="D2688" s="452"/>
      <c r="E2688" s="453"/>
      <c r="F2688" s="453"/>
      <c r="G2688" s="454"/>
      <c r="H2688" s="454"/>
      <c r="I2688" s="455"/>
      <c r="J2688" s="456"/>
      <c r="K2688" s="467" t="s">
        <v>1417</v>
      </c>
      <c r="L2688" s="468"/>
      <c r="M2688" s="469"/>
      <c r="N2688" s="470"/>
      <c r="O2688" s="470"/>
      <c r="P2688" s="471"/>
      <c r="Q2688" s="468"/>
      <c r="R2688" s="469"/>
      <c r="S2688" s="469"/>
      <c r="T2688" s="469"/>
      <c r="U2688" s="469"/>
      <c r="V2688" s="469"/>
      <c r="W2688" s="469"/>
      <c r="X2688" s="469"/>
      <c r="Y2688" s="462">
        <f t="shared" si="17"/>
        <v>0</v>
      </c>
      <c r="Z2688" s="463"/>
      <c r="AA2688" s="464"/>
      <c r="AB2688" s="465"/>
      <c r="AC2688" s="465"/>
      <c r="AD2688" s="465"/>
      <c r="AE2688" s="466"/>
      <c r="AF2688" s="449"/>
      <c r="AG2688" s="449"/>
      <c r="AH2688" s="449"/>
    </row>
    <row r="2689" ht="11.25" customHeight="1">
      <c r="A2689" s="450"/>
      <c r="B2689" s="472"/>
      <c r="C2689" s="473"/>
      <c r="D2689" s="473"/>
      <c r="E2689" s="474"/>
      <c r="F2689" s="474"/>
      <c r="G2689" s="475"/>
      <c r="H2689" s="475"/>
      <c r="I2689" s="476"/>
      <c r="J2689" s="477"/>
      <c r="K2689" s="478" t="s">
        <v>1418</v>
      </c>
      <c r="L2689" s="479"/>
      <c r="M2689" s="480"/>
      <c r="N2689" s="481"/>
      <c r="O2689" s="481"/>
      <c r="P2689" s="482"/>
      <c r="Q2689" s="479"/>
      <c r="R2689" s="480"/>
      <c r="S2689" s="480"/>
      <c r="T2689" s="480"/>
      <c r="U2689" s="480"/>
      <c r="V2689" s="480"/>
      <c r="W2689" s="480"/>
      <c r="X2689" s="480"/>
      <c r="Y2689" s="483">
        <f t="shared" si="17"/>
        <v>0</v>
      </c>
      <c r="Z2689" s="484"/>
      <c r="AA2689" s="485"/>
      <c r="AB2689" s="486"/>
      <c r="AC2689" s="486"/>
      <c r="AD2689" s="486"/>
      <c r="AE2689" s="487"/>
      <c r="AF2689" s="449"/>
      <c r="AG2689" s="449"/>
      <c r="AH2689" s="449"/>
    </row>
    <row r="2690" ht="11.25" customHeight="1">
      <c r="A2690" s="431" t="str">
        <f>IF(B2690="","", YEAR(B2690))</f>
        <v/>
      </c>
      <c r="B2690" s="432"/>
      <c r="C2690" s="433"/>
      <c r="D2690" s="433"/>
      <c r="E2690" s="434" t="str">
        <f t="shared" ref="E2690:I2690" si="1352">IFERROR(AVERAGE(L2690:L2693),"")</f>
        <v/>
      </c>
      <c r="F2690" s="434" t="str">
        <f t="shared" si="1352"/>
        <v/>
      </c>
      <c r="G2690" s="435" t="str">
        <f t="shared" si="1352"/>
        <v/>
      </c>
      <c r="H2690" s="435" t="str">
        <f t="shared" si="1352"/>
        <v/>
      </c>
      <c r="I2690" s="436" t="str">
        <f t="shared" si="1352"/>
        <v/>
      </c>
      <c r="J2690" s="437">
        <f>SUMIFS(PRODUCTION[KG],PRODUCTION[GRADE],"3X50",PRODUCTION[DATE],B2690,PRODUCTION[BATCH],C2690,PRODUCTION[SHIFT],D2690)</f>
        <v>0</v>
      </c>
      <c r="K2690" s="438" t="s">
        <v>1414</v>
      </c>
      <c r="L2690" s="443"/>
      <c r="M2690" s="440"/>
      <c r="N2690" s="441"/>
      <c r="O2690" s="441"/>
      <c r="P2690" s="442"/>
      <c r="Q2690" s="443"/>
      <c r="R2690" s="440"/>
      <c r="S2690" s="440"/>
      <c r="T2690" s="440"/>
      <c r="U2690" s="440"/>
      <c r="V2690" s="440"/>
      <c r="W2690" s="440"/>
      <c r="X2690" s="440"/>
      <c r="Y2690" s="444">
        <f t="shared" si="17"/>
        <v>0</v>
      </c>
      <c r="Z2690" s="445"/>
      <c r="AA2690" s="446">
        <f t="shared" ref="AA2690:AE2690" si="1353">$J2690*E2690</f>
        <v>0</v>
      </c>
      <c r="AB2690" s="447">
        <f t="shared" si="1353"/>
        <v>0</v>
      </c>
      <c r="AC2690" s="447">
        <f t="shared" si="1353"/>
        <v>0</v>
      </c>
      <c r="AD2690" s="447">
        <f t="shared" si="1353"/>
        <v>0</v>
      </c>
      <c r="AE2690" s="448">
        <f t="shared" si="1353"/>
        <v>0</v>
      </c>
      <c r="AF2690" s="449"/>
      <c r="AG2690" s="449"/>
      <c r="AH2690" s="449"/>
    </row>
    <row r="2691" ht="11.25" customHeight="1">
      <c r="A2691" s="450"/>
      <c r="B2691" s="451"/>
      <c r="C2691" s="452"/>
      <c r="D2691" s="452"/>
      <c r="E2691" s="453"/>
      <c r="F2691" s="453"/>
      <c r="G2691" s="454"/>
      <c r="H2691" s="454"/>
      <c r="I2691" s="455"/>
      <c r="J2691" s="456"/>
      <c r="K2691" s="457" t="s">
        <v>1416</v>
      </c>
      <c r="L2691" s="458"/>
      <c r="M2691" s="459"/>
      <c r="N2691" s="460"/>
      <c r="O2691" s="460"/>
      <c r="P2691" s="461"/>
      <c r="Q2691" s="458"/>
      <c r="R2691" s="459"/>
      <c r="S2691" s="459"/>
      <c r="T2691" s="459"/>
      <c r="U2691" s="459"/>
      <c r="V2691" s="459"/>
      <c r="W2691" s="459"/>
      <c r="X2691" s="459"/>
      <c r="Y2691" s="462">
        <f t="shared" si="17"/>
        <v>0</v>
      </c>
      <c r="Z2691" s="463"/>
      <c r="AA2691" s="464"/>
      <c r="AB2691" s="465"/>
      <c r="AC2691" s="465"/>
      <c r="AD2691" s="465"/>
      <c r="AE2691" s="466"/>
      <c r="AF2691" s="449"/>
      <c r="AG2691" s="449"/>
      <c r="AH2691" s="449"/>
    </row>
    <row r="2692" ht="11.25" customHeight="1">
      <c r="A2692" s="450"/>
      <c r="B2692" s="451"/>
      <c r="C2692" s="452"/>
      <c r="D2692" s="452"/>
      <c r="E2692" s="453"/>
      <c r="F2692" s="453"/>
      <c r="G2692" s="454"/>
      <c r="H2692" s="454"/>
      <c r="I2692" s="455"/>
      <c r="J2692" s="456"/>
      <c r="K2692" s="467" t="s">
        <v>1417</v>
      </c>
      <c r="L2692" s="468"/>
      <c r="M2692" s="469"/>
      <c r="N2692" s="470"/>
      <c r="O2692" s="470"/>
      <c r="P2692" s="471"/>
      <c r="Q2692" s="468"/>
      <c r="R2692" s="469"/>
      <c r="S2692" s="469"/>
      <c r="T2692" s="469"/>
      <c r="U2692" s="469"/>
      <c r="V2692" s="469"/>
      <c r="W2692" s="469"/>
      <c r="X2692" s="469"/>
      <c r="Y2692" s="462">
        <f t="shared" si="17"/>
        <v>0</v>
      </c>
      <c r="Z2692" s="463"/>
      <c r="AA2692" s="464"/>
      <c r="AB2692" s="465"/>
      <c r="AC2692" s="465"/>
      <c r="AD2692" s="465"/>
      <c r="AE2692" s="466"/>
      <c r="AF2692" s="449"/>
      <c r="AG2692" s="449"/>
      <c r="AH2692" s="449"/>
    </row>
    <row r="2693" ht="11.25" customHeight="1">
      <c r="A2693" s="450"/>
      <c r="B2693" s="472"/>
      <c r="C2693" s="473"/>
      <c r="D2693" s="473"/>
      <c r="E2693" s="474"/>
      <c r="F2693" s="474"/>
      <c r="G2693" s="475"/>
      <c r="H2693" s="475"/>
      <c r="I2693" s="476"/>
      <c r="J2693" s="477"/>
      <c r="K2693" s="478" t="s">
        <v>1418</v>
      </c>
      <c r="L2693" s="479"/>
      <c r="M2693" s="480"/>
      <c r="N2693" s="481"/>
      <c r="O2693" s="481"/>
      <c r="P2693" s="482"/>
      <c r="Q2693" s="479"/>
      <c r="R2693" s="480"/>
      <c r="S2693" s="480"/>
      <c r="T2693" s="480"/>
      <c r="U2693" s="480"/>
      <c r="V2693" s="480"/>
      <c r="W2693" s="480"/>
      <c r="X2693" s="480"/>
      <c r="Y2693" s="483">
        <f t="shared" si="17"/>
        <v>0</v>
      </c>
      <c r="Z2693" s="484"/>
      <c r="AA2693" s="485"/>
      <c r="AB2693" s="486"/>
      <c r="AC2693" s="486"/>
      <c r="AD2693" s="486"/>
      <c r="AE2693" s="487"/>
      <c r="AF2693" s="449"/>
      <c r="AG2693" s="449"/>
      <c r="AH2693" s="449"/>
    </row>
    <row r="2694" ht="11.25" customHeight="1">
      <c r="A2694" s="431" t="str">
        <f>IF(B2694="","", YEAR(B2694))</f>
        <v/>
      </c>
      <c r="B2694" s="432"/>
      <c r="C2694" s="433"/>
      <c r="D2694" s="433"/>
      <c r="E2694" s="434" t="str">
        <f t="shared" ref="E2694:I2694" si="1354">IFERROR(AVERAGE(L2694:L2697),"")</f>
        <v/>
      </c>
      <c r="F2694" s="434" t="str">
        <f t="shared" si="1354"/>
        <v/>
      </c>
      <c r="G2694" s="435" t="str">
        <f t="shared" si="1354"/>
        <v/>
      </c>
      <c r="H2694" s="435" t="str">
        <f t="shared" si="1354"/>
        <v/>
      </c>
      <c r="I2694" s="436" t="str">
        <f t="shared" si="1354"/>
        <v/>
      </c>
      <c r="J2694" s="437">
        <f>SUMIFS(PRODUCTION[KG],PRODUCTION[GRADE],"3X50",PRODUCTION[DATE],B2694,PRODUCTION[BATCH],C2694,PRODUCTION[SHIFT],D2694)</f>
        <v>0</v>
      </c>
      <c r="K2694" s="438" t="s">
        <v>1414</v>
      </c>
      <c r="L2694" s="443"/>
      <c r="M2694" s="440"/>
      <c r="N2694" s="441"/>
      <c r="O2694" s="441"/>
      <c r="P2694" s="442"/>
      <c r="Q2694" s="443"/>
      <c r="R2694" s="440"/>
      <c r="S2694" s="440"/>
      <c r="T2694" s="440"/>
      <c r="U2694" s="440"/>
      <c r="V2694" s="440"/>
      <c r="W2694" s="440"/>
      <c r="X2694" s="440"/>
      <c r="Y2694" s="444">
        <f t="shared" si="17"/>
        <v>0</v>
      </c>
      <c r="Z2694" s="445"/>
      <c r="AA2694" s="446">
        <f t="shared" ref="AA2694:AE2694" si="1355">$J2694*E2694</f>
        <v>0</v>
      </c>
      <c r="AB2694" s="447">
        <f t="shared" si="1355"/>
        <v>0</v>
      </c>
      <c r="AC2694" s="447">
        <f t="shared" si="1355"/>
        <v>0</v>
      </c>
      <c r="AD2694" s="447">
        <f t="shared" si="1355"/>
        <v>0</v>
      </c>
      <c r="AE2694" s="448">
        <f t="shared" si="1355"/>
        <v>0</v>
      </c>
      <c r="AF2694" s="449"/>
      <c r="AG2694" s="449"/>
      <c r="AH2694" s="449"/>
    </row>
    <row r="2695" ht="11.25" customHeight="1">
      <c r="A2695" s="450"/>
      <c r="B2695" s="451"/>
      <c r="C2695" s="452"/>
      <c r="D2695" s="452"/>
      <c r="E2695" s="453"/>
      <c r="F2695" s="453"/>
      <c r="G2695" s="454"/>
      <c r="H2695" s="454"/>
      <c r="I2695" s="455"/>
      <c r="J2695" s="456"/>
      <c r="K2695" s="457" t="s">
        <v>1416</v>
      </c>
      <c r="L2695" s="458"/>
      <c r="M2695" s="459"/>
      <c r="N2695" s="460"/>
      <c r="O2695" s="460"/>
      <c r="P2695" s="461"/>
      <c r="Q2695" s="458"/>
      <c r="R2695" s="459"/>
      <c r="S2695" s="459"/>
      <c r="T2695" s="459"/>
      <c r="U2695" s="459"/>
      <c r="V2695" s="459"/>
      <c r="W2695" s="459"/>
      <c r="X2695" s="459"/>
      <c r="Y2695" s="462">
        <f t="shared" si="17"/>
        <v>0</v>
      </c>
      <c r="Z2695" s="463"/>
      <c r="AA2695" s="464"/>
      <c r="AB2695" s="465"/>
      <c r="AC2695" s="465"/>
      <c r="AD2695" s="465"/>
      <c r="AE2695" s="466"/>
      <c r="AF2695" s="449"/>
      <c r="AG2695" s="449"/>
      <c r="AH2695" s="449"/>
    </row>
    <row r="2696" ht="11.25" customHeight="1">
      <c r="A2696" s="450"/>
      <c r="B2696" s="451"/>
      <c r="C2696" s="452"/>
      <c r="D2696" s="452"/>
      <c r="E2696" s="453"/>
      <c r="F2696" s="453"/>
      <c r="G2696" s="454"/>
      <c r="H2696" s="454"/>
      <c r="I2696" s="455"/>
      <c r="J2696" s="456"/>
      <c r="K2696" s="467" t="s">
        <v>1417</v>
      </c>
      <c r="L2696" s="468"/>
      <c r="M2696" s="469"/>
      <c r="N2696" s="470"/>
      <c r="O2696" s="470"/>
      <c r="P2696" s="471"/>
      <c r="Q2696" s="468"/>
      <c r="R2696" s="469"/>
      <c r="S2696" s="469"/>
      <c r="T2696" s="469"/>
      <c r="U2696" s="469"/>
      <c r="V2696" s="469"/>
      <c r="W2696" s="469"/>
      <c r="X2696" s="469"/>
      <c r="Y2696" s="462">
        <f t="shared" si="17"/>
        <v>0</v>
      </c>
      <c r="Z2696" s="463"/>
      <c r="AA2696" s="464"/>
      <c r="AB2696" s="465"/>
      <c r="AC2696" s="465"/>
      <c r="AD2696" s="465"/>
      <c r="AE2696" s="466"/>
      <c r="AF2696" s="449"/>
      <c r="AG2696" s="449"/>
      <c r="AH2696" s="449"/>
    </row>
    <row r="2697" ht="11.25" customHeight="1">
      <c r="A2697" s="450"/>
      <c r="B2697" s="472"/>
      <c r="C2697" s="473"/>
      <c r="D2697" s="473"/>
      <c r="E2697" s="474"/>
      <c r="F2697" s="474"/>
      <c r="G2697" s="475"/>
      <c r="H2697" s="475"/>
      <c r="I2697" s="476"/>
      <c r="J2697" s="477"/>
      <c r="K2697" s="478" t="s">
        <v>1418</v>
      </c>
      <c r="L2697" s="479"/>
      <c r="M2697" s="480"/>
      <c r="N2697" s="481"/>
      <c r="O2697" s="481"/>
      <c r="P2697" s="482"/>
      <c r="Q2697" s="479"/>
      <c r="R2697" s="480"/>
      <c r="S2697" s="480"/>
      <c r="T2697" s="480"/>
      <c r="U2697" s="480"/>
      <c r="V2697" s="480"/>
      <c r="W2697" s="480"/>
      <c r="X2697" s="480"/>
      <c r="Y2697" s="483">
        <f t="shared" si="17"/>
        <v>0</v>
      </c>
      <c r="Z2697" s="484"/>
      <c r="AA2697" s="485"/>
      <c r="AB2697" s="486"/>
      <c r="AC2697" s="486"/>
      <c r="AD2697" s="486"/>
      <c r="AE2697" s="487"/>
      <c r="AF2697" s="449"/>
      <c r="AG2697" s="449"/>
      <c r="AH2697" s="449"/>
    </row>
    <row r="2698" ht="11.25" customHeight="1">
      <c r="A2698" s="431" t="str">
        <f>IF(B2698="","", YEAR(B2698))</f>
        <v/>
      </c>
      <c r="B2698" s="432"/>
      <c r="C2698" s="433"/>
      <c r="D2698" s="433"/>
      <c r="E2698" s="434" t="str">
        <f t="shared" ref="E2698:I2698" si="1356">IFERROR(AVERAGE(L2698:L2701),"")</f>
        <v/>
      </c>
      <c r="F2698" s="434" t="str">
        <f t="shared" si="1356"/>
        <v/>
      </c>
      <c r="G2698" s="435" t="str">
        <f t="shared" si="1356"/>
        <v/>
      </c>
      <c r="H2698" s="435" t="str">
        <f t="shared" si="1356"/>
        <v/>
      </c>
      <c r="I2698" s="436" t="str">
        <f t="shared" si="1356"/>
        <v/>
      </c>
      <c r="J2698" s="437">
        <f>SUMIFS(PRODUCTION[KG],PRODUCTION[GRADE],"3X50",PRODUCTION[DATE],B2698,PRODUCTION[BATCH],C2698,PRODUCTION[SHIFT],D2698)</f>
        <v>0</v>
      </c>
      <c r="K2698" s="438" t="s">
        <v>1414</v>
      </c>
      <c r="L2698" s="443"/>
      <c r="M2698" s="440"/>
      <c r="N2698" s="441"/>
      <c r="O2698" s="441"/>
      <c r="P2698" s="442"/>
      <c r="Q2698" s="443"/>
      <c r="R2698" s="440"/>
      <c r="S2698" s="440"/>
      <c r="T2698" s="440"/>
      <c r="U2698" s="440"/>
      <c r="V2698" s="440"/>
      <c r="W2698" s="440"/>
      <c r="X2698" s="440"/>
      <c r="Y2698" s="444">
        <f t="shared" si="17"/>
        <v>0</v>
      </c>
      <c r="Z2698" s="445"/>
      <c r="AA2698" s="446">
        <f t="shared" ref="AA2698:AE2698" si="1357">$J2698*E2698</f>
        <v>0</v>
      </c>
      <c r="AB2698" s="447">
        <f t="shared" si="1357"/>
        <v>0</v>
      </c>
      <c r="AC2698" s="447">
        <f t="shared" si="1357"/>
        <v>0</v>
      </c>
      <c r="AD2698" s="447">
        <f t="shared" si="1357"/>
        <v>0</v>
      </c>
      <c r="AE2698" s="448">
        <f t="shared" si="1357"/>
        <v>0</v>
      </c>
      <c r="AF2698" s="449"/>
      <c r="AG2698" s="449"/>
      <c r="AH2698" s="449"/>
    </row>
    <row r="2699" ht="11.25" customHeight="1">
      <c r="A2699" s="450"/>
      <c r="B2699" s="451"/>
      <c r="C2699" s="452"/>
      <c r="D2699" s="452"/>
      <c r="E2699" s="453"/>
      <c r="F2699" s="453"/>
      <c r="G2699" s="454"/>
      <c r="H2699" s="454"/>
      <c r="I2699" s="455"/>
      <c r="J2699" s="456"/>
      <c r="K2699" s="457" t="s">
        <v>1416</v>
      </c>
      <c r="L2699" s="458"/>
      <c r="M2699" s="459"/>
      <c r="N2699" s="460"/>
      <c r="O2699" s="460"/>
      <c r="P2699" s="461"/>
      <c r="Q2699" s="458"/>
      <c r="R2699" s="459"/>
      <c r="S2699" s="459"/>
      <c r="T2699" s="459"/>
      <c r="U2699" s="459"/>
      <c r="V2699" s="459"/>
      <c r="W2699" s="459"/>
      <c r="X2699" s="459"/>
      <c r="Y2699" s="462">
        <f t="shared" si="17"/>
        <v>0</v>
      </c>
      <c r="Z2699" s="463"/>
      <c r="AA2699" s="464"/>
      <c r="AB2699" s="465"/>
      <c r="AC2699" s="465"/>
      <c r="AD2699" s="465"/>
      <c r="AE2699" s="466"/>
      <c r="AF2699" s="449"/>
      <c r="AG2699" s="449"/>
      <c r="AH2699" s="449"/>
    </row>
    <row r="2700" ht="11.25" customHeight="1">
      <c r="A2700" s="450"/>
      <c r="B2700" s="451"/>
      <c r="C2700" s="452"/>
      <c r="D2700" s="452"/>
      <c r="E2700" s="453"/>
      <c r="F2700" s="453"/>
      <c r="G2700" s="454"/>
      <c r="H2700" s="454"/>
      <c r="I2700" s="455"/>
      <c r="J2700" s="456"/>
      <c r="K2700" s="467" t="s">
        <v>1417</v>
      </c>
      <c r="L2700" s="468"/>
      <c r="M2700" s="469"/>
      <c r="N2700" s="470"/>
      <c r="O2700" s="470"/>
      <c r="P2700" s="471"/>
      <c r="Q2700" s="468"/>
      <c r="R2700" s="469"/>
      <c r="S2700" s="469"/>
      <c r="T2700" s="469"/>
      <c r="U2700" s="469"/>
      <c r="V2700" s="469"/>
      <c r="W2700" s="469"/>
      <c r="X2700" s="469"/>
      <c r="Y2700" s="462">
        <f t="shared" si="17"/>
        <v>0</v>
      </c>
      <c r="Z2700" s="463"/>
      <c r="AA2700" s="464"/>
      <c r="AB2700" s="465"/>
      <c r="AC2700" s="465"/>
      <c r="AD2700" s="465"/>
      <c r="AE2700" s="466"/>
      <c r="AF2700" s="449"/>
      <c r="AG2700" s="449"/>
      <c r="AH2700" s="449"/>
    </row>
    <row r="2701" ht="11.25" customHeight="1">
      <c r="A2701" s="450"/>
      <c r="B2701" s="472"/>
      <c r="C2701" s="473"/>
      <c r="D2701" s="473"/>
      <c r="E2701" s="474"/>
      <c r="F2701" s="474"/>
      <c r="G2701" s="475"/>
      <c r="H2701" s="475"/>
      <c r="I2701" s="476"/>
      <c r="J2701" s="477"/>
      <c r="K2701" s="478" t="s">
        <v>1418</v>
      </c>
      <c r="L2701" s="479"/>
      <c r="M2701" s="480"/>
      <c r="N2701" s="481"/>
      <c r="O2701" s="481"/>
      <c r="P2701" s="482"/>
      <c r="Q2701" s="479"/>
      <c r="R2701" s="480"/>
      <c r="S2701" s="480"/>
      <c r="T2701" s="480"/>
      <c r="U2701" s="480"/>
      <c r="V2701" s="480"/>
      <c r="W2701" s="480"/>
      <c r="X2701" s="480"/>
      <c r="Y2701" s="483">
        <f t="shared" si="17"/>
        <v>0</v>
      </c>
      <c r="Z2701" s="484"/>
      <c r="AA2701" s="485"/>
      <c r="AB2701" s="486"/>
      <c r="AC2701" s="486"/>
      <c r="AD2701" s="486"/>
      <c r="AE2701" s="487"/>
      <c r="AF2701" s="449"/>
      <c r="AG2701" s="449"/>
      <c r="AH2701" s="449"/>
    </row>
    <row r="2702" ht="11.25" customHeight="1">
      <c r="A2702" s="431" t="str">
        <f>IF(B2702="","", YEAR(B2702))</f>
        <v/>
      </c>
      <c r="B2702" s="432"/>
      <c r="C2702" s="433"/>
      <c r="D2702" s="433"/>
      <c r="E2702" s="434" t="str">
        <f t="shared" ref="E2702:I2702" si="1358">IFERROR(AVERAGE(L2702:L2705),"")</f>
        <v/>
      </c>
      <c r="F2702" s="434" t="str">
        <f t="shared" si="1358"/>
        <v/>
      </c>
      <c r="G2702" s="435" t="str">
        <f t="shared" si="1358"/>
        <v/>
      </c>
      <c r="H2702" s="435" t="str">
        <f t="shared" si="1358"/>
        <v/>
      </c>
      <c r="I2702" s="436" t="str">
        <f t="shared" si="1358"/>
        <v/>
      </c>
      <c r="J2702" s="437">
        <f>SUMIFS(PRODUCTION[KG],PRODUCTION[GRADE],"3X50",PRODUCTION[DATE],B2702,PRODUCTION[BATCH],C2702,PRODUCTION[SHIFT],D2702)</f>
        <v>0</v>
      </c>
      <c r="K2702" s="438" t="s">
        <v>1414</v>
      </c>
      <c r="L2702" s="443"/>
      <c r="M2702" s="440"/>
      <c r="N2702" s="441"/>
      <c r="O2702" s="441"/>
      <c r="P2702" s="442"/>
      <c r="Q2702" s="443"/>
      <c r="R2702" s="440"/>
      <c r="S2702" s="440"/>
      <c r="T2702" s="440"/>
      <c r="U2702" s="440"/>
      <c r="V2702" s="440"/>
      <c r="W2702" s="440"/>
      <c r="X2702" s="440"/>
      <c r="Y2702" s="444">
        <f t="shared" si="17"/>
        <v>0</v>
      </c>
      <c r="Z2702" s="445"/>
      <c r="AA2702" s="446">
        <f t="shared" ref="AA2702:AE2702" si="1359">$J2702*E2702</f>
        <v>0</v>
      </c>
      <c r="AB2702" s="447">
        <f t="shared" si="1359"/>
        <v>0</v>
      </c>
      <c r="AC2702" s="447">
        <f t="shared" si="1359"/>
        <v>0</v>
      </c>
      <c r="AD2702" s="447">
        <f t="shared" si="1359"/>
        <v>0</v>
      </c>
      <c r="AE2702" s="448">
        <f t="shared" si="1359"/>
        <v>0</v>
      </c>
      <c r="AF2702" s="449"/>
      <c r="AG2702" s="449"/>
      <c r="AH2702" s="449"/>
    </row>
    <row r="2703" ht="11.25" customHeight="1">
      <c r="A2703" s="450"/>
      <c r="B2703" s="451"/>
      <c r="C2703" s="452"/>
      <c r="D2703" s="452"/>
      <c r="E2703" s="453"/>
      <c r="F2703" s="453"/>
      <c r="G2703" s="454"/>
      <c r="H2703" s="454"/>
      <c r="I2703" s="455"/>
      <c r="J2703" s="456"/>
      <c r="K2703" s="457" t="s">
        <v>1416</v>
      </c>
      <c r="L2703" s="458"/>
      <c r="M2703" s="459"/>
      <c r="N2703" s="460"/>
      <c r="O2703" s="460"/>
      <c r="P2703" s="461"/>
      <c r="Q2703" s="458"/>
      <c r="R2703" s="459"/>
      <c r="S2703" s="459"/>
      <c r="T2703" s="459"/>
      <c r="U2703" s="459"/>
      <c r="V2703" s="459"/>
      <c r="W2703" s="459"/>
      <c r="X2703" s="459"/>
      <c r="Y2703" s="462">
        <f t="shared" si="17"/>
        <v>0</v>
      </c>
      <c r="Z2703" s="463"/>
      <c r="AA2703" s="464"/>
      <c r="AB2703" s="465"/>
      <c r="AC2703" s="465"/>
      <c r="AD2703" s="465"/>
      <c r="AE2703" s="466"/>
      <c r="AF2703" s="449"/>
      <c r="AG2703" s="449"/>
      <c r="AH2703" s="449"/>
    </row>
    <row r="2704" ht="11.25" customHeight="1">
      <c r="A2704" s="450"/>
      <c r="B2704" s="451"/>
      <c r="C2704" s="452"/>
      <c r="D2704" s="452"/>
      <c r="E2704" s="453"/>
      <c r="F2704" s="453"/>
      <c r="G2704" s="454"/>
      <c r="H2704" s="454"/>
      <c r="I2704" s="455"/>
      <c r="J2704" s="456"/>
      <c r="K2704" s="467" t="s">
        <v>1417</v>
      </c>
      <c r="L2704" s="468"/>
      <c r="M2704" s="469"/>
      <c r="N2704" s="470"/>
      <c r="O2704" s="470"/>
      <c r="P2704" s="471"/>
      <c r="Q2704" s="468"/>
      <c r="R2704" s="469"/>
      <c r="S2704" s="469"/>
      <c r="T2704" s="469"/>
      <c r="U2704" s="469"/>
      <c r="V2704" s="469"/>
      <c r="W2704" s="469"/>
      <c r="X2704" s="469"/>
      <c r="Y2704" s="462">
        <f t="shared" si="17"/>
        <v>0</v>
      </c>
      <c r="Z2704" s="463"/>
      <c r="AA2704" s="464"/>
      <c r="AB2704" s="465"/>
      <c r="AC2704" s="465"/>
      <c r="AD2704" s="465"/>
      <c r="AE2704" s="466"/>
      <c r="AF2704" s="449"/>
      <c r="AG2704" s="449"/>
      <c r="AH2704" s="449"/>
    </row>
    <row r="2705" ht="11.25" customHeight="1">
      <c r="A2705" s="450"/>
      <c r="B2705" s="472"/>
      <c r="C2705" s="473"/>
      <c r="D2705" s="473"/>
      <c r="E2705" s="474"/>
      <c r="F2705" s="474"/>
      <c r="G2705" s="475"/>
      <c r="H2705" s="475"/>
      <c r="I2705" s="476"/>
      <c r="J2705" s="477"/>
      <c r="K2705" s="478" t="s">
        <v>1418</v>
      </c>
      <c r="L2705" s="479"/>
      <c r="M2705" s="480"/>
      <c r="N2705" s="481"/>
      <c r="O2705" s="481"/>
      <c r="P2705" s="482"/>
      <c r="Q2705" s="479"/>
      <c r="R2705" s="480"/>
      <c r="S2705" s="480"/>
      <c r="T2705" s="480"/>
      <c r="U2705" s="480"/>
      <c r="V2705" s="480"/>
      <c r="W2705" s="480"/>
      <c r="X2705" s="480"/>
      <c r="Y2705" s="483">
        <f t="shared" si="17"/>
        <v>0</v>
      </c>
      <c r="Z2705" s="484"/>
      <c r="AA2705" s="485"/>
      <c r="AB2705" s="486"/>
      <c r="AC2705" s="486"/>
      <c r="AD2705" s="486"/>
      <c r="AE2705" s="487"/>
      <c r="AF2705" s="449"/>
      <c r="AG2705" s="449"/>
      <c r="AH2705" s="449"/>
    </row>
    <row r="2706" ht="11.25" customHeight="1">
      <c r="A2706" s="431" t="str">
        <f>IF(B2706="","", YEAR(B2706))</f>
        <v/>
      </c>
      <c r="B2706" s="432"/>
      <c r="C2706" s="433"/>
      <c r="D2706" s="433"/>
      <c r="E2706" s="434" t="str">
        <f t="shared" ref="E2706:I2706" si="1360">IFERROR(AVERAGE(L2706:L2709),"")</f>
        <v/>
      </c>
      <c r="F2706" s="434" t="str">
        <f t="shared" si="1360"/>
        <v/>
      </c>
      <c r="G2706" s="435" t="str">
        <f t="shared" si="1360"/>
        <v/>
      </c>
      <c r="H2706" s="435" t="str">
        <f t="shared" si="1360"/>
        <v/>
      </c>
      <c r="I2706" s="436" t="str">
        <f t="shared" si="1360"/>
        <v/>
      </c>
      <c r="J2706" s="437">
        <f>SUMIFS(PRODUCTION[KG],PRODUCTION[GRADE],"3X50",PRODUCTION[DATE],B2706,PRODUCTION[BATCH],C2706,PRODUCTION[SHIFT],D2706)</f>
        <v>0</v>
      </c>
      <c r="K2706" s="438" t="s">
        <v>1414</v>
      </c>
      <c r="L2706" s="443"/>
      <c r="M2706" s="440"/>
      <c r="N2706" s="441"/>
      <c r="O2706" s="441"/>
      <c r="P2706" s="442"/>
      <c r="Q2706" s="443"/>
      <c r="R2706" s="440"/>
      <c r="S2706" s="440"/>
      <c r="T2706" s="440"/>
      <c r="U2706" s="440"/>
      <c r="V2706" s="440"/>
      <c r="W2706" s="440"/>
      <c r="X2706" s="440"/>
      <c r="Y2706" s="444">
        <f t="shared" si="17"/>
        <v>0</v>
      </c>
      <c r="Z2706" s="445"/>
      <c r="AA2706" s="446">
        <f t="shared" ref="AA2706:AE2706" si="1361">$J2706*E2706</f>
        <v>0</v>
      </c>
      <c r="AB2706" s="447">
        <f t="shared" si="1361"/>
        <v>0</v>
      </c>
      <c r="AC2706" s="447">
        <f t="shared" si="1361"/>
        <v>0</v>
      </c>
      <c r="AD2706" s="447">
        <f t="shared" si="1361"/>
        <v>0</v>
      </c>
      <c r="AE2706" s="448">
        <f t="shared" si="1361"/>
        <v>0</v>
      </c>
      <c r="AF2706" s="449"/>
      <c r="AG2706" s="449"/>
      <c r="AH2706" s="449"/>
    </row>
    <row r="2707" ht="11.25" customHeight="1">
      <c r="A2707" s="450"/>
      <c r="B2707" s="451"/>
      <c r="C2707" s="452"/>
      <c r="D2707" s="452"/>
      <c r="E2707" s="453"/>
      <c r="F2707" s="453"/>
      <c r="G2707" s="454"/>
      <c r="H2707" s="454"/>
      <c r="I2707" s="455"/>
      <c r="J2707" s="456"/>
      <c r="K2707" s="457" t="s">
        <v>1416</v>
      </c>
      <c r="L2707" s="458"/>
      <c r="M2707" s="459"/>
      <c r="N2707" s="460"/>
      <c r="O2707" s="460"/>
      <c r="P2707" s="461"/>
      <c r="Q2707" s="458"/>
      <c r="R2707" s="459"/>
      <c r="S2707" s="459"/>
      <c r="T2707" s="459"/>
      <c r="U2707" s="459"/>
      <c r="V2707" s="459"/>
      <c r="W2707" s="459"/>
      <c r="X2707" s="459"/>
      <c r="Y2707" s="462">
        <f t="shared" si="17"/>
        <v>0</v>
      </c>
      <c r="Z2707" s="463"/>
      <c r="AA2707" s="464"/>
      <c r="AB2707" s="465"/>
      <c r="AC2707" s="465"/>
      <c r="AD2707" s="465"/>
      <c r="AE2707" s="466"/>
      <c r="AF2707" s="449"/>
      <c r="AG2707" s="449"/>
      <c r="AH2707" s="449"/>
    </row>
    <row r="2708" ht="11.25" customHeight="1">
      <c r="A2708" s="450"/>
      <c r="B2708" s="451"/>
      <c r="C2708" s="452"/>
      <c r="D2708" s="452"/>
      <c r="E2708" s="453"/>
      <c r="F2708" s="453"/>
      <c r="G2708" s="454"/>
      <c r="H2708" s="454"/>
      <c r="I2708" s="455"/>
      <c r="J2708" s="456"/>
      <c r="K2708" s="467" t="s">
        <v>1417</v>
      </c>
      <c r="L2708" s="468"/>
      <c r="M2708" s="469"/>
      <c r="N2708" s="470"/>
      <c r="O2708" s="470"/>
      <c r="P2708" s="471"/>
      <c r="Q2708" s="468"/>
      <c r="R2708" s="469"/>
      <c r="S2708" s="469"/>
      <c r="T2708" s="469"/>
      <c r="U2708" s="469"/>
      <c r="V2708" s="469"/>
      <c r="W2708" s="469"/>
      <c r="X2708" s="469"/>
      <c r="Y2708" s="462">
        <f t="shared" si="17"/>
        <v>0</v>
      </c>
      <c r="Z2708" s="463"/>
      <c r="AA2708" s="464"/>
      <c r="AB2708" s="465"/>
      <c r="AC2708" s="465"/>
      <c r="AD2708" s="465"/>
      <c r="AE2708" s="466"/>
      <c r="AF2708" s="449"/>
      <c r="AG2708" s="449"/>
      <c r="AH2708" s="449"/>
    </row>
    <row r="2709" ht="11.25" customHeight="1">
      <c r="A2709" s="450"/>
      <c r="B2709" s="472"/>
      <c r="C2709" s="473"/>
      <c r="D2709" s="473"/>
      <c r="E2709" s="474"/>
      <c r="F2709" s="474"/>
      <c r="G2709" s="475"/>
      <c r="H2709" s="475"/>
      <c r="I2709" s="476"/>
      <c r="J2709" s="477"/>
      <c r="K2709" s="478" t="s">
        <v>1418</v>
      </c>
      <c r="L2709" s="479"/>
      <c r="M2709" s="480"/>
      <c r="N2709" s="481"/>
      <c r="O2709" s="481"/>
      <c r="P2709" s="482"/>
      <c r="Q2709" s="479"/>
      <c r="R2709" s="480"/>
      <c r="S2709" s="480"/>
      <c r="T2709" s="480"/>
      <c r="U2709" s="480"/>
      <c r="V2709" s="480"/>
      <c r="W2709" s="480"/>
      <c r="X2709" s="480"/>
      <c r="Y2709" s="483">
        <f t="shared" si="17"/>
        <v>0</v>
      </c>
      <c r="Z2709" s="484"/>
      <c r="AA2709" s="485"/>
      <c r="AB2709" s="486"/>
      <c r="AC2709" s="486"/>
      <c r="AD2709" s="486"/>
      <c r="AE2709" s="487"/>
      <c r="AF2709" s="449"/>
      <c r="AG2709" s="449"/>
      <c r="AH2709" s="449"/>
    </row>
    <row r="2710" ht="11.25" customHeight="1">
      <c r="A2710" s="431" t="str">
        <f>IF(B2710="","", YEAR(B2710))</f>
        <v/>
      </c>
      <c r="B2710" s="432"/>
      <c r="C2710" s="433"/>
      <c r="D2710" s="433"/>
      <c r="E2710" s="434" t="str">
        <f t="shared" ref="E2710:I2710" si="1362">IFERROR(AVERAGE(L2710:L2713),"")</f>
        <v/>
      </c>
      <c r="F2710" s="434" t="str">
        <f t="shared" si="1362"/>
        <v/>
      </c>
      <c r="G2710" s="435" t="str">
        <f t="shared" si="1362"/>
        <v/>
      </c>
      <c r="H2710" s="435" t="str">
        <f t="shared" si="1362"/>
        <v/>
      </c>
      <c r="I2710" s="436" t="str">
        <f t="shared" si="1362"/>
        <v/>
      </c>
      <c r="J2710" s="437">
        <f>SUMIFS(PRODUCTION[KG],PRODUCTION[GRADE],"3X50",PRODUCTION[DATE],B2710,PRODUCTION[BATCH],C2710,PRODUCTION[SHIFT],D2710)</f>
        <v>0</v>
      </c>
      <c r="K2710" s="438" t="s">
        <v>1414</v>
      </c>
      <c r="L2710" s="443"/>
      <c r="M2710" s="440"/>
      <c r="N2710" s="441"/>
      <c r="O2710" s="441"/>
      <c r="P2710" s="442"/>
      <c r="Q2710" s="443"/>
      <c r="R2710" s="440"/>
      <c r="S2710" s="440"/>
      <c r="T2710" s="440"/>
      <c r="U2710" s="440"/>
      <c r="V2710" s="440"/>
      <c r="W2710" s="440"/>
      <c r="X2710" s="440"/>
      <c r="Y2710" s="444">
        <f t="shared" si="17"/>
        <v>0</v>
      </c>
      <c r="Z2710" s="445"/>
      <c r="AA2710" s="446">
        <f t="shared" ref="AA2710:AE2710" si="1363">$J2710*E2710</f>
        <v>0</v>
      </c>
      <c r="AB2710" s="447">
        <f t="shared" si="1363"/>
        <v>0</v>
      </c>
      <c r="AC2710" s="447">
        <f t="shared" si="1363"/>
        <v>0</v>
      </c>
      <c r="AD2710" s="447">
        <f t="shared" si="1363"/>
        <v>0</v>
      </c>
      <c r="AE2710" s="448">
        <f t="shared" si="1363"/>
        <v>0</v>
      </c>
      <c r="AF2710" s="449"/>
      <c r="AG2710" s="449"/>
      <c r="AH2710" s="449"/>
    </row>
    <row r="2711" ht="11.25" customHeight="1">
      <c r="A2711" s="450"/>
      <c r="B2711" s="451"/>
      <c r="C2711" s="452"/>
      <c r="D2711" s="452"/>
      <c r="E2711" s="453"/>
      <c r="F2711" s="453"/>
      <c r="G2711" s="454"/>
      <c r="H2711" s="454"/>
      <c r="I2711" s="455"/>
      <c r="J2711" s="456"/>
      <c r="K2711" s="457" t="s">
        <v>1416</v>
      </c>
      <c r="L2711" s="458"/>
      <c r="M2711" s="459"/>
      <c r="N2711" s="460"/>
      <c r="O2711" s="460"/>
      <c r="P2711" s="461"/>
      <c r="Q2711" s="458"/>
      <c r="R2711" s="459"/>
      <c r="S2711" s="459"/>
      <c r="T2711" s="459"/>
      <c r="U2711" s="459"/>
      <c r="V2711" s="459"/>
      <c r="W2711" s="459"/>
      <c r="X2711" s="459"/>
      <c r="Y2711" s="462">
        <f t="shared" si="17"/>
        <v>0</v>
      </c>
      <c r="Z2711" s="463"/>
      <c r="AA2711" s="464"/>
      <c r="AB2711" s="465"/>
      <c r="AC2711" s="465"/>
      <c r="AD2711" s="465"/>
      <c r="AE2711" s="466"/>
      <c r="AF2711" s="449"/>
      <c r="AG2711" s="449"/>
      <c r="AH2711" s="449"/>
    </row>
    <row r="2712" ht="11.25" customHeight="1">
      <c r="A2712" s="450"/>
      <c r="B2712" s="451"/>
      <c r="C2712" s="452"/>
      <c r="D2712" s="452"/>
      <c r="E2712" s="453"/>
      <c r="F2712" s="453"/>
      <c r="G2712" s="454"/>
      <c r="H2712" s="454"/>
      <c r="I2712" s="455"/>
      <c r="J2712" s="456"/>
      <c r="K2712" s="467" t="s">
        <v>1417</v>
      </c>
      <c r="L2712" s="468"/>
      <c r="M2712" s="469"/>
      <c r="N2712" s="470"/>
      <c r="O2712" s="470"/>
      <c r="P2712" s="471"/>
      <c r="Q2712" s="468"/>
      <c r="R2712" s="469"/>
      <c r="S2712" s="469"/>
      <c r="T2712" s="469"/>
      <c r="U2712" s="469"/>
      <c r="V2712" s="469"/>
      <c r="W2712" s="469"/>
      <c r="X2712" s="469"/>
      <c r="Y2712" s="462">
        <f t="shared" si="17"/>
        <v>0</v>
      </c>
      <c r="Z2712" s="463"/>
      <c r="AA2712" s="464"/>
      <c r="AB2712" s="465"/>
      <c r="AC2712" s="465"/>
      <c r="AD2712" s="465"/>
      <c r="AE2712" s="466"/>
      <c r="AF2712" s="449"/>
      <c r="AG2712" s="449"/>
      <c r="AH2712" s="449"/>
    </row>
    <row r="2713" ht="11.25" customHeight="1">
      <c r="A2713" s="450"/>
      <c r="B2713" s="472"/>
      <c r="C2713" s="473"/>
      <c r="D2713" s="473"/>
      <c r="E2713" s="474"/>
      <c r="F2713" s="474"/>
      <c r="G2713" s="475"/>
      <c r="H2713" s="475"/>
      <c r="I2713" s="476"/>
      <c r="J2713" s="477"/>
      <c r="K2713" s="478" t="s">
        <v>1418</v>
      </c>
      <c r="L2713" s="479"/>
      <c r="M2713" s="480"/>
      <c r="N2713" s="481"/>
      <c r="O2713" s="481"/>
      <c r="P2713" s="482"/>
      <c r="Q2713" s="479"/>
      <c r="R2713" s="480"/>
      <c r="S2713" s="480"/>
      <c r="T2713" s="480"/>
      <c r="U2713" s="480"/>
      <c r="V2713" s="480"/>
      <c r="W2713" s="480"/>
      <c r="X2713" s="480"/>
      <c r="Y2713" s="483">
        <f t="shared" si="17"/>
        <v>0</v>
      </c>
      <c r="Z2713" s="484"/>
      <c r="AA2713" s="485"/>
      <c r="AB2713" s="486"/>
      <c r="AC2713" s="486"/>
      <c r="AD2713" s="486"/>
      <c r="AE2713" s="487"/>
      <c r="AF2713" s="449"/>
      <c r="AG2713" s="449"/>
      <c r="AH2713" s="449"/>
    </row>
    <row r="2714" ht="11.25" customHeight="1">
      <c r="A2714" s="431" t="str">
        <f>IF(B2714="","", YEAR(B2714))</f>
        <v/>
      </c>
      <c r="B2714" s="432"/>
      <c r="C2714" s="433"/>
      <c r="D2714" s="433"/>
      <c r="E2714" s="434" t="str">
        <f t="shared" ref="E2714:I2714" si="1364">IFERROR(AVERAGE(L2714:L2717),"")</f>
        <v/>
      </c>
      <c r="F2714" s="434" t="str">
        <f t="shared" si="1364"/>
        <v/>
      </c>
      <c r="G2714" s="435" t="str">
        <f t="shared" si="1364"/>
        <v/>
      </c>
      <c r="H2714" s="435" t="str">
        <f t="shared" si="1364"/>
        <v/>
      </c>
      <c r="I2714" s="436" t="str">
        <f t="shared" si="1364"/>
        <v/>
      </c>
      <c r="J2714" s="437">
        <f>SUMIFS(PRODUCTION[KG],PRODUCTION[GRADE],"3X50",PRODUCTION[DATE],B2714,PRODUCTION[BATCH],C2714,PRODUCTION[SHIFT],D2714)</f>
        <v>0</v>
      </c>
      <c r="K2714" s="438" t="s">
        <v>1414</v>
      </c>
      <c r="L2714" s="443"/>
      <c r="M2714" s="440"/>
      <c r="N2714" s="441"/>
      <c r="O2714" s="441"/>
      <c r="P2714" s="442"/>
      <c r="Q2714" s="443"/>
      <c r="R2714" s="440"/>
      <c r="S2714" s="440"/>
      <c r="T2714" s="440"/>
      <c r="U2714" s="440"/>
      <c r="V2714" s="440"/>
      <c r="W2714" s="440"/>
      <c r="X2714" s="440"/>
      <c r="Y2714" s="444">
        <f t="shared" si="17"/>
        <v>0</v>
      </c>
      <c r="Z2714" s="445"/>
      <c r="AA2714" s="446">
        <f t="shared" ref="AA2714:AE2714" si="1365">$J2714*E2714</f>
        <v>0</v>
      </c>
      <c r="AB2714" s="447">
        <f t="shared" si="1365"/>
        <v>0</v>
      </c>
      <c r="AC2714" s="447">
        <f t="shared" si="1365"/>
        <v>0</v>
      </c>
      <c r="AD2714" s="447">
        <f t="shared" si="1365"/>
        <v>0</v>
      </c>
      <c r="AE2714" s="448">
        <f t="shared" si="1365"/>
        <v>0</v>
      </c>
      <c r="AF2714" s="449"/>
      <c r="AG2714" s="449"/>
      <c r="AH2714" s="449"/>
    </row>
    <row r="2715" ht="11.25" customHeight="1">
      <c r="A2715" s="450"/>
      <c r="B2715" s="451"/>
      <c r="C2715" s="452"/>
      <c r="D2715" s="452"/>
      <c r="E2715" s="453"/>
      <c r="F2715" s="453"/>
      <c r="G2715" s="454"/>
      <c r="H2715" s="454"/>
      <c r="I2715" s="455"/>
      <c r="J2715" s="456"/>
      <c r="K2715" s="457" t="s">
        <v>1416</v>
      </c>
      <c r="L2715" s="458"/>
      <c r="M2715" s="459"/>
      <c r="N2715" s="460"/>
      <c r="O2715" s="460"/>
      <c r="P2715" s="461"/>
      <c r="Q2715" s="458"/>
      <c r="R2715" s="459"/>
      <c r="S2715" s="459"/>
      <c r="T2715" s="459"/>
      <c r="U2715" s="459"/>
      <c r="V2715" s="459"/>
      <c r="W2715" s="459"/>
      <c r="X2715" s="459"/>
      <c r="Y2715" s="462">
        <f t="shared" si="17"/>
        <v>0</v>
      </c>
      <c r="Z2715" s="463"/>
      <c r="AA2715" s="464"/>
      <c r="AB2715" s="465"/>
      <c r="AC2715" s="465"/>
      <c r="AD2715" s="465"/>
      <c r="AE2715" s="466"/>
      <c r="AF2715" s="449"/>
      <c r="AG2715" s="449"/>
      <c r="AH2715" s="449"/>
    </row>
    <row r="2716" ht="11.25" customHeight="1">
      <c r="A2716" s="450"/>
      <c r="B2716" s="451"/>
      <c r="C2716" s="452"/>
      <c r="D2716" s="452"/>
      <c r="E2716" s="453"/>
      <c r="F2716" s="453"/>
      <c r="G2716" s="454"/>
      <c r="H2716" s="454"/>
      <c r="I2716" s="455"/>
      <c r="J2716" s="456"/>
      <c r="K2716" s="467" t="s">
        <v>1417</v>
      </c>
      <c r="L2716" s="468"/>
      <c r="M2716" s="469"/>
      <c r="N2716" s="470"/>
      <c r="O2716" s="470"/>
      <c r="P2716" s="471"/>
      <c r="Q2716" s="468"/>
      <c r="R2716" s="469"/>
      <c r="S2716" s="469"/>
      <c r="T2716" s="469"/>
      <c r="U2716" s="469"/>
      <c r="V2716" s="469"/>
      <c r="W2716" s="469"/>
      <c r="X2716" s="469"/>
      <c r="Y2716" s="462">
        <f t="shared" si="17"/>
        <v>0</v>
      </c>
      <c r="Z2716" s="463"/>
      <c r="AA2716" s="464"/>
      <c r="AB2716" s="465"/>
      <c r="AC2716" s="465"/>
      <c r="AD2716" s="465"/>
      <c r="AE2716" s="466"/>
      <c r="AF2716" s="449"/>
      <c r="AG2716" s="449"/>
      <c r="AH2716" s="449"/>
    </row>
    <row r="2717" ht="11.25" customHeight="1">
      <c r="A2717" s="450"/>
      <c r="B2717" s="472"/>
      <c r="C2717" s="473"/>
      <c r="D2717" s="473"/>
      <c r="E2717" s="474"/>
      <c r="F2717" s="474"/>
      <c r="G2717" s="475"/>
      <c r="H2717" s="475"/>
      <c r="I2717" s="476"/>
      <c r="J2717" s="477"/>
      <c r="K2717" s="478" t="s">
        <v>1418</v>
      </c>
      <c r="L2717" s="479"/>
      <c r="M2717" s="480"/>
      <c r="N2717" s="481"/>
      <c r="O2717" s="481"/>
      <c r="P2717" s="482"/>
      <c r="Q2717" s="479"/>
      <c r="R2717" s="480"/>
      <c r="S2717" s="480"/>
      <c r="T2717" s="480"/>
      <c r="U2717" s="480"/>
      <c r="V2717" s="480"/>
      <c r="W2717" s="480"/>
      <c r="X2717" s="480"/>
      <c r="Y2717" s="483">
        <f t="shared" si="17"/>
        <v>0</v>
      </c>
      <c r="Z2717" s="484"/>
      <c r="AA2717" s="485"/>
      <c r="AB2717" s="486"/>
      <c r="AC2717" s="486"/>
      <c r="AD2717" s="486"/>
      <c r="AE2717" s="487"/>
      <c r="AF2717" s="449"/>
      <c r="AG2717" s="449"/>
      <c r="AH2717" s="449"/>
    </row>
    <row r="2718" ht="11.25" customHeight="1">
      <c r="A2718" s="431" t="str">
        <f>IF(B2718="","", YEAR(B2718))</f>
        <v/>
      </c>
      <c r="B2718" s="432"/>
      <c r="C2718" s="433"/>
      <c r="D2718" s="433"/>
      <c r="E2718" s="434" t="str">
        <f t="shared" ref="E2718:I2718" si="1366">IFERROR(AVERAGE(L2718:L2721),"")</f>
        <v/>
      </c>
      <c r="F2718" s="434" t="str">
        <f t="shared" si="1366"/>
        <v/>
      </c>
      <c r="G2718" s="435" t="str">
        <f t="shared" si="1366"/>
        <v/>
      </c>
      <c r="H2718" s="435" t="str">
        <f t="shared" si="1366"/>
        <v/>
      </c>
      <c r="I2718" s="436" t="str">
        <f t="shared" si="1366"/>
        <v/>
      </c>
      <c r="J2718" s="437">
        <f>SUMIFS(PRODUCTION[KG],PRODUCTION[GRADE],"3X50",PRODUCTION[DATE],B2718,PRODUCTION[BATCH],C2718,PRODUCTION[SHIFT],D2718)</f>
        <v>0</v>
      </c>
      <c r="K2718" s="438" t="s">
        <v>1414</v>
      </c>
      <c r="L2718" s="443"/>
      <c r="M2718" s="440"/>
      <c r="N2718" s="441"/>
      <c r="O2718" s="441"/>
      <c r="P2718" s="442"/>
      <c r="Q2718" s="443"/>
      <c r="R2718" s="440"/>
      <c r="S2718" s="440"/>
      <c r="T2718" s="440"/>
      <c r="U2718" s="440"/>
      <c r="V2718" s="440"/>
      <c r="W2718" s="440"/>
      <c r="X2718" s="440"/>
      <c r="Y2718" s="444">
        <f t="shared" si="17"/>
        <v>0</v>
      </c>
      <c r="Z2718" s="445"/>
      <c r="AA2718" s="446">
        <f t="shared" ref="AA2718:AE2718" si="1367">$J2718*E2718</f>
        <v>0</v>
      </c>
      <c r="AB2718" s="447">
        <f t="shared" si="1367"/>
        <v>0</v>
      </c>
      <c r="AC2718" s="447">
        <f t="shared" si="1367"/>
        <v>0</v>
      </c>
      <c r="AD2718" s="447">
        <f t="shared" si="1367"/>
        <v>0</v>
      </c>
      <c r="AE2718" s="448">
        <f t="shared" si="1367"/>
        <v>0</v>
      </c>
      <c r="AF2718" s="449"/>
      <c r="AG2718" s="449"/>
      <c r="AH2718" s="449"/>
    </row>
    <row r="2719" ht="11.25" customHeight="1">
      <c r="A2719" s="450"/>
      <c r="B2719" s="451"/>
      <c r="C2719" s="452"/>
      <c r="D2719" s="452"/>
      <c r="E2719" s="453"/>
      <c r="F2719" s="453"/>
      <c r="G2719" s="454"/>
      <c r="H2719" s="454"/>
      <c r="I2719" s="455"/>
      <c r="J2719" s="456"/>
      <c r="K2719" s="457" t="s">
        <v>1416</v>
      </c>
      <c r="L2719" s="458"/>
      <c r="M2719" s="459"/>
      <c r="N2719" s="460"/>
      <c r="O2719" s="460"/>
      <c r="P2719" s="461"/>
      <c r="Q2719" s="458"/>
      <c r="R2719" s="459"/>
      <c r="S2719" s="459"/>
      <c r="T2719" s="459"/>
      <c r="U2719" s="459"/>
      <c r="V2719" s="459"/>
      <c r="W2719" s="459"/>
      <c r="X2719" s="459"/>
      <c r="Y2719" s="462">
        <f t="shared" si="17"/>
        <v>0</v>
      </c>
      <c r="Z2719" s="463"/>
      <c r="AA2719" s="464"/>
      <c r="AB2719" s="465"/>
      <c r="AC2719" s="465"/>
      <c r="AD2719" s="465"/>
      <c r="AE2719" s="466"/>
      <c r="AF2719" s="449"/>
      <c r="AG2719" s="449"/>
      <c r="AH2719" s="449"/>
    </row>
    <row r="2720" ht="11.25" customHeight="1">
      <c r="A2720" s="450"/>
      <c r="B2720" s="451"/>
      <c r="C2720" s="452"/>
      <c r="D2720" s="452"/>
      <c r="E2720" s="453"/>
      <c r="F2720" s="453"/>
      <c r="G2720" s="454"/>
      <c r="H2720" s="454"/>
      <c r="I2720" s="455"/>
      <c r="J2720" s="456"/>
      <c r="K2720" s="467" t="s">
        <v>1417</v>
      </c>
      <c r="L2720" s="468"/>
      <c r="M2720" s="469"/>
      <c r="N2720" s="470"/>
      <c r="O2720" s="470"/>
      <c r="P2720" s="471"/>
      <c r="Q2720" s="468"/>
      <c r="R2720" s="469"/>
      <c r="S2720" s="469"/>
      <c r="T2720" s="469"/>
      <c r="U2720" s="469"/>
      <c r="V2720" s="469"/>
      <c r="W2720" s="469"/>
      <c r="X2720" s="469"/>
      <c r="Y2720" s="462">
        <f t="shared" si="17"/>
        <v>0</v>
      </c>
      <c r="Z2720" s="463"/>
      <c r="AA2720" s="464"/>
      <c r="AB2720" s="465"/>
      <c r="AC2720" s="465"/>
      <c r="AD2720" s="465"/>
      <c r="AE2720" s="466"/>
      <c r="AF2720" s="449"/>
      <c r="AG2720" s="449"/>
      <c r="AH2720" s="449"/>
    </row>
    <row r="2721" ht="11.25" customHeight="1">
      <c r="A2721" s="450"/>
      <c r="B2721" s="472"/>
      <c r="C2721" s="473"/>
      <c r="D2721" s="473"/>
      <c r="E2721" s="474"/>
      <c r="F2721" s="474"/>
      <c r="G2721" s="475"/>
      <c r="H2721" s="475"/>
      <c r="I2721" s="476"/>
      <c r="J2721" s="477"/>
      <c r="K2721" s="478" t="s">
        <v>1418</v>
      </c>
      <c r="L2721" s="479"/>
      <c r="M2721" s="480"/>
      <c r="N2721" s="481"/>
      <c r="O2721" s="481"/>
      <c r="P2721" s="482"/>
      <c r="Q2721" s="479"/>
      <c r="R2721" s="480"/>
      <c r="S2721" s="480"/>
      <c r="T2721" s="480"/>
      <c r="U2721" s="480"/>
      <c r="V2721" s="480"/>
      <c r="W2721" s="480"/>
      <c r="X2721" s="480"/>
      <c r="Y2721" s="483">
        <f t="shared" si="17"/>
        <v>0</v>
      </c>
      <c r="Z2721" s="484"/>
      <c r="AA2721" s="485"/>
      <c r="AB2721" s="486"/>
      <c r="AC2721" s="486"/>
      <c r="AD2721" s="486"/>
      <c r="AE2721" s="487"/>
      <c r="AF2721" s="449"/>
      <c r="AG2721" s="449"/>
      <c r="AH2721" s="449"/>
    </row>
    <row r="2722" ht="11.25" customHeight="1">
      <c r="A2722" s="431" t="str">
        <f>IF(B2722="","", YEAR(B2722))</f>
        <v/>
      </c>
      <c r="B2722" s="432"/>
      <c r="C2722" s="433"/>
      <c r="D2722" s="433"/>
      <c r="E2722" s="434" t="str">
        <f t="shared" ref="E2722:I2722" si="1368">IFERROR(AVERAGE(L2722:L2725),"")</f>
        <v/>
      </c>
      <c r="F2722" s="434" t="str">
        <f t="shared" si="1368"/>
        <v/>
      </c>
      <c r="G2722" s="435" t="str">
        <f t="shared" si="1368"/>
        <v/>
      </c>
      <c r="H2722" s="435" t="str">
        <f t="shared" si="1368"/>
        <v/>
      </c>
      <c r="I2722" s="436" t="str">
        <f t="shared" si="1368"/>
        <v/>
      </c>
      <c r="J2722" s="437">
        <f>SUMIFS(PRODUCTION[KG],PRODUCTION[GRADE],"3X50",PRODUCTION[DATE],B2722,PRODUCTION[BATCH],C2722,PRODUCTION[SHIFT],D2722)</f>
        <v>0</v>
      </c>
      <c r="K2722" s="438" t="s">
        <v>1414</v>
      </c>
      <c r="L2722" s="443"/>
      <c r="M2722" s="440"/>
      <c r="N2722" s="441"/>
      <c r="O2722" s="441"/>
      <c r="P2722" s="442"/>
      <c r="Q2722" s="443"/>
      <c r="R2722" s="440"/>
      <c r="S2722" s="440"/>
      <c r="T2722" s="440"/>
      <c r="U2722" s="440"/>
      <c r="V2722" s="440"/>
      <c r="W2722" s="440"/>
      <c r="X2722" s="440"/>
      <c r="Y2722" s="444">
        <f t="shared" si="17"/>
        <v>0</v>
      </c>
      <c r="Z2722" s="445"/>
      <c r="AA2722" s="446">
        <f t="shared" ref="AA2722:AE2722" si="1369">$J2722*E2722</f>
        <v>0</v>
      </c>
      <c r="AB2722" s="447">
        <f t="shared" si="1369"/>
        <v>0</v>
      </c>
      <c r="AC2722" s="447">
        <f t="shared" si="1369"/>
        <v>0</v>
      </c>
      <c r="AD2722" s="447">
        <f t="shared" si="1369"/>
        <v>0</v>
      </c>
      <c r="AE2722" s="448">
        <f t="shared" si="1369"/>
        <v>0</v>
      </c>
      <c r="AF2722" s="449"/>
      <c r="AG2722" s="449"/>
      <c r="AH2722" s="449"/>
    </row>
    <row r="2723" ht="11.25" customHeight="1">
      <c r="A2723" s="450"/>
      <c r="B2723" s="451"/>
      <c r="C2723" s="452"/>
      <c r="D2723" s="452"/>
      <c r="E2723" s="453"/>
      <c r="F2723" s="453"/>
      <c r="G2723" s="454"/>
      <c r="H2723" s="454"/>
      <c r="I2723" s="455"/>
      <c r="J2723" s="456"/>
      <c r="K2723" s="457" t="s">
        <v>1416</v>
      </c>
      <c r="L2723" s="458"/>
      <c r="M2723" s="459"/>
      <c r="N2723" s="460"/>
      <c r="O2723" s="460"/>
      <c r="P2723" s="461"/>
      <c r="Q2723" s="458"/>
      <c r="R2723" s="459"/>
      <c r="S2723" s="459"/>
      <c r="T2723" s="459"/>
      <c r="U2723" s="459"/>
      <c r="V2723" s="459"/>
      <c r="W2723" s="459"/>
      <c r="X2723" s="459"/>
      <c r="Y2723" s="462">
        <f t="shared" si="17"/>
        <v>0</v>
      </c>
      <c r="Z2723" s="463"/>
      <c r="AA2723" s="464"/>
      <c r="AB2723" s="465"/>
      <c r="AC2723" s="465"/>
      <c r="AD2723" s="465"/>
      <c r="AE2723" s="466"/>
      <c r="AF2723" s="449"/>
      <c r="AG2723" s="449"/>
      <c r="AH2723" s="449"/>
    </row>
    <row r="2724" ht="11.25" customHeight="1">
      <c r="A2724" s="450"/>
      <c r="B2724" s="451"/>
      <c r="C2724" s="452"/>
      <c r="D2724" s="452"/>
      <c r="E2724" s="453"/>
      <c r="F2724" s="453"/>
      <c r="G2724" s="454"/>
      <c r="H2724" s="454"/>
      <c r="I2724" s="455"/>
      <c r="J2724" s="456"/>
      <c r="K2724" s="467" t="s">
        <v>1417</v>
      </c>
      <c r="L2724" s="468"/>
      <c r="M2724" s="469"/>
      <c r="N2724" s="470"/>
      <c r="O2724" s="470"/>
      <c r="P2724" s="471"/>
      <c r="Q2724" s="468"/>
      <c r="R2724" s="469"/>
      <c r="S2724" s="469"/>
      <c r="T2724" s="469"/>
      <c r="U2724" s="469"/>
      <c r="V2724" s="469"/>
      <c r="W2724" s="469"/>
      <c r="X2724" s="469"/>
      <c r="Y2724" s="462">
        <f t="shared" si="17"/>
        <v>0</v>
      </c>
      <c r="Z2724" s="463"/>
      <c r="AA2724" s="464"/>
      <c r="AB2724" s="465"/>
      <c r="AC2724" s="465"/>
      <c r="AD2724" s="465"/>
      <c r="AE2724" s="466"/>
      <c r="AF2724" s="449"/>
      <c r="AG2724" s="449"/>
      <c r="AH2724" s="449"/>
    </row>
    <row r="2725" ht="11.25" customHeight="1">
      <c r="A2725" s="450"/>
      <c r="B2725" s="472"/>
      <c r="C2725" s="473"/>
      <c r="D2725" s="473"/>
      <c r="E2725" s="474"/>
      <c r="F2725" s="474"/>
      <c r="G2725" s="475"/>
      <c r="H2725" s="475"/>
      <c r="I2725" s="476"/>
      <c r="J2725" s="477"/>
      <c r="K2725" s="478" t="s">
        <v>1418</v>
      </c>
      <c r="L2725" s="479"/>
      <c r="M2725" s="480"/>
      <c r="N2725" s="481"/>
      <c r="O2725" s="481"/>
      <c r="P2725" s="482"/>
      <c r="Q2725" s="479"/>
      <c r="R2725" s="480"/>
      <c r="S2725" s="480"/>
      <c r="T2725" s="480"/>
      <c r="U2725" s="480"/>
      <c r="V2725" s="480"/>
      <c r="W2725" s="480"/>
      <c r="X2725" s="480"/>
      <c r="Y2725" s="483">
        <f t="shared" si="17"/>
        <v>0</v>
      </c>
      <c r="Z2725" s="484"/>
      <c r="AA2725" s="485"/>
      <c r="AB2725" s="486"/>
      <c r="AC2725" s="486"/>
      <c r="AD2725" s="486"/>
      <c r="AE2725" s="487"/>
      <c r="AF2725" s="449"/>
      <c r="AG2725" s="449"/>
      <c r="AH2725" s="449"/>
    </row>
    <row r="2726" ht="11.25" customHeight="1">
      <c r="A2726" s="431" t="str">
        <f>IF(B2726="","", YEAR(B2726))</f>
        <v/>
      </c>
      <c r="B2726" s="432"/>
      <c r="C2726" s="433"/>
      <c r="D2726" s="433"/>
      <c r="E2726" s="434" t="str">
        <f t="shared" ref="E2726:I2726" si="1370">IFERROR(AVERAGE(L2726:L2729),"")</f>
        <v/>
      </c>
      <c r="F2726" s="434" t="str">
        <f t="shared" si="1370"/>
        <v/>
      </c>
      <c r="G2726" s="435" t="str">
        <f t="shared" si="1370"/>
        <v/>
      </c>
      <c r="H2726" s="435" t="str">
        <f t="shared" si="1370"/>
        <v/>
      </c>
      <c r="I2726" s="436" t="str">
        <f t="shared" si="1370"/>
        <v/>
      </c>
      <c r="J2726" s="437">
        <f>SUMIFS(PRODUCTION[KG],PRODUCTION[GRADE],"3X50",PRODUCTION[DATE],B2726,PRODUCTION[BATCH],C2726,PRODUCTION[SHIFT],D2726)</f>
        <v>0</v>
      </c>
      <c r="K2726" s="438" t="s">
        <v>1414</v>
      </c>
      <c r="L2726" s="443"/>
      <c r="M2726" s="440"/>
      <c r="N2726" s="441"/>
      <c r="O2726" s="441"/>
      <c r="P2726" s="442"/>
      <c r="Q2726" s="443"/>
      <c r="R2726" s="440"/>
      <c r="S2726" s="440"/>
      <c r="T2726" s="440"/>
      <c r="U2726" s="440"/>
      <c r="V2726" s="440"/>
      <c r="W2726" s="440"/>
      <c r="X2726" s="440"/>
      <c r="Y2726" s="444">
        <f t="shared" si="17"/>
        <v>0</v>
      </c>
      <c r="Z2726" s="445"/>
      <c r="AA2726" s="446">
        <f t="shared" ref="AA2726:AE2726" si="1371">$J2726*E2726</f>
        <v>0</v>
      </c>
      <c r="AB2726" s="447">
        <f t="shared" si="1371"/>
        <v>0</v>
      </c>
      <c r="AC2726" s="447">
        <f t="shared" si="1371"/>
        <v>0</v>
      </c>
      <c r="AD2726" s="447">
        <f t="shared" si="1371"/>
        <v>0</v>
      </c>
      <c r="AE2726" s="448">
        <f t="shared" si="1371"/>
        <v>0</v>
      </c>
      <c r="AF2726" s="449"/>
      <c r="AG2726" s="449"/>
      <c r="AH2726" s="449"/>
    </row>
    <row r="2727" ht="11.25" customHeight="1">
      <c r="A2727" s="450"/>
      <c r="B2727" s="451"/>
      <c r="C2727" s="452"/>
      <c r="D2727" s="452"/>
      <c r="E2727" s="453"/>
      <c r="F2727" s="453"/>
      <c r="G2727" s="454"/>
      <c r="H2727" s="454"/>
      <c r="I2727" s="455"/>
      <c r="J2727" s="456"/>
      <c r="K2727" s="457" t="s">
        <v>1416</v>
      </c>
      <c r="L2727" s="458"/>
      <c r="M2727" s="459"/>
      <c r="N2727" s="460"/>
      <c r="O2727" s="460"/>
      <c r="P2727" s="461"/>
      <c r="Q2727" s="458"/>
      <c r="R2727" s="459"/>
      <c r="S2727" s="459"/>
      <c r="T2727" s="459"/>
      <c r="U2727" s="459"/>
      <c r="V2727" s="459"/>
      <c r="W2727" s="459"/>
      <c r="X2727" s="459"/>
      <c r="Y2727" s="462">
        <f t="shared" si="17"/>
        <v>0</v>
      </c>
      <c r="Z2727" s="463"/>
      <c r="AA2727" s="464"/>
      <c r="AB2727" s="465"/>
      <c r="AC2727" s="465"/>
      <c r="AD2727" s="465"/>
      <c r="AE2727" s="466"/>
      <c r="AF2727" s="449"/>
      <c r="AG2727" s="449"/>
      <c r="AH2727" s="449"/>
    </row>
    <row r="2728" ht="11.25" customHeight="1">
      <c r="A2728" s="450"/>
      <c r="B2728" s="451"/>
      <c r="C2728" s="452"/>
      <c r="D2728" s="452"/>
      <c r="E2728" s="453"/>
      <c r="F2728" s="453"/>
      <c r="G2728" s="454"/>
      <c r="H2728" s="454"/>
      <c r="I2728" s="455"/>
      <c r="J2728" s="456"/>
      <c r="K2728" s="467" t="s">
        <v>1417</v>
      </c>
      <c r="L2728" s="468"/>
      <c r="M2728" s="469"/>
      <c r="N2728" s="470"/>
      <c r="O2728" s="470"/>
      <c r="P2728" s="471"/>
      <c r="Q2728" s="468"/>
      <c r="R2728" s="469"/>
      <c r="S2728" s="469"/>
      <c r="T2728" s="469"/>
      <c r="U2728" s="469"/>
      <c r="V2728" s="469"/>
      <c r="W2728" s="469"/>
      <c r="X2728" s="469"/>
      <c r="Y2728" s="462">
        <f t="shared" si="17"/>
        <v>0</v>
      </c>
      <c r="Z2728" s="463"/>
      <c r="AA2728" s="464"/>
      <c r="AB2728" s="465"/>
      <c r="AC2728" s="465"/>
      <c r="AD2728" s="465"/>
      <c r="AE2728" s="466"/>
      <c r="AF2728" s="449"/>
      <c r="AG2728" s="449"/>
      <c r="AH2728" s="449"/>
    </row>
    <row r="2729" ht="11.25" customHeight="1">
      <c r="A2729" s="450"/>
      <c r="B2729" s="472"/>
      <c r="C2729" s="473"/>
      <c r="D2729" s="473"/>
      <c r="E2729" s="474"/>
      <c r="F2729" s="474"/>
      <c r="G2729" s="475"/>
      <c r="H2729" s="475"/>
      <c r="I2729" s="476"/>
      <c r="J2729" s="477"/>
      <c r="K2729" s="478" t="s">
        <v>1418</v>
      </c>
      <c r="L2729" s="479"/>
      <c r="M2729" s="480"/>
      <c r="N2729" s="481"/>
      <c r="O2729" s="481"/>
      <c r="P2729" s="482"/>
      <c r="Q2729" s="479"/>
      <c r="R2729" s="480"/>
      <c r="S2729" s="480"/>
      <c r="T2729" s="480"/>
      <c r="U2729" s="480"/>
      <c r="V2729" s="480"/>
      <c r="W2729" s="480"/>
      <c r="X2729" s="480"/>
      <c r="Y2729" s="483">
        <f t="shared" si="17"/>
        <v>0</v>
      </c>
      <c r="Z2729" s="484"/>
      <c r="AA2729" s="485"/>
      <c r="AB2729" s="486"/>
      <c r="AC2729" s="486"/>
      <c r="AD2729" s="486"/>
      <c r="AE2729" s="487"/>
      <c r="AF2729" s="449"/>
      <c r="AG2729" s="449"/>
      <c r="AH2729" s="449"/>
    </row>
    <row r="2730" ht="11.25" customHeight="1">
      <c r="A2730" s="431" t="str">
        <f>IF(B2730="","", YEAR(B2730))</f>
        <v/>
      </c>
      <c r="B2730" s="432"/>
      <c r="C2730" s="433"/>
      <c r="D2730" s="433"/>
      <c r="E2730" s="434" t="str">
        <f t="shared" ref="E2730:I2730" si="1372">IFERROR(AVERAGE(L2730:L2733),"")</f>
        <v/>
      </c>
      <c r="F2730" s="434" t="str">
        <f t="shared" si="1372"/>
        <v/>
      </c>
      <c r="G2730" s="435" t="str">
        <f t="shared" si="1372"/>
        <v/>
      </c>
      <c r="H2730" s="435" t="str">
        <f t="shared" si="1372"/>
        <v/>
      </c>
      <c r="I2730" s="436" t="str">
        <f t="shared" si="1372"/>
        <v/>
      </c>
      <c r="J2730" s="437">
        <f>SUMIFS(PRODUCTION[KG],PRODUCTION[GRADE],"3X50",PRODUCTION[DATE],B2730,PRODUCTION[BATCH],C2730,PRODUCTION[SHIFT],D2730)</f>
        <v>0</v>
      </c>
      <c r="K2730" s="438" t="s">
        <v>1414</v>
      </c>
      <c r="L2730" s="443"/>
      <c r="M2730" s="440"/>
      <c r="N2730" s="441"/>
      <c r="O2730" s="441"/>
      <c r="P2730" s="442"/>
      <c r="Q2730" s="443"/>
      <c r="R2730" s="440"/>
      <c r="S2730" s="440"/>
      <c r="T2730" s="440"/>
      <c r="U2730" s="440"/>
      <c r="V2730" s="440"/>
      <c r="W2730" s="440"/>
      <c r="X2730" s="440"/>
      <c r="Y2730" s="444">
        <f t="shared" si="17"/>
        <v>0</v>
      </c>
      <c r="Z2730" s="445"/>
      <c r="AA2730" s="446">
        <f t="shared" ref="AA2730:AE2730" si="1373">$J2730*E2730</f>
        <v>0</v>
      </c>
      <c r="AB2730" s="447">
        <f t="shared" si="1373"/>
        <v>0</v>
      </c>
      <c r="AC2730" s="447">
        <f t="shared" si="1373"/>
        <v>0</v>
      </c>
      <c r="AD2730" s="447">
        <f t="shared" si="1373"/>
        <v>0</v>
      </c>
      <c r="AE2730" s="448">
        <f t="shared" si="1373"/>
        <v>0</v>
      </c>
      <c r="AF2730" s="449"/>
      <c r="AG2730" s="449"/>
      <c r="AH2730" s="449"/>
    </row>
    <row r="2731" ht="11.25" customHeight="1">
      <c r="A2731" s="450"/>
      <c r="B2731" s="451"/>
      <c r="C2731" s="452"/>
      <c r="D2731" s="452"/>
      <c r="E2731" s="453"/>
      <c r="F2731" s="453"/>
      <c r="G2731" s="454"/>
      <c r="H2731" s="454"/>
      <c r="I2731" s="455"/>
      <c r="J2731" s="456"/>
      <c r="K2731" s="457" t="s">
        <v>1416</v>
      </c>
      <c r="L2731" s="458"/>
      <c r="M2731" s="459"/>
      <c r="N2731" s="460"/>
      <c r="O2731" s="460"/>
      <c r="P2731" s="461"/>
      <c r="Q2731" s="458"/>
      <c r="R2731" s="459"/>
      <c r="S2731" s="459"/>
      <c r="T2731" s="459"/>
      <c r="U2731" s="459"/>
      <c r="V2731" s="459"/>
      <c r="W2731" s="459"/>
      <c r="X2731" s="459"/>
      <c r="Y2731" s="462">
        <f t="shared" si="17"/>
        <v>0</v>
      </c>
      <c r="Z2731" s="463"/>
      <c r="AA2731" s="464"/>
      <c r="AB2731" s="465"/>
      <c r="AC2731" s="465"/>
      <c r="AD2731" s="465"/>
      <c r="AE2731" s="466"/>
      <c r="AF2731" s="449"/>
      <c r="AG2731" s="449"/>
      <c r="AH2731" s="449"/>
    </row>
    <row r="2732" ht="11.25" customHeight="1">
      <c r="A2732" s="450"/>
      <c r="B2732" s="451"/>
      <c r="C2732" s="452"/>
      <c r="D2732" s="452"/>
      <c r="E2732" s="453"/>
      <c r="F2732" s="453"/>
      <c r="G2732" s="454"/>
      <c r="H2732" s="454"/>
      <c r="I2732" s="455"/>
      <c r="J2732" s="456"/>
      <c r="K2732" s="467" t="s">
        <v>1417</v>
      </c>
      <c r="L2732" s="468"/>
      <c r="M2732" s="469"/>
      <c r="N2732" s="470"/>
      <c r="O2732" s="470"/>
      <c r="P2732" s="471"/>
      <c r="Q2732" s="468"/>
      <c r="R2732" s="469"/>
      <c r="S2732" s="469"/>
      <c r="T2732" s="469"/>
      <c r="U2732" s="469"/>
      <c r="V2732" s="469"/>
      <c r="W2732" s="469"/>
      <c r="X2732" s="469"/>
      <c r="Y2732" s="462">
        <f t="shared" si="17"/>
        <v>0</v>
      </c>
      <c r="Z2732" s="463"/>
      <c r="AA2732" s="464"/>
      <c r="AB2732" s="465"/>
      <c r="AC2732" s="465"/>
      <c r="AD2732" s="465"/>
      <c r="AE2732" s="466"/>
      <c r="AF2732" s="449"/>
      <c r="AG2732" s="449"/>
      <c r="AH2732" s="449"/>
    </row>
    <row r="2733" ht="11.25" customHeight="1">
      <c r="A2733" s="450"/>
      <c r="B2733" s="472"/>
      <c r="C2733" s="473"/>
      <c r="D2733" s="473"/>
      <c r="E2733" s="474"/>
      <c r="F2733" s="474"/>
      <c r="G2733" s="475"/>
      <c r="H2733" s="475"/>
      <c r="I2733" s="476"/>
      <c r="J2733" s="477"/>
      <c r="K2733" s="478" t="s">
        <v>1418</v>
      </c>
      <c r="L2733" s="479"/>
      <c r="M2733" s="480"/>
      <c r="N2733" s="481"/>
      <c r="O2733" s="481"/>
      <c r="P2733" s="482"/>
      <c r="Q2733" s="479"/>
      <c r="R2733" s="480"/>
      <c r="S2733" s="480"/>
      <c r="T2733" s="480"/>
      <c r="U2733" s="480"/>
      <c r="V2733" s="480"/>
      <c r="W2733" s="480"/>
      <c r="X2733" s="480"/>
      <c r="Y2733" s="483">
        <f t="shared" si="17"/>
        <v>0</v>
      </c>
      <c r="Z2733" s="484"/>
      <c r="AA2733" s="485"/>
      <c r="AB2733" s="486"/>
      <c r="AC2733" s="486"/>
      <c r="AD2733" s="486"/>
      <c r="AE2733" s="487"/>
      <c r="AF2733" s="449"/>
      <c r="AG2733" s="449"/>
      <c r="AH2733" s="449"/>
    </row>
    <row r="2734" ht="11.25" customHeight="1">
      <c r="A2734" s="431" t="str">
        <f>IF(B2734="","", YEAR(B2734))</f>
        <v/>
      </c>
      <c r="B2734" s="432"/>
      <c r="C2734" s="433"/>
      <c r="D2734" s="433"/>
      <c r="E2734" s="434" t="str">
        <f t="shared" ref="E2734:I2734" si="1374">IFERROR(AVERAGE(L2734:L2737),"")</f>
        <v/>
      </c>
      <c r="F2734" s="434" t="str">
        <f t="shared" si="1374"/>
        <v/>
      </c>
      <c r="G2734" s="435" t="str">
        <f t="shared" si="1374"/>
        <v/>
      </c>
      <c r="H2734" s="435" t="str">
        <f t="shared" si="1374"/>
        <v/>
      </c>
      <c r="I2734" s="436" t="str">
        <f t="shared" si="1374"/>
        <v/>
      </c>
      <c r="J2734" s="437">
        <f>SUMIFS(PRODUCTION[KG],PRODUCTION[GRADE],"3X50",PRODUCTION[DATE],B2734,PRODUCTION[BATCH],C2734,PRODUCTION[SHIFT],D2734)</f>
        <v>0</v>
      </c>
      <c r="K2734" s="438" t="s">
        <v>1414</v>
      </c>
      <c r="L2734" s="443"/>
      <c r="M2734" s="440"/>
      <c r="N2734" s="441"/>
      <c r="O2734" s="441"/>
      <c r="P2734" s="442"/>
      <c r="Q2734" s="443"/>
      <c r="R2734" s="440"/>
      <c r="S2734" s="440"/>
      <c r="T2734" s="440"/>
      <c r="U2734" s="440"/>
      <c r="V2734" s="440"/>
      <c r="W2734" s="440"/>
      <c r="X2734" s="440"/>
      <c r="Y2734" s="444">
        <f t="shared" si="17"/>
        <v>0</v>
      </c>
      <c r="Z2734" s="445"/>
      <c r="AA2734" s="446">
        <f t="shared" ref="AA2734:AE2734" si="1375">$J2734*E2734</f>
        <v>0</v>
      </c>
      <c r="AB2734" s="447">
        <f t="shared" si="1375"/>
        <v>0</v>
      </c>
      <c r="AC2734" s="447">
        <f t="shared" si="1375"/>
        <v>0</v>
      </c>
      <c r="AD2734" s="447">
        <f t="shared" si="1375"/>
        <v>0</v>
      </c>
      <c r="AE2734" s="448">
        <f t="shared" si="1375"/>
        <v>0</v>
      </c>
      <c r="AF2734" s="449"/>
      <c r="AG2734" s="449"/>
      <c r="AH2734" s="449"/>
    </row>
    <row r="2735" ht="11.25" customHeight="1">
      <c r="A2735" s="450"/>
      <c r="B2735" s="451"/>
      <c r="C2735" s="452"/>
      <c r="D2735" s="452"/>
      <c r="E2735" s="453"/>
      <c r="F2735" s="453"/>
      <c r="G2735" s="454"/>
      <c r="H2735" s="454"/>
      <c r="I2735" s="455"/>
      <c r="J2735" s="456"/>
      <c r="K2735" s="457" t="s">
        <v>1416</v>
      </c>
      <c r="L2735" s="458"/>
      <c r="M2735" s="459"/>
      <c r="N2735" s="460"/>
      <c r="O2735" s="460"/>
      <c r="P2735" s="461"/>
      <c r="Q2735" s="458"/>
      <c r="R2735" s="459"/>
      <c r="S2735" s="459"/>
      <c r="T2735" s="459"/>
      <c r="U2735" s="459"/>
      <c r="V2735" s="459"/>
      <c r="W2735" s="459"/>
      <c r="X2735" s="459"/>
      <c r="Y2735" s="462">
        <f t="shared" si="17"/>
        <v>0</v>
      </c>
      <c r="Z2735" s="463"/>
      <c r="AA2735" s="464"/>
      <c r="AB2735" s="465"/>
      <c r="AC2735" s="465"/>
      <c r="AD2735" s="465"/>
      <c r="AE2735" s="466"/>
      <c r="AF2735" s="449"/>
      <c r="AG2735" s="449"/>
      <c r="AH2735" s="449"/>
    </row>
    <row r="2736" ht="11.25" customHeight="1">
      <c r="A2736" s="450"/>
      <c r="B2736" s="451"/>
      <c r="C2736" s="452"/>
      <c r="D2736" s="452"/>
      <c r="E2736" s="453"/>
      <c r="F2736" s="453"/>
      <c r="G2736" s="454"/>
      <c r="H2736" s="454"/>
      <c r="I2736" s="455"/>
      <c r="J2736" s="456"/>
      <c r="K2736" s="467" t="s">
        <v>1417</v>
      </c>
      <c r="L2736" s="468"/>
      <c r="M2736" s="469"/>
      <c r="N2736" s="470"/>
      <c r="O2736" s="470"/>
      <c r="P2736" s="471"/>
      <c r="Q2736" s="468"/>
      <c r="R2736" s="469"/>
      <c r="S2736" s="469"/>
      <c r="T2736" s="469"/>
      <c r="U2736" s="469"/>
      <c r="V2736" s="469"/>
      <c r="W2736" s="469"/>
      <c r="X2736" s="469"/>
      <c r="Y2736" s="462">
        <f t="shared" si="17"/>
        <v>0</v>
      </c>
      <c r="Z2736" s="463"/>
      <c r="AA2736" s="464"/>
      <c r="AB2736" s="465"/>
      <c r="AC2736" s="465"/>
      <c r="AD2736" s="465"/>
      <c r="AE2736" s="466"/>
      <c r="AF2736" s="449"/>
      <c r="AG2736" s="449"/>
      <c r="AH2736" s="449"/>
    </row>
    <row r="2737" ht="11.25" customHeight="1">
      <c r="A2737" s="450"/>
      <c r="B2737" s="472"/>
      <c r="C2737" s="473"/>
      <c r="D2737" s="473"/>
      <c r="E2737" s="474"/>
      <c r="F2737" s="474"/>
      <c r="G2737" s="475"/>
      <c r="H2737" s="475"/>
      <c r="I2737" s="476"/>
      <c r="J2737" s="477"/>
      <c r="K2737" s="478" t="s">
        <v>1418</v>
      </c>
      <c r="L2737" s="479"/>
      <c r="M2737" s="480"/>
      <c r="N2737" s="481"/>
      <c r="O2737" s="481"/>
      <c r="P2737" s="482"/>
      <c r="Q2737" s="479"/>
      <c r="R2737" s="480"/>
      <c r="S2737" s="480"/>
      <c r="T2737" s="480"/>
      <c r="U2737" s="480"/>
      <c r="V2737" s="480"/>
      <c r="W2737" s="480"/>
      <c r="X2737" s="480"/>
      <c r="Y2737" s="483">
        <f t="shared" si="17"/>
        <v>0</v>
      </c>
      <c r="Z2737" s="484"/>
      <c r="AA2737" s="485"/>
      <c r="AB2737" s="486"/>
      <c r="AC2737" s="486"/>
      <c r="AD2737" s="486"/>
      <c r="AE2737" s="487"/>
      <c r="AF2737" s="449"/>
      <c r="AG2737" s="449"/>
      <c r="AH2737" s="449"/>
    </row>
    <row r="2738" ht="11.25" customHeight="1">
      <c r="A2738" s="431" t="str">
        <f>IF(B2738="","", YEAR(B2738))</f>
        <v/>
      </c>
      <c r="B2738" s="432"/>
      <c r="C2738" s="433"/>
      <c r="D2738" s="433"/>
      <c r="E2738" s="434" t="str">
        <f t="shared" ref="E2738:I2738" si="1376">IFERROR(AVERAGE(L2738:L2741),"")</f>
        <v/>
      </c>
      <c r="F2738" s="434" t="str">
        <f t="shared" si="1376"/>
        <v/>
      </c>
      <c r="G2738" s="435" t="str">
        <f t="shared" si="1376"/>
        <v/>
      </c>
      <c r="H2738" s="435" t="str">
        <f t="shared" si="1376"/>
        <v/>
      </c>
      <c r="I2738" s="436" t="str">
        <f t="shared" si="1376"/>
        <v/>
      </c>
      <c r="J2738" s="437">
        <f>SUMIFS(PRODUCTION[KG],PRODUCTION[GRADE],"3X50",PRODUCTION[DATE],B2738,PRODUCTION[BATCH],C2738,PRODUCTION[SHIFT],D2738)</f>
        <v>0</v>
      </c>
      <c r="K2738" s="438" t="s">
        <v>1414</v>
      </c>
      <c r="L2738" s="443"/>
      <c r="M2738" s="440"/>
      <c r="N2738" s="441"/>
      <c r="O2738" s="441"/>
      <c r="P2738" s="442"/>
      <c r="Q2738" s="443"/>
      <c r="R2738" s="440"/>
      <c r="S2738" s="440"/>
      <c r="T2738" s="440"/>
      <c r="U2738" s="440"/>
      <c r="V2738" s="440"/>
      <c r="W2738" s="440"/>
      <c r="X2738" s="440"/>
      <c r="Y2738" s="444">
        <f t="shared" si="17"/>
        <v>0</v>
      </c>
      <c r="Z2738" s="445"/>
      <c r="AA2738" s="446">
        <f t="shared" ref="AA2738:AE2738" si="1377">$J2738*E2738</f>
        <v>0</v>
      </c>
      <c r="AB2738" s="447">
        <f t="shared" si="1377"/>
        <v>0</v>
      </c>
      <c r="AC2738" s="447">
        <f t="shared" si="1377"/>
        <v>0</v>
      </c>
      <c r="AD2738" s="447">
        <f t="shared" si="1377"/>
        <v>0</v>
      </c>
      <c r="AE2738" s="448">
        <f t="shared" si="1377"/>
        <v>0</v>
      </c>
      <c r="AF2738" s="449"/>
      <c r="AG2738" s="449"/>
      <c r="AH2738" s="449"/>
    </row>
    <row r="2739" ht="11.25" customHeight="1">
      <c r="A2739" s="450"/>
      <c r="B2739" s="451"/>
      <c r="C2739" s="452"/>
      <c r="D2739" s="452"/>
      <c r="E2739" s="453"/>
      <c r="F2739" s="453"/>
      <c r="G2739" s="454"/>
      <c r="H2739" s="454"/>
      <c r="I2739" s="455"/>
      <c r="J2739" s="456"/>
      <c r="K2739" s="457" t="s">
        <v>1416</v>
      </c>
      <c r="L2739" s="458"/>
      <c r="M2739" s="459"/>
      <c r="N2739" s="460"/>
      <c r="O2739" s="460"/>
      <c r="P2739" s="461"/>
      <c r="Q2739" s="458"/>
      <c r="R2739" s="459"/>
      <c r="S2739" s="459"/>
      <c r="T2739" s="459"/>
      <c r="U2739" s="459"/>
      <c r="V2739" s="459"/>
      <c r="W2739" s="459"/>
      <c r="X2739" s="459"/>
      <c r="Y2739" s="462">
        <f t="shared" si="17"/>
        <v>0</v>
      </c>
      <c r="Z2739" s="463"/>
      <c r="AA2739" s="464"/>
      <c r="AB2739" s="465"/>
      <c r="AC2739" s="465"/>
      <c r="AD2739" s="465"/>
      <c r="AE2739" s="466"/>
      <c r="AF2739" s="449"/>
      <c r="AG2739" s="449"/>
      <c r="AH2739" s="449"/>
    </row>
    <row r="2740" ht="11.25" customHeight="1">
      <c r="A2740" s="450"/>
      <c r="B2740" s="451"/>
      <c r="C2740" s="452"/>
      <c r="D2740" s="452"/>
      <c r="E2740" s="453"/>
      <c r="F2740" s="453"/>
      <c r="G2740" s="454"/>
      <c r="H2740" s="454"/>
      <c r="I2740" s="455"/>
      <c r="J2740" s="456"/>
      <c r="K2740" s="467" t="s">
        <v>1417</v>
      </c>
      <c r="L2740" s="468"/>
      <c r="M2740" s="469"/>
      <c r="N2740" s="470"/>
      <c r="O2740" s="470"/>
      <c r="P2740" s="471"/>
      <c r="Q2740" s="468"/>
      <c r="R2740" s="469"/>
      <c r="S2740" s="469"/>
      <c r="T2740" s="469"/>
      <c r="U2740" s="469"/>
      <c r="V2740" s="469"/>
      <c r="W2740" s="469"/>
      <c r="X2740" s="469"/>
      <c r="Y2740" s="462">
        <f t="shared" si="17"/>
        <v>0</v>
      </c>
      <c r="Z2740" s="463"/>
      <c r="AA2740" s="464"/>
      <c r="AB2740" s="465"/>
      <c r="AC2740" s="465"/>
      <c r="AD2740" s="465"/>
      <c r="AE2740" s="466"/>
      <c r="AF2740" s="449"/>
      <c r="AG2740" s="449"/>
      <c r="AH2740" s="449"/>
    </row>
    <row r="2741" ht="11.25" customHeight="1">
      <c r="A2741" s="450"/>
      <c r="B2741" s="472"/>
      <c r="C2741" s="473"/>
      <c r="D2741" s="473"/>
      <c r="E2741" s="474"/>
      <c r="F2741" s="474"/>
      <c r="G2741" s="475"/>
      <c r="H2741" s="475"/>
      <c r="I2741" s="476"/>
      <c r="J2741" s="477"/>
      <c r="K2741" s="478" t="s">
        <v>1418</v>
      </c>
      <c r="L2741" s="479"/>
      <c r="M2741" s="480"/>
      <c r="N2741" s="481"/>
      <c r="O2741" s="481"/>
      <c r="P2741" s="482"/>
      <c r="Q2741" s="479"/>
      <c r="R2741" s="480"/>
      <c r="S2741" s="480"/>
      <c r="T2741" s="480"/>
      <c r="U2741" s="480"/>
      <c r="V2741" s="480"/>
      <c r="W2741" s="480"/>
      <c r="X2741" s="480"/>
      <c r="Y2741" s="483">
        <f t="shared" si="17"/>
        <v>0</v>
      </c>
      <c r="Z2741" s="484"/>
      <c r="AA2741" s="485"/>
      <c r="AB2741" s="486"/>
      <c r="AC2741" s="486"/>
      <c r="AD2741" s="486"/>
      <c r="AE2741" s="487"/>
      <c r="AF2741" s="449"/>
      <c r="AG2741" s="449"/>
      <c r="AH2741" s="449"/>
    </row>
    <row r="2742" ht="11.25" customHeight="1">
      <c r="A2742" s="431" t="str">
        <f>IF(B2742="","", YEAR(B2742))</f>
        <v/>
      </c>
      <c r="B2742" s="432"/>
      <c r="C2742" s="433"/>
      <c r="D2742" s="433"/>
      <c r="E2742" s="434" t="str">
        <f t="shared" ref="E2742:I2742" si="1378">IFERROR(AVERAGE(L2742:L2745),"")</f>
        <v/>
      </c>
      <c r="F2742" s="434" t="str">
        <f t="shared" si="1378"/>
        <v/>
      </c>
      <c r="G2742" s="435" t="str">
        <f t="shared" si="1378"/>
        <v/>
      </c>
      <c r="H2742" s="435" t="str">
        <f t="shared" si="1378"/>
        <v/>
      </c>
      <c r="I2742" s="436" t="str">
        <f t="shared" si="1378"/>
        <v/>
      </c>
      <c r="J2742" s="437">
        <f>SUMIFS(PRODUCTION[KG],PRODUCTION[GRADE],"3X50",PRODUCTION[DATE],B2742,PRODUCTION[BATCH],C2742,PRODUCTION[SHIFT],D2742)</f>
        <v>0</v>
      </c>
      <c r="K2742" s="438" t="s">
        <v>1414</v>
      </c>
      <c r="L2742" s="443"/>
      <c r="M2742" s="440"/>
      <c r="N2742" s="441"/>
      <c r="O2742" s="441"/>
      <c r="P2742" s="442"/>
      <c r="Q2742" s="443"/>
      <c r="R2742" s="440"/>
      <c r="S2742" s="440"/>
      <c r="T2742" s="440"/>
      <c r="U2742" s="440"/>
      <c r="V2742" s="440"/>
      <c r="W2742" s="440"/>
      <c r="X2742" s="440"/>
      <c r="Y2742" s="444">
        <f t="shared" si="17"/>
        <v>0</v>
      </c>
      <c r="Z2742" s="445"/>
      <c r="AA2742" s="446">
        <f t="shared" ref="AA2742:AE2742" si="1379">$J2742*E2742</f>
        <v>0</v>
      </c>
      <c r="AB2742" s="447">
        <f t="shared" si="1379"/>
        <v>0</v>
      </c>
      <c r="AC2742" s="447">
        <f t="shared" si="1379"/>
        <v>0</v>
      </c>
      <c r="AD2742" s="447">
        <f t="shared" si="1379"/>
        <v>0</v>
      </c>
      <c r="AE2742" s="448">
        <f t="shared" si="1379"/>
        <v>0</v>
      </c>
      <c r="AF2742" s="449"/>
      <c r="AG2742" s="449"/>
      <c r="AH2742" s="449"/>
    </row>
    <row r="2743" ht="11.25" customHeight="1">
      <c r="A2743" s="450"/>
      <c r="B2743" s="451"/>
      <c r="C2743" s="452"/>
      <c r="D2743" s="452"/>
      <c r="E2743" s="453"/>
      <c r="F2743" s="453"/>
      <c r="G2743" s="454"/>
      <c r="H2743" s="454"/>
      <c r="I2743" s="455"/>
      <c r="J2743" s="456"/>
      <c r="K2743" s="457" t="s">
        <v>1416</v>
      </c>
      <c r="L2743" s="458"/>
      <c r="M2743" s="459"/>
      <c r="N2743" s="460"/>
      <c r="O2743" s="460"/>
      <c r="P2743" s="461"/>
      <c r="Q2743" s="458"/>
      <c r="R2743" s="459"/>
      <c r="S2743" s="459"/>
      <c r="T2743" s="459"/>
      <c r="U2743" s="459"/>
      <c r="V2743" s="459"/>
      <c r="W2743" s="459"/>
      <c r="X2743" s="459"/>
      <c r="Y2743" s="462">
        <f t="shared" si="17"/>
        <v>0</v>
      </c>
      <c r="Z2743" s="463"/>
      <c r="AA2743" s="464"/>
      <c r="AB2743" s="465"/>
      <c r="AC2743" s="465"/>
      <c r="AD2743" s="465"/>
      <c r="AE2743" s="466"/>
      <c r="AF2743" s="449"/>
      <c r="AG2743" s="449"/>
      <c r="AH2743" s="449"/>
    </row>
    <row r="2744" ht="11.25" customHeight="1">
      <c r="A2744" s="450"/>
      <c r="B2744" s="451"/>
      <c r="C2744" s="452"/>
      <c r="D2744" s="452"/>
      <c r="E2744" s="453"/>
      <c r="F2744" s="453"/>
      <c r="G2744" s="454"/>
      <c r="H2744" s="454"/>
      <c r="I2744" s="455"/>
      <c r="J2744" s="456"/>
      <c r="K2744" s="467" t="s">
        <v>1417</v>
      </c>
      <c r="L2744" s="468"/>
      <c r="M2744" s="469"/>
      <c r="N2744" s="470"/>
      <c r="O2744" s="470"/>
      <c r="P2744" s="471"/>
      <c r="Q2744" s="468"/>
      <c r="R2744" s="469"/>
      <c r="S2744" s="469"/>
      <c r="T2744" s="469"/>
      <c r="U2744" s="469"/>
      <c r="V2744" s="469"/>
      <c r="W2744" s="469"/>
      <c r="X2744" s="469"/>
      <c r="Y2744" s="462">
        <f t="shared" si="17"/>
        <v>0</v>
      </c>
      <c r="Z2744" s="463"/>
      <c r="AA2744" s="464"/>
      <c r="AB2744" s="465"/>
      <c r="AC2744" s="465"/>
      <c r="AD2744" s="465"/>
      <c r="AE2744" s="466"/>
      <c r="AF2744" s="449"/>
      <c r="AG2744" s="449"/>
      <c r="AH2744" s="449"/>
    </row>
    <row r="2745" ht="11.25" customHeight="1">
      <c r="A2745" s="450"/>
      <c r="B2745" s="472"/>
      <c r="C2745" s="473"/>
      <c r="D2745" s="473"/>
      <c r="E2745" s="474"/>
      <c r="F2745" s="474"/>
      <c r="G2745" s="475"/>
      <c r="H2745" s="475"/>
      <c r="I2745" s="476"/>
      <c r="J2745" s="477"/>
      <c r="K2745" s="478" t="s">
        <v>1418</v>
      </c>
      <c r="L2745" s="479"/>
      <c r="M2745" s="480"/>
      <c r="N2745" s="481"/>
      <c r="O2745" s="481"/>
      <c r="P2745" s="482"/>
      <c r="Q2745" s="479"/>
      <c r="R2745" s="480"/>
      <c r="S2745" s="480"/>
      <c r="T2745" s="480"/>
      <c r="U2745" s="480"/>
      <c r="V2745" s="480"/>
      <c r="W2745" s="480"/>
      <c r="X2745" s="480"/>
      <c r="Y2745" s="483">
        <f t="shared" si="17"/>
        <v>0</v>
      </c>
      <c r="Z2745" s="484"/>
      <c r="AA2745" s="485"/>
      <c r="AB2745" s="486"/>
      <c r="AC2745" s="486"/>
      <c r="AD2745" s="486"/>
      <c r="AE2745" s="487"/>
      <c r="AF2745" s="449"/>
      <c r="AG2745" s="449"/>
      <c r="AH2745" s="449"/>
    </row>
    <row r="2746" ht="11.25" customHeight="1">
      <c r="A2746" s="431" t="str">
        <f>IF(B2746="","", YEAR(B2746))</f>
        <v/>
      </c>
      <c r="B2746" s="432"/>
      <c r="C2746" s="433"/>
      <c r="D2746" s="433"/>
      <c r="E2746" s="434" t="str">
        <f t="shared" ref="E2746:I2746" si="1380">IFERROR(AVERAGE(L2746:L2749),"")</f>
        <v/>
      </c>
      <c r="F2746" s="434" t="str">
        <f t="shared" si="1380"/>
        <v/>
      </c>
      <c r="G2746" s="435" t="str">
        <f t="shared" si="1380"/>
        <v/>
      </c>
      <c r="H2746" s="435" t="str">
        <f t="shared" si="1380"/>
        <v/>
      </c>
      <c r="I2746" s="436" t="str">
        <f t="shared" si="1380"/>
        <v/>
      </c>
      <c r="J2746" s="437">
        <f>SUMIFS(PRODUCTION[KG],PRODUCTION[GRADE],"3X50",PRODUCTION[DATE],B2746,PRODUCTION[BATCH],C2746,PRODUCTION[SHIFT],D2746)</f>
        <v>0</v>
      </c>
      <c r="K2746" s="438" t="s">
        <v>1414</v>
      </c>
      <c r="L2746" s="443"/>
      <c r="M2746" s="440"/>
      <c r="N2746" s="441"/>
      <c r="O2746" s="441"/>
      <c r="P2746" s="442"/>
      <c r="Q2746" s="443"/>
      <c r="R2746" s="440"/>
      <c r="S2746" s="440"/>
      <c r="T2746" s="440"/>
      <c r="U2746" s="440"/>
      <c r="V2746" s="440"/>
      <c r="W2746" s="440"/>
      <c r="X2746" s="440"/>
      <c r="Y2746" s="444">
        <f t="shared" si="17"/>
        <v>0</v>
      </c>
      <c r="Z2746" s="445"/>
      <c r="AA2746" s="446">
        <f t="shared" ref="AA2746:AE2746" si="1381">$J2746*E2746</f>
        <v>0</v>
      </c>
      <c r="AB2746" s="447">
        <f t="shared" si="1381"/>
        <v>0</v>
      </c>
      <c r="AC2746" s="447">
        <f t="shared" si="1381"/>
        <v>0</v>
      </c>
      <c r="AD2746" s="447">
        <f t="shared" si="1381"/>
        <v>0</v>
      </c>
      <c r="AE2746" s="448">
        <f t="shared" si="1381"/>
        <v>0</v>
      </c>
      <c r="AF2746" s="449"/>
      <c r="AG2746" s="449"/>
      <c r="AH2746" s="449"/>
    </row>
    <row r="2747" ht="11.25" customHeight="1">
      <c r="A2747" s="450"/>
      <c r="B2747" s="451"/>
      <c r="C2747" s="452"/>
      <c r="D2747" s="452"/>
      <c r="E2747" s="453"/>
      <c r="F2747" s="453"/>
      <c r="G2747" s="454"/>
      <c r="H2747" s="454"/>
      <c r="I2747" s="455"/>
      <c r="J2747" s="456"/>
      <c r="K2747" s="457" t="s">
        <v>1416</v>
      </c>
      <c r="L2747" s="458"/>
      <c r="M2747" s="459"/>
      <c r="N2747" s="460"/>
      <c r="O2747" s="460"/>
      <c r="P2747" s="461"/>
      <c r="Q2747" s="458"/>
      <c r="R2747" s="459"/>
      <c r="S2747" s="459"/>
      <c r="T2747" s="459"/>
      <c r="U2747" s="459"/>
      <c r="V2747" s="459"/>
      <c r="W2747" s="459"/>
      <c r="X2747" s="459"/>
      <c r="Y2747" s="462">
        <f t="shared" si="17"/>
        <v>0</v>
      </c>
      <c r="Z2747" s="463"/>
      <c r="AA2747" s="464"/>
      <c r="AB2747" s="465"/>
      <c r="AC2747" s="465"/>
      <c r="AD2747" s="465"/>
      <c r="AE2747" s="466"/>
      <c r="AF2747" s="449"/>
      <c r="AG2747" s="449"/>
      <c r="AH2747" s="449"/>
    </row>
    <row r="2748" ht="11.25" customHeight="1">
      <c r="A2748" s="450"/>
      <c r="B2748" s="451"/>
      <c r="C2748" s="452"/>
      <c r="D2748" s="452"/>
      <c r="E2748" s="453"/>
      <c r="F2748" s="453"/>
      <c r="G2748" s="454"/>
      <c r="H2748" s="454"/>
      <c r="I2748" s="455"/>
      <c r="J2748" s="456"/>
      <c r="K2748" s="467" t="s">
        <v>1417</v>
      </c>
      <c r="L2748" s="468"/>
      <c r="M2748" s="469"/>
      <c r="N2748" s="470"/>
      <c r="O2748" s="470"/>
      <c r="P2748" s="471"/>
      <c r="Q2748" s="468"/>
      <c r="R2748" s="469"/>
      <c r="S2748" s="469"/>
      <c r="T2748" s="469"/>
      <c r="U2748" s="469"/>
      <c r="V2748" s="469"/>
      <c r="W2748" s="469"/>
      <c r="X2748" s="469"/>
      <c r="Y2748" s="462">
        <f t="shared" si="17"/>
        <v>0</v>
      </c>
      <c r="Z2748" s="463"/>
      <c r="AA2748" s="464"/>
      <c r="AB2748" s="465"/>
      <c r="AC2748" s="465"/>
      <c r="AD2748" s="465"/>
      <c r="AE2748" s="466"/>
      <c r="AF2748" s="449"/>
      <c r="AG2748" s="449"/>
      <c r="AH2748" s="449"/>
    </row>
    <row r="2749" ht="11.25" customHeight="1">
      <c r="A2749" s="450"/>
      <c r="B2749" s="472"/>
      <c r="C2749" s="473"/>
      <c r="D2749" s="473"/>
      <c r="E2749" s="474"/>
      <c r="F2749" s="474"/>
      <c r="G2749" s="475"/>
      <c r="H2749" s="475"/>
      <c r="I2749" s="476"/>
      <c r="J2749" s="477"/>
      <c r="K2749" s="478" t="s">
        <v>1418</v>
      </c>
      <c r="L2749" s="479"/>
      <c r="M2749" s="480"/>
      <c r="N2749" s="481"/>
      <c r="O2749" s="481"/>
      <c r="P2749" s="482"/>
      <c r="Q2749" s="479"/>
      <c r="R2749" s="480"/>
      <c r="S2749" s="480"/>
      <c r="T2749" s="480"/>
      <c r="U2749" s="480"/>
      <c r="V2749" s="480"/>
      <c r="W2749" s="480"/>
      <c r="X2749" s="480"/>
      <c r="Y2749" s="483">
        <f t="shared" si="17"/>
        <v>0</v>
      </c>
      <c r="Z2749" s="484"/>
      <c r="AA2749" s="485"/>
      <c r="AB2749" s="486"/>
      <c r="AC2749" s="486"/>
      <c r="AD2749" s="486"/>
      <c r="AE2749" s="487"/>
      <c r="AF2749" s="449"/>
      <c r="AG2749" s="449"/>
      <c r="AH2749" s="449"/>
    </row>
    <row r="2750" ht="11.25" customHeight="1">
      <c r="A2750" s="431" t="str">
        <f>IF(B2750="","", YEAR(B2750))</f>
        <v/>
      </c>
      <c r="B2750" s="432"/>
      <c r="C2750" s="433"/>
      <c r="D2750" s="433"/>
      <c r="E2750" s="434" t="str">
        <f t="shared" ref="E2750:I2750" si="1382">IFERROR(AVERAGE(L2750:L2753),"")</f>
        <v/>
      </c>
      <c r="F2750" s="434" t="str">
        <f t="shared" si="1382"/>
        <v/>
      </c>
      <c r="G2750" s="435" t="str">
        <f t="shared" si="1382"/>
        <v/>
      </c>
      <c r="H2750" s="435" t="str">
        <f t="shared" si="1382"/>
        <v/>
      </c>
      <c r="I2750" s="436" t="str">
        <f t="shared" si="1382"/>
        <v/>
      </c>
      <c r="J2750" s="437">
        <f>SUMIFS(PRODUCTION[KG],PRODUCTION[GRADE],"3X50",PRODUCTION[DATE],B2750,PRODUCTION[BATCH],C2750,PRODUCTION[SHIFT],D2750)</f>
        <v>0</v>
      </c>
      <c r="K2750" s="438" t="s">
        <v>1414</v>
      </c>
      <c r="L2750" s="443"/>
      <c r="M2750" s="440"/>
      <c r="N2750" s="441"/>
      <c r="O2750" s="441"/>
      <c r="P2750" s="442"/>
      <c r="Q2750" s="443"/>
      <c r="R2750" s="440"/>
      <c r="S2750" s="440"/>
      <c r="T2750" s="440"/>
      <c r="U2750" s="440"/>
      <c r="V2750" s="440"/>
      <c r="W2750" s="440"/>
      <c r="X2750" s="440"/>
      <c r="Y2750" s="444">
        <f t="shared" si="17"/>
        <v>0</v>
      </c>
      <c r="Z2750" s="445"/>
      <c r="AA2750" s="446">
        <f t="shared" ref="AA2750:AE2750" si="1383">$J2750*E2750</f>
        <v>0</v>
      </c>
      <c r="AB2750" s="447">
        <f t="shared" si="1383"/>
        <v>0</v>
      </c>
      <c r="AC2750" s="447">
        <f t="shared" si="1383"/>
        <v>0</v>
      </c>
      <c r="AD2750" s="447">
        <f t="shared" si="1383"/>
        <v>0</v>
      </c>
      <c r="AE2750" s="448">
        <f t="shared" si="1383"/>
        <v>0</v>
      </c>
      <c r="AF2750" s="449"/>
      <c r="AG2750" s="449"/>
      <c r="AH2750" s="449"/>
    </row>
    <row r="2751" ht="11.25" customHeight="1">
      <c r="A2751" s="450"/>
      <c r="B2751" s="451"/>
      <c r="C2751" s="452"/>
      <c r="D2751" s="452"/>
      <c r="E2751" s="453"/>
      <c r="F2751" s="453"/>
      <c r="G2751" s="454"/>
      <c r="H2751" s="454"/>
      <c r="I2751" s="455"/>
      <c r="J2751" s="456"/>
      <c r="K2751" s="457" t="s">
        <v>1416</v>
      </c>
      <c r="L2751" s="458"/>
      <c r="M2751" s="459"/>
      <c r="N2751" s="460"/>
      <c r="O2751" s="460"/>
      <c r="P2751" s="461"/>
      <c r="Q2751" s="458"/>
      <c r="R2751" s="459"/>
      <c r="S2751" s="459"/>
      <c r="T2751" s="459"/>
      <c r="U2751" s="459"/>
      <c r="V2751" s="459"/>
      <c r="W2751" s="459"/>
      <c r="X2751" s="459"/>
      <c r="Y2751" s="462">
        <f t="shared" si="17"/>
        <v>0</v>
      </c>
      <c r="Z2751" s="463"/>
      <c r="AA2751" s="464"/>
      <c r="AB2751" s="465"/>
      <c r="AC2751" s="465"/>
      <c r="AD2751" s="465"/>
      <c r="AE2751" s="466"/>
      <c r="AF2751" s="449"/>
      <c r="AG2751" s="449"/>
      <c r="AH2751" s="449"/>
    </row>
    <row r="2752" ht="11.25" customHeight="1">
      <c r="A2752" s="450"/>
      <c r="B2752" s="451"/>
      <c r="C2752" s="452"/>
      <c r="D2752" s="452"/>
      <c r="E2752" s="453"/>
      <c r="F2752" s="453"/>
      <c r="G2752" s="454"/>
      <c r="H2752" s="454"/>
      <c r="I2752" s="455"/>
      <c r="J2752" s="456"/>
      <c r="K2752" s="467" t="s">
        <v>1417</v>
      </c>
      <c r="L2752" s="468"/>
      <c r="M2752" s="469"/>
      <c r="N2752" s="470"/>
      <c r="O2752" s="470"/>
      <c r="P2752" s="471"/>
      <c r="Q2752" s="468"/>
      <c r="R2752" s="469"/>
      <c r="S2752" s="469"/>
      <c r="T2752" s="469"/>
      <c r="U2752" s="469"/>
      <c r="V2752" s="469"/>
      <c r="W2752" s="469"/>
      <c r="X2752" s="469"/>
      <c r="Y2752" s="462">
        <f t="shared" si="17"/>
        <v>0</v>
      </c>
      <c r="Z2752" s="463"/>
      <c r="AA2752" s="464"/>
      <c r="AB2752" s="465"/>
      <c r="AC2752" s="465"/>
      <c r="AD2752" s="465"/>
      <c r="AE2752" s="466"/>
      <c r="AF2752" s="449"/>
      <c r="AG2752" s="449"/>
      <c r="AH2752" s="449"/>
    </row>
    <row r="2753" ht="11.25" customHeight="1">
      <c r="A2753" s="450"/>
      <c r="B2753" s="472"/>
      <c r="C2753" s="473"/>
      <c r="D2753" s="473"/>
      <c r="E2753" s="474"/>
      <c r="F2753" s="474"/>
      <c r="G2753" s="475"/>
      <c r="H2753" s="475"/>
      <c r="I2753" s="476"/>
      <c r="J2753" s="477"/>
      <c r="K2753" s="478" t="s">
        <v>1418</v>
      </c>
      <c r="L2753" s="479"/>
      <c r="M2753" s="480"/>
      <c r="N2753" s="481"/>
      <c r="O2753" s="481"/>
      <c r="P2753" s="482"/>
      <c r="Q2753" s="479"/>
      <c r="R2753" s="480"/>
      <c r="S2753" s="480"/>
      <c r="T2753" s="480"/>
      <c r="U2753" s="480"/>
      <c r="V2753" s="480"/>
      <c r="W2753" s="480"/>
      <c r="X2753" s="480"/>
      <c r="Y2753" s="483">
        <f t="shared" si="17"/>
        <v>0</v>
      </c>
      <c r="Z2753" s="484"/>
      <c r="AA2753" s="485"/>
      <c r="AB2753" s="486"/>
      <c r="AC2753" s="486"/>
      <c r="AD2753" s="486"/>
      <c r="AE2753" s="487"/>
      <c r="AF2753" s="449"/>
      <c r="AG2753" s="449"/>
      <c r="AH2753" s="449"/>
    </row>
    <row r="2754" ht="11.25" customHeight="1">
      <c r="A2754" s="431" t="str">
        <f>IF(B2754="","", YEAR(B2754))</f>
        <v/>
      </c>
      <c r="B2754" s="432"/>
      <c r="C2754" s="433"/>
      <c r="D2754" s="433"/>
      <c r="E2754" s="434" t="str">
        <f t="shared" ref="E2754:I2754" si="1384">IFERROR(AVERAGE(L2754:L2757),"")</f>
        <v/>
      </c>
      <c r="F2754" s="434" t="str">
        <f t="shared" si="1384"/>
        <v/>
      </c>
      <c r="G2754" s="435" t="str">
        <f t="shared" si="1384"/>
        <v/>
      </c>
      <c r="H2754" s="435" t="str">
        <f t="shared" si="1384"/>
        <v/>
      </c>
      <c r="I2754" s="436" t="str">
        <f t="shared" si="1384"/>
        <v/>
      </c>
      <c r="J2754" s="437">
        <f>SUMIFS(PRODUCTION[KG],PRODUCTION[GRADE],"3X50",PRODUCTION[DATE],B2754,PRODUCTION[BATCH],C2754,PRODUCTION[SHIFT],D2754)</f>
        <v>0</v>
      </c>
      <c r="K2754" s="438" t="s">
        <v>1414</v>
      </c>
      <c r="L2754" s="443"/>
      <c r="M2754" s="440"/>
      <c r="N2754" s="441"/>
      <c r="O2754" s="441"/>
      <c r="P2754" s="442"/>
      <c r="Q2754" s="443"/>
      <c r="R2754" s="440"/>
      <c r="S2754" s="440"/>
      <c r="T2754" s="440"/>
      <c r="U2754" s="440"/>
      <c r="V2754" s="440"/>
      <c r="W2754" s="440"/>
      <c r="X2754" s="440"/>
      <c r="Y2754" s="444">
        <f t="shared" si="17"/>
        <v>0</v>
      </c>
      <c r="Z2754" s="445"/>
      <c r="AA2754" s="446">
        <f t="shared" ref="AA2754:AE2754" si="1385">$J2754*E2754</f>
        <v>0</v>
      </c>
      <c r="AB2754" s="447">
        <f t="shared" si="1385"/>
        <v>0</v>
      </c>
      <c r="AC2754" s="447">
        <f t="shared" si="1385"/>
        <v>0</v>
      </c>
      <c r="AD2754" s="447">
        <f t="shared" si="1385"/>
        <v>0</v>
      </c>
      <c r="AE2754" s="448">
        <f t="shared" si="1385"/>
        <v>0</v>
      </c>
      <c r="AF2754" s="449"/>
      <c r="AG2754" s="449"/>
      <c r="AH2754" s="449"/>
    </row>
    <row r="2755" ht="11.25" customHeight="1">
      <c r="A2755" s="450"/>
      <c r="B2755" s="451"/>
      <c r="C2755" s="452"/>
      <c r="D2755" s="452"/>
      <c r="E2755" s="453"/>
      <c r="F2755" s="453"/>
      <c r="G2755" s="454"/>
      <c r="H2755" s="454"/>
      <c r="I2755" s="455"/>
      <c r="J2755" s="456"/>
      <c r="K2755" s="457" t="s">
        <v>1416</v>
      </c>
      <c r="L2755" s="458"/>
      <c r="M2755" s="459"/>
      <c r="N2755" s="460"/>
      <c r="O2755" s="460"/>
      <c r="P2755" s="461"/>
      <c r="Q2755" s="458"/>
      <c r="R2755" s="459"/>
      <c r="S2755" s="459"/>
      <c r="T2755" s="459"/>
      <c r="U2755" s="459"/>
      <c r="V2755" s="459"/>
      <c r="W2755" s="459"/>
      <c r="X2755" s="459"/>
      <c r="Y2755" s="462">
        <f t="shared" si="17"/>
        <v>0</v>
      </c>
      <c r="Z2755" s="463"/>
      <c r="AA2755" s="464"/>
      <c r="AB2755" s="465"/>
      <c r="AC2755" s="465"/>
      <c r="AD2755" s="465"/>
      <c r="AE2755" s="466"/>
      <c r="AF2755" s="449"/>
      <c r="AG2755" s="449"/>
      <c r="AH2755" s="449"/>
    </row>
    <row r="2756" ht="11.25" customHeight="1">
      <c r="A2756" s="450"/>
      <c r="B2756" s="451"/>
      <c r="C2756" s="452"/>
      <c r="D2756" s="452"/>
      <c r="E2756" s="453"/>
      <c r="F2756" s="453"/>
      <c r="G2756" s="454"/>
      <c r="H2756" s="454"/>
      <c r="I2756" s="455"/>
      <c r="J2756" s="456"/>
      <c r="K2756" s="467" t="s">
        <v>1417</v>
      </c>
      <c r="L2756" s="468"/>
      <c r="M2756" s="469"/>
      <c r="N2756" s="470"/>
      <c r="O2756" s="470"/>
      <c r="P2756" s="471"/>
      <c r="Q2756" s="468"/>
      <c r="R2756" s="469"/>
      <c r="S2756" s="469"/>
      <c r="T2756" s="469"/>
      <c r="U2756" s="469"/>
      <c r="V2756" s="469"/>
      <c r="W2756" s="469"/>
      <c r="X2756" s="469"/>
      <c r="Y2756" s="462">
        <f t="shared" si="17"/>
        <v>0</v>
      </c>
      <c r="Z2756" s="463"/>
      <c r="AA2756" s="464"/>
      <c r="AB2756" s="465"/>
      <c r="AC2756" s="465"/>
      <c r="AD2756" s="465"/>
      <c r="AE2756" s="466"/>
      <c r="AF2756" s="449"/>
      <c r="AG2756" s="449"/>
      <c r="AH2756" s="449"/>
    </row>
    <row r="2757" ht="11.25" customHeight="1">
      <c r="A2757" s="450"/>
      <c r="B2757" s="472"/>
      <c r="C2757" s="473"/>
      <c r="D2757" s="473"/>
      <c r="E2757" s="474"/>
      <c r="F2757" s="474"/>
      <c r="G2757" s="475"/>
      <c r="H2757" s="475"/>
      <c r="I2757" s="476"/>
      <c r="J2757" s="477"/>
      <c r="K2757" s="478" t="s">
        <v>1418</v>
      </c>
      <c r="L2757" s="479"/>
      <c r="M2757" s="480"/>
      <c r="N2757" s="481"/>
      <c r="O2757" s="481"/>
      <c r="P2757" s="482"/>
      <c r="Q2757" s="479"/>
      <c r="R2757" s="480"/>
      <c r="S2757" s="480"/>
      <c r="T2757" s="480"/>
      <c r="U2757" s="480"/>
      <c r="V2757" s="480"/>
      <c r="W2757" s="480"/>
      <c r="X2757" s="480"/>
      <c r="Y2757" s="483">
        <f t="shared" si="17"/>
        <v>0</v>
      </c>
      <c r="Z2757" s="484"/>
      <c r="AA2757" s="485"/>
      <c r="AB2757" s="486"/>
      <c r="AC2757" s="486"/>
      <c r="AD2757" s="486"/>
      <c r="AE2757" s="487"/>
      <c r="AF2757" s="449"/>
      <c r="AG2757" s="449"/>
      <c r="AH2757" s="449"/>
    </row>
    <row r="2758" ht="11.25" customHeight="1">
      <c r="A2758" s="431" t="str">
        <f>IF(B2758="","", YEAR(B2758))</f>
        <v/>
      </c>
      <c r="B2758" s="432"/>
      <c r="C2758" s="433"/>
      <c r="D2758" s="433"/>
      <c r="E2758" s="434" t="str">
        <f t="shared" ref="E2758:I2758" si="1386">IFERROR(AVERAGE(L2758:L2761),"")</f>
        <v/>
      </c>
      <c r="F2758" s="434" t="str">
        <f t="shared" si="1386"/>
        <v/>
      </c>
      <c r="G2758" s="435" t="str">
        <f t="shared" si="1386"/>
        <v/>
      </c>
      <c r="H2758" s="435" t="str">
        <f t="shared" si="1386"/>
        <v/>
      </c>
      <c r="I2758" s="436" t="str">
        <f t="shared" si="1386"/>
        <v/>
      </c>
      <c r="J2758" s="437">
        <f>SUMIFS(PRODUCTION[KG],PRODUCTION[GRADE],"3X50",PRODUCTION[DATE],B2758,PRODUCTION[BATCH],C2758,PRODUCTION[SHIFT],D2758)</f>
        <v>0</v>
      </c>
      <c r="K2758" s="438" t="s">
        <v>1414</v>
      </c>
      <c r="L2758" s="443"/>
      <c r="M2758" s="440"/>
      <c r="N2758" s="441"/>
      <c r="O2758" s="441"/>
      <c r="P2758" s="442"/>
      <c r="Q2758" s="443"/>
      <c r="R2758" s="440"/>
      <c r="S2758" s="440"/>
      <c r="T2758" s="440"/>
      <c r="U2758" s="440"/>
      <c r="V2758" s="440"/>
      <c r="W2758" s="440"/>
      <c r="X2758" s="440"/>
      <c r="Y2758" s="444">
        <f t="shared" si="17"/>
        <v>0</v>
      </c>
      <c r="Z2758" s="445"/>
      <c r="AA2758" s="446">
        <f t="shared" ref="AA2758:AE2758" si="1387">$J2758*E2758</f>
        <v>0</v>
      </c>
      <c r="AB2758" s="447">
        <f t="shared" si="1387"/>
        <v>0</v>
      </c>
      <c r="AC2758" s="447">
        <f t="shared" si="1387"/>
        <v>0</v>
      </c>
      <c r="AD2758" s="447">
        <f t="shared" si="1387"/>
        <v>0</v>
      </c>
      <c r="AE2758" s="448">
        <f t="shared" si="1387"/>
        <v>0</v>
      </c>
      <c r="AF2758" s="449"/>
      <c r="AG2758" s="449"/>
      <c r="AH2758" s="449"/>
    </row>
    <row r="2759" ht="11.25" customHeight="1">
      <c r="A2759" s="450"/>
      <c r="B2759" s="451"/>
      <c r="C2759" s="452"/>
      <c r="D2759" s="452"/>
      <c r="E2759" s="453"/>
      <c r="F2759" s="453"/>
      <c r="G2759" s="454"/>
      <c r="H2759" s="454"/>
      <c r="I2759" s="455"/>
      <c r="J2759" s="456"/>
      <c r="K2759" s="457" t="s">
        <v>1416</v>
      </c>
      <c r="L2759" s="458"/>
      <c r="M2759" s="459"/>
      <c r="N2759" s="460"/>
      <c r="O2759" s="460"/>
      <c r="P2759" s="461"/>
      <c r="Q2759" s="458"/>
      <c r="R2759" s="459"/>
      <c r="S2759" s="459"/>
      <c r="T2759" s="459"/>
      <c r="U2759" s="459"/>
      <c r="V2759" s="459"/>
      <c r="W2759" s="459"/>
      <c r="X2759" s="459"/>
      <c r="Y2759" s="462">
        <f t="shared" si="17"/>
        <v>0</v>
      </c>
      <c r="Z2759" s="463"/>
      <c r="AA2759" s="464"/>
      <c r="AB2759" s="465"/>
      <c r="AC2759" s="465"/>
      <c r="AD2759" s="465"/>
      <c r="AE2759" s="466"/>
      <c r="AF2759" s="449"/>
      <c r="AG2759" s="449"/>
      <c r="AH2759" s="449"/>
    </row>
    <row r="2760" ht="11.25" customHeight="1">
      <c r="A2760" s="450"/>
      <c r="B2760" s="451"/>
      <c r="C2760" s="452"/>
      <c r="D2760" s="452"/>
      <c r="E2760" s="453"/>
      <c r="F2760" s="453"/>
      <c r="G2760" s="454"/>
      <c r="H2760" s="454"/>
      <c r="I2760" s="455"/>
      <c r="J2760" s="456"/>
      <c r="K2760" s="467" t="s">
        <v>1417</v>
      </c>
      <c r="L2760" s="468"/>
      <c r="M2760" s="469"/>
      <c r="N2760" s="470"/>
      <c r="O2760" s="470"/>
      <c r="P2760" s="471"/>
      <c r="Q2760" s="468"/>
      <c r="R2760" s="469"/>
      <c r="S2760" s="469"/>
      <c r="T2760" s="469"/>
      <c r="U2760" s="469"/>
      <c r="V2760" s="469"/>
      <c r="W2760" s="469"/>
      <c r="X2760" s="469"/>
      <c r="Y2760" s="462">
        <f t="shared" si="17"/>
        <v>0</v>
      </c>
      <c r="Z2760" s="463"/>
      <c r="AA2760" s="464"/>
      <c r="AB2760" s="465"/>
      <c r="AC2760" s="465"/>
      <c r="AD2760" s="465"/>
      <c r="AE2760" s="466"/>
      <c r="AF2760" s="449"/>
      <c r="AG2760" s="449"/>
      <c r="AH2760" s="449"/>
    </row>
    <row r="2761" ht="11.25" customHeight="1">
      <c r="A2761" s="450"/>
      <c r="B2761" s="472"/>
      <c r="C2761" s="473"/>
      <c r="D2761" s="473"/>
      <c r="E2761" s="474"/>
      <c r="F2761" s="474"/>
      <c r="G2761" s="475"/>
      <c r="H2761" s="475"/>
      <c r="I2761" s="476"/>
      <c r="J2761" s="477"/>
      <c r="K2761" s="478" t="s">
        <v>1418</v>
      </c>
      <c r="L2761" s="479"/>
      <c r="M2761" s="480"/>
      <c r="N2761" s="481"/>
      <c r="O2761" s="481"/>
      <c r="P2761" s="482"/>
      <c r="Q2761" s="479"/>
      <c r="R2761" s="480"/>
      <c r="S2761" s="480"/>
      <c r="T2761" s="480"/>
      <c r="U2761" s="480"/>
      <c r="V2761" s="480"/>
      <c r="W2761" s="480"/>
      <c r="X2761" s="480"/>
      <c r="Y2761" s="483">
        <f t="shared" si="17"/>
        <v>0</v>
      </c>
      <c r="Z2761" s="484"/>
      <c r="AA2761" s="485"/>
      <c r="AB2761" s="486"/>
      <c r="AC2761" s="486"/>
      <c r="AD2761" s="486"/>
      <c r="AE2761" s="487"/>
      <c r="AF2761" s="449"/>
      <c r="AG2761" s="449"/>
      <c r="AH2761" s="449"/>
    </row>
    <row r="2762" ht="11.25" customHeight="1">
      <c r="A2762" s="431" t="str">
        <f>IF(B2762="","", YEAR(B2762))</f>
        <v/>
      </c>
      <c r="B2762" s="432"/>
      <c r="C2762" s="433"/>
      <c r="D2762" s="433"/>
      <c r="E2762" s="434" t="str">
        <f t="shared" ref="E2762:I2762" si="1388">IFERROR(AVERAGE(L2762:L2765),"")</f>
        <v/>
      </c>
      <c r="F2762" s="434" t="str">
        <f t="shared" si="1388"/>
        <v/>
      </c>
      <c r="G2762" s="435" t="str">
        <f t="shared" si="1388"/>
        <v/>
      </c>
      <c r="H2762" s="435" t="str">
        <f t="shared" si="1388"/>
        <v/>
      </c>
      <c r="I2762" s="436" t="str">
        <f t="shared" si="1388"/>
        <v/>
      </c>
      <c r="J2762" s="437">
        <f>SUMIFS(PRODUCTION[KG],PRODUCTION[GRADE],"3X50",PRODUCTION[DATE],B2762,PRODUCTION[BATCH],C2762,PRODUCTION[SHIFT],D2762)</f>
        <v>0</v>
      </c>
      <c r="K2762" s="438" t="s">
        <v>1414</v>
      </c>
      <c r="L2762" s="443"/>
      <c r="M2762" s="440"/>
      <c r="N2762" s="441"/>
      <c r="O2762" s="441"/>
      <c r="P2762" s="442"/>
      <c r="Q2762" s="443"/>
      <c r="R2762" s="440"/>
      <c r="S2762" s="440"/>
      <c r="T2762" s="440"/>
      <c r="U2762" s="440"/>
      <c r="V2762" s="440"/>
      <c r="W2762" s="440"/>
      <c r="X2762" s="440"/>
      <c r="Y2762" s="444">
        <f t="shared" si="17"/>
        <v>0</v>
      </c>
      <c r="Z2762" s="445"/>
      <c r="AA2762" s="446">
        <f t="shared" ref="AA2762:AE2762" si="1389">$J2762*E2762</f>
        <v>0</v>
      </c>
      <c r="AB2762" s="447">
        <f t="shared" si="1389"/>
        <v>0</v>
      </c>
      <c r="AC2762" s="447">
        <f t="shared" si="1389"/>
        <v>0</v>
      </c>
      <c r="AD2762" s="447">
        <f t="shared" si="1389"/>
        <v>0</v>
      </c>
      <c r="AE2762" s="448">
        <f t="shared" si="1389"/>
        <v>0</v>
      </c>
      <c r="AF2762" s="449"/>
      <c r="AG2762" s="449"/>
      <c r="AH2762" s="449"/>
    </row>
    <row r="2763" ht="11.25" customHeight="1">
      <c r="A2763" s="450"/>
      <c r="B2763" s="451"/>
      <c r="C2763" s="452"/>
      <c r="D2763" s="452"/>
      <c r="E2763" s="453"/>
      <c r="F2763" s="453"/>
      <c r="G2763" s="454"/>
      <c r="H2763" s="454"/>
      <c r="I2763" s="455"/>
      <c r="J2763" s="456"/>
      <c r="K2763" s="457" t="s">
        <v>1416</v>
      </c>
      <c r="L2763" s="458"/>
      <c r="M2763" s="459"/>
      <c r="N2763" s="460"/>
      <c r="O2763" s="460"/>
      <c r="P2763" s="461"/>
      <c r="Q2763" s="458"/>
      <c r="R2763" s="459"/>
      <c r="S2763" s="459"/>
      <c r="T2763" s="459"/>
      <c r="U2763" s="459"/>
      <c r="V2763" s="459"/>
      <c r="W2763" s="459"/>
      <c r="X2763" s="459"/>
      <c r="Y2763" s="462">
        <f t="shared" si="17"/>
        <v>0</v>
      </c>
      <c r="Z2763" s="463"/>
      <c r="AA2763" s="464"/>
      <c r="AB2763" s="465"/>
      <c r="AC2763" s="465"/>
      <c r="AD2763" s="465"/>
      <c r="AE2763" s="466"/>
      <c r="AF2763" s="449"/>
      <c r="AG2763" s="449"/>
      <c r="AH2763" s="449"/>
    </row>
    <row r="2764" ht="11.25" customHeight="1">
      <c r="A2764" s="450"/>
      <c r="B2764" s="451"/>
      <c r="C2764" s="452"/>
      <c r="D2764" s="452"/>
      <c r="E2764" s="453"/>
      <c r="F2764" s="453"/>
      <c r="G2764" s="454"/>
      <c r="H2764" s="454"/>
      <c r="I2764" s="455"/>
      <c r="J2764" s="456"/>
      <c r="K2764" s="467" t="s">
        <v>1417</v>
      </c>
      <c r="L2764" s="468"/>
      <c r="M2764" s="469"/>
      <c r="N2764" s="470"/>
      <c r="O2764" s="470"/>
      <c r="P2764" s="471"/>
      <c r="Q2764" s="468"/>
      <c r="R2764" s="469"/>
      <c r="S2764" s="469"/>
      <c r="T2764" s="469"/>
      <c r="U2764" s="469"/>
      <c r="V2764" s="469"/>
      <c r="W2764" s="469"/>
      <c r="X2764" s="469"/>
      <c r="Y2764" s="462">
        <f t="shared" si="17"/>
        <v>0</v>
      </c>
      <c r="Z2764" s="463"/>
      <c r="AA2764" s="464"/>
      <c r="AB2764" s="465"/>
      <c r="AC2764" s="465"/>
      <c r="AD2764" s="465"/>
      <c r="AE2764" s="466"/>
      <c r="AF2764" s="449"/>
      <c r="AG2764" s="449"/>
      <c r="AH2764" s="449"/>
    </row>
    <row r="2765" ht="11.25" customHeight="1">
      <c r="A2765" s="450"/>
      <c r="B2765" s="472"/>
      <c r="C2765" s="473"/>
      <c r="D2765" s="473"/>
      <c r="E2765" s="474"/>
      <c r="F2765" s="474"/>
      <c r="G2765" s="475"/>
      <c r="H2765" s="475"/>
      <c r="I2765" s="476"/>
      <c r="J2765" s="477"/>
      <c r="K2765" s="478" t="s">
        <v>1418</v>
      </c>
      <c r="L2765" s="479"/>
      <c r="M2765" s="480"/>
      <c r="N2765" s="481"/>
      <c r="O2765" s="481"/>
      <c r="P2765" s="482"/>
      <c r="Q2765" s="479"/>
      <c r="R2765" s="480"/>
      <c r="S2765" s="480"/>
      <c r="T2765" s="480"/>
      <c r="U2765" s="480"/>
      <c r="V2765" s="480"/>
      <c r="W2765" s="480"/>
      <c r="X2765" s="480"/>
      <c r="Y2765" s="483">
        <f t="shared" si="17"/>
        <v>0</v>
      </c>
      <c r="Z2765" s="484"/>
      <c r="AA2765" s="485"/>
      <c r="AB2765" s="486"/>
      <c r="AC2765" s="486"/>
      <c r="AD2765" s="486"/>
      <c r="AE2765" s="487"/>
      <c r="AF2765" s="449"/>
      <c r="AG2765" s="449"/>
      <c r="AH2765" s="449"/>
    </row>
    <row r="2766" ht="11.25" customHeight="1">
      <c r="A2766" s="431" t="str">
        <f>IF(B2766="","", YEAR(B2766))</f>
        <v/>
      </c>
      <c r="B2766" s="432"/>
      <c r="C2766" s="433"/>
      <c r="D2766" s="433"/>
      <c r="E2766" s="434" t="str">
        <f t="shared" ref="E2766:I2766" si="1390">IFERROR(AVERAGE(L2766:L2769),"")</f>
        <v/>
      </c>
      <c r="F2766" s="434" t="str">
        <f t="shared" si="1390"/>
        <v/>
      </c>
      <c r="G2766" s="435" t="str">
        <f t="shared" si="1390"/>
        <v/>
      </c>
      <c r="H2766" s="435" t="str">
        <f t="shared" si="1390"/>
        <v/>
      </c>
      <c r="I2766" s="436" t="str">
        <f t="shared" si="1390"/>
        <v/>
      </c>
      <c r="J2766" s="437">
        <f>SUMIFS(PRODUCTION[KG],PRODUCTION[GRADE],"3X50",PRODUCTION[DATE],B2766,PRODUCTION[BATCH],C2766,PRODUCTION[SHIFT],D2766)</f>
        <v>0</v>
      </c>
      <c r="K2766" s="438" t="s">
        <v>1414</v>
      </c>
      <c r="L2766" s="443"/>
      <c r="M2766" s="440"/>
      <c r="N2766" s="441"/>
      <c r="O2766" s="441"/>
      <c r="P2766" s="442"/>
      <c r="Q2766" s="443"/>
      <c r="R2766" s="440"/>
      <c r="S2766" s="440"/>
      <c r="T2766" s="440"/>
      <c r="U2766" s="440"/>
      <c r="V2766" s="440"/>
      <c r="W2766" s="440"/>
      <c r="X2766" s="440"/>
      <c r="Y2766" s="444">
        <f t="shared" si="17"/>
        <v>0</v>
      </c>
      <c r="Z2766" s="445"/>
      <c r="AA2766" s="446">
        <f t="shared" ref="AA2766:AE2766" si="1391">$J2766*E2766</f>
        <v>0</v>
      </c>
      <c r="AB2766" s="447">
        <f t="shared" si="1391"/>
        <v>0</v>
      </c>
      <c r="AC2766" s="447">
        <f t="shared" si="1391"/>
        <v>0</v>
      </c>
      <c r="AD2766" s="447">
        <f t="shared" si="1391"/>
        <v>0</v>
      </c>
      <c r="AE2766" s="448">
        <f t="shared" si="1391"/>
        <v>0</v>
      </c>
      <c r="AF2766" s="449"/>
      <c r="AG2766" s="449"/>
      <c r="AH2766" s="449"/>
    </row>
    <row r="2767" ht="11.25" customHeight="1">
      <c r="A2767" s="450"/>
      <c r="B2767" s="451"/>
      <c r="C2767" s="452"/>
      <c r="D2767" s="452"/>
      <c r="E2767" s="453"/>
      <c r="F2767" s="453"/>
      <c r="G2767" s="454"/>
      <c r="H2767" s="454"/>
      <c r="I2767" s="455"/>
      <c r="J2767" s="456"/>
      <c r="K2767" s="457" t="s">
        <v>1416</v>
      </c>
      <c r="L2767" s="458"/>
      <c r="M2767" s="459"/>
      <c r="N2767" s="460"/>
      <c r="O2767" s="460"/>
      <c r="P2767" s="461"/>
      <c r="Q2767" s="458"/>
      <c r="R2767" s="459"/>
      <c r="S2767" s="459"/>
      <c r="T2767" s="459"/>
      <c r="U2767" s="459"/>
      <c r="V2767" s="459"/>
      <c r="W2767" s="459"/>
      <c r="X2767" s="459"/>
      <c r="Y2767" s="462">
        <f t="shared" si="17"/>
        <v>0</v>
      </c>
      <c r="Z2767" s="463"/>
      <c r="AA2767" s="464"/>
      <c r="AB2767" s="465"/>
      <c r="AC2767" s="465"/>
      <c r="AD2767" s="465"/>
      <c r="AE2767" s="466"/>
      <c r="AF2767" s="449"/>
      <c r="AG2767" s="449"/>
      <c r="AH2767" s="449"/>
    </row>
    <row r="2768" ht="11.25" customHeight="1">
      <c r="A2768" s="450"/>
      <c r="B2768" s="451"/>
      <c r="C2768" s="452"/>
      <c r="D2768" s="452"/>
      <c r="E2768" s="453"/>
      <c r="F2768" s="453"/>
      <c r="G2768" s="454"/>
      <c r="H2768" s="454"/>
      <c r="I2768" s="455"/>
      <c r="J2768" s="456"/>
      <c r="K2768" s="467" t="s">
        <v>1417</v>
      </c>
      <c r="L2768" s="468"/>
      <c r="M2768" s="469"/>
      <c r="N2768" s="470"/>
      <c r="O2768" s="470"/>
      <c r="P2768" s="471"/>
      <c r="Q2768" s="468"/>
      <c r="R2768" s="469"/>
      <c r="S2768" s="469"/>
      <c r="T2768" s="469"/>
      <c r="U2768" s="469"/>
      <c r="V2768" s="469"/>
      <c r="W2768" s="469"/>
      <c r="X2768" s="469"/>
      <c r="Y2768" s="462">
        <f t="shared" si="17"/>
        <v>0</v>
      </c>
      <c r="Z2768" s="463"/>
      <c r="AA2768" s="464"/>
      <c r="AB2768" s="465"/>
      <c r="AC2768" s="465"/>
      <c r="AD2768" s="465"/>
      <c r="AE2768" s="466"/>
      <c r="AF2768" s="449"/>
      <c r="AG2768" s="449"/>
      <c r="AH2768" s="449"/>
    </row>
    <row r="2769" ht="11.25" customHeight="1">
      <c r="A2769" s="450"/>
      <c r="B2769" s="472"/>
      <c r="C2769" s="473"/>
      <c r="D2769" s="473"/>
      <c r="E2769" s="474"/>
      <c r="F2769" s="474"/>
      <c r="G2769" s="475"/>
      <c r="H2769" s="475"/>
      <c r="I2769" s="476"/>
      <c r="J2769" s="477"/>
      <c r="K2769" s="478" t="s">
        <v>1418</v>
      </c>
      <c r="L2769" s="479"/>
      <c r="M2769" s="480"/>
      <c r="N2769" s="481"/>
      <c r="O2769" s="481"/>
      <c r="P2769" s="482"/>
      <c r="Q2769" s="479"/>
      <c r="R2769" s="480"/>
      <c r="S2769" s="480"/>
      <c r="T2769" s="480"/>
      <c r="U2769" s="480"/>
      <c r="V2769" s="480"/>
      <c r="W2769" s="480"/>
      <c r="X2769" s="480"/>
      <c r="Y2769" s="483">
        <f t="shared" si="17"/>
        <v>0</v>
      </c>
      <c r="Z2769" s="484"/>
      <c r="AA2769" s="485"/>
      <c r="AB2769" s="486"/>
      <c r="AC2769" s="486"/>
      <c r="AD2769" s="486"/>
      <c r="AE2769" s="487"/>
      <c r="AF2769" s="449"/>
      <c r="AG2769" s="449"/>
      <c r="AH2769" s="449"/>
    </row>
    <row r="2770" ht="11.25" customHeight="1">
      <c r="A2770" s="431" t="str">
        <f>IF(B2770="","", YEAR(B2770))</f>
        <v/>
      </c>
      <c r="B2770" s="432"/>
      <c r="C2770" s="433"/>
      <c r="D2770" s="433"/>
      <c r="E2770" s="434" t="str">
        <f t="shared" ref="E2770:I2770" si="1392">IFERROR(AVERAGE(L2770:L2773),"")</f>
        <v/>
      </c>
      <c r="F2770" s="434" t="str">
        <f t="shared" si="1392"/>
        <v/>
      </c>
      <c r="G2770" s="435" t="str">
        <f t="shared" si="1392"/>
        <v/>
      </c>
      <c r="H2770" s="435" t="str">
        <f t="shared" si="1392"/>
        <v/>
      </c>
      <c r="I2770" s="436" t="str">
        <f t="shared" si="1392"/>
        <v/>
      </c>
      <c r="J2770" s="437">
        <f>SUMIFS(PRODUCTION[KG],PRODUCTION[GRADE],"3X50",PRODUCTION[DATE],B2770,PRODUCTION[BATCH],C2770,PRODUCTION[SHIFT],D2770)</f>
        <v>0</v>
      </c>
      <c r="K2770" s="438" t="s">
        <v>1414</v>
      </c>
      <c r="L2770" s="443"/>
      <c r="M2770" s="440"/>
      <c r="N2770" s="441"/>
      <c r="O2770" s="441"/>
      <c r="P2770" s="442"/>
      <c r="Q2770" s="443"/>
      <c r="R2770" s="440"/>
      <c r="S2770" s="440"/>
      <c r="T2770" s="440"/>
      <c r="U2770" s="440"/>
      <c r="V2770" s="440"/>
      <c r="W2770" s="440"/>
      <c r="X2770" s="440"/>
      <c r="Y2770" s="444">
        <f t="shared" si="17"/>
        <v>0</v>
      </c>
      <c r="Z2770" s="445"/>
      <c r="AA2770" s="446">
        <f t="shared" ref="AA2770:AE2770" si="1393">$J2770*E2770</f>
        <v>0</v>
      </c>
      <c r="AB2770" s="447">
        <f t="shared" si="1393"/>
        <v>0</v>
      </c>
      <c r="AC2770" s="447">
        <f t="shared" si="1393"/>
        <v>0</v>
      </c>
      <c r="AD2770" s="447">
        <f t="shared" si="1393"/>
        <v>0</v>
      </c>
      <c r="AE2770" s="448">
        <f t="shared" si="1393"/>
        <v>0</v>
      </c>
      <c r="AF2770" s="449"/>
      <c r="AG2770" s="449"/>
      <c r="AH2770" s="449"/>
    </row>
    <row r="2771" ht="11.25" customHeight="1">
      <c r="A2771" s="450"/>
      <c r="B2771" s="451"/>
      <c r="C2771" s="452"/>
      <c r="D2771" s="452"/>
      <c r="E2771" s="453"/>
      <c r="F2771" s="453"/>
      <c r="G2771" s="454"/>
      <c r="H2771" s="454"/>
      <c r="I2771" s="455"/>
      <c r="J2771" s="456"/>
      <c r="K2771" s="457" t="s">
        <v>1416</v>
      </c>
      <c r="L2771" s="458"/>
      <c r="M2771" s="459"/>
      <c r="N2771" s="460"/>
      <c r="O2771" s="460"/>
      <c r="P2771" s="461"/>
      <c r="Q2771" s="458"/>
      <c r="R2771" s="459"/>
      <c r="S2771" s="459"/>
      <c r="T2771" s="459"/>
      <c r="U2771" s="459"/>
      <c r="V2771" s="459"/>
      <c r="W2771" s="459"/>
      <c r="X2771" s="459"/>
      <c r="Y2771" s="462">
        <f t="shared" si="17"/>
        <v>0</v>
      </c>
      <c r="Z2771" s="463"/>
      <c r="AA2771" s="464"/>
      <c r="AB2771" s="465"/>
      <c r="AC2771" s="465"/>
      <c r="AD2771" s="465"/>
      <c r="AE2771" s="466"/>
      <c r="AF2771" s="449"/>
      <c r="AG2771" s="449"/>
      <c r="AH2771" s="449"/>
    </row>
    <row r="2772" ht="11.25" customHeight="1">
      <c r="A2772" s="450"/>
      <c r="B2772" s="451"/>
      <c r="C2772" s="452"/>
      <c r="D2772" s="452"/>
      <c r="E2772" s="453"/>
      <c r="F2772" s="453"/>
      <c r="G2772" s="454"/>
      <c r="H2772" s="454"/>
      <c r="I2772" s="455"/>
      <c r="J2772" s="456"/>
      <c r="K2772" s="467" t="s">
        <v>1417</v>
      </c>
      <c r="L2772" s="468"/>
      <c r="M2772" s="469"/>
      <c r="N2772" s="470"/>
      <c r="O2772" s="470"/>
      <c r="P2772" s="471"/>
      <c r="Q2772" s="468"/>
      <c r="R2772" s="469"/>
      <c r="S2772" s="469"/>
      <c r="T2772" s="469"/>
      <c r="U2772" s="469"/>
      <c r="V2772" s="469"/>
      <c r="W2772" s="469"/>
      <c r="X2772" s="469"/>
      <c r="Y2772" s="462">
        <f t="shared" si="17"/>
        <v>0</v>
      </c>
      <c r="Z2772" s="463"/>
      <c r="AA2772" s="464"/>
      <c r="AB2772" s="465"/>
      <c r="AC2772" s="465"/>
      <c r="AD2772" s="465"/>
      <c r="AE2772" s="466"/>
      <c r="AF2772" s="449"/>
      <c r="AG2772" s="449"/>
      <c r="AH2772" s="449"/>
    </row>
    <row r="2773" ht="11.25" customHeight="1">
      <c r="A2773" s="450"/>
      <c r="B2773" s="472"/>
      <c r="C2773" s="473"/>
      <c r="D2773" s="473"/>
      <c r="E2773" s="474"/>
      <c r="F2773" s="474"/>
      <c r="G2773" s="475"/>
      <c r="H2773" s="475"/>
      <c r="I2773" s="476"/>
      <c r="J2773" s="477"/>
      <c r="K2773" s="478" t="s">
        <v>1418</v>
      </c>
      <c r="L2773" s="479"/>
      <c r="M2773" s="480"/>
      <c r="N2773" s="481"/>
      <c r="O2773" s="481"/>
      <c r="P2773" s="482"/>
      <c r="Q2773" s="479"/>
      <c r="R2773" s="480"/>
      <c r="S2773" s="480"/>
      <c r="T2773" s="480"/>
      <c r="U2773" s="480"/>
      <c r="V2773" s="480"/>
      <c r="W2773" s="480"/>
      <c r="X2773" s="480"/>
      <c r="Y2773" s="483">
        <f t="shared" si="17"/>
        <v>0</v>
      </c>
      <c r="Z2773" s="484"/>
      <c r="AA2773" s="485"/>
      <c r="AB2773" s="486"/>
      <c r="AC2773" s="486"/>
      <c r="AD2773" s="486"/>
      <c r="AE2773" s="487"/>
      <c r="AF2773" s="449"/>
      <c r="AG2773" s="449"/>
      <c r="AH2773" s="449"/>
    </row>
    <row r="2774" ht="11.25" customHeight="1">
      <c r="A2774" s="431" t="str">
        <f>IF(B2774="","", YEAR(B2774))</f>
        <v/>
      </c>
      <c r="B2774" s="432"/>
      <c r="C2774" s="433"/>
      <c r="D2774" s="433"/>
      <c r="E2774" s="434" t="str">
        <f t="shared" ref="E2774:I2774" si="1394">IFERROR(AVERAGE(L2774:L2777),"")</f>
        <v/>
      </c>
      <c r="F2774" s="434" t="str">
        <f t="shared" si="1394"/>
        <v/>
      </c>
      <c r="G2774" s="435" t="str">
        <f t="shared" si="1394"/>
        <v/>
      </c>
      <c r="H2774" s="435" t="str">
        <f t="shared" si="1394"/>
        <v/>
      </c>
      <c r="I2774" s="436" t="str">
        <f t="shared" si="1394"/>
        <v/>
      </c>
      <c r="J2774" s="437">
        <f>SUMIFS(PRODUCTION[KG],PRODUCTION[GRADE],"3X50",PRODUCTION[DATE],B2774,PRODUCTION[BATCH],C2774,PRODUCTION[SHIFT],D2774)</f>
        <v>0</v>
      </c>
      <c r="K2774" s="438" t="s">
        <v>1414</v>
      </c>
      <c r="L2774" s="443"/>
      <c r="M2774" s="440"/>
      <c r="N2774" s="441"/>
      <c r="O2774" s="441"/>
      <c r="P2774" s="442"/>
      <c r="Q2774" s="443"/>
      <c r="R2774" s="440"/>
      <c r="S2774" s="440"/>
      <c r="T2774" s="440"/>
      <c r="U2774" s="440"/>
      <c r="V2774" s="440"/>
      <c r="W2774" s="440"/>
      <c r="X2774" s="440"/>
      <c r="Y2774" s="444">
        <f t="shared" si="17"/>
        <v>0</v>
      </c>
      <c r="Z2774" s="445"/>
      <c r="AA2774" s="446">
        <f t="shared" ref="AA2774:AE2774" si="1395">$J2774*E2774</f>
        <v>0</v>
      </c>
      <c r="AB2774" s="447">
        <f t="shared" si="1395"/>
        <v>0</v>
      </c>
      <c r="AC2774" s="447">
        <f t="shared" si="1395"/>
        <v>0</v>
      </c>
      <c r="AD2774" s="447">
        <f t="shared" si="1395"/>
        <v>0</v>
      </c>
      <c r="AE2774" s="448">
        <f t="shared" si="1395"/>
        <v>0</v>
      </c>
      <c r="AF2774" s="449"/>
      <c r="AG2774" s="449"/>
      <c r="AH2774" s="449"/>
    </row>
    <row r="2775" ht="11.25" customHeight="1">
      <c r="A2775" s="450"/>
      <c r="B2775" s="451"/>
      <c r="C2775" s="452"/>
      <c r="D2775" s="452"/>
      <c r="E2775" s="453"/>
      <c r="F2775" s="453"/>
      <c r="G2775" s="454"/>
      <c r="H2775" s="454"/>
      <c r="I2775" s="455"/>
      <c r="J2775" s="456"/>
      <c r="K2775" s="457" t="s">
        <v>1416</v>
      </c>
      <c r="L2775" s="458"/>
      <c r="M2775" s="459"/>
      <c r="N2775" s="460"/>
      <c r="O2775" s="460"/>
      <c r="P2775" s="461"/>
      <c r="Q2775" s="458"/>
      <c r="R2775" s="459"/>
      <c r="S2775" s="459"/>
      <c r="T2775" s="459"/>
      <c r="U2775" s="459"/>
      <c r="V2775" s="459"/>
      <c r="W2775" s="459"/>
      <c r="X2775" s="459"/>
      <c r="Y2775" s="462">
        <f t="shared" si="17"/>
        <v>0</v>
      </c>
      <c r="Z2775" s="463"/>
      <c r="AA2775" s="464"/>
      <c r="AB2775" s="465"/>
      <c r="AC2775" s="465"/>
      <c r="AD2775" s="465"/>
      <c r="AE2775" s="466"/>
      <c r="AF2775" s="449"/>
      <c r="AG2775" s="449"/>
      <c r="AH2775" s="449"/>
    </row>
    <row r="2776" ht="11.25" customHeight="1">
      <c r="A2776" s="450"/>
      <c r="B2776" s="451"/>
      <c r="C2776" s="452"/>
      <c r="D2776" s="452"/>
      <c r="E2776" s="453"/>
      <c r="F2776" s="453"/>
      <c r="G2776" s="454"/>
      <c r="H2776" s="454"/>
      <c r="I2776" s="455"/>
      <c r="J2776" s="456"/>
      <c r="K2776" s="467" t="s">
        <v>1417</v>
      </c>
      <c r="L2776" s="468"/>
      <c r="M2776" s="469"/>
      <c r="N2776" s="470"/>
      <c r="O2776" s="470"/>
      <c r="P2776" s="471"/>
      <c r="Q2776" s="468"/>
      <c r="R2776" s="469"/>
      <c r="S2776" s="469"/>
      <c r="T2776" s="469"/>
      <c r="U2776" s="469"/>
      <c r="V2776" s="469"/>
      <c r="W2776" s="469"/>
      <c r="X2776" s="469"/>
      <c r="Y2776" s="462">
        <f t="shared" si="17"/>
        <v>0</v>
      </c>
      <c r="Z2776" s="463"/>
      <c r="AA2776" s="464"/>
      <c r="AB2776" s="465"/>
      <c r="AC2776" s="465"/>
      <c r="AD2776" s="465"/>
      <c r="AE2776" s="466"/>
      <c r="AF2776" s="449"/>
      <c r="AG2776" s="449"/>
      <c r="AH2776" s="449"/>
    </row>
    <row r="2777" ht="11.25" customHeight="1">
      <c r="A2777" s="450"/>
      <c r="B2777" s="472"/>
      <c r="C2777" s="473"/>
      <c r="D2777" s="473"/>
      <c r="E2777" s="474"/>
      <c r="F2777" s="474"/>
      <c r="G2777" s="475"/>
      <c r="H2777" s="475"/>
      <c r="I2777" s="476"/>
      <c r="J2777" s="477"/>
      <c r="K2777" s="478" t="s">
        <v>1418</v>
      </c>
      <c r="L2777" s="479"/>
      <c r="M2777" s="480"/>
      <c r="N2777" s="481"/>
      <c r="O2777" s="481"/>
      <c r="P2777" s="482"/>
      <c r="Q2777" s="479"/>
      <c r="R2777" s="480"/>
      <c r="S2777" s="480"/>
      <c r="T2777" s="480"/>
      <c r="U2777" s="480"/>
      <c r="V2777" s="480"/>
      <c r="W2777" s="480"/>
      <c r="X2777" s="480"/>
      <c r="Y2777" s="483">
        <f t="shared" si="17"/>
        <v>0</v>
      </c>
      <c r="Z2777" s="484"/>
      <c r="AA2777" s="485"/>
      <c r="AB2777" s="486"/>
      <c r="AC2777" s="486"/>
      <c r="AD2777" s="486"/>
      <c r="AE2777" s="487"/>
      <c r="AF2777" s="449"/>
      <c r="AG2777" s="449"/>
      <c r="AH2777" s="449"/>
    </row>
    <row r="2778" ht="11.25" customHeight="1">
      <c r="A2778" s="431" t="str">
        <f>IF(B2778="","", YEAR(B2778))</f>
        <v/>
      </c>
      <c r="B2778" s="432"/>
      <c r="C2778" s="433"/>
      <c r="D2778" s="433"/>
      <c r="E2778" s="434" t="str">
        <f t="shared" ref="E2778:I2778" si="1396">IFERROR(AVERAGE(L2778:L2781),"")</f>
        <v/>
      </c>
      <c r="F2778" s="434" t="str">
        <f t="shared" si="1396"/>
        <v/>
      </c>
      <c r="G2778" s="435" t="str">
        <f t="shared" si="1396"/>
        <v/>
      </c>
      <c r="H2778" s="435" t="str">
        <f t="shared" si="1396"/>
        <v/>
      </c>
      <c r="I2778" s="436" t="str">
        <f t="shared" si="1396"/>
        <v/>
      </c>
      <c r="J2778" s="437">
        <f>SUMIFS(PRODUCTION[KG],PRODUCTION[GRADE],"3X50",PRODUCTION[DATE],B2778,PRODUCTION[BATCH],C2778,PRODUCTION[SHIFT],D2778)</f>
        <v>0</v>
      </c>
      <c r="K2778" s="438" t="s">
        <v>1414</v>
      </c>
      <c r="L2778" s="443"/>
      <c r="M2778" s="440"/>
      <c r="N2778" s="441"/>
      <c r="O2778" s="441"/>
      <c r="P2778" s="442"/>
      <c r="Q2778" s="443"/>
      <c r="R2778" s="440"/>
      <c r="S2778" s="440"/>
      <c r="T2778" s="440"/>
      <c r="U2778" s="440"/>
      <c r="V2778" s="440"/>
      <c r="W2778" s="440"/>
      <c r="X2778" s="440"/>
      <c r="Y2778" s="444">
        <f t="shared" si="17"/>
        <v>0</v>
      </c>
      <c r="Z2778" s="445"/>
      <c r="AA2778" s="446">
        <f t="shared" ref="AA2778:AE2778" si="1397">$J2778*E2778</f>
        <v>0</v>
      </c>
      <c r="AB2778" s="447">
        <f t="shared" si="1397"/>
        <v>0</v>
      </c>
      <c r="AC2778" s="447">
        <f t="shared" si="1397"/>
        <v>0</v>
      </c>
      <c r="AD2778" s="447">
        <f t="shared" si="1397"/>
        <v>0</v>
      </c>
      <c r="AE2778" s="448">
        <f t="shared" si="1397"/>
        <v>0</v>
      </c>
      <c r="AF2778" s="449"/>
      <c r="AG2778" s="449"/>
      <c r="AH2778" s="449"/>
    </row>
    <row r="2779" ht="11.25" customHeight="1">
      <c r="A2779" s="450"/>
      <c r="B2779" s="451"/>
      <c r="C2779" s="452"/>
      <c r="D2779" s="452"/>
      <c r="E2779" s="453"/>
      <c r="F2779" s="453"/>
      <c r="G2779" s="454"/>
      <c r="H2779" s="454"/>
      <c r="I2779" s="455"/>
      <c r="J2779" s="456"/>
      <c r="K2779" s="457" t="s">
        <v>1416</v>
      </c>
      <c r="L2779" s="458"/>
      <c r="M2779" s="459"/>
      <c r="N2779" s="460"/>
      <c r="O2779" s="460"/>
      <c r="P2779" s="461"/>
      <c r="Q2779" s="458"/>
      <c r="R2779" s="459"/>
      <c r="S2779" s="459"/>
      <c r="T2779" s="459"/>
      <c r="U2779" s="459"/>
      <c r="V2779" s="459"/>
      <c r="W2779" s="459"/>
      <c r="X2779" s="459"/>
      <c r="Y2779" s="462">
        <f t="shared" si="17"/>
        <v>0</v>
      </c>
      <c r="Z2779" s="463"/>
      <c r="AA2779" s="464"/>
      <c r="AB2779" s="465"/>
      <c r="AC2779" s="465"/>
      <c r="AD2779" s="465"/>
      <c r="AE2779" s="466"/>
      <c r="AF2779" s="449"/>
      <c r="AG2779" s="449"/>
      <c r="AH2779" s="449"/>
    </row>
    <row r="2780" ht="11.25" customHeight="1">
      <c r="A2780" s="450"/>
      <c r="B2780" s="451"/>
      <c r="C2780" s="452"/>
      <c r="D2780" s="452"/>
      <c r="E2780" s="453"/>
      <c r="F2780" s="453"/>
      <c r="G2780" s="454"/>
      <c r="H2780" s="454"/>
      <c r="I2780" s="455"/>
      <c r="J2780" s="456"/>
      <c r="K2780" s="467" t="s">
        <v>1417</v>
      </c>
      <c r="L2780" s="468"/>
      <c r="M2780" s="469"/>
      <c r="N2780" s="470"/>
      <c r="O2780" s="470"/>
      <c r="P2780" s="471"/>
      <c r="Q2780" s="468"/>
      <c r="R2780" s="469"/>
      <c r="S2780" s="469"/>
      <c r="T2780" s="469"/>
      <c r="U2780" s="469"/>
      <c r="V2780" s="469"/>
      <c r="W2780" s="469"/>
      <c r="X2780" s="469"/>
      <c r="Y2780" s="462">
        <f t="shared" si="17"/>
        <v>0</v>
      </c>
      <c r="Z2780" s="463"/>
      <c r="AA2780" s="464"/>
      <c r="AB2780" s="465"/>
      <c r="AC2780" s="465"/>
      <c r="AD2780" s="465"/>
      <c r="AE2780" s="466"/>
      <c r="AF2780" s="449"/>
      <c r="AG2780" s="449"/>
      <c r="AH2780" s="449"/>
    </row>
    <row r="2781" ht="11.25" customHeight="1">
      <c r="A2781" s="450"/>
      <c r="B2781" s="472"/>
      <c r="C2781" s="473"/>
      <c r="D2781" s="473"/>
      <c r="E2781" s="474"/>
      <c r="F2781" s="474"/>
      <c r="G2781" s="475"/>
      <c r="H2781" s="475"/>
      <c r="I2781" s="476"/>
      <c r="J2781" s="477"/>
      <c r="K2781" s="478" t="s">
        <v>1418</v>
      </c>
      <c r="L2781" s="479"/>
      <c r="M2781" s="480"/>
      <c r="N2781" s="481"/>
      <c r="O2781" s="481"/>
      <c r="P2781" s="482"/>
      <c r="Q2781" s="479"/>
      <c r="R2781" s="480"/>
      <c r="S2781" s="480"/>
      <c r="T2781" s="480"/>
      <c r="U2781" s="480"/>
      <c r="V2781" s="480"/>
      <c r="W2781" s="480"/>
      <c r="X2781" s="480"/>
      <c r="Y2781" s="483">
        <f t="shared" si="17"/>
        <v>0</v>
      </c>
      <c r="Z2781" s="484"/>
      <c r="AA2781" s="485"/>
      <c r="AB2781" s="486"/>
      <c r="AC2781" s="486"/>
      <c r="AD2781" s="486"/>
      <c r="AE2781" s="487"/>
      <c r="AF2781" s="449"/>
      <c r="AG2781" s="449"/>
      <c r="AH2781" s="449"/>
    </row>
    <row r="2782" ht="11.25" customHeight="1">
      <c r="A2782" s="431" t="str">
        <f>IF(B2782="","", YEAR(B2782))</f>
        <v/>
      </c>
      <c r="B2782" s="432"/>
      <c r="C2782" s="433"/>
      <c r="D2782" s="433"/>
      <c r="E2782" s="434" t="str">
        <f t="shared" ref="E2782:I2782" si="1398">IFERROR(AVERAGE(L2782:L2785),"")</f>
        <v/>
      </c>
      <c r="F2782" s="434" t="str">
        <f t="shared" si="1398"/>
        <v/>
      </c>
      <c r="G2782" s="435" t="str">
        <f t="shared" si="1398"/>
        <v/>
      </c>
      <c r="H2782" s="435" t="str">
        <f t="shared" si="1398"/>
        <v/>
      </c>
      <c r="I2782" s="436" t="str">
        <f t="shared" si="1398"/>
        <v/>
      </c>
      <c r="J2782" s="437">
        <f>SUMIFS(PRODUCTION[KG],PRODUCTION[GRADE],"3X50",PRODUCTION[DATE],B2782,PRODUCTION[BATCH],C2782,PRODUCTION[SHIFT],D2782)</f>
        <v>0</v>
      </c>
      <c r="K2782" s="438" t="s">
        <v>1414</v>
      </c>
      <c r="L2782" s="443"/>
      <c r="M2782" s="440"/>
      <c r="N2782" s="441"/>
      <c r="O2782" s="441"/>
      <c r="P2782" s="442"/>
      <c r="Q2782" s="443"/>
      <c r="R2782" s="440"/>
      <c r="S2782" s="440"/>
      <c r="T2782" s="440"/>
      <c r="U2782" s="440"/>
      <c r="V2782" s="440"/>
      <c r="W2782" s="440"/>
      <c r="X2782" s="440"/>
      <c r="Y2782" s="444">
        <f t="shared" si="17"/>
        <v>0</v>
      </c>
      <c r="Z2782" s="445"/>
      <c r="AA2782" s="446">
        <f t="shared" ref="AA2782:AE2782" si="1399">$J2782*E2782</f>
        <v>0</v>
      </c>
      <c r="AB2782" s="447">
        <f t="shared" si="1399"/>
        <v>0</v>
      </c>
      <c r="AC2782" s="447">
        <f t="shared" si="1399"/>
        <v>0</v>
      </c>
      <c r="AD2782" s="447">
        <f t="shared" si="1399"/>
        <v>0</v>
      </c>
      <c r="AE2782" s="448">
        <f t="shared" si="1399"/>
        <v>0</v>
      </c>
      <c r="AF2782" s="449"/>
      <c r="AG2782" s="449"/>
      <c r="AH2782" s="449"/>
    </row>
    <row r="2783" ht="11.25" customHeight="1">
      <c r="A2783" s="450"/>
      <c r="B2783" s="451"/>
      <c r="C2783" s="452"/>
      <c r="D2783" s="452"/>
      <c r="E2783" s="453"/>
      <c r="F2783" s="453"/>
      <c r="G2783" s="454"/>
      <c r="H2783" s="454"/>
      <c r="I2783" s="455"/>
      <c r="J2783" s="456"/>
      <c r="K2783" s="457" t="s">
        <v>1416</v>
      </c>
      <c r="L2783" s="458"/>
      <c r="M2783" s="459"/>
      <c r="N2783" s="460"/>
      <c r="O2783" s="460"/>
      <c r="P2783" s="461"/>
      <c r="Q2783" s="458"/>
      <c r="R2783" s="459"/>
      <c r="S2783" s="459"/>
      <c r="T2783" s="459"/>
      <c r="U2783" s="459"/>
      <c r="V2783" s="459"/>
      <c r="W2783" s="459"/>
      <c r="X2783" s="459"/>
      <c r="Y2783" s="462">
        <f t="shared" si="17"/>
        <v>0</v>
      </c>
      <c r="Z2783" s="463"/>
      <c r="AA2783" s="464"/>
      <c r="AB2783" s="465"/>
      <c r="AC2783" s="465"/>
      <c r="AD2783" s="465"/>
      <c r="AE2783" s="466"/>
      <c r="AF2783" s="449"/>
      <c r="AG2783" s="449"/>
      <c r="AH2783" s="449"/>
    </row>
    <row r="2784" ht="11.25" customHeight="1">
      <c r="A2784" s="450"/>
      <c r="B2784" s="451"/>
      <c r="C2784" s="452"/>
      <c r="D2784" s="452"/>
      <c r="E2784" s="453"/>
      <c r="F2784" s="453"/>
      <c r="G2784" s="454"/>
      <c r="H2784" s="454"/>
      <c r="I2784" s="455"/>
      <c r="J2784" s="456"/>
      <c r="K2784" s="467" t="s">
        <v>1417</v>
      </c>
      <c r="L2784" s="468"/>
      <c r="M2784" s="469"/>
      <c r="N2784" s="470"/>
      <c r="O2784" s="470"/>
      <c r="P2784" s="471"/>
      <c r="Q2784" s="468"/>
      <c r="R2784" s="469"/>
      <c r="S2784" s="469"/>
      <c r="T2784" s="469"/>
      <c r="U2784" s="469"/>
      <c r="V2784" s="469"/>
      <c r="W2784" s="469"/>
      <c r="X2784" s="469"/>
      <c r="Y2784" s="462">
        <f t="shared" si="17"/>
        <v>0</v>
      </c>
      <c r="Z2784" s="463"/>
      <c r="AA2784" s="464"/>
      <c r="AB2784" s="465"/>
      <c r="AC2784" s="465"/>
      <c r="AD2784" s="465"/>
      <c r="AE2784" s="466"/>
      <c r="AF2784" s="449"/>
      <c r="AG2784" s="449"/>
      <c r="AH2784" s="449"/>
    </row>
    <row r="2785" ht="11.25" customHeight="1">
      <c r="A2785" s="450"/>
      <c r="B2785" s="472"/>
      <c r="C2785" s="473"/>
      <c r="D2785" s="473"/>
      <c r="E2785" s="474"/>
      <c r="F2785" s="474"/>
      <c r="G2785" s="475"/>
      <c r="H2785" s="475"/>
      <c r="I2785" s="476"/>
      <c r="J2785" s="477"/>
      <c r="K2785" s="478" t="s">
        <v>1418</v>
      </c>
      <c r="L2785" s="479"/>
      <c r="M2785" s="480"/>
      <c r="N2785" s="481"/>
      <c r="O2785" s="481"/>
      <c r="P2785" s="482"/>
      <c r="Q2785" s="479"/>
      <c r="R2785" s="480"/>
      <c r="S2785" s="480"/>
      <c r="T2785" s="480"/>
      <c r="U2785" s="480"/>
      <c r="V2785" s="480"/>
      <c r="W2785" s="480"/>
      <c r="X2785" s="480"/>
      <c r="Y2785" s="483">
        <f t="shared" si="17"/>
        <v>0</v>
      </c>
      <c r="Z2785" s="484"/>
      <c r="AA2785" s="485"/>
      <c r="AB2785" s="486"/>
      <c r="AC2785" s="486"/>
      <c r="AD2785" s="486"/>
      <c r="AE2785" s="487"/>
      <c r="AF2785" s="449"/>
      <c r="AG2785" s="449"/>
      <c r="AH2785" s="449"/>
    </row>
    <row r="2786" ht="11.25" customHeight="1">
      <c r="A2786" s="431" t="str">
        <f>IF(B2786="","", YEAR(B2786))</f>
        <v/>
      </c>
      <c r="B2786" s="432"/>
      <c r="C2786" s="433"/>
      <c r="D2786" s="433"/>
      <c r="E2786" s="434" t="str">
        <f t="shared" ref="E2786:I2786" si="1400">IFERROR(AVERAGE(L2786:L2789),"")</f>
        <v/>
      </c>
      <c r="F2786" s="434" t="str">
        <f t="shared" si="1400"/>
        <v/>
      </c>
      <c r="G2786" s="435" t="str">
        <f t="shared" si="1400"/>
        <v/>
      </c>
      <c r="H2786" s="435" t="str">
        <f t="shared" si="1400"/>
        <v/>
      </c>
      <c r="I2786" s="436" t="str">
        <f t="shared" si="1400"/>
        <v/>
      </c>
      <c r="J2786" s="437">
        <f>SUMIFS(PRODUCTION[KG],PRODUCTION[GRADE],"3X50",PRODUCTION[DATE],B2786,PRODUCTION[BATCH],C2786,PRODUCTION[SHIFT],D2786)</f>
        <v>0</v>
      </c>
      <c r="K2786" s="438" t="s">
        <v>1414</v>
      </c>
      <c r="L2786" s="443"/>
      <c r="M2786" s="440"/>
      <c r="N2786" s="441"/>
      <c r="O2786" s="441"/>
      <c r="P2786" s="442"/>
      <c r="Q2786" s="443"/>
      <c r="R2786" s="440"/>
      <c r="S2786" s="440"/>
      <c r="T2786" s="440"/>
      <c r="U2786" s="440"/>
      <c r="V2786" s="440"/>
      <c r="W2786" s="440"/>
      <c r="X2786" s="440"/>
      <c r="Y2786" s="444">
        <f t="shared" si="17"/>
        <v>0</v>
      </c>
      <c r="Z2786" s="445"/>
      <c r="AA2786" s="446">
        <f t="shared" ref="AA2786:AE2786" si="1401">$J2786*E2786</f>
        <v>0</v>
      </c>
      <c r="AB2786" s="447">
        <f t="shared" si="1401"/>
        <v>0</v>
      </c>
      <c r="AC2786" s="447">
        <f t="shared" si="1401"/>
        <v>0</v>
      </c>
      <c r="AD2786" s="447">
        <f t="shared" si="1401"/>
        <v>0</v>
      </c>
      <c r="AE2786" s="448">
        <f t="shared" si="1401"/>
        <v>0</v>
      </c>
      <c r="AF2786" s="449"/>
      <c r="AG2786" s="449"/>
      <c r="AH2786" s="449"/>
    </row>
    <row r="2787" ht="11.25" customHeight="1">
      <c r="A2787" s="450"/>
      <c r="B2787" s="451"/>
      <c r="C2787" s="452"/>
      <c r="D2787" s="452"/>
      <c r="E2787" s="453"/>
      <c r="F2787" s="453"/>
      <c r="G2787" s="454"/>
      <c r="H2787" s="454"/>
      <c r="I2787" s="455"/>
      <c r="J2787" s="456"/>
      <c r="K2787" s="457" t="s">
        <v>1416</v>
      </c>
      <c r="L2787" s="458"/>
      <c r="M2787" s="459"/>
      <c r="N2787" s="460"/>
      <c r="O2787" s="460"/>
      <c r="P2787" s="461"/>
      <c r="Q2787" s="458"/>
      <c r="R2787" s="459"/>
      <c r="S2787" s="459"/>
      <c r="T2787" s="459"/>
      <c r="U2787" s="459"/>
      <c r="V2787" s="459"/>
      <c r="W2787" s="459"/>
      <c r="X2787" s="459"/>
      <c r="Y2787" s="462">
        <f t="shared" si="17"/>
        <v>0</v>
      </c>
      <c r="Z2787" s="463"/>
      <c r="AA2787" s="464"/>
      <c r="AB2787" s="465"/>
      <c r="AC2787" s="465"/>
      <c r="AD2787" s="465"/>
      <c r="AE2787" s="466"/>
      <c r="AF2787" s="449"/>
      <c r="AG2787" s="449"/>
      <c r="AH2787" s="449"/>
    </row>
    <row r="2788" ht="11.25" customHeight="1">
      <c r="A2788" s="450"/>
      <c r="B2788" s="451"/>
      <c r="C2788" s="452"/>
      <c r="D2788" s="452"/>
      <c r="E2788" s="453"/>
      <c r="F2788" s="453"/>
      <c r="G2788" s="454"/>
      <c r="H2788" s="454"/>
      <c r="I2788" s="455"/>
      <c r="J2788" s="456"/>
      <c r="K2788" s="467" t="s">
        <v>1417</v>
      </c>
      <c r="L2788" s="468"/>
      <c r="M2788" s="469"/>
      <c r="N2788" s="470"/>
      <c r="O2788" s="470"/>
      <c r="P2788" s="471"/>
      <c r="Q2788" s="468"/>
      <c r="R2788" s="469"/>
      <c r="S2788" s="469"/>
      <c r="T2788" s="469"/>
      <c r="U2788" s="469"/>
      <c r="V2788" s="469"/>
      <c r="W2788" s="469"/>
      <c r="X2788" s="469"/>
      <c r="Y2788" s="462">
        <f t="shared" si="17"/>
        <v>0</v>
      </c>
      <c r="Z2788" s="463"/>
      <c r="AA2788" s="464"/>
      <c r="AB2788" s="465"/>
      <c r="AC2788" s="465"/>
      <c r="AD2788" s="465"/>
      <c r="AE2788" s="466"/>
      <c r="AF2788" s="449"/>
      <c r="AG2788" s="449"/>
      <c r="AH2788" s="449"/>
    </row>
    <row r="2789" ht="11.25" customHeight="1">
      <c r="A2789" s="450"/>
      <c r="B2789" s="472"/>
      <c r="C2789" s="473"/>
      <c r="D2789" s="473"/>
      <c r="E2789" s="474"/>
      <c r="F2789" s="474"/>
      <c r="G2789" s="475"/>
      <c r="H2789" s="475"/>
      <c r="I2789" s="476"/>
      <c r="J2789" s="477"/>
      <c r="K2789" s="478" t="s">
        <v>1418</v>
      </c>
      <c r="L2789" s="479"/>
      <c r="M2789" s="480"/>
      <c r="N2789" s="481"/>
      <c r="O2789" s="481"/>
      <c r="P2789" s="482"/>
      <c r="Q2789" s="479"/>
      <c r="R2789" s="480"/>
      <c r="S2789" s="480"/>
      <c r="T2789" s="480"/>
      <c r="U2789" s="480"/>
      <c r="V2789" s="480"/>
      <c r="W2789" s="480"/>
      <c r="X2789" s="480"/>
      <c r="Y2789" s="483">
        <f t="shared" si="17"/>
        <v>0</v>
      </c>
      <c r="Z2789" s="484"/>
      <c r="AA2789" s="485"/>
      <c r="AB2789" s="486"/>
      <c r="AC2789" s="486"/>
      <c r="AD2789" s="486"/>
      <c r="AE2789" s="487"/>
      <c r="AF2789" s="449"/>
      <c r="AG2789" s="449"/>
      <c r="AH2789" s="449"/>
    </row>
    <row r="2790" ht="11.25" customHeight="1">
      <c r="A2790" s="431" t="str">
        <f>IF(B2790="","", YEAR(B2790))</f>
        <v/>
      </c>
      <c r="B2790" s="432"/>
      <c r="C2790" s="433"/>
      <c r="D2790" s="433"/>
      <c r="E2790" s="434" t="str">
        <f t="shared" ref="E2790:I2790" si="1402">IFERROR(AVERAGE(L2790:L2793),"")</f>
        <v/>
      </c>
      <c r="F2790" s="434" t="str">
        <f t="shared" si="1402"/>
        <v/>
      </c>
      <c r="G2790" s="435" t="str">
        <f t="shared" si="1402"/>
        <v/>
      </c>
      <c r="H2790" s="435" t="str">
        <f t="shared" si="1402"/>
        <v/>
      </c>
      <c r="I2790" s="436" t="str">
        <f t="shared" si="1402"/>
        <v/>
      </c>
      <c r="J2790" s="437">
        <f>SUMIFS(PRODUCTION[KG],PRODUCTION[GRADE],"3X50",PRODUCTION[DATE],B2790,PRODUCTION[BATCH],C2790,PRODUCTION[SHIFT],D2790)</f>
        <v>0</v>
      </c>
      <c r="K2790" s="438" t="s">
        <v>1414</v>
      </c>
      <c r="L2790" s="443"/>
      <c r="M2790" s="440"/>
      <c r="N2790" s="441"/>
      <c r="O2790" s="441"/>
      <c r="P2790" s="442"/>
      <c r="Q2790" s="443"/>
      <c r="R2790" s="440"/>
      <c r="S2790" s="440"/>
      <c r="T2790" s="440"/>
      <c r="U2790" s="440"/>
      <c r="V2790" s="440"/>
      <c r="W2790" s="440"/>
      <c r="X2790" s="440"/>
      <c r="Y2790" s="444">
        <f t="shared" si="17"/>
        <v>0</v>
      </c>
      <c r="Z2790" s="445"/>
      <c r="AA2790" s="446">
        <f t="shared" ref="AA2790:AE2790" si="1403">$J2790*E2790</f>
        <v>0</v>
      </c>
      <c r="AB2790" s="447">
        <f t="shared" si="1403"/>
        <v>0</v>
      </c>
      <c r="AC2790" s="447">
        <f t="shared" si="1403"/>
        <v>0</v>
      </c>
      <c r="AD2790" s="447">
        <f t="shared" si="1403"/>
        <v>0</v>
      </c>
      <c r="AE2790" s="448">
        <f t="shared" si="1403"/>
        <v>0</v>
      </c>
      <c r="AF2790" s="449"/>
      <c r="AG2790" s="449"/>
      <c r="AH2790" s="449"/>
    </row>
    <row r="2791" ht="11.25" customHeight="1">
      <c r="A2791" s="450"/>
      <c r="B2791" s="451"/>
      <c r="C2791" s="452"/>
      <c r="D2791" s="452"/>
      <c r="E2791" s="453"/>
      <c r="F2791" s="453"/>
      <c r="G2791" s="454"/>
      <c r="H2791" s="454"/>
      <c r="I2791" s="455"/>
      <c r="J2791" s="456"/>
      <c r="K2791" s="457" t="s">
        <v>1416</v>
      </c>
      <c r="L2791" s="458"/>
      <c r="M2791" s="459"/>
      <c r="N2791" s="460"/>
      <c r="O2791" s="460"/>
      <c r="P2791" s="461"/>
      <c r="Q2791" s="458"/>
      <c r="R2791" s="459"/>
      <c r="S2791" s="459"/>
      <c r="T2791" s="459"/>
      <c r="U2791" s="459"/>
      <c r="V2791" s="459"/>
      <c r="W2791" s="459"/>
      <c r="X2791" s="459"/>
      <c r="Y2791" s="462">
        <f t="shared" si="17"/>
        <v>0</v>
      </c>
      <c r="Z2791" s="463"/>
      <c r="AA2791" s="464"/>
      <c r="AB2791" s="465"/>
      <c r="AC2791" s="465"/>
      <c r="AD2791" s="465"/>
      <c r="AE2791" s="466"/>
      <c r="AF2791" s="449"/>
      <c r="AG2791" s="449"/>
      <c r="AH2791" s="449"/>
    </row>
    <row r="2792" ht="11.25" customHeight="1">
      <c r="A2792" s="450"/>
      <c r="B2792" s="451"/>
      <c r="C2792" s="452"/>
      <c r="D2792" s="452"/>
      <c r="E2792" s="453"/>
      <c r="F2792" s="453"/>
      <c r="G2792" s="454"/>
      <c r="H2792" s="454"/>
      <c r="I2792" s="455"/>
      <c r="J2792" s="456"/>
      <c r="K2792" s="467" t="s">
        <v>1417</v>
      </c>
      <c r="L2792" s="468"/>
      <c r="M2792" s="469"/>
      <c r="N2792" s="470"/>
      <c r="O2792" s="470"/>
      <c r="P2792" s="471"/>
      <c r="Q2792" s="468"/>
      <c r="R2792" s="469"/>
      <c r="S2792" s="469"/>
      <c r="T2792" s="469"/>
      <c r="U2792" s="469"/>
      <c r="V2792" s="469"/>
      <c r="W2792" s="469"/>
      <c r="X2792" s="469"/>
      <c r="Y2792" s="462">
        <f t="shared" si="17"/>
        <v>0</v>
      </c>
      <c r="Z2792" s="463"/>
      <c r="AA2792" s="464"/>
      <c r="AB2792" s="465"/>
      <c r="AC2792" s="465"/>
      <c r="AD2792" s="465"/>
      <c r="AE2792" s="466"/>
      <c r="AF2792" s="449"/>
      <c r="AG2792" s="449"/>
      <c r="AH2792" s="449"/>
    </row>
    <row r="2793" ht="11.25" customHeight="1">
      <c r="A2793" s="450"/>
      <c r="B2793" s="472"/>
      <c r="C2793" s="473"/>
      <c r="D2793" s="473"/>
      <c r="E2793" s="474"/>
      <c r="F2793" s="474"/>
      <c r="G2793" s="475"/>
      <c r="H2793" s="475"/>
      <c r="I2793" s="476"/>
      <c r="J2793" s="477"/>
      <c r="K2793" s="478" t="s">
        <v>1418</v>
      </c>
      <c r="L2793" s="479"/>
      <c r="M2793" s="480"/>
      <c r="N2793" s="481"/>
      <c r="O2793" s="481"/>
      <c r="P2793" s="482"/>
      <c r="Q2793" s="479"/>
      <c r="R2793" s="480"/>
      <c r="S2793" s="480"/>
      <c r="T2793" s="480"/>
      <c r="U2793" s="480"/>
      <c r="V2793" s="480"/>
      <c r="W2793" s="480"/>
      <c r="X2793" s="480"/>
      <c r="Y2793" s="483">
        <f t="shared" si="17"/>
        <v>0</v>
      </c>
      <c r="Z2793" s="484"/>
      <c r="AA2793" s="485"/>
      <c r="AB2793" s="486"/>
      <c r="AC2793" s="486"/>
      <c r="AD2793" s="486"/>
      <c r="AE2793" s="487"/>
      <c r="AF2793" s="449"/>
      <c r="AG2793" s="449"/>
      <c r="AH2793" s="449"/>
    </row>
    <row r="2794" ht="11.25" customHeight="1">
      <c r="A2794" s="431" t="str">
        <f>IF(B2794="","", YEAR(B2794))</f>
        <v/>
      </c>
      <c r="B2794" s="432"/>
      <c r="C2794" s="433"/>
      <c r="D2794" s="433"/>
      <c r="E2794" s="434" t="str">
        <f t="shared" ref="E2794:I2794" si="1404">IFERROR(AVERAGE(L2794:L2797),"")</f>
        <v/>
      </c>
      <c r="F2794" s="434" t="str">
        <f t="shared" si="1404"/>
        <v/>
      </c>
      <c r="G2794" s="435" t="str">
        <f t="shared" si="1404"/>
        <v/>
      </c>
      <c r="H2794" s="435" t="str">
        <f t="shared" si="1404"/>
        <v/>
      </c>
      <c r="I2794" s="436" t="str">
        <f t="shared" si="1404"/>
        <v/>
      </c>
      <c r="J2794" s="437">
        <f>SUMIFS(PRODUCTION[KG],PRODUCTION[GRADE],"3X50",PRODUCTION[DATE],B2794,PRODUCTION[BATCH],C2794,PRODUCTION[SHIFT],D2794)</f>
        <v>0</v>
      </c>
      <c r="K2794" s="438" t="s">
        <v>1414</v>
      </c>
      <c r="L2794" s="443"/>
      <c r="M2794" s="440"/>
      <c r="N2794" s="441"/>
      <c r="O2794" s="441"/>
      <c r="P2794" s="442"/>
      <c r="Q2794" s="443"/>
      <c r="R2794" s="440"/>
      <c r="S2794" s="440"/>
      <c r="T2794" s="440"/>
      <c r="U2794" s="440"/>
      <c r="V2794" s="440"/>
      <c r="W2794" s="440"/>
      <c r="X2794" s="440"/>
      <c r="Y2794" s="444">
        <f t="shared" si="17"/>
        <v>0</v>
      </c>
      <c r="Z2794" s="445"/>
      <c r="AA2794" s="446">
        <f t="shared" ref="AA2794:AE2794" si="1405">$J2794*E2794</f>
        <v>0</v>
      </c>
      <c r="AB2794" s="447">
        <f t="shared" si="1405"/>
        <v>0</v>
      </c>
      <c r="AC2794" s="447">
        <f t="shared" si="1405"/>
        <v>0</v>
      </c>
      <c r="AD2794" s="447">
        <f t="shared" si="1405"/>
        <v>0</v>
      </c>
      <c r="AE2794" s="448">
        <f t="shared" si="1405"/>
        <v>0</v>
      </c>
      <c r="AF2794" s="449"/>
      <c r="AG2794" s="449"/>
      <c r="AH2794" s="449"/>
    </row>
    <row r="2795" ht="11.25" customHeight="1">
      <c r="A2795" s="450"/>
      <c r="B2795" s="451"/>
      <c r="C2795" s="452"/>
      <c r="D2795" s="452"/>
      <c r="E2795" s="453"/>
      <c r="F2795" s="453"/>
      <c r="G2795" s="454"/>
      <c r="H2795" s="454"/>
      <c r="I2795" s="455"/>
      <c r="J2795" s="456"/>
      <c r="K2795" s="457" t="s">
        <v>1416</v>
      </c>
      <c r="L2795" s="458"/>
      <c r="M2795" s="459"/>
      <c r="N2795" s="460"/>
      <c r="O2795" s="460"/>
      <c r="P2795" s="461"/>
      <c r="Q2795" s="458"/>
      <c r="R2795" s="459"/>
      <c r="S2795" s="459"/>
      <c r="T2795" s="459"/>
      <c r="U2795" s="459"/>
      <c r="V2795" s="459"/>
      <c r="W2795" s="459"/>
      <c r="X2795" s="459"/>
      <c r="Y2795" s="462">
        <f t="shared" si="17"/>
        <v>0</v>
      </c>
      <c r="Z2795" s="463"/>
      <c r="AA2795" s="464"/>
      <c r="AB2795" s="465"/>
      <c r="AC2795" s="465"/>
      <c r="AD2795" s="465"/>
      <c r="AE2795" s="466"/>
      <c r="AF2795" s="449"/>
      <c r="AG2795" s="449"/>
      <c r="AH2795" s="449"/>
    </row>
    <row r="2796" ht="11.25" customHeight="1">
      <c r="A2796" s="450"/>
      <c r="B2796" s="451"/>
      <c r="C2796" s="452"/>
      <c r="D2796" s="452"/>
      <c r="E2796" s="453"/>
      <c r="F2796" s="453"/>
      <c r="G2796" s="454"/>
      <c r="H2796" s="454"/>
      <c r="I2796" s="455"/>
      <c r="J2796" s="456"/>
      <c r="K2796" s="467" t="s">
        <v>1417</v>
      </c>
      <c r="L2796" s="468"/>
      <c r="M2796" s="469"/>
      <c r="N2796" s="470"/>
      <c r="O2796" s="470"/>
      <c r="P2796" s="471"/>
      <c r="Q2796" s="468"/>
      <c r="R2796" s="469"/>
      <c r="S2796" s="469"/>
      <c r="T2796" s="469"/>
      <c r="U2796" s="469"/>
      <c r="V2796" s="469"/>
      <c r="W2796" s="469"/>
      <c r="X2796" s="469"/>
      <c r="Y2796" s="462">
        <f t="shared" si="17"/>
        <v>0</v>
      </c>
      <c r="Z2796" s="463"/>
      <c r="AA2796" s="464"/>
      <c r="AB2796" s="465"/>
      <c r="AC2796" s="465"/>
      <c r="AD2796" s="465"/>
      <c r="AE2796" s="466"/>
      <c r="AF2796" s="449"/>
      <c r="AG2796" s="449"/>
      <c r="AH2796" s="449"/>
    </row>
    <row r="2797" ht="11.25" customHeight="1">
      <c r="A2797" s="450"/>
      <c r="B2797" s="472"/>
      <c r="C2797" s="473"/>
      <c r="D2797" s="473"/>
      <c r="E2797" s="474"/>
      <c r="F2797" s="474"/>
      <c r="G2797" s="475"/>
      <c r="H2797" s="475"/>
      <c r="I2797" s="476"/>
      <c r="J2797" s="477"/>
      <c r="K2797" s="478" t="s">
        <v>1418</v>
      </c>
      <c r="L2797" s="479"/>
      <c r="M2797" s="480"/>
      <c r="N2797" s="481"/>
      <c r="O2797" s="481"/>
      <c r="P2797" s="482"/>
      <c r="Q2797" s="479"/>
      <c r="R2797" s="480"/>
      <c r="S2797" s="480"/>
      <c r="T2797" s="480"/>
      <c r="U2797" s="480"/>
      <c r="V2797" s="480"/>
      <c r="W2797" s="480"/>
      <c r="X2797" s="480"/>
      <c r="Y2797" s="483">
        <f t="shared" si="17"/>
        <v>0</v>
      </c>
      <c r="Z2797" s="484"/>
      <c r="AA2797" s="485"/>
      <c r="AB2797" s="486"/>
      <c r="AC2797" s="486"/>
      <c r="AD2797" s="486"/>
      <c r="AE2797" s="487"/>
      <c r="AF2797" s="449"/>
      <c r="AG2797" s="449"/>
      <c r="AH2797" s="449"/>
    </row>
    <row r="2798" ht="11.25" customHeight="1">
      <c r="A2798" s="431" t="str">
        <f>IF(B2798="","", YEAR(B2798))</f>
        <v/>
      </c>
      <c r="B2798" s="432"/>
      <c r="C2798" s="433"/>
      <c r="D2798" s="433"/>
      <c r="E2798" s="434" t="str">
        <f t="shared" ref="E2798:I2798" si="1406">IFERROR(AVERAGE(L2798:L2801),"")</f>
        <v/>
      </c>
      <c r="F2798" s="434" t="str">
        <f t="shared" si="1406"/>
        <v/>
      </c>
      <c r="G2798" s="435" t="str">
        <f t="shared" si="1406"/>
        <v/>
      </c>
      <c r="H2798" s="435" t="str">
        <f t="shared" si="1406"/>
        <v/>
      </c>
      <c r="I2798" s="436" t="str">
        <f t="shared" si="1406"/>
        <v/>
      </c>
      <c r="J2798" s="437">
        <f>SUMIFS(PRODUCTION[KG],PRODUCTION[GRADE],"3X50",PRODUCTION[DATE],B2798,PRODUCTION[BATCH],C2798,PRODUCTION[SHIFT],D2798)</f>
        <v>0</v>
      </c>
      <c r="K2798" s="438" t="s">
        <v>1414</v>
      </c>
      <c r="L2798" s="443"/>
      <c r="M2798" s="440"/>
      <c r="N2798" s="441"/>
      <c r="O2798" s="441"/>
      <c r="P2798" s="442"/>
      <c r="Q2798" s="443"/>
      <c r="R2798" s="440"/>
      <c r="S2798" s="440"/>
      <c r="T2798" s="440"/>
      <c r="U2798" s="440"/>
      <c r="V2798" s="440"/>
      <c r="W2798" s="440"/>
      <c r="X2798" s="440"/>
      <c r="Y2798" s="444">
        <f t="shared" si="17"/>
        <v>0</v>
      </c>
      <c r="Z2798" s="445"/>
      <c r="AA2798" s="446">
        <f t="shared" ref="AA2798:AE2798" si="1407">$J2798*E2798</f>
        <v>0</v>
      </c>
      <c r="AB2798" s="447">
        <f t="shared" si="1407"/>
        <v>0</v>
      </c>
      <c r="AC2798" s="447">
        <f t="shared" si="1407"/>
        <v>0</v>
      </c>
      <c r="AD2798" s="447">
        <f t="shared" si="1407"/>
        <v>0</v>
      </c>
      <c r="AE2798" s="448">
        <f t="shared" si="1407"/>
        <v>0</v>
      </c>
      <c r="AF2798" s="449"/>
      <c r="AG2798" s="449"/>
      <c r="AH2798" s="449"/>
    </row>
    <row r="2799" ht="11.25" customHeight="1">
      <c r="A2799" s="450"/>
      <c r="B2799" s="451"/>
      <c r="C2799" s="452"/>
      <c r="D2799" s="452"/>
      <c r="E2799" s="453"/>
      <c r="F2799" s="453"/>
      <c r="G2799" s="454"/>
      <c r="H2799" s="454"/>
      <c r="I2799" s="455"/>
      <c r="J2799" s="456"/>
      <c r="K2799" s="457" t="s">
        <v>1416</v>
      </c>
      <c r="L2799" s="458"/>
      <c r="M2799" s="459"/>
      <c r="N2799" s="460"/>
      <c r="O2799" s="460"/>
      <c r="P2799" s="461"/>
      <c r="Q2799" s="458"/>
      <c r="R2799" s="459"/>
      <c r="S2799" s="459"/>
      <c r="T2799" s="459"/>
      <c r="U2799" s="459"/>
      <c r="V2799" s="459"/>
      <c r="W2799" s="459"/>
      <c r="X2799" s="459"/>
      <c r="Y2799" s="462">
        <f t="shared" si="17"/>
        <v>0</v>
      </c>
      <c r="Z2799" s="463"/>
      <c r="AA2799" s="464"/>
      <c r="AB2799" s="465"/>
      <c r="AC2799" s="465"/>
      <c r="AD2799" s="465"/>
      <c r="AE2799" s="466"/>
      <c r="AF2799" s="449"/>
      <c r="AG2799" s="449"/>
      <c r="AH2799" s="449"/>
    </row>
    <row r="2800" ht="11.25" customHeight="1">
      <c r="A2800" s="450"/>
      <c r="B2800" s="451"/>
      <c r="C2800" s="452"/>
      <c r="D2800" s="452"/>
      <c r="E2800" s="453"/>
      <c r="F2800" s="453"/>
      <c r="G2800" s="454"/>
      <c r="H2800" s="454"/>
      <c r="I2800" s="455"/>
      <c r="J2800" s="456"/>
      <c r="K2800" s="467" t="s">
        <v>1417</v>
      </c>
      <c r="L2800" s="468"/>
      <c r="M2800" s="469"/>
      <c r="N2800" s="470"/>
      <c r="O2800" s="470"/>
      <c r="P2800" s="471"/>
      <c r="Q2800" s="468"/>
      <c r="R2800" s="469"/>
      <c r="S2800" s="469"/>
      <c r="T2800" s="469"/>
      <c r="U2800" s="469"/>
      <c r="V2800" s="469"/>
      <c r="W2800" s="469"/>
      <c r="X2800" s="469"/>
      <c r="Y2800" s="462">
        <f t="shared" si="17"/>
        <v>0</v>
      </c>
      <c r="Z2800" s="463"/>
      <c r="AA2800" s="464"/>
      <c r="AB2800" s="465"/>
      <c r="AC2800" s="465"/>
      <c r="AD2800" s="465"/>
      <c r="AE2800" s="466"/>
      <c r="AF2800" s="449"/>
      <c r="AG2800" s="449"/>
      <c r="AH2800" s="449"/>
    </row>
    <row r="2801" ht="11.25" customHeight="1">
      <c r="A2801" s="450"/>
      <c r="B2801" s="472"/>
      <c r="C2801" s="473"/>
      <c r="D2801" s="473"/>
      <c r="E2801" s="474"/>
      <c r="F2801" s="474"/>
      <c r="G2801" s="475"/>
      <c r="H2801" s="475"/>
      <c r="I2801" s="476"/>
      <c r="J2801" s="477"/>
      <c r="K2801" s="478" t="s">
        <v>1418</v>
      </c>
      <c r="L2801" s="479"/>
      <c r="M2801" s="480"/>
      <c r="N2801" s="481"/>
      <c r="O2801" s="481"/>
      <c r="P2801" s="482"/>
      <c r="Q2801" s="479"/>
      <c r="R2801" s="480"/>
      <c r="S2801" s="480"/>
      <c r="T2801" s="480"/>
      <c r="U2801" s="480"/>
      <c r="V2801" s="480"/>
      <c r="W2801" s="480"/>
      <c r="X2801" s="480"/>
      <c r="Y2801" s="483">
        <f t="shared" si="17"/>
        <v>0</v>
      </c>
      <c r="Z2801" s="484"/>
      <c r="AA2801" s="485"/>
      <c r="AB2801" s="486"/>
      <c r="AC2801" s="486"/>
      <c r="AD2801" s="486"/>
      <c r="AE2801" s="487"/>
      <c r="AF2801" s="449"/>
      <c r="AG2801" s="449"/>
      <c r="AH2801" s="449"/>
    </row>
    <row r="2802" ht="11.25" customHeight="1">
      <c r="A2802" s="431" t="str">
        <f>IF(B2802="","", YEAR(B2802))</f>
        <v/>
      </c>
      <c r="B2802" s="432"/>
      <c r="C2802" s="433"/>
      <c r="D2802" s="433"/>
      <c r="E2802" s="434" t="str">
        <f t="shared" ref="E2802:I2802" si="1408">IFERROR(AVERAGE(L2802:L2805),"")</f>
        <v/>
      </c>
      <c r="F2802" s="434" t="str">
        <f t="shared" si="1408"/>
        <v/>
      </c>
      <c r="G2802" s="435" t="str">
        <f t="shared" si="1408"/>
        <v/>
      </c>
      <c r="H2802" s="435" t="str">
        <f t="shared" si="1408"/>
        <v/>
      </c>
      <c r="I2802" s="436" t="str">
        <f t="shared" si="1408"/>
        <v/>
      </c>
      <c r="J2802" s="437">
        <f>SUMIFS(PRODUCTION[KG],PRODUCTION[GRADE],"3X50",PRODUCTION[DATE],B2802,PRODUCTION[BATCH],C2802,PRODUCTION[SHIFT],D2802)</f>
        <v>0</v>
      </c>
      <c r="K2802" s="438" t="s">
        <v>1414</v>
      </c>
      <c r="L2802" s="443"/>
      <c r="M2802" s="440"/>
      <c r="N2802" s="441"/>
      <c r="O2802" s="441"/>
      <c r="P2802" s="442"/>
      <c r="Q2802" s="443"/>
      <c r="R2802" s="440"/>
      <c r="S2802" s="440"/>
      <c r="T2802" s="440"/>
      <c r="U2802" s="440"/>
      <c r="V2802" s="440"/>
      <c r="W2802" s="440"/>
      <c r="X2802" s="440"/>
      <c r="Y2802" s="444">
        <f t="shared" si="17"/>
        <v>0</v>
      </c>
      <c r="Z2802" s="445"/>
      <c r="AA2802" s="446">
        <f t="shared" ref="AA2802:AE2802" si="1409">$J2802*E2802</f>
        <v>0</v>
      </c>
      <c r="AB2802" s="447">
        <f t="shared" si="1409"/>
        <v>0</v>
      </c>
      <c r="AC2802" s="447">
        <f t="shared" si="1409"/>
        <v>0</v>
      </c>
      <c r="AD2802" s="447">
        <f t="shared" si="1409"/>
        <v>0</v>
      </c>
      <c r="AE2802" s="448">
        <f t="shared" si="1409"/>
        <v>0</v>
      </c>
      <c r="AF2802" s="449"/>
      <c r="AG2802" s="449"/>
      <c r="AH2802" s="449"/>
    </row>
    <row r="2803" ht="11.25" customHeight="1">
      <c r="A2803" s="450"/>
      <c r="B2803" s="451"/>
      <c r="C2803" s="452"/>
      <c r="D2803" s="452"/>
      <c r="E2803" s="453"/>
      <c r="F2803" s="453"/>
      <c r="G2803" s="454"/>
      <c r="H2803" s="454"/>
      <c r="I2803" s="455"/>
      <c r="J2803" s="456"/>
      <c r="K2803" s="457" t="s">
        <v>1416</v>
      </c>
      <c r="L2803" s="458"/>
      <c r="M2803" s="459"/>
      <c r="N2803" s="460"/>
      <c r="O2803" s="460"/>
      <c r="P2803" s="461"/>
      <c r="Q2803" s="458"/>
      <c r="R2803" s="459"/>
      <c r="S2803" s="459"/>
      <c r="T2803" s="459"/>
      <c r="U2803" s="459"/>
      <c r="V2803" s="459"/>
      <c r="W2803" s="459"/>
      <c r="X2803" s="459"/>
      <c r="Y2803" s="462">
        <f t="shared" si="17"/>
        <v>0</v>
      </c>
      <c r="Z2803" s="463"/>
      <c r="AA2803" s="464"/>
      <c r="AB2803" s="465"/>
      <c r="AC2803" s="465"/>
      <c r="AD2803" s="465"/>
      <c r="AE2803" s="466"/>
      <c r="AF2803" s="449"/>
      <c r="AG2803" s="449"/>
      <c r="AH2803" s="449"/>
    </row>
    <row r="2804" ht="11.25" customHeight="1">
      <c r="A2804" s="450"/>
      <c r="B2804" s="451"/>
      <c r="C2804" s="452"/>
      <c r="D2804" s="452"/>
      <c r="E2804" s="453"/>
      <c r="F2804" s="453"/>
      <c r="G2804" s="454"/>
      <c r="H2804" s="454"/>
      <c r="I2804" s="455"/>
      <c r="J2804" s="456"/>
      <c r="K2804" s="467" t="s">
        <v>1417</v>
      </c>
      <c r="L2804" s="468"/>
      <c r="M2804" s="469"/>
      <c r="N2804" s="470"/>
      <c r="O2804" s="470"/>
      <c r="P2804" s="471"/>
      <c r="Q2804" s="468"/>
      <c r="R2804" s="469"/>
      <c r="S2804" s="469"/>
      <c r="T2804" s="469"/>
      <c r="U2804" s="469"/>
      <c r="V2804" s="469"/>
      <c r="W2804" s="469"/>
      <c r="X2804" s="469"/>
      <c r="Y2804" s="462">
        <f t="shared" si="17"/>
        <v>0</v>
      </c>
      <c r="Z2804" s="463"/>
      <c r="AA2804" s="464"/>
      <c r="AB2804" s="465"/>
      <c r="AC2804" s="465"/>
      <c r="AD2804" s="465"/>
      <c r="AE2804" s="466"/>
      <c r="AF2804" s="449"/>
      <c r="AG2804" s="449"/>
      <c r="AH2804" s="449"/>
    </row>
    <row r="2805" ht="11.25" customHeight="1">
      <c r="A2805" s="450"/>
      <c r="B2805" s="472"/>
      <c r="C2805" s="473"/>
      <c r="D2805" s="473"/>
      <c r="E2805" s="474"/>
      <c r="F2805" s="474"/>
      <c r="G2805" s="475"/>
      <c r="H2805" s="475"/>
      <c r="I2805" s="476"/>
      <c r="J2805" s="477"/>
      <c r="K2805" s="478" t="s">
        <v>1418</v>
      </c>
      <c r="L2805" s="479"/>
      <c r="M2805" s="480"/>
      <c r="N2805" s="481"/>
      <c r="O2805" s="481"/>
      <c r="P2805" s="482"/>
      <c r="Q2805" s="479"/>
      <c r="R2805" s="480"/>
      <c r="S2805" s="480"/>
      <c r="T2805" s="480"/>
      <c r="U2805" s="480"/>
      <c r="V2805" s="480"/>
      <c r="W2805" s="480"/>
      <c r="X2805" s="480"/>
      <c r="Y2805" s="483">
        <f t="shared" si="17"/>
        <v>0</v>
      </c>
      <c r="Z2805" s="484"/>
      <c r="AA2805" s="485"/>
      <c r="AB2805" s="486"/>
      <c r="AC2805" s="486"/>
      <c r="AD2805" s="486"/>
      <c r="AE2805" s="487"/>
      <c r="AF2805" s="449"/>
      <c r="AG2805" s="449"/>
      <c r="AH2805" s="449"/>
    </row>
    <row r="2806" ht="11.25" customHeight="1">
      <c r="A2806" s="431" t="str">
        <f>IF(B2806="","", YEAR(B2806))</f>
        <v/>
      </c>
      <c r="B2806" s="432"/>
      <c r="C2806" s="433"/>
      <c r="D2806" s="433"/>
      <c r="E2806" s="434" t="str">
        <f t="shared" ref="E2806:I2806" si="1410">IFERROR(AVERAGE(L2806:L2809),"")</f>
        <v/>
      </c>
      <c r="F2806" s="434" t="str">
        <f t="shared" si="1410"/>
        <v/>
      </c>
      <c r="G2806" s="435" t="str">
        <f t="shared" si="1410"/>
        <v/>
      </c>
      <c r="H2806" s="435" t="str">
        <f t="shared" si="1410"/>
        <v/>
      </c>
      <c r="I2806" s="436" t="str">
        <f t="shared" si="1410"/>
        <v/>
      </c>
      <c r="J2806" s="437">
        <f>SUMIFS(PRODUCTION[KG],PRODUCTION[GRADE],"3X50",PRODUCTION[DATE],B2806,PRODUCTION[BATCH],C2806,PRODUCTION[SHIFT],D2806)</f>
        <v>0</v>
      </c>
      <c r="K2806" s="438" t="s">
        <v>1414</v>
      </c>
      <c r="L2806" s="443"/>
      <c r="M2806" s="440"/>
      <c r="N2806" s="441"/>
      <c r="O2806" s="441"/>
      <c r="P2806" s="442"/>
      <c r="Q2806" s="443"/>
      <c r="R2806" s="440"/>
      <c r="S2806" s="440"/>
      <c r="T2806" s="440"/>
      <c r="U2806" s="440"/>
      <c r="V2806" s="440"/>
      <c r="W2806" s="440"/>
      <c r="X2806" s="440"/>
      <c r="Y2806" s="444">
        <f t="shared" si="17"/>
        <v>0</v>
      </c>
      <c r="Z2806" s="445"/>
      <c r="AA2806" s="446">
        <f t="shared" ref="AA2806:AE2806" si="1411">$J2806*E2806</f>
        <v>0</v>
      </c>
      <c r="AB2806" s="447">
        <f t="shared" si="1411"/>
        <v>0</v>
      </c>
      <c r="AC2806" s="447">
        <f t="shared" si="1411"/>
        <v>0</v>
      </c>
      <c r="AD2806" s="447">
        <f t="shared" si="1411"/>
        <v>0</v>
      </c>
      <c r="AE2806" s="448">
        <f t="shared" si="1411"/>
        <v>0</v>
      </c>
      <c r="AF2806" s="449"/>
      <c r="AG2806" s="449"/>
      <c r="AH2806" s="449"/>
    </row>
    <row r="2807" ht="11.25" customHeight="1">
      <c r="A2807" s="450"/>
      <c r="B2807" s="451"/>
      <c r="C2807" s="452"/>
      <c r="D2807" s="452"/>
      <c r="E2807" s="453"/>
      <c r="F2807" s="453"/>
      <c r="G2807" s="454"/>
      <c r="H2807" s="454"/>
      <c r="I2807" s="455"/>
      <c r="J2807" s="456"/>
      <c r="K2807" s="457" t="s">
        <v>1416</v>
      </c>
      <c r="L2807" s="458"/>
      <c r="M2807" s="459"/>
      <c r="N2807" s="460"/>
      <c r="O2807" s="460"/>
      <c r="P2807" s="461"/>
      <c r="Q2807" s="458"/>
      <c r="R2807" s="459"/>
      <c r="S2807" s="459"/>
      <c r="T2807" s="459"/>
      <c r="U2807" s="459"/>
      <c r="V2807" s="459"/>
      <c r="W2807" s="459"/>
      <c r="X2807" s="459"/>
      <c r="Y2807" s="462">
        <f t="shared" si="17"/>
        <v>0</v>
      </c>
      <c r="Z2807" s="463"/>
      <c r="AA2807" s="464"/>
      <c r="AB2807" s="465"/>
      <c r="AC2807" s="465"/>
      <c r="AD2807" s="465"/>
      <c r="AE2807" s="466"/>
      <c r="AF2807" s="449"/>
      <c r="AG2807" s="449"/>
      <c r="AH2807" s="449"/>
    </row>
    <row r="2808" ht="11.25" customHeight="1">
      <c r="A2808" s="450"/>
      <c r="B2808" s="451"/>
      <c r="C2808" s="452"/>
      <c r="D2808" s="452"/>
      <c r="E2808" s="453"/>
      <c r="F2808" s="453"/>
      <c r="G2808" s="454"/>
      <c r="H2808" s="454"/>
      <c r="I2808" s="455"/>
      <c r="J2808" s="456"/>
      <c r="K2808" s="467" t="s">
        <v>1417</v>
      </c>
      <c r="L2808" s="468"/>
      <c r="M2808" s="469"/>
      <c r="N2808" s="470"/>
      <c r="O2808" s="470"/>
      <c r="P2808" s="471"/>
      <c r="Q2808" s="468"/>
      <c r="R2808" s="469"/>
      <c r="S2808" s="469"/>
      <c r="T2808" s="469"/>
      <c r="U2808" s="469"/>
      <c r="V2808" s="469"/>
      <c r="W2808" s="469"/>
      <c r="X2808" s="469"/>
      <c r="Y2808" s="462">
        <f t="shared" si="17"/>
        <v>0</v>
      </c>
      <c r="Z2808" s="463"/>
      <c r="AA2808" s="464"/>
      <c r="AB2808" s="465"/>
      <c r="AC2808" s="465"/>
      <c r="AD2808" s="465"/>
      <c r="AE2808" s="466"/>
      <c r="AF2808" s="449"/>
      <c r="AG2808" s="449"/>
      <c r="AH2808" s="449"/>
    </row>
    <row r="2809" ht="11.25" customHeight="1">
      <c r="A2809" s="450"/>
      <c r="B2809" s="472"/>
      <c r="C2809" s="473"/>
      <c r="D2809" s="473"/>
      <c r="E2809" s="474"/>
      <c r="F2809" s="474"/>
      <c r="G2809" s="475"/>
      <c r="H2809" s="475"/>
      <c r="I2809" s="476"/>
      <c r="J2809" s="477"/>
      <c r="K2809" s="478" t="s">
        <v>1418</v>
      </c>
      <c r="L2809" s="479"/>
      <c r="M2809" s="480"/>
      <c r="N2809" s="481"/>
      <c r="O2809" s="481"/>
      <c r="P2809" s="482"/>
      <c r="Q2809" s="479"/>
      <c r="R2809" s="480"/>
      <c r="S2809" s="480"/>
      <c r="T2809" s="480"/>
      <c r="U2809" s="480"/>
      <c r="V2809" s="480"/>
      <c r="W2809" s="480"/>
      <c r="X2809" s="480"/>
      <c r="Y2809" s="483">
        <f t="shared" si="17"/>
        <v>0</v>
      </c>
      <c r="Z2809" s="484"/>
      <c r="AA2809" s="485"/>
      <c r="AB2809" s="486"/>
      <c r="AC2809" s="486"/>
      <c r="AD2809" s="486"/>
      <c r="AE2809" s="487"/>
      <c r="AF2809" s="449"/>
      <c r="AG2809" s="449"/>
      <c r="AH2809" s="449"/>
    </row>
    <row r="2810" ht="11.25" customHeight="1">
      <c r="A2810" s="431" t="str">
        <f>IF(B2810="","", YEAR(B2810))</f>
        <v/>
      </c>
      <c r="B2810" s="432"/>
      <c r="C2810" s="433"/>
      <c r="D2810" s="433"/>
      <c r="E2810" s="434" t="str">
        <f t="shared" ref="E2810:I2810" si="1412">IFERROR(AVERAGE(L2810:L2813),"")</f>
        <v/>
      </c>
      <c r="F2810" s="434" t="str">
        <f t="shared" si="1412"/>
        <v/>
      </c>
      <c r="G2810" s="435" t="str">
        <f t="shared" si="1412"/>
        <v/>
      </c>
      <c r="H2810" s="435" t="str">
        <f t="shared" si="1412"/>
        <v/>
      </c>
      <c r="I2810" s="436" t="str">
        <f t="shared" si="1412"/>
        <v/>
      </c>
      <c r="J2810" s="437">
        <f>SUMIFS(PRODUCTION[KG],PRODUCTION[GRADE],"3X50",PRODUCTION[DATE],B2810,PRODUCTION[BATCH],C2810,PRODUCTION[SHIFT],D2810)</f>
        <v>0</v>
      </c>
      <c r="K2810" s="438" t="s">
        <v>1414</v>
      </c>
      <c r="L2810" s="443"/>
      <c r="M2810" s="440"/>
      <c r="N2810" s="441"/>
      <c r="O2810" s="441"/>
      <c r="P2810" s="442"/>
      <c r="Q2810" s="443"/>
      <c r="R2810" s="440"/>
      <c r="S2810" s="440"/>
      <c r="T2810" s="440"/>
      <c r="U2810" s="440"/>
      <c r="V2810" s="440"/>
      <c r="W2810" s="440"/>
      <c r="X2810" s="440"/>
      <c r="Y2810" s="444">
        <f t="shared" si="17"/>
        <v>0</v>
      </c>
      <c r="Z2810" s="445"/>
      <c r="AA2810" s="446">
        <f t="shared" ref="AA2810:AE2810" si="1413">$J2810*E2810</f>
        <v>0</v>
      </c>
      <c r="AB2810" s="447">
        <f t="shared" si="1413"/>
        <v>0</v>
      </c>
      <c r="AC2810" s="447">
        <f t="shared" si="1413"/>
        <v>0</v>
      </c>
      <c r="AD2810" s="447">
        <f t="shared" si="1413"/>
        <v>0</v>
      </c>
      <c r="AE2810" s="448">
        <f t="shared" si="1413"/>
        <v>0</v>
      </c>
      <c r="AF2810" s="449"/>
      <c r="AG2810" s="449"/>
      <c r="AH2810" s="449"/>
    </row>
    <row r="2811" ht="11.25" customHeight="1">
      <c r="A2811" s="450"/>
      <c r="B2811" s="451"/>
      <c r="C2811" s="452"/>
      <c r="D2811" s="452"/>
      <c r="E2811" s="453"/>
      <c r="F2811" s="453"/>
      <c r="G2811" s="454"/>
      <c r="H2811" s="454"/>
      <c r="I2811" s="455"/>
      <c r="J2811" s="456"/>
      <c r="K2811" s="457" t="s">
        <v>1416</v>
      </c>
      <c r="L2811" s="458"/>
      <c r="M2811" s="459"/>
      <c r="N2811" s="460"/>
      <c r="O2811" s="460"/>
      <c r="P2811" s="461"/>
      <c r="Q2811" s="458"/>
      <c r="R2811" s="459"/>
      <c r="S2811" s="459"/>
      <c r="T2811" s="459"/>
      <c r="U2811" s="459"/>
      <c r="V2811" s="459"/>
      <c r="W2811" s="459"/>
      <c r="X2811" s="459"/>
      <c r="Y2811" s="462">
        <f t="shared" si="17"/>
        <v>0</v>
      </c>
      <c r="Z2811" s="463"/>
      <c r="AA2811" s="464"/>
      <c r="AB2811" s="465"/>
      <c r="AC2811" s="465"/>
      <c r="AD2811" s="465"/>
      <c r="AE2811" s="466"/>
      <c r="AF2811" s="449"/>
      <c r="AG2811" s="449"/>
      <c r="AH2811" s="449"/>
    </row>
    <row r="2812" ht="11.25" customHeight="1">
      <c r="A2812" s="450"/>
      <c r="B2812" s="451"/>
      <c r="C2812" s="452"/>
      <c r="D2812" s="452"/>
      <c r="E2812" s="453"/>
      <c r="F2812" s="453"/>
      <c r="G2812" s="454"/>
      <c r="H2812" s="454"/>
      <c r="I2812" s="455"/>
      <c r="J2812" s="456"/>
      <c r="K2812" s="467" t="s">
        <v>1417</v>
      </c>
      <c r="L2812" s="468"/>
      <c r="M2812" s="469"/>
      <c r="N2812" s="470"/>
      <c r="O2812" s="470"/>
      <c r="P2812" s="471"/>
      <c r="Q2812" s="468"/>
      <c r="R2812" s="469"/>
      <c r="S2812" s="469"/>
      <c r="T2812" s="469"/>
      <c r="U2812" s="469"/>
      <c r="V2812" s="469"/>
      <c r="W2812" s="469"/>
      <c r="X2812" s="469"/>
      <c r="Y2812" s="462">
        <f t="shared" si="17"/>
        <v>0</v>
      </c>
      <c r="Z2812" s="463"/>
      <c r="AA2812" s="464"/>
      <c r="AB2812" s="465"/>
      <c r="AC2812" s="465"/>
      <c r="AD2812" s="465"/>
      <c r="AE2812" s="466"/>
      <c r="AF2812" s="449"/>
      <c r="AG2812" s="449"/>
      <c r="AH2812" s="449"/>
    </row>
    <row r="2813" ht="11.25" customHeight="1">
      <c r="A2813" s="450"/>
      <c r="B2813" s="472"/>
      <c r="C2813" s="473"/>
      <c r="D2813" s="473"/>
      <c r="E2813" s="474"/>
      <c r="F2813" s="474"/>
      <c r="G2813" s="475"/>
      <c r="H2813" s="475"/>
      <c r="I2813" s="476"/>
      <c r="J2813" s="477"/>
      <c r="K2813" s="478" t="s">
        <v>1418</v>
      </c>
      <c r="L2813" s="479"/>
      <c r="M2813" s="480"/>
      <c r="N2813" s="481"/>
      <c r="O2813" s="481"/>
      <c r="P2813" s="482"/>
      <c r="Q2813" s="479"/>
      <c r="R2813" s="480"/>
      <c r="S2813" s="480"/>
      <c r="T2813" s="480"/>
      <c r="U2813" s="480"/>
      <c r="V2813" s="480"/>
      <c r="W2813" s="480"/>
      <c r="X2813" s="480"/>
      <c r="Y2813" s="483">
        <f t="shared" si="17"/>
        <v>0</v>
      </c>
      <c r="Z2813" s="484"/>
      <c r="AA2813" s="485"/>
      <c r="AB2813" s="486"/>
      <c r="AC2813" s="486"/>
      <c r="AD2813" s="486"/>
      <c r="AE2813" s="487"/>
      <c r="AF2813" s="449"/>
      <c r="AG2813" s="449"/>
      <c r="AH2813" s="449"/>
    </row>
    <row r="2814" ht="11.25" customHeight="1">
      <c r="A2814" s="431" t="str">
        <f>IF(B2814="","", YEAR(B2814))</f>
        <v/>
      </c>
      <c r="B2814" s="432"/>
      <c r="C2814" s="433"/>
      <c r="D2814" s="433"/>
      <c r="E2814" s="434" t="str">
        <f t="shared" ref="E2814:I2814" si="1414">IFERROR(AVERAGE(L2814:L2817),"")</f>
        <v/>
      </c>
      <c r="F2814" s="434" t="str">
        <f t="shared" si="1414"/>
        <v/>
      </c>
      <c r="G2814" s="435" t="str">
        <f t="shared" si="1414"/>
        <v/>
      </c>
      <c r="H2814" s="435" t="str">
        <f t="shared" si="1414"/>
        <v/>
      </c>
      <c r="I2814" s="436" t="str">
        <f t="shared" si="1414"/>
        <v/>
      </c>
      <c r="J2814" s="437">
        <f>SUMIFS(PRODUCTION[KG],PRODUCTION[GRADE],"3X50",PRODUCTION[DATE],B2814,PRODUCTION[BATCH],C2814,PRODUCTION[SHIFT],D2814)</f>
        <v>0</v>
      </c>
      <c r="K2814" s="438" t="s">
        <v>1414</v>
      </c>
      <c r="L2814" s="443"/>
      <c r="M2814" s="440"/>
      <c r="N2814" s="441"/>
      <c r="O2814" s="441"/>
      <c r="P2814" s="442"/>
      <c r="Q2814" s="443"/>
      <c r="R2814" s="440"/>
      <c r="S2814" s="440"/>
      <c r="T2814" s="440"/>
      <c r="U2814" s="440"/>
      <c r="V2814" s="440"/>
      <c r="W2814" s="440"/>
      <c r="X2814" s="440"/>
      <c r="Y2814" s="444">
        <f t="shared" si="17"/>
        <v>0</v>
      </c>
      <c r="Z2814" s="445"/>
      <c r="AA2814" s="446">
        <f t="shared" ref="AA2814:AE2814" si="1415">$J2814*E2814</f>
        <v>0</v>
      </c>
      <c r="AB2814" s="447">
        <f t="shared" si="1415"/>
        <v>0</v>
      </c>
      <c r="AC2814" s="447">
        <f t="shared" si="1415"/>
        <v>0</v>
      </c>
      <c r="AD2814" s="447">
        <f t="shared" si="1415"/>
        <v>0</v>
      </c>
      <c r="AE2814" s="448">
        <f t="shared" si="1415"/>
        <v>0</v>
      </c>
      <c r="AF2814" s="449"/>
      <c r="AG2814" s="449"/>
      <c r="AH2814" s="449"/>
    </row>
    <row r="2815" ht="11.25" customHeight="1">
      <c r="A2815" s="450"/>
      <c r="B2815" s="451"/>
      <c r="C2815" s="452"/>
      <c r="D2815" s="452"/>
      <c r="E2815" s="453"/>
      <c r="F2815" s="453"/>
      <c r="G2815" s="454"/>
      <c r="H2815" s="454"/>
      <c r="I2815" s="455"/>
      <c r="J2815" s="456"/>
      <c r="K2815" s="457" t="s">
        <v>1416</v>
      </c>
      <c r="L2815" s="458"/>
      <c r="M2815" s="459"/>
      <c r="N2815" s="460"/>
      <c r="O2815" s="460"/>
      <c r="P2815" s="461"/>
      <c r="Q2815" s="458"/>
      <c r="R2815" s="459"/>
      <c r="S2815" s="459"/>
      <c r="T2815" s="459"/>
      <c r="U2815" s="459"/>
      <c r="V2815" s="459"/>
      <c r="W2815" s="459"/>
      <c r="X2815" s="459"/>
      <c r="Y2815" s="462">
        <f t="shared" si="17"/>
        <v>0</v>
      </c>
      <c r="Z2815" s="463"/>
      <c r="AA2815" s="464"/>
      <c r="AB2815" s="465"/>
      <c r="AC2815" s="465"/>
      <c r="AD2815" s="465"/>
      <c r="AE2815" s="466"/>
      <c r="AF2815" s="449"/>
      <c r="AG2815" s="449"/>
      <c r="AH2815" s="449"/>
    </row>
    <row r="2816" ht="11.25" customHeight="1">
      <c r="A2816" s="450"/>
      <c r="B2816" s="451"/>
      <c r="C2816" s="452"/>
      <c r="D2816" s="452"/>
      <c r="E2816" s="453"/>
      <c r="F2816" s="453"/>
      <c r="G2816" s="454"/>
      <c r="H2816" s="454"/>
      <c r="I2816" s="455"/>
      <c r="J2816" s="456"/>
      <c r="K2816" s="467" t="s">
        <v>1417</v>
      </c>
      <c r="L2816" s="468"/>
      <c r="M2816" s="469"/>
      <c r="N2816" s="470"/>
      <c r="O2816" s="470"/>
      <c r="P2816" s="471"/>
      <c r="Q2816" s="468"/>
      <c r="R2816" s="469"/>
      <c r="S2816" s="469"/>
      <c r="T2816" s="469"/>
      <c r="U2816" s="469"/>
      <c r="V2816" s="469"/>
      <c r="W2816" s="469"/>
      <c r="X2816" s="469"/>
      <c r="Y2816" s="462">
        <f t="shared" si="17"/>
        <v>0</v>
      </c>
      <c r="Z2816" s="463"/>
      <c r="AA2816" s="464"/>
      <c r="AB2816" s="465"/>
      <c r="AC2816" s="465"/>
      <c r="AD2816" s="465"/>
      <c r="AE2816" s="466"/>
      <c r="AF2816" s="449"/>
      <c r="AG2816" s="449"/>
      <c r="AH2816" s="449"/>
    </row>
    <row r="2817" ht="11.25" customHeight="1">
      <c r="A2817" s="450"/>
      <c r="B2817" s="472"/>
      <c r="C2817" s="473"/>
      <c r="D2817" s="473"/>
      <c r="E2817" s="474"/>
      <c r="F2817" s="474"/>
      <c r="G2817" s="475"/>
      <c r="H2817" s="475"/>
      <c r="I2817" s="476"/>
      <c r="J2817" s="477"/>
      <c r="K2817" s="478" t="s">
        <v>1418</v>
      </c>
      <c r="L2817" s="479"/>
      <c r="M2817" s="480"/>
      <c r="N2817" s="481"/>
      <c r="O2817" s="481"/>
      <c r="P2817" s="482"/>
      <c r="Q2817" s="479"/>
      <c r="R2817" s="480"/>
      <c r="S2817" s="480"/>
      <c r="T2817" s="480"/>
      <c r="U2817" s="480"/>
      <c r="V2817" s="480"/>
      <c r="W2817" s="480"/>
      <c r="X2817" s="480"/>
      <c r="Y2817" s="483">
        <f t="shared" si="17"/>
        <v>0</v>
      </c>
      <c r="Z2817" s="484"/>
      <c r="AA2817" s="485"/>
      <c r="AB2817" s="486"/>
      <c r="AC2817" s="486"/>
      <c r="AD2817" s="486"/>
      <c r="AE2817" s="487"/>
      <c r="AF2817" s="449"/>
      <c r="AG2817" s="449"/>
      <c r="AH2817" s="449"/>
    </row>
    <row r="2818" ht="11.25" customHeight="1">
      <c r="A2818" s="431" t="str">
        <f>IF(B2818="","", YEAR(B2818))</f>
        <v/>
      </c>
      <c r="B2818" s="432"/>
      <c r="C2818" s="433"/>
      <c r="D2818" s="433"/>
      <c r="E2818" s="434" t="str">
        <f t="shared" ref="E2818:I2818" si="1416">IFERROR(AVERAGE(L2818:L2821),"")</f>
        <v/>
      </c>
      <c r="F2818" s="434" t="str">
        <f t="shared" si="1416"/>
        <v/>
      </c>
      <c r="G2818" s="435" t="str">
        <f t="shared" si="1416"/>
        <v/>
      </c>
      <c r="H2818" s="435" t="str">
        <f t="shared" si="1416"/>
        <v/>
      </c>
      <c r="I2818" s="436" t="str">
        <f t="shared" si="1416"/>
        <v/>
      </c>
      <c r="J2818" s="437">
        <f>SUMIFS(PRODUCTION[KG],PRODUCTION[GRADE],"3X50",PRODUCTION[DATE],B2818,PRODUCTION[BATCH],C2818,PRODUCTION[SHIFT],D2818)</f>
        <v>0</v>
      </c>
      <c r="K2818" s="438" t="s">
        <v>1414</v>
      </c>
      <c r="L2818" s="443"/>
      <c r="M2818" s="440"/>
      <c r="N2818" s="441"/>
      <c r="O2818" s="441"/>
      <c r="P2818" s="442"/>
      <c r="Q2818" s="443"/>
      <c r="R2818" s="440"/>
      <c r="S2818" s="440"/>
      <c r="T2818" s="440"/>
      <c r="U2818" s="440"/>
      <c r="V2818" s="440"/>
      <c r="W2818" s="440"/>
      <c r="X2818" s="440"/>
      <c r="Y2818" s="444">
        <f t="shared" si="17"/>
        <v>0</v>
      </c>
      <c r="Z2818" s="445"/>
      <c r="AA2818" s="446">
        <f t="shared" ref="AA2818:AE2818" si="1417">$J2818*E2818</f>
        <v>0</v>
      </c>
      <c r="AB2818" s="447">
        <f t="shared" si="1417"/>
        <v>0</v>
      </c>
      <c r="AC2818" s="447">
        <f t="shared" si="1417"/>
        <v>0</v>
      </c>
      <c r="AD2818" s="447">
        <f t="shared" si="1417"/>
        <v>0</v>
      </c>
      <c r="AE2818" s="448">
        <f t="shared" si="1417"/>
        <v>0</v>
      </c>
      <c r="AF2818" s="449"/>
      <c r="AG2818" s="449"/>
      <c r="AH2818" s="449"/>
    </row>
    <row r="2819" ht="11.25" customHeight="1">
      <c r="A2819" s="450"/>
      <c r="B2819" s="451"/>
      <c r="C2819" s="452"/>
      <c r="D2819" s="452"/>
      <c r="E2819" s="453"/>
      <c r="F2819" s="453"/>
      <c r="G2819" s="454"/>
      <c r="H2819" s="454"/>
      <c r="I2819" s="455"/>
      <c r="J2819" s="456"/>
      <c r="K2819" s="457" t="s">
        <v>1416</v>
      </c>
      <c r="L2819" s="458"/>
      <c r="M2819" s="459"/>
      <c r="N2819" s="460"/>
      <c r="O2819" s="460"/>
      <c r="P2819" s="461"/>
      <c r="Q2819" s="458"/>
      <c r="R2819" s="459"/>
      <c r="S2819" s="459"/>
      <c r="T2819" s="459"/>
      <c r="U2819" s="459"/>
      <c r="V2819" s="459"/>
      <c r="W2819" s="459"/>
      <c r="X2819" s="459"/>
      <c r="Y2819" s="462">
        <f t="shared" si="17"/>
        <v>0</v>
      </c>
      <c r="Z2819" s="463"/>
      <c r="AA2819" s="464"/>
      <c r="AB2819" s="465"/>
      <c r="AC2819" s="465"/>
      <c r="AD2819" s="465"/>
      <c r="AE2819" s="466"/>
      <c r="AF2819" s="449"/>
      <c r="AG2819" s="449"/>
      <c r="AH2819" s="449"/>
    </row>
    <row r="2820" ht="11.25" customHeight="1">
      <c r="A2820" s="450"/>
      <c r="B2820" s="451"/>
      <c r="C2820" s="452"/>
      <c r="D2820" s="452"/>
      <c r="E2820" s="453"/>
      <c r="F2820" s="453"/>
      <c r="G2820" s="454"/>
      <c r="H2820" s="454"/>
      <c r="I2820" s="455"/>
      <c r="J2820" s="456"/>
      <c r="K2820" s="467" t="s">
        <v>1417</v>
      </c>
      <c r="L2820" s="468"/>
      <c r="M2820" s="469"/>
      <c r="N2820" s="470"/>
      <c r="O2820" s="470"/>
      <c r="P2820" s="471"/>
      <c r="Q2820" s="468"/>
      <c r="R2820" s="469"/>
      <c r="S2820" s="469"/>
      <c r="T2820" s="469"/>
      <c r="U2820" s="469"/>
      <c r="V2820" s="469"/>
      <c r="W2820" s="469"/>
      <c r="X2820" s="469"/>
      <c r="Y2820" s="462">
        <f t="shared" si="17"/>
        <v>0</v>
      </c>
      <c r="Z2820" s="463"/>
      <c r="AA2820" s="464"/>
      <c r="AB2820" s="465"/>
      <c r="AC2820" s="465"/>
      <c r="AD2820" s="465"/>
      <c r="AE2820" s="466"/>
      <c r="AF2820" s="449"/>
      <c r="AG2820" s="449"/>
      <c r="AH2820" s="449"/>
    </row>
    <row r="2821" ht="11.25" customHeight="1">
      <c r="A2821" s="450"/>
      <c r="B2821" s="472"/>
      <c r="C2821" s="473"/>
      <c r="D2821" s="473"/>
      <c r="E2821" s="474"/>
      <c r="F2821" s="474"/>
      <c r="G2821" s="475"/>
      <c r="H2821" s="475"/>
      <c r="I2821" s="476"/>
      <c r="J2821" s="477"/>
      <c r="K2821" s="478" t="s">
        <v>1418</v>
      </c>
      <c r="L2821" s="479"/>
      <c r="M2821" s="480"/>
      <c r="N2821" s="481"/>
      <c r="O2821" s="481"/>
      <c r="P2821" s="482"/>
      <c r="Q2821" s="479"/>
      <c r="R2821" s="480"/>
      <c r="S2821" s="480"/>
      <c r="T2821" s="480"/>
      <c r="U2821" s="480"/>
      <c r="V2821" s="480"/>
      <c r="W2821" s="480"/>
      <c r="X2821" s="480"/>
      <c r="Y2821" s="483">
        <f t="shared" si="17"/>
        <v>0</v>
      </c>
      <c r="Z2821" s="484"/>
      <c r="AA2821" s="485"/>
      <c r="AB2821" s="486"/>
      <c r="AC2821" s="486"/>
      <c r="AD2821" s="486"/>
      <c r="AE2821" s="487"/>
      <c r="AF2821" s="449"/>
      <c r="AG2821" s="449"/>
      <c r="AH2821" s="449"/>
    </row>
    <row r="2822" ht="11.25" customHeight="1">
      <c r="A2822" s="431" t="str">
        <f>IF(B2822="","", YEAR(B2822))</f>
        <v/>
      </c>
      <c r="B2822" s="432"/>
      <c r="C2822" s="433"/>
      <c r="D2822" s="433"/>
      <c r="E2822" s="434" t="str">
        <f t="shared" ref="E2822:I2822" si="1418">IFERROR(AVERAGE(L2822:L2825),"")</f>
        <v/>
      </c>
      <c r="F2822" s="434" t="str">
        <f t="shared" si="1418"/>
        <v/>
      </c>
      <c r="G2822" s="435" t="str">
        <f t="shared" si="1418"/>
        <v/>
      </c>
      <c r="H2822" s="435" t="str">
        <f t="shared" si="1418"/>
        <v/>
      </c>
      <c r="I2822" s="436" t="str">
        <f t="shared" si="1418"/>
        <v/>
      </c>
      <c r="J2822" s="437">
        <f>SUMIFS(PRODUCTION[KG],PRODUCTION[GRADE],"3X50",PRODUCTION[DATE],B2822,PRODUCTION[BATCH],C2822,PRODUCTION[SHIFT],D2822)</f>
        <v>0</v>
      </c>
      <c r="K2822" s="438" t="s">
        <v>1414</v>
      </c>
      <c r="L2822" s="443"/>
      <c r="M2822" s="440"/>
      <c r="N2822" s="441"/>
      <c r="O2822" s="441"/>
      <c r="P2822" s="442"/>
      <c r="Q2822" s="443"/>
      <c r="R2822" s="440"/>
      <c r="S2822" s="440"/>
      <c r="T2822" s="440"/>
      <c r="U2822" s="440"/>
      <c r="V2822" s="440"/>
      <c r="W2822" s="440"/>
      <c r="X2822" s="440"/>
      <c r="Y2822" s="444">
        <f t="shared" si="17"/>
        <v>0</v>
      </c>
      <c r="Z2822" s="445"/>
      <c r="AA2822" s="446">
        <f t="shared" ref="AA2822:AE2822" si="1419">$J2822*E2822</f>
        <v>0</v>
      </c>
      <c r="AB2822" s="447">
        <f t="shared" si="1419"/>
        <v>0</v>
      </c>
      <c r="AC2822" s="447">
        <f t="shared" si="1419"/>
        <v>0</v>
      </c>
      <c r="AD2822" s="447">
        <f t="shared" si="1419"/>
        <v>0</v>
      </c>
      <c r="AE2822" s="448">
        <f t="shared" si="1419"/>
        <v>0</v>
      </c>
      <c r="AF2822" s="449"/>
      <c r="AG2822" s="449"/>
      <c r="AH2822" s="449"/>
    </row>
    <row r="2823" ht="11.25" customHeight="1">
      <c r="A2823" s="450"/>
      <c r="B2823" s="451"/>
      <c r="C2823" s="452"/>
      <c r="D2823" s="452"/>
      <c r="E2823" s="453"/>
      <c r="F2823" s="453"/>
      <c r="G2823" s="454"/>
      <c r="H2823" s="454"/>
      <c r="I2823" s="455"/>
      <c r="J2823" s="456"/>
      <c r="K2823" s="457" t="s">
        <v>1416</v>
      </c>
      <c r="L2823" s="458"/>
      <c r="M2823" s="459"/>
      <c r="N2823" s="460"/>
      <c r="O2823" s="460"/>
      <c r="P2823" s="461"/>
      <c r="Q2823" s="458"/>
      <c r="R2823" s="459"/>
      <c r="S2823" s="459"/>
      <c r="T2823" s="459"/>
      <c r="U2823" s="459"/>
      <c r="V2823" s="459"/>
      <c r="W2823" s="459"/>
      <c r="X2823" s="459"/>
      <c r="Y2823" s="462">
        <f t="shared" si="17"/>
        <v>0</v>
      </c>
      <c r="Z2823" s="463"/>
      <c r="AA2823" s="464"/>
      <c r="AB2823" s="465"/>
      <c r="AC2823" s="465"/>
      <c r="AD2823" s="465"/>
      <c r="AE2823" s="466"/>
      <c r="AF2823" s="449"/>
      <c r="AG2823" s="449"/>
      <c r="AH2823" s="449"/>
    </row>
    <row r="2824" ht="11.25" customHeight="1">
      <c r="A2824" s="450"/>
      <c r="B2824" s="451"/>
      <c r="C2824" s="452"/>
      <c r="D2824" s="452"/>
      <c r="E2824" s="453"/>
      <c r="F2824" s="453"/>
      <c r="G2824" s="454"/>
      <c r="H2824" s="454"/>
      <c r="I2824" s="455"/>
      <c r="J2824" s="456"/>
      <c r="K2824" s="467" t="s">
        <v>1417</v>
      </c>
      <c r="L2824" s="468"/>
      <c r="M2824" s="469"/>
      <c r="N2824" s="470"/>
      <c r="O2824" s="470"/>
      <c r="P2824" s="471"/>
      <c r="Q2824" s="468"/>
      <c r="R2824" s="469"/>
      <c r="S2824" s="469"/>
      <c r="T2824" s="469"/>
      <c r="U2824" s="469"/>
      <c r="V2824" s="469"/>
      <c r="W2824" s="469"/>
      <c r="X2824" s="469"/>
      <c r="Y2824" s="462">
        <f t="shared" si="17"/>
        <v>0</v>
      </c>
      <c r="Z2824" s="463"/>
      <c r="AA2824" s="464"/>
      <c r="AB2824" s="465"/>
      <c r="AC2824" s="465"/>
      <c r="AD2824" s="465"/>
      <c r="AE2824" s="466"/>
      <c r="AF2824" s="449"/>
      <c r="AG2824" s="449"/>
      <c r="AH2824" s="449"/>
    </row>
    <row r="2825" ht="11.25" customHeight="1">
      <c r="A2825" s="450"/>
      <c r="B2825" s="472"/>
      <c r="C2825" s="473"/>
      <c r="D2825" s="473"/>
      <c r="E2825" s="474"/>
      <c r="F2825" s="474"/>
      <c r="G2825" s="475"/>
      <c r="H2825" s="475"/>
      <c r="I2825" s="476"/>
      <c r="J2825" s="477"/>
      <c r="K2825" s="478" t="s">
        <v>1418</v>
      </c>
      <c r="L2825" s="479"/>
      <c r="M2825" s="480"/>
      <c r="N2825" s="481"/>
      <c r="O2825" s="481"/>
      <c r="P2825" s="482"/>
      <c r="Q2825" s="479"/>
      <c r="R2825" s="480"/>
      <c r="S2825" s="480"/>
      <c r="T2825" s="480"/>
      <c r="U2825" s="480"/>
      <c r="V2825" s="480"/>
      <c r="W2825" s="480"/>
      <c r="X2825" s="480"/>
      <c r="Y2825" s="483">
        <f t="shared" si="17"/>
        <v>0</v>
      </c>
      <c r="Z2825" s="484"/>
      <c r="AA2825" s="485"/>
      <c r="AB2825" s="486"/>
      <c r="AC2825" s="486"/>
      <c r="AD2825" s="486"/>
      <c r="AE2825" s="487"/>
      <c r="AF2825" s="449"/>
      <c r="AG2825" s="449"/>
      <c r="AH2825" s="449"/>
    </row>
    <row r="2826" ht="11.25" customHeight="1">
      <c r="A2826" s="431" t="str">
        <f>IF(B2826="","", YEAR(B2826))</f>
        <v/>
      </c>
      <c r="B2826" s="432"/>
      <c r="C2826" s="433"/>
      <c r="D2826" s="433"/>
      <c r="E2826" s="434" t="str">
        <f t="shared" ref="E2826:I2826" si="1420">IFERROR(AVERAGE(L2826:L2829),"")</f>
        <v/>
      </c>
      <c r="F2826" s="434" t="str">
        <f t="shared" si="1420"/>
        <v/>
      </c>
      <c r="G2826" s="435" t="str">
        <f t="shared" si="1420"/>
        <v/>
      </c>
      <c r="H2826" s="435" t="str">
        <f t="shared" si="1420"/>
        <v/>
      </c>
      <c r="I2826" s="436" t="str">
        <f t="shared" si="1420"/>
        <v/>
      </c>
      <c r="J2826" s="437">
        <f>SUMIFS(PRODUCTION[KG],PRODUCTION[GRADE],"3X50",PRODUCTION[DATE],B2826,PRODUCTION[BATCH],C2826,PRODUCTION[SHIFT],D2826)</f>
        <v>0</v>
      </c>
      <c r="K2826" s="438" t="s">
        <v>1414</v>
      </c>
      <c r="L2826" s="443"/>
      <c r="M2826" s="440"/>
      <c r="N2826" s="441"/>
      <c r="O2826" s="441"/>
      <c r="P2826" s="442"/>
      <c r="Q2826" s="443"/>
      <c r="R2826" s="440"/>
      <c r="S2826" s="440"/>
      <c r="T2826" s="440"/>
      <c r="U2826" s="440"/>
      <c r="V2826" s="440"/>
      <c r="W2826" s="440"/>
      <c r="X2826" s="440"/>
      <c r="Y2826" s="444">
        <f t="shared" si="17"/>
        <v>0</v>
      </c>
      <c r="Z2826" s="445"/>
      <c r="AA2826" s="446">
        <f t="shared" ref="AA2826:AE2826" si="1421">$J2826*E2826</f>
        <v>0</v>
      </c>
      <c r="AB2826" s="447">
        <f t="shared" si="1421"/>
        <v>0</v>
      </c>
      <c r="AC2826" s="447">
        <f t="shared" si="1421"/>
        <v>0</v>
      </c>
      <c r="AD2826" s="447">
        <f t="shared" si="1421"/>
        <v>0</v>
      </c>
      <c r="AE2826" s="448">
        <f t="shared" si="1421"/>
        <v>0</v>
      </c>
      <c r="AF2826" s="449"/>
      <c r="AG2826" s="449"/>
      <c r="AH2826" s="449"/>
    </row>
    <row r="2827" ht="11.25" customHeight="1">
      <c r="A2827" s="450"/>
      <c r="B2827" s="451"/>
      <c r="C2827" s="452"/>
      <c r="D2827" s="452"/>
      <c r="E2827" s="453"/>
      <c r="F2827" s="453"/>
      <c r="G2827" s="454"/>
      <c r="H2827" s="454"/>
      <c r="I2827" s="455"/>
      <c r="J2827" s="456"/>
      <c r="K2827" s="457" t="s">
        <v>1416</v>
      </c>
      <c r="L2827" s="458"/>
      <c r="M2827" s="459"/>
      <c r="N2827" s="460"/>
      <c r="O2827" s="460"/>
      <c r="P2827" s="461"/>
      <c r="Q2827" s="458"/>
      <c r="R2827" s="459"/>
      <c r="S2827" s="459"/>
      <c r="T2827" s="459"/>
      <c r="U2827" s="459"/>
      <c r="V2827" s="459"/>
      <c r="W2827" s="459"/>
      <c r="X2827" s="459"/>
      <c r="Y2827" s="462">
        <f t="shared" si="17"/>
        <v>0</v>
      </c>
      <c r="Z2827" s="463"/>
      <c r="AA2827" s="464"/>
      <c r="AB2827" s="465"/>
      <c r="AC2827" s="465"/>
      <c r="AD2827" s="465"/>
      <c r="AE2827" s="466"/>
      <c r="AF2827" s="449"/>
      <c r="AG2827" s="449"/>
      <c r="AH2827" s="449"/>
    </row>
    <row r="2828" ht="11.25" customHeight="1">
      <c r="A2828" s="450"/>
      <c r="B2828" s="451"/>
      <c r="C2828" s="452"/>
      <c r="D2828" s="452"/>
      <c r="E2828" s="453"/>
      <c r="F2828" s="453"/>
      <c r="G2828" s="454"/>
      <c r="H2828" s="454"/>
      <c r="I2828" s="455"/>
      <c r="J2828" s="456"/>
      <c r="K2828" s="467" t="s">
        <v>1417</v>
      </c>
      <c r="L2828" s="468"/>
      <c r="M2828" s="469"/>
      <c r="N2828" s="470"/>
      <c r="O2828" s="470"/>
      <c r="P2828" s="471"/>
      <c r="Q2828" s="468"/>
      <c r="R2828" s="469"/>
      <c r="S2828" s="469"/>
      <c r="T2828" s="469"/>
      <c r="U2828" s="469"/>
      <c r="V2828" s="469"/>
      <c r="W2828" s="469"/>
      <c r="X2828" s="469"/>
      <c r="Y2828" s="462">
        <f t="shared" si="17"/>
        <v>0</v>
      </c>
      <c r="Z2828" s="463"/>
      <c r="AA2828" s="464"/>
      <c r="AB2828" s="465"/>
      <c r="AC2828" s="465"/>
      <c r="AD2828" s="465"/>
      <c r="AE2828" s="466"/>
      <c r="AF2828" s="449"/>
      <c r="AG2828" s="449"/>
      <c r="AH2828" s="449"/>
    </row>
    <row r="2829" ht="11.25" customHeight="1">
      <c r="A2829" s="450"/>
      <c r="B2829" s="472"/>
      <c r="C2829" s="473"/>
      <c r="D2829" s="473"/>
      <c r="E2829" s="474"/>
      <c r="F2829" s="474"/>
      <c r="G2829" s="475"/>
      <c r="H2829" s="475"/>
      <c r="I2829" s="476"/>
      <c r="J2829" s="477"/>
      <c r="K2829" s="478" t="s">
        <v>1418</v>
      </c>
      <c r="L2829" s="479"/>
      <c r="M2829" s="480"/>
      <c r="N2829" s="481"/>
      <c r="O2829" s="481"/>
      <c r="P2829" s="482"/>
      <c r="Q2829" s="479"/>
      <c r="R2829" s="480"/>
      <c r="S2829" s="480"/>
      <c r="T2829" s="480"/>
      <c r="U2829" s="480"/>
      <c r="V2829" s="480"/>
      <c r="W2829" s="480"/>
      <c r="X2829" s="480"/>
      <c r="Y2829" s="483">
        <f t="shared" si="17"/>
        <v>0</v>
      </c>
      <c r="Z2829" s="484"/>
      <c r="AA2829" s="485"/>
      <c r="AB2829" s="486"/>
      <c r="AC2829" s="486"/>
      <c r="AD2829" s="486"/>
      <c r="AE2829" s="487"/>
      <c r="AF2829" s="449"/>
      <c r="AG2829" s="449"/>
      <c r="AH2829" s="449"/>
    </row>
    <row r="2830" ht="11.25" customHeight="1">
      <c r="A2830" s="431" t="str">
        <f>IF(B2830="","", YEAR(B2830))</f>
        <v/>
      </c>
      <c r="B2830" s="432"/>
      <c r="C2830" s="433"/>
      <c r="D2830" s="433"/>
      <c r="E2830" s="434" t="str">
        <f t="shared" ref="E2830:I2830" si="1422">IFERROR(AVERAGE(L2830:L2833),"")</f>
        <v/>
      </c>
      <c r="F2830" s="434" t="str">
        <f t="shared" si="1422"/>
        <v/>
      </c>
      <c r="G2830" s="435" t="str">
        <f t="shared" si="1422"/>
        <v/>
      </c>
      <c r="H2830" s="435" t="str">
        <f t="shared" si="1422"/>
        <v/>
      </c>
      <c r="I2830" s="436" t="str">
        <f t="shared" si="1422"/>
        <v/>
      </c>
      <c r="J2830" s="437">
        <f>SUMIFS(PRODUCTION[KG],PRODUCTION[GRADE],"3X50",PRODUCTION[DATE],B2830,PRODUCTION[BATCH],C2830,PRODUCTION[SHIFT],D2830)</f>
        <v>0</v>
      </c>
      <c r="K2830" s="438" t="s">
        <v>1414</v>
      </c>
      <c r="L2830" s="443"/>
      <c r="M2830" s="440"/>
      <c r="N2830" s="441"/>
      <c r="O2830" s="441"/>
      <c r="P2830" s="442"/>
      <c r="Q2830" s="443"/>
      <c r="R2830" s="440"/>
      <c r="S2830" s="440"/>
      <c r="T2830" s="440"/>
      <c r="U2830" s="440"/>
      <c r="V2830" s="440"/>
      <c r="W2830" s="440"/>
      <c r="X2830" s="440"/>
      <c r="Y2830" s="444">
        <f t="shared" si="17"/>
        <v>0</v>
      </c>
      <c r="Z2830" s="445"/>
      <c r="AA2830" s="446">
        <f t="shared" ref="AA2830:AE2830" si="1423">$J2830*E2830</f>
        <v>0</v>
      </c>
      <c r="AB2830" s="447">
        <f t="shared" si="1423"/>
        <v>0</v>
      </c>
      <c r="AC2830" s="447">
        <f t="shared" si="1423"/>
        <v>0</v>
      </c>
      <c r="AD2830" s="447">
        <f t="shared" si="1423"/>
        <v>0</v>
      </c>
      <c r="AE2830" s="448">
        <f t="shared" si="1423"/>
        <v>0</v>
      </c>
      <c r="AF2830" s="449"/>
      <c r="AG2830" s="449"/>
      <c r="AH2830" s="449"/>
    </row>
    <row r="2831" ht="11.25" customHeight="1">
      <c r="A2831" s="450"/>
      <c r="B2831" s="451"/>
      <c r="C2831" s="452"/>
      <c r="D2831" s="452"/>
      <c r="E2831" s="453"/>
      <c r="F2831" s="453"/>
      <c r="G2831" s="454"/>
      <c r="H2831" s="454"/>
      <c r="I2831" s="455"/>
      <c r="J2831" s="456"/>
      <c r="K2831" s="457" t="s">
        <v>1416</v>
      </c>
      <c r="L2831" s="458"/>
      <c r="M2831" s="459"/>
      <c r="N2831" s="460"/>
      <c r="O2831" s="460"/>
      <c r="P2831" s="461"/>
      <c r="Q2831" s="458"/>
      <c r="R2831" s="459"/>
      <c r="S2831" s="459"/>
      <c r="T2831" s="459"/>
      <c r="U2831" s="459"/>
      <c r="V2831" s="459"/>
      <c r="W2831" s="459"/>
      <c r="X2831" s="459"/>
      <c r="Y2831" s="462">
        <f t="shared" si="17"/>
        <v>0</v>
      </c>
      <c r="Z2831" s="463"/>
      <c r="AA2831" s="464"/>
      <c r="AB2831" s="465"/>
      <c r="AC2831" s="465"/>
      <c r="AD2831" s="465"/>
      <c r="AE2831" s="466"/>
      <c r="AF2831" s="449"/>
      <c r="AG2831" s="449"/>
      <c r="AH2831" s="449"/>
    </row>
    <row r="2832" ht="11.25" customHeight="1">
      <c r="A2832" s="450"/>
      <c r="B2832" s="451"/>
      <c r="C2832" s="452"/>
      <c r="D2832" s="452"/>
      <c r="E2832" s="453"/>
      <c r="F2832" s="453"/>
      <c r="G2832" s="454"/>
      <c r="H2832" s="454"/>
      <c r="I2832" s="455"/>
      <c r="J2832" s="456"/>
      <c r="K2832" s="467" t="s">
        <v>1417</v>
      </c>
      <c r="L2832" s="468"/>
      <c r="M2832" s="469"/>
      <c r="N2832" s="470"/>
      <c r="O2832" s="470"/>
      <c r="P2832" s="471"/>
      <c r="Q2832" s="468"/>
      <c r="R2832" s="469"/>
      <c r="S2832" s="469"/>
      <c r="T2832" s="469"/>
      <c r="U2832" s="469"/>
      <c r="V2832" s="469"/>
      <c r="W2832" s="469"/>
      <c r="X2832" s="469"/>
      <c r="Y2832" s="462">
        <f t="shared" si="17"/>
        <v>0</v>
      </c>
      <c r="Z2832" s="463"/>
      <c r="AA2832" s="464"/>
      <c r="AB2832" s="465"/>
      <c r="AC2832" s="465"/>
      <c r="AD2832" s="465"/>
      <c r="AE2832" s="466"/>
      <c r="AF2832" s="449"/>
      <c r="AG2832" s="449"/>
      <c r="AH2832" s="449"/>
    </row>
    <row r="2833" ht="11.25" customHeight="1">
      <c r="A2833" s="450"/>
      <c r="B2833" s="472"/>
      <c r="C2833" s="473"/>
      <c r="D2833" s="473"/>
      <c r="E2833" s="474"/>
      <c r="F2833" s="474"/>
      <c r="G2833" s="475"/>
      <c r="H2833" s="475"/>
      <c r="I2833" s="476"/>
      <c r="J2833" s="477"/>
      <c r="K2833" s="478" t="s">
        <v>1418</v>
      </c>
      <c r="L2833" s="479"/>
      <c r="M2833" s="480"/>
      <c r="N2833" s="481"/>
      <c r="O2833" s="481"/>
      <c r="P2833" s="482"/>
      <c r="Q2833" s="479"/>
      <c r="R2833" s="480"/>
      <c r="S2833" s="480"/>
      <c r="T2833" s="480"/>
      <c r="U2833" s="480"/>
      <c r="V2833" s="480"/>
      <c r="W2833" s="480"/>
      <c r="X2833" s="480"/>
      <c r="Y2833" s="483">
        <f t="shared" si="17"/>
        <v>0</v>
      </c>
      <c r="Z2833" s="484"/>
      <c r="AA2833" s="485"/>
      <c r="AB2833" s="486"/>
      <c r="AC2833" s="486"/>
      <c r="AD2833" s="486"/>
      <c r="AE2833" s="487"/>
      <c r="AF2833" s="449"/>
      <c r="AG2833" s="449"/>
      <c r="AH2833" s="449"/>
    </row>
    <row r="2834" ht="11.25" customHeight="1">
      <c r="A2834" s="431" t="str">
        <f>IF(B2834="","", YEAR(B2834))</f>
        <v/>
      </c>
      <c r="B2834" s="432"/>
      <c r="C2834" s="433"/>
      <c r="D2834" s="433"/>
      <c r="E2834" s="434" t="str">
        <f t="shared" ref="E2834:I2834" si="1424">IFERROR(AVERAGE(L2834:L2837),"")</f>
        <v/>
      </c>
      <c r="F2834" s="434" t="str">
        <f t="shared" si="1424"/>
        <v/>
      </c>
      <c r="G2834" s="435" t="str">
        <f t="shared" si="1424"/>
        <v/>
      </c>
      <c r="H2834" s="435" t="str">
        <f t="shared" si="1424"/>
        <v/>
      </c>
      <c r="I2834" s="436" t="str">
        <f t="shared" si="1424"/>
        <v/>
      </c>
      <c r="J2834" s="437">
        <f>SUMIFS(PRODUCTION[KG],PRODUCTION[GRADE],"3X50",PRODUCTION[DATE],B2834,PRODUCTION[BATCH],C2834,PRODUCTION[SHIFT],D2834)</f>
        <v>0</v>
      </c>
      <c r="K2834" s="438" t="s">
        <v>1414</v>
      </c>
      <c r="L2834" s="443"/>
      <c r="M2834" s="440"/>
      <c r="N2834" s="441"/>
      <c r="O2834" s="441"/>
      <c r="P2834" s="442"/>
      <c r="Q2834" s="443"/>
      <c r="R2834" s="440"/>
      <c r="S2834" s="440"/>
      <c r="T2834" s="440"/>
      <c r="U2834" s="440"/>
      <c r="V2834" s="440"/>
      <c r="W2834" s="440"/>
      <c r="X2834" s="440"/>
      <c r="Y2834" s="444">
        <f t="shared" si="17"/>
        <v>0</v>
      </c>
      <c r="Z2834" s="445"/>
      <c r="AA2834" s="446">
        <f t="shared" ref="AA2834:AE2834" si="1425">$J2834*E2834</f>
        <v>0</v>
      </c>
      <c r="AB2834" s="447">
        <f t="shared" si="1425"/>
        <v>0</v>
      </c>
      <c r="AC2834" s="447">
        <f t="shared" si="1425"/>
        <v>0</v>
      </c>
      <c r="AD2834" s="447">
        <f t="shared" si="1425"/>
        <v>0</v>
      </c>
      <c r="AE2834" s="448">
        <f t="shared" si="1425"/>
        <v>0</v>
      </c>
      <c r="AF2834" s="449"/>
      <c r="AG2834" s="449"/>
      <c r="AH2834" s="449"/>
    </row>
    <row r="2835" ht="11.25" customHeight="1">
      <c r="A2835" s="450"/>
      <c r="B2835" s="451"/>
      <c r="C2835" s="452"/>
      <c r="D2835" s="452"/>
      <c r="E2835" s="453"/>
      <c r="F2835" s="453"/>
      <c r="G2835" s="454"/>
      <c r="H2835" s="454"/>
      <c r="I2835" s="455"/>
      <c r="J2835" s="456"/>
      <c r="K2835" s="457" t="s">
        <v>1416</v>
      </c>
      <c r="L2835" s="458"/>
      <c r="M2835" s="459"/>
      <c r="N2835" s="460"/>
      <c r="O2835" s="460"/>
      <c r="P2835" s="461"/>
      <c r="Q2835" s="458"/>
      <c r="R2835" s="459"/>
      <c r="S2835" s="459"/>
      <c r="T2835" s="459"/>
      <c r="U2835" s="459"/>
      <c r="V2835" s="459"/>
      <c r="W2835" s="459"/>
      <c r="X2835" s="459"/>
      <c r="Y2835" s="462">
        <f t="shared" si="17"/>
        <v>0</v>
      </c>
      <c r="Z2835" s="463"/>
      <c r="AA2835" s="464"/>
      <c r="AB2835" s="465"/>
      <c r="AC2835" s="465"/>
      <c r="AD2835" s="465"/>
      <c r="AE2835" s="466"/>
      <c r="AF2835" s="449"/>
      <c r="AG2835" s="449"/>
      <c r="AH2835" s="449"/>
    </row>
    <row r="2836" ht="11.25" customHeight="1">
      <c r="A2836" s="450"/>
      <c r="B2836" s="451"/>
      <c r="C2836" s="452"/>
      <c r="D2836" s="452"/>
      <c r="E2836" s="453"/>
      <c r="F2836" s="453"/>
      <c r="G2836" s="454"/>
      <c r="H2836" s="454"/>
      <c r="I2836" s="455"/>
      <c r="J2836" s="456"/>
      <c r="K2836" s="467" t="s">
        <v>1417</v>
      </c>
      <c r="L2836" s="468"/>
      <c r="M2836" s="469"/>
      <c r="N2836" s="470"/>
      <c r="O2836" s="470"/>
      <c r="P2836" s="471"/>
      <c r="Q2836" s="468"/>
      <c r="R2836" s="469"/>
      <c r="S2836" s="469"/>
      <c r="T2836" s="469"/>
      <c r="U2836" s="469"/>
      <c r="V2836" s="469"/>
      <c r="W2836" s="469"/>
      <c r="X2836" s="469"/>
      <c r="Y2836" s="462">
        <f t="shared" si="17"/>
        <v>0</v>
      </c>
      <c r="Z2836" s="463"/>
      <c r="AA2836" s="464"/>
      <c r="AB2836" s="465"/>
      <c r="AC2836" s="465"/>
      <c r="AD2836" s="465"/>
      <c r="AE2836" s="466"/>
      <c r="AF2836" s="449"/>
      <c r="AG2836" s="449"/>
      <c r="AH2836" s="449"/>
    </row>
    <row r="2837" ht="11.25" customHeight="1">
      <c r="A2837" s="450"/>
      <c r="B2837" s="472"/>
      <c r="C2837" s="473"/>
      <c r="D2837" s="473"/>
      <c r="E2837" s="474"/>
      <c r="F2837" s="474"/>
      <c r="G2837" s="475"/>
      <c r="H2837" s="475"/>
      <c r="I2837" s="476"/>
      <c r="J2837" s="477"/>
      <c r="K2837" s="478" t="s">
        <v>1418</v>
      </c>
      <c r="L2837" s="479"/>
      <c r="M2837" s="480"/>
      <c r="N2837" s="481"/>
      <c r="O2837" s="481"/>
      <c r="P2837" s="482"/>
      <c r="Q2837" s="479"/>
      <c r="R2837" s="480"/>
      <c r="S2837" s="480"/>
      <c r="T2837" s="480"/>
      <c r="U2837" s="480"/>
      <c r="V2837" s="480"/>
      <c r="W2837" s="480"/>
      <c r="X2837" s="480"/>
      <c r="Y2837" s="483">
        <f t="shared" si="17"/>
        <v>0</v>
      </c>
      <c r="Z2837" s="484"/>
      <c r="AA2837" s="485"/>
      <c r="AB2837" s="486"/>
      <c r="AC2837" s="486"/>
      <c r="AD2837" s="486"/>
      <c r="AE2837" s="487"/>
      <c r="AF2837" s="449"/>
      <c r="AG2837" s="449"/>
      <c r="AH2837" s="449"/>
    </row>
    <row r="2838" ht="11.25" customHeight="1">
      <c r="A2838" s="431" t="str">
        <f>IF(B2838="","", YEAR(B2838))</f>
        <v/>
      </c>
      <c r="B2838" s="432"/>
      <c r="C2838" s="433"/>
      <c r="D2838" s="433"/>
      <c r="E2838" s="434" t="str">
        <f t="shared" ref="E2838:I2838" si="1426">IFERROR(AVERAGE(L2838:L2841),"")</f>
        <v/>
      </c>
      <c r="F2838" s="434" t="str">
        <f t="shared" si="1426"/>
        <v/>
      </c>
      <c r="G2838" s="435" t="str">
        <f t="shared" si="1426"/>
        <v/>
      </c>
      <c r="H2838" s="435" t="str">
        <f t="shared" si="1426"/>
        <v/>
      </c>
      <c r="I2838" s="436" t="str">
        <f t="shared" si="1426"/>
        <v/>
      </c>
      <c r="J2838" s="437">
        <f>SUMIFS(PRODUCTION[KG],PRODUCTION[GRADE],"3X50",PRODUCTION[DATE],B2838,PRODUCTION[BATCH],C2838,PRODUCTION[SHIFT],D2838)</f>
        <v>0</v>
      </c>
      <c r="K2838" s="438" t="s">
        <v>1414</v>
      </c>
      <c r="L2838" s="443"/>
      <c r="M2838" s="440"/>
      <c r="N2838" s="441"/>
      <c r="O2838" s="441"/>
      <c r="P2838" s="442"/>
      <c r="Q2838" s="443"/>
      <c r="R2838" s="440"/>
      <c r="S2838" s="440"/>
      <c r="T2838" s="440"/>
      <c r="U2838" s="440"/>
      <c r="V2838" s="440"/>
      <c r="W2838" s="440"/>
      <c r="X2838" s="440"/>
      <c r="Y2838" s="444">
        <f t="shared" si="17"/>
        <v>0</v>
      </c>
      <c r="Z2838" s="445"/>
      <c r="AA2838" s="446">
        <f t="shared" ref="AA2838:AE2838" si="1427">$J2838*E2838</f>
        <v>0</v>
      </c>
      <c r="AB2838" s="447">
        <f t="shared" si="1427"/>
        <v>0</v>
      </c>
      <c r="AC2838" s="447">
        <f t="shared" si="1427"/>
        <v>0</v>
      </c>
      <c r="AD2838" s="447">
        <f t="shared" si="1427"/>
        <v>0</v>
      </c>
      <c r="AE2838" s="448">
        <f t="shared" si="1427"/>
        <v>0</v>
      </c>
      <c r="AF2838" s="449"/>
      <c r="AG2838" s="449"/>
      <c r="AH2838" s="449"/>
    </row>
    <row r="2839" ht="11.25" customHeight="1">
      <c r="A2839" s="450"/>
      <c r="B2839" s="451"/>
      <c r="C2839" s="452"/>
      <c r="D2839" s="452"/>
      <c r="E2839" s="453"/>
      <c r="F2839" s="453"/>
      <c r="G2839" s="454"/>
      <c r="H2839" s="454"/>
      <c r="I2839" s="455"/>
      <c r="J2839" s="456"/>
      <c r="K2839" s="457" t="s">
        <v>1416</v>
      </c>
      <c r="L2839" s="458"/>
      <c r="M2839" s="459"/>
      <c r="N2839" s="460"/>
      <c r="O2839" s="460"/>
      <c r="P2839" s="461"/>
      <c r="Q2839" s="458"/>
      <c r="R2839" s="459"/>
      <c r="S2839" s="459"/>
      <c r="T2839" s="459"/>
      <c r="U2839" s="459"/>
      <c r="V2839" s="459"/>
      <c r="W2839" s="459"/>
      <c r="X2839" s="459"/>
      <c r="Y2839" s="462">
        <f t="shared" si="17"/>
        <v>0</v>
      </c>
      <c r="Z2839" s="463"/>
      <c r="AA2839" s="464"/>
      <c r="AB2839" s="465"/>
      <c r="AC2839" s="465"/>
      <c r="AD2839" s="465"/>
      <c r="AE2839" s="466"/>
      <c r="AF2839" s="449"/>
      <c r="AG2839" s="449"/>
      <c r="AH2839" s="449"/>
    </row>
    <row r="2840" ht="11.25" customHeight="1">
      <c r="A2840" s="450"/>
      <c r="B2840" s="451"/>
      <c r="C2840" s="452"/>
      <c r="D2840" s="452"/>
      <c r="E2840" s="453"/>
      <c r="F2840" s="453"/>
      <c r="G2840" s="454"/>
      <c r="H2840" s="454"/>
      <c r="I2840" s="455"/>
      <c r="J2840" s="456"/>
      <c r="K2840" s="467" t="s">
        <v>1417</v>
      </c>
      <c r="L2840" s="468"/>
      <c r="M2840" s="469"/>
      <c r="N2840" s="470"/>
      <c r="O2840" s="470"/>
      <c r="P2840" s="471"/>
      <c r="Q2840" s="468"/>
      <c r="R2840" s="469"/>
      <c r="S2840" s="469"/>
      <c r="T2840" s="469"/>
      <c r="U2840" s="469"/>
      <c r="V2840" s="469"/>
      <c r="W2840" s="469"/>
      <c r="X2840" s="469"/>
      <c r="Y2840" s="462">
        <f t="shared" si="17"/>
        <v>0</v>
      </c>
      <c r="Z2840" s="463"/>
      <c r="AA2840" s="464"/>
      <c r="AB2840" s="465"/>
      <c r="AC2840" s="465"/>
      <c r="AD2840" s="465"/>
      <c r="AE2840" s="466"/>
      <c r="AF2840" s="449"/>
      <c r="AG2840" s="449"/>
      <c r="AH2840" s="449"/>
    </row>
    <row r="2841" ht="11.25" customHeight="1">
      <c r="A2841" s="450"/>
      <c r="B2841" s="472"/>
      <c r="C2841" s="473"/>
      <c r="D2841" s="473"/>
      <c r="E2841" s="474"/>
      <c r="F2841" s="474"/>
      <c r="G2841" s="475"/>
      <c r="H2841" s="475"/>
      <c r="I2841" s="476"/>
      <c r="J2841" s="477"/>
      <c r="K2841" s="478" t="s">
        <v>1418</v>
      </c>
      <c r="L2841" s="479"/>
      <c r="M2841" s="480"/>
      <c r="N2841" s="481"/>
      <c r="O2841" s="481"/>
      <c r="P2841" s="482"/>
      <c r="Q2841" s="479"/>
      <c r="R2841" s="480"/>
      <c r="S2841" s="480"/>
      <c r="T2841" s="480"/>
      <c r="U2841" s="480"/>
      <c r="V2841" s="480"/>
      <c r="W2841" s="480"/>
      <c r="X2841" s="480"/>
      <c r="Y2841" s="483">
        <f t="shared" si="17"/>
        <v>0</v>
      </c>
      <c r="Z2841" s="484"/>
      <c r="AA2841" s="485"/>
      <c r="AB2841" s="486"/>
      <c r="AC2841" s="486"/>
      <c r="AD2841" s="486"/>
      <c r="AE2841" s="487"/>
      <c r="AF2841" s="449"/>
      <c r="AG2841" s="449"/>
      <c r="AH2841" s="449"/>
    </row>
    <row r="2842" ht="11.25" customHeight="1">
      <c r="A2842" s="431" t="str">
        <f>IF(B2842="","", YEAR(B2842))</f>
        <v/>
      </c>
      <c r="B2842" s="432"/>
      <c r="C2842" s="433"/>
      <c r="D2842" s="433"/>
      <c r="E2842" s="434" t="str">
        <f t="shared" ref="E2842:I2842" si="1428">IFERROR(AVERAGE(L2842:L2845),"")</f>
        <v/>
      </c>
      <c r="F2842" s="434" t="str">
        <f t="shared" si="1428"/>
        <v/>
      </c>
      <c r="G2842" s="435" t="str">
        <f t="shared" si="1428"/>
        <v/>
      </c>
      <c r="H2842" s="435" t="str">
        <f t="shared" si="1428"/>
        <v/>
      </c>
      <c r="I2842" s="436" t="str">
        <f t="shared" si="1428"/>
        <v/>
      </c>
      <c r="J2842" s="437">
        <f>SUMIFS(PRODUCTION[KG],PRODUCTION[GRADE],"3X50",PRODUCTION[DATE],B2842,PRODUCTION[BATCH],C2842,PRODUCTION[SHIFT],D2842)</f>
        <v>0</v>
      </c>
      <c r="K2842" s="438" t="s">
        <v>1414</v>
      </c>
      <c r="L2842" s="443"/>
      <c r="M2842" s="440"/>
      <c r="N2842" s="441"/>
      <c r="O2842" s="441"/>
      <c r="P2842" s="442"/>
      <c r="Q2842" s="443"/>
      <c r="R2842" s="440"/>
      <c r="S2842" s="440"/>
      <c r="T2842" s="440"/>
      <c r="U2842" s="440"/>
      <c r="V2842" s="440"/>
      <c r="W2842" s="440"/>
      <c r="X2842" s="440"/>
      <c r="Y2842" s="444">
        <f t="shared" si="17"/>
        <v>0</v>
      </c>
      <c r="Z2842" s="445"/>
      <c r="AA2842" s="446">
        <f t="shared" ref="AA2842:AE2842" si="1429">$J2842*E2842</f>
        <v>0</v>
      </c>
      <c r="AB2842" s="447">
        <f t="shared" si="1429"/>
        <v>0</v>
      </c>
      <c r="AC2842" s="447">
        <f t="shared" si="1429"/>
        <v>0</v>
      </c>
      <c r="AD2842" s="447">
        <f t="shared" si="1429"/>
        <v>0</v>
      </c>
      <c r="AE2842" s="448">
        <f t="shared" si="1429"/>
        <v>0</v>
      </c>
      <c r="AF2842" s="449"/>
      <c r="AG2842" s="449"/>
      <c r="AH2842" s="449"/>
    </row>
    <row r="2843" ht="11.25" customHeight="1">
      <c r="A2843" s="450"/>
      <c r="B2843" s="451"/>
      <c r="C2843" s="452"/>
      <c r="D2843" s="452"/>
      <c r="E2843" s="453"/>
      <c r="F2843" s="453"/>
      <c r="G2843" s="454"/>
      <c r="H2843" s="454"/>
      <c r="I2843" s="455"/>
      <c r="J2843" s="456"/>
      <c r="K2843" s="457" t="s">
        <v>1416</v>
      </c>
      <c r="L2843" s="458"/>
      <c r="M2843" s="459"/>
      <c r="N2843" s="460"/>
      <c r="O2843" s="460"/>
      <c r="P2843" s="461"/>
      <c r="Q2843" s="458"/>
      <c r="R2843" s="459"/>
      <c r="S2843" s="459"/>
      <c r="T2843" s="459"/>
      <c r="U2843" s="459"/>
      <c r="V2843" s="459"/>
      <c r="W2843" s="459"/>
      <c r="X2843" s="459"/>
      <c r="Y2843" s="462">
        <f t="shared" si="17"/>
        <v>0</v>
      </c>
      <c r="Z2843" s="463"/>
      <c r="AA2843" s="464"/>
      <c r="AB2843" s="465"/>
      <c r="AC2843" s="465"/>
      <c r="AD2843" s="465"/>
      <c r="AE2843" s="466"/>
      <c r="AF2843" s="449"/>
      <c r="AG2843" s="449"/>
      <c r="AH2843" s="449"/>
    </row>
    <row r="2844" ht="11.25" customHeight="1">
      <c r="A2844" s="450"/>
      <c r="B2844" s="451"/>
      <c r="C2844" s="452"/>
      <c r="D2844" s="452"/>
      <c r="E2844" s="453"/>
      <c r="F2844" s="453"/>
      <c r="G2844" s="454"/>
      <c r="H2844" s="454"/>
      <c r="I2844" s="455"/>
      <c r="J2844" s="456"/>
      <c r="K2844" s="467" t="s">
        <v>1417</v>
      </c>
      <c r="L2844" s="468"/>
      <c r="M2844" s="469"/>
      <c r="N2844" s="470"/>
      <c r="O2844" s="470"/>
      <c r="P2844" s="471"/>
      <c r="Q2844" s="468"/>
      <c r="R2844" s="469"/>
      <c r="S2844" s="469"/>
      <c r="T2844" s="469"/>
      <c r="U2844" s="469"/>
      <c r="V2844" s="469"/>
      <c r="W2844" s="469"/>
      <c r="X2844" s="469"/>
      <c r="Y2844" s="462">
        <f t="shared" si="17"/>
        <v>0</v>
      </c>
      <c r="Z2844" s="463"/>
      <c r="AA2844" s="464"/>
      <c r="AB2844" s="465"/>
      <c r="AC2844" s="465"/>
      <c r="AD2844" s="465"/>
      <c r="AE2844" s="466"/>
      <c r="AF2844" s="449"/>
      <c r="AG2844" s="449"/>
      <c r="AH2844" s="449"/>
    </row>
    <row r="2845" ht="11.25" customHeight="1">
      <c r="A2845" s="450"/>
      <c r="B2845" s="472"/>
      <c r="C2845" s="473"/>
      <c r="D2845" s="473"/>
      <c r="E2845" s="474"/>
      <c r="F2845" s="474"/>
      <c r="G2845" s="475"/>
      <c r="H2845" s="475"/>
      <c r="I2845" s="476"/>
      <c r="J2845" s="477"/>
      <c r="K2845" s="478" t="s">
        <v>1418</v>
      </c>
      <c r="L2845" s="479"/>
      <c r="M2845" s="480"/>
      <c r="N2845" s="481"/>
      <c r="O2845" s="481"/>
      <c r="P2845" s="482"/>
      <c r="Q2845" s="479"/>
      <c r="R2845" s="480"/>
      <c r="S2845" s="480"/>
      <c r="T2845" s="480"/>
      <c r="U2845" s="480"/>
      <c r="V2845" s="480"/>
      <c r="W2845" s="480"/>
      <c r="X2845" s="480"/>
      <c r="Y2845" s="483">
        <f t="shared" si="17"/>
        <v>0</v>
      </c>
      <c r="Z2845" s="484"/>
      <c r="AA2845" s="485"/>
      <c r="AB2845" s="486"/>
      <c r="AC2845" s="486"/>
      <c r="AD2845" s="486"/>
      <c r="AE2845" s="487"/>
      <c r="AF2845" s="449"/>
      <c r="AG2845" s="449"/>
      <c r="AH2845" s="449"/>
    </row>
    <row r="2846" ht="11.25" customHeight="1">
      <c r="A2846" s="431" t="str">
        <f>IF(B2846="","", YEAR(B2846))</f>
        <v/>
      </c>
      <c r="B2846" s="432"/>
      <c r="C2846" s="433"/>
      <c r="D2846" s="433"/>
      <c r="E2846" s="434" t="str">
        <f t="shared" ref="E2846:I2846" si="1430">IFERROR(AVERAGE(L2846:L2849),"")</f>
        <v/>
      </c>
      <c r="F2846" s="434" t="str">
        <f t="shared" si="1430"/>
        <v/>
      </c>
      <c r="G2846" s="435" t="str">
        <f t="shared" si="1430"/>
        <v/>
      </c>
      <c r="H2846" s="435" t="str">
        <f t="shared" si="1430"/>
        <v/>
      </c>
      <c r="I2846" s="436" t="str">
        <f t="shared" si="1430"/>
        <v/>
      </c>
      <c r="J2846" s="437">
        <f>SUMIFS(PRODUCTION[KG],PRODUCTION[GRADE],"3X50",PRODUCTION[DATE],B2846,PRODUCTION[BATCH],C2846,PRODUCTION[SHIFT],D2846)</f>
        <v>0</v>
      </c>
      <c r="K2846" s="438" t="s">
        <v>1414</v>
      </c>
      <c r="L2846" s="443"/>
      <c r="M2846" s="440"/>
      <c r="N2846" s="441"/>
      <c r="O2846" s="441"/>
      <c r="P2846" s="442"/>
      <c r="Q2846" s="443"/>
      <c r="R2846" s="440"/>
      <c r="S2846" s="440"/>
      <c r="T2846" s="440"/>
      <c r="U2846" s="440"/>
      <c r="V2846" s="440"/>
      <c r="W2846" s="440"/>
      <c r="X2846" s="440"/>
      <c r="Y2846" s="444">
        <f t="shared" si="17"/>
        <v>0</v>
      </c>
      <c r="Z2846" s="445"/>
      <c r="AA2846" s="446">
        <f t="shared" ref="AA2846:AE2846" si="1431">$J2846*E2846</f>
        <v>0</v>
      </c>
      <c r="AB2846" s="447">
        <f t="shared" si="1431"/>
        <v>0</v>
      </c>
      <c r="AC2846" s="447">
        <f t="shared" si="1431"/>
        <v>0</v>
      </c>
      <c r="AD2846" s="447">
        <f t="shared" si="1431"/>
        <v>0</v>
      </c>
      <c r="AE2846" s="448">
        <f t="shared" si="1431"/>
        <v>0</v>
      </c>
      <c r="AF2846" s="449"/>
      <c r="AG2846" s="449"/>
      <c r="AH2846" s="449"/>
    </row>
    <row r="2847" ht="11.25" customHeight="1">
      <c r="A2847" s="450"/>
      <c r="B2847" s="451"/>
      <c r="C2847" s="452"/>
      <c r="D2847" s="452"/>
      <c r="E2847" s="453"/>
      <c r="F2847" s="453"/>
      <c r="G2847" s="454"/>
      <c r="H2847" s="454"/>
      <c r="I2847" s="455"/>
      <c r="J2847" s="456"/>
      <c r="K2847" s="457" t="s">
        <v>1416</v>
      </c>
      <c r="L2847" s="458"/>
      <c r="M2847" s="459"/>
      <c r="N2847" s="460"/>
      <c r="O2847" s="460"/>
      <c r="P2847" s="461"/>
      <c r="Q2847" s="458"/>
      <c r="R2847" s="459"/>
      <c r="S2847" s="459"/>
      <c r="T2847" s="459"/>
      <c r="U2847" s="459"/>
      <c r="V2847" s="459"/>
      <c r="W2847" s="459"/>
      <c r="X2847" s="459"/>
      <c r="Y2847" s="462">
        <f t="shared" si="17"/>
        <v>0</v>
      </c>
      <c r="Z2847" s="463"/>
      <c r="AA2847" s="464"/>
      <c r="AB2847" s="465"/>
      <c r="AC2847" s="465"/>
      <c r="AD2847" s="465"/>
      <c r="AE2847" s="466"/>
      <c r="AF2847" s="449"/>
      <c r="AG2847" s="449"/>
      <c r="AH2847" s="449"/>
    </row>
    <row r="2848" ht="11.25" customHeight="1">
      <c r="A2848" s="450"/>
      <c r="B2848" s="451"/>
      <c r="C2848" s="452"/>
      <c r="D2848" s="452"/>
      <c r="E2848" s="453"/>
      <c r="F2848" s="453"/>
      <c r="G2848" s="454"/>
      <c r="H2848" s="454"/>
      <c r="I2848" s="455"/>
      <c r="J2848" s="456"/>
      <c r="K2848" s="467" t="s">
        <v>1417</v>
      </c>
      <c r="L2848" s="468"/>
      <c r="M2848" s="469"/>
      <c r="N2848" s="470"/>
      <c r="O2848" s="470"/>
      <c r="P2848" s="471"/>
      <c r="Q2848" s="468"/>
      <c r="R2848" s="469"/>
      <c r="S2848" s="469"/>
      <c r="T2848" s="469"/>
      <c r="U2848" s="469"/>
      <c r="V2848" s="469"/>
      <c r="W2848" s="469"/>
      <c r="X2848" s="469"/>
      <c r="Y2848" s="462">
        <f t="shared" si="17"/>
        <v>0</v>
      </c>
      <c r="Z2848" s="463"/>
      <c r="AA2848" s="464"/>
      <c r="AB2848" s="465"/>
      <c r="AC2848" s="465"/>
      <c r="AD2848" s="465"/>
      <c r="AE2848" s="466"/>
      <c r="AF2848" s="449"/>
      <c r="AG2848" s="449"/>
      <c r="AH2848" s="449"/>
    </row>
    <row r="2849" ht="11.25" customHeight="1">
      <c r="A2849" s="450"/>
      <c r="B2849" s="472"/>
      <c r="C2849" s="473"/>
      <c r="D2849" s="473"/>
      <c r="E2849" s="474"/>
      <c r="F2849" s="474"/>
      <c r="G2849" s="475"/>
      <c r="H2849" s="475"/>
      <c r="I2849" s="476"/>
      <c r="J2849" s="477"/>
      <c r="K2849" s="478" t="s">
        <v>1418</v>
      </c>
      <c r="L2849" s="479"/>
      <c r="M2849" s="480"/>
      <c r="N2849" s="481"/>
      <c r="O2849" s="481"/>
      <c r="P2849" s="482"/>
      <c r="Q2849" s="479"/>
      <c r="R2849" s="480"/>
      <c r="S2849" s="480"/>
      <c r="T2849" s="480"/>
      <c r="U2849" s="480"/>
      <c r="V2849" s="480"/>
      <c r="W2849" s="480"/>
      <c r="X2849" s="480"/>
      <c r="Y2849" s="483">
        <f t="shared" si="17"/>
        <v>0</v>
      </c>
      <c r="Z2849" s="484"/>
      <c r="AA2849" s="485"/>
      <c r="AB2849" s="486"/>
      <c r="AC2849" s="486"/>
      <c r="AD2849" s="486"/>
      <c r="AE2849" s="487"/>
      <c r="AF2849" s="449"/>
      <c r="AG2849" s="449"/>
      <c r="AH2849" s="449"/>
    </row>
    <row r="2850" ht="11.25" customHeight="1">
      <c r="A2850" s="431" t="str">
        <f>IF(B2850="","", YEAR(B2850))</f>
        <v/>
      </c>
      <c r="B2850" s="432"/>
      <c r="C2850" s="433"/>
      <c r="D2850" s="433"/>
      <c r="E2850" s="434" t="str">
        <f t="shared" ref="E2850:I2850" si="1432">IFERROR(AVERAGE(L2850:L2853),"")</f>
        <v/>
      </c>
      <c r="F2850" s="434" t="str">
        <f t="shared" si="1432"/>
        <v/>
      </c>
      <c r="G2850" s="435" t="str">
        <f t="shared" si="1432"/>
        <v/>
      </c>
      <c r="H2850" s="435" t="str">
        <f t="shared" si="1432"/>
        <v/>
      </c>
      <c r="I2850" s="436" t="str">
        <f t="shared" si="1432"/>
        <v/>
      </c>
      <c r="J2850" s="437">
        <f>SUMIFS(PRODUCTION[KG],PRODUCTION[GRADE],"3X50",PRODUCTION[DATE],B2850,PRODUCTION[BATCH],C2850,PRODUCTION[SHIFT],D2850)</f>
        <v>0</v>
      </c>
      <c r="K2850" s="438" t="s">
        <v>1414</v>
      </c>
      <c r="L2850" s="443"/>
      <c r="M2850" s="440"/>
      <c r="N2850" s="441"/>
      <c r="O2850" s="441"/>
      <c r="P2850" s="442"/>
      <c r="Q2850" s="443"/>
      <c r="R2850" s="440"/>
      <c r="S2850" s="440"/>
      <c r="T2850" s="440"/>
      <c r="U2850" s="440"/>
      <c r="V2850" s="440"/>
      <c r="W2850" s="440"/>
      <c r="X2850" s="440"/>
      <c r="Y2850" s="444">
        <f t="shared" si="17"/>
        <v>0</v>
      </c>
      <c r="Z2850" s="445"/>
      <c r="AA2850" s="446">
        <f t="shared" ref="AA2850:AE2850" si="1433">$J2850*E2850</f>
        <v>0</v>
      </c>
      <c r="AB2850" s="447">
        <f t="shared" si="1433"/>
        <v>0</v>
      </c>
      <c r="AC2850" s="447">
        <f t="shared" si="1433"/>
        <v>0</v>
      </c>
      <c r="AD2850" s="447">
        <f t="shared" si="1433"/>
        <v>0</v>
      </c>
      <c r="AE2850" s="448">
        <f t="shared" si="1433"/>
        <v>0</v>
      </c>
      <c r="AF2850" s="449"/>
      <c r="AG2850" s="449"/>
      <c r="AH2850" s="449"/>
    </row>
    <row r="2851" ht="11.25" customHeight="1">
      <c r="A2851" s="450"/>
      <c r="B2851" s="451"/>
      <c r="C2851" s="452"/>
      <c r="D2851" s="452"/>
      <c r="E2851" s="453"/>
      <c r="F2851" s="453"/>
      <c r="G2851" s="454"/>
      <c r="H2851" s="454"/>
      <c r="I2851" s="455"/>
      <c r="J2851" s="456"/>
      <c r="K2851" s="457" t="s">
        <v>1416</v>
      </c>
      <c r="L2851" s="458"/>
      <c r="M2851" s="459"/>
      <c r="N2851" s="460"/>
      <c r="O2851" s="460"/>
      <c r="P2851" s="461"/>
      <c r="Q2851" s="458"/>
      <c r="R2851" s="459"/>
      <c r="S2851" s="459"/>
      <c r="T2851" s="459"/>
      <c r="U2851" s="459"/>
      <c r="V2851" s="459"/>
      <c r="W2851" s="459"/>
      <c r="X2851" s="459"/>
      <c r="Y2851" s="462">
        <f t="shared" si="17"/>
        <v>0</v>
      </c>
      <c r="Z2851" s="463"/>
      <c r="AA2851" s="464"/>
      <c r="AB2851" s="465"/>
      <c r="AC2851" s="465"/>
      <c r="AD2851" s="465"/>
      <c r="AE2851" s="466"/>
      <c r="AF2851" s="449"/>
      <c r="AG2851" s="449"/>
      <c r="AH2851" s="449"/>
    </row>
    <row r="2852" ht="11.25" customHeight="1">
      <c r="A2852" s="450"/>
      <c r="B2852" s="451"/>
      <c r="C2852" s="452"/>
      <c r="D2852" s="452"/>
      <c r="E2852" s="453"/>
      <c r="F2852" s="453"/>
      <c r="G2852" s="454"/>
      <c r="H2852" s="454"/>
      <c r="I2852" s="455"/>
      <c r="J2852" s="456"/>
      <c r="K2852" s="467" t="s">
        <v>1417</v>
      </c>
      <c r="L2852" s="468"/>
      <c r="M2852" s="469"/>
      <c r="N2852" s="470"/>
      <c r="O2852" s="470"/>
      <c r="P2852" s="471"/>
      <c r="Q2852" s="468"/>
      <c r="R2852" s="469"/>
      <c r="S2852" s="469"/>
      <c r="T2852" s="469"/>
      <c r="U2852" s="469"/>
      <c r="V2852" s="469"/>
      <c r="W2852" s="469"/>
      <c r="X2852" s="469"/>
      <c r="Y2852" s="462">
        <f t="shared" si="17"/>
        <v>0</v>
      </c>
      <c r="Z2852" s="463"/>
      <c r="AA2852" s="464"/>
      <c r="AB2852" s="465"/>
      <c r="AC2852" s="465"/>
      <c r="AD2852" s="465"/>
      <c r="AE2852" s="466"/>
      <c r="AF2852" s="449"/>
      <c r="AG2852" s="449"/>
      <c r="AH2852" s="449"/>
    </row>
    <row r="2853" ht="11.25" customHeight="1">
      <c r="A2853" s="450"/>
      <c r="B2853" s="472"/>
      <c r="C2853" s="473"/>
      <c r="D2853" s="473"/>
      <c r="E2853" s="474"/>
      <c r="F2853" s="474"/>
      <c r="G2853" s="475"/>
      <c r="H2853" s="475"/>
      <c r="I2853" s="476"/>
      <c r="J2853" s="477"/>
      <c r="K2853" s="478" t="s">
        <v>1418</v>
      </c>
      <c r="L2853" s="479"/>
      <c r="M2853" s="480"/>
      <c r="N2853" s="481"/>
      <c r="O2853" s="481"/>
      <c r="P2853" s="482"/>
      <c r="Q2853" s="479"/>
      <c r="R2853" s="480"/>
      <c r="S2853" s="480"/>
      <c r="T2853" s="480"/>
      <c r="U2853" s="480"/>
      <c r="V2853" s="480"/>
      <c r="W2853" s="480"/>
      <c r="X2853" s="480"/>
      <c r="Y2853" s="483">
        <f t="shared" si="17"/>
        <v>0</v>
      </c>
      <c r="Z2853" s="484"/>
      <c r="AA2853" s="485"/>
      <c r="AB2853" s="486"/>
      <c r="AC2853" s="486"/>
      <c r="AD2853" s="486"/>
      <c r="AE2853" s="487"/>
      <c r="AF2853" s="449"/>
      <c r="AG2853" s="449"/>
      <c r="AH2853" s="449"/>
    </row>
    <row r="2854" ht="11.25" customHeight="1">
      <c r="A2854" s="431" t="str">
        <f>IF(B2854="","", YEAR(B2854))</f>
        <v/>
      </c>
      <c r="B2854" s="432"/>
      <c r="C2854" s="433"/>
      <c r="D2854" s="433"/>
      <c r="E2854" s="434" t="str">
        <f t="shared" ref="E2854:I2854" si="1434">IFERROR(AVERAGE(L2854:L2857),"")</f>
        <v/>
      </c>
      <c r="F2854" s="434" t="str">
        <f t="shared" si="1434"/>
        <v/>
      </c>
      <c r="G2854" s="435" t="str">
        <f t="shared" si="1434"/>
        <v/>
      </c>
      <c r="H2854" s="435" t="str">
        <f t="shared" si="1434"/>
        <v/>
      </c>
      <c r="I2854" s="436" t="str">
        <f t="shared" si="1434"/>
        <v/>
      </c>
      <c r="J2854" s="437">
        <f>SUMIFS(PRODUCTION[KG],PRODUCTION[GRADE],"3X50",PRODUCTION[DATE],B2854,PRODUCTION[BATCH],C2854,PRODUCTION[SHIFT],D2854)</f>
        <v>0</v>
      </c>
      <c r="K2854" s="438" t="s">
        <v>1414</v>
      </c>
      <c r="L2854" s="443"/>
      <c r="M2854" s="440"/>
      <c r="N2854" s="441"/>
      <c r="O2854" s="441"/>
      <c r="P2854" s="442"/>
      <c r="Q2854" s="443"/>
      <c r="R2854" s="440"/>
      <c r="S2854" s="440"/>
      <c r="T2854" s="440"/>
      <c r="U2854" s="440"/>
      <c r="V2854" s="440"/>
      <c r="W2854" s="440"/>
      <c r="X2854" s="440"/>
      <c r="Y2854" s="444">
        <f t="shared" si="17"/>
        <v>0</v>
      </c>
      <c r="Z2854" s="445"/>
      <c r="AA2854" s="446">
        <f t="shared" ref="AA2854:AE2854" si="1435">$J2854*E2854</f>
        <v>0</v>
      </c>
      <c r="AB2854" s="447">
        <f t="shared" si="1435"/>
        <v>0</v>
      </c>
      <c r="AC2854" s="447">
        <f t="shared" si="1435"/>
        <v>0</v>
      </c>
      <c r="AD2854" s="447">
        <f t="shared" si="1435"/>
        <v>0</v>
      </c>
      <c r="AE2854" s="448">
        <f t="shared" si="1435"/>
        <v>0</v>
      </c>
      <c r="AF2854" s="449"/>
      <c r="AG2854" s="449"/>
      <c r="AH2854" s="449"/>
    </row>
    <row r="2855" ht="11.25" customHeight="1">
      <c r="A2855" s="450"/>
      <c r="B2855" s="451"/>
      <c r="C2855" s="452"/>
      <c r="D2855" s="452"/>
      <c r="E2855" s="453"/>
      <c r="F2855" s="453"/>
      <c r="G2855" s="454"/>
      <c r="H2855" s="454"/>
      <c r="I2855" s="455"/>
      <c r="J2855" s="456"/>
      <c r="K2855" s="457" t="s">
        <v>1416</v>
      </c>
      <c r="L2855" s="458"/>
      <c r="M2855" s="459"/>
      <c r="N2855" s="460"/>
      <c r="O2855" s="460"/>
      <c r="P2855" s="461"/>
      <c r="Q2855" s="458"/>
      <c r="R2855" s="459"/>
      <c r="S2855" s="459"/>
      <c r="T2855" s="459"/>
      <c r="U2855" s="459"/>
      <c r="V2855" s="459"/>
      <c r="W2855" s="459"/>
      <c r="X2855" s="459"/>
      <c r="Y2855" s="462">
        <f t="shared" si="17"/>
        <v>0</v>
      </c>
      <c r="Z2855" s="463"/>
      <c r="AA2855" s="464"/>
      <c r="AB2855" s="465"/>
      <c r="AC2855" s="465"/>
      <c r="AD2855" s="465"/>
      <c r="AE2855" s="466"/>
      <c r="AF2855" s="449"/>
      <c r="AG2855" s="449"/>
      <c r="AH2855" s="449"/>
    </row>
    <row r="2856" ht="11.25" customHeight="1">
      <c r="A2856" s="450"/>
      <c r="B2856" s="451"/>
      <c r="C2856" s="452"/>
      <c r="D2856" s="452"/>
      <c r="E2856" s="453"/>
      <c r="F2856" s="453"/>
      <c r="G2856" s="454"/>
      <c r="H2856" s="454"/>
      <c r="I2856" s="455"/>
      <c r="J2856" s="456"/>
      <c r="K2856" s="467" t="s">
        <v>1417</v>
      </c>
      <c r="L2856" s="468"/>
      <c r="M2856" s="469"/>
      <c r="N2856" s="470"/>
      <c r="O2856" s="470"/>
      <c r="P2856" s="471"/>
      <c r="Q2856" s="468"/>
      <c r="R2856" s="469"/>
      <c r="S2856" s="469"/>
      <c r="T2856" s="469"/>
      <c r="U2856" s="469"/>
      <c r="V2856" s="469"/>
      <c r="W2856" s="469"/>
      <c r="X2856" s="469"/>
      <c r="Y2856" s="462">
        <f t="shared" si="17"/>
        <v>0</v>
      </c>
      <c r="Z2856" s="463"/>
      <c r="AA2856" s="464"/>
      <c r="AB2856" s="465"/>
      <c r="AC2856" s="465"/>
      <c r="AD2856" s="465"/>
      <c r="AE2856" s="466"/>
      <c r="AF2856" s="449"/>
      <c r="AG2856" s="449"/>
      <c r="AH2856" s="449"/>
    </row>
    <row r="2857" ht="11.25" customHeight="1">
      <c r="A2857" s="450"/>
      <c r="B2857" s="472"/>
      <c r="C2857" s="473"/>
      <c r="D2857" s="473"/>
      <c r="E2857" s="474"/>
      <c r="F2857" s="474"/>
      <c r="G2857" s="475"/>
      <c r="H2857" s="475"/>
      <c r="I2857" s="476"/>
      <c r="J2857" s="477"/>
      <c r="K2857" s="478" t="s">
        <v>1418</v>
      </c>
      <c r="L2857" s="479"/>
      <c r="M2857" s="480"/>
      <c r="N2857" s="481"/>
      <c r="O2857" s="481"/>
      <c r="P2857" s="482"/>
      <c r="Q2857" s="479"/>
      <c r="R2857" s="480"/>
      <c r="S2857" s="480"/>
      <c r="T2857" s="480"/>
      <c r="U2857" s="480"/>
      <c r="V2857" s="480"/>
      <c r="W2857" s="480"/>
      <c r="X2857" s="480"/>
      <c r="Y2857" s="483">
        <f t="shared" si="17"/>
        <v>0</v>
      </c>
      <c r="Z2857" s="484"/>
      <c r="AA2857" s="485"/>
      <c r="AB2857" s="486"/>
      <c r="AC2857" s="486"/>
      <c r="AD2857" s="486"/>
      <c r="AE2857" s="487"/>
      <c r="AF2857" s="449"/>
      <c r="AG2857" s="449"/>
      <c r="AH2857" s="449"/>
    </row>
    <row r="2858" ht="11.25" customHeight="1">
      <c r="A2858" s="431" t="str">
        <f>IF(B2858="","", YEAR(B2858))</f>
        <v/>
      </c>
      <c r="B2858" s="432"/>
      <c r="C2858" s="433"/>
      <c r="D2858" s="433"/>
      <c r="E2858" s="434" t="str">
        <f t="shared" ref="E2858:I2858" si="1436">IFERROR(AVERAGE(L2858:L2861),"")</f>
        <v/>
      </c>
      <c r="F2858" s="434" t="str">
        <f t="shared" si="1436"/>
        <v/>
      </c>
      <c r="G2858" s="435" t="str">
        <f t="shared" si="1436"/>
        <v/>
      </c>
      <c r="H2858" s="435" t="str">
        <f t="shared" si="1436"/>
        <v/>
      </c>
      <c r="I2858" s="436" t="str">
        <f t="shared" si="1436"/>
        <v/>
      </c>
      <c r="J2858" s="437">
        <f>SUMIFS(PRODUCTION[KG],PRODUCTION[GRADE],"3X50",PRODUCTION[DATE],B2858,PRODUCTION[BATCH],C2858,PRODUCTION[SHIFT],D2858)</f>
        <v>0</v>
      </c>
      <c r="K2858" s="438" t="s">
        <v>1414</v>
      </c>
      <c r="L2858" s="443"/>
      <c r="M2858" s="440"/>
      <c r="N2858" s="441"/>
      <c r="O2858" s="441"/>
      <c r="P2858" s="442"/>
      <c r="Q2858" s="443"/>
      <c r="R2858" s="440"/>
      <c r="S2858" s="440"/>
      <c r="T2858" s="440"/>
      <c r="U2858" s="440"/>
      <c r="V2858" s="440"/>
      <c r="W2858" s="440"/>
      <c r="X2858" s="440"/>
      <c r="Y2858" s="444">
        <f t="shared" si="17"/>
        <v>0</v>
      </c>
      <c r="Z2858" s="445"/>
      <c r="AA2858" s="446">
        <f t="shared" ref="AA2858:AE2858" si="1437">$J2858*E2858</f>
        <v>0</v>
      </c>
      <c r="AB2858" s="447">
        <f t="shared" si="1437"/>
        <v>0</v>
      </c>
      <c r="AC2858" s="447">
        <f t="shared" si="1437"/>
        <v>0</v>
      </c>
      <c r="AD2858" s="447">
        <f t="shared" si="1437"/>
        <v>0</v>
      </c>
      <c r="AE2858" s="448">
        <f t="shared" si="1437"/>
        <v>0</v>
      </c>
      <c r="AF2858" s="449"/>
      <c r="AG2858" s="449"/>
      <c r="AH2858" s="449"/>
    </row>
    <row r="2859" ht="11.25" customHeight="1">
      <c r="A2859" s="450"/>
      <c r="B2859" s="451"/>
      <c r="C2859" s="452"/>
      <c r="D2859" s="452"/>
      <c r="E2859" s="453"/>
      <c r="F2859" s="453"/>
      <c r="G2859" s="454"/>
      <c r="H2859" s="454"/>
      <c r="I2859" s="455"/>
      <c r="J2859" s="456"/>
      <c r="K2859" s="457" t="s">
        <v>1416</v>
      </c>
      <c r="L2859" s="458"/>
      <c r="M2859" s="459"/>
      <c r="N2859" s="460"/>
      <c r="O2859" s="460"/>
      <c r="P2859" s="461"/>
      <c r="Q2859" s="458"/>
      <c r="R2859" s="459"/>
      <c r="S2859" s="459"/>
      <c r="T2859" s="459"/>
      <c r="U2859" s="459"/>
      <c r="V2859" s="459"/>
      <c r="W2859" s="459"/>
      <c r="X2859" s="459"/>
      <c r="Y2859" s="462">
        <f t="shared" si="17"/>
        <v>0</v>
      </c>
      <c r="Z2859" s="463"/>
      <c r="AA2859" s="464"/>
      <c r="AB2859" s="465"/>
      <c r="AC2859" s="465"/>
      <c r="AD2859" s="465"/>
      <c r="AE2859" s="466"/>
      <c r="AF2859" s="449"/>
      <c r="AG2859" s="449"/>
      <c r="AH2859" s="449"/>
    </row>
    <row r="2860" ht="11.25" customHeight="1">
      <c r="A2860" s="450"/>
      <c r="B2860" s="451"/>
      <c r="C2860" s="452"/>
      <c r="D2860" s="452"/>
      <c r="E2860" s="453"/>
      <c r="F2860" s="453"/>
      <c r="G2860" s="454"/>
      <c r="H2860" s="454"/>
      <c r="I2860" s="455"/>
      <c r="J2860" s="456"/>
      <c r="K2860" s="467" t="s">
        <v>1417</v>
      </c>
      <c r="L2860" s="468"/>
      <c r="M2860" s="469"/>
      <c r="N2860" s="470"/>
      <c r="O2860" s="470"/>
      <c r="P2860" s="471"/>
      <c r="Q2860" s="468"/>
      <c r="R2860" s="469"/>
      <c r="S2860" s="469"/>
      <c r="T2860" s="469"/>
      <c r="U2860" s="469"/>
      <c r="V2860" s="469"/>
      <c r="W2860" s="469"/>
      <c r="X2860" s="469"/>
      <c r="Y2860" s="462">
        <f t="shared" si="17"/>
        <v>0</v>
      </c>
      <c r="Z2860" s="463"/>
      <c r="AA2860" s="464"/>
      <c r="AB2860" s="465"/>
      <c r="AC2860" s="465"/>
      <c r="AD2860" s="465"/>
      <c r="AE2860" s="466"/>
      <c r="AF2860" s="449"/>
      <c r="AG2860" s="449"/>
      <c r="AH2860" s="449"/>
    </row>
    <row r="2861" ht="11.25" customHeight="1">
      <c r="A2861" s="450"/>
      <c r="B2861" s="472"/>
      <c r="C2861" s="473"/>
      <c r="D2861" s="473"/>
      <c r="E2861" s="474"/>
      <c r="F2861" s="474"/>
      <c r="G2861" s="475"/>
      <c r="H2861" s="475"/>
      <c r="I2861" s="476"/>
      <c r="J2861" s="477"/>
      <c r="K2861" s="478" t="s">
        <v>1418</v>
      </c>
      <c r="L2861" s="479"/>
      <c r="M2861" s="480"/>
      <c r="N2861" s="481"/>
      <c r="O2861" s="481"/>
      <c r="P2861" s="482"/>
      <c r="Q2861" s="479"/>
      <c r="R2861" s="480"/>
      <c r="S2861" s="480"/>
      <c r="T2861" s="480"/>
      <c r="U2861" s="480"/>
      <c r="V2861" s="480"/>
      <c r="W2861" s="480"/>
      <c r="X2861" s="480"/>
      <c r="Y2861" s="483">
        <f t="shared" si="17"/>
        <v>0</v>
      </c>
      <c r="Z2861" s="484"/>
      <c r="AA2861" s="485"/>
      <c r="AB2861" s="486"/>
      <c r="AC2861" s="486"/>
      <c r="AD2861" s="486"/>
      <c r="AE2861" s="487"/>
      <c r="AF2861" s="449"/>
      <c r="AG2861" s="449"/>
      <c r="AH2861" s="449"/>
    </row>
    <row r="2862" ht="11.25" customHeight="1">
      <c r="A2862" s="431" t="str">
        <f>IF(B2862="","", YEAR(B2862))</f>
        <v/>
      </c>
      <c r="B2862" s="432"/>
      <c r="C2862" s="433"/>
      <c r="D2862" s="433"/>
      <c r="E2862" s="434" t="str">
        <f t="shared" ref="E2862:I2862" si="1438">IFERROR(AVERAGE(L2862:L2865),"")</f>
        <v/>
      </c>
      <c r="F2862" s="434" t="str">
        <f t="shared" si="1438"/>
        <v/>
      </c>
      <c r="G2862" s="435" t="str">
        <f t="shared" si="1438"/>
        <v/>
      </c>
      <c r="H2862" s="435" t="str">
        <f t="shared" si="1438"/>
        <v/>
      </c>
      <c r="I2862" s="436" t="str">
        <f t="shared" si="1438"/>
        <v/>
      </c>
      <c r="J2862" s="437">
        <f>SUMIFS(PRODUCTION[KG],PRODUCTION[GRADE],"3X50",PRODUCTION[DATE],B2862,PRODUCTION[BATCH],C2862,PRODUCTION[SHIFT],D2862)</f>
        <v>0</v>
      </c>
      <c r="K2862" s="438" t="s">
        <v>1414</v>
      </c>
      <c r="L2862" s="443"/>
      <c r="M2862" s="440"/>
      <c r="N2862" s="441"/>
      <c r="O2862" s="441"/>
      <c r="P2862" s="442"/>
      <c r="Q2862" s="443"/>
      <c r="R2862" s="440"/>
      <c r="S2862" s="440"/>
      <c r="T2862" s="440"/>
      <c r="U2862" s="440"/>
      <c r="V2862" s="440"/>
      <c r="W2862" s="440"/>
      <c r="X2862" s="440"/>
      <c r="Y2862" s="444">
        <f t="shared" si="17"/>
        <v>0</v>
      </c>
      <c r="Z2862" s="445"/>
      <c r="AA2862" s="446">
        <f t="shared" ref="AA2862:AE2862" si="1439">$J2862*E2862</f>
        <v>0</v>
      </c>
      <c r="AB2862" s="447">
        <f t="shared" si="1439"/>
        <v>0</v>
      </c>
      <c r="AC2862" s="447">
        <f t="shared" si="1439"/>
        <v>0</v>
      </c>
      <c r="AD2862" s="447">
        <f t="shared" si="1439"/>
        <v>0</v>
      </c>
      <c r="AE2862" s="448">
        <f t="shared" si="1439"/>
        <v>0</v>
      </c>
      <c r="AF2862" s="449"/>
      <c r="AG2862" s="449"/>
      <c r="AH2862" s="449"/>
    </row>
    <row r="2863" ht="11.25" customHeight="1">
      <c r="A2863" s="450"/>
      <c r="B2863" s="451"/>
      <c r="C2863" s="452"/>
      <c r="D2863" s="452"/>
      <c r="E2863" s="453"/>
      <c r="F2863" s="453"/>
      <c r="G2863" s="454"/>
      <c r="H2863" s="454"/>
      <c r="I2863" s="455"/>
      <c r="J2863" s="456"/>
      <c r="K2863" s="457" t="s">
        <v>1416</v>
      </c>
      <c r="L2863" s="458"/>
      <c r="M2863" s="459"/>
      <c r="N2863" s="460"/>
      <c r="O2863" s="460"/>
      <c r="P2863" s="461"/>
      <c r="Q2863" s="458"/>
      <c r="R2863" s="459"/>
      <c r="S2863" s="459"/>
      <c r="T2863" s="459"/>
      <c r="U2863" s="459"/>
      <c r="V2863" s="459"/>
      <c r="W2863" s="459"/>
      <c r="X2863" s="459"/>
      <c r="Y2863" s="462">
        <f t="shared" si="17"/>
        <v>0</v>
      </c>
      <c r="Z2863" s="463"/>
      <c r="AA2863" s="464"/>
      <c r="AB2863" s="465"/>
      <c r="AC2863" s="465"/>
      <c r="AD2863" s="465"/>
      <c r="AE2863" s="466"/>
      <c r="AF2863" s="449"/>
      <c r="AG2863" s="449"/>
      <c r="AH2863" s="449"/>
    </row>
    <row r="2864" ht="11.25" customHeight="1">
      <c r="A2864" s="450"/>
      <c r="B2864" s="451"/>
      <c r="C2864" s="452"/>
      <c r="D2864" s="452"/>
      <c r="E2864" s="453"/>
      <c r="F2864" s="453"/>
      <c r="G2864" s="454"/>
      <c r="H2864" s="454"/>
      <c r="I2864" s="455"/>
      <c r="J2864" s="456"/>
      <c r="K2864" s="467" t="s">
        <v>1417</v>
      </c>
      <c r="L2864" s="468"/>
      <c r="M2864" s="469"/>
      <c r="N2864" s="470"/>
      <c r="O2864" s="470"/>
      <c r="P2864" s="471"/>
      <c r="Q2864" s="468"/>
      <c r="R2864" s="469"/>
      <c r="S2864" s="469"/>
      <c r="T2864" s="469"/>
      <c r="U2864" s="469"/>
      <c r="V2864" s="469"/>
      <c r="W2864" s="469"/>
      <c r="X2864" s="469"/>
      <c r="Y2864" s="462">
        <f t="shared" si="17"/>
        <v>0</v>
      </c>
      <c r="Z2864" s="463"/>
      <c r="AA2864" s="464"/>
      <c r="AB2864" s="465"/>
      <c r="AC2864" s="465"/>
      <c r="AD2864" s="465"/>
      <c r="AE2864" s="466"/>
      <c r="AF2864" s="449"/>
      <c r="AG2864" s="449"/>
      <c r="AH2864" s="449"/>
    </row>
    <row r="2865" ht="11.25" customHeight="1">
      <c r="A2865" s="450"/>
      <c r="B2865" s="472"/>
      <c r="C2865" s="473"/>
      <c r="D2865" s="473"/>
      <c r="E2865" s="474"/>
      <c r="F2865" s="474"/>
      <c r="G2865" s="475"/>
      <c r="H2865" s="475"/>
      <c r="I2865" s="476"/>
      <c r="J2865" s="477"/>
      <c r="K2865" s="478" t="s">
        <v>1418</v>
      </c>
      <c r="L2865" s="479"/>
      <c r="M2865" s="480"/>
      <c r="N2865" s="481"/>
      <c r="O2865" s="481"/>
      <c r="P2865" s="482"/>
      <c r="Q2865" s="479"/>
      <c r="R2865" s="480"/>
      <c r="S2865" s="480"/>
      <c r="T2865" s="480"/>
      <c r="U2865" s="480"/>
      <c r="V2865" s="480"/>
      <c r="W2865" s="480"/>
      <c r="X2865" s="480"/>
      <c r="Y2865" s="483">
        <f t="shared" si="17"/>
        <v>0</v>
      </c>
      <c r="Z2865" s="484"/>
      <c r="AA2865" s="485"/>
      <c r="AB2865" s="486"/>
      <c r="AC2865" s="486"/>
      <c r="AD2865" s="486"/>
      <c r="AE2865" s="487"/>
      <c r="AF2865" s="449"/>
      <c r="AG2865" s="449"/>
      <c r="AH2865" s="449"/>
    </row>
    <row r="2866" ht="11.25" customHeight="1">
      <c r="A2866" s="431" t="str">
        <f>IF(B2866="","", YEAR(B2866))</f>
        <v/>
      </c>
      <c r="B2866" s="432"/>
      <c r="C2866" s="433"/>
      <c r="D2866" s="433"/>
      <c r="E2866" s="434" t="str">
        <f t="shared" ref="E2866:I2866" si="1440">IFERROR(AVERAGE(L2866:L2869),"")</f>
        <v/>
      </c>
      <c r="F2866" s="434" t="str">
        <f t="shared" si="1440"/>
        <v/>
      </c>
      <c r="G2866" s="435" t="str">
        <f t="shared" si="1440"/>
        <v/>
      </c>
      <c r="H2866" s="435" t="str">
        <f t="shared" si="1440"/>
        <v/>
      </c>
      <c r="I2866" s="436" t="str">
        <f t="shared" si="1440"/>
        <v/>
      </c>
      <c r="J2866" s="437">
        <f>SUMIFS(PRODUCTION[KG],PRODUCTION[GRADE],"3X50",PRODUCTION[DATE],B2866,PRODUCTION[BATCH],C2866,PRODUCTION[SHIFT],D2866)</f>
        <v>0</v>
      </c>
      <c r="K2866" s="438" t="s">
        <v>1414</v>
      </c>
      <c r="L2866" s="443"/>
      <c r="M2866" s="440"/>
      <c r="N2866" s="441"/>
      <c r="O2866" s="441"/>
      <c r="P2866" s="442"/>
      <c r="Q2866" s="443"/>
      <c r="R2866" s="440"/>
      <c r="S2866" s="440"/>
      <c r="T2866" s="440"/>
      <c r="U2866" s="440"/>
      <c r="V2866" s="440"/>
      <c r="W2866" s="440"/>
      <c r="X2866" s="440"/>
      <c r="Y2866" s="444">
        <f t="shared" si="17"/>
        <v>0</v>
      </c>
      <c r="Z2866" s="445"/>
      <c r="AA2866" s="446">
        <f t="shared" ref="AA2866:AE2866" si="1441">$J2866*E2866</f>
        <v>0</v>
      </c>
      <c r="AB2866" s="447">
        <f t="shared" si="1441"/>
        <v>0</v>
      </c>
      <c r="AC2866" s="447">
        <f t="shared" si="1441"/>
        <v>0</v>
      </c>
      <c r="AD2866" s="447">
        <f t="shared" si="1441"/>
        <v>0</v>
      </c>
      <c r="AE2866" s="448">
        <f t="shared" si="1441"/>
        <v>0</v>
      </c>
      <c r="AF2866" s="449"/>
      <c r="AG2866" s="449"/>
      <c r="AH2866" s="449"/>
    </row>
    <row r="2867" ht="11.25" customHeight="1">
      <c r="A2867" s="450"/>
      <c r="B2867" s="451"/>
      <c r="C2867" s="452"/>
      <c r="D2867" s="452"/>
      <c r="E2867" s="453"/>
      <c r="F2867" s="453"/>
      <c r="G2867" s="454"/>
      <c r="H2867" s="454"/>
      <c r="I2867" s="455"/>
      <c r="J2867" s="456"/>
      <c r="K2867" s="457" t="s">
        <v>1416</v>
      </c>
      <c r="L2867" s="458"/>
      <c r="M2867" s="459"/>
      <c r="N2867" s="460"/>
      <c r="O2867" s="460"/>
      <c r="P2867" s="461"/>
      <c r="Q2867" s="458"/>
      <c r="R2867" s="459"/>
      <c r="S2867" s="459"/>
      <c r="T2867" s="459"/>
      <c r="U2867" s="459"/>
      <c r="V2867" s="459"/>
      <c r="W2867" s="459"/>
      <c r="X2867" s="459"/>
      <c r="Y2867" s="462">
        <f t="shared" si="17"/>
        <v>0</v>
      </c>
      <c r="Z2867" s="463"/>
      <c r="AA2867" s="464"/>
      <c r="AB2867" s="465"/>
      <c r="AC2867" s="465"/>
      <c r="AD2867" s="465"/>
      <c r="AE2867" s="466"/>
      <c r="AF2867" s="449"/>
      <c r="AG2867" s="449"/>
      <c r="AH2867" s="449"/>
    </row>
    <row r="2868" ht="11.25" customHeight="1">
      <c r="A2868" s="450"/>
      <c r="B2868" s="451"/>
      <c r="C2868" s="452"/>
      <c r="D2868" s="452"/>
      <c r="E2868" s="453"/>
      <c r="F2868" s="453"/>
      <c r="G2868" s="454"/>
      <c r="H2868" s="454"/>
      <c r="I2868" s="455"/>
      <c r="J2868" s="456"/>
      <c r="K2868" s="467" t="s">
        <v>1417</v>
      </c>
      <c r="L2868" s="468"/>
      <c r="M2868" s="469"/>
      <c r="N2868" s="470"/>
      <c r="O2868" s="470"/>
      <c r="P2868" s="471"/>
      <c r="Q2868" s="468"/>
      <c r="R2868" s="469"/>
      <c r="S2868" s="469"/>
      <c r="T2868" s="469"/>
      <c r="U2868" s="469"/>
      <c r="V2868" s="469"/>
      <c r="W2868" s="469"/>
      <c r="X2868" s="469"/>
      <c r="Y2868" s="462">
        <f t="shared" si="17"/>
        <v>0</v>
      </c>
      <c r="Z2868" s="463"/>
      <c r="AA2868" s="464"/>
      <c r="AB2868" s="465"/>
      <c r="AC2868" s="465"/>
      <c r="AD2868" s="465"/>
      <c r="AE2868" s="466"/>
      <c r="AF2868" s="449"/>
      <c r="AG2868" s="449"/>
      <c r="AH2868" s="449"/>
    </row>
    <row r="2869" ht="11.25" customHeight="1">
      <c r="A2869" s="450"/>
      <c r="B2869" s="472"/>
      <c r="C2869" s="473"/>
      <c r="D2869" s="473"/>
      <c r="E2869" s="474"/>
      <c r="F2869" s="474"/>
      <c r="G2869" s="475"/>
      <c r="H2869" s="475"/>
      <c r="I2869" s="476"/>
      <c r="J2869" s="477"/>
      <c r="K2869" s="478" t="s">
        <v>1418</v>
      </c>
      <c r="L2869" s="479"/>
      <c r="M2869" s="480"/>
      <c r="N2869" s="481"/>
      <c r="O2869" s="481"/>
      <c r="P2869" s="482"/>
      <c r="Q2869" s="479"/>
      <c r="R2869" s="480"/>
      <c r="S2869" s="480"/>
      <c r="T2869" s="480"/>
      <c r="U2869" s="480"/>
      <c r="V2869" s="480"/>
      <c r="W2869" s="480"/>
      <c r="X2869" s="480"/>
      <c r="Y2869" s="483">
        <f t="shared" si="17"/>
        <v>0</v>
      </c>
      <c r="Z2869" s="484"/>
      <c r="AA2869" s="485"/>
      <c r="AB2869" s="486"/>
      <c r="AC2869" s="486"/>
      <c r="AD2869" s="486"/>
      <c r="AE2869" s="487"/>
      <c r="AF2869" s="449"/>
      <c r="AG2869" s="449"/>
      <c r="AH2869" s="449"/>
    </row>
    <row r="2870" ht="11.25" customHeight="1">
      <c r="A2870" s="431" t="str">
        <f>IF(B2870="","", YEAR(B2870))</f>
        <v/>
      </c>
      <c r="B2870" s="432"/>
      <c r="C2870" s="433"/>
      <c r="D2870" s="433"/>
      <c r="E2870" s="434" t="str">
        <f t="shared" ref="E2870:I2870" si="1442">IFERROR(AVERAGE(L2870:L2873),"")</f>
        <v/>
      </c>
      <c r="F2870" s="434" t="str">
        <f t="shared" si="1442"/>
        <v/>
      </c>
      <c r="G2870" s="435" t="str">
        <f t="shared" si="1442"/>
        <v/>
      </c>
      <c r="H2870" s="435" t="str">
        <f t="shared" si="1442"/>
        <v/>
      </c>
      <c r="I2870" s="436" t="str">
        <f t="shared" si="1442"/>
        <v/>
      </c>
      <c r="J2870" s="437">
        <f>SUMIFS(PRODUCTION[KG],PRODUCTION[GRADE],"3X50",PRODUCTION[DATE],B2870,PRODUCTION[BATCH],C2870,PRODUCTION[SHIFT],D2870)</f>
        <v>0</v>
      </c>
      <c r="K2870" s="438" t="s">
        <v>1414</v>
      </c>
      <c r="L2870" s="443"/>
      <c r="M2870" s="440"/>
      <c r="N2870" s="441"/>
      <c r="O2870" s="441"/>
      <c r="P2870" s="442"/>
      <c r="Q2870" s="443"/>
      <c r="R2870" s="440"/>
      <c r="S2870" s="440"/>
      <c r="T2870" s="440"/>
      <c r="U2870" s="440"/>
      <c r="V2870" s="440"/>
      <c r="W2870" s="440"/>
      <c r="X2870" s="440"/>
      <c r="Y2870" s="444">
        <f t="shared" si="17"/>
        <v>0</v>
      </c>
      <c r="Z2870" s="445"/>
      <c r="AA2870" s="446">
        <f t="shared" ref="AA2870:AE2870" si="1443">$J2870*E2870</f>
        <v>0</v>
      </c>
      <c r="AB2870" s="447">
        <f t="shared" si="1443"/>
        <v>0</v>
      </c>
      <c r="AC2870" s="447">
        <f t="shared" si="1443"/>
        <v>0</v>
      </c>
      <c r="AD2870" s="447">
        <f t="shared" si="1443"/>
        <v>0</v>
      </c>
      <c r="AE2870" s="448">
        <f t="shared" si="1443"/>
        <v>0</v>
      </c>
      <c r="AF2870" s="449"/>
      <c r="AG2870" s="449"/>
      <c r="AH2870" s="449"/>
    </row>
    <row r="2871" ht="11.25" customHeight="1">
      <c r="A2871" s="450"/>
      <c r="B2871" s="451"/>
      <c r="C2871" s="452"/>
      <c r="D2871" s="452"/>
      <c r="E2871" s="453"/>
      <c r="F2871" s="453"/>
      <c r="G2871" s="454"/>
      <c r="H2871" s="454"/>
      <c r="I2871" s="455"/>
      <c r="J2871" s="456"/>
      <c r="K2871" s="457" t="s">
        <v>1416</v>
      </c>
      <c r="L2871" s="458"/>
      <c r="M2871" s="459"/>
      <c r="N2871" s="460"/>
      <c r="O2871" s="460"/>
      <c r="P2871" s="461"/>
      <c r="Q2871" s="458"/>
      <c r="R2871" s="459"/>
      <c r="S2871" s="459"/>
      <c r="T2871" s="459"/>
      <c r="U2871" s="459"/>
      <c r="V2871" s="459"/>
      <c r="W2871" s="459"/>
      <c r="X2871" s="459"/>
      <c r="Y2871" s="462">
        <f t="shared" si="17"/>
        <v>0</v>
      </c>
      <c r="Z2871" s="463"/>
      <c r="AA2871" s="464"/>
      <c r="AB2871" s="465"/>
      <c r="AC2871" s="465"/>
      <c r="AD2871" s="465"/>
      <c r="AE2871" s="466"/>
      <c r="AF2871" s="449"/>
      <c r="AG2871" s="449"/>
      <c r="AH2871" s="449"/>
    </row>
    <row r="2872" ht="11.25" customHeight="1">
      <c r="A2872" s="450"/>
      <c r="B2872" s="451"/>
      <c r="C2872" s="452"/>
      <c r="D2872" s="452"/>
      <c r="E2872" s="453"/>
      <c r="F2872" s="453"/>
      <c r="G2872" s="454"/>
      <c r="H2872" s="454"/>
      <c r="I2872" s="455"/>
      <c r="J2872" s="456"/>
      <c r="K2872" s="467" t="s">
        <v>1417</v>
      </c>
      <c r="L2872" s="468"/>
      <c r="M2872" s="469"/>
      <c r="N2872" s="470"/>
      <c r="O2872" s="470"/>
      <c r="P2872" s="471"/>
      <c r="Q2872" s="468"/>
      <c r="R2872" s="469"/>
      <c r="S2872" s="469"/>
      <c r="T2872" s="469"/>
      <c r="U2872" s="469"/>
      <c r="V2872" s="469"/>
      <c r="W2872" s="469"/>
      <c r="X2872" s="469"/>
      <c r="Y2872" s="462">
        <f t="shared" si="17"/>
        <v>0</v>
      </c>
      <c r="Z2872" s="463"/>
      <c r="AA2872" s="464"/>
      <c r="AB2872" s="465"/>
      <c r="AC2872" s="465"/>
      <c r="AD2872" s="465"/>
      <c r="AE2872" s="466"/>
      <c r="AF2872" s="449"/>
      <c r="AG2872" s="449"/>
      <c r="AH2872" s="449"/>
    </row>
    <row r="2873" ht="11.25" customHeight="1">
      <c r="A2873" s="450"/>
      <c r="B2873" s="472"/>
      <c r="C2873" s="473"/>
      <c r="D2873" s="473"/>
      <c r="E2873" s="474"/>
      <c r="F2873" s="474"/>
      <c r="G2873" s="475"/>
      <c r="H2873" s="475"/>
      <c r="I2873" s="476"/>
      <c r="J2873" s="477"/>
      <c r="K2873" s="478" t="s">
        <v>1418</v>
      </c>
      <c r="L2873" s="479"/>
      <c r="M2873" s="480"/>
      <c r="N2873" s="481"/>
      <c r="O2873" s="481"/>
      <c r="P2873" s="482"/>
      <c r="Q2873" s="479"/>
      <c r="R2873" s="480"/>
      <c r="S2873" s="480"/>
      <c r="T2873" s="480"/>
      <c r="U2873" s="480"/>
      <c r="V2873" s="480"/>
      <c r="W2873" s="480"/>
      <c r="X2873" s="480"/>
      <c r="Y2873" s="483">
        <f t="shared" si="17"/>
        <v>0</v>
      </c>
      <c r="Z2873" s="484"/>
      <c r="AA2873" s="485"/>
      <c r="AB2873" s="486"/>
      <c r="AC2873" s="486"/>
      <c r="AD2873" s="486"/>
      <c r="AE2873" s="487"/>
      <c r="AF2873" s="449"/>
      <c r="AG2873" s="449"/>
      <c r="AH2873" s="449"/>
    </row>
    <row r="2874" ht="11.25" customHeight="1">
      <c r="A2874" s="431" t="str">
        <f>IF(B2874="","", YEAR(B2874))</f>
        <v/>
      </c>
      <c r="B2874" s="432"/>
      <c r="C2874" s="433"/>
      <c r="D2874" s="433"/>
      <c r="E2874" s="434" t="str">
        <f t="shared" ref="E2874:I2874" si="1444">IFERROR(AVERAGE(L2874:L2877),"")</f>
        <v/>
      </c>
      <c r="F2874" s="434" t="str">
        <f t="shared" si="1444"/>
        <v/>
      </c>
      <c r="G2874" s="435" t="str">
        <f t="shared" si="1444"/>
        <v/>
      </c>
      <c r="H2874" s="435" t="str">
        <f t="shared" si="1444"/>
        <v/>
      </c>
      <c r="I2874" s="436" t="str">
        <f t="shared" si="1444"/>
        <v/>
      </c>
      <c r="J2874" s="437">
        <f>SUMIFS(PRODUCTION[KG],PRODUCTION[GRADE],"3X50",PRODUCTION[DATE],B2874,PRODUCTION[BATCH],C2874,PRODUCTION[SHIFT],D2874)</f>
        <v>0</v>
      </c>
      <c r="K2874" s="438" t="s">
        <v>1414</v>
      </c>
      <c r="L2874" s="443"/>
      <c r="M2874" s="440"/>
      <c r="N2874" s="441"/>
      <c r="O2874" s="441"/>
      <c r="P2874" s="442"/>
      <c r="Q2874" s="443"/>
      <c r="R2874" s="440"/>
      <c r="S2874" s="440"/>
      <c r="T2874" s="440"/>
      <c r="U2874" s="440"/>
      <c r="V2874" s="440"/>
      <c r="W2874" s="440"/>
      <c r="X2874" s="440"/>
      <c r="Y2874" s="444">
        <f t="shared" si="17"/>
        <v>0</v>
      </c>
      <c r="Z2874" s="445"/>
      <c r="AA2874" s="446">
        <f t="shared" ref="AA2874:AE2874" si="1445">$J2874*E2874</f>
        <v>0</v>
      </c>
      <c r="AB2874" s="447">
        <f t="shared" si="1445"/>
        <v>0</v>
      </c>
      <c r="AC2874" s="447">
        <f t="shared" si="1445"/>
        <v>0</v>
      </c>
      <c r="AD2874" s="447">
        <f t="shared" si="1445"/>
        <v>0</v>
      </c>
      <c r="AE2874" s="448">
        <f t="shared" si="1445"/>
        <v>0</v>
      </c>
      <c r="AF2874" s="449"/>
      <c r="AG2874" s="449"/>
      <c r="AH2874" s="449"/>
    </row>
    <row r="2875" ht="11.25" customHeight="1">
      <c r="A2875" s="450"/>
      <c r="B2875" s="451"/>
      <c r="C2875" s="452"/>
      <c r="D2875" s="452"/>
      <c r="E2875" s="453"/>
      <c r="F2875" s="453"/>
      <c r="G2875" s="454"/>
      <c r="H2875" s="454"/>
      <c r="I2875" s="455"/>
      <c r="J2875" s="456"/>
      <c r="K2875" s="457" t="s">
        <v>1416</v>
      </c>
      <c r="L2875" s="458"/>
      <c r="M2875" s="459"/>
      <c r="N2875" s="460"/>
      <c r="O2875" s="460"/>
      <c r="P2875" s="461"/>
      <c r="Q2875" s="458"/>
      <c r="R2875" s="459"/>
      <c r="S2875" s="459"/>
      <c r="T2875" s="459"/>
      <c r="U2875" s="459"/>
      <c r="V2875" s="459"/>
      <c r="W2875" s="459"/>
      <c r="X2875" s="459"/>
      <c r="Y2875" s="462">
        <f t="shared" si="17"/>
        <v>0</v>
      </c>
      <c r="Z2875" s="463"/>
      <c r="AA2875" s="464"/>
      <c r="AB2875" s="465"/>
      <c r="AC2875" s="465"/>
      <c r="AD2875" s="465"/>
      <c r="AE2875" s="466"/>
      <c r="AF2875" s="449"/>
      <c r="AG2875" s="449"/>
      <c r="AH2875" s="449"/>
    </row>
    <row r="2876" ht="11.25" customHeight="1">
      <c r="A2876" s="450"/>
      <c r="B2876" s="451"/>
      <c r="C2876" s="452"/>
      <c r="D2876" s="452"/>
      <c r="E2876" s="453"/>
      <c r="F2876" s="453"/>
      <c r="G2876" s="454"/>
      <c r="H2876" s="454"/>
      <c r="I2876" s="455"/>
      <c r="J2876" s="456"/>
      <c r="K2876" s="467" t="s">
        <v>1417</v>
      </c>
      <c r="L2876" s="468"/>
      <c r="M2876" s="469"/>
      <c r="N2876" s="470"/>
      <c r="O2876" s="470"/>
      <c r="P2876" s="471"/>
      <c r="Q2876" s="468"/>
      <c r="R2876" s="469"/>
      <c r="S2876" s="469"/>
      <c r="T2876" s="469"/>
      <c r="U2876" s="469"/>
      <c r="V2876" s="469"/>
      <c r="W2876" s="469"/>
      <c r="X2876" s="469"/>
      <c r="Y2876" s="462">
        <f t="shared" si="17"/>
        <v>0</v>
      </c>
      <c r="Z2876" s="463"/>
      <c r="AA2876" s="464"/>
      <c r="AB2876" s="465"/>
      <c r="AC2876" s="465"/>
      <c r="AD2876" s="465"/>
      <c r="AE2876" s="466"/>
      <c r="AF2876" s="449"/>
      <c r="AG2876" s="449"/>
      <c r="AH2876" s="449"/>
    </row>
    <row r="2877" ht="11.25" customHeight="1">
      <c r="A2877" s="450"/>
      <c r="B2877" s="472"/>
      <c r="C2877" s="473"/>
      <c r="D2877" s="473"/>
      <c r="E2877" s="474"/>
      <c r="F2877" s="474"/>
      <c r="G2877" s="475"/>
      <c r="H2877" s="475"/>
      <c r="I2877" s="476"/>
      <c r="J2877" s="477"/>
      <c r="K2877" s="478" t="s">
        <v>1418</v>
      </c>
      <c r="L2877" s="479"/>
      <c r="M2877" s="480"/>
      <c r="N2877" s="481"/>
      <c r="O2877" s="481"/>
      <c r="P2877" s="482"/>
      <c r="Q2877" s="479"/>
      <c r="R2877" s="480"/>
      <c r="S2877" s="480"/>
      <c r="T2877" s="480"/>
      <c r="U2877" s="480"/>
      <c r="V2877" s="480"/>
      <c r="W2877" s="480"/>
      <c r="X2877" s="480"/>
      <c r="Y2877" s="483">
        <f t="shared" si="17"/>
        <v>0</v>
      </c>
      <c r="Z2877" s="484"/>
      <c r="AA2877" s="485"/>
      <c r="AB2877" s="486"/>
      <c r="AC2877" s="486"/>
      <c r="AD2877" s="486"/>
      <c r="AE2877" s="487"/>
      <c r="AF2877" s="449"/>
      <c r="AG2877" s="449"/>
      <c r="AH2877" s="449"/>
    </row>
    <row r="2878" ht="11.25" customHeight="1">
      <c r="A2878" s="431" t="str">
        <f>IF(B2878="","", YEAR(B2878))</f>
        <v/>
      </c>
      <c r="B2878" s="432"/>
      <c r="C2878" s="433"/>
      <c r="D2878" s="433"/>
      <c r="E2878" s="434" t="str">
        <f t="shared" ref="E2878:I2878" si="1446">IFERROR(AVERAGE(L2878:L2881),"")</f>
        <v/>
      </c>
      <c r="F2878" s="434" t="str">
        <f t="shared" si="1446"/>
        <v/>
      </c>
      <c r="G2878" s="435" t="str">
        <f t="shared" si="1446"/>
        <v/>
      </c>
      <c r="H2878" s="435" t="str">
        <f t="shared" si="1446"/>
        <v/>
      </c>
      <c r="I2878" s="436" t="str">
        <f t="shared" si="1446"/>
        <v/>
      </c>
      <c r="J2878" s="437">
        <f>SUMIFS(PRODUCTION[KG],PRODUCTION[GRADE],"3X50",PRODUCTION[DATE],B2878,PRODUCTION[BATCH],C2878,PRODUCTION[SHIFT],D2878)</f>
        <v>0</v>
      </c>
      <c r="K2878" s="438" t="s">
        <v>1414</v>
      </c>
      <c r="L2878" s="443"/>
      <c r="M2878" s="440"/>
      <c r="N2878" s="441"/>
      <c r="O2878" s="441"/>
      <c r="P2878" s="442"/>
      <c r="Q2878" s="443"/>
      <c r="R2878" s="440"/>
      <c r="S2878" s="440"/>
      <c r="T2878" s="440"/>
      <c r="U2878" s="440"/>
      <c r="V2878" s="440"/>
      <c r="W2878" s="440"/>
      <c r="X2878" s="440"/>
      <c r="Y2878" s="444">
        <f t="shared" si="17"/>
        <v>0</v>
      </c>
      <c r="Z2878" s="445"/>
      <c r="AA2878" s="446">
        <f t="shared" ref="AA2878:AE2878" si="1447">$J2878*E2878</f>
        <v>0</v>
      </c>
      <c r="AB2878" s="447">
        <f t="shared" si="1447"/>
        <v>0</v>
      </c>
      <c r="AC2878" s="447">
        <f t="shared" si="1447"/>
        <v>0</v>
      </c>
      <c r="AD2878" s="447">
        <f t="shared" si="1447"/>
        <v>0</v>
      </c>
      <c r="AE2878" s="448">
        <f t="shared" si="1447"/>
        <v>0</v>
      </c>
      <c r="AF2878" s="449"/>
      <c r="AG2878" s="449"/>
      <c r="AH2878" s="449"/>
    </row>
    <row r="2879" ht="11.25" customHeight="1">
      <c r="A2879" s="450"/>
      <c r="B2879" s="451"/>
      <c r="C2879" s="452"/>
      <c r="D2879" s="452"/>
      <c r="E2879" s="453"/>
      <c r="F2879" s="453"/>
      <c r="G2879" s="454"/>
      <c r="H2879" s="454"/>
      <c r="I2879" s="455"/>
      <c r="J2879" s="456"/>
      <c r="K2879" s="457" t="s">
        <v>1416</v>
      </c>
      <c r="L2879" s="458"/>
      <c r="M2879" s="459"/>
      <c r="N2879" s="460"/>
      <c r="O2879" s="460"/>
      <c r="P2879" s="461"/>
      <c r="Q2879" s="458"/>
      <c r="R2879" s="459"/>
      <c r="S2879" s="459"/>
      <c r="T2879" s="459"/>
      <c r="U2879" s="459"/>
      <c r="V2879" s="459"/>
      <c r="W2879" s="459"/>
      <c r="X2879" s="459"/>
      <c r="Y2879" s="462">
        <f t="shared" si="17"/>
        <v>0</v>
      </c>
      <c r="Z2879" s="463"/>
      <c r="AA2879" s="464"/>
      <c r="AB2879" s="465"/>
      <c r="AC2879" s="465"/>
      <c r="AD2879" s="465"/>
      <c r="AE2879" s="466"/>
      <c r="AF2879" s="449"/>
      <c r="AG2879" s="449"/>
      <c r="AH2879" s="449"/>
    </row>
    <row r="2880" ht="11.25" customHeight="1">
      <c r="A2880" s="450"/>
      <c r="B2880" s="451"/>
      <c r="C2880" s="452"/>
      <c r="D2880" s="452"/>
      <c r="E2880" s="453"/>
      <c r="F2880" s="453"/>
      <c r="G2880" s="454"/>
      <c r="H2880" s="454"/>
      <c r="I2880" s="455"/>
      <c r="J2880" s="456"/>
      <c r="K2880" s="467" t="s">
        <v>1417</v>
      </c>
      <c r="L2880" s="468"/>
      <c r="M2880" s="469"/>
      <c r="N2880" s="470"/>
      <c r="O2880" s="470"/>
      <c r="P2880" s="471"/>
      <c r="Q2880" s="468"/>
      <c r="R2880" s="469"/>
      <c r="S2880" s="469"/>
      <c r="T2880" s="469"/>
      <c r="U2880" s="469"/>
      <c r="V2880" s="469"/>
      <c r="W2880" s="469"/>
      <c r="X2880" s="469"/>
      <c r="Y2880" s="462">
        <f t="shared" si="17"/>
        <v>0</v>
      </c>
      <c r="Z2880" s="463"/>
      <c r="AA2880" s="464"/>
      <c r="AB2880" s="465"/>
      <c r="AC2880" s="465"/>
      <c r="AD2880" s="465"/>
      <c r="AE2880" s="466"/>
      <c r="AF2880" s="449"/>
      <c r="AG2880" s="449"/>
      <c r="AH2880" s="449"/>
    </row>
    <row r="2881" ht="11.25" customHeight="1">
      <c r="A2881" s="450"/>
      <c r="B2881" s="472"/>
      <c r="C2881" s="473"/>
      <c r="D2881" s="473"/>
      <c r="E2881" s="474"/>
      <c r="F2881" s="474"/>
      <c r="G2881" s="475"/>
      <c r="H2881" s="475"/>
      <c r="I2881" s="476"/>
      <c r="J2881" s="477"/>
      <c r="K2881" s="478" t="s">
        <v>1418</v>
      </c>
      <c r="L2881" s="479"/>
      <c r="M2881" s="480"/>
      <c r="N2881" s="481"/>
      <c r="O2881" s="481"/>
      <c r="P2881" s="482"/>
      <c r="Q2881" s="479"/>
      <c r="R2881" s="480"/>
      <c r="S2881" s="480"/>
      <c r="T2881" s="480"/>
      <c r="U2881" s="480"/>
      <c r="V2881" s="480"/>
      <c r="W2881" s="480"/>
      <c r="X2881" s="480"/>
      <c r="Y2881" s="483">
        <f t="shared" si="17"/>
        <v>0</v>
      </c>
      <c r="Z2881" s="484"/>
      <c r="AA2881" s="485"/>
      <c r="AB2881" s="486"/>
      <c r="AC2881" s="486"/>
      <c r="AD2881" s="486"/>
      <c r="AE2881" s="487"/>
      <c r="AF2881" s="449"/>
      <c r="AG2881" s="449"/>
      <c r="AH2881" s="449"/>
    </row>
    <row r="2882" ht="11.25" customHeight="1">
      <c r="A2882" s="431" t="str">
        <f>IF(B2882="","", YEAR(B2882))</f>
        <v/>
      </c>
      <c r="B2882" s="432"/>
      <c r="C2882" s="433"/>
      <c r="D2882" s="433"/>
      <c r="E2882" s="434" t="str">
        <f t="shared" ref="E2882:I2882" si="1448">IFERROR(AVERAGE(L2882:L2885),"")</f>
        <v/>
      </c>
      <c r="F2882" s="434" t="str">
        <f t="shared" si="1448"/>
        <v/>
      </c>
      <c r="G2882" s="435" t="str">
        <f t="shared" si="1448"/>
        <v/>
      </c>
      <c r="H2882" s="435" t="str">
        <f t="shared" si="1448"/>
        <v/>
      </c>
      <c r="I2882" s="436" t="str">
        <f t="shared" si="1448"/>
        <v/>
      </c>
      <c r="J2882" s="437">
        <f>SUMIFS(PRODUCTION[KG],PRODUCTION[GRADE],"3X50",PRODUCTION[DATE],B2882,PRODUCTION[BATCH],C2882,PRODUCTION[SHIFT],D2882)</f>
        <v>0</v>
      </c>
      <c r="K2882" s="438" t="s">
        <v>1414</v>
      </c>
      <c r="L2882" s="443"/>
      <c r="M2882" s="440"/>
      <c r="N2882" s="441"/>
      <c r="O2882" s="441"/>
      <c r="P2882" s="442"/>
      <c r="Q2882" s="443"/>
      <c r="R2882" s="440"/>
      <c r="S2882" s="440"/>
      <c r="T2882" s="440"/>
      <c r="U2882" s="440"/>
      <c r="V2882" s="440"/>
      <c r="W2882" s="440"/>
      <c r="X2882" s="440"/>
      <c r="Y2882" s="444">
        <f t="shared" si="17"/>
        <v>0</v>
      </c>
      <c r="Z2882" s="445"/>
      <c r="AA2882" s="446">
        <f t="shared" ref="AA2882:AE2882" si="1449">$J2882*E2882</f>
        <v>0</v>
      </c>
      <c r="AB2882" s="447">
        <f t="shared" si="1449"/>
        <v>0</v>
      </c>
      <c r="AC2882" s="447">
        <f t="shared" si="1449"/>
        <v>0</v>
      </c>
      <c r="AD2882" s="447">
        <f t="shared" si="1449"/>
        <v>0</v>
      </c>
      <c r="AE2882" s="448">
        <f t="shared" si="1449"/>
        <v>0</v>
      </c>
      <c r="AF2882" s="449"/>
      <c r="AG2882" s="449"/>
      <c r="AH2882" s="449"/>
    </row>
    <row r="2883" ht="11.25" customHeight="1">
      <c r="A2883" s="450"/>
      <c r="B2883" s="451"/>
      <c r="C2883" s="452"/>
      <c r="D2883" s="452"/>
      <c r="E2883" s="453"/>
      <c r="F2883" s="453"/>
      <c r="G2883" s="454"/>
      <c r="H2883" s="454"/>
      <c r="I2883" s="455"/>
      <c r="J2883" s="456"/>
      <c r="K2883" s="457" t="s">
        <v>1416</v>
      </c>
      <c r="L2883" s="458"/>
      <c r="M2883" s="459"/>
      <c r="N2883" s="460"/>
      <c r="O2883" s="460"/>
      <c r="P2883" s="461"/>
      <c r="Q2883" s="458"/>
      <c r="R2883" s="459"/>
      <c r="S2883" s="459"/>
      <c r="T2883" s="459"/>
      <c r="U2883" s="459"/>
      <c r="V2883" s="459"/>
      <c r="W2883" s="459"/>
      <c r="X2883" s="459"/>
      <c r="Y2883" s="462">
        <f t="shared" si="17"/>
        <v>0</v>
      </c>
      <c r="Z2883" s="463"/>
      <c r="AA2883" s="464"/>
      <c r="AB2883" s="465"/>
      <c r="AC2883" s="465"/>
      <c r="AD2883" s="465"/>
      <c r="AE2883" s="466"/>
      <c r="AF2883" s="449"/>
      <c r="AG2883" s="449"/>
      <c r="AH2883" s="449"/>
    </row>
    <row r="2884" ht="11.25" customHeight="1">
      <c r="A2884" s="450"/>
      <c r="B2884" s="451"/>
      <c r="C2884" s="452"/>
      <c r="D2884" s="452"/>
      <c r="E2884" s="453"/>
      <c r="F2884" s="453"/>
      <c r="G2884" s="454"/>
      <c r="H2884" s="454"/>
      <c r="I2884" s="455"/>
      <c r="J2884" s="456"/>
      <c r="K2884" s="467" t="s">
        <v>1417</v>
      </c>
      <c r="L2884" s="468"/>
      <c r="M2884" s="469"/>
      <c r="N2884" s="470"/>
      <c r="O2884" s="470"/>
      <c r="P2884" s="471"/>
      <c r="Q2884" s="468"/>
      <c r="R2884" s="469"/>
      <c r="S2884" s="469"/>
      <c r="T2884" s="469"/>
      <c r="U2884" s="469"/>
      <c r="V2884" s="469"/>
      <c r="W2884" s="469"/>
      <c r="X2884" s="469"/>
      <c r="Y2884" s="462">
        <f t="shared" si="17"/>
        <v>0</v>
      </c>
      <c r="Z2884" s="463"/>
      <c r="AA2884" s="464"/>
      <c r="AB2884" s="465"/>
      <c r="AC2884" s="465"/>
      <c r="AD2884" s="465"/>
      <c r="AE2884" s="466"/>
      <c r="AF2884" s="449"/>
      <c r="AG2884" s="449"/>
      <c r="AH2884" s="449"/>
    </row>
    <row r="2885" ht="11.25" customHeight="1">
      <c r="A2885" s="450"/>
      <c r="B2885" s="472"/>
      <c r="C2885" s="473"/>
      <c r="D2885" s="473"/>
      <c r="E2885" s="474"/>
      <c r="F2885" s="474"/>
      <c r="G2885" s="475"/>
      <c r="H2885" s="475"/>
      <c r="I2885" s="476"/>
      <c r="J2885" s="477"/>
      <c r="K2885" s="478" t="s">
        <v>1418</v>
      </c>
      <c r="L2885" s="479"/>
      <c r="M2885" s="480"/>
      <c r="N2885" s="481"/>
      <c r="O2885" s="481"/>
      <c r="P2885" s="482"/>
      <c r="Q2885" s="479"/>
      <c r="R2885" s="480"/>
      <c r="S2885" s="480"/>
      <c r="T2885" s="480"/>
      <c r="U2885" s="480"/>
      <c r="V2885" s="480"/>
      <c r="W2885" s="480"/>
      <c r="X2885" s="480"/>
      <c r="Y2885" s="483">
        <f t="shared" si="17"/>
        <v>0</v>
      </c>
      <c r="Z2885" s="484"/>
      <c r="AA2885" s="485"/>
      <c r="AB2885" s="486"/>
      <c r="AC2885" s="486"/>
      <c r="AD2885" s="486"/>
      <c r="AE2885" s="487"/>
      <c r="AF2885" s="449"/>
      <c r="AG2885" s="449"/>
      <c r="AH2885" s="449"/>
    </row>
    <row r="2886" ht="11.25" customHeight="1">
      <c r="A2886" s="431" t="str">
        <f>IF(B2886="","", YEAR(B2886))</f>
        <v/>
      </c>
      <c r="B2886" s="432"/>
      <c r="C2886" s="433"/>
      <c r="D2886" s="433"/>
      <c r="E2886" s="434" t="str">
        <f t="shared" ref="E2886:I2886" si="1450">IFERROR(AVERAGE(L2886:L2889),"")</f>
        <v/>
      </c>
      <c r="F2886" s="434" t="str">
        <f t="shared" si="1450"/>
        <v/>
      </c>
      <c r="G2886" s="435" t="str">
        <f t="shared" si="1450"/>
        <v/>
      </c>
      <c r="H2886" s="435" t="str">
        <f t="shared" si="1450"/>
        <v/>
      </c>
      <c r="I2886" s="436" t="str">
        <f t="shared" si="1450"/>
        <v/>
      </c>
      <c r="J2886" s="437">
        <f>SUMIFS(PRODUCTION[KG],PRODUCTION[GRADE],"3X50",PRODUCTION[DATE],B2886,PRODUCTION[BATCH],C2886,PRODUCTION[SHIFT],D2886)</f>
        <v>0</v>
      </c>
      <c r="K2886" s="438" t="s">
        <v>1414</v>
      </c>
      <c r="L2886" s="443"/>
      <c r="M2886" s="440"/>
      <c r="N2886" s="441"/>
      <c r="O2886" s="441"/>
      <c r="P2886" s="442"/>
      <c r="Q2886" s="443"/>
      <c r="R2886" s="440"/>
      <c r="S2886" s="440"/>
      <c r="T2886" s="440"/>
      <c r="U2886" s="440"/>
      <c r="V2886" s="440"/>
      <c r="W2886" s="440"/>
      <c r="X2886" s="440"/>
      <c r="Y2886" s="444">
        <f t="shared" si="17"/>
        <v>0</v>
      </c>
      <c r="Z2886" s="445"/>
      <c r="AA2886" s="446">
        <f t="shared" ref="AA2886:AE2886" si="1451">$J2886*E2886</f>
        <v>0</v>
      </c>
      <c r="AB2886" s="447">
        <f t="shared" si="1451"/>
        <v>0</v>
      </c>
      <c r="AC2886" s="447">
        <f t="shared" si="1451"/>
        <v>0</v>
      </c>
      <c r="AD2886" s="447">
        <f t="shared" si="1451"/>
        <v>0</v>
      </c>
      <c r="AE2886" s="448">
        <f t="shared" si="1451"/>
        <v>0</v>
      </c>
      <c r="AF2886" s="449"/>
      <c r="AG2886" s="449"/>
      <c r="AH2886" s="449"/>
    </row>
    <row r="2887" ht="11.25" customHeight="1">
      <c r="A2887" s="450"/>
      <c r="B2887" s="451"/>
      <c r="C2887" s="452"/>
      <c r="D2887" s="452"/>
      <c r="E2887" s="453"/>
      <c r="F2887" s="453"/>
      <c r="G2887" s="454"/>
      <c r="H2887" s="454"/>
      <c r="I2887" s="455"/>
      <c r="J2887" s="456"/>
      <c r="K2887" s="457" t="s">
        <v>1416</v>
      </c>
      <c r="L2887" s="458"/>
      <c r="M2887" s="459"/>
      <c r="N2887" s="460"/>
      <c r="O2887" s="460"/>
      <c r="P2887" s="461"/>
      <c r="Q2887" s="458"/>
      <c r="R2887" s="459"/>
      <c r="S2887" s="459"/>
      <c r="T2887" s="459"/>
      <c r="U2887" s="459"/>
      <c r="V2887" s="459"/>
      <c r="W2887" s="459"/>
      <c r="X2887" s="459"/>
      <c r="Y2887" s="462">
        <f t="shared" si="17"/>
        <v>0</v>
      </c>
      <c r="Z2887" s="463"/>
      <c r="AA2887" s="464"/>
      <c r="AB2887" s="465"/>
      <c r="AC2887" s="465"/>
      <c r="AD2887" s="465"/>
      <c r="AE2887" s="466"/>
      <c r="AF2887" s="449"/>
      <c r="AG2887" s="449"/>
      <c r="AH2887" s="449"/>
    </row>
    <row r="2888" ht="11.25" customHeight="1">
      <c r="A2888" s="450"/>
      <c r="B2888" s="451"/>
      <c r="C2888" s="452"/>
      <c r="D2888" s="452"/>
      <c r="E2888" s="453"/>
      <c r="F2888" s="453"/>
      <c r="G2888" s="454"/>
      <c r="H2888" s="454"/>
      <c r="I2888" s="455"/>
      <c r="J2888" s="456"/>
      <c r="K2888" s="467" t="s">
        <v>1417</v>
      </c>
      <c r="L2888" s="468"/>
      <c r="M2888" s="469"/>
      <c r="N2888" s="470"/>
      <c r="O2888" s="470"/>
      <c r="P2888" s="471"/>
      <c r="Q2888" s="468"/>
      <c r="R2888" s="469"/>
      <c r="S2888" s="469"/>
      <c r="T2888" s="469"/>
      <c r="U2888" s="469"/>
      <c r="V2888" s="469"/>
      <c r="W2888" s="469"/>
      <c r="X2888" s="469"/>
      <c r="Y2888" s="462">
        <f t="shared" si="17"/>
        <v>0</v>
      </c>
      <c r="Z2888" s="463"/>
      <c r="AA2888" s="464"/>
      <c r="AB2888" s="465"/>
      <c r="AC2888" s="465"/>
      <c r="AD2888" s="465"/>
      <c r="AE2888" s="466"/>
      <c r="AF2888" s="449"/>
      <c r="AG2888" s="449"/>
      <c r="AH2888" s="449"/>
    </row>
    <row r="2889" ht="11.25" customHeight="1">
      <c r="A2889" s="450"/>
      <c r="B2889" s="472"/>
      <c r="C2889" s="473"/>
      <c r="D2889" s="473"/>
      <c r="E2889" s="474"/>
      <c r="F2889" s="474"/>
      <c r="G2889" s="475"/>
      <c r="H2889" s="475"/>
      <c r="I2889" s="476"/>
      <c r="J2889" s="477"/>
      <c r="K2889" s="478" t="s">
        <v>1418</v>
      </c>
      <c r="L2889" s="479"/>
      <c r="M2889" s="480"/>
      <c r="N2889" s="481"/>
      <c r="O2889" s="481"/>
      <c r="P2889" s="482"/>
      <c r="Q2889" s="479"/>
      <c r="R2889" s="480"/>
      <c r="S2889" s="480"/>
      <c r="T2889" s="480"/>
      <c r="U2889" s="480"/>
      <c r="V2889" s="480"/>
      <c r="W2889" s="480"/>
      <c r="X2889" s="480"/>
      <c r="Y2889" s="483">
        <f t="shared" si="17"/>
        <v>0</v>
      </c>
      <c r="Z2889" s="484"/>
      <c r="AA2889" s="485"/>
      <c r="AB2889" s="486"/>
      <c r="AC2889" s="486"/>
      <c r="AD2889" s="486"/>
      <c r="AE2889" s="487"/>
      <c r="AF2889" s="449"/>
      <c r="AG2889" s="449"/>
      <c r="AH2889" s="449"/>
    </row>
    <row r="2890" ht="11.25" customHeight="1">
      <c r="A2890" s="431" t="str">
        <f>IF(B2890="","", YEAR(B2890))</f>
        <v/>
      </c>
      <c r="B2890" s="432"/>
      <c r="C2890" s="433"/>
      <c r="D2890" s="433"/>
      <c r="E2890" s="434" t="str">
        <f t="shared" ref="E2890:I2890" si="1452">IFERROR(AVERAGE(L2890:L2893),"")</f>
        <v/>
      </c>
      <c r="F2890" s="434" t="str">
        <f t="shared" si="1452"/>
        <v/>
      </c>
      <c r="G2890" s="435" t="str">
        <f t="shared" si="1452"/>
        <v/>
      </c>
      <c r="H2890" s="435" t="str">
        <f t="shared" si="1452"/>
        <v/>
      </c>
      <c r="I2890" s="436" t="str">
        <f t="shared" si="1452"/>
        <v/>
      </c>
      <c r="J2890" s="437">
        <f>SUMIFS(PRODUCTION[KG],PRODUCTION[GRADE],"3X50",PRODUCTION[DATE],B2890,PRODUCTION[BATCH],C2890,PRODUCTION[SHIFT],D2890)</f>
        <v>0</v>
      </c>
      <c r="K2890" s="438" t="s">
        <v>1414</v>
      </c>
      <c r="L2890" s="443"/>
      <c r="M2890" s="440"/>
      <c r="N2890" s="441"/>
      <c r="O2890" s="441"/>
      <c r="P2890" s="442"/>
      <c r="Q2890" s="443"/>
      <c r="R2890" s="440"/>
      <c r="S2890" s="440"/>
      <c r="T2890" s="440"/>
      <c r="U2890" s="440"/>
      <c r="V2890" s="440"/>
      <c r="W2890" s="440"/>
      <c r="X2890" s="440"/>
      <c r="Y2890" s="444">
        <f t="shared" si="17"/>
        <v>0</v>
      </c>
      <c r="Z2890" s="445"/>
      <c r="AA2890" s="446">
        <f t="shared" ref="AA2890:AE2890" si="1453">$J2890*E2890</f>
        <v>0</v>
      </c>
      <c r="AB2890" s="447">
        <f t="shared" si="1453"/>
        <v>0</v>
      </c>
      <c r="AC2890" s="447">
        <f t="shared" si="1453"/>
        <v>0</v>
      </c>
      <c r="AD2890" s="447">
        <f t="shared" si="1453"/>
        <v>0</v>
      </c>
      <c r="AE2890" s="448">
        <f t="shared" si="1453"/>
        <v>0</v>
      </c>
      <c r="AF2890" s="449"/>
      <c r="AG2890" s="449"/>
      <c r="AH2890" s="449"/>
    </row>
    <row r="2891" ht="11.25" customHeight="1">
      <c r="A2891" s="450"/>
      <c r="B2891" s="451"/>
      <c r="C2891" s="452"/>
      <c r="D2891" s="452"/>
      <c r="E2891" s="453"/>
      <c r="F2891" s="453"/>
      <c r="G2891" s="454"/>
      <c r="H2891" s="454"/>
      <c r="I2891" s="455"/>
      <c r="J2891" s="456"/>
      <c r="K2891" s="457" t="s">
        <v>1416</v>
      </c>
      <c r="L2891" s="458"/>
      <c r="M2891" s="459"/>
      <c r="N2891" s="460"/>
      <c r="O2891" s="460"/>
      <c r="P2891" s="461"/>
      <c r="Q2891" s="458"/>
      <c r="R2891" s="459"/>
      <c r="S2891" s="459"/>
      <c r="T2891" s="459"/>
      <c r="U2891" s="459"/>
      <c r="V2891" s="459"/>
      <c r="W2891" s="459"/>
      <c r="X2891" s="459"/>
      <c r="Y2891" s="462">
        <f t="shared" si="17"/>
        <v>0</v>
      </c>
      <c r="Z2891" s="463"/>
      <c r="AA2891" s="464"/>
      <c r="AB2891" s="465"/>
      <c r="AC2891" s="465"/>
      <c r="AD2891" s="465"/>
      <c r="AE2891" s="466"/>
      <c r="AF2891" s="449"/>
      <c r="AG2891" s="449"/>
      <c r="AH2891" s="449"/>
    </row>
    <row r="2892" ht="11.25" customHeight="1">
      <c r="A2892" s="450"/>
      <c r="B2892" s="451"/>
      <c r="C2892" s="452"/>
      <c r="D2892" s="452"/>
      <c r="E2892" s="453"/>
      <c r="F2892" s="453"/>
      <c r="G2892" s="454"/>
      <c r="H2892" s="454"/>
      <c r="I2892" s="455"/>
      <c r="J2892" s="456"/>
      <c r="K2892" s="467" t="s">
        <v>1417</v>
      </c>
      <c r="L2892" s="468"/>
      <c r="M2892" s="469"/>
      <c r="N2892" s="470"/>
      <c r="O2892" s="470"/>
      <c r="P2892" s="471"/>
      <c r="Q2892" s="468"/>
      <c r="R2892" s="469"/>
      <c r="S2892" s="469"/>
      <c r="T2892" s="469"/>
      <c r="U2892" s="469"/>
      <c r="V2892" s="469"/>
      <c r="W2892" s="469"/>
      <c r="X2892" s="469"/>
      <c r="Y2892" s="462">
        <f t="shared" si="17"/>
        <v>0</v>
      </c>
      <c r="Z2892" s="463"/>
      <c r="AA2892" s="464"/>
      <c r="AB2892" s="465"/>
      <c r="AC2892" s="465"/>
      <c r="AD2892" s="465"/>
      <c r="AE2892" s="466"/>
      <c r="AF2892" s="449"/>
      <c r="AG2892" s="449"/>
      <c r="AH2892" s="449"/>
    </row>
    <row r="2893" ht="11.25" customHeight="1">
      <c r="A2893" s="450"/>
      <c r="B2893" s="472"/>
      <c r="C2893" s="473"/>
      <c r="D2893" s="473"/>
      <c r="E2893" s="474"/>
      <c r="F2893" s="474"/>
      <c r="G2893" s="475"/>
      <c r="H2893" s="475"/>
      <c r="I2893" s="476"/>
      <c r="J2893" s="477"/>
      <c r="K2893" s="478" t="s">
        <v>1418</v>
      </c>
      <c r="L2893" s="479"/>
      <c r="M2893" s="480"/>
      <c r="N2893" s="481"/>
      <c r="O2893" s="481"/>
      <c r="P2893" s="482"/>
      <c r="Q2893" s="479"/>
      <c r="R2893" s="480"/>
      <c r="S2893" s="480"/>
      <c r="T2893" s="480"/>
      <c r="U2893" s="480"/>
      <c r="V2893" s="480"/>
      <c r="W2893" s="480"/>
      <c r="X2893" s="480"/>
      <c r="Y2893" s="483">
        <f t="shared" si="17"/>
        <v>0</v>
      </c>
      <c r="Z2893" s="484"/>
      <c r="AA2893" s="485"/>
      <c r="AB2893" s="486"/>
      <c r="AC2893" s="486"/>
      <c r="AD2893" s="486"/>
      <c r="AE2893" s="487"/>
      <c r="AF2893" s="449"/>
      <c r="AG2893" s="449"/>
      <c r="AH2893" s="449"/>
    </row>
    <row r="2894" ht="11.25" customHeight="1">
      <c r="A2894" s="431" t="str">
        <f>IF(B2894="","", YEAR(B2894))</f>
        <v/>
      </c>
      <c r="B2894" s="432"/>
      <c r="C2894" s="433"/>
      <c r="D2894" s="433"/>
      <c r="E2894" s="434" t="str">
        <f t="shared" ref="E2894:I2894" si="1454">IFERROR(AVERAGE(L2894:L2897),"")</f>
        <v/>
      </c>
      <c r="F2894" s="434" t="str">
        <f t="shared" si="1454"/>
        <v/>
      </c>
      <c r="G2894" s="435" t="str">
        <f t="shared" si="1454"/>
        <v/>
      </c>
      <c r="H2894" s="435" t="str">
        <f t="shared" si="1454"/>
        <v/>
      </c>
      <c r="I2894" s="436" t="str">
        <f t="shared" si="1454"/>
        <v/>
      </c>
      <c r="J2894" s="437">
        <f>SUMIFS(PRODUCTION[KG],PRODUCTION[GRADE],"3X50",PRODUCTION[DATE],B2894,PRODUCTION[BATCH],C2894,PRODUCTION[SHIFT],D2894)</f>
        <v>0</v>
      </c>
      <c r="K2894" s="438" t="s">
        <v>1414</v>
      </c>
      <c r="L2894" s="443"/>
      <c r="M2894" s="440"/>
      <c r="N2894" s="441"/>
      <c r="O2894" s="441"/>
      <c r="P2894" s="442"/>
      <c r="Q2894" s="443"/>
      <c r="R2894" s="440"/>
      <c r="S2894" s="440"/>
      <c r="T2894" s="440"/>
      <c r="U2894" s="440"/>
      <c r="V2894" s="440"/>
      <c r="W2894" s="440"/>
      <c r="X2894" s="440"/>
      <c r="Y2894" s="444">
        <f t="shared" si="17"/>
        <v>0</v>
      </c>
      <c r="Z2894" s="445"/>
      <c r="AA2894" s="446">
        <f t="shared" ref="AA2894:AE2894" si="1455">$J2894*E2894</f>
        <v>0</v>
      </c>
      <c r="AB2894" s="447">
        <f t="shared" si="1455"/>
        <v>0</v>
      </c>
      <c r="AC2894" s="447">
        <f t="shared" si="1455"/>
        <v>0</v>
      </c>
      <c r="AD2894" s="447">
        <f t="shared" si="1455"/>
        <v>0</v>
      </c>
      <c r="AE2894" s="448">
        <f t="shared" si="1455"/>
        <v>0</v>
      </c>
      <c r="AF2894" s="449"/>
      <c r="AG2894" s="449"/>
      <c r="AH2894" s="449"/>
    </row>
    <row r="2895" ht="11.25" customHeight="1">
      <c r="A2895" s="450"/>
      <c r="B2895" s="451"/>
      <c r="C2895" s="452"/>
      <c r="D2895" s="452"/>
      <c r="E2895" s="453"/>
      <c r="F2895" s="453"/>
      <c r="G2895" s="454"/>
      <c r="H2895" s="454"/>
      <c r="I2895" s="455"/>
      <c r="J2895" s="456"/>
      <c r="K2895" s="457" t="s">
        <v>1416</v>
      </c>
      <c r="L2895" s="458"/>
      <c r="M2895" s="459"/>
      <c r="N2895" s="460"/>
      <c r="O2895" s="460"/>
      <c r="P2895" s="461"/>
      <c r="Q2895" s="458"/>
      <c r="R2895" s="459"/>
      <c r="S2895" s="459"/>
      <c r="T2895" s="459"/>
      <c r="U2895" s="459"/>
      <c r="V2895" s="459"/>
      <c r="W2895" s="459"/>
      <c r="X2895" s="459"/>
      <c r="Y2895" s="462">
        <f t="shared" si="17"/>
        <v>0</v>
      </c>
      <c r="Z2895" s="463"/>
      <c r="AA2895" s="464"/>
      <c r="AB2895" s="465"/>
      <c r="AC2895" s="465"/>
      <c r="AD2895" s="465"/>
      <c r="AE2895" s="466"/>
      <c r="AF2895" s="449"/>
      <c r="AG2895" s="449"/>
      <c r="AH2895" s="449"/>
    </row>
    <row r="2896" ht="11.25" customHeight="1">
      <c r="A2896" s="450"/>
      <c r="B2896" s="451"/>
      <c r="C2896" s="452"/>
      <c r="D2896" s="452"/>
      <c r="E2896" s="453"/>
      <c r="F2896" s="453"/>
      <c r="G2896" s="454"/>
      <c r="H2896" s="454"/>
      <c r="I2896" s="455"/>
      <c r="J2896" s="456"/>
      <c r="K2896" s="467" t="s">
        <v>1417</v>
      </c>
      <c r="L2896" s="468"/>
      <c r="M2896" s="469"/>
      <c r="N2896" s="470"/>
      <c r="O2896" s="470"/>
      <c r="P2896" s="471"/>
      <c r="Q2896" s="468"/>
      <c r="R2896" s="469"/>
      <c r="S2896" s="469"/>
      <c r="T2896" s="469"/>
      <c r="U2896" s="469"/>
      <c r="V2896" s="469"/>
      <c r="W2896" s="469"/>
      <c r="X2896" s="469"/>
      <c r="Y2896" s="462">
        <f t="shared" si="17"/>
        <v>0</v>
      </c>
      <c r="Z2896" s="463"/>
      <c r="AA2896" s="464"/>
      <c r="AB2896" s="465"/>
      <c r="AC2896" s="465"/>
      <c r="AD2896" s="465"/>
      <c r="AE2896" s="466"/>
      <c r="AF2896" s="449"/>
      <c r="AG2896" s="449"/>
      <c r="AH2896" s="449"/>
    </row>
    <row r="2897" ht="11.25" customHeight="1">
      <c r="A2897" s="450"/>
      <c r="B2897" s="472"/>
      <c r="C2897" s="473"/>
      <c r="D2897" s="473"/>
      <c r="E2897" s="474"/>
      <c r="F2897" s="474"/>
      <c r="G2897" s="475"/>
      <c r="H2897" s="475"/>
      <c r="I2897" s="476"/>
      <c r="J2897" s="477"/>
      <c r="K2897" s="478" t="s">
        <v>1418</v>
      </c>
      <c r="L2897" s="479"/>
      <c r="M2897" s="480"/>
      <c r="N2897" s="481"/>
      <c r="O2897" s="481"/>
      <c r="P2897" s="482"/>
      <c r="Q2897" s="479"/>
      <c r="R2897" s="480"/>
      <c r="S2897" s="480"/>
      <c r="T2897" s="480"/>
      <c r="U2897" s="480"/>
      <c r="V2897" s="480"/>
      <c r="W2897" s="480"/>
      <c r="X2897" s="480"/>
      <c r="Y2897" s="483">
        <f t="shared" si="17"/>
        <v>0</v>
      </c>
      <c r="Z2897" s="484"/>
      <c r="AA2897" s="485"/>
      <c r="AB2897" s="486"/>
      <c r="AC2897" s="486"/>
      <c r="AD2897" s="486"/>
      <c r="AE2897" s="487"/>
      <c r="AF2897" s="449"/>
      <c r="AG2897" s="449"/>
      <c r="AH2897" s="449"/>
    </row>
    <row r="2898" ht="11.25" customHeight="1">
      <c r="A2898" s="431" t="str">
        <f>IF(B2898="","", YEAR(B2898))</f>
        <v/>
      </c>
      <c r="B2898" s="432"/>
      <c r="C2898" s="433"/>
      <c r="D2898" s="433"/>
      <c r="E2898" s="434" t="str">
        <f t="shared" ref="E2898:I2898" si="1456">IFERROR(AVERAGE(L2898:L2901),"")</f>
        <v/>
      </c>
      <c r="F2898" s="434" t="str">
        <f t="shared" si="1456"/>
        <v/>
      </c>
      <c r="G2898" s="435" t="str">
        <f t="shared" si="1456"/>
        <v/>
      </c>
      <c r="H2898" s="435" t="str">
        <f t="shared" si="1456"/>
        <v/>
      </c>
      <c r="I2898" s="436" t="str">
        <f t="shared" si="1456"/>
        <v/>
      </c>
      <c r="J2898" s="437">
        <f>SUMIFS(PRODUCTION[KG],PRODUCTION[GRADE],"3X50",PRODUCTION[DATE],B2898,PRODUCTION[BATCH],C2898,PRODUCTION[SHIFT],D2898)</f>
        <v>0</v>
      </c>
      <c r="K2898" s="438" t="s">
        <v>1414</v>
      </c>
      <c r="L2898" s="443"/>
      <c r="M2898" s="440"/>
      <c r="N2898" s="441"/>
      <c r="O2898" s="441"/>
      <c r="P2898" s="442"/>
      <c r="Q2898" s="443"/>
      <c r="R2898" s="440"/>
      <c r="S2898" s="440"/>
      <c r="T2898" s="440"/>
      <c r="U2898" s="440"/>
      <c r="V2898" s="440"/>
      <c r="W2898" s="440"/>
      <c r="X2898" s="440"/>
      <c r="Y2898" s="444">
        <f t="shared" si="17"/>
        <v>0</v>
      </c>
      <c r="Z2898" s="445"/>
      <c r="AA2898" s="446">
        <f t="shared" ref="AA2898:AE2898" si="1457">$J2898*E2898</f>
        <v>0</v>
      </c>
      <c r="AB2898" s="447">
        <f t="shared" si="1457"/>
        <v>0</v>
      </c>
      <c r="AC2898" s="447">
        <f t="shared" si="1457"/>
        <v>0</v>
      </c>
      <c r="AD2898" s="447">
        <f t="shared" si="1457"/>
        <v>0</v>
      </c>
      <c r="AE2898" s="448">
        <f t="shared" si="1457"/>
        <v>0</v>
      </c>
      <c r="AF2898" s="449"/>
      <c r="AG2898" s="449"/>
      <c r="AH2898" s="449"/>
    </row>
    <row r="2899" ht="11.25" customHeight="1">
      <c r="A2899" s="450"/>
      <c r="B2899" s="451"/>
      <c r="C2899" s="452"/>
      <c r="D2899" s="452"/>
      <c r="E2899" s="453"/>
      <c r="F2899" s="453"/>
      <c r="G2899" s="454"/>
      <c r="H2899" s="454"/>
      <c r="I2899" s="455"/>
      <c r="J2899" s="456"/>
      <c r="K2899" s="457" t="s">
        <v>1416</v>
      </c>
      <c r="L2899" s="458"/>
      <c r="M2899" s="459"/>
      <c r="N2899" s="460"/>
      <c r="O2899" s="460"/>
      <c r="P2899" s="461"/>
      <c r="Q2899" s="458"/>
      <c r="R2899" s="459"/>
      <c r="S2899" s="459"/>
      <c r="T2899" s="459"/>
      <c r="U2899" s="459"/>
      <c r="V2899" s="459"/>
      <c r="W2899" s="459"/>
      <c r="X2899" s="459"/>
      <c r="Y2899" s="462">
        <f t="shared" si="17"/>
        <v>0</v>
      </c>
      <c r="Z2899" s="463"/>
      <c r="AA2899" s="464"/>
      <c r="AB2899" s="465"/>
      <c r="AC2899" s="465"/>
      <c r="AD2899" s="465"/>
      <c r="AE2899" s="466"/>
      <c r="AF2899" s="449"/>
      <c r="AG2899" s="449"/>
      <c r="AH2899" s="449"/>
    </row>
    <row r="2900" ht="11.25" customHeight="1">
      <c r="A2900" s="450"/>
      <c r="B2900" s="451"/>
      <c r="C2900" s="452"/>
      <c r="D2900" s="452"/>
      <c r="E2900" s="453"/>
      <c r="F2900" s="453"/>
      <c r="G2900" s="454"/>
      <c r="H2900" s="454"/>
      <c r="I2900" s="455"/>
      <c r="J2900" s="456"/>
      <c r="K2900" s="467" t="s">
        <v>1417</v>
      </c>
      <c r="L2900" s="468"/>
      <c r="M2900" s="469"/>
      <c r="N2900" s="470"/>
      <c r="O2900" s="470"/>
      <c r="P2900" s="471"/>
      <c r="Q2900" s="468"/>
      <c r="R2900" s="469"/>
      <c r="S2900" s="469"/>
      <c r="T2900" s="469"/>
      <c r="U2900" s="469"/>
      <c r="V2900" s="469"/>
      <c r="W2900" s="469"/>
      <c r="X2900" s="469"/>
      <c r="Y2900" s="462">
        <f t="shared" si="17"/>
        <v>0</v>
      </c>
      <c r="Z2900" s="463"/>
      <c r="AA2900" s="464"/>
      <c r="AB2900" s="465"/>
      <c r="AC2900" s="465"/>
      <c r="AD2900" s="465"/>
      <c r="AE2900" s="466"/>
      <c r="AF2900" s="449"/>
      <c r="AG2900" s="449"/>
      <c r="AH2900" s="449"/>
    </row>
    <row r="2901" ht="11.25" customHeight="1">
      <c r="A2901" s="450"/>
      <c r="B2901" s="472"/>
      <c r="C2901" s="473"/>
      <c r="D2901" s="473"/>
      <c r="E2901" s="474"/>
      <c r="F2901" s="474"/>
      <c r="G2901" s="475"/>
      <c r="H2901" s="475"/>
      <c r="I2901" s="476"/>
      <c r="J2901" s="477"/>
      <c r="K2901" s="478" t="s">
        <v>1418</v>
      </c>
      <c r="L2901" s="479"/>
      <c r="M2901" s="480"/>
      <c r="N2901" s="481"/>
      <c r="O2901" s="481"/>
      <c r="P2901" s="482"/>
      <c r="Q2901" s="479"/>
      <c r="R2901" s="480"/>
      <c r="S2901" s="480"/>
      <c r="T2901" s="480"/>
      <c r="U2901" s="480"/>
      <c r="V2901" s="480"/>
      <c r="W2901" s="480"/>
      <c r="X2901" s="480"/>
      <c r="Y2901" s="483">
        <f t="shared" si="17"/>
        <v>0</v>
      </c>
      <c r="Z2901" s="484"/>
      <c r="AA2901" s="485"/>
      <c r="AB2901" s="486"/>
      <c r="AC2901" s="486"/>
      <c r="AD2901" s="486"/>
      <c r="AE2901" s="487"/>
      <c r="AF2901" s="449"/>
      <c r="AG2901" s="449"/>
      <c r="AH2901" s="449"/>
    </row>
    <row r="2902" ht="11.25" customHeight="1">
      <c r="A2902" s="431" t="str">
        <f>IF(B2902="","", YEAR(B2902))</f>
        <v/>
      </c>
      <c r="B2902" s="432"/>
      <c r="C2902" s="433"/>
      <c r="D2902" s="433"/>
      <c r="E2902" s="434" t="str">
        <f t="shared" ref="E2902:I2902" si="1458">IFERROR(AVERAGE(L2902:L2905),"")</f>
        <v/>
      </c>
      <c r="F2902" s="434" t="str">
        <f t="shared" si="1458"/>
        <v/>
      </c>
      <c r="G2902" s="435" t="str">
        <f t="shared" si="1458"/>
        <v/>
      </c>
      <c r="H2902" s="435" t="str">
        <f t="shared" si="1458"/>
        <v/>
      </c>
      <c r="I2902" s="436" t="str">
        <f t="shared" si="1458"/>
        <v/>
      </c>
      <c r="J2902" s="437">
        <f>SUMIFS(PRODUCTION[KG],PRODUCTION[GRADE],"3X50",PRODUCTION[DATE],B2902,PRODUCTION[BATCH],C2902,PRODUCTION[SHIFT],D2902)</f>
        <v>0</v>
      </c>
      <c r="K2902" s="438" t="s">
        <v>1414</v>
      </c>
      <c r="L2902" s="443"/>
      <c r="M2902" s="440"/>
      <c r="N2902" s="441"/>
      <c r="O2902" s="441"/>
      <c r="P2902" s="442"/>
      <c r="Q2902" s="443"/>
      <c r="R2902" s="440"/>
      <c r="S2902" s="440"/>
      <c r="T2902" s="440"/>
      <c r="U2902" s="440"/>
      <c r="V2902" s="440"/>
      <c r="W2902" s="440"/>
      <c r="X2902" s="440"/>
      <c r="Y2902" s="444">
        <f t="shared" si="17"/>
        <v>0</v>
      </c>
      <c r="Z2902" s="445"/>
      <c r="AA2902" s="446">
        <f t="shared" ref="AA2902:AE2902" si="1459">$J2902*E2902</f>
        <v>0</v>
      </c>
      <c r="AB2902" s="447">
        <f t="shared" si="1459"/>
        <v>0</v>
      </c>
      <c r="AC2902" s="447">
        <f t="shared" si="1459"/>
        <v>0</v>
      </c>
      <c r="AD2902" s="447">
        <f t="shared" si="1459"/>
        <v>0</v>
      </c>
      <c r="AE2902" s="448">
        <f t="shared" si="1459"/>
        <v>0</v>
      </c>
      <c r="AF2902" s="449"/>
      <c r="AG2902" s="449"/>
      <c r="AH2902" s="449"/>
    </row>
    <row r="2903" ht="11.25" customHeight="1">
      <c r="A2903" s="450"/>
      <c r="B2903" s="451"/>
      <c r="C2903" s="452"/>
      <c r="D2903" s="452"/>
      <c r="E2903" s="453"/>
      <c r="F2903" s="453"/>
      <c r="G2903" s="454"/>
      <c r="H2903" s="454"/>
      <c r="I2903" s="455"/>
      <c r="J2903" s="456"/>
      <c r="K2903" s="457" t="s">
        <v>1416</v>
      </c>
      <c r="L2903" s="458"/>
      <c r="M2903" s="459"/>
      <c r="N2903" s="460"/>
      <c r="O2903" s="460"/>
      <c r="P2903" s="461"/>
      <c r="Q2903" s="458"/>
      <c r="R2903" s="459"/>
      <c r="S2903" s="459"/>
      <c r="T2903" s="459"/>
      <c r="U2903" s="459"/>
      <c r="V2903" s="459"/>
      <c r="W2903" s="459"/>
      <c r="X2903" s="459"/>
      <c r="Y2903" s="462">
        <f t="shared" si="17"/>
        <v>0</v>
      </c>
      <c r="Z2903" s="463"/>
      <c r="AA2903" s="464"/>
      <c r="AB2903" s="465"/>
      <c r="AC2903" s="465"/>
      <c r="AD2903" s="465"/>
      <c r="AE2903" s="466"/>
      <c r="AF2903" s="449"/>
      <c r="AG2903" s="449"/>
      <c r="AH2903" s="449"/>
    </row>
    <row r="2904" ht="11.25" customHeight="1">
      <c r="A2904" s="450"/>
      <c r="B2904" s="451"/>
      <c r="C2904" s="452"/>
      <c r="D2904" s="452"/>
      <c r="E2904" s="453"/>
      <c r="F2904" s="453"/>
      <c r="G2904" s="454"/>
      <c r="H2904" s="454"/>
      <c r="I2904" s="455"/>
      <c r="J2904" s="456"/>
      <c r="K2904" s="467" t="s">
        <v>1417</v>
      </c>
      <c r="L2904" s="468"/>
      <c r="M2904" s="469"/>
      <c r="N2904" s="470"/>
      <c r="O2904" s="470"/>
      <c r="P2904" s="471"/>
      <c r="Q2904" s="468"/>
      <c r="R2904" s="469"/>
      <c r="S2904" s="469"/>
      <c r="T2904" s="469"/>
      <c r="U2904" s="469"/>
      <c r="V2904" s="469"/>
      <c r="W2904" s="469"/>
      <c r="X2904" s="469"/>
      <c r="Y2904" s="462">
        <f t="shared" si="17"/>
        <v>0</v>
      </c>
      <c r="Z2904" s="463"/>
      <c r="AA2904" s="464"/>
      <c r="AB2904" s="465"/>
      <c r="AC2904" s="465"/>
      <c r="AD2904" s="465"/>
      <c r="AE2904" s="466"/>
      <c r="AF2904" s="449"/>
      <c r="AG2904" s="449"/>
      <c r="AH2904" s="449"/>
    </row>
    <row r="2905" ht="11.25" customHeight="1">
      <c r="A2905" s="450"/>
      <c r="B2905" s="472"/>
      <c r="C2905" s="473"/>
      <c r="D2905" s="473"/>
      <c r="E2905" s="474"/>
      <c r="F2905" s="474"/>
      <c r="G2905" s="475"/>
      <c r="H2905" s="475"/>
      <c r="I2905" s="476"/>
      <c r="J2905" s="477"/>
      <c r="K2905" s="478" t="s">
        <v>1418</v>
      </c>
      <c r="L2905" s="479"/>
      <c r="M2905" s="480"/>
      <c r="N2905" s="481"/>
      <c r="O2905" s="481"/>
      <c r="P2905" s="482"/>
      <c r="Q2905" s="479"/>
      <c r="R2905" s="480"/>
      <c r="S2905" s="480"/>
      <c r="T2905" s="480"/>
      <c r="U2905" s="480"/>
      <c r="V2905" s="480"/>
      <c r="W2905" s="480"/>
      <c r="X2905" s="480"/>
      <c r="Y2905" s="483">
        <f t="shared" si="17"/>
        <v>0</v>
      </c>
      <c r="Z2905" s="484"/>
      <c r="AA2905" s="485"/>
      <c r="AB2905" s="486"/>
      <c r="AC2905" s="486"/>
      <c r="AD2905" s="486"/>
      <c r="AE2905" s="487"/>
      <c r="AF2905" s="449"/>
      <c r="AG2905" s="449"/>
      <c r="AH2905" s="449"/>
    </row>
    <row r="2906" ht="11.25" customHeight="1">
      <c r="A2906" s="431" t="str">
        <f>IF(B2906="","", YEAR(B2906))</f>
        <v/>
      </c>
      <c r="B2906" s="432"/>
      <c r="C2906" s="433"/>
      <c r="D2906" s="433"/>
      <c r="E2906" s="434" t="str">
        <f t="shared" ref="E2906:I2906" si="1460">IFERROR(AVERAGE(L2906:L2909),"")</f>
        <v/>
      </c>
      <c r="F2906" s="434" t="str">
        <f t="shared" si="1460"/>
        <v/>
      </c>
      <c r="G2906" s="435" t="str">
        <f t="shared" si="1460"/>
        <v/>
      </c>
      <c r="H2906" s="435" t="str">
        <f t="shared" si="1460"/>
        <v/>
      </c>
      <c r="I2906" s="436" t="str">
        <f t="shared" si="1460"/>
        <v/>
      </c>
      <c r="J2906" s="437">
        <f>SUMIFS(PRODUCTION[KG],PRODUCTION[GRADE],"3X50",PRODUCTION[DATE],B2906,PRODUCTION[BATCH],C2906,PRODUCTION[SHIFT],D2906)</f>
        <v>0</v>
      </c>
      <c r="K2906" s="438" t="s">
        <v>1414</v>
      </c>
      <c r="L2906" s="443"/>
      <c r="M2906" s="440"/>
      <c r="N2906" s="441"/>
      <c r="O2906" s="441"/>
      <c r="P2906" s="442"/>
      <c r="Q2906" s="443"/>
      <c r="R2906" s="440"/>
      <c r="S2906" s="440"/>
      <c r="T2906" s="440"/>
      <c r="U2906" s="440"/>
      <c r="V2906" s="440"/>
      <c r="W2906" s="440"/>
      <c r="X2906" s="440"/>
      <c r="Y2906" s="444">
        <f t="shared" si="17"/>
        <v>0</v>
      </c>
      <c r="Z2906" s="445"/>
      <c r="AA2906" s="446">
        <f t="shared" ref="AA2906:AE2906" si="1461">$J2906*E2906</f>
        <v>0</v>
      </c>
      <c r="AB2906" s="447">
        <f t="shared" si="1461"/>
        <v>0</v>
      </c>
      <c r="AC2906" s="447">
        <f t="shared" si="1461"/>
        <v>0</v>
      </c>
      <c r="AD2906" s="447">
        <f t="shared" si="1461"/>
        <v>0</v>
      </c>
      <c r="AE2906" s="448">
        <f t="shared" si="1461"/>
        <v>0</v>
      </c>
      <c r="AF2906" s="449"/>
      <c r="AG2906" s="449"/>
      <c r="AH2906" s="449"/>
    </row>
    <row r="2907" ht="11.25" customHeight="1">
      <c r="A2907" s="450"/>
      <c r="B2907" s="451"/>
      <c r="C2907" s="452"/>
      <c r="D2907" s="452"/>
      <c r="E2907" s="453"/>
      <c r="F2907" s="453"/>
      <c r="G2907" s="454"/>
      <c r="H2907" s="454"/>
      <c r="I2907" s="455"/>
      <c r="J2907" s="456"/>
      <c r="K2907" s="457" t="s">
        <v>1416</v>
      </c>
      <c r="L2907" s="458"/>
      <c r="M2907" s="459"/>
      <c r="N2907" s="460"/>
      <c r="O2907" s="460"/>
      <c r="P2907" s="461"/>
      <c r="Q2907" s="458"/>
      <c r="R2907" s="459"/>
      <c r="S2907" s="459"/>
      <c r="T2907" s="459"/>
      <c r="U2907" s="459"/>
      <c r="V2907" s="459"/>
      <c r="W2907" s="459"/>
      <c r="X2907" s="459"/>
      <c r="Y2907" s="462">
        <f t="shared" si="17"/>
        <v>0</v>
      </c>
      <c r="Z2907" s="463"/>
      <c r="AA2907" s="464"/>
      <c r="AB2907" s="465"/>
      <c r="AC2907" s="465"/>
      <c r="AD2907" s="465"/>
      <c r="AE2907" s="466"/>
      <c r="AF2907" s="449"/>
      <c r="AG2907" s="449"/>
      <c r="AH2907" s="449"/>
    </row>
    <row r="2908" ht="11.25" customHeight="1">
      <c r="A2908" s="450"/>
      <c r="B2908" s="451"/>
      <c r="C2908" s="452"/>
      <c r="D2908" s="452"/>
      <c r="E2908" s="453"/>
      <c r="F2908" s="453"/>
      <c r="G2908" s="454"/>
      <c r="H2908" s="454"/>
      <c r="I2908" s="455"/>
      <c r="J2908" s="456"/>
      <c r="K2908" s="467" t="s">
        <v>1417</v>
      </c>
      <c r="L2908" s="468"/>
      <c r="M2908" s="469"/>
      <c r="N2908" s="470"/>
      <c r="O2908" s="470"/>
      <c r="P2908" s="471"/>
      <c r="Q2908" s="468"/>
      <c r="R2908" s="469"/>
      <c r="S2908" s="469"/>
      <c r="T2908" s="469"/>
      <c r="U2908" s="469"/>
      <c r="V2908" s="469"/>
      <c r="W2908" s="469"/>
      <c r="X2908" s="469"/>
      <c r="Y2908" s="462">
        <f t="shared" si="17"/>
        <v>0</v>
      </c>
      <c r="Z2908" s="463"/>
      <c r="AA2908" s="464"/>
      <c r="AB2908" s="465"/>
      <c r="AC2908" s="465"/>
      <c r="AD2908" s="465"/>
      <c r="AE2908" s="466"/>
      <c r="AF2908" s="449"/>
      <c r="AG2908" s="449"/>
      <c r="AH2908" s="449"/>
    </row>
    <row r="2909" ht="11.25" customHeight="1">
      <c r="A2909" s="450"/>
      <c r="B2909" s="472"/>
      <c r="C2909" s="473"/>
      <c r="D2909" s="473"/>
      <c r="E2909" s="474"/>
      <c r="F2909" s="474"/>
      <c r="G2909" s="475"/>
      <c r="H2909" s="475"/>
      <c r="I2909" s="476"/>
      <c r="J2909" s="477"/>
      <c r="K2909" s="478" t="s">
        <v>1418</v>
      </c>
      <c r="L2909" s="479"/>
      <c r="M2909" s="480"/>
      <c r="N2909" s="481"/>
      <c r="O2909" s="481"/>
      <c r="P2909" s="482"/>
      <c r="Q2909" s="479"/>
      <c r="R2909" s="480"/>
      <c r="S2909" s="480"/>
      <c r="T2909" s="480"/>
      <c r="U2909" s="480"/>
      <c r="V2909" s="480"/>
      <c r="W2909" s="480"/>
      <c r="X2909" s="480"/>
      <c r="Y2909" s="483">
        <f t="shared" si="17"/>
        <v>0</v>
      </c>
      <c r="Z2909" s="484"/>
      <c r="AA2909" s="485"/>
      <c r="AB2909" s="486"/>
      <c r="AC2909" s="486"/>
      <c r="AD2909" s="486"/>
      <c r="AE2909" s="487"/>
      <c r="AF2909" s="449"/>
      <c r="AG2909" s="449"/>
      <c r="AH2909" s="449"/>
    </row>
    <row r="2910" ht="11.25" customHeight="1">
      <c r="A2910" s="431" t="str">
        <f>IF(B2910="","", YEAR(B2910))</f>
        <v/>
      </c>
      <c r="B2910" s="432"/>
      <c r="C2910" s="433"/>
      <c r="D2910" s="433"/>
      <c r="E2910" s="434" t="str">
        <f t="shared" ref="E2910:I2910" si="1462">IFERROR(AVERAGE(L2910:L2913),"")</f>
        <v/>
      </c>
      <c r="F2910" s="434" t="str">
        <f t="shared" si="1462"/>
        <v/>
      </c>
      <c r="G2910" s="435" t="str">
        <f t="shared" si="1462"/>
        <v/>
      </c>
      <c r="H2910" s="435" t="str">
        <f t="shared" si="1462"/>
        <v/>
      </c>
      <c r="I2910" s="436" t="str">
        <f t="shared" si="1462"/>
        <v/>
      </c>
      <c r="J2910" s="437">
        <f>SUMIFS(PRODUCTION[KG],PRODUCTION[GRADE],"3X50",PRODUCTION[DATE],B2910,PRODUCTION[BATCH],C2910,PRODUCTION[SHIFT],D2910)</f>
        <v>0</v>
      </c>
      <c r="K2910" s="438" t="s">
        <v>1414</v>
      </c>
      <c r="L2910" s="443"/>
      <c r="M2910" s="440"/>
      <c r="N2910" s="441"/>
      <c r="O2910" s="441"/>
      <c r="P2910" s="442"/>
      <c r="Q2910" s="443"/>
      <c r="R2910" s="440"/>
      <c r="S2910" s="440"/>
      <c r="T2910" s="440"/>
      <c r="U2910" s="440"/>
      <c r="V2910" s="440"/>
      <c r="W2910" s="440"/>
      <c r="X2910" s="440"/>
      <c r="Y2910" s="444">
        <f t="shared" si="17"/>
        <v>0</v>
      </c>
      <c r="Z2910" s="445"/>
      <c r="AA2910" s="446">
        <f t="shared" ref="AA2910:AE2910" si="1463">$J2910*E2910</f>
        <v>0</v>
      </c>
      <c r="AB2910" s="447">
        <f t="shared" si="1463"/>
        <v>0</v>
      </c>
      <c r="AC2910" s="447">
        <f t="shared" si="1463"/>
        <v>0</v>
      </c>
      <c r="AD2910" s="447">
        <f t="shared" si="1463"/>
        <v>0</v>
      </c>
      <c r="AE2910" s="448">
        <f t="shared" si="1463"/>
        <v>0</v>
      </c>
      <c r="AF2910" s="449"/>
      <c r="AG2910" s="449"/>
      <c r="AH2910" s="449"/>
    </row>
    <row r="2911" ht="11.25" customHeight="1">
      <c r="A2911" s="450"/>
      <c r="B2911" s="451"/>
      <c r="C2911" s="452"/>
      <c r="D2911" s="452"/>
      <c r="E2911" s="453"/>
      <c r="F2911" s="453"/>
      <c r="G2911" s="454"/>
      <c r="H2911" s="454"/>
      <c r="I2911" s="455"/>
      <c r="J2911" s="456"/>
      <c r="K2911" s="457" t="s">
        <v>1416</v>
      </c>
      <c r="L2911" s="458"/>
      <c r="M2911" s="459"/>
      <c r="N2911" s="460"/>
      <c r="O2911" s="460"/>
      <c r="P2911" s="461"/>
      <c r="Q2911" s="458"/>
      <c r="R2911" s="459"/>
      <c r="S2911" s="459"/>
      <c r="T2911" s="459"/>
      <c r="U2911" s="459"/>
      <c r="V2911" s="459"/>
      <c r="W2911" s="459"/>
      <c r="X2911" s="459"/>
      <c r="Y2911" s="462">
        <f t="shared" si="17"/>
        <v>0</v>
      </c>
      <c r="Z2911" s="463"/>
      <c r="AA2911" s="464"/>
      <c r="AB2911" s="465"/>
      <c r="AC2911" s="465"/>
      <c r="AD2911" s="465"/>
      <c r="AE2911" s="466"/>
      <c r="AF2911" s="449"/>
      <c r="AG2911" s="449"/>
      <c r="AH2911" s="449"/>
    </row>
    <row r="2912" ht="11.25" customHeight="1">
      <c r="A2912" s="450"/>
      <c r="B2912" s="451"/>
      <c r="C2912" s="452"/>
      <c r="D2912" s="452"/>
      <c r="E2912" s="453"/>
      <c r="F2912" s="453"/>
      <c r="G2912" s="454"/>
      <c r="H2912" s="454"/>
      <c r="I2912" s="455"/>
      <c r="J2912" s="456"/>
      <c r="K2912" s="467" t="s">
        <v>1417</v>
      </c>
      <c r="L2912" s="468"/>
      <c r="M2912" s="469"/>
      <c r="N2912" s="470"/>
      <c r="O2912" s="470"/>
      <c r="P2912" s="471"/>
      <c r="Q2912" s="468"/>
      <c r="R2912" s="469"/>
      <c r="S2912" s="469"/>
      <c r="T2912" s="469"/>
      <c r="U2912" s="469"/>
      <c r="V2912" s="469"/>
      <c r="W2912" s="469"/>
      <c r="X2912" s="469"/>
      <c r="Y2912" s="462">
        <f t="shared" si="17"/>
        <v>0</v>
      </c>
      <c r="Z2912" s="463"/>
      <c r="AA2912" s="464"/>
      <c r="AB2912" s="465"/>
      <c r="AC2912" s="465"/>
      <c r="AD2912" s="465"/>
      <c r="AE2912" s="466"/>
      <c r="AF2912" s="449"/>
      <c r="AG2912" s="449"/>
      <c r="AH2912" s="449"/>
    </row>
    <row r="2913" ht="11.25" customHeight="1">
      <c r="A2913" s="450"/>
      <c r="B2913" s="472"/>
      <c r="C2913" s="473"/>
      <c r="D2913" s="473"/>
      <c r="E2913" s="474"/>
      <c r="F2913" s="474"/>
      <c r="G2913" s="475"/>
      <c r="H2913" s="475"/>
      <c r="I2913" s="476"/>
      <c r="J2913" s="477"/>
      <c r="K2913" s="478" t="s">
        <v>1418</v>
      </c>
      <c r="L2913" s="479"/>
      <c r="M2913" s="480"/>
      <c r="N2913" s="481"/>
      <c r="O2913" s="481"/>
      <c r="P2913" s="482"/>
      <c r="Q2913" s="479"/>
      <c r="R2913" s="480"/>
      <c r="S2913" s="480"/>
      <c r="T2913" s="480"/>
      <c r="U2913" s="480"/>
      <c r="V2913" s="480"/>
      <c r="W2913" s="480"/>
      <c r="X2913" s="480"/>
      <c r="Y2913" s="483">
        <f t="shared" si="17"/>
        <v>0</v>
      </c>
      <c r="Z2913" s="484"/>
      <c r="AA2913" s="485"/>
      <c r="AB2913" s="486"/>
      <c r="AC2913" s="486"/>
      <c r="AD2913" s="486"/>
      <c r="AE2913" s="487"/>
      <c r="AF2913" s="449"/>
      <c r="AG2913" s="449"/>
      <c r="AH2913" s="449"/>
    </row>
    <row r="2914" ht="11.25" customHeight="1">
      <c r="A2914" s="431" t="str">
        <f>IF(B2914="","", YEAR(B2914))</f>
        <v/>
      </c>
      <c r="B2914" s="432"/>
      <c r="C2914" s="433"/>
      <c r="D2914" s="433"/>
      <c r="E2914" s="434" t="str">
        <f t="shared" ref="E2914:I2914" si="1464">IFERROR(AVERAGE(L2914:L2917),"")</f>
        <v/>
      </c>
      <c r="F2914" s="434" t="str">
        <f t="shared" si="1464"/>
        <v/>
      </c>
      <c r="G2914" s="435" t="str">
        <f t="shared" si="1464"/>
        <v/>
      </c>
      <c r="H2914" s="435" t="str">
        <f t="shared" si="1464"/>
        <v/>
      </c>
      <c r="I2914" s="436" t="str">
        <f t="shared" si="1464"/>
        <v/>
      </c>
      <c r="J2914" s="437">
        <f>SUMIFS(PRODUCTION[KG],PRODUCTION[GRADE],"3X50",PRODUCTION[DATE],B2914,PRODUCTION[BATCH],C2914,PRODUCTION[SHIFT],D2914)</f>
        <v>0</v>
      </c>
      <c r="K2914" s="438" t="s">
        <v>1414</v>
      </c>
      <c r="L2914" s="443"/>
      <c r="M2914" s="440"/>
      <c r="N2914" s="441"/>
      <c r="O2914" s="441"/>
      <c r="P2914" s="442"/>
      <c r="Q2914" s="443"/>
      <c r="R2914" s="440"/>
      <c r="S2914" s="440"/>
      <c r="T2914" s="440"/>
      <c r="U2914" s="440"/>
      <c r="V2914" s="440"/>
      <c r="W2914" s="440"/>
      <c r="X2914" s="440"/>
      <c r="Y2914" s="444">
        <f t="shared" si="17"/>
        <v>0</v>
      </c>
      <c r="Z2914" s="445"/>
      <c r="AA2914" s="446">
        <f t="shared" ref="AA2914:AE2914" si="1465">$J2914*E2914</f>
        <v>0</v>
      </c>
      <c r="AB2914" s="447">
        <f t="shared" si="1465"/>
        <v>0</v>
      </c>
      <c r="AC2914" s="447">
        <f t="shared" si="1465"/>
        <v>0</v>
      </c>
      <c r="AD2914" s="447">
        <f t="shared" si="1465"/>
        <v>0</v>
      </c>
      <c r="AE2914" s="448">
        <f t="shared" si="1465"/>
        <v>0</v>
      </c>
      <c r="AF2914" s="449"/>
      <c r="AG2914" s="449"/>
      <c r="AH2914" s="449"/>
    </row>
    <row r="2915" ht="11.25" customHeight="1">
      <c r="A2915" s="450"/>
      <c r="B2915" s="451"/>
      <c r="C2915" s="452"/>
      <c r="D2915" s="452"/>
      <c r="E2915" s="453"/>
      <c r="F2915" s="453"/>
      <c r="G2915" s="454"/>
      <c r="H2915" s="454"/>
      <c r="I2915" s="455"/>
      <c r="J2915" s="456"/>
      <c r="K2915" s="457" t="s">
        <v>1416</v>
      </c>
      <c r="L2915" s="458"/>
      <c r="M2915" s="459"/>
      <c r="N2915" s="460"/>
      <c r="O2915" s="460"/>
      <c r="P2915" s="461"/>
      <c r="Q2915" s="458"/>
      <c r="R2915" s="459"/>
      <c r="S2915" s="459"/>
      <c r="T2915" s="459"/>
      <c r="U2915" s="459"/>
      <c r="V2915" s="459"/>
      <c r="W2915" s="459"/>
      <c r="X2915" s="459"/>
      <c r="Y2915" s="462">
        <f t="shared" si="17"/>
        <v>0</v>
      </c>
      <c r="Z2915" s="463"/>
      <c r="AA2915" s="464"/>
      <c r="AB2915" s="465"/>
      <c r="AC2915" s="465"/>
      <c r="AD2915" s="465"/>
      <c r="AE2915" s="466"/>
      <c r="AF2915" s="449"/>
      <c r="AG2915" s="449"/>
      <c r="AH2915" s="449"/>
    </row>
    <row r="2916" ht="11.25" customHeight="1">
      <c r="A2916" s="450"/>
      <c r="B2916" s="451"/>
      <c r="C2916" s="452"/>
      <c r="D2916" s="452"/>
      <c r="E2916" s="453"/>
      <c r="F2916" s="453"/>
      <c r="G2916" s="454"/>
      <c r="H2916" s="454"/>
      <c r="I2916" s="455"/>
      <c r="J2916" s="456"/>
      <c r="K2916" s="467" t="s">
        <v>1417</v>
      </c>
      <c r="L2916" s="468"/>
      <c r="M2916" s="469"/>
      <c r="N2916" s="470"/>
      <c r="O2916" s="470"/>
      <c r="P2916" s="471"/>
      <c r="Q2916" s="468"/>
      <c r="R2916" s="469"/>
      <c r="S2916" s="469"/>
      <c r="T2916" s="469"/>
      <c r="U2916" s="469"/>
      <c r="V2916" s="469"/>
      <c r="W2916" s="469"/>
      <c r="X2916" s="469"/>
      <c r="Y2916" s="462">
        <f t="shared" si="17"/>
        <v>0</v>
      </c>
      <c r="Z2916" s="463"/>
      <c r="AA2916" s="464"/>
      <c r="AB2916" s="465"/>
      <c r="AC2916" s="465"/>
      <c r="AD2916" s="465"/>
      <c r="AE2916" s="466"/>
      <c r="AF2916" s="449"/>
      <c r="AG2916" s="449"/>
      <c r="AH2916" s="449"/>
    </row>
    <row r="2917" ht="11.25" customHeight="1">
      <c r="A2917" s="450"/>
      <c r="B2917" s="472"/>
      <c r="C2917" s="473"/>
      <c r="D2917" s="473"/>
      <c r="E2917" s="474"/>
      <c r="F2917" s="474"/>
      <c r="G2917" s="475"/>
      <c r="H2917" s="475"/>
      <c r="I2917" s="476"/>
      <c r="J2917" s="477"/>
      <c r="K2917" s="478" t="s">
        <v>1418</v>
      </c>
      <c r="L2917" s="479"/>
      <c r="M2917" s="480"/>
      <c r="N2917" s="481"/>
      <c r="O2917" s="481"/>
      <c r="P2917" s="482"/>
      <c r="Q2917" s="479"/>
      <c r="R2917" s="480"/>
      <c r="S2917" s="480"/>
      <c r="T2917" s="480"/>
      <c r="U2917" s="480"/>
      <c r="V2917" s="480"/>
      <c r="W2917" s="480"/>
      <c r="X2917" s="480"/>
      <c r="Y2917" s="483">
        <f t="shared" si="17"/>
        <v>0</v>
      </c>
      <c r="Z2917" s="484"/>
      <c r="AA2917" s="485"/>
      <c r="AB2917" s="486"/>
      <c r="AC2917" s="486"/>
      <c r="AD2917" s="486"/>
      <c r="AE2917" s="487"/>
      <c r="AF2917" s="449"/>
      <c r="AG2917" s="449"/>
      <c r="AH2917" s="449"/>
    </row>
    <row r="2918" ht="11.25" customHeight="1">
      <c r="A2918" s="431" t="str">
        <f>IF(B2918="","", YEAR(B2918))</f>
        <v/>
      </c>
      <c r="B2918" s="432"/>
      <c r="C2918" s="433"/>
      <c r="D2918" s="433"/>
      <c r="E2918" s="434" t="str">
        <f t="shared" ref="E2918:I2918" si="1466">IFERROR(AVERAGE(L2918:L2921),"")</f>
        <v/>
      </c>
      <c r="F2918" s="434" t="str">
        <f t="shared" si="1466"/>
        <v/>
      </c>
      <c r="G2918" s="435" t="str">
        <f t="shared" si="1466"/>
        <v/>
      </c>
      <c r="H2918" s="435" t="str">
        <f t="shared" si="1466"/>
        <v/>
      </c>
      <c r="I2918" s="436" t="str">
        <f t="shared" si="1466"/>
        <v/>
      </c>
      <c r="J2918" s="437">
        <f>SUMIFS(PRODUCTION[KG],PRODUCTION[GRADE],"3X50",PRODUCTION[DATE],B2918,PRODUCTION[BATCH],C2918,PRODUCTION[SHIFT],D2918)</f>
        <v>0</v>
      </c>
      <c r="K2918" s="438" t="s">
        <v>1414</v>
      </c>
      <c r="L2918" s="443"/>
      <c r="M2918" s="440"/>
      <c r="N2918" s="441"/>
      <c r="O2918" s="441"/>
      <c r="P2918" s="442"/>
      <c r="Q2918" s="443"/>
      <c r="R2918" s="440"/>
      <c r="S2918" s="440"/>
      <c r="T2918" s="440"/>
      <c r="U2918" s="440"/>
      <c r="V2918" s="440"/>
      <c r="W2918" s="440"/>
      <c r="X2918" s="440"/>
      <c r="Y2918" s="444">
        <f t="shared" si="17"/>
        <v>0</v>
      </c>
      <c r="Z2918" s="445"/>
      <c r="AA2918" s="446">
        <f t="shared" ref="AA2918:AE2918" si="1467">$J2918*E2918</f>
        <v>0</v>
      </c>
      <c r="AB2918" s="447">
        <f t="shared" si="1467"/>
        <v>0</v>
      </c>
      <c r="AC2918" s="447">
        <f t="shared" si="1467"/>
        <v>0</v>
      </c>
      <c r="AD2918" s="447">
        <f t="shared" si="1467"/>
        <v>0</v>
      </c>
      <c r="AE2918" s="448">
        <f t="shared" si="1467"/>
        <v>0</v>
      </c>
      <c r="AF2918" s="449"/>
      <c r="AG2918" s="449"/>
      <c r="AH2918" s="449"/>
    </row>
    <row r="2919" ht="11.25" customHeight="1">
      <c r="A2919" s="450"/>
      <c r="B2919" s="451"/>
      <c r="C2919" s="452"/>
      <c r="D2919" s="452"/>
      <c r="E2919" s="453"/>
      <c r="F2919" s="453"/>
      <c r="G2919" s="454"/>
      <c r="H2919" s="454"/>
      <c r="I2919" s="455"/>
      <c r="J2919" s="456"/>
      <c r="K2919" s="457" t="s">
        <v>1416</v>
      </c>
      <c r="L2919" s="458"/>
      <c r="M2919" s="459"/>
      <c r="N2919" s="460"/>
      <c r="O2919" s="460"/>
      <c r="P2919" s="461"/>
      <c r="Q2919" s="458"/>
      <c r="R2919" s="459"/>
      <c r="S2919" s="459"/>
      <c r="T2919" s="459"/>
      <c r="U2919" s="459"/>
      <c r="V2919" s="459"/>
      <c r="W2919" s="459"/>
      <c r="X2919" s="459"/>
      <c r="Y2919" s="462">
        <f t="shared" si="17"/>
        <v>0</v>
      </c>
      <c r="Z2919" s="463"/>
      <c r="AA2919" s="464"/>
      <c r="AB2919" s="465"/>
      <c r="AC2919" s="465"/>
      <c r="AD2919" s="465"/>
      <c r="AE2919" s="466"/>
      <c r="AF2919" s="449"/>
      <c r="AG2919" s="449"/>
      <c r="AH2919" s="449"/>
    </row>
    <row r="2920" ht="11.25" customHeight="1">
      <c r="A2920" s="450"/>
      <c r="B2920" s="451"/>
      <c r="C2920" s="452"/>
      <c r="D2920" s="452"/>
      <c r="E2920" s="453"/>
      <c r="F2920" s="453"/>
      <c r="G2920" s="454"/>
      <c r="H2920" s="454"/>
      <c r="I2920" s="455"/>
      <c r="J2920" s="456"/>
      <c r="K2920" s="467" t="s">
        <v>1417</v>
      </c>
      <c r="L2920" s="468"/>
      <c r="M2920" s="469"/>
      <c r="N2920" s="470"/>
      <c r="O2920" s="470"/>
      <c r="P2920" s="471"/>
      <c r="Q2920" s="468"/>
      <c r="R2920" s="469"/>
      <c r="S2920" s="469"/>
      <c r="T2920" s="469"/>
      <c r="U2920" s="469"/>
      <c r="V2920" s="469"/>
      <c r="W2920" s="469"/>
      <c r="X2920" s="469"/>
      <c r="Y2920" s="462">
        <f t="shared" si="17"/>
        <v>0</v>
      </c>
      <c r="Z2920" s="463"/>
      <c r="AA2920" s="464"/>
      <c r="AB2920" s="465"/>
      <c r="AC2920" s="465"/>
      <c r="AD2920" s="465"/>
      <c r="AE2920" s="466"/>
      <c r="AF2920" s="449"/>
      <c r="AG2920" s="449"/>
      <c r="AH2920" s="449"/>
    </row>
    <row r="2921" ht="11.25" customHeight="1">
      <c r="A2921" s="450"/>
      <c r="B2921" s="472"/>
      <c r="C2921" s="473"/>
      <c r="D2921" s="473"/>
      <c r="E2921" s="474"/>
      <c r="F2921" s="474"/>
      <c r="G2921" s="475"/>
      <c r="H2921" s="475"/>
      <c r="I2921" s="476"/>
      <c r="J2921" s="477"/>
      <c r="K2921" s="478" t="s">
        <v>1418</v>
      </c>
      <c r="L2921" s="479"/>
      <c r="M2921" s="480"/>
      <c r="N2921" s="481"/>
      <c r="O2921" s="481"/>
      <c r="P2921" s="482"/>
      <c r="Q2921" s="479"/>
      <c r="R2921" s="480"/>
      <c r="S2921" s="480"/>
      <c r="T2921" s="480"/>
      <c r="U2921" s="480"/>
      <c r="V2921" s="480"/>
      <c r="W2921" s="480"/>
      <c r="X2921" s="480"/>
      <c r="Y2921" s="483">
        <f t="shared" si="17"/>
        <v>0</v>
      </c>
      <c r="Z2921" s="484"/>
      <c r="AA2921" s="485"/>
      <c r="AB2921" s="486"/>
      <c r="AC2921" s="486"/>
      <c r="AD2921" s="486"/>
      <c r="AE2921" s="487"/>
      <c r="AF2921" s="449"/>
      <c r="AG2921" s="449"/>
      <c r="AH2921" s="449"/>
    </row>
    <row r="2922" ht="11.25" customHeight="1">
      <c r="A2922" s="431" t="str">
        <f>IF(B2922="","", YEAR(B2922))</f>
        <v/>
      </c>
      <c r="B2922" s="432"/>
      <c r="C2922" s="433"/>
      <c r="D2922" s="433"/>
      <c r="E2922" s="434" t="str">
        <f t="shared" ref="E2922:I2922" si="1468">IFERROR(AVERAGE(L2922:L2925),"")</f>
        <v/>
      </c>
      <c r="F2922" s="434" t="str">
        <f t="shared" si="1468"/>
        <v/>
      </c>
      <c r="G2922" s="435" t="str">
        <f t="shared" si="1468"/>
        <v/>
      </c>
      <c r="H2922" s="435" t="str">
        <f t="shared" si="1468"/>
        <v/>
      </c>
      <c r="I2922" s="436" t="str">
        <f t="shared" si="1468"/>
        <v/>
      </c>
      <c r="J2922" s="437">
        <f>SUMIFS(PRODUCTION[KG],PRODUCTION[GRADE],"3X50",PRODUCTION[DATE],B2922,PRODUCTION[BATCH],C2922,PRODUCTION[SHIFT],D2922)</f>
        <v>0</v>
      </c>
      <c r="K2922" s="438" t="s">
        <v>1414</v>
      </c>
      <c r="L2922" s="443"/>
      <c r="M2922" s="440"/>
      <c r="N2922" s="441"/>
      <c r="O2922" s="441"/>
      <c r="P2922" s="442"/>
      <c r="Q2922" s="443"/>
      <c r="R2922" s="440"/>
      <c r="S2922" s="440"/>
      <c r="T2922" s="440"/>
      <c r="U2922" s="440"/>
      <c r="V2922" s="440"/>
      <c r="W2922" s="440"/>
      <c r="X2922" s="440"/>
      <c r="Y2922" s="444">
        <f t="shared" si="17"/>
        <v>0</v>
      </c>
      <c r="Z2922" s="445"/>
      <c r="AA2922" s="446">
        <f t="shared" ref="AA2922:AE2922" si="1469">$J2922*E2922</f>
        <v>0</v>
      </c>
      <c r="AB2922" s="447">
        <f t="shared" si="1469"/>
        <v>0</v>
      </c>
      <c r="AC2922" s="447">
        <f t="shared" si="1469"/>
        <v>0</v>
      </c>
      <c r="AD2922" s="447">
        <f t="shared" si="1469"/>
        <v>0</v>
      </c>
      <c r="AE2922" s="448">
        <f t="shared" si="1469"/>
        <v>0</v>
      </c>
      <c r="AF2922" s="449"/>
      <c r="AG2922" s="449"/>
      <c r="AH2922" s="449"/>
    </row>
    <row r="2923" ht="11.25" customHeight="1">
      <c r="A2923" s="450"/>
      <c r="B2923" s="451"/>
      <c r="C2923" s="452"/>
      <c r="D2923" s="452"/>
      <c r="E2923" s="453"/>
      <c r="F2923" s="453"/>
      <c r="G2923" s="454"/>
      <c r="H2923" s="454"/>
      <c r="I2923" s="455"/>
      <c r="J2923" s="456"/>
      <c r="K2923" s="457" t="s">
        <v>1416</v>
      </c>
      <c r="L2923" s="458"/>
      <c r="M2923" s="459"/>
      <c r="N2923" s="460"/>
      <c r="O2923" s="460"/>
      <c r="P2923" s="461"/>
      <c r="Q2923" s="458"/>
      <c r="R2923" s="459"/>
      <c r="S2923" s="459"/>
      <c r="T2923" s="459"/>
      <c r="U2923" s="459"/>
      <c r="V2923" s="459"/>
      <c r="W2923" s="459"/>
      <c r="X2923" s="459"/>
      <c r="Y2923" s="462">
        <f t="shared" si="17"/>
        <v>0</v>
      </c>
      <c r="Z2923" s="463"/>
      <c r="AA2923" s="464"/>
      <c r="AB2923" s="465"/>
      <c r="AC2923" s="465"/>
      <c r="AD2923" s="465"/>
      <c r="AE2923" s="466"/>
      <c r="AF2923" s="449"/>
      <c r="AG2923" s="449"/>
      <c r="AH2923" s="449"/>
    </row>
    <row r="2924" ht="11.25" customHeight="1">
      <c r="A2924" s="450"/>
      <c r="B2924" s="451"/>
      <c r="C2924" s="452"/>
      <c r="D2924" s="452"/>
      <c r="E2924" s="453"/>
      <c r="F2924" s="453"/>
      <c r="G2924" s="454"/>
      <c r="H2924" s="454"/>
      <c r="I2924" s="455"/>
      <c r="J2924" s="456"/>
      <c r="K2924" s="467" t="s">
        <v>1417</v>
      </c>
      <c r="L2924" s="468"/>
      <c r="M2924" s="469"/>
      <c r="N2924" s="470"/>
      <c r="O2924" s="470"/>
      <c r="P2924" s="471"/>
      <c r="Q2924" s="468"/>
      <c r="R2924" s="469"/>
      <c r="S2924" s="469"/>
      <c r="T2924" s="469"/>
      <c r="U2924" s="469"/>
      <c r="V2924" s="469"/>
      <c r="W2924" s="469"/>
      <c r="X2924" s="469"/>
      <c r="Y2924" s="462">
        <f t="shared" si="17"/>
        <v>0</v>
      </c>
      <c r="Z2924" s="463"/>
      <c r="AA2924" s="464"/>
      <c r="AB2924" s="465"/>
      <c r="AC2924" s="465"/>
      <c r="AD2924" s="465"/>
      <c r="AE2924" s="466"/>
      <c r="AF2924" s="449"/>
      <c r="AG2924" s="449"/>
      <c r="AH2924" s="449"/>
    </row>
    <row r="2925" ht="11.25" customHeight="1">
      <c r="A2925" s="450"/>
      <c r="B2925" s="472"/>
      <c r="C2925" s="473"/>
      <c r="D2925" s="473"/>
      <c r="E2925" s="474"/>
      <c r="F2925" s="474"/>
      <c r="G2925" s="475"/>
      <c r="H2925" s="475"/>
      <c r="I2925" s="476"/>
      <c r="J2925" s="477"/>
      <c r="K2925" s="478" t="s">
        <v>1418</v>
      </c>
      <c r="L2925" s="479"/>
      <c r="M2925" s="480"/>
      <c r="N2925" s="481"/>
      <c r="O2925" s="481"/>
      <c r="P2925" s="482"/>
      <c r="Q2925" s="479"/>
      <c r="R2925" s="480"/>
      <c r="S2925" s="480"/>
      <c r="T2925" s="480"/>
      <c r="U2925" s="480"/>
      <c r="V2925" s="480"/>
      <c r="W2925" s="480"/>
      <c r="X2925" s="480"/>
      <c r="Y2925" s="483">
        <f t="shared" si="17"/>
        <v>0</v>
      </c>
      <c r="Z2925" s="484"/>
      <c r="AA2925" s="485"/>
      <c r="AB2925" s="486"/>
      <c r="AC2925" s="486"/>
      <c r="AD2925" s="486"/>
      <c r="AE2925" s="487"/>
      <c r="AF2925" s="449"/>
      <c r="AG2925" s="449"/>
      <c r="AH2925" s="449"/>
    </row>
    <row r="2926" ht="11.25" customHeight="1">
      <c r="A2926" s="431" t="str">
        <f>IF(B2926="","", YEAR(B2926))</f>
        <v/>
      </c>
      <c r="B2926" s="432"/>
      <c r="C2926" s="433"/>
      <c r="D2926" s="433"/>
      <c r="E2926" s="434" t="str">
        <f t="shared" ref="E2926:I2926" si="1470">IFERROR(AVERAGE(L2926:L2929),"")</f>
        <v/>
      </c>
      <c r="F2926" s="434" t="str">
        <f t="shared" si="1470"/>
        <v/>
      </c>
      <c r="G2926" s="435" t="str">
        <f t="shared" si="1470"/>
        <v/>
      </c>
      <c r="H2926" s="435" t="str">
        <f t="shared" si="1470"/>
        <v/>
      </c>
      <c r="I2926" s="436" t="str">
        <f t="shared" si="1470"/>
        <v/>
      </c>
      <c r="J2926" s="437">
        <f>SUMIFS(PRODUCTION[KG],PRODUCTION[GRADE],"3X50",PRODUCTION[DATE],B2926,PRODUCTION[BATCH],C2926,PRODUCTION[SHIFT],D2926)</f>
        <v>0</v>
      </c>
      <c r="K2926" s="438" t="s">
        <v>1414</v>
      </c>
      <c r="L2926" s="443"/>
      <c r="M2926" s="440"/>
      <c r="N2926" s="441"/>
      <c r="O2926" s="441"/>
      <c r="P2926" s="442"/>
      <c r="Q2926" s="443"/>
      <c r="R2926" s="440"/>
      <c r="S2926" s="440"/>
      <c r="T2926" s="440"/>
      <c r="U2926" s="440"/>
      <c r="V2926" s="440"/>
      <c r="W2926" s="440"/>
      <c r="X2926" s="440"/>
      <c r="Y2926" s="444">
        <f t="shared" si="17"/>
        <v>0</v>
      </c>
      <c r="Z2926" s="445"/>
      <c r="AA2926" s="446">
        <f t="shared" ref="AA2926:AE2926" si="1471">$J2926*E2926</f>
        <v>0</v>
      </c>
      <c r="AB2926" s="447">
        <f t="shared" si="1471"/>
        <v>0</v>
      </c>
      <c r="AC2926" s="447">
        <f t="shared" si="1471"/>
        <v>0</v>
      </c>
      <c r="AD2926" s="447">
        <f t="shared" si="1471"/>
        <v>0</v>
      </c>
      <c r="AE2926" s="448">
        <f t="shared" si="1471"/>
        <v>0</v>
      </c>
      <c r="AF2926" s="449"/>
      <c r="AG2926" s="449"/>
      <c r="AH2926" s="449"/>
    </row>
    <row r="2927" ht="11.25" customHeight="1">
      <c r="A2927" s="450"/>
      <c r="B2927" s="451"/>
      <c r="C2927" s="452"/>
      <c r="D2927" s="452"/>
      <c r="E2927" s="453"/>
      <c r="F2927" s="453"/>
      <c r="G2927" s="454"/>
      <c r="H2927" s="454"/>
      <c r="I2927" s="455"/>
      <c r="J2927" s="456"/>
      <c r="K2927" s="457" t="s">
        <v>1416</v>
      </c>
      <c r="L2927" s="458"/>
      <c r="M2927" s="459"/>
      <c r="N2927" s="460"/>
      <c r="O2927" s="460"/>
      <c r="P2927" s="461"/>
      <c r="Q2927" s="458"/>
      <c r="R2927" s="459"/>
      <c r="S2927" s="459"/>
      <c r="T2927" s="459"/>
      <c r="U2927" s="459"/>
      <c r="V2927" s="459"/>
      <c r="W2927" s="459"/>
      <c r="X2927" s="459"/>
      <c r="Y2927" s="462">
        <f t="shared" si="17"/>
        <v>0</v>
      </c>
      <c r="Z2927" s="463"/>
      <c r="AA2927" s="464"/>
      <c r="AB2927" s="465"/>
      <c r="AC2927" s="465"/>
      <c r="AD2927" s="465"/>
      <c r="AE2927" s="466"/>
      <c r="AF2927" s="449"/>
      <c r="AG2927" s="449"/>
      <c r="AH2927" s="449"/>
    </row>
    <row r="2928" ht="11.25" customHeight="1">
      <c r="A2928" s="450"/>
      <c r="B2928" s="451"/>
      <c r="C2928" s="452"/>
      <c r="D2928" s="452"/>
      <c r="E2928" s="453"/>
      <c r="F2928" s="453"/>
      <c r="G2928" s="454"/>
      <c r="H2928" s="454"/>
      <c r="I2928" s="455"/>
      <c r="J2928" s="456"/>
      <c r="K2928" s="467" t="s">
        <v>1417</v>
      </c>
      <c r="L2928" s="468"/>
      <c r="M2928" s="469"/>
      <c r="N2928" s="470"/>
      <c r="O2928" s="470"/>
      <c r="P2928" s="471"/>
      <c r="Q2928" s="468"/>
      <c r="R2928" s="469"/>
      <c r="S2928" s="469"/>
      <c r="T2928" s="469"/>
      <c r="U2928" s="469"/>
      <c r="V2928" s="469"/>
      <c r="W2928" s="469"/>
      <c r="X2928" s="469"/>
      <c r="Y2928" s="462">
        <f t="shared" si="17"/>
        <v>0</v>
      </c>
      <c r="Z2928" s="463"/>
      <c r="AA2928" s="464"/>
      <c r="AB2928" s="465"/>
      <c r="AC2928" s="465"/>
      <c r="AD2928" s="465"/>
      <c r="AE2928" s="466"/>
      <c r="AF2928" s="449"/>
      <c r="AG2928" s="449"/>
      <c r="AH2928" s="449"/>
    </row>
    <row r="2929" ht="11.25" customHeight="1">
      <c r="A2929" s="450"/>
      <c r="B2929" s="472"/>
      <c r="C2929" s="473"/>
      <c r="D2929" s="473"/>
      <c r="E2929" s="474"/>
      <c r="F2929" s="474"/>
      <c r="G2929" s="475"/>
      <c r="H2929" s="475"/>
      <c r="I2929" s="476"/>
      <c r="J2929" s="477"/>
      <c r="K2929" s="478" t="s">
        <v>1418</v>
      </c>
      <c r="L2929" s="479"/>
      <c r="M2929" s="480"/>
      <c r="N2929" s="481"/>
      <c r="O2929" s="481"/>
      <c r="P2929" s="482"/>
      <c r="Q2929" s="479"/>
      <c r="R2929" s="480"/>
      <c r="S2929" s="480"/>
      <c r="T2929" s="480"/>
      <c r="U2929" s="480"/>
      <c r="V2929" s="480"/>
      <c r="W2929" s="480"/>
      <c r="X2929" s="480"/>
      <c r="Y2929" s="483">
        <f t="shared" si="17"/>
        <v>0</v>
      </c>
      <c r="Z2929" s="484"/>
      <c r="AA2929" s="485"/>
      <c r="AB2929" s="486"/>
      <c r="AC2929" s="486"/>
      <c r="AD2929" s="486"/>
      <c r="AE2929" s="487"/>
      <c r="AF2929" s="449"/>
      <c r="AG2929" s="449"/>
      <c r="AH2929" s="449"/>
    </row>
    <row r="2930" ht="11.25" customHeight="1">
      <c r="A2930" s="431" t="str">
        <f>IF(B2930="","", YEAR(B2930))</f>
        <v/>
      </c>
      <c r="B2930" s="432"/>
      <c r="C2930" s="433"/>
      <c r="D2930" s="433"/>
      <c r="E2930" s="434" t="str">
        <f t="shared" ref="E2930:I2930" si="1472">IFERROR(AVERAGE(L2930:L2933),"")</f>
        <v/>
      </c>
      <c r="F2930" s="434" t="str">
        <f t="shared" si="1472"/>
        <v/>
      </c>
      <c r="G2930" s="435" t="str">
        <f t="shared" si="1472"/>
        <v/>
      </c>
      <c r="H2930" s="435" t="str">
        <f t="shared" si="1472"/>
        <v/>
      </c>
      <c r="I2930" s="436" t="str">
        <f t="shared" si="1472"/>
        <v/>
      </c>
      <c r="J2930" s="437">
        <f>SUMIFS(PRODUCTION[KG],PRODUCTION[GRADE],"3X50",PRODUCTION[DATE],B2930,PRODUCTION[BATCH],C2930,PRODUCTION[SHIFT],D2930)</f>
        <v>0</v>
      </c>
      <c r="K2930" s="438" t="s">
        <v>1414</v>
      </c>
      <c r="L2930" s="443"/>
      <c r="M2930" s="440"/>
      <c r="N2930" s="441"/>
      <c r="O2930" s="441"/>
      <c r="P2930" s="442"/>
      <c r="Q2930" s="443"/>
      <c r="R2930" s="440"/>
      <c r="S2930" s="440"/>
      <c r="T2930" s="440"/>
      <c r="U2930" s="440"/>
      <c r="V2930" s="440"/>
      <c r="W2930" s="440"/>
      <c r="X2930" s="440"/>
      <c r="Y2930" s="444">
        <f t="shared" si="17"/>
        <v>0</v>
      </c>
      <c r="Z2930" s="445"/>
      <c r="AA2930" s="446">
        <f t="shared" ref="AA2930:AE2930" si="1473">$J2930*E2930</f>
        <v>0</v>
      </c>
      <c r="AB2930" s="447">
        <f t="shared" si="1473"/>
        <v>0</v>
      </c>
      <c r="AC2930" s="447">
        <f t="shared" si="1473"/>
        <v>0</v>
      </c>
      <c r="AD2930" s="447">
        <f t="shared" si="1473"/>
        <v>0</v>
      </c>
      <c r="AE2930" s="448">
        <f t="shared" si="1473"/>
        <v>0</v>
      </c>
      <c r="AF2930" s="449"/>
      <c r="AG2930" s="449"/>
      <c r="AH2930" s="449"/>
    </row>
    <row r="2931" ht="11.25" customHeight="1">
      <c r="A2931" s="450"/>
      <c r="B2931" s="451"/>
      <c r="C2931" s="452"/>
      <c r="D2931" s="452"/>
      <c r="E2931" s="453"/>
      <c r="F2931" s="453"/>
      <c r="G2931" s="454"/>
      <c r="H2931" s="454"/>
      <c r="I2931" s="455"/>
      <c r="J2931" s="456"/>
      <c r="K2931" s="457" t="s">
        <v>1416</v>
      </c>
      <c r="L2931" s="458"/>
      <c r="M2931" s="459"/>
      <c r="N2931" s="460"/>
      <c r="O2931" s="460"/>
      <c r="P2931" s="461"/>
      <c r="Q2931" s="458"/>
      <c r="R2931" s="459"/>
      <c r="S2931" s="459"/>
      <c r="T2931" s="459"/>
      <c r="U2931" s="459"/>
      <c r="V2931" s="459"/>
      <c r="W2931" s="459"/>
      <c r="X2931" s="459"/>
      <c r="Y2931" s="462">
        <f t="shared" si="17"/>
        <v>0</v>
      </c>
      <c r="Z2931" s="463"/>
      <c r="AA2931" s="464"/>
      <c r="AB2931" s="465"/>
      <c r="AC2931" s="465"/>
      <c r="AD2931" s="465"/>
      <c r="AE2931" s="466"/>
      <c r="AF2931" s="449"/>
      <c r="AG2931" s="449"/>
      <c r="AH2931" s="449"/>
    </row>
    <row r="2932" ht="11.25" customHeight="1">
      <c r="A2932" s="450"/>
      <c r="B2932" s="451"/>
      <c r="C2932" s="452"/>
      <c r="D2932" s="452"/>
      <c r="E2932" s="453"/>
      <c r="F2932" s="453"/>
      <c r="G2932" s="454"/>
      <c r="H2932" s="454"/>
      <c r="I2932" s="455"/>
      <c r="J2932" s="456"/>
      <c r="K2932" s="467" t="s">
        <v>1417</v>
      </c>
      <c r="L2932" s="468"/>
      <c r="M2932" s="469"/>
      <c r="N2932" s="470"/>
      <c r="O2932" s="470"/>
      <c r="P2932" s="471"/>
      <c r="Q2932" s="468"/>
      <c r="R2932" s="469"/>
      <c r="S2932" s="469"/>
      <c r="T2932" s="469"/>
      <c r="U2932" s="469"/>
      <c r="V2932" s="469"/>
      <c r="W2932" s="469"/>
      <c r="X2932" s="469"/>
      <c r="Y2932" s="462">
        <f t="shared" si="17"/>
        <v>0</v>
      </c>
      <c r="Z2932" s="463"/>
      <c r="AA2932" s="464"/>
      <c r="AB2932" s="465"/>
      <c r="AC2932" s="465"/>
      <c r="AD2932" s="465"/>
      <c r="AE2932" s="466"/>
      <c r="AF2932" s="449"/>
      <c r="AG2932" s="449"/>
      <c r="AH2932" s="449"/>
    </row>
    <row r="2933" ht="11.25" customHeight="1">
      <c r="A2933" s="450"/>
      <c r="B2933" s="472"/>
      <c r="C2933" s="473"/>
      <c r="D2933" s="473"/>
      <c r="E2933" s="474"/>
      <c r="F2933" s="474"/>
      <c r="G2933" s="475"/>
      <c r="H2933" s="475"/>
      <c r="I2933" s="476"/>
      <c r="J2933" s="477"/>
      <c r="K2933" s="478" t="s">
        <v>1418</v>
      </c>
      <c r="L2933" s="479"/>
      <c r="M2933" s="480"/>
      <c r="N2933" s="481"/>
      <c r="O2933" s="481"/>
      <c r="P2933" s="482"/>
      <c r="Q2933" s="479"/>
      <c r="R2933" s="480"/>
      <c r="S2933" s="480"/>
      <c r="T2933" s="480"/>
      <c r="U2933" s="480"/>
      <c r="V2933" s="480"/>
      <c r="W2933" s="480"/>
      <c r="X2933" s="480"/>
      <c r="Y2933" s="483">
        <f t="shared" si="17"/>
        <v>0</v>
      </c>
      <c r="Z2933" s="484"/>
      <c r="AA2933" s="485"/>
      <c r="AB2933" s="486"/>
      <c r="AC2933" s="486"/>
      <c r="AD2933" s="486"/>
      <c r="AE2933" s="487"/>
      <c r="AF2933" s="449"/>
      <c r="AG2933" s="449"/>
      <c r="AH2933" s="449"/>
    </row>
    <row r="2934" ht="11.25" customHeight="1">
      <c r="A2934" s="491"/>
      <c r="B2934" s="491"/>
      <c r="C2934" s="449"/>
      <c r="D2934" s="492"/>
      <c r="E2934" s="493"/>
      <c r="F2934" s="493"/>
      <c r="G2934" s="494"/>
      <c r="H2934" s="494"/>
      <c r="I2934" s="493"/>
      <c r="J2934" s="449"/>
      <c r="K2934" s="492"/>
      <c r="L2934" s="493"/>
      <c r="M2934" s="493"/>
      <c r="N2934" s="495"/>
      <c r="O2934" s="495"/>
      <c r="P2934" s="493"/>
      <c r="Q2934" s="493"/>
      <c r="R2934" s="493"/>
      <c r="S2934" s="493"/>
      <c r="T2934" s="493"/>
      <c r="U2934" s="493"/>
      <c r="V2934" s="493"/>
      <c r="W2934" s="493"/>
      <c r="X2934" s="493"/>
      <c r="Y2934" s="449"/>
      <c r="Z2934" s="449"/>
      <c r="AA2934" s="496"/>
      <c r="AB2934" s="496"/>
      <c r="AC2934" s="496"/>
      <c r="AD2934" s="496"/>
      <c r="AE2934" s="496"/>
      <c r="AF2934" s="449"/>
      <c r="AG2934" s="449"/>
      <c r="AH2934" s="449"/>
    </row>
  </sheetData>
  <mergeCells count="22">
    <mergeCell ref="B16:B17"/>
    <mergeCell ref="C16:C17"/>
    <mergeCell ref="D16:D17"/>
    <mergeCell ref="E16:E17"/>
    <mergeCell ref="C1:C2"/>
    <mergeCell ref="D1:D2"/>
    <mergeCell ref="E1:E2"/>
    <mergeCell ref="F1:F2"/>
    <mergeCell ref="G1:H1"/>
    <mergeCell ref="I1:I2"/>
    <mergeCell ref="A16:A17"/>
    <mergeCell ref="I16:I17"/>
    <mergeCell ref="N16:O16"/>
    <mergeCell ref="Q16:X16"/>
    <mergeCell ref="AA16:AE16"/>
    <mergeCell ref="F16:F17"/>
    <mergeCell ref="G16:H16"/>
    <mergeCell ref="J16:J17"/>
    <mergeCell ref="K16:K17"/>
    <mergeCell ref="L16:L17"/>
    <mergeCell ref="M16:M17"/>
    <mergeCell ref="P16:P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4.75"/>
  </cols>
  <sheetData>
    <row r="1">
      <c r="A1" s="497"/>
      <c r="B1" s="498"/>
      <c r="C1" s="498"/>
      <c r="D1" s="498"/>
      <c r="E1" s="498"/>
    </row>
    <row r="2">
      <c r="A2" s="499" t="s">
        <v>17</v>
      </c>
      <c r="B2" s="500" t="s">
        <v>1010</v>
      </c>
      <c r="C2" s="500" t="s">
        <v>1425</v>
      </c>
      <c r="D2" s="500" t="s">
        <v>1398</v>
      </c>
      <c r="E2" s="500" t="s">
        <v>1426</v>
      </c>
      <c r="F2" s="500" t="s">
        <v>28</v>
      </c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  <c r="T2" s="498"/>
      <c r="U2" s="498"/>
      <c r="V2" s="498"/>
      <c r="W2" s="498"/>
      <c r="X2" s="498"/>
      <c r="Y2" s="498"/>
    </row>
    <row r="3" hidden="1">
      <c r="A3" s="501">
        <v>45988.0</v>
      </c>
      <c r="B3" s="295" t="s">
        <v>1352</v>
      </c>
      <c r="C3" s="295" t="s">
        <v>1393</v>
      </c>
      <c r="D3" s="502" t="s">
        <v>1413</v>
      </c>
      <c r="E3" s="502">
        <v>2210.0</v>
      </c>
    </row>
    <row r="4" hidden="1">
      <c r="A4" s="499"/>
      <c r="B4" s="500"/>
      <c r="C4" s="500"/>
      <c r="D4" s="500"/>
      <c r="E4" s="503"/>
    </row>
    <row r="5" hidden="1">
      <c r="A5" s="499">
        <v>45989.0</v>
      </c>
      <c r="B5" s="500" t="s">
        <v>1352</v>
      </c>
      <c r="C5" s="500" t="s">
        <v>1393</v>
      </c>
      <c r="D5" s="500" t="s">
        <v>1413</v>
      </c>
      <c r="E5" s="503">
        <v>20540.0</v>
      </c>
    </row>
    <row r="6" hidden="1">
      <c r="A6" s="499">
        <v>45989.0</v>
      </c>
      <c r="B6" s="500" t="s">
        <v>1352</v>
      </c>
      <c r="C6" s="500" t="s">
        <v>1396</v>
      </c>
      <c r="D6" s="500" t="s">
        <v>1413</v>
      </c>
      <c r="E6" s="503">
        <v>6600.0</v>
      </c>
    </row>
    <row r="7" hidden="1">
      <c r="A7" s="499"/>
      <c r="B7" s="500"/>
      <c r="C7" s="500"/>
      <c r="D7" s="500"/>
      <c r="E7" s="503"/>
    </row>
    <row r="8" hidden="1">
      <c r="A8" s="499">
        <v>45990.0</v>
      </c>
      <c r="B8" s="500" t="s">
        <v>1352</v>
      </c>
      <c r="C8" s="500" t="s">
        <v>1393</v>
      </c>
      <c r="D8" s="500" t="s">
        <v>1413</v>
      </c>
      <c r="E8" s="503">
        <v>14950.0</v>
      </c>
    </row>
    <row r="9" hidden="1">
      <c r="A9" s="499">
        <v>45990.0</v>
      </c>
      <c r="B9" s="500" t="s">
        <v>1352</v>
      </c>
      <c r="C9" s="500" t="s">
        <v>1396</v>
      </c>
      <c r="D9" s="500" t="s">
        <v>1413</v>
      </c>
      <c r="E9" s="503">
        <v>5500.0</v>
      </c>
    </row>
    <row r="10" hidden="1">
      <c r="A10" s="499"/>
      <c r="B10" s="500"/>
      <c r="C10" s="500"/>
      <c r="D10" s="500"/>
      <c r="E10" s="503"/>
    </row>
    <row r="11" hidden="1">
      <c r="A11" s="499">
        <v>45992.0</v>
      </c>
      <c r="B11" s="500" t="s">
        <v>1352</v>
      </c>
      <c r="C11" s="500" t="s">
        <v>1393</v>
      </c>
      <c r="D11" s="500" t="s">
        <v>1413</v>
      </c>
      <c r="E11" s="503">
        <v>14820.0</v>
      </c>
    </row>
    <row r="12" hidden="1">
      <c r="A12" s="499">
        <v>45992.0</v>
      </c>
      <c r="B12" s="500" t="s">
        <v>1352</v>
      </c>
      <c r="C12" s="500" t="s">
        <v>1396</v>
      </c>
      <c r="D12" s="500" t="s">
        <v>1413</v>
      </c>
      <c r="E12" s="503">
        <v>6050.0</v>
      </c>
    </row>
    <row r="13" hidden="1">
      <c r="A13" s="499">
        <v>45992.0</v>
      </c>
      <c r="B13" s="500" t="s">
        <v>1352</v>
      </c>
      <c r="C13" s="500" t="s">
        <v>1393</v>
      </c>
      <c r="D13" s="500" t="s">
        <v>1422</v>
      </c>
      <c r="E13" s="503">
        <v>24200.0</v>
      </c>
    </row>
    <row r="14" hidden="1">
      <c r="A14" s="499"/>
      <c r="B14" s="500"/>
      <c r="C14" s="500"/>
      <c r="D14" s="500"/>
      <c r="E14" s="503"/>
    </row>
    <row r="15" hidden="1">
      <c r="A15" s="499">
        <v>45993.0</v>
      </c>
      <c r="B15" s="500" t="s">
        <v>1352</v>
      </c>
      <c r="C15" s="500" t="s">
        <v>1393</v>
      </c>
      <c r="D15" s="500" t="s">
        <v>1413</v>
      </c>
      <c r="E15" s="503">
        <v>14430.0</v>
      </c>
    </row>
    <row r="16" hidden="1">
      <c r="A16" s="499">
        <v>45993.0</v>
      </c>
      <c r="B16" s="500" t="s">
        <v>1352</v>
      </c>
      <c r="C16" s="500" t="s">
        <v>1396</v>
      </c>
      <c r="D16" s="500" t="s">
        <v>1413</v>
      </c>
      <c r="E16" s="503">
        <v>5500.0</v>
      </c>
    </row>
    <row r="17" hidden="1">
      <c r="A17" s="499">
        <v>45993.0</v>
      </c>
      <c r="B17" s="500" t="s">
        <v>1352</v>
      </c>
      <c r="C17" s="500" t="s">
        <v>1393</v>
      </c>
      <c r="D17" s="500" t="s">
        <v>1422</v>
      </c>
      <c r="E17" s="503">
        <v>17050.0</v>
      </c>
    </row>
    <row r="18" hidden="1">
      <c r="A18" s="499">
        <v>45993.0</v>
      </c>
      <c r="B18" s="500" t="s">
        <v>1352</v>
      </c>
      <c r="C18" s="500" t="s">
        <v>1396</v>
      </c>
      <c r="D18" s="500" t="s">
        <v>1422</v>
      </c>
      <c r="E18" s="503">
        <v>5500.0</v>
      </c>
    </row>
    <row r="19" hidden="1">
      <c r="A19" s="499"/>
      <c r="B19" s="500"/>
      <c r="C19" s="500"/>
      <c r="D19" s="500"/>
      <c r="E19" s="503"/>
    </row>
    <row r="20" hidden="1">
      <c r="A20" s="499">
        <v>45994.0</v>
      </c>
      <c r="B20" s="500" t="s">
        <v>1352</v>
      </c>
      <c r="C20" s="500" t="s">
        <v>1393</v>
      </c>
      <c r="D20" s="500" t="s">
        <v>1413</v>
      </c>
      <c r="E20" s="503">
        <v>14040.0</v>
      </c>
    </row>
    <row r="21" hidden="1">
      <c r="A21" s="499">
        <v>45994.0</v>
      </c>
      <c r="B21" s="500" t="s">
        <v>1352</v>
      </c>
      <c r="C21" s="500" t="s">
        <v>1396</v>
      </c>
      <c r="D21" s="500" t="s">
        <v>1413</v>
      </c>
      <c r="E21" s="503">
        <v>6050.0</v>
      </c>
    </row>
    <row r="22" hidden="1">
      <c r="A22" s="499">
        <v>45994.0</v>
      </c>
      <c r="B22" s="500" t="s">
        <v>1352</v>
      </c>
      <c r="C22" s="500" t="s">
        <v>1393</v>
      </c>
      <c r="D22" s="500" t="s">
        <v>1422</v>
      </c>
      <c r="E22" s="503">
        <v>22800.0</v>
      </c>
    </row>
    <row r="23" hidden="1">
      <c r="A23" s="499">
        <v>45994.0</v>
      </c>
      <c r="B23" s="500" t="s">
        <v>1352</v>
      </c>
      <c r="C23" s="500" t="s">
        <v>1396</v>
      </c>
      <c r="D23" s="500" t="s">
        <v>1422</v>
      </c>
      <c r="E23" s="503">
        <v>1100.0</v>
      </c>
    </row>
    <row r="24" hidden="1">
      <c r="A24" s="499"/>
      <c r="B24" s="500"/>
      <c r="C24" s="500"/>
      <c r="D24" s="500"/>
      <c r="E24" s="503"/>
    </row>
    <row r="25" hidden="1">
      <c r="A25" s="499">
        <v>45995.0</v>
      </c>
      <c r="B25" s="500" t="s">
        <v>1352</v>
      </c>
      <c r="C25" s="500" t="s">
        <v>1393</v>
      </c>
      <c r="D25" s="500" t="s">
        <v>1413</v>
      </c>
      <c r="E25" s="503">
        <v>27300.0</v>
      </c>
    </row>
    <row r="26" hidden="1">
      <c r="A26" s="499"/>
      <c r="B26" s="500"/>
      <c r="C26" s="500"/>
      <c r="D26" s="500"/>
      <c r="E26" s="503"/>
    </row>
    <row r="27" hidden="1">
      <c r="A27" s="499">
        <v>45996.0</v>
      </c>
      <c r="B27" s="500" t="s">
        <v>1352</v>
      </c>
      <c r="C27" s="500" t="s">
        <v>1393</v>
      </c>
      <c r="D27" s="500" t="s">
        <v>1413</v>
      </c>
      <c r="E27" s="503">
        <v>19136.0</v>
      </c>
    </row>
    <row r="28" hidden="1">
      <c r="A28" s="499">
        <v>45996.0</v>
      </c>
      <c r="B28" s="500" t="s">
        <v>1352</v>
      </c>
      <c r="C28" s="500" t="s">
        <v>1396</v>
      </c>
      <c r="D28" s="500" t="s">
        <v>1413</v>
      </c>
      <c r="E28" s="503">
        <v>550.0</v>
      </c>
    </row>
    <row r="29" hidden="1">
      <c r="A29" s="499">
        <v>45996.0</v>
      </c>
      <c r="B29" s="500" t="s">
        <v>1352</v>
      </c>
      <c r="C29" s="500" t="s">
        <v>1393</v>
      </c>
      <c r="D29" s="500" t="s">
        <v>1422</v>
      </c>
      <c r="E29" s="503">
        <v>14850.0</v>
      </c>
    </row>
    <row r="30" hidden="1">
      <c r="A30" s="499">
        <v>45996.0</v>
      </c>
      <c r="B30" s="500" t="s">
        <v>1352</v>
      </c>
      <c r="C30" s="500" t="s">
        <v>1396</v>
      </c>
      <c r="D30" s="500" t="s">
        <v>1422</v>
      </c>
      <c r="E30" s="503">
        <v>6600.0</v>
      </c>
    </row>
    <row r="31" hidden="1">
      <c r="A31" s="504"/>
      <c r="B31" s="505"/>
      <c r="C31" s="505"/>
      <c r="D31" s="505"/>
      <c r="E31" s="505"/>
    </row>
    <row r="32" hidden="1">
      <c r="A32" s="499">
        <v>45997.0</v>
      </c>
      <c r="B32" s="500" t="s">
        <v>1352</v>
      </c>
      <c r="C32" s="500" t="s">
        <v>1393</v>
      </c>
      <c r="D32" s="500" t="s">
        <v>1413</v>
      </c>
      <c r="E32" s="503">
        <v>16640.0</v>
      </c>
    </row>
    <row r="33" hidden="1">
      <c r="A33" s="499">
        <v>45997.0</v>
      </c>
      <c r="B33" s="500" t="s">
        <v>1352</v>
      </c>
      <c r="C33" s="500" t="s">
        <v>1396</v>
      </c>
      <c r="D33" s="500" t="s">
        <v>1413</v>
      </c>
      <c r="E33" s="503">
        <v>6050.0</v>
      </c>
    </row>
    <row r="34" hidden="1">
      <c r="A34" s="499">
        <v>45997.0</v>
      </c>
      <c r="B34" s="500" t="s">
        <v>1352</v>
      </c>
      <c r="C34" s="500" t="s">
        <v>1393</v>
      </c>
      <c r="D34" s="500" t="s">
        <v>1422</v>
      </c>
      <c r="E34" s="503">
        <v>17600.0</v>
      </c>
    </row>
    <row r="35" hidden="1">
      <c r="A35" s="499">
        <v>45997.0</v>
      </c>
      <c r="B35" s="500" t="s">
        <v>1352</v>
      </c>
      <c r="C35" s="500" t="s">
        <v>1396</v>
      </c>
      <c r="D35" s="500" t="s">
        <v>1422</v>
      </c>
      <c r="E35" s="503">
        <v>6050.0</v>
      </c>
    </row>
    <row r="36" hidden="1">
      <c r="A36" s="504"/>
      <c r="B36" s="505"/>
      <c r="C36" s="505"/>
      <c r="D36" s="505"/>
      <c r="E36" s="505"/>
    </row>
    <row r="37" hidden="1">
      <c r="A37" s="499">
        <v>46000.0</v>
      </c>
      <c r="B37" s="500" t="s">
        <v>1352</v>
      </c>
      <c r="C37" s="500" t="s">
        <v>1393</v>
      </c>
      <c r="D37" s="500" t="s">
        <v>1413</v>
      </c>
      <c r="E37" s="503">
        <v>14430.0</v>
      </c>
    </row>
    <row r="38" hidden="1">
      <c r="A38" s="499">
        <v>46000.0</v>
      </c>
      <c r="B38" s="500" t="s">
        <v>1352</v>
      </c>
      <c r="C38" s="500" t="s">
        <v>1396</v>
      </c>
      <c r="D38" s="500" t="s">
        <v>1413</v>
      </c>
      <c r="E38" s="503">
        <v>7150.0</v>
      </c>
    </row>
    <row r="39" hidden="1">
      <c r="A39" s="499">
        <v>46000.0</v>
      </c>
      <c r="B39" s="500" t="s">
        <v>1352</v>
      </c>
      <c r="C39" s="500" t="s">
        <v>1393</v>
      </c>
      <c r="D39" s="500" t="s">
        <v>1422</v>
      </c>
      <c r="E39" s="503">
        <v>15950.0</v>
      </c>
    </row>
    <row r="40" hidden="1">
      <c r="A40" s="499">
        <v>46000.0</v>
      </c>
      <c r="B40" s="500" t="s">
        <v>1352</v>
      </c>
      <c r="C40" s="500" t="s">
        <v>1396</v>
      </c>
      <c r="D40" s="500" t="s">
        <v>1422</v>
      </c>
      <c r="E40" s="503">
        <v>7150.0</v>
      </c>
    </row>
    <row r="41" hidden="1">
      <c r="A41" s="504"/>
      <c r="B41" s="505"/>
      <c r="C41" s="505"/>
      <c r="D41" s="505"/>
      <c r="E41" s="505"/>
    </row>
    <row r="42" hidden="1">
      <c r="A42" s="499">
        <v>46001.0</v>
      </c>
      <c r="B42" s="500" t="s">
        <v>1352</v>
      </c>
      <c r="C42" s="500" t="s">
        <v>1393</v>
      </c>
      <c r="D42" s="500" t="s">
        <v>1413</v>
      </c>
      <c r="E42" s="503">
        <v>15950.0</v>
      </c>
    </row>
    <row r="43" hidden="1">
      <c r="A43" s="499">
        <v>46001.0</v>
      </c>
      <c r="B43" s="500" t="s">
        <v>1352</v>
      </c>
      <c r="C43" s="500" t="s">
        <v>1396</v>
      </c>
      <c r="D43" s="500" t="s">
        <v>1413</v>
      </c>
      <c r="E43" s="503">
        <v>8250.0</v>
      </c>
    </row>
    <row r="44" hidden="1">
      <c r="A44" s="499">
        <v>46001.0</v>
      </c>
      <c r="B44" s="500" t="s">
        <v>1352</v>
      </c>
      <c r="C44" s="500" t="s">
        <v>1393</v>
      </c>
      <c r="D44" s="500" t="s">
        <v>1422</v>
      </c>
      <c r="E44" s="503">
        <v>17050.0</v>
      </c>
    </row>
    <row r="45" hidden="1">
      <c r="A45" s="499">
        <v>46001.0</v>
      </c>
      <c r="B45" s="500" t="s">
        <v>1352</v>
      </c>
      <c r="C45" s="500" t="s">
        <v>1396</v>
      </c>
      <c r="D45" s="500" t="s">
        <v>1422</v>
      </c>
      <c r="E45" s="503">
        <v>7700.0</v>
      </c>
    </row>
    <row r="46" hidden="1">
      <c r="A46" s="504"/>
      <c r="B46" s="505"/>
      <c r="C46" s="505"/>
      <c r="D46" s="505"/>
      <c r="E46" s="505"/>
    </row>
    <row r="47" hidden="1">
      <c r="A47" s="499">
        <v>46002.0</v>
      </c>
      <c r="B47" s="500" t="s">
        <v>1352</v>
      </c>
      <c r="C47" s="500" t="s">
        <v>1393</v>
      </c>
      <c r="D47" s="500" t="s">
        <v>1413</v>
      </c>
      <c r="E47" s="503">
        <v>16500.0</v>
      </c>
    </row>
    <row r="48" hidden="1">
      <c r="A48" s="499">
        <v>46002.0</v>
      </c>
      <c r="B48" s="500" t="s">
        <v>1352</v>
      </c>
      <c r="C48" s="500" t="s">
        <v>1396</v>
      </c>
      <c r="D48" s="500" t="s">
        <v>1413</v>
      </c>
      <c r="E48" s="503">
        <v>6600.0</v>
      </c>
    </row>
    <row r="49" hidden="1">
      <c r="A49" s="499">
        <v>46002.0</v>
      </c>
      <c r="B49" s="500" t="s">
        <v>1352</v>
      </c>
      <c r="C49" s="500" t="s">
        <v>1393</v>
      </c>
      <c r="D49" s="500" t="s">
        <v>1422</v>
      </c>
      <c r="E49" s="503">
        <v>16500.0</v>
      </c>
    </row>
    <row r="50" hidden="1">
      <c r="A50" s="499">
        <v>46002.0</v>
      </c>
      <c r="B50" s="500" t="s">
        <v>1352</v>
      </c>
      <c r="C50" s="500" t="s">
        <v>1396</v>
      </c>
      <c r="D50" s="500" t="s">
        <v>1422</v>
      </c>
      <c r="E50" s="503">
        <v>6600.0</v>
      </c>
    </row>
    <row r="51" hidden="1">
      <c r="A51" s="504"/>
      <c r="B51" s="505"/>
      <c r="C51" s="505"/>
      <c r="D51" s="505"/>
      <c r="E51" s="505"/>
    </row>
    <row r="52" hidden="1">
      <c r="A52" s="499">
        <v>46003.0</v>
      </c>
      <c r="B52" s="500" t="s">
        <v>1352</v>
      </c>
      <c r="C52" s="500" t="s">
        <v>1393</v>
      </c>
      <c r="D52" s="500" t="s">
        <v>1413</v>
      </c>
      <c r="E52" s="503">
        <v>15400.0</v>
      </c>
    </row>
    <row r="53" hidden="1">
      <c r="A53" s="499">
        <v>46003.0</v>
      </c>
      <c r="B53" s="500" t="s">
        <v>1352</v>
      </c>
      <c r="C53" s="500" t="s">
        <v>1396</v>
      </c>
      <c r="D53" s="500" t="s">
        <v>1413</v>
      </c>
      <c r="E53" s="503">
        <v>6600.0</v>
      </c>
    </row>
    <row r="54" hidden="1">
      <c r="A54" s="499">
        <v>46003.0</v>
      </c>
      <c r="B54" s="500" t="s">
        <v>1352</v>
      </c>
      <c r="C54" s="500" t="s">
        <v>1393</v>
      </c>
      <c r="D54" s="500" t="s">
        <v>1422</v>
      </c>
      <c r="E54" s="503">
        <v>15400.0</v>
      </c>
    </row>
    <row r="55" hidden="1">
      <c r="A55" s="499">
        <v>46003.0</v>
      </c>
      <c r="B55" s="500" t="s">
        <v>1352</v>
      </c>
      <c r="C55" s="500" t="s">
        <v>1396</v>
      </c>
      <c r="D55" s="500" t="s">
        <v>1422</v>
      </c>
      <c r="E55" s="503">
        <v>6600.0</v>
      </c>
    </row>
    <row r="56" hidden="1">
      <c r="A56" s="504"/>
      <c r="B56" s="505"/>
      <c r="C56" s="505"/>
      <c r="D56" s="505"/>
      <c r="E56" s="505"/>
    </row>
    <row r="57" hidden="1">
      <c r="A57" s="499">
        <v>46004.0</v>
      </c>
      <c r="B57" s="500" t="s">
        <v>1352</v>
      </c>
      <c r="C57" s="500" t="s">
        <v>1393</v>
      </c>
      <c r="D57" s="500" t="s">
        <v>1413</v>
      </c>
      <c r="E57" s="503">
        <v>24960.0</v>
      </c>
    </row>
    <row r="58" hidden="1">
      <c r="A58" s="499">
        <v>46006.0</v>
      </c>
      <c r="B58" s="500" t="s">
        <v>1352</v>
      </c>
      <c r="C58" s="500" t="s">
        <v>1393</v>
      </c>
      <c r="D58" s="500" t="s">
        <v>1413</v>
      </c>
      <c r="E58" s="503">
        <v>27690.0</v>
      </c>
    </row>
    <row r="59" hidden="1">
      <c r="A59" s="499">
        <v>46007.0</v>
      </c>
      <c r="B59" s="500" t="s">
        <v>1352</v>
      </c>
      <c r="C59" s="500" t="s">
        <v>1393</v>
      </c>
      <c r="D59" s="500" t="s">
        <v>1413</v>
      </c>
      <c r="E59" s="503">
        <v>27846.0</v>
      </c>
    </row>
    <row r="60" hidden="1">
      <c r="A60" s="499">
        <v>46008.0</v>
      </c>
      <c r="B60" s="500" t="s">
        <v>1352</v>
      </c>
      <c r="C60" s="500" t="s">
        <v>1393</v>
      </c>
      <c r="D60" s="500" t="s">
        <v>1413</v>
      </c>
      <c r="E60" s="503">
        <v>26000.0</v>
      </c>
    </row>
    <row r="61" hidden="1">
      <c r="A61" s="499">
        <v>46009.0</v>
      </c>
      <c r="B61" s="500" t="s">
        <v>1352</v>
      </c>
      <c r="C61" s="500" t="s">
        <v>1393</v>
      </c>
      <c r="D61" s="500" t="s">
        <v>1413</v>
      </c>
      <c r="E61" s="503">
        <v>25870.0</v>
      </c>
    </row>
    <row r="62" hidden="1">
      <c r="A62" s="499">
        <v>46010.0</v>
      </c>
      <c r="B62" s="500" t="s">
        <v>1352</v>
      </c>
      <c r="C62" s="500" t="s">
        <v>1393</v>
      </c>
      <c r="D62" s="500" t="s">
        <v>1413</v>
      </c>
      <c r="E62" s="503">
        <v>28340.0</v>
      </c>
    </row>
    <row r="63" hidden="1">
      <c r="A63" s="499">
        <v>46011.0</v>
      </c>
      <c r="B63" s="500" t="s">
        <v>1352</v>
      </c>
      <c r="C63" s="500" t="s">
        <v>1393</v>
      </c>
      <c r="D63" s="500" t="s">
        <v>1413</v>
      </c>
      <c r="E63" s="503">
        <v>12480.0</v>
      </c>
    </row>
    <row r="64" hidden="1">
      <c r="A64" s="499">
        <v>46013.0</v>
      </c>
      <c r="B64" s="500" t="s">
        <v>1352</v>
      </c>
      <c r="C64" s="500" t="s">
        <v>1393</v>
      </c>
      <c r="D64" s="500" t="s">
        <v>1413</v>
      </c>
      <c r="E64" s="503">
        <v>27560.0</v>
      </c>
    </row>
    <row r="65" hidden="1">
      <c r="A65" s="499">
        <v>46014.0</v>
      </c>
      <c r="B65" s="500" t="s">
        <v>1352</v>
      </c>
      <c r="C65" s="500" t="s">
        <v>1393</v>
      </c>
      <c r="D65" s="500" t="s">
        <v>1413</v>
      </c>
      <c r="E65" s="503">
        <v>25012.0</v>
      </c>
    </row>
    <row r="66" hidden="1">
      <c r="A66" s="499">
        <v>46017.0</v>
      </c>
      <c r="B66" s="500" t="s">
        <v>1352</v>
      </c>
      <c r="C66" s="500" t="s">
        <v>1393</v>
      </c>
      <c r="D66" s="500" t="s">
        <v>1413</v>
      </c>
      <c r="E66" s="503">
        <v>27430.0</v>
      </c>
    </row>
    <row r="67" hidden="1">
      <c r="A67" s="499">
        <v>46018.0</v>
      </c>
      <c r="B67" s="500" t="s">
        <v>1352</v>
      </c>
      <c r="C67" s="500" t="s">
        <v>1393</v>
      </c>
      <c r="D67" s="500" t="s">
        <v>1413</v>
      </c>
      <c r="E67" s="503">
        <v>28990.0</v>
      </c>
    </row>
    <row r="68" hidden="1">
      <c r="A68" s="499">
        <v>46019.0</v>
      </c>
      <c r="B68" s="500" t="s">
        <v>1352</v>
      </c>
      <c r="C68" s="500" t="s">
        <v>1393</v>
      </c>
      <c r="D68" s="500" t="s">
        <v>1413</v>
      </c>
      <c r="E68" s="503">
        <v>12220.0</v>
      </c>
    </row>
    <row r="69" hidden="1">
      <c r="A69" s="504"/>
      <c r="B69" s="505"/>
      <c r="C69" s="505"/>
      <c r="D69" s="505"/>
      <c r="E69" s="505"/>
    </row>
    <row r="70" hidden="1">
      <c r="A70" s="499">
        <v>46024.0</v>
      </c>
      <c r="B70" s="500" t="s">
        <v>1147</v>
      </c>
      <c r="C70" s="500" t="s">
        <v>1393</v>
      </c>
      <c r="D70" s="500" t="s">
        <v>1413</v>
      </c>
      <c r="E70" s="503">
        <v>18460.0</v>
      </c>
    </row>
    <row r="71" hidden="1">
      <c r="A71" s="499">
        <v>46025.0</v>
      </c>
      <c r="B71" s="500" t="s">
        <v>1147</v>
      </c>
      <c r="C71" s="500" t="s">
        <v>1393</v>
      </c>
      <c r="D71" s="500" t="s">
        <v>1413</v>
      </c>
      <c r="E71" s="503">
        <v>28210.0</v>
      </c>
    </row>
    <row r="72" hidden="1">
      <c r="A72" s="499">
        <v>46027.0</v>
      </c>
      <c r="B72" s="500" t="s">
        <v>1147</v>
      </c>
      <c r="C72" s="500" t="s">
        <v>1393</v>
      </c>
      <c r="D72" s="500" t="s">
        <v>1413</v>
      </c>
      <c r="E72" s="503">
        <v>28080.0</v>
      </c>
    </row>
    <row r="73" hidden="1">
      <c r="A73" s="499">
        <v>46028.0</v>
      </c>
      <c r="B73" s="500" t="s">
        <v>1147</v>
      </c>
      <c r="C73" s="500" t="s">
        <v>1393</v>
      </c>
      <c r="D73" s="500" t="s">
        <v>1413</v>
      </c>
      <c r="E73" s="503">
        <v>28080.0</v>
      </c>
    </row>
    <row r="74" hidden="1">
      <c r="A74" s="499">
        <v>46029.0</v>
      </c>
      <c r="B74" s="500" t="s">
        <v>1147</v>
      </c>
      <c r="C74" s="500" t="s">
        <v>1393</v>
      </c>
      <c r="D74" s="500" t="s">
        <v>1413</v>
      </c>
      <c r="E74" s="503">
        <v>25350.0</v>
      </c>
    </row>
    <row r="75" hidden="1">
      <c r="A75" s="499">
        <v>46030.0</v>
      </c>
      <c r="B75" s="500" t="s">
        <v>1147</v>
      </c>
      <c r="C75" s="500" t="s">
        <v>1393</v>
      </c>
      <c r="D75" s="500" t="s">
        <v>1413</v>
      </c>
      <c r="E75" s="503">
        <v>28080.0</v>
      </c>
    </row>
    <row r="76" hidden="1">
      <c r="A76" s="499">
        <v>46031.0</v>
      </c>
      <c r="B76" s="500" t="s">
        <v>1147</v>
      </c>
      <c r="C76" s="500" t="s">
        <v>1393</v>
      </c>
      <c r="D76" s="500" t="s">
        <v>1413</v>
      </c>
      <c r="E76" s="503">
        <v>28210.0</v>
      </c>
    </row>
    <row r="77" hidden="1">
      <c r="A77" s="499">
        <v>46032.0</v>
      </c>
      <c r="B77" s="500" t="s">
        <v>1147</v>
      </c>
      <c r="C77" s="500" t="s">
        <v>1393</v>
      </c>
      <c r="D77" s="500" t="s">
        <v>1413</v>
      </c>
      <c r="E77" s="503">
        <v>29120.0</v>
      </c>
    </row>
    <row r="78" hidden="1">
      <c r="A78" s="499">
        <v>46034.0</v>
      </c>
      <c r="B78" s="500" t="s">
        <v>1147</v>
      </c>
      <c r="C78" s="500" t="s">
        <v>1393</v>
      </c>
      <c r="D78" s="500" t="s">
        <v>1413</v>
      </c>
      <c r="E78" s="503">
        <v>28548.0</v>
      </c>
    </row>
    <row r="79" hidden="1">
      <c r="A79" s="499">
        <v>46035.0</v>
      </c>
      <c r="B79" s="500" t="s">
        <v>1147</v>
      </c>
      <c r="C79" s="500" t="s">
        <v>1393</v>
      </c>
      <c r="D79" s="500" t="s">
        <v>1413</v>
      </c>
      <c r="E79" s="503">
        <v>27300.0</v>
      </c>
    </row>
    <row r="80" hidden="1">
      <c r="A80" s="499">
        <v>46036.0</v>
      </c>
      <c r="B80" s="500" t="s">
        <v>1147</v>
      </c>
      <c r="C80" s="500" t="s">
        <v>1393</v>
      </c>
      <c r="D80" s="500" t="s">
        <v>1413</v>
      </c>
      <c r="E80" s="503">
        <v>24440.0</v>
      </c>
    </row>
    <row r="81" hidden="1">
      <c r="A81" s="499">
        <v>46037.0</v>
      </c>
      <c r="B81" s="500" t="s">
        <v>1147</v>
      </c>
      <c r="C81" s="500" t="s">
        <v>1393</v>
      </c>
      <c r="D81" s="500" t="s">
        <v>1413</v>
      </c>
      <c r="E81" s="503">
        <v>25610.0</v>
      </c>
    </row>
    <row r="82" hidden="1">
      <c r="A82" s="499">
        <v>46038.0</v>
      </c>
      <c r="B82" s="500" t="s">
        <v>1147</v>
      </c>
      <c r="C82" s="500" t="s">
        <v>1393</v>
      </c>
      <c r="D82" s="500" t="s">
        <v>1413</v>
      </c>
      <c r="E82" s="503">
        <v>29970.0</v>
      </c>
    </row>
    <row r="83" hidden="1">
      <c r="A83" s="499">
        <v>46039.0</v>
      </c>
      <c r="B83" s="500" t="s">
        <v>1147</v>
      </c>
      <c r="C83" s="500" t="s">
        <v>1393</v>
      </c>
      <c r="D83" s="500" t="s">
        <v>1413</v>
      </c>
      <c r="E83" s="503">
        <v>27950.0</v>
      </c>
    </row>
    <row r="84" hidden="1">
      <c r="A84" s="499">
        <v>46041.0</v>
      </c>
      <c r="B84" s="500" t="s">
        <v>1147</v>
      </c>
      <c r="C84" s="500" t="s">
        <v>1393</v>
      </c>
      <c r="D84" s="500" t="s">
        <v>1413</v>
      </c>
      <c r="E84" s="503">
        <v>25220.0</v>
      </c>
    </row>
    <row r="85" hidden="1">
      <c r="A85" s="499">
        <v>46042.0</v>
      </c>
      <c r="B85" s="500" t="s">
        <v>1147</v>
      </c>
      <c r="C85" s="500" t="s">
        <v>1393</v>
      </c>
      <c r="D85" s="500" t="s">
        <v>1413</v>
      </c>
      <c r="E85" s="503">
        <v>27300.0</v>
      </c>
    </row>
    <row r="86" hidden="1">
      <c r="A86" s="499">
        <v>46043.0</v>
      </c>
      <c r="B86" s="500" t="s">
        <v>1147</v>
      </c>
      <c r="C86" s="500" t="s">
        <v>1393</v>
      </c>
      <c r="D86" s="500" t="s">
        <v>1413</v>
      </c>
      <c r="E86" s="503">
        <v>23010.0</v>
      </c>
    </row>
    <row r="87" hidden="1">
      <c r="A87" s="499">
        <v>46044.0</v>
      </c>
      <c r="B87" s="500" t="s">
        <v>1147</v>
      </c>
      <c r="C87" s="500" t="s">
        <v>1393</v>
      </c>
      <c r="D87" s="500" t="s">
        <v>1413</v>
      </c>
      <c r="E87" s="503">
        <v>27040.0</v>
      </c>
    </row>
    <row r="88" hidden="1">
      <c r="A88" s="499">
        <v>46045.0</v>
      </c>
      <c r="B88" s="500" t="s">
        <v>1147</v>
      </c>
      <c r="C88" s="500" t="s">
        <v>1393</v>
      </c>
      <c r="D88" s="500" t="s">
        <v>1413</v>
      </c>
      <c r="E88" s="503">
        <v>29172.0</v>
      </c>
    </row>
    <row r="89" hidden="1">
      <c r="A89" s="499">
        <v>46046.0</v>
      </c>
      <c r="B89" s="500" t="s">
        <v>1147</v>
      </c>
      <c r="C89" s="500" t="s">
        <v>1393</v>
      </c>
      <c r="D89" s="500" t="s">
        <v>1413</v>
      </c>
      <c r="E89" s="503">
        <v>28080.0</v>
      </c>
    </row>
    <row r="90" hidden="1">
      <c r="A90" s="499">
        <v>46048.0</v>
      </c>
      <c r="B90" s="500" t="s">
        <v>1147</v>
      </c>
      <c r="C90" s="500" t="s">
        <v>1393</v>
      </c>
      <c r="D90" s="500" t="s">
        <v>1413</v>
      </c>
      <c r="E90" s="503">
        <v>28470.0</v>
      </c>
    </row>
    <row r="91" hidden="1">
      <c r="A91" s="499">
        <v>46049.0</v>
      </c>
      <c r="B91" s="500" t="s">
        <v>1147</v>
      </c>
      <c r="C91" s="500" t="s">
        <v>1393</v>
      </c>
      <c r="D91" s="500" t="s">
        <v>1413</v>
      </c>
      <c r="E91" s="503">
        <v>25350.0</v>
      </c>
    </row>
    <row r="92" hidden="1">
      <c r="A92" s="499">
        <v>46050.0</v>
      </c>
      <c r="B92" s="500" t="s">
        <v>1147</v>
      </c>
      <c r="C92" s="500" t="s">
        <v>1393</v>
      </c>
      <c r="D92" s="500" t="s">
        <v>1413</v>
      </c>
      <c r="E92" s="503">
        <v>27690.0</v>
      </c>
    </row>
    <row r="93" hidden="1">
      <c r="A93" s="499">
        <v>46051.0</v>
      </c>
      <c r="B93" s="500" t="s">
        <v>1147</v>
      </c>
      <c r="C93" s="500" t="s">
        <v>1393</v>
      </c>
      <c r="D93" s="500" t="s">
        <v>1413</v>
      </c>
      <c r="E93" s="503">
        <v>27560.0</v>
      </c>
    </row>
    <row r="94" hidden="1">
      <c r="A94" s="499">
        <v>46052.0</v>
      </c>
      <c r="B94" s="500" t="s">
        <v>1147</v>
      </c>
      <c r="C94" s="500" t="s">
        <v>1393</v>
      </c>
      <c r="D94" s="500" t="s">
        <v>1413</v>
      </c>
      <c r="E94" s="503">
        <v>25532.0</v>
      </c>
    </row>
    <row r="95" hidden="1">
      <c r="A95" s="499">
        <v>46053.0</v>
      </c>
      <c r="B95" s="500" t="s">
        <v>1147</v>
      </c>
      <c r="C95" s="500" t="s">
        <v>1393</v>
      </c>
      <c r="D95" s="500" t="s">
        <v>1413</v>
      </c>
      <c r="E95" s="503">
        <v>3068.0</v>
      </c>
    </row>
    <row r="96" hidden="1">
      <c r="A96" s="499">
        <v>46055.0</v>
      </c>
      <c r="B96" s="500" t="s">
        <v>1147</v>
      </c>
      <c r="C96" s="500" t="s">
        <v>1393</v>
      </c>
      <c r="D96" s="500" t="s">
        <v>1413</v>
      </c>
      <c r="E96" s="503">
        <v>12792.0</v>
      </c>
    </row>
    <row r="97" hidden="1">
      <c r="A97" s="504"/>
      <c r="B97" s="505"/>
      <c r="C97" s="505"/>
      <c r="D97" s="505"/>
      <c r="E97" s="505"/>
    </row>
    <row r="98" hidden="1">
      <c r="A98" s="499">
        <v>46055.0</v>
      </c>
      <c r="B98" s="500" t="s">
        <v>1162</v>
      </c>
      <c r="C98" s="500" t="s">
        <v>1393</v>
      </c>
      <c r="D98" s="500" t="s">
        <v>1413</v>
      </c>
      <c r="E98" s="503">
        <v>1768.0</v>
      </c>
    </row>
    <row r="99" hidden="1">
      <c r="A99" s="499">
        <v>46055.0</v>
      </c>
      <c r="B99" s="500" t="s">
        <v>1162</v>
      </c>
      <c r="C99" s="500" t="s">
        <v>1394</v>
      </c>
      <c r="D99" s="500" t="s">
        <v>1413</v>
      </c>
      <c r="E99" s="503">
        <v>3850.0</v>
      </c>
    </row>
    <row r="100" hidden="1">
      <c r="A100" s="504"/>
      <c r="B100" s="505"/>
      <c r="C100" s="505"/>
      <c r="D100" s="505"/>
      <c r="E100" s="505"/>
    </row>
    <row r="101" hidden="1">
      <c r="A101" s="499">
        <v>46056.0</v>
      </c>
      <c r="B101" s="500" t="s">
        <v>1162</v>
      </c>
      <c r="C101" s="500" t="s">
        <v>1393</v>
      </c>
      <c r="D101" s="500" t="s">
        <v>1413</v>
      </c>
      <c r="E101" s="503">
        <v>9360.0</v>
      </c>
    </row>
    <row r="102" hidden="1">
      <c r="A102" s="499">
        <v>46056.0</v>
      </c>
      <c r="B102" s="500" t="s">
        <v>1162</v>
      </c>
      <c r="C102" s="500" t="s">
        <v>1394</v>
      </c>
      <c r="D102" s="500" t="s">
        <v>1413</v>
      </c>
      <c r="E102" s="503">
        <v>17050.0</v>
      </c>
    </row>
    <row r="103" hidden="1">
      <c r="A103" s="504"/>
      <c r="B103" s="505"/>
      <c r="C103" s="505"/>
      <c r="D103" s="505"/>
      <c r="E103" s="505"/>
    </row>
    <row r="104" hidden="1">
      <c r="A104" s="499">
        <v>46057.0</v>
      </c>
      <c r="B104" s="500" t="s">
        <v>1162</v>
      </c>
      <c r="C104" s="500" t="s">
        <v>1393</v>
      </c>
      <c r="D104" s="500" t="s">
        <v>1413</v>
      </c>
      <c r="E104" s="503">
        <v>7904.0</v>
      </c>
    </row>
    <row r="105" hidden="1">
      <c r="A105" s="499">
        <v>46057.0</v>
      </c>
      <c r="B105" s="500" t="s">
        <v>1162</v>
      </c>
      <c r="C105" s="500" t="s">
        <v>1394</v>
      </c>
      <c r="D105" s="500" t="s">
        <v>1413</v>
      </c>
      <c r="E105" s="503">
        <v>14850.0</v>
      </c>
    </row>
    <row r="106" hidden="1">
      <c r="A106" s="504"/>
      <c r="B106" s="505"/>
      <c r="C106" s="505"/>
      <c r="D106" s="505"/>
      <c r="E106" s="505"/>
    </row>
    <row r="107" hidden="1">
      <c r="A107" s="499">
        <v>46058.0</v>
      </c>
      <c r="B107" s="500" t="s">
        <v>1162</v>
      </c>
      <c r="C107" s="500" t="s">
        <v>1393</v>
      </c>
      <c r="D107" s="500" t="s">
        <v>1413</v>
      </c>
      <c r="E107" s="503">
        <v>7540.0</v>
      </c>
    </row>
    <row r="108" hidden="1">
      <c r="A108" s="499">
        <v>46058.0</v>
      </c>
      <c r="B108" s="500" t="s">
        <v>1162</v>
      </c>
      <c r="C108" s="500" t="s">
        <v>1394</v>
      </c>
      <c r="D108" s="500" t="s">
        <v>1413</v>
      </c>
      <c r="E108" s="503">
        <v>13200.0</v>
      </c>
    </row>
    <row r="109" hidden="1">
      <c r="A109" s="504"/>
      <c r="B109" s="505"/>
      <c r="C109" s="505"/>
      <c r="D109" s="505"/>
      <c r="E109" s="505"/>
    </row>
    <row r="110" hidden="1">
      <c r="A110" s="499">
        <v>46059.0</v>
      </c>
      <c r="B110" s="500" t="s">
        <v>1162</v>
      </c>
      <c r="C110" s="500" t="s">
        <v>1393</v>
      </c>
      <c r="D110" s="500" t="s">
        <v>1413</v>
      </c>
      <c r="E110" s="503">
        <v>8580.0</v>
      </c>
    </row>
    <row r="111" hidden="1">
      <c r="A111" s="499">
        <v>46059.0</v>
      </c>
      <c r="B111" s="500" t="s">
        <v>1162</v>
      </c>
      <c r="C111" s="500" t="s">
        <v>1394</v>
      </c>
      <c r="D111" s="500" t="s">
        <v>1413</v>
      </c>
      <c r="E111" s="503">
        <v>5500.0</v>
      </c>
    </row>
    <row r="112" hidden="1">
      <c r="A112" s="499">
        <v>46059.0</v>
      </c>
      <c r="B112" s="500" t="s">
        <v>1162</v>
      </c>
      <c r="C112" s="500" t="s">
        <v>1396</v>
      </c>
      <c r="D112" s="500" t="s">
        <v>1413</v>
      </c>
      <c r="E112" s="503">
        <v>1650.0</v>
      </c>
    </row>
    <row r="113" hidden="1">
      <c r="A113" s="504"/>
      <c r="B113" s="505"/>
      <c r="C113" s="505"/>
      <c r="D113" s="505"/>
      <c r="E113" s="505"/>
    </row>
    <row r="114" hidden="1">
      <c r="A114" s="499">
        <v>46060.0</v>
      </c>
      <c r="B114" s="500" t="s">
        <v>1162</v>
      </c>
      <c r="C114" s="500" t="s">
        <v>1393</v>
      </c>
      <c r="D114" s="500" t="s">
        <v>1413</v>
      </c>
      <c r="E114" s="503">
        <v>18798.0</v>
      </c>
    </row>
    <row r="115" hidden="1">
      <c r="A115" s="499">
        <v>46060.0</v>
      </c>
      <c r="B115" s="500" t="s">
        <v>1162</v>
      </c>
      <c r="C115" s="500" t="s">
        <v>1396</v>
      </c>
      <c r="D115" s="500" t="s">
        <v>1413</v>
      </c>
      <c r="E115" s="503">
        <v>6600.0</v>
      </c>
    </row>
    <row r="116" hidden="1">
      <c r="A116" s="504"/>
      <c r="B116" s="505"/>
      <c r="C116" s="505"/>
      <c r="D116" s="505"/>
      <c r="E116" s="505"/>
    </row>
    <row r="117" hidden="1">
      <c r="A117" s="499">
        <v>46062.0</v>
      </c>
      <c r="B117" s="500" t="s">
        <v>1162</v>
      </c>
      <c r="C117" s="500" t="s">
        <v>1393</v>
      </c>
      <c r="D117" s="500" t="s">
        <v>1413</v>
      </c>
      <c r="E117" s="503">
        <v>18122.0</v>
      </c>
    </row>
    <row r="118" hidden="1">
      <c r="A118" s="499">
        <v>46062.0</v>
      </c>
      <c r="B118" s="500" t="s">
        <v>1162</v>
      </c>
      <c r="C118" s="500" t="s">
        <v>1396</v>
      </c>
      <c r="D118" s="500" t="s">
        <v>1413</v>
      </c>
      <c r="E118" s="503">
        <v>8800.0</v>
      </c>
    </row>
    <row r="119" hidden="1">
      <c r="A119" s="504"/>
      <c r="B119" s="505"/>
      <c r="C119" s="505"/>
      <c r="D119" s="505"/>
      <c r="E119" s="505"/>
    </row>
    <row r="120" hidden="1">
      <c r="A120" s="499">
        <v>46063.0</v>
      </c>
      <c r="B120" s="500" t="s">
        <v>1162</v>
      </c>
      <c r="C120" s="500" t="s">
        <v>1393</v>
      </c>
      <c r="D120" s="500" t="s">
        <v>1413</v>
      </c>
      <c r="E120" s="503">
        <v>17550.0</v>
      </c>
    </row>
    <row r="121" hidden="1">
      <c r="A121" s="499">
        <v>46063.0</v>
      </c>
      <c r="B121" s="500" t="s">
        <v>1162</v>
      </c>
      <c r="C121" s="500" t="s">
        <v>1396</v>
      </c>
      <c r="D121" s="500" t="s">
        <v>1413</v>
      </c>
      <c r="E121" s="503">
        <v>8800.0</v>
      </c>
    </row>
    <row r="122" hidden="1">
      <c r="A122" s="504"/>
      <c r="B122" s="505"/>
      <c r="C122" s="505"/>
      <c r="D122" s="505"/>
      <c r="E122" s="505"/>
    </row>
    <row r="123" hidden="1">
      <c r="A123" s="499">
        <v>46064.0</v>
      </c>
      <c r="B123" s="500" t="s">
        <v>1162</v>
      </c>
      <c r="C123" s="500" t="s">
        <v>1393</v>
      </c>
      <c r="D123" s="500" t="s">
        <v>1413</v>
      </c>
      <c r="E123" s="503">
        <v>19318.0</v>
      </c>
    </row>
    <row r="124" hidden="1">
      <c r="A124" s="499">
        <v>46064.0</v>
      </c>
      <c r="B124" s="500" t="s">
        <v>1162</v>
      </c>
      <c r="C124" s="500" t="s">
        <v>1396</v>
      </c>
      <c r="D124" s="500" t="s">
        <v>1413</v>
      </c>
      <c r="E124" s="503">
        <v>7150.0</v>
      </c>
    </row>
    <row r="125" hidden="1">
      <c r="A125" s="504"/>
      <c r="B125" s="505"/>
      <c r="C125" s="505"/>
      <c r="D125" s="505"/>
      <c r="E125" s="505"/>
    </row>
    <row r="126" hidden="1">
      <c r="A126" s="499">
        <v>46065.0</v>
      </c>
      <c r="B126" s="500" t="s">
        <v>1162</v>
      </c>
      <c r="C126" s="500" t="s">
        <v>1393</v>
      </c>
      <c r="D126" s="500" t="s">
        <v>1413</v>
      </c>
      <c r="E126" s="503">
        <v>18148.0</v>
      </c>
    </row>
    <row r="127" hidden="1">
      <c r="A127" s="499">
        <v>46065.0</v>
      </c>
      <c r="B127" s="500" t="s">
        <v>1162</v>
      </c>
      <c r="C127" s="500" t="s">
        <v>1396</v>
      </c>
      <c r="D127" s="500" t="s">
        <v>1413</v>
      </c>
      <c r="E127" s="503">
        <v>8250.0</v>
      </c>
    </row>
    <row r="128" hidden="1">
      <c r="A128" s="504"/>
      <c r="B128" s="505"/>
      <c r="C128" s="505"/>
      <c r="D128" s="505"/>
      <c r="E128" s="505"/>
    </row>
    <row r="129" hidden="1">
      <c r="A129" s="499">
        <v>46066.0</v>
      </c>
      <c r="B129" s="500" t="s">
        <v>1162</v>
      </c>
      <c r="C129" s="500" t="s">
        <v>1393</v>
      </c>
      <c r="D129" s="500" t="s">
        <v>1413</v>
      </c>
      <c r="E129" s="503">
        <v>17628.0</v>
      </c>
    </row>
    <row r="130" hidden="1">
      <c r="A130" s="499">
        <v>46066.0</v>
      </c>
      <c r="B130" s="500" t="s">
        <v>1162</v>
      </c>
      <c r="C130" s="500" t="s">
        <v>1396</v>
      </c>
      <c r="D130" s="500" t="s">
        <v>1413</v>
      </c>
      <c r="E130" s="503">
        <v>8800.0</v>
      </c>
    </row>
    <row r="131" hidden="1">
      <c r="A131" s="504"/>
      <c r="B131" s="505"/>
      <c r="C131" s="505"/>
      <c r="D131" s="505"/>
      <c r="E131" s="505"/>
    </row>
    <row r="132" hidden="1">
      <c r="A132" s="499">
        <v>46067.0</v>
      </c>
      <c r="B132" s="500" t="s">
        <v>1162</v>
      </c>
      <c r="C132" s="500" t="s">
        <v>1393</v>
      </c>
      <c r="D132" s="500" t="s">
        <v>1413</v>
      </c>
      <c r="E132" s="503">
        <v>17940.0</v>
      </c>
    </row>
    <row r="133" hidden="1">
      <c r="A133" s="499">
        <v>46067.0</v>
      </c>
      <c r="B133" s="500" t="s">
        <v>1162</v>
      </c>
      <c r="C133" s="500" t="s">
        <v>1396</v>
      </c>
      <c r="D133" s="500" t="s">
        <v>1413</v>
      </c>
      <c r="E133" s="503">
        <v>8800.0</v>
      </c>
    </row>
    <row r="134" hidden="1">
      <c r="A134" s="504"/>
      <c r="B134" s="505"/>
      <c r="C134" s="505"/>
      <c r="D134" s="505"/>
      <c r="E134" s="505"/>
    </row>
    <row r="135" hidden="1">
      <c r="A135" s="499">
        <v>46070.0</v>
      </c>
      <c r="B135" s="500" t="s">
        <v>1162</v>
      </c>
      <c r="C135" s="500" t="s">
        <v>1393</v>
      </c>
      <c r="D135" s="500" t="s">
        <v>1413</v>
      </c>
      <c r="E135" s="503">
        <v>18876.0</v>
      </c>
    </row>
    <row r="136" hidden="1">
      <c r="A136" s="499">
        <v>46070.0</v>
      </c>
      <c r="B136" s="500" t="s">
        <v>1162</v>
      </c>
      <c r="C136" s="500" t="s">
        <v>1396</v>
      </c>
      <c r="D136" s="500" t="s">
        <v>1413</v>
      </c>
      <c r="E136" s="503">
        <v>8800.0</v>
      </c>
    </row>
    <row r="137" hidden="1">
      <c r="A137" s="504"/>
      <c r="B137" s="505"/>
      <c r="C137" s="505"/>
      <c r="D137" s="505"/>
      <c r="E137" s="505"/>
    </row>
    <row r="138" hidden="1">
      <c r="A138" s="499">
        <v>46071.0</v>
      </c>
      <c r="B138" s="500" t="s">
        <v>1162</v>
      </c>
      <c r="C138" s="500" t="s">
        <v>1393</v>
      </c>
      <c r="D138" s="500" t="s">
        <v>1413</v>
      </c>
      <c r="E138" s="503">
        <v>18226.0</v>
      </c>
    </row>
    <row r="139" hidden="1">
      <c r="A139" s="499">
        <v>46071.0</v>
      </c>
      <c r="B139" s="500" t="s">
        <v>1162</v>
      </c>
      <c r="C139" s="500" t="s">
        <v>1396</v>
      </c>
      <c r="D139" s="500" t="s">
        <v>1413</v>
      </c>
      <c r="E139" s="503">
        <v>9350.0</v>
      </c>
    </row>
    <row r="140" hidden="1">
      <c r="A140" s="504"/>
      <c r="B140" s="505"/>
      <c r="C140" s="505"/>
      <c r="D140" s="505"/>
      <c r="E140" s="505"/>
    </row>
    <row r="141" hidden="1">
      <c r="A141" s="499">
        <v>46072.0</v>
      </c>
      <c r="B141" s="500" t="s">
        <v>1162</v>
      </c>
      <c r="C141" s="500" t="s">
        <v>1393</v>
      </c>
      <c r="D141" s="500" t="s">
        <v>1413</v>
      </c>
      <c r="E141" s="503">
        <v>18200.0</v>
      </c>
    </row>
    <row r="142" hidden="1">
      <c r="A142" s="499">
        <v>46072.0</v>
      </c>
      <c r="B142" s="500" t="s">
        <v>1162</v>
      </c>
      <c r="C142" s="500" t="s">
        <v>1396</v>
      </c>
      <c r="D142" s="500" t="s">
        <v>1413</v>
      </c>
      <c r="E142" s="503">
        <v>8800.0</v>
      </c>
    </row>
    <row r="143" hidden="1">
      <c r="A143" s="504"/>
      <c r="B143" s="505"/>
      <c r="C143" s="505"/>
      <c r="D143" s="505"/>
      <c r="E143" s="505"/>
    </row>
    <row r="144" hidden="1">
      <c r="A144" s="499">
        <v>46073.0</v>
      </c>
      <c r="B144" s="500" t="s">
        <v>1162</v>
      </c>
      <c r="C144" s="500" t="s">
        <v>1393</v>
      </c>
      <c r="D144" s="500" t="s">
        <v>1413</v>
      </c>
      <c r="E144" s="503">
        <v>17602.0</v>
      </c>
    </row>
    <row r="145" hidden="1">
      <c r="A145" s="499">
        <v>46073.0</v>
      </c>
      <c r="B145" s="500" t="s">
        <v>1162</v>
      </c>
      <c r="C145" s="500" t="s">
        <v>1396</v>
      </c>
      <c r="D145" s="500" t="s">
        <v>1413</v>
      </c>
      <c r="E145" s="503">
        <v>8800.0</v>
      </c>
    </row>
    <row r="146" hidden="1">
      <c r="A146" s="504"/>
      <c r="B146" s="505"/>
      <c r="C146" s="505"/>
      <c r="D146" s="505"/>
      <c r="E146" s="505"/>
    </row>
    <row r="147" hidden="1">
      <c r="A147" s="499">
        <v>46074.0</v>
      </c>
      <c r="B147" s="500" t="s">
        <v>1162</v>
      </c>
      <c r="C147" s="500" t="s">
        <v>1393</v>
      </c>
      <c r="D147" s="500" t="s">
        <v>1413</v>
      </c>
      <c r="E147" s="503">
        <v>15860.0</v>
      </c>
    </row>
    <row r="148" hidden="1">
      <c r="A148" s="499">
        <v>46074.0</v>
      </c>
      <c r="B148" s="500" t="s">
        <v>1162</v>
      </c>
      <c r="C148" s="500" t="s">
        <v>1396</v>
      </c>
      <c r="D148" s="500" t="s">
        <v>1413</v>
      </c>
      <c r="E148" s="503">
        <v>8800.0</v>
      </c>
    </row>
    <row r="149" hidden="1">
      <c r="A149" s="504"/>
      <c r="B149" s="505"/>
      <c r="C149" s="505"/>
      <c r="D149" s="505"/>
      <c r="E149" s="505"/>
    </row>
    <row r="150" hidden="1">
      <c r="A150" s="499">
        <v>46076.0</v>
      </c>
      <c r="B150" s="500" t="s">
        <v>1162</v>
      </c>
      <c r="C150" s="500" t="s">
        <v>1393</v>
      </c>
      <c r="D150" s="500" t="s">
        <v>1413</v>
      </c>
      <c r="E150" s="503">
        <v>26962.0</v>
      </c>
    </row>
    <row r="151" hidden="1">
      <c r="A151" s="499">
        <v>46077.0</v>
      </c>
      <c r="B151" s="500" t="s">
        <v>1162</v>
      </c>
      <c r="C151" s="500" t="s">
        <v>1393</v>
      </c>
      <c r="D151" s="500" t="s">
        <v>1413</v>
      </c>
      <c r="E151" s="503">
        <v>28470.0</v>
      </c>
    </row>
    <row r="152" hidden="1">
      <c r="A152" s="499">
        <v>46078.0</v>
      </c>
      <c r="B152" s="500" t="s">
        <v>1162</v>
      </c>
      <c r="C152" s="500" t="s">
        <v>1393</v>
      </c>
      <c r="D152" s="500" t="s">
        <v>1413</v>
      </c>
      <c r="E152" s="503">
        <v>26520.0</v>
      </c>
    </row>
    <row r="153" hidden="1">
      <c r="A153" s="499">
        <v>46079.0</v>
      </c>
      <c r="B153" s="500" t="s">
        <v>1162</v>
      </c>
      <c r="C153" s="500" t="s">
        <v>1393</v>
      </c>
      <c r="D153" s="500" t="s">
        <v>1413</v>
      </c>
      <c r="E153" s="503">
        <v>28080.0</v>
      </c>
    </row>
    <row r="154" hidden="1">
      <c r="A154" s="499">
        <v>46080.0</v>
      </c>
      <c r="B154" s="500" t="s">
        <v>1162</v>
      </c>
      <c r="C154" s="500" t="s">
        <v>1393</v>
      </c>
      <c r="D154" s="500" t="s">
        <v>1413</v>
      </c>
      <c r="E154" s="500">
        <v>962.0</v>
      </c>
    </row>
    <row r="155" hidden="1">
      <c r="A155" s="504"/>
      <c r="B155" s="505"/>
      <c r="C155" s="505"/>
      <c r="D155" s="505"/>
      <c r="E155" s="505"/>
    </row>
    <row r="156">
      <c r="A156" s="499">
        <v>46081.0</v>
      </c>
      <c r="B156" s="500" t="s">
        <v>1178</v>
      </c>
      <c r="C156" s="500" t="s">
        <v>1393</v>
      </c>
      <c r="D156" s="500" t="s">
        <v>1413</v>
      </c>
      <c r="E156" s="503">
        <v>21450.0</v>
      </c>
    </row>
    <row r="157">
      <c r="A157" s="499">
        <v>46083.0</v>
      </c>
      <c r="B157" s="500" t="s">
        <v>1178</v>
      </c>
      <c r="C157" s="500" t="s">
        <v>1393</v>
      </c>
      <c r="D157" s="500" t="s">
        <v>1413</v>
      </c>
      <c r="E157" s="503">
        <v>28080.0</v>
      </c>
    </row>
    <row r="158">
      <c r="A158" s="499">
        <v>46084.0</v>
      </c>
      <c r="B158" s="500" t="s">
        <v>1178</v>
      </c>
      <c r="C158" s="500" t="s">
        <v>1393</v>
      </c>
      <c r="D158" s="500" t="s">
        <v>1413</v>
      </c>
      <c r="E158" s="503">
        <v>27820.0</v>
      </c>
    </row>
    <row r="159">
      <c r="A159" s="499">
        <v>46085.0</v>
      </c>
      <c r="B159" s="500" t="s">
        <v>1178</v>
      </c>
      <c r="C159" s="500" t="s">
        <v>1393</v>
      </c>
      <c r="D159" s="500" t="s">
        <v>1413</v>
      </c>
      <c r="E159" s="503">
        <v>30472.0</v>
      </c>
    </row>
    <row r="160">
      <c r="A160" s="499">
        <v>46086.0</v>
      </c>
      <c r="B160" s="500" t="s">
        <v>1178</v>
      </c>
      <c r="C160" s="500" t="s">
        <v>1393</v>
      </c>
      <c r="D160" s="500" t="s">
        <v>1413</v>
      </c>
      <c r="E160" s="503">
        <v>29250.0</v>
      </c>
    </row>
    <row r="161">
      <c r="A161" s="499">
        <v>46087.0</v>
      </c>
      <c r="B161" s="500" t="s">
        <v>1178</v>
      </c>
      <c r="C161" s="500" t="s">
        <v>1393</v>
      </c>
      <c r="D161" s="500" t="s">
        <v>1413</v>
      </c>
      <c r="E161" s="503">
        <v>18070.0</v>
      </c>
    </row>
    <row r="162">
      <c r="A162" s="499">
        <v>46088.0</v>
      </c>
      <c r="B162" s="500" t="s">
        <v>1178</v>
      </c>
      <c r="C162" s="500" t="s">
        <v>1393</v>
      </c>
      <c r="D162" s="500" t="s">
        <v>1413</v>
      </c>
      <c r="E162" s="503">
        <v>30784.0</v>
      </c>
    </row>
    <row r="163">
      <c r="A163" s="499">
        <v>46090.0</v>
      </c>
      <c r="B163" s="500" t="s">
        <v>1178</v>
      </c>
      <c r="C163" s="500" t="s">
        <v>1393</v>
      </c>
      <c r="D163" s="500" t="s">
        <v>1413</v>
      </c>
      <c r="E163" s="503">
        <v>27300.0</v>
      </c>
    </row>
    <row r="164">
      <c r="A164" s="499">
        <v>46090.0</v>
      </c>
      <c r="B164" s="500" t="s">
        <v>1178</v>
      </c>
      <c r="C164" s="500" t="s">
        <v>1393</v>
      </c>
      <c r="D164" s="500" t="s">
        <v>1422</v>
      </c>
      <c r="E164" s="503">
        <v>27820.0</v>
      </c>
    </row>
    <row r="165">
      <c r="A165" s="499">
        <v>46091.0</v>
      </c>
      <c r="B165" s="500" t="s">
        <v>1178</v>
      </c>
      <c r="C165" s="500" t="s">
        <v>1393</v>
      </c>
      <c r="D165" s="500" t="s">
        <v>1413</v>
      </c>
      <c r="E165" s="503">
        <v>21190.0</v>
      </c>
    </row>
    <row r="166">
      <c r="A166" s="499">
        <v>46091.0</v>
      </c>
      <c r="B166" s="500" t="s">
        <v>1178</v>
      </c>
      <c r="C166" s="500" t="s">
        <v>1393</v>
      </c>
      <c r="D166" s="500" t="s">
        <v>1422</v>
      </c>
      <c r="E166" s="503">
        <v>28340.0</v>
      </c>
    </row>
    <row r="167">
      <c r="A167" s="499">
        <v>46092.0</v>
      </c>
      <c r="B167" s="500" t="s">
        <v>1178</v>
      </c>
      <c r="C167" s="500" t="s">
        <v>1393</v>
      </c>
      <c r="D167" s="500" t="s">
        <v>1413</v>
      </c>
      <c r="E167" s="503">
        <v>27690.0</v>
      </c>
    </row>
    <row r="168">
      <c r="A168" s="499">
        <v>46092.0</v>
      </c>
      <c r="B168" s="500" t="s">
        <v>1178</v>
      </c>
      <c r="C168" s="500" t="s">
        <v>1393</v>
      </c>
      <c r="D168" s="500" t="s">
        <v>1422</v>
      </c>
      <c r="E168" s="503">
        <v>27846.0</v>
      </c>
    </row>
    <row r="169">
      <c r="A169" s="499">
        <v>46093.0</v>
      </c>
      <c r="B169" s="500" t="s">
        <v>1178</v>
      </c>
      <c r="C169" s="500" t="s">
        <v>1393</v>
      </c>
      <c r="D169" s="500" t="s">
        <v>1413</v>
      </c>
      <c r="E169" s="503">
        <v>27300.0</v>
      </c>
    </row>
    <row r="170">
      <c r="A170" s="499">
        <v>46094.0</v>
      </c>
      <c r="B170" s="500" t="s">
        <v>1178</v>
      </c>
      <c r="C170" s="500" t="s">
        <v>1393</v>
      </c>
      <c r="D170" s="500" t="s">
        <v>1413</v>
      </c>
      <c r="E170" s="503">
        <v>28470.0</v>
      </c>
    </row>
    <row r="171">
      <c r="A171" s="499">
        <v>46095.0</v>
      </c>
      <c r="B171" s="500" t="s">
        <v>1178</v>
      </c>
      <c r="C171" s="500" t="s">
        <v>1393</v>
      </c>
      <c r="D171" s="500" t="s">
        <v>1413</v>
      </c>
      <c r="E171" s="503">
        <v>29640.0</v>
      </c>
    </row>
    <row r="172">
      <c r="A172" s="499">
        <v>46098.0</v>
      </c>
      <c r="B172" s="500" t="s">
        <v>1178</v>
      </c>
      <c r="C172" s="500" t="s">
        <v>1393</v>
      </c>
      <c r="D172" s="500" t="s">
        <v>1413</v>
      </c>
      <c r="E172" s="503">
        <v>28990.0</v>
      </c>
    </row>
    <row r="173">
      <c r="A173" s="499">
        <v>46099.0</v>
      </c>
      <c r="B173" s="500" t="s">
        <v>1178</v>
      </c>
      <c r="C173" s="500" t="s">
        <v>1393</v>
      </c>
      <c r="D173" s="500" t="s">
        <v>1413</v>
      </c>
      <c r="E173" s="503">
        <v>28600.0</v>
      </c>
    </row>
    <row r="174">
      <c r="A174" s="499">
        <v>46100.0</v>
      </c>
      <c r="B174" s="500" t="s">
        <v>1178</v>
      </c>
      <c r="C174" s="500" t="s">
        <v>1393</v>
      </c>
      <c r="D174" s="500" t="s">
        <v>1413</v>
      </c>
      <c r="E174" s="503">
        <v>28860.0</v>
      </c>
    </row>
    <row r="175">
      <c r="A175" s="499">
        <v>46101.0</v>
      </c>
      <c r="B175" s="500" t="s">
        <v>1178</v>
      </c>
      <c r="C175" s="500" t="s">
        <v>1393</v>
      </c>
      <c r="D175" s="500" t="s">
        <v>1413</v>
      </c>
      <c r="E175" s="503">
        <v>29120.0</v>
      </c>
    </row>
    <row r="176">
      <c r="A176" s="499">
        <v>46104.0</v>
      </c>
      <c r="B176" s="500" t="s">
        <v>1178</v>
      </c>
      <c r="C176" s="500" t="s">
        <v>1393</v>
      </c>
      <c r="D176" s="500" t="s">
        <v>1413</v>
      </c>
      <c r="E176" s="503">
        <v>27300.0</v>
      </c>
    </row>
    <row r="177">
      <c r="A177" s="499">
        <v>46104.0</v>
      </c>
      <c r="B177" s="500" t="s">
        <v>1178</v>
      </c>
      <c r="C177" s="500" t="s">
        <v>1393</v>
      </c>
      <c r="D177" s="500" t="s">
        <v>1422</v>
      </c>
      <c r="E177" s="503">
        <v>26728.0</v>
      </c>
    </row>
    <row r="178">
      <c r="A178" s="499">
        <v>46105.0</v>
      </c>
      <c r="B178" s="500" t="s">
        <v>1178</v>
      </c>
      <c r="C178" s="500" t="s">
        <v>1393</v>
      </c>
      <c r="D178" s="500" t="s">
        <v>1413</v>
      </c>
      <c r="E178" s="503">
        <v>28470.0</v>
      </c>
    </row>
    <row r="179">
      <c r="A179" s="499">
        <v>46105.0</v>
      </c>
      <c r="B179" s="500" t="s">
        <v>1178</v>
      </c>
      <c r="C179" s="500" t="s">
        <v>1393</v>
      </c>
      <c r="D179" s="500" t="s">
        <v>1422</v>
      </c>
      <c r="E179" s="503">
        <v>29250.0</v>
      </c>
    </row>
    <row r="180">
      <c r="A180" s="499">
        <v>46106.0</v>
      </c>
      <c r="B180" s="500" t="s">
        <v>1178</v>
      </c>
      <c r="C180" s="500" t="s">
        <v>1393</v>
      </c>
      <c r="D180" s="500" t="s">
        <v>1413</v>
      </c>
      <c r="E180" s="503">
        <v>29640.0</v>
      </c>
    </row>
    <row r="181">
      <c r="A181" s="499">
        <v>46106.0</v>
      </c>
      <c r="B181" s="500" t="s">
        <v>1178</v>
      </c>
      <c r="C181" s="500" t="s">
        <v>1393</v>
      </c>
      <c r="D181" s="500" t="s">
        <v>1422</v>
      </c>
      <c r="E181" s="503">
        <v>28730.0</v>
      </c>
    </row>
    <row r="182">
      <c r="A182" s="499">
        <v>46107.0</v>
      </c>
      <c r="B182" s="500" t="s">
        <v>1178</v>
      </c>
      <c r="C182" s="500" t="s">
        <v>1393</v>
      </c>
      <c r="D182" s="500" t="s">
        <v>1413</v>
      </c>
      <c r="E182" s="503">
        <v>25896.0</v>
      </c>
    </row>
    <row r="183">
      <c r="A183" s="499">
        <v>46107.0</v>
      </c>
      <c r="B183" s="500" t="s">
        <v>1178</v>
      </c>
      <c r="C183" s="500" t="s">
        <v>1393</v>
      </c>
      <c r="D183" s="500" t="s">
        <v>1422</v>
      </c>
      <c r="E183" s="503">
        <v>28860.0</v>
      </c>
    </row>
    <row r="184">
      <c r="A184" s="499">
        <v>46108.0</v>
      </c>
      <c r="B184" s="500" t="s">
        <v>1178</v>
      </c>
      <c r="C184" s="500" t="s">
        <v>1393</v>
      </c>
      <c r="D184" s="500" t="s">
        <v>1413</v>
      </c>
      <c r="E184" s="503">
        <v>29380.0</v>
      </c>
    </row>
    <row r="185">
      <c r="A185" s="499">
        <v>46108.0</v>
      </c>
      <c r="B185" s="500" t="s">
        <v>1178</v>
      </c>
      <c r="C185" s="500" t="s">
        <v>1393</v>
      </c>
      <c r="D185" s="500" t="s">
        <v>1422</v>
      </c>
      <c r="E185" s="503">
        <v>25870.0</v>
      </c>
    </row>
    <row r="186">
      <c r="A186" s="499">
        <v>46109.0</v>
      </c>
      <c r="B186" s="500" t="s">
        <v>1178</v>
      </c>
      <c r="C186" s="500" t="s">
        <v>1393</v>
      </c>
      <c r="D186" s="500" t="s">
        <v>1413</v>
      </c>
      <c r="E186" s="503">
        <v>28600.0</v>
      </c>
    </row>
    <row r="187">
      <c r="A187" s="499">
        <v>46109.0</v>
      </c>
      <c r="B187" s="500" t="s">
        <v>1178</v>
      </c>
      <c r="C187" s="500" t="s">
        <v>1393</v>
      </c>
      <c r="D187" s="500" t="s">
        <v>1422</v>
      </c>
      <c r="E187" s="503">
        <v>26572.0</v>
      </c>
    </row>
    <row r="188">
      <c r="A188" s="499">
        <v>46111.0</v>
      </c>
      <c r="B188" s="500" t="s">
        <v>1178</v>
      </c>
      <c r="C188" s="500" t="s">
        <v>1393</v>
      </c>
      <c r="D188" s="500" t="s">
        <v>1413</v>
      </c>
      <c r="E188" s="503">
        <v>5876.0</v>
      </c>
    </row>
    <row r="189">
      <c r="A189" s="504"/>
      <c r="B189" s="505"/>
      <c r="C189" s="505"/>
      <c r="D189" s="505"/>
      <c r="E189" s="505"/>
    </row>
    <row r="190">
      <c r="A190" s="499">
        <v>46111.0</v>
      </c>
      <c r="B190" s="500" t="s">
        <v>1198</v>
      </c>
      <c r="C190" s="500" t="s">
        <v>1393</v>
      </c>
      <c r="D190" s="500" t="s">
        <v>1413</v>
      </c>
      <c r="E190" s="503">
        <v>18880.0</v>
      </c>
      <c r="F190" s="506" t="s">
        <v>1427</v>
      </c>
    </row>
    <row r="191">
      <c r="A191" s="499">
        <v>46112.0</v>
      </c>
      <c r="B191" s="500" t="s">
        <v>1198</v>
      </c>
      <c r="C191" s="500" t="s">
        <v>1393</v>
      </c>
      <c r="D191" s="500" t="s">
        <v>1413</v>
      </c>
      <c r="E191" s="503">
        <v>27730.0</v>
      </c>
    </row>
    <row r="192">
      <c r="A192" s="499">
        <v>46113.0</v>
      </c>
      <c r="B192" s="500" t="s">
        <v>1198</v>
      </c>
      <c r="C192" s="500" t="s">
        <v>1393</v>
      </c>
      <c r="D192" s="500" t="s">
        <v>1413</v>
      </c>
      <c r="E192" s="503">
        <v>22420.0</v>
      </c>
    </row>
    <row r="193">
      <c r="A193" s="499">
        <v>46118.0</v>
      </c>
      <c r="B193" s="500" t="s">
        <v>1198</v>
      </c>
      <c r="C193" s="500" t="s">
        <v>1393</v>
      </c>
      <c r="D193" s="500" t="s">
        <v>1413</v>
      </c>
      <c r="E193" s="503">
        <v>22420.0</v>
      </c>
    </row>
    <row r="194">
      <c r="A194" s="499">
        <v>46119.0</v>
      </c>
      <c r="B194" s="500" t="s">
        <v>1198</v>
      </c>
      <c r="C194" s="500" t="s">
        <v>1393</v>
      </c>
      <c r="D194" s="500" t="s">
        <v>1413</v>
      </c>
      <c r="E194" s="503">
        <v>24190.0</v>
      </c>
    </row>
    <row r="195">
      <c r="A195" s="499">
        <v>46120.0</v>
      </c>
      <c r="B195" s="500" t="s">
        <v>1198</v>
      </c>
      <c r="C195" s="500" t="s">
        <v>1393</v>
      </c>
      <c r="D195" s="500" t="s">
        <v>1413</v>
      </c>
      <c r="E195" s="503">
        <v>25370.0</v>
      </c>
    </row>
    <row r="196">
      <c r="A196" s="499">
        <v>46121.0</v>
      </c>
      <c r="B196" s="500" t="s">
        <v>1198</v>
      </c>
      <c r="C196" s="500" t="s">
        <v>1393</v>
      </c>
      <c r="D196" s="500" t="s">
        <v>1413</v>
      </c>
      <c r="E196" s="503">
        <v>25370.0</v>
      </c>
    </row>
    <row r="197">
      <c r="A197" s="499">
        <v>46122.0</v>
      </c>
      <c r="B197" s="500" t="s">
        <v>1198</v>
      </c>
      <c r="C197" s="500" t="s">
        <v>1393</v>
      </c>
      <c r="D197" s="500" t="s">
        <v>1413</v>
      </c>
      <c r="E197" s="503">
        <v>21830.0</v>
      </c>
    </row>
    <row r="198">
      <c r="A198" s="504"/>
      <c r="B198" s="505"/>
      <c r="C198" s="505"/>
      <c r="D198" s="505"/>
      <c r="E198" s="505"/>
    </row>
    <row r="199">
      <c r="A199" s="504"/>
      <c r="B199" s="505"/>
      <c r="C199" s="505"/>
      <c r="D199" s="505"/>
      <c r="E199" s="505"/>
    </row>
    <row r="200">
      <c r="A200" s="504"/>
      <c r="B200" s="505"/>
      <c r="C200" s="505"/>
      <c r="D200" s="505"/>
      <c r="E200" s="505"/>
    </row>
    <row r="201">
      <c r="A201" s="504"/>
      <c r="B201" s="505"/>
      <c r="C201" s="505"/>
      <c r="D201" s="505"/>
      <c r="E201" s="505"/>
    </row>
    <row r="202">
      <c r="A202" s="504"/>
      <c r="B202" s="505"/>
      <c r="C202" s="505"/>
      <c r="D202" s="505"/>
      <c r="E202" s="505"/>
    </row>
    <row r="203">
      <c r="A203" s="504"/>
      <c r="B203" s="505"/>
      <c r="C203" s="505"/>
      <c r="D203" s="505"/>
      <c r="E203" s="505"/>
    </row>
    <row r="204">
      <c r="A204" s="504"/>
      <c r="B204" s="505"/>
      <c r="C204" s="505"/>
      <c r="D204" s="505"/>
      <c r="E204" s="505"/>
    </row>
    <row r="205">
      <c r="A205" s="504"/>
      <c r="B205" s="505"/>
      <c r="C205" s="505"/>
      <c r="D205" s="505"/>
      <c r="E205" s="505"/>
    </row>
    <row r="206">
      <c r="A206" s="504"/>
      <c r="B206" s="505"/>
      <c r="C206" s="505"/>
      <c r="D206" s="505"/>
      <c r="E206" s="505"/>
    </row>
    <row r="207">
      <c r="A207" s="504"/>
      <c r="B207" s="505"/>
      <c r="C207" s="505"/>
      <c r="D207" s="505"/>
      <c r="E207" s="505"/>
    </row>
    <row r="208">
      <c r="A208" s="504"/>
      <c r="B208" s="505"/>
      <c r="C208" s="505"/>
      <c r="D208" s="505"/>
      <c r="E208" s="505"/>
    </row>
    <row r="209">
      <c r="A209" s="504"/>
      <c r="B209" s="505"/>
      <c r="C209" s="505"/>
      <c r="D209" s="505"/>
      <c r="E209" s="505"/>
    </row>
    <row r="210">
      <c r="A210" s="504"/>
      <c r="B210" s="505"/>
      <c r="C210" s="505"/>
      <c r="D210" s="505"/>
      <c r="E210" s="505"/>
    </row>
    <row r="211">
      <c r="A211" s="504"/>
      <c r="B211" s="505"/>
      <c r="C211" s="505"/>
      <c r="D211" s="505"/>
      <c r="E211" s="505"/>
    </row>
    <row r="212">
      <c r="A212" s="504"/>
      <c r="B212" s="505"/>
      <c r="C212" s="505"/>
      <c r="D212" s="505"/>
      <c r="E212" s="505"/>
    </row>
    <row r="213">
      <c r="A213" s="504"/>
      <c r="B213" s="505"/>
      <c r="C213" s="505"/>
      <c r="D213" s="505"/>
      <c r="E213" s="505"/>
    </row>
    <row r="214">
      <c r="A214" s="504"/>
      <c r="B214" s="505"/>
      <c r="C214" s="505"/>
      <c r="D214" s="505"/>
      <c r="E214" s="505"/>
    </row>
    <row r="215">
      <c r="A215" s="504"/>
      <c r="B215" s="505"/>
      <c r="C215" s="505"/>
      <c r="D215" s="505"/>
      <c r="E215" s="505"/>
    </row>
    <row r="216">
      <c r="A216" s="504"/>
      <c r="B216" s="505"/>
      <c r="C216" s="505"/>
      <c r="D216" s="505"/>
      <c r="E216" s="505"/>
    </row>
    <row r="217">
      <c r="A217" s="504"/>
      <c r="B217" s="505"/>
      <c r="C217" s="505"/>
      <c r="D217" s="505"/>
      <c r="E217" s="505"/>
    </row>
    <row r="218">
      <c r="A218" s="504"/>
      <c r="B218" s="505"/>
      <c r="C218" s="505"/>
      <c r="D218" s="505"/>
      <c r="E218" s="505"/>
    </row>
    <row r="219">
      <c r="A219" s="504"/>
      <c r="B219" s="505"/>
      <c r="C219" s="505"/>
      <c r="D219" s="505"/>
      <c r="E219" s="505"/>
    </row>
    <row r="220">
      <c r="A220" s="504"/>
      <c r="B220" s="505"/>
      <c r="C220" s="505"/>
      <c r="D220" s="505"/>
      <c r="E220" s="505"/>
    </row>
    <row r="221">
      <c r="A221" s="504"/>
      <c r="B221" s="505"/>
      <c r="C221" s="505"/>
      <c r="D221" s="505"/>
      <c r="E221" s="505"/>
    </row>
    <row r="222">
      <c r="A222" s="504"/>
      <c r="B222" s="505"/>
      <c r="C222" s="505"/>
      <c r="D222" s="505"/>
      <c r="E222" s="505"/>
    </row>
    <row r="223">
      <c r="A223" s="504"/>
      <c r="B223" s="505"/>
      <c r="C223" s="505"/>
      <c r="D223" s="505"/>
      <c r="E223" s="505"/>
    </row>
    <row r="224">
      <c r="A224" s="504"/>
      <c r="B224" s="505"/>
      <c r="C224" s="505"/>
      <c r="D224" s="505"/>
      <c r="E224" s="505"/>
    </row>
    <row r="225">
      <c r="A225" s="504"/>
      <c r="B225" s="505"/>
      <c r="C225" s="505"/>
      <c r="D225" s="505"/>
      <c r="E225" s="505"/>
    </row>
    <row r="226">
      <c r="A226" s="504"/>
      <c r="B226" s="505"/>
      <c r="C226" s="505"/>
      <c r="D226" s="505"/>
      <c r="E226" s="505"/>
    </row>
    <row r="227">
      <c r="A227" s="504"/>
      <c r="B227" s="505"/>
      <c r="C227" s="505"/>
      <c r="D227" s="505"/>
      <c r="E227" s="505"/>
    </row>
    <row r="228">
      <c r="A228" s="504"/>
      <c r="B228" s="505"/>
      <c r="C228" s="505"/>
      <c r="D228" s="505"/>
      <c r="E228" s="505"/>
    </row>
    <row r="229">
      <c r="A229" s="504"/>
      <c r="B229" s="505"/>
      <c r="C229" s="505"/>
      <c r="D229" s="505"/>
      <c r="E229" s="505"/>
    </row>
    <row r="230">
      <c r="A230" s="504"/>
      <c r="B230" s="505"/>
      <c r="C230" s="505"/>
      <c r="D230" s="505"/>
      <c r="E230" s="505"/>
    </row>
    <row r="231">
      <c r="A231" s="504"/>
      <c r="B231" s="505"/>
      <c r="C231" s="505"/>
      <c r="D231" s="505"/>
      <c r="E231" s="505"/>
    </row>
    <row r="232">
      <c r="A232" s="504"/>
      <c r="B232" s="505"/>
      <c r="C232" s="505"/>
      <c r="D232" s="505"/>
      <c r="E232" s="505"/>
    </row>
    <row r="233">
      <c r="A233" s="504"/>
      <c r="B233" s="505"/>
      <c r="C233" s="505"/>
      <c r="D233" s="505"/>
      <c r="E233" s="505"/>
    </row>
    <row r="234">
      <c r="A234" s="504"/>
      <c r="B234" s="505"/>
      <c r="C234" s="505"/>
      <c r="D234" s="505"/>
      <c r="E234" s="505"/>
    </row>
    <row r="235">
      <c r="A235" s="504"/>
      <c r="B235" s="505"/>
      <c r="C235" s="505"/>
      <c r="D235" s="505"/>
      <c r="E235" s="505"/>
    </row>
    <row r="236">
      <c r="A236" s="504"/>
      <c r="B236" s="505"/>
      <c r="C236" s="505"/>
      <c r="D236" s="505"/>
      <c r="E236" s="505"/>
    </row>
    <row r="237">
      <c r="A237" s="504"/>
      <c r="B237" s="505"/>
      <c r="C237" s="505"/>
      <c r="D237" s="505"/>
      <c r="E237" s="505"/>
    </row>
    <row r="238">
      <c r="A238" s="504"/>
      <c r="B238" s="505"/>
      <c r="C238" s="505"/>
      <c r="D238" s="505"/>
      <c r="E238" s="505"/>
    </row>
    <row r="239">
      <c r="A239" s="504"/>
      <c r="B239" s="505"/>
      <c r="C239" s="505"/>
      <c r="D239" s="505"/>
      <c r="E239" s="505"/>
    </row>
    <row r="240">
      <c r="A240" s="504"/>
      <c r="B240" s="505"/>
      <c r="C240" s="505"/>
      <c r="D240" s="505"/>
      <c r="E240" s="505"/>
    </row>
    <row r="241">
      <c r="A241" s="504"/>
      <c r="B241" s="505"/>
      <c r="C241" s="505"/>
      <c r="D241" s="505"/>
      <c r="E241" s="505"/>
    </row>
    <row r="242">
      <c r="A242" s="504"/>
      <c r="B242" s="505"/>
      <c r="C242" s="505"/>
      <c r="D242" s="505"/>
      <c r="E242" s="505"/>
    </row>
    <row r="243">
      <c r="A243" s="504"/>
      <c r="B243" s="505"/>
      <c r="C243" s="505"/>
      <c r="D243" s="505"/>
      <c r="E243" s="505"/>
    </row>
    <row r="244">
      <c r="A244" s="504"/>
      <c r="B244" s="505"/>
      <c r="C244" s="505"/>
      <c r="D244" s="505"/>
      <c r="E244" s="505"/>
    </row>
    <row r="245">
      <c r="A245" s="504"/>
      <c r="B245" s="505"/>
      <c r="C245" s="505"/>
      <c r="D245" s="505"/>
      <c r="E245" s="505"/>
    </row>
    <row r="246">
      <c r="A246" s="504"/>
      <c r="B246" s="505"/>
      <c r="C246" s="505"/>
      <c r="D246" s="505"/>
      <c r="E246" s="505"/>
    </row>
    <row r="247">
      <c r="A247" s="504"/>
      <c r="B247" s="505"/>
      <c r="C247" s="505"/>
      <c r="D247" s="505"/>
      <c r="E247" s="505"/>
    </row>
    <row r="248">
      <c r="A248" s="504"/>
      <c r="B248" s="505"/>
      <c r="C248" s="505"/>
      <c r="D248" s="505"/>
      <c r="E248" s="505"/>
    </row>
    <row r="249">
      <c r="A249" s="504"/>
      <c r="B249" s="505"/>
      <c r="C249" s="505"/>
      <c r="D249" s="505"/>
      <c r="E249" s="505"/>
    </row>
    <row r="250">
      <c r="A250" s="504"/>
      <c r="B250" s="505"/>
      <c r="C250" s="505"/>
      <c r="D250" s="505"/>
      <c r="E250" s="505"/>
    </row>
    <row r="251">
      <c r="A251" s="504"/>
      <c r="B251" s="505"/>
      <c r="C251" s="505"/>
      <c r="D251" s="505"/>
      <c r="E251" s="505"/>
    </row>
    <row r="252">
      <c r="A252" s="504"/>
      <c r="B252" s="505"/>
      <c r="C252" s="505"/>
      <c r="D252" s="505"/>
      <c r="E252" s="505"/>
    </row>
    <row r="253">
      <c r="A253" s="504"/>
      <c r="B253" s="505"/>
      <c r="C253" s="505"/>
      <c r="D253" s="505"/>
      <c r="E253" s="505"/>
    </row>
    <row r="254">
      <c r="A254" s="504"/>
      <c r="B254" s="505"/>
      <c r="C254" s="505"/>
      <c r="D254" s="505"/>
      <c r="E254" s="505"/>
    </row>
    <row r="255">
      <c r="A255" s="504"/>
      <c r="B255" s="505"/>
      <c r="C255" s="505"/>
      <c r="D255" s="505"/>
      <c r="E255" s="505"/>
    </row>
    <row r="256">
      <c r="A256" s="504"/>
      <c r="B256" s="505"/>
      <c r="C256" s="505"/>
      <c r="D256" s="505"/>
      <c r="E256" s="505"/>
    </row>
    <row r="257">
      <c r="A257" s="504"/>
      <c r="B257" s="505"/>
      <c r="C257" s="505"/>
      <c r="D257" s="505"/>
      <c r="E257" s="505"/>
    </row>
    <row r="258">
      <c r="A258" s="504"/>
      <c r="B258" s="505"/>
      <c r="C258" s="505"/>
      <c r="D258" s="505"/>
      <c r="E258" s="505"/>
    </row>
    <row r="259">
      <c r="A259" s="504"/>
      <c r="B259" s="505"/>
      <c r="C259" s="505"/>
      <c r="D259" s="505"/>
      <c r="E259" s="505"/>
    </row>
    <row r="260">
      <c r="A260" s="504"/>
      <c r="B260" s="505"/>
      <c r="C260" s="505"/>
      <c r="D260" s="505"/>
      <c r="E260" s="505"/>
    </row>
    <row r="261">
      <c r="A261" s="504"/>
      <c r="B261" s="505"/>
      <c r="C261" s="505"/>
      <c r="D261" s="505"/>
      <c r="E261" s="505"/>
    </row>
    <row r="262">
      <c r="A262" s="504"/>
      <c r="B262" s="505"/>
      <c r="C262" s="505"/>
      <c r="D262" s="505"/>
      <c r="E262" s="505"/>
    </row>
    <row r="263">
      <c r="A263" s="504"/>
      <c r="B263" s="505"/>
      <c r="C263" s="505"/>
      <c r="D263" s="505"/>
      <c r="E263" s="505"/>
    </row>
    <row r="264">
      <c r="A264" s="504"/>
      <c r="B264" s="505"/>
      <c r="C264" s="505"/>
      <c r="D264" s="505"/>
      <c r="E264" s="505"/>
    </row>
    <row r="265">
      <c r="A265" s="504"/>
      <c r="B265" s="505"/>
      <c r="C265" s="505"/>
      <c r="D265" s="505"/>
      <c r="E265" s="505"/>
    </row>
    <row r="266">
      <c r="A266" s="504"/>
      <c r="B266" s="505"/>
      <c r="C266" s="505"/>
      <c r="D266" s="505"/>
      <c r="E266" s="505"/>
    </row>
    <row r="267">
      <c r="A267" s="504"/>
      <c r="B267" s="505"/>
      <c r="C267" s="505"/>
      <c r="D267" s="505"/>
      <c r="E267" s="505"/>
    </row>
    <row r="268">
      <c r="A268" s="504"/>
      <c r="B268" s="505"/>
      <c r="C268" s="505"/>
      <c r="D268" s="505"/>
      <c r="E268" s="505"/>
    </row>
    <row r="269">
      <c r="A269" s="504"/>
      <c r="B269" s="505"/>
      <c r="C269" s="505"/>
      <c r="D269" s="505"/>
      <c r="E269" s="505"/>
    </row>
    <row r="270">
      <c r="A270" s="504"/>
      <c r="B270" s="505"/>
      <c r="C270" s="505"/>
      <c r="D270" s="505"/>
      <c r="E270" s="505"/>
    </row>
    <row r="271">
      <c r="A271" s="504"/>
      <c r="B271" s="505"/>
      <c r="C271" s="505"/>
      <c r="D271" s="505"/>
      <c r="E271" s="505"/>
    </row>
    <row r="272">
      <c r="A272" s="504"/>
      <c r="B272" s="505"/>
      <c r="C272" s="505"/>
      <c r="D272" s="505"/>
      <c r="E272" s="505"/>
    </row>
    <row r="273">
      <c r="A273" s="504"/>
      <c r="B273" s="505"/>
      <c r="C273" s="505"/>
      <c r="D273" s="505"/>
      <c r="E273" s="505"/>
    </row>
    <row r="274">
      <c r="A274" s="504"/>
      <c r="B274" s="505"/>
      <c r="C274" s="505"/>
      <c r="D274" s="505"/>
      <c r="E274" s="505"/>
    </row>
    <row r="275">
      <c r="A275" s="504"/>
      <c r="B275" s="505"/>
      <c r="C275" s="505"/>
      <c r="D275" s="505"/>
      <c r="E275" s="505"/>
    </row>
    <row r="276">
      <c r="A276" s="504"/>
      <c r="B276" s="505"/>
      <c r="C276" s="505"/>
      <c r="D276" s="505"/>
      <c r="E276" s="505"/>
    </row>
    <row r="277">
      <c r="A277" s="504"/>
      <c r="B277" s="505"/>
      <c r="C277" s="505"/>
      <c r="D277" s="505"/>
      <c r="E277" s="505"/>
    </row>
    <row r="278">
      <c r="A278" s="504"/>
      <c r="B278" s="505"/>
      <c r="C278" s="505"/>
      <c r="D278" s="505"/>
      <c r="E278" s="505"/>
    </row>
    <row r="279">
      <c r="A279" s="504"/>
      <c r="B279" s="505"/>
      <c r="C279" s="505"/>
      <c r="D279" s="505"/>
      <c r="E279" s="505"/>
    </row>
    <row r="280">
      <c r="A280" s="504"/>
      <c r="B280" s="505"/>
      <c r="C280" s="505"/>
      <c r="D280" s="505"/>
      <c r="E280" s="505"/>
    </row>
    <row r="281">
      <c r="A281" s="504"/>
      <c r="B281" s="505"/>
      <c r="C281" s="505"/>
      <c r="D281" s="505"/>
      <c r="E281" s="505"/>
    </row>
    <row r="282">
      <c r="A282" s="504"/>
      <c r="B282" s="505"/>
      <c r="C282" s="505"/>
      <c r="D282" s="505"/>
      <c r="E282" s="505"/>
    </row>
    <row r="283">
      <c r="A283" s="504"/>
      <c r="B283" s="505"/>
      <c r="C283" s="505"/>
      <c r="D283" s="505"/>
      <c r="E283" s="505"/>
    </row>
    <row r="284">
      <c r="A284" s="504"/>
      <c r="B284" s="505"/>
      <c r="C284" s="505"/>
      <c r="D284" s="505"/>
      <c r="E284" s="505"/>
    </row>
    <row r="285">
      <c r="A285" s="504"/>
      <c r="B285" s="505"/>
      <c r="C285" s="505"/>
      <c r="D285" s="505"/>
      <c r="E285" s="505"/>
    </row>
    <row r="286">
      <c r="A286" s="504"/>
      <c r="B286" s="505"/>
      <c r="C286" s="505"/>
      <c r="D286" s="505"/>
      <c r="E286" s="505"/>
    </row>
    <row r="287">
      <c r="A287" s="504"/>
      <c r="B287" s="505"/>
      <c r="C287" s="505"/>
      <c r="D287" s="505"/>
      <c r="E287" s="505"/>
    </row>
    <row r="288">
      <c r="A288" s="504"/>
      <c r="B288" s="505"/>
      <c r="C288" s="505"/>
      <c r="D288" s="505"/>
      <c r="E288" s="505"/>
    </row>
    <row r="289">
      <c r="A289" s="504"/>
      <c r="B289" s="505"/>
      <c r="C289" s="505"/>
      <c r="D289" s="505"/>
      <c r="E289" s="505"/>
    </row>
    <row r="290">
      <c r="A290" s="504"/>
      <c r="B290" s="505"/>
      <c r="C290" s="505"/>
      <c r="D290" s="505"/>
      <c r="E290" s="505"/>
    </row>
    <row r="291">
      <c r="A291" s="504"/>
      <c r="B291" s="505"/>
      <c r="C291" s="505"/>
      <c r="D291" s="505"/>
      <c r="E291" s="505"/>
    </row>
    <row r="292">
      <c r="A292" s="504"/>
      <c r="B292" s="505"/>
      <c r="C292" s="505"/>
      <c r="D292" s="505"/>
      <c r="E292" s="505"/>
    </row>
    <row r="293">
      <c r="A293" s="504"/>
      <c r="B293" s="505"/>
      <c r="C293" s="505"/>
      <c r="D293" s="505"/>
      <c r="E293" s="505"/>
    </row>
    <row r="294">
      <c r="A294" s="504"/>
      <c r="B294" s="505"/>
      <c r="C294" s="505"/>
      <c r="D294" s="505"/>
      <c r="E294" s="505"/>
    </row>
    <row r="295">
      <c r="A295" s="504"/>
      <c r="B295" s="505"/>
      <c r="C295" s="505"/>
      <c r="D295" s="505"/>
      <c r="E295" s="505"/>
    </row>
    <row r="296">
      <c r="A296" s="504"/>
      <c r="B296" s="505"/>
      <c r="C296" s="505"/>
      <c r="D296" s="505"/>
      <c r="E296" s="505"/>
    </row>
    <row r="297">
      <c r="A297" s="504"/>
      <c r="B297" s="505"/>
      <c r="C297" s="505"/>
      <c r="D297" s="505"/>
      <c r="E297" s="505"/>
    </row>
    <row r="298">
      <c r="A298" s="504"/>
      <c r="B298" s="505"/>
      <c r="C298" s="505"/>
      <c r="D298" s="505"/>
      <c r="E298" s="505"/>
    </row>
    <row r="299">
      <c r="A299" s="504"/>
      <c r="B299" s="505"/>
      <c r="C299" s="505"/>
      <c r="D299" s="505"/>
      <c r="E299" s="505"/>
    </row>
    <row r="300">
      <c r="A300" s="504"/>
      <c r="B300" s="505"/>
      <c r="C300" s="505"/>
      <c r="D300" s="505"/>
      <c r="E300" s="505"/>
    </row>
    <row r="301">
      <c r="A301" s="504"/>
      <c r="B301" s="505"/>
      <c r="C301" s="505"/>
      <c r="D301" s="505"/>
      <c r="E301" s="505"/>
    </row>
    <row r="302">
      <c r="A302" s="504"/>
      <c r="B302" s="505"/>
      <c r="C302" s="505"/>
      <c r="D302" s="505"/>
      <c r="E302" s="505"/>
    </row>
    <row r="303">
      <c r="A303" s="504"/>
      <c r="B303" s="505"/>
      <c r="C303" s="505"/>
      <c r="D303" s="505"/>
      <c r="E303" s="505"/>
    </row>
    <row r="304">
      <c r="A304" s="504"/>
      <c r="B304" s="505"/>
      <c r="C304" s="505"/>
      <c r="D304" s="505"/>
      <c r="E304" s="505"/>
    </row>
    <row r="305">
      <c r="A305" s="504"/>
      <c r="B305" s="505"/>
      <c r="C305" s="505"/>
      <c r="D305" s="505"/>
      <c r="E305" s="505"/>
    </row>
    <row r="306">
      <c r="A306" s="504"/>
      <c r="B306" s="505"/>
      <c r="C306" s="505"/>
      <c r="D306" s="505"/>
      <c r="E306" s="505"/>
    </row>
    <row r="307">
      <c r="A307" s="504"/>
      <c r="B307" s="505"/>
      <c r="C307" s="505"/>
      <c r="D307" s="505"/>
      <c r="E307" s="505"/>
    </row>
    <row r="308">
      <c r="A308" s="504"/>
      <c r="B308" s="505"/>
      <c r="C308" s="505"/>
      <c r="D308" s="505"/>
      <c r="E308" s="505"/>
    </row>
    <row r="309">
      <c r="A309" s="504"/>
      <c r="B309" s="505"/>
      <c r="C309" s="505"/>
      <c r="D309" s="505"/>
      <c r="E309" s="505"/>
    </row>
    <row r="310">
      <c r="A310" s="504"/>
      <c r="B310" s="505"/>
      <c r="C310" s="505"/>
      <c r="D310" s="505"/>
      <c r="E310" s="505"/>
    </row>
    <row r="311">
      <c r="A311" s="504"/>
      <c r="B311" s="505"/>
      <c r="C311" s="505"/>
      <c r="D311" s="505"/>
      <c r="E311" s="505"/>
    </row>
    <row r="312">
      <c r="A312" s="504"/>
      <c r="B312" s="505"/>
      <c r="C312" s="505"/>
      <c r="D312" s="505"/>
      <c r="E312" s="505"/>
    </row>
    <row r="313">
      <c r="A313" s="504"/>
      <c r="B313" s="505"/>
      <c r="C313" s="505"/>
      <c r="D313" s="505"/>
      <c r="E313" s="505"/>
    </row>
    <row r="314">
      <c r="A314" s="504"/>
      <c r="B314" s="505"/>
      <c r="C314" s="505"/>
      <c r="D314" s="505"/>
      <c r="E314" s="505"/>
    </row>
    <row r="315">
      <c r="A315" s="504"/>
      <c r="B315" s="505"/>
      <c r="C315" s="505"/>
      <c r="D315" s="505"/>
      <c r="E315" s="505"/>
    </row>
    <row r="316">
      <c r="A316" s="504"/>
      <c r="B316" s="505"/>
      <c r="C316" s="505"/>
      <c r="D316" s="505"/>
      <c r="E316" s="505"/>
    </row>
    <row r="317">
      <c r="A317" s="504"/>
      <c r="B317" s="505"/>
      <c r="C317" s="505"/>
      <c r="D317" s="505"/>
      <c r="E317" s="505"/>
    </row>
    <row r="318">
      <c r="A318" s="504"/>
      <c r="B318" s="505"/>
      <c r="C318" s="505"/>
      <c r="D318" s="505"/>
      <c r="E318" s="505"/>
    </row>
    <row r="319">
      <c r="A319" s="504"/>
      <c r="B319" s="505"/>
      <c r="C319" s="505"/>
      <c r="D319" s="505"/>
      <c r="E319" s="505"/>
    </row>
    <row r="320">
      <c r="A320" s="504"/>
      <c r="B320" s="505"/>
      <c r="C320" s="505"/>
      <c r="D320" s="505"/>
      <c r="E320" s="505"/>
    </row>
    <row r="321">
      <c r="A321" s="504"/>
      <c r="B321" s="505"/>
      <c r="C321" s="505"/>
      <c r="D321" s="505"/>
      <c r="E321" s="505"/>
    </row>
    <row r="322">
      <c r="A322" s="504"/>
      <c r="B322" s="505"/>
      <c r="C322" s="505"/>
      <c r="D322" s="505"/>
      <c r="E322" s="505"/>
    </row>
    <row r="323">
      <c r="A323" s="504"/>
      <c r="B323" s="505"/>
      <c r="C323" s="505"/>
      <c r="D323" s="505"/>
      <c r="E323" s="505"/>
    </row>
    <row r="324">
      <c r="A324" s="504"/>
      <c r="B324" s="505"/>
      <c r="C324" s="505"/>
      <c r="D324" s="505"/>
      <c r="E324" s="505"/>
    </row>
    <row r="325">
      <c r="A325" s="504"/>
      <c r="B325" s="505"/>
      <c r="C325" s="505"/>
      <c r="D325" s="505"/>
      <c r="E325" s="505"/>
    </row>
    <row r="326">
      <c r="A326" s="504"/>
      <c r="B326" s="505"/>
      <c r="C326" s="505"/>
      <c r="D326" s="505"/>
      <c r="E326" s="505"/>
    </row>
    <row r="327">
      <c r="A327" s="504"/>
      <c r="B327" s="505"/>
      <c r="C327" s="505"/>
      <c r="D327" s="505"/>
      <c r="E327" s="505"/>
    </row>
    <row r="328">
      <c r="A328" s="504"/>
      <c r="B328" s="505"/>
      <c r="C328" s="505"/>
      <c r="D328" s="505"/>
      <c r="E328" s="505"/>
    </row>
    <row r="329">
      <c r="A329" s="504"/>
      <c r="B329" s="505"/>
      <c r="C329" s="505"/>
      <c r="D329" s="505"/>
      <c r="E329" s="505"/>
    </row>
    <row r="330">
      <c r="A330" s="504"/>
      <c r="B330" s="505"/>
      <c r="C330" s="505"/>
      <c r="D330" s="505"/>
      <c r="E330" s="505"/>
    </row>
    <row r="331">
      <c r="A331" s="504"/>
      <c r="B331" s="505"/>
      <c r="C331" s="505"/>
      <c r="D331" s="505"/>
      <c r="E331" s="505"/>
    </row>
    <row r="332">
      <c r="A332" s="504"/>
      <c r="B332" s="505"/>
      <c r="C332" s="505"/>
      <c r="D332" s="505"/>
      <c r="E332" s="505"/>
    </row>
    <row r="333">
      <c r="A333" s="504"/>
      <c r="B333" s="505"/>
      <c r="C333" s="505"/>
      <c r="D333" s="505"/>
      <c r="E333" s="505"/>
    </row>
    <row r="334">
      <c r="A334" s="504"/>
      <c r="B334" s="505"/>
      <c r="C334" s="505"/>
      <c r="D334" s="505"/>
      <c r="E334" s="505"/>
    </row>
    <row r="335">
      <c r="A335" s="504"/>
      <c r="B335" s="505"/>
      <c r="C335" s="505"/>
      <c r="D335" s="505"/>
      <c r="E335" s="505"/>
    </row>
    <row r="336">
      <c r="A336" s="504"/>
      <c r="B336" s="505"/>
      <c r="C336" s="505"/>
      <c r="D336" s="505"/>
      <c r="E336" s="505"/>
    </row>
    <row r="337">
      <c r="A337" s="504"/>
      <c r="B337" s="505"/>
      <c r="C337" s="505"/>
      <c r="D337" s="505"/>
      <c r="E337" s="505"/>
    </row>
    <row r="338">
      <c r="A338" s="504"/>
      <c r="B338" s="505"/>
      <c r="C338" s="505"/>
      <c r="D338" s="505"/>
      <c r="E338" s="505"/>
    </row>
    <row r="339">
      <c r="A339" s="504"/>
      <c r="B339" s="505"/>
      <c r="C339" s="505"/>
      <c r="D339" s="505"/>
      <c r="E339" s="505"/>
    </row>
    <row r="340">
      <c r="A340" s="504"/>
      <c r="B340" s="505"/>
      <c r="C340" s="505"/>
      <c r="D340" s="505"/>
      <c r="E340" s="505"/>
    </row>
    <row r="341">
      <c r="A341" s="504"/>
      <c r="B341" s="505"/>
      <c r="C341" s="505"/>
      <c r="D341" s="505"/>
      <c r="E341" s="505"/>
    </row>
    <row r="342">
      <c r="A342" s="504"/>
      <c r="B342" s="505"/>
      <c r="C342" s="505"/>
      <c r="D342" s="505"/>
      <c r="E342" s="505"/>
    </row>
    <row r="343">
      <c r="A343" s="504"/>
      <c r="B343" s="505"/>
      <c r="C343" s="505"/>
      <c r="D343" s="505"/>
      <c r="E343" s="505"/>
    </row>
    <row r="344">
      <c r="A344" s="504"/>
      <c r="B344" s="505"/>
      <c r="C344" s="505"/>
      <c r="D344" s="505"/>
      <c r="E344" s="505"/>
    </row>
    <row r="345">
      <c r="A345" s="504"/>
      <c r="B345" s="505"/>
      <c r="C345" s="505"/>
      <c r="D345" s="505"/>
      <c r="E345" s="505"/>
    </row>
    <row r="346">
      <c r="A346" s="504"/>
      <c r="B346" s="505"/>
      <c r="C346" s="505"/>
      <c r="D346" s="505"/>
      <c r="E346" s="505"/>
    </row>
    <row r="347">
      <c r="A347" s="504"/>
      <c r="B347" s="505"/>
      <c r="C347" s="505"/>
      <c r="D347" s="505"/>
      <c r="E347" s="505"/>
    </row>
    <row r="348">
      <c r="A348" s="504"/>
      <c r="B348" s="505"/>
      <c r="C348" s="505"/>
      <c r="D348" s="505"/>
      <c r="E348" s="505"/>
    </row>
    <row r="349">
      <c r="A349" s="504"/>
      <c r="B349" s="505"/>
      <c r="C349" s="505"/>
      <c r="D349" s="505"/>
      <c r="E349" s="505"/>
    </row>
    <row r="350">
      <c r="A350" s="504"/>
      <c r="B350" s="505"/>
      <c r="C350" s="505"/>
      <c r="D350" s="505"/>
      <c r="E350" s="505"/>
    </row>
    <row r="351">
      <c r="A351" s="504"/>
      <c r="B351" s="505"/>
      <c r="C351" s="505"/>
      <c r="D351" s="505"/>
      <c r="E351" s="505"/>
    </row>
    <row r="352">
      <c r="A352" s="504"/>
      <c r="B352" s="505"/>
      <c r="C352" s="505"/>
      <c r="D352" s="505"/>
      <c r="E352" s="505"/>
    </row>
    <row r="353">
      <c r="A353" s="504"/>
      <c r="B353" s="505"/>
      <c r="C353" s="505"/>
      <c r="D353" s="505"/>
      <c r="E353" s="505"/>
    </row>
    <row r="354">
      <c r="A354" s="504"/>
      <c r="B354" s="505"/>
      <c r="C354" s="505"/>
      <c r="D354" s="505"/>
      <c r="E354" s="505"/>
    </row>
    <row r="355">
      <c r="A355" s="504"/>
      <c r="B355" s="505"/>
      <c r="C355" s="505"/>
      <c r="D355" s="505"/>
      <c r="E355" s="505"/>
    </row>
    <row r="356">
      <c r="A356" s="504"/>
      <c r="B356" s="505"/>
      <c r="C356" s="505"/>
      <c r="D356" s="505"/>
      <c r="E356" s="505"/>
    </row>
    <row r="357">
      <c r="A357" s="504"/>
      <c r="B357" s="505"/>
      <c r="C357" s="505"/>
      <c r="D357" s="505"/>
      <c r="E357" s="505"/>
    </row>
    <row r="358">
      <c r="A358" s="504"/>
      <c r="B358" s="505"/>
      <c r="C358" s="505"/>
      <c r="D358" s="505"/>
      <c r="E358" s="505"/>
    </row>
    <row r="359">
      <c r="A359" s="504"/>
      <c r="B359" s="505"/>
      <c r="C359" s="505"/>
      <c r="D359" s="505"/>
      <c r="E359" s="505"/>
    </row>
    <row r="360">
      <c r="A360" s="504"/>
      <c r="B360" s="505"/>
      <c r="C360" s="505"/>
      <c r="D360" s="505"/>
      <c r="E360" s="505"/>
    </row>
    <row r="361">
      <c r="A361" s="504"/>
      <c r="B361" s="505"/>
      <c r="C361" s="505"/>
      <c r="D361" s="505"/>
      <c r="E361" s="505"/>
    </row>
    <row r="362">
      <c r="A362" s="504"/>
      <c r="B362" s="505"/>
      <c r="C362" s="505"/>
      <c r="D362" s="505"/>
      <c r="E362" s="505"/>
    </row>
    <row r="363">
      <c r="A363" s="504"/>
      <c r="B363" s="505"/>
      <c r="C363" s="505"/>
      <c r="D363" s="505"/>
      <c r="E363" s="505"/>
    </row>
    <row r="364">
      <c r="A364" s="504"/>
      <c r="B364" s="505"/>
      <c r="C364" s="505"/>
      <c r="D364" s="505"/>
      <c r="E364" s="505"/>
    </row>
    <row r="365">
      <c r="A365" s="504"/>
      <c r="B365" s="505"/>
      <c r="C365" s="505"/>
      <c r="D365" s="505"/>
      <c r="E365" s="505"/>
    </row>
    <row r="366">
      <c r="A366" s="504"/>
      <c r="B366" s="505"/>
      <c r="C366" s="505"/>
      <c r="D366" s="505"/>
      <c r="E366" s="505"/>
    </row>
    <row r="367">
      <c r="A367" s="504"/>
      <c r="B367" s="505"/>
      <c r="C367" s="505"/>
      <c r="D367" s="505"/>
      <c r="E367" s="505"/>
    </row>
    <row r="368">
      <c r="A368" s="504"/>
      <c r="B368" s="505"/>
      <c r="C368" s="505"/>
      <c r="D368" s="505"/>
      <c r="E368" s="505"/>
    </row>
    <row r="369">
      <c r="A369" s="504"/>
      <c r="B369" s="505"/>
      <c r="C369" s="505"/>
      <c r="D369" s="505"/>
      <c r="E369" s="505"/>
    </row>
    <row r="370">
      <c r="A370" s="504"/>
      <c r="B370" s="505"/>
      <c r="C370" s="505"/>
      <c r="D370" s="505"/>
      <c r="E370" s="505"/>
    </row>
    <row r="371">
      <c r="A371" s="504"/>
      <c r="B371" s="505"/>
      <c r="C371" s="505"/>
      <c r="D371" s="505"/>
      <c r="E371" s="505"/>
    </row>
    <row r="372">
      <c r="A372" s="504"/>
      <c r="B372" s="505"/>
      <c r="C372" s="505"/>
      <c r="D372" s="505"/>
      <c r="E372" s="505"/>
    </row>
    <row r="373">
      <c r="A373" s="504"/>
      <c r="B373" s="505"/>
      <c r="C373" s="505"/>
      <c r="D373" s="505"/>
      <c r="E373" s="505"/>
    </row>
    <row r="374">
      <c r="A374" s="504"/>
      <c r="B374" s="505"/>
      <c r="C374" s="505"/>
      <c r="D374" s="505"/>
      <c r="E374" s="505"/>
    </row>
    <row r="375">
      <c r="A375" s="504"/>
      <c r="B375" s="505"/>
      <c r="C375" s="505"/>
      <c r="D375" s="505"/>
      <c r="E375" s="505"/>
    </row>
    <row r="376">
      <c r="A376" s="504"/>
      <c r="B376" s="505"/>
      <c r="C376" s="505"/>
      <c r="D376" s="505"/>
      <c r="E376" s="505"/>
    </row>
    <row r="377">
      <c r="A377" s="504"/>
      <c r="B377" s="505"/>
      <c r="C377" s="505"/>
      <c r="D377" s="505"/>
      <c r="E377" s="505"/>
    </row>
    <row r="378">
      <c r="A378" s="504"/>
      <c r="B378" s="505"/>
      <c r="C378" s="505"/>
      <c r="D378" s="505"/>
      <c r="E378" s="505"/>
    </row>
    <row r="379">
      <c r="A379" s="504"/>
      <c r="B379" s="505"/>
      <c r="C379" s="505"/>
      <c r="D379" s="505"/>
      <c r="E379" s="505"/>
    </row>
    <row r="380">
      <c r="A380" s="504"/>
      <c r="B380" s="505"/>
      <c r="C380" s="505"/>
      <c r="D380" s="505"/>
      <c r="E380" s="505"/>
    </row>
    <row r="381">
      <c r="A381" s="504"/>
      <c r="B381" s="505"/>
      <c r="C381" s="505"/>
      <c r="D381" s="505"/>
      <c r="E381" s="505"/>
    </row>
    <row r="382">
      <c r="A382" s="504"/>
      <c r="B382" s="505"/>
      <c r="C382" s="505"/>
      <c r="D382" s="505"/>
      <c r="E382" s="505"/>
    </row>
    <row r="383">
      <c r="A383" s="504"/>
      <c r="B383" s="505"/>
      <c r="C383" s="505"/>
      <c r="D383" s="505"/>
      <c r="E383" s="505"/>
    </row>
    <row r="384">
      <c r="A384" s="504"/>
      <c r="B384" s="505"/>
      <c r="C384" s="505"/>
      <c r="D384" s="505"/>
      <c r="E384" s="505"/>
    </row>
    <row r="385">
      <c r="A385" s="504"/>
      <c r="B385" s="505"/>
      <c r="C385" s="505"/>
      <c r="D385" s="505"/>
      <c r="E385" s="505"/>
    </row>
    <row r="386">
      <c r="A386" s="504"/>
      <c r="B386" s="505"/>
      <c r="C386" s="505"/>
      <c r="D386" s="505"/>
      <c r="E386" s="505"/>
    </row>
    <row r="387">
      <c r="A387" s="504"/>
      <c r="B387" s="505"/>
      <c r="C387" s="505"/>
      <c r="D387" s="505"/>
      <c r="E387" s="505"/>
    </row>
    <row r="388">
      <c r="A388" s="504"/>
      <c r="B388" s="505"/>
      <c r="C388" s="505"/>
      <c r="D388" s="505"/>
      <c r="E388" s="505"/>
    </row>
    <row r="389">
      <c r="A389" s="504"/>
      <c r="B389" s="505"/>
      <c r="C389" s="505"/>
      <c r="D389" s="505"/>
      <c r="E389" s="505"/>
    </row>
    <row r="390">
      <c r="A390" s="504"/>
      <c r="B390" s="505"/>
      <c r="C390" s="505"/>
      <c r="D390" s="505"/>
      <c r="E390" s="505"/>
    </row>
    <row r="391">
      <c r="A391" s="504"/>
      <c r="B391" s="505"/>
      <c r="C391" s="505"/>
      <c r="D391" s="505"/>
      <c r="E391" s="505"/>
    </row>
    <row r="392">
      <c r="A392" s="504"/>
      <c r="B392" s="505"/>
      <c r="C392" s="505"/>
      <c r="D392" s="505"/>
      <c r="E392" s="505"/>
    </row>
    <row r="393">
      <c r="A393" s="504"/>
      <c r="B393" s="505"/>
      <c r="C393" s="505"/>
      <c r="D393" s="505"/>
      <c r="E393" s="505"/>
    </row>
    <row r="394">
      <c r="A394" s="504"/>
      <c r="B394" s="505"/>
      <c r="C394" s="505"/>
      <c r="D394" s="505"/>
      <c r="E394" s="505"/>
    </row>
    <row r="395">
      <c r="A395" s="504"/>
      <c r="B395" s="505"/>
      <c r="C395" s="505"/>
      <c r="D395" s="505"/>
      <c r="E395" s="505"/>
    </row>
    <row r="396">
      <c r="A396" s="504"/>
      <c r="B396" s="505"/>
      <c r="C396" s="505"/>
      <c r="D396" s="505"/>
      <c r="E396" s="505"/>
    </row>
    <row r="397">
      <c r="A397" s="504"/>
      <c r="B397" s="505"/>
      <c r="C397" s="505"/>
      <c r="D397" s="505"/>
      <c r="E397" s="505"/>
    </row>
    <row r="398">
      <c r="A398" s="504"/>
      <c r="B398" s="505"/>
      <c r="C398" s="505"/>
      <c r="D398" s="505"/>
      <c r="E398" s="505"/>
    </row>
    <row r="399">
      <c r="A399" s="504"/>
      <c r="B399" s="505"/>
      <c r="C399" s="505"/>
      <c r="D399" s="505"/>
      <c r="E399" s="505"/>
    </row>
    <row r="400">
      <c r="A400" s="504"/>
      <c r="B400" s="505"/>
      <c r="C400" s="505"/>
      <c r="D400" s="505"/>
      <c r="E400" s="505"/>
    </row>
    <row r="401">
      <c r="A401" s="504"/>
      <c r="B401" s="505"/>
      <c r="C401" s="505"/>
      <c r="D401" s="505"/>
      <c r="E401" s="505"/>
    </row>
    <row r="402">
      <c r="A402" s="504"/>
      <c r="B402" s="505"/>
      <c r="C402" s="505"/>
      <c r="D402" s="505"/>
      <c r="E402" s="505"/>
    </row>
    <row r="403">
      <c r="A403" s="504"/>
      <c r="B403" s="505"/>
      <c r="C403" s="505"/>
      <c r="D403" s="505"/>
      <c r="E403" s="505"/>
    </row>
    <row r="404">
      <c r="A404" s="504"/>
      <c r="B404" s="505"/>
      <c r="C404" s="505"/>
      <c r="D404" s="505"/>
      <c r="E404" s="505"/>
    </row>
    <row r="405">
      <c r="A405" s="504"/>
      <c r="B405" s="505"/>
      <c r="C405" s="505"/>
      <c r="D405" s="505"/>
      <c r="E405" s="505"/>
    </row>
    <row r="406">
      <c r="A406" s="504"/>
      <c r="B406" s="505"/>
      <c r="C406" s="505"/>
      <c r="D406" s="505"/>
      <c r="E406" s="505"/>
    </row>
    <row r="407">
      <c r="A407" s="504"/>
      <c r="B407" s="505"/>
      <c r="C407" s="505"/>
      <c r="D407" s="505"/>
      <c r="E407" s="505"/>
    </row>
    <row r="408">
      <c r="A408" s="504"/>
      <c r="B408" s="505"/>
      <c r="C408" s="505"/>
      <c r="D408" s="505"/>
      <c r="E408" s="505"/>
    </row>
    <row r="409">
      <c r="A409" s="504"/>
      <c r="B409" s="505"/>
      <c r="C409" s="505"/>
      <c r="D409" s="505"/>
      <c r="E409" s="505"/>
    </row>
    <row r="410">
      <c r="A410" s="504"/>
      <c r="B410" s="505"/>
      <c r="C410" s="505"/>
      <c r="D410" s="505"/>
      <c r="E410" s="505"/>
    </row>
    <row r="411">
      <c r="A411" s="504"/>
      <c r="B411" s="505"/>
      <c r="C411" s="505"/>
      <c r="D411" s="505"/>
      <c r="E411" s="505"/>
    </row>
    <row r="412">
      <c r="A412" s="504"/>
      <c r="B412" s="505"/>
      <c r="C412" s="505"/>
      <c r="D412" s="505"/>
      <c r="E412" s="505"/>
    </row>
    <row r="413">
      <c r="A413" s="504"/>
      <c r="B413" s="505"/>
      <c r="C413" s="505"/>
      <c r="D413" s="505"/>
      <c r="E413" s="505"/>
    </row>
    <row r="414">
      <c r="A414" s="504"/>
      <c r="B414" s="505"/>
      <c r="C414" s="505"/>
      <c r="D414" s="505"/>
      <c r="E414" s="505"/>
    </row>
    <row r="415">
      <c r="A415" s="504"/>
      <c r="B415" s="505"/>
      <c r="C415" s="505"/>
      <c r="D415" s="505"/>
      <c r="E415" s="505"/>
    </row>
    <row r="416">
      <c r="A416" s="504"/>
      <c r="B416" s="505"/>
      <c r="C416" s="505"/>
      <c r="D416" s="505"/>
      <c r="E416" s="505"/>
    </row>
    <row r="417">
      <c r="A417" s="504"/>
      <c r="B417" s="505"/>
      <c r="C417" s="505"/>
      <c r="D417" s="505"/>
      <c r="E417" s="505"/>
    </row>
    <row r="418">
      <c r="A418" s="504"/>
      <c r="B418" s="505"/>
      <c r="C418" s="505"/>
      <c r="D418" s="505"/>
      <c r="E418" s="505"/>
    </row>
    <row r="419">
      <c r="A419" s="504"/>
      <c r="B419" s="505"/>
      <c r="C419" s="505"/>
      <c r="D419" s="505"/>
      <c r="E419" s="505"/>
    </row>
    <row r="420">
      <c r="A420" s="504"/>
      <c r="B420" s="505"/>
      <c r="C420" s="505"/>
      <c r="D420" s="505"/>
      <c r="E420" s="505"/>
    </row>
    <row r="421">
      <c r="A421" s="504"/>
      <c r="B421" s="505"/>
      <c r="C421" s="505"/>
      <c r="D421" s="505"/>
      <c r="E421" s="505"/>
    </row>
    <row r="422">
      <c r="A422" s="504"/>
      <c r="B422" s="505"/>
      <c r="C422" s="505"/>
      <c r="D422" s="505"/>
      <c r="E422" s="505"/>
    </row>
    <row r="423">
      <c r="A423" s="504"/>
      <c r="B423" s="505"/>
      <c r="C423" s="505"/>
      <c r="D423" s="505"/>
      <c r="E423" s="505"/>
    </row>
    <row r="424">
      <c r="A424" s="504"/>
      <c r="B424" s="505"/>
      <c r="C424" s="505"/>
      <c r="D424" s="505"/>
      <c r="E424" s="505"/>
    </row>
    <row r="425">
      <c r="A425" s="504"/>
      <c r="B425" s="505"/>
      <c r="C425" s="505"/>
      <c r="D425" s="505"/>
      <c r="E425" s="505"/>
    </row>
    <row r="426">
      <c r="A426" s="504"/>
      <c r="B426" s="505"/>
      <c r="C426" s="505"/>
      <c r="D426" s="505"/>
      <c r="E426" s="505"/>
    </row>
    <row r="427">
      <c r="A427" s="504"/>
      <c r="B427" s="505"/>
      <c r="C427" s="505"/>
      <c r="D427" s="505"/>
      <c r="E427" s="505"/>
    </row>
    <row r="428">
      <c r="A428" s="504"/>
      <c r="B428" s="505"/>
      <c r="C428" s="505"/>
      <c r="D428" s="505"/>
      <c r="E428" s="505"/>
    </row>
    <row r="429">
      <c r="A429" s="504"/>
      <c r="B429" s="505"/>
      <c r="C429" s="505"/>
      <c r="D429" s="505"/>
      <c r="E429" s="505"/>
    </row>
    <row r="430">
      <c r="A430" s="504"/>
      <c r="B430" s="505"/>
      <c r="C430" s="505"/>
      <c r="D430" s="505"/>
      <c r="E430" s="505"/>
    </row>
    <row r="431">
      <c r="A431" s="504"/>
      <c r="B431" s="505"/>
      <c r="C431" s="505"/>
      <c r="D431" s="505"/>
      <c r="E431" s="505"/>
    </row>
    <row r="432">
      <c r="A432" s="504"/>
      <c r="B432" s="505"/>
      <c r="C432" s="505"/>
      <c r="D432" s="505"/>
      <c r="E432" s="505"/>
    </row>
    <row r="433">
      <c r="A433" s="504"/>
      <c r="B433" s="505"/>
      <c r="C433" s="505"/>
      <c r="D433" s="505"/>
      <c r="E433" s="505"/>
    </row>
    <row r="434">
      <c r="A434" s="504"/>
      <c r="B434" s="505"/>
      <c r="C434" s="505"/>
      <c r="D434" s="505"/>
      <c r="E434" s="505"/>
    </row>
    <row r="435">
      <c r="A435" s="504"/>
      <c r="B435" s="505"/>
      <c r="C435" s="505"/>
      <c r="D435" s="505"/>
      <c r="E435" s="505"/>
    </row>
    <row r="436">
      <c r="A436" s="504"/>
      <c r="B436" s="505"/>
      <c r="C436" s="505"/>
      <c r="D436" s="505"/>
      <c r="E436" s="505"/>
    </row>
    <row r="437">
      <c r="A437" s="504"/>
      <c r="B437" s="505"/>
      <c r="C437" s="505"/>
      <c r="D437" s="505"/>
      <c r="E437" s="505"/>
    </row>
    <row r="438">
      <c r="A438" s="504"/>
      <c r="B438" s="505"/>
      <c r="C438" s="505"/>
      <c r="D438" s="505"/>
      <c r="E438" s="505"/>
    </row>
    <row r="439">
      <c r="A439" s="504"/>
      <c r="B439" s="505"/>
      <c r="C439" s="505"/>
      <c r="D439" s="505"/>
      <c r="E439" s="505"/>
    </row>
    <row r="440">
      <c r="A440" s="504"/>
      <c r="B440" s="505"/>
      <c r="C440" s="505"/>
      <c r="D440" s="505"/>
      <c r="E440" s="505"/>
    </row>
    <row r="441">
      <c r="A441" s="504"/>
      <c r="B441" s="505"/>
      <c r="C441" s="505"/>
      <c r="D441" s="505"/>
      <c r="E441" s="505"/>
    </row>
    <row r="442">
      <c r="A442" s="504"/>
      <c r="B442" s="505"/>
      <c r="C442" s="505"/>
      <c r="D442" s="505"/>
      <c r="E442" s="505"/>
    </row>
    <row r="443">
      <c r="A443" s="504"/>
      <c r="B443" s="505"/>
      <c r="C443" s="505"/>
      <c r="D443" s="505"/>
      <c r="E443" s="505"/>
    </row>
    <row r="444">
      <c r="A444" s="504"/>
      <c r="B444" s="505"/>
      <c r="C444" s="505"/>
      <c r="D444" s="505"/>
      <c r="E444" s="505"/>
    </row>
    <row r="445">
      <c r="A445" s="504"/>
      <c r="B445" s="505"/>
      <c r="C445" s="505"/>
      <c r="D445" s="505"/>
      <c r="E445" s="505"/>
    </row>
    <row r="446">
      <c r="A446" s="504"/>
      <c r="B446" s="505"/>
      <c r="C446" s="505"/>
      <c r="D446" s="505"/>
      <c r="E446" s="505"/>
    </row>
    <row r="447">
      <c r="A447" s="504"/>
      <c r="B447" s="505"/>
      <c r="C447" s="505"/>
      <c r="D447" s="505"/>
      <c r="E447" s="505"/>
    </row>
    <row r="448">
      <c r="A448" s="504"/>
      <c r="B448" s="505"/>
      <c r="C448" s="505"/>
      <c r="D448" s="505"/>
      <c r="E448" s="505"/>
    </row>
    <row r="449">
      <c r="A449" s="504"/>
      <c r="B449" s="505"/>
      <c r="C449" s="505"/>
      <c r="D449" s="505"/>
      <c r="E449" s="505"/>
    </row>
    <row r="450">
      <c r="A450" s="504"/>
      <c r="B450" s="505"/>
      <c r="C450" s="505"/>
      <c r="D450" s="505"/>
      <c r="E450" s="505"/>
    </row>
    <row r="451">
      <c r="A451" s="504"/>
      <c r="B451" s="505"/>
      <c r="C451" s="505"/>
      <c r="D451" s="505"/>
      <c r="E451" s="505"/>
    </row>
    <row r="452">
      <c r="A452" s="504"/>
      <c r="B452" s="505"/>
      <c r="C452" s="505"/>
      <c r="D452" s="505"/>
      <c r="E452" s="505"/>
    </row>
    <row r="453">
      <c r="A453" s="504"/>
      <c r="B453" s="505"/>
      <c r="C453" s="505"/>
      <c r="D453" s="505"/>
      <c r="E453" s="505"/>
    </row>
    <row r="454">
      <c r="A454" s="504"/>
      <c r="B454" s="505"/>
      <c r="C454" s="505"/>
      <c r="D454" s="505"/>
      <c r="E454" s="505"/>
    </row>
    <row r="455">
      <c r="A455" s="504"/>
      <c r="B455" s="505"/>
      <c r="C455" s="505"/>
      <c r="D455" s="505"/>
      <c r="E455" s="505"/>
    </row>
    <row r="456">
      <c r="A456" s="504"/>
      <c r="B456" s="505"/>
      <c r="C456" s="505"/>
      <c r="D456" s="505"/>
      <c r="E456" s="505"/>
    </row>
    <row r="457">
      <c r="A457" s="504"/>
      <c r="B457" s="505"/>
      <c r="C457" s="505"/>
      <c r="D457" s="505"/>
      <c r="E457" s="505"/>
    </row>
    <row r="458">
      <c r="A458" s="504"/>
      <c r="B458" s="505"/>
      <c r="C458" s="505"/>
      <c r="D458" s="505"/>
      <c r="E458" s="505"/>
    </row>
    <row r="459">
      <c r="A459" s="504"/>
      <c r="B459" s="505"/>
      <c r="C459" s="505"/>
      <c r="D459" s="505"/>
      <c r="E459" s="505"/>
    </row>
    <row r="460">
      <c r="A460" s="504"/>
      <c r="B460" s="505"/>
      <c r="C460" s="505"/>
      <c r="D460" s="505"/>
      <c r="E460" s="505"/>
    </row>
    <row r="461">
      <c r="A461" s="504"/>
      <c r="B461" s="505"/>
      <c r="C461" s="505"/>
      <c r="D461" s="505"/>
      <c r="E461" s="505"/>
    </row>
    <row r="462">
      <c r="A462" s="504"/>
      <c r="B462" s="505"/>
      <c r="C462" s="505"/>
      <c r="D462" s="505"/>
      <c r="E462" s="505"/>
    </row>
    <row r="463">
      <c r="A463" s="504"/>
      <c r="B463" s="505"/>
      <c r="C463" s="505"/>
      <c r="D463" s="505"/>
      <c r="E463" s="505"/>
    </row>
    <row r="464">
      <c r="A464" s="504"/>
      <c r="B464" s="505"/>
      <c r="C464" s="505"/>
      <c r="D464" s="505"/>
      <c r="E464" s="505"/>
    </row>
    <row r="465">
      <c r="A465" s="504"/>
      <c r="B465" s="505"/>
      <c r="C465" s="505"/>
      <c r="D465" s="505"/>
      <c r="E465" s="505"/>
    </row>
    <row r="466">
      <c r="A466" s="504"/>
      <c r="B466" s="505"/>
      <c r="C466" s="505"/>
      <c r="D466" s="505"/>
      <c r="E466" s="505"/>
    </row>
    <row r="467">
      <c r="A467" s="504"/>
      <c r="B467" s="505"/>
      <c r="C467" s="505"/>
      <c r="D467" s="505"/>
      <c r="E467" s="505"/>
    </row>
    <row r="468">
      <c r="A468" s="504"/>
      <c r="B468" s="505"/>
      <c r="C468" s="505"/>
      <c r="D468" s="505"/>
      <c r="E468" s="505"/>
    </row>
    <row r="469">
      <c r="A469" s="504"/>
      <c r="B469" s="505"/>
      <c r="C469" s="505"/>
      <c r="D469" s="505"/>
      <c r="E469" s="505"/>
    </row>
    <row r="470">
      <c r="A470" s="504"/>
      <c r="B470" s="505"/>
      <c r="C470" s="505"/>
      <c r="D470" s="505"/>
      <c r="E470" s="505"/>
    </row>
    <row r="471">
      <c r="A471" s="504"/>
      <c r="B471" s="505"/>
      <c r="C471" s="505"/>
      <c r="D471" s="505"/>
      <c r="E471" s="505"/>
    </row>
    <row r="472">
      <c r="A472" s="504"/>
      <c r="B472" s="505"/>
      <c r="C472" s="505"/>
      <c r="D472" s="505"/>
      <c r="E472" s="505"/>
    </row>
    <row r="473">
      <c r="A473" s="504"/>
      <c r="B473" s="505"/>
      <c r="C473" s="505"/>
      <c r="D473" s="505"/>
      <c r="E473" s="505"/>
    </row>
    <row r="474">
      <c r="A474" s="504"/>
      <c r="B474" s="505"/>
      <c r="C474" s="505"/>
      <c r="D474" s="505"/>
      <c r="E474" s="505"/>
    </row>
    <row r="475">
      <c r="A475" s="504"/>
      <c r="B475" s="505"/>
      <c r="C475" s="505"/>
      <c r="D475" s="505"/>
      <c r="E475" s="505"/>
    </row>
    <row r="476">
      <c r="A476" s="504"/>
      <c r="B476" s="505"/>
      <c r="C476" s="505"/>
      <c r="D476" s="505"/>
      <c r="E476" s="505"/>
    </row>
    <row r="477">
      <c r="A477" s="504"/>
      <c r="B477" s="505"/>
      <c r="C477" s="505"/>
      <c r="D477" s="505"/>
      <c r="E477" s="505"/>
    </row>
    <row r="478">
      <c r="A478" s="504"/>
      <c r="B478" s="505"/>
      <c r="C478" s="505"/>
      <c r="D478" s="505"/>
      <c r="E478" s="505"/>
    </row>
    <row r="479">
      <c r="A479" s="504"/>
      <c r="B479" s="505"/>
      <c r="C479" s="505"/>
      <c r="D479" s="505"/>
      <c r="E479" s="505"/>
    </row>
    <row r="480">
      <c r="A480" s="504"/>
      <c r="B480" s="505"/>
      <c r="C480" s="505"/>
      <c r="D480" s="505"/>
      <c r="E480" s="505"/>
    </row>
    <row r="481">
      <c r="A481" s="504"/>
      <c r="B481" s="505"/>
      <c r="C481" s="505"/>
      <c r="D481" s="505"/>
      <c r="E481" s="505"/>
    </row>
    <row r="482">
      <c r="A482" s="504"/>
      <c r="B482" s="505"/>
      <c r="C482" s="505"/>
      <c r="D482" s="505"/>
      <c r="E482" s="505"/>
    </row>
    <row r="483">
      <c r="A483" s="504"/>
      <c r="B483" s="505"/>
      <c r="C483" s="505"/>
      <c r="D483" s="505"/>
      <c r="E483" s="505"/>
    </row>
    <row r="484">
      <c r="A484" s="504"/>
      <c r="B484" s="505"/>
      <c r="C484" s="505"/>
      <c r="D484" s="505"/>
      <c r="E484" s="505"/>
    </row>
    <row r="485">
      <c r="A485" s="504"/>
      <c r="B485" s="505"/>
      <c r="C485" s="505"/>
      <c r="D485" s="505"/>
      <c r="E485" s="505"/>
    </row>
    <row r="486">
      <c r="A486" s="504"/>
      <c r="B486" s="505"/>
      <c r="C486" s="505"/>
      <c r="D486" s="505"/>
      <c r="E486" s="505"/>
    </row>
    <row r="487">
      <c r="A487" s="504"/>
      <c r="B487" s="505"/>
      <c r="C487" s="505"/>
      <c r="D487" s="505"/>
      <c r="E487" s="505"/>
    </row>
    <row r="488">
      <c r="A488" s="504"/>
      <c r="B488" s="505"/>
      <c r="C488" s="505"/>
      <c r="D488" s="505"/>
      <c r="E488" s="505"/>
    </row>
    <row r="489">
      <c r="A489" s="504"/>
      <c r="B489" s="505"/>
      <c r="C489" s="505"/>
      <c r="D489" s="505"/>
      <c r="E489" s="505"/>
    </row>
    <row r="490">
      <c r="A490" s="504"/>
      <c r="B490" s="505"/>
      <c r="C490" s="505"/>
      <c r="D490" s="505"/>
      <c r="E490" s="505"/>
    </row>
    <row r="491">
      <c r="A491" s="504"/>
      <c r="B491" s="505"/>
      <c r="C491" s="505"/>
      <c r="D491" s="505"/>
      <c r="E491" s="505"/>
    </row>
    <row r="492">
      <c r="A492" s="504"/>
      <c r="B492" s="505"/>
      <c r="C492" s="505"/>
      <c r="D492" s="505"/>
      <c r="E492" s="505"/>
    </row>
    <row r="493">
      <c r="A493" s="504"/>
      <c r="B493" s="505"/>
      <c r="C493" s="505"/>
      <c r="D493" s="505"/>
      <c r="E493" s="505"/>
    </row>
    <row r="494">
      <c r="A494" s="504"/>
      <c r="B494" s="505"/>
      <c r="C494" s="505"/>
      <c r="D494" s="505"/>
      <c r="E494" s="505"/>
    </row>
    <row r="495">
      <c r="A495" s="504"/>
      <c r="B495" s="505"/>
      <c r="C495" s="505"/>
      <c r="D495" s="505"/>
      <c r="E495" s="505"/>
    </row>
    <row r="496">
      <c r="A496" s="504"/>
      <c r="B496" s="505"/>
      <c r="C496" s="505"/>
      <c r="D496" s="505"/>
      <c r="E496" s="505"/>
    </row>
    <row r="497">
      <c r="A497" s="504"/>
      <c r="B497" s="505"/>
      <c r="C497" s="505"/>
      <c r="D497" s="505"/>
      <c r="E497" s="505"/>
    </row>
    <row r="498">
      <c r="A498" s="504"/>
      <c r="B498" s="505"/>
      <c r="C498" s="505"/>
      <c r="D498" s="505"/>
      <c r="E498" s="505"/>
    </row>
    <row r="499">
      <c r="A499" s="504"/>
      <c r="B499" s="505"/>
      <c r="C499" s="505"/>
      <c r="D499" s="505"/>
      <c r="E499" s="505"/>
    </row>
    <row r="500">
      <c r="A500" s="504"/>
      <c r="B500" s="505"/>
      <c r="C500" s="505"/>
      <c r="D500" s="505"/>
      <c r="E500" s="505"/>
    </row>
    <row r="501">
      <c r="A501" s="504"/>
      <c r="B501" s="505"/>
      <c r="C501" s="505"/>
      <c r="D501" s="505"/>
      <c r="E501" s="505"/>
    </row>
    <row r="502">
      <c r="A502" s="504"/>
      <c r="B502" s="505"/>
      <c r="C502" s="505"/>
      <c r="D502" s="505"/>
      <c r="E502" s="505"/>
    </row>
    <row r="503">
      <c r="A503" s="504"/>
      <c r="B503" s="505"/>
      <c r="C503" s="505"/>
      <c r="D503" s="505"/>
      <c r="E503" s="505"/>
    </row>
    <row r="504">
      <c r="A504" s="504"/>
      <c r="B504" s="505"/>
      <c r="C504" s="505"/>
      <c r="D504" s="505"/>
      <c r="E504" s="505"/>
    </row>
    <row r="505">
      <c r="A505" s="504"/>
      <c r="B505" s="505"/>
      <c r="C505" s="505"/>
      <c r="D505" s="505"/>
      <c r="E505" s="505"/>
    </row>
    <row r="506">
      <c r="A506" s="504"/>
      <c r="B506" s="505"/>
      <c r="C506" s="505"/>
      <c r="D506" s="505"/>
      <c r="E506" s="505"/>
    </row>
    <row r="507">
      <c r="A507" s="504"/>
      <c r="B507" s="505"/>
      <c r="C507" s="505"/>
      <c r="D507" s="505"/>
      <c r="E507" s="505"/>
    </row>
    <row r="508">
      <c r="A508" s="504"/>
      <c r="B508" s="505"/>
      <c r="C508" s="505"/>
      <c r="D508" s="505"/>
      <c r="E508" s="505"/>
    </row>
    <row r="509">
      <c r="A509" s="504"/>
      <c r="B509" s="505"/>
      <c r="C509" s="505"/>
      <c r="D509" s="505"/>
      <c r="E509" s="505"/>
    </row>
    <row r="510">
      <c r="A510" s="504"/>
      <c r="B510" s="505"/>
      <c r="C510" s="505"/>
      <c r="D510" s="505"/>
      <c r="E510" s="505"/>
    </row>
    <row r="511">
      <c r="A511" s="504"/>
      <c r="B511" s="505"/>
      <c r="C511" s="505"/>
      <c r="D511" s="505"/>
      <c r="E511" s="505"/>
    </row>
    <row r="512">
      <c r="A512" s="504"/>
      <c r="B512" s="505"/>
      <c r="C512" s="505"/>
      <c r="D512" s="505"/>
      <c r="E512" s="505"/>
    </row>
    <row r="513">
      <c r="A513" s="504"/>
      <c r="B513" s="505"/>
      <c r="C513" s="505"/>
      <c r="D513" s="505"/>
      <c r="E513" s="505"/>
    </row>
    <row r="514">
      <c r="A514" s="504"/>
      <c r="B514" s="505"/>
      <c r="C514" s="505"/>
      <c r="D514" s="505"/>
      <c r="E514" s="505"/>
    </row>
    <row r="515">
      <c r="A515" s="504"/>
      <c r="B515" s="505"/>
      <c r="C515" s="505"/>
      <c r="D515" s="505"/>
      <c r="E515" s="505"/>
    </row>
    <row r="516">
      <c r="A516" s="504"/>
      <c r="B516" s="505"/>
      <c r="C516" s="505"/>
      <c r="D516" s="505"/>
      <c r="E516" s="505"/>
    </row>
    <row r="517">
      <c r="A517" s="504"/>
      <c r="B517" s="505"/>
      <c r="C517" s="505"/>
      <c r="D517" s="505"/>
      <c r="E517" s="505"/>
    </row>
    <row r="518">
      <c r="A518" s="504"/>
      <c r="B518" s="505"/>
      <c r="C518" s="505"/>
      <c r="D518" s="505"/>
      <c r="E518" s="505"/>
    </row>
    <row r="519">
      <c r="A519" s="504"/>
      <c r="B519" s="505"/>
      <c r="C519" s="505"/>
      <c r="D519" s="505"/>
      <c r="E519" s="505"/>
    </row>
    <row r="520">
      <c r="A520" s="504"/>
      <c r="B520" s="505"/>
      <c r="C520" s="505"/>
      <c r="D520" s="505"/>
      <c r="E520" s="505"/>
    </row>
    <row r="521">
      <c r="A521" s="504"/>
      <c r="B521" s="505"/>
      <c r="C521" s="505"/>
      <c r="D521" s="505"/>
      <c r="E521" s="505"/>
    </row>
    <row r="522">
      <c r="A522" s="504"/>
      <c r="B522" s="505"/>
      <c r="C522" s="505"/>
      <c r="D522" s="505"/>
      <c r="E522" s="505"/>
    </row>
    <row r="523">
      <c r="A523" s="504"/>
      <c r="B523" s="505"/>
      <c r="C523" s="505"/>
      <c r="D523" s="505"/>
      <c r="E523" s="505"/>
    </row>
    <row r="524">
      <c r="A524" s="504"/>
      <c r="B524" s="505"/>
      <c r="C524" s="505"/>
      <c r="D524" s="505"/>
      <c r="E524" s="505"/>
    </row>
    <row r="525">
      <c r="A525" s="504"/>
      <c r="B525" s="505"/>
      <c r="C525" s="505"/>
      <c r="D525" s="505"/>
      <c r="E525" s="505"/>
    </row>
    <row r="526">
      <c r="A526" s="504"/>
      <c r="B526" s="505"/>
      <c r="C526" s="505"/>
      <c r="D526" s="505"/>
      <c r="E526" s="505"/>
    </row>
    <row r="527">
      <c r="A527" s="504"/>
      <c r="B527" s="505"/>
      <c r="C527" s="505"/>
      <c r="D527" s="505"/>
      <c r="E527" s="505"/>
    </row>
    <row r="528">
      <c r="A528" s="504"/>
      <c r="B528" s="505"/>
      <c r="C528" s="505"/>
      <c r="D528" s="505"/>
      <c r="E528" s="505"/>
    </row>
    <row r="529">
      <c r="A529" s="504"/>
      <c r="B529" s="505"/>
      <c r="C529" s="505"/>
      <c r="D529" s="505"/>
      <c r="E529" s="505"/>
    </row>
    <row r="530">
      <c r="A530" s="504"/>
      <c r="B530" s="505"/>
      <c r="C530" s="505"/>
      <c r="D530" s="505"/>
      <c r="E530" s="505"/>
    </row>
    <row r="531">
      <c r="A531" s="504"/>
      <c r="B531" s="505"/>
      <c r="C531" s="505"/>
      <c r="D531" s="505"/>
      <c r="E531" s="505"/>
    </row>
    <row r="532">
      <c r="A532" s="504"/>
      <c r="B532" s="505"/>
      <c r="C532" s="505"/>
      <c r="D532" s="505"/>
      <c r="E532" s="505"/>
    </row>
    <row r="533">
      <c r="A533" s="504"/>
      <c r="B533" s="505"/>
      <c r="C533" s="505"/>
      <c r="D533" s="505"/>
      <c r="E533" s="505"/>
    </row>
    <row r="534">
      <c r="A534" s="504"/>
      <c r="B534" s="505"/>
      <c r="C534" s="505"/>
      <c r="D534" s="505"/>
      <c r="E534" s="505"/>
    </row>
    <row r="535">
      <c r="A535" s="504"/>
      <c r="B535" s="505"/>
      <c r="C535" s="505"/>
      <c r="D535" s="505"/>
      <c r="E535" s="505"/>
    </row>
    <row r="536">
      <c r="A536" s="504"/>
      <c r="B536" s="505"/>
      <c r="C536" s="505"/>
      <c r="D536" s="505"/>
      <c r="E536" s="505"/>
    </row>
    <row r="537">
      <c r="A537" s="504"/>
      <c r="B537" s="505"/>
      <c r="C537" s="505"/>
      <c r="D537" s="505"/>
      <c r="E537" s="505"/>
    </row>
    <row r="538">
      <c r="A538" s="504"/>
      <c r="B538" s="505"/>
      <c r="C538" s="505"/>
      <c r="D538" s="505"/>
      <c r="E538" s="505"/>
    </row>
    <row r="539">
      <c r="A539" s="504"/>
      <c r="B539" s="505"/>
      <c r="C539" s="505"/>
      <c r="D539" s="505"/>
      <c r="E539" s="505"/>
    </row>
    <row r="540">
      <c r="A540" s="504"/>
      <c r="B540" s="505"/>
      <c r="C540" s="505"/>
      <c r="D540" s="505"/>
      <c r="E540" s="505"/>
    </row>
    <row r="541">
      <c r="A541" s="504"/>
      <c r="B541" s="505"/>
      <c r="C541" s="505"/>
      <c r="D541" s="505"/>
      <c r="E541" s="505"/>
    </row>
    <row r="542">
      <c r="A542" s="504"/>
      <c r="B542" s="505"/>
      <c r="C542" s="505"/>
      <c r="D542" s="505"/>
      <c r="E542" s="505"/>
    </row>
    <row r="543">
      <c r="A543" s="504"/>
      <c r="B543" s="505"/>
      <c r="C543" s="505"/>
      <c r="D543" s="505"/>
      <c r="E543" s="505"/>
    </row>
    <row r="544">
      <c r="A544" s="504"/>
      <c r="B544" s="505"/>
      <c r="C544" s="505"/>
      <c r="D544" s="505"/>
      <c r="E544" s="505"/>
    </row>
    <row r="545">
      <c r="A545" s="504"/>
      <c r="B545" s="505"/>
      <c r="C545" s="505"/>
      <c r="D545" s="505"/>
      <c r="E545" s="505"/>
    </row>
    <row r="546">
      <c r="A546" s="504"/>
      <c r="B546" s="505"/>
      <c r="C546" s="505"/>
      <c r="D546" s="505"/>
      <c r="E546" s="505"/>
    </row>
    <row r="547">
      <c r="A547" s="504"/>
      <c r="B547" s="505"/>
      <c r="C547" s="505"/>
      <c r="D547" s="505"/>
      <c r="E547" s="505"/>
    </row>
    <row r="548">
      <c r="A548" s="504"/>
      <c r="B548" s="505"/>
      <c r="C548" s="505"/>
      <c r="D548" s="505"/>
      <c r="E548" s="505"/>
    </row>
    <row r="549">
      <c r="A549" s="504"/>
      <c r="B549" s="505"/>
      <c r="C549" s="505"/>
      <c r="D549" s="505"/>
      <c r="E549" s="505"/>
    </row>
    <row r="550">
      <c r="A550" s="504"/>
      <c r="B550" s="505"/>
      <c r="C550" s="505"/>
      <c r="D550" s="505"/>
      <c r="E550" s="505"/>
    </row>
    <row r="551">
      <c r="A551" s="504"/>
      <c r="B551" s="505"/>
      <c r="C551" s="505"/>
      <c r="D551" s="505"/>
      <c r="E551" s="505"/>
    </row>
    <row r="552">
      <c r="A552" s="504"/>
      <c r="B552" s="505"/>
      <c r="C552" s="505"/>
      <c r="D552" s="505"/>
      <c r="E552" s="505"/>
    </row>
    <row r="553">
      <c r="A553" s="504"/>
      <c r="B553" s="505"/>
      <c r="C553" s="505"/>
      <c r="D553" s="505"/>
      <c r="E553" s="505"/>
    </row>
    <row r="554">
      <c r="A554" s="504"/>
      <c r="B554" s="505"/>
      <c r="C554" s="505"/>
      <c r="D554" s="505"/>
      <c r="E554" s="505"/>
    </row>
    <row r="555">
      <c r="A555" s="504"/>
      <c r="B555" s="505"/>
      <c r="C555" s="505"/>
      <c r="D555" s="505"/>
      <c r="E555" s="505"/>
    </row>
    <row r="556">
      <c r="A556" s="504"/>
      <c r="B556" s="505"/>
      <c r="C556" s="505"/>
      <c r="D556" s="505"/>
      <c r="E556" s="505"/>
    </row>
    <row r="557">
      <c r="A557" s="504"/>
      <c r="B557" s="505"/>
      <c r="C557" s="505"/>
      <c r="D557" s="505"/>
      <c r="E557" s="505"/>
    </row>
    <row r="558">
      <c r="A558" s="504"/>
      <c r="B558" s="505"/>
      <c r="C558" s="505"/>
      <c r="D558" s="505"/>
      <c r="E558" s="505"/>
    </row>
    <row r="559">
      <c r="A559" s="504"/>
      <c r="B559" s="505"/>
      <c r="C559" s="505"/>
      <c r="D559" s="505"/>
      <c r="E559" s="505"/>
    </row>
    <row r="560">
      <c r="A560" s="504"/>
      <c r="B560" s="505"/>
      <c r="C560" s="505"/>
      <c r="D560" s="505"/>
      <c r="E560" s="505"/>
    </row>
    <row r="561">
      <c r="A561" s="504"/>
      <c r="B561" s="505"/>
      <c r="C561" s="505"/>
      <c r="D561" s="505"/>
      <c r="E561" s="505"/>
    </row>
    <row r="562">
      <c r="A562" s="504"/>
      <c r="B562" s="505"/>
      <c r="C562" s="505"/>
      <c r="D562" s="505"/>
      <c r="E562" s="505"/>
    </row>
    <row r="563">
      <c r="A563" s="504"/>
      <c r="B563" s="505"/>
      <c r="C563" s="505"/>
      <c r="D563" s="505"/>
      <c r="E563" s="505"/>
    </row>
    <row r="564">
      <c r="A564" s="504"/>
      <c r="B564" s="505"/>
      <c r="C564" s="505"/>
      <c r="D564" s="505"/>
      <c r="E564" s="505"/>
    </row>
    <row r="565">
      <c r="A565" s="504"/>
      <c r="B565" s="505"/>
      <c r="C565" s="505"/>
      <c r="D565" s="505"/>
      <c r="E565" s="505"/>
    </row>
    <row r="566">
      <c r="A566" s="504"/>
      <c r="B566" s="505"/>
      <c r="C566" s="505"/>
      <c r="D566" s="505"/>
      <c r="E566" s="505"/>
    </row>
    <row r="567">
      <c r="A567" s="504"/>
      <c r="B567" s="505"/>
      <c r="C567" s="505"/>
      <c r="D567" s="505"/>
      <c r="E567" s="505"/>
    </row>
    <row r="568">
      <c r="A568" s="504"/>
      <c r="B568" s="505"/>
      <c r="C568" s="505"/>
      <c r="D568" s="505"/>
      <c r="E568" s="505"/>
    </row>
    <row r="569">
      <c r="A569" s="504"/>
      <c r="B569" s="505"/>
      <c r="C569" s="505"/>
      <c r="D569" s="505"/>
      <c r="E569" s="505"/>
    </row>
    <row r="570">
      <c r="A570" s="504"/>
      <c r="B570" s="505"/>
      <c r="C570" s="505"/>
      <c r="D570" s="505"/>
      <c r="E570" s="505"/>
    </row>
    <row r="571">
      <c r="A571" s="504"/>
      <c r="B571" s="505"/>
      <c r="C571" s="505"/>
      <c r="D571" s="505"/>
      <c r="E571" s="505"/>
    </row>
    <row r="572">
      <c r="A572" s="504"/>
      <c r="B572" s="505"/>
      <c r="C572" s="505"/>
      <c r="D572" s="505"/>
      <c r="E572" s="505"/>
    </row>
    <row r="573">
      <c r="A573" s="504"/>
      <c r="B573" s="505"/>
      <c r="C573" s="505"/>
      <c r="D573" s="505"/>
      <c r="E573" s="505"/>
    </row>
    <row r="574">
      <c r="A574" s="504"/>
      <c r="B574" s="505"/>
      <c r="C574" s="505"/>
      <c r="D574" s="505"/>
      <c r="E574" s="505"/>
    </row>
    <row r="575">
      <c r="A575" s="504"/>
      <c r="B575" s="505"/>
      <c r="C575" s="505"/>
      <c r="D575" s="505"/>
      <c r="E575" s="505"/>
    </row>
    <row r="576">
      <c r="A576" s="504"/>
      <c r="B576" s="505"/>
      <c r="C576" s="505"/>
      <c r="D576" s="505"/>
      <c r="E576" s="505"/>
    </row>
    <row r="577">
      <c r="A577" s="504"/>
      <c r="B577" s="505"/>
      <c r="C577" s="505"/>
      <c r="D577" s="505"/>
      <c r="E577" s="505"/>
    </row>
    <row r="578">
      <c r="A578" s="504"/>
      <c r="B578" s="505"/>
      <c r="C578" s="505"/>
      <c r="D578" s="505"/>
      <c r="E578" s="505"/>
    </row>
    <row r="579">
      <c r="A579" s="504"/>
      <c r="B579" s="505"/>
      <c r="C579" s="505"/>
      <c r="D579" s="505"/>
      <c r="E579" s="505"/>
    </row>
    <row r="580">
      <c r="A580" s="504"/>
      <c r="B580" s="505"/>
      <c r="C580" s="505"/>
      <c r="D580" s="505"/>
      <c r="E580" s="505"/>
    </row>
    <row r="581">
      <c r="A581" s="504"/>
      <c r="B581" s="505"/>
      <c r="C581" s="505"/>
      <c r="D581" s="505"/>
      <c r="E581" s="505"/>
    </row>
    <row r="582">
      <c r="A582" s="504"/>
      <c r="B582" s="505"/>
      <c r="C582" s="505"/>
      <c r="D582" s="505"/>
      <c r="E582" s="505"/>
    </row>
    <row r="583">
      <c r="A583" s="504"/>
      <c r="B583" s="505"/>
      <c r="C583" s="505"/>
      <c r="D583" s="505"/>
      <c r="E583" s="505"/>
    </row>
    <row r="584">
      <c r="A584" s="504"/>
      <c r="B584" s="505"/>
      <c r="C584" s="505"/>
      <c r="D584" s="505"/>
      <c r="E584" s="505"/>
    </row>
    <row r="585">
      <c r="A585" s="504"/>
      <c r="B585" s="505"/>
      <c r="C585" s="505"/>
      <c r="D585" s="505"/>
      <c r="E585" s="505"/>
    </row>
    <row r="586">
      <c r="A586" s="504"/>
      <c r="B586" s="505"/>
      <c r="C586" s="505"/>
      <c r="D586" s="505"/>
      <c r="E586" s="505"/>
    </row>
    <row r="587">
      <c r="A587" s="504"/>
      <c r="B587" s="505"/>
      <c r="C587" s="505"/>
      <c r="D587" s="505"/>
      <c r="E587" s="505"/>
    </row>
    <row r="588">
      <c r="A588" s="504"/>
      <c r="B588" s="505"/>
      <c r="C588" s="505"/>
      <c r="D588" s="505"/>
      <c r="E588" s="505"/>
    </row>
    <row r="589">
      <c r="A589" s="504"/>
      <c r="B589" s="505"/>
      <c r="C589" s="505"/>
      <c r="D589" s="505"/>
      <c r="E589" s="505"/>
    </row>
    <row r="590">
      <c r="A590" s="504"/>
      <c r="B590" s="505"/>
      <c r="C590" s="505"/>
      <c r="D590" s="505"/>
      <c r="E590" s="505"/>
    </row>
    <row r="591">
      <c r="A591" s="504"/>
      <c r="B591" s="505"/>
      <c r="C591" s="505"/>
      <c r="D591" s="505"/>
      <c r="E591" s="505"/>
    </row>
    <row r="592">
      <c r="A592" s="504"/>
      <c r="B592" s="505"/>
      <c r="C592" s="505"/>
      <c r="D592" s="505"/>
      <c r="E592" s="505"/>
    </row>
    <row r="593">
      <c r="A593" s="504"/>
      <c r="B593" s="505"/>
      <c r="C593" s="505"/>
      <c r="D593" s="505"/>
      <c r="E593" s="505"/>
    </row>
    <row r="594">
      <c r="A594" s="504"/>
      <c r="B594" s="505"/>
      <c r="C594" s="505"/>
      <c r="D594" s="505"/>
      <c r="E594" s="505"/>
    </row>
    <row r="595">
      <c r="A595" s="504"/>
      <c r="B595" s="505"/>
      <c r="C595" s="505"/>
      <c r="D595" s="505"/>
      <c r="E595" s="505"/>
    </row>
    <row r="596">
      <c r="A596" s="504"/>
      <c r="B596" s="505"/>
      <c r="C596" s="505"/>
      <c r="D596" s="505"/>
      <c r="E596" s="505"/>
    </row>
    <row r="597">
      <c r="A597" s="504"/>
      <c r="B597" s="505"/>
      <c r="C597" s="505"/>
      <c r="D597" s="505"/>
      <c r="E597" s="505"/>
    </row>
    <row r="598">
      <c r="A598" s="504"/>
      <c r="B598" s="505"/>
      <c r="C598" s="505"/>
      <c r="D598" s="505"/>
      <c r="E598" s="505"/>
    </row>
    <row r="599">
      <c r="A599" s="504"/>
      <c r="B599" s="505"/>
      <c r="C599" s="505"/>
      <c r="D599" s="505"/>
      <c r="E599" s="505"/>
    </row>
    <row r="600">
      <c r="A600" s="504"/>
      <c r="B600" s="505"/>
      <c r="C600" s="505"/>
      <c r="D600" s="505"/>
      <c r="E600" s="505"/>
    </row>
    <row r="601">
      <c r="A601" s="504"/>
      <c r="B601" s="505"/>
      <c r="C601" s="505"/>
      <c r="D601" s="505"/>
      <c r="E601" s="505"/>
    </row>
    <row r="602">
      <c r="A602" s="504"/>
      <c r="B602" s="505"/>
      <c r="C602" s="505"/>
      <c r="D602" s="505"/>
      <c r="E602" s="505"/>
    </row>
    <row r="603">
      <c r="A603" s="504"/>
      <c r="B603" s="505"/>
      <c r="C603" s="505"/>
      <c r="D603" s="505"/>
      <c r="E603" s="505"/>
    </row>
    <row r="604">
      <c r="A604" s="504"/>
      <c r="B604" s="505"/>
      <c r="C604" s="505"/>
      <c r="D604" s="505"/>
      <c r="E604" s="505"/>
    </row>
    <row r="605">
      <c r="A605" s="504"/>
      <c r="B605" s="505"/>
      <c r="C605" s="505"/>
      <c r="D605" s="505"/>
      <c r="E605" s="505"/>
    </row>
    <row r="606">
      <c r="A606" s="504"/>
      <c r="B606" s="505"/>
      <c r="C606" s="505"/>
      <c r="D606" s="505"/>
      <c r="E606" s="505"/>
    </row>
    <row r="607">
      <c r="A607" s="504"/>
      <c r="B607" s="505"/>
      <c r="C607" s="505"/>
      <c r="D607" s="505"/>
      <c r="E607" s="505"/>
    </row>
    <row r="608">
      <c r="A608" s="504"/>
      <c r="B608" s="505"/>
      <c r="C608" s="505"/>
      <c r="D608" s="505"/>
      <c r="E608" s="505"/>
    </row>
    <row r="609">
      <c r="A609" s="504"/>
      <c r="B609" s="505"/>
      <c r="C609" s="505"/>
      <c r="D609" s="505"/>
      <c r="E609" s="505"/>
    </row>
    <row r="610">
      <c r="A610" s="504"/>
      <c r="B610" s="505"/>
      <c r="C610" s="505"/>
      <c r="D610" s="505"/>
      <c r="E610" s="505"/>
    </row>
    <row r="611">
      <c r="A611" s="504"/>
      <c r="B611" s="505"/>
      <c r="C611" s="505"/>
      <c r="D611" s="505"/>
      <c r="E611" s="505"/>
    </row>
    <row r="612">
      <c r="A612" s="504"/>
      <c r="B612" s="505"/>
      <c r="C612" s="505"/>
      <c r="D612" s="505"/>
      <c r="E612" s="505"/>
    </row>
    <row r="613">
      <c r="A613" s="504"/>
      <c r="B613" s="505"/>
      <c r="C613" s="505"/>
      <c r="D613" s="505"/>
      <c r="E613" s="505"/>
    </row>
    <row r="614">
      <c r="A614" s="504"/>
      <c r="B614" s="505"/>
      <c r="C614" s="505"/>
      <c r="D614" s="505"/>
      <c r="E614" s="505"/>
    </row>
    <row r="615">
      <c r="A615" s="504"/>
      <c r="B615" s="505"/>
      <c r="C615" s="505"/>
      <c r="D615" s="505"/>
      <c r="E615" s="505"/>
    </row>
    <row r="616">
      <c r="A616" s="504"/>
      <c r="B616" s="505"/>
      <c r="C616" s="505"/>
      <c r="D616" s="505"/>
      <c r="E616" s="505"/>
    </row>
    <row r="617">
      <c r="A617" s="504"/>
      <c r="B617" s="505"/>
      <c r="C617" s="505"/>
      <c r="D617" s="505"/>
      <c r="E617" s="505"/>
    </row>
    <row r="618">
      <c r="A618" s="504"/>
      <c r="B618" s="505"/>
      <c r="C618" s="505"/>
      <c r="D618" s="505"/>
      <c r="E618" s="505"/>
    </row>
    <row r="619">
      <c r="A619" s="504"/>
      <c r="B619" s="505"/>
      <c r="C619" s="505"/>
      <c r="D619" s="505"/>
      <c r="E619" s="505"/>
    </row>
    <row r="620">
      <c r="A620" s="504"/>
      <c r="B620" s="505"/>
      <c r="C620" s="505"/>
      <c r="D620" s="505"/>
      <c r="E620" s="505"/>
    </row>
    <row r="621">
      <c r="A621" s="504"/>
      <c r="B621" s="505"/>
      <c r="C621" s="505"/>
      <c r="D621" s="505"/>
      <c r="E621" s="505"/>
    </row>
    <row r="622">
      <c r="A622" s="504"/>
      <c r="B622" s="505"/>
      <c r="C622" s="505"/>
      <c r="D622" s="505"/>
      <c r="E622" s="505"/>
    </row>
    <row r="623">
      <c r="A623" s="504"/>
      <c r="B623" s="505"/>
      <c r="C623" s="505"/>
      <c r="D623" s="505"/>
      <c r="E623" s="505"/>
    </row>
    <row r="624">
      <c r="A624" s="504"/>
      <c r="B624" s="505"/>
      <c r="C624" s="505"/>
      <c r="D624" s="505"/>
      <c r="E624" s="505"/>
    </row>
    <row r="625">
      <c r="A625" s="504"/>
      <c r="B625" s="505"/>
      <c r="C625" s="505"/>
      <c r="D625" s="505"/>
      <c r="E625" s="505"/>
    </row>
    <row r="626">
      <c r="A626" s="504"/>
      <c r="B626" s="505"/>
      <c r="C626" s="505"/>
      <c r="D626" s="505"/>
      <c r="E626" s="505"/>
    </row>
    <row r="627">
      <c r="A627" s="504"/>
      <c r="B627" s="505"/>
      <c r="C627" s="505"/>
      <c r="D627" s="505"/>
      <c r="E627" s="505"/>
    </row>
    <row r="628">
      <c r="A628" s="504"/>
      <c r="B628" s="505"/>
      <c r="C628" s="505"/>
      <c r="D628" s="505"/>
      <c r="E628" s="505"/>
    </row>
    <row r="629">
      <c r="A629" s="504"/>
      <c r="B629" s="505"/>
      <c r="C629" s="505"/>
      <c r="D629" s="505"/>
      <c r="E629" s="505"/>
    </row>
    <row r="630">
      <c r="A630" s="504"/>
      <c r="B630" s="505"/>
      <c r="C630" s="505"/>
      <c r="D630" s="505"/>
      <c r="E630" s="505"/>
    </row>
    <row r="631">
      <c r="A631" s="504"/>
      <c r="B631" s="505"/>
      <c r="C631" s="505"/>
      <c r="D631" s="505"/>
      <c r="E631" s="505"/>
    </row>
    <row r="632">
      <c r="A632" s="504"/>
      <c r="B632" s="505"/>
      <c r="C632" s="505"/>
      <c r="D632" s="505"/>
      <c r="E632" s="505"/>
    </row>
    <row r="633">
      <c r="A633" s="504"/>
      <c r="B633" s="505"/>
      <c r="C633" s="505"/>
      <c r="D633" s="505"/>
      <c r="E633" s="505"/>
    </row>
    <row r="634">
      <c r="A634" s="504"/>
      <c r="B634" s="505"/>
      <c r="C634" s="505"/>
      <c r="D634" s="505"/>
      <c r="E634" s="505"/>
    </row>
    <row r="635">
      <c r="A635" s="504"/>
      <c r="B635" s="505"/>
      <c r="C635" s="505"/>
      <c r="D635" s="505"/>
      <c r="E635" s="505"/>
    </row>
    <row r="636">
      <c r="A636" s="504"/>
      <c r="B636" s="505"/>
      <c r="C636" s="505"/>
      <c r="D636" s="505"/>
      <c r="E636" s="505"/>
    </row>
    <row r="637">
      <c r="A637" s="504"/>
      <c r="B637" s="505"/>
      <c r="C637" s="505"/>
      <c r="D637" s="505"/>
      <c r="E637" s="505"/>
    </row>
    <row r="638">
      <c r="A638" s="504"/>
      <c r="B638" s="505"/>
      <c r="C638" s="505"/>
      <c r="D638" s="505"/>
      <c r="E638" s="505"/>
    </row>
    <row r="639">
      <c r="A639" s="504"/>
      <c r="B639" s="505"/>
      <c r="C639" s="505"/>
      <c r="D639" s="505"/>
      <c r="E639" s="505"/>
    </row>
    <row r="640">
      <c r="A640" s="504"/>
      <c r="B640" s="505"/>
      <c r="C640" s="505"/>
      <c r="D640" s="505"/>
      <c r="E640" s="505"/>
    </row>
    <row r="641">
      <c r="A641" s="504"/>
      <c r="B641" s="505"/>
      <c r="C641" s="505"/>
      <c r="D641" s="505"/>
      <c r="E641" s="505"/>
    </row>
    <row r="642">
      <c r="A642" s="504"/>
      <c r="B642" s="505"/>
      <c r="C642" s="505"/>
      <c r="D642" s="505"/>
      <c r="E642" s="505"/>
    </row>
    <row r="643">
      <c r="A643" s="504"/>
      <c r="B643" s="505"/>
      <c r="C643" s="505"/>
      <c r="D643" s="505"/>
      <c r="E643" s="505"/>
    </row>
    <row r="644">
      <c r="A644" s="504"/>
      <c r="B644" s="505"/>
      <c r="C644" s="505"/>
      <c r="D644" s="505"/>
      <c r="E644" s="505"/>
    </row>
    <row r="645">
      <c r="A645" s="504"/>
      <c r="B645" s="505"/>
      <c r="C645" s="505"/>
      <c r="D645" s="505"/>
      <c r="E645" s="505"/>
    </row>
    <row r="646">
      <c r="A646" s="504"/>
      <c r="B646" s="505"/>
      <c r="C646" s="505"/>
      <c r="D646" s="505"/>
      <c r="E646" s="505"/>
    </row>
    <row r="647">
      <c r="A647" s="504"/>
      <c r="B647" s="505"/>
      <c r="C647" s="505"/>
      <c r="D647" s="505"/>
      <c r="E647" s="505"/>
    </row>
    <row r="648">
      <c r="A648" s="504"/>
      <c r="B648" s="505"/>
      <c r="C648" s="505"/>
      <c r="D648" s="505"/>
      <c r="E648" s="505"/>
    </row>
    <row r="649">
      <c r="A649" s="504"/>
      <c r="B649" s="505"/>
      <c r="C649" s="505"/>
      <c r="D649" s="505"/>
      <c r="E649" s="505"/>
    </row>
    <row r="650">
      <c r="A650" s="504"/>
      <c r="B650" s="505"/>
      <c r="C650" s="505"/>
      <c r="D650" s="505"/>
      <c r="E650" s="505"/>
    </row>
    <row r="651">
      <c r="A651" s="504"/>
      <c r="B651" s="505"/>
      <c r="C651" s="505"/>
      <c r="D651" s="505"/>
      <c r="E651" s="505"/>
    </row>
    <row r="652">
      <c r="A652" s="504"/>
      <c r="B652" s="505"/>
      <c r="C652" s="505"/>
      <c r="D652" s="505"/>
      <c r="E652" s="505"/>
    </row>
    <row r="653">
      <c r="A653" s="504"/>
      <c r="B653" s="505"/>
      <c r="C653" s="505"/>
      <c r="D653" s="505"/>
      <c r="E653" s="505"/>
    </row>
    <row r="654">
      <c r="A654" s="504"/>
      <c r="B654" s="505"/>
      <c r="C654" s="505"/>
      <c r="D654" s="505"/>
      <c r="E654" s="505"/>
    </row>
    <row r="655">
      <c r="A655" s="504"/>
      <c r="B655" s="505"/>
      <c r="C655" s="505"/>
      <c r="D655" s="505"/>
      <c r="E655" s="505"/>
    </row>
    <row r="656">
      <c r="A656" s="504"/>
      <c r="B656" s="505"/>
      <c r="C656" s="505"/>
      <c r="D656" s="505"/>
      <c r="E656" s="505"/>
    </row>
    <row r="657">
      <c r="A657" s="504"/>
      <c r="B657" s="505"/>
      <c r="C657" s="505"/>
      <c r="D657" s="505"/>
      <c r="E657" s="505"/>
    </row>
    <row r="658">
      <c r="A658" s="504"/>
      <c r="B658" s="505"/>
      <c r="C658" s="505"/>
      <c r="D658" s="505"/>
      <c r="E658" s="505"/>
    </row>
    <row r="659">
      <c r="A659" s="504"/>
      <c r="B659" s="505"/>
      <c r="C659" s="505"/>
      <c r="D659" s="505"/>
      <c r="E659" s="505"/>
    </row>
    <row r="660">
      <c r="A660" s="504"/>
      <c r="B660" s="505"/>
      <c r="C660" s="505"/>
      <c r="D660" s="505"/>
      <c r="E660" s="505"/>
    </row>
    <row r="661">
      <c r="A661" s="504"/>
      <c r="B661" s="505"/>
      <c r="C661" s="505"/>
      <c r="D661" s="505"/>
      <c r="E661" s="505"/>
    </row>
    <row r="662">
      <c r="A662" s="504"/>
      <c r="B662" s="505"/>
      <c r="C662" s="505"/>
      <c r="D662" s="505"/>
      <c r="E662" s="505"/>
    </row>
    <row r="663">
      <c r="A663" s="504"/>
      <c r="B663" s="505"/>
      <c r="C663" s="505"/>
      <c r="D663" s="505"/>
      <c r="E663" s="505"/>
    </row>
    <row r="664">
      <c r="A664" s="504"/>
      <c r="B664" s="505"/>
      <c r="C664" s="505"/>
      <c r="D664" s="505"/>
      <c r="E664" s="505"/>
    </row>
    <row r="665">
      <c r="A665" s="504"/>
      <c r="B665" s="505"/>
      <c r="C665" s="505"/>
      <c r="D665" s="505"/>
      <c r="E665" s="505"/>
    </row>
    <row r="666">
      <c r="A666" s="504"/>
      <c r="B666" s="505"/>
      <c r="C666" s="505"/>
      <c r="D666" s="505"/>
      <c r="E666" s="505"/>
    </row>
    <row r="667">
      <c r="A667" s="504"/>
      <c r="B667" s="505"/>
      <c r="C667" s="505"/>
      <c r="D667" s="505"/>
      <c r="E667" s="505"/>
    </row>
    <row r="668">
      <c r="A668" s="504"/>
      <c r="B668" s="505"/>
      <c r="C668" s="505"/>
      <c r="D668" s="505"/>
      <c r="E668" s="505"/>
    </row>
    <row r="669">
      <c r="A669" s="504"/>
      <c r="B669" s="505"/>
      <c r="C669" s="505"/>
      <c r="D669" s="505"/>
      <c r="E669" s="505"/>
    </row>
    <row r="670">
      <c r="A670" s="504"/>
      <c r="B670" s="505"/>
      <c r="C670" s="505"/>
      <c r="D670" s="505"/>
      <c r="E670" s="505"/>
    </row>
    <row r="671">
      <c r="A671" s="504"/>
      <c r="B671" s="505"/>
      <c r="C671" s="505"/>
      <c r="D671" s="505"/>
      <c r="E671" s="505"/>
    </row>
    <row r="672">
      <c r="A672" s="504"/>
      <c r="B672" s="505"/>
      <c r="C672" s="505"/>
      <c r="D672" s="505"/>
      <c r="E672" s="505"/>
    </row>
    <row r="673">
      <c r="A673" s="504"/>
      <c r="B673" s="505"/>
      <c r="C673" s="505"/>
      <c r="D673" s="505"/>
      <c r="E673" s="505"/>
    </row>
    <row r="674">
      <c r="A674" s="504"/>
      <c r="B674" s="505"/>
      <c r="C674" s="505"/>
      <c r="D674" s="505"/>
      <c r="E674" s="505"/>
    </row>
    <row r="675">
      <c r="A675" s="504"/>
      <c r="B675" s="505"/>
      <c r="C675" s="505"/>
      <c r="D675" s="505"/>
      <c r="E675" s="505"/>
    </row>
    <row r="676">
      <c r="A676" s="504"/>
      <c r="B676" s="505"/>
      <c r="C676" s="505"/>
      <c r="D676" s="505"/>
      <c r="E676" s="505"/>
    </row>
    <row r="677">
      <c r="A677" s="504"/>
      <c r="B677" s="505"/>
      <c r="C677" s="505"/>
      <c r="D677" s="505"/>
      <c r="E677" s="505"/>
    </row>
    <row r="678">
      <c r="A678" s="504"/>
      <c r="B678" s="505"/>
      <c r="C678" s="505"/>
      <c r="D678" s="505"/>
      <c r="E678" s="505"/>
    </row>
    <row r="679">
      <c r="A679" s="504"/>
      <c r="B679" s="505"/>
      <c r="C679" s="505"/>
      <c r="D679" s="505"/>
      <c r="E679" s="505"/>
    </row>
    <row r="680">
      <c r="A680" s="504"/>
      <c r="B680" s="505"/>
      <c r="C680" s="505"/>
      <c r="D680" s="505"/>
      <c r="E680" s="505"/>
    </row>
    <row r="681">
      <c r="A681" s="504"/>
      <c r="B681" s="505"/>
      <c r="C681" s="505"/>
      <c r="D681" s="505"/>
      <c r="E681" s="505"/>
    </row>
    <row r="682">
      <c r="A682" s="504"/>
      <c r="B682" s="505"/>
      <c r="C682" s="505"/>
      <c r="D682" s="505"/>
      <c r="E682" s="505"/>
    </row>
    <row r="683">
      <c r="A683" s="504"/>
      <c r="B683" s="505"/>
      <c r="C683" s="505"/>
      <c r="D683" s="505"/>
      <c r="E683" s="505"/>
    </row>
    <row r="684">
      <c r="A684" s="504"/>
      <c r="B684" s="505"/>
      <c r="C684" s="505"/>
      <c r="D684" s="505"/>
      <c r="E684" s="505"/>
    </row>
    <row r="685">
      <c r="A685" s="504"/>
      <c r="B685" s="505"/>
      <c r="C685" s="505"/>
      <c r="D685" s="505"/>
      <c r="E685" s="505"/>
    </row>
    <row r="686">
      <c r="A686" s="504"/>
      <c r="B686" s="505"/>
      <c r="C686" s="505"/>
      <c r="D686" s="505"/>
      <c r="E686" s="505"/>
    </row>
    <row r="687">
      <c r="A687" s="504"/>
      <c r="B687" s="505"/>
      <c r="C687" s="505"/>
      <c r="D687" s="505"/>
      <c r="E687" s="505"/>
    </row>
    <row r="688">
      <c r="A688" s="504"/>
      <c r="B688" s="505"/>
      <c r="C688" s="505"/>
      <c r="D688" s="505"/>
      <c r="E688" s="505"/>
    </row>
    <row r="689">
      <c r="A689" s="504"/>
      <c r="B689" s="505"/>
      <c r="C689" s="505"/>
      <c r="D689" s="505"/>
      <c r="E689" s="505"/>
    </row>
    <row r="690">
      <c r="A690" s="504"/>
      <c r="B690" s="505"/>
      <c r="C690" s="505"/>
      <c r="D690" s="505"/>
      <c r="E690" s="505"/>
    </row>
    <row r="691">
      <c r="A691" s="504"/>
      <c r="B691" s="505"/>
      <c r="C691" s="505"/>
      <c r="D691" s="505"/>
      <c r="E691" s="505"/>
    </row>
    <row r="692">
      <c r="A692" s="504"/>
      <c r="B692" s="505"/>
      <c r="C692" s="505"/>
      <c r="D692" s="505"/>
      <c r="E692" s="505"/>
    </row>
    <row r="693">
      <c r="A693" s="504"/>
      <c r="B693" s="505"/>
      <c r="C693" s="505"/>
      <c r="D693" s="505"/>
      <c r="E693" s="505"/>
    </row>
    <row r="694">
      <c r="A694" s="504"/>
      <c r="B694" s="505"/>
      <c r="C694" s="505"/>
      <c r="D694" s="505"/>
      <c r="E694" s="505"/>
    </row>
    <row r="695">
      <c r="A695" s="504"/>
      <c r="B695" s="505"/>
      <c r="C695" s="505"/>
      <c r="D695" s="505"/>
      <c r="E695" s="505"/>
    </row>
    <row r="696">
      <c r="A696" s="504"/>
      <c r="B696" s="505"/>
      <c r="C696" s="505"/>
      <c r="D696" s="505"/>
      <c r="E696" s="505"/>
    </row>
    <row r="697">
      <c r="A697" s="504"/>
      <c r="B697" s="505"/>
      <c r="C697" s="505"/>
      <c r="D697" s="505"/>
      <c r="E697" s="505"/>
    </row>
    <row r="698">
      <c r="A698" s="504"/>
      <c r="B698" s="505"/>
      <c r="C698" s="505"/>
      <c r="D698" s="505"/>
      <c r="E698" s="505"/>
    </row>
    <row r="699">
      <c r="A699" s="504"/>
      <c r="B699" s="505"/>
      <c r="C699" s="505"/>
      <c r="D699" s="505"/>
      <c r="E699" s="505"/>
    </row>
    <row r="700">
      <c r="A700" s="504"/>
      <c r="B700" s="505"/>
      <c r="C700" s="505"/>
      <c r="D700" s="505"/>
      <c r="E700" s="505"/>
    </row>
    <row r="701">
      <c r="A701" s="504"/>
      <c r="B701" s="505"/>
      <c r="C701" s="505"/>
      <c r="D701" s="505"/>
      <c r="E701" s="505"/>
    </row>
    <row r="702">
      <c r="A702" s="504"/>
      <c r="B702" s="505"/>
      <c r="C702" s="505"/>
      <c r="D702" s="505"/>
      <c r="E702" s="505"/>
    </row>
    <row r="703">
      <c r="A703" s="504"/>
      <c r="B703" s="505"/>
      <c r="C703" s="505"/>
      <c r="D703" s="505"/>
      <c r="E703" s="505"/>
    </row>
    <row r="704">
      <c r="A704" s="504"/>
      <c r="B704" s="505"/>
      <c r="C704" s="505"/>
      <c r="D704" s="505"/>
      <c r="E704" s="505"/>
    </row>
    <row r="705">
      <c r="A705" s="504"/>
      <c r="B705" s="505"/>
      <c r="C705" s="505"/>
      <c r="D705" s="505"/>
      <c r="E705" s="505"/>
    </row>
    <row r="706">
      <c r="A706" s="504"/>
      <c r="B706" s="505"/>
      <c r="C706" s="505"/>
      <c r="D706" s="505"/>
      <c r="E706" s="505"/>
    </row>
    <row r="707">
      <c r="A707" s="504"/>
      <c r="B707" s="505"/>
      <c r="C707" s="505"/>
      <c r="D707" s="505"/>
      <c r="E707" s="505"/>
    </row>
    <row r="708">
      <c r="A708" s="504"/>
      <c r="B708" s="505"/>
      <c r="C708" s="505"/>
      <c r="D708" s="505"/>
      <c r="E708" s="505"/>
    </row>
    <row r="709">
      <c r="A709" s="504"/>
      <c r="B709" s="505"/>
      <c r="C709" s="505"/>
      <c r="D709" s="505"/>
      <c r="E709" s="505"/>
    </row>
    <row r="710">
      <c r="A710" s="504"/>
      <c r="B710" s="505"/>
      <c r="C710" s="505"/>
      <c r="D710" s="505"/>
      <c r="E710" s="505"/>
    </row>
    <row r="711">
      <c r="A711" s="504"/>
      <c r="B711" s="505"/>
      <c r="C711" s="505"/>
      <c r="D711" s="505"/>
      <c r="E711" s="505"/>
    </row>
    <row r="712">
      <c r="A712" s="504"/>
      <c r="B712" s="505"/>
      <c r="C712" s="505"/>
      <c r="D712" s="505"/>
      <c r="E712" s="505"/>
    </row>
    <row r="713">
      <c r="A713" s="504"/>
      <c r="B713" s="505"/>
      <c r="C713" s="505"/>
      <c r="D713" s="505"/>
      <c r="E713" s="505"/>
    </row>
    <row r="714">
      <c r="A714" s="504"/>
      <c r="B714" s="505"/>
      <c r="C714" s="505"/>
      <c r="D714" s="505"/>
      <c r="E714" s="505"/>
    </row>
    <row r="715">
      <c r="A715" s="504"/>
      <c r="B715" s="505"/>
      <c r="C715" s="505"/>
      <c r="D715" s="505"/>
      <c r="E715" s="505"/>
    </row>
    <row r="716">
      <c r="A716" s="504"/>
      <c r="B716" s="505"/>
      <c r="C716" s="505"/>
      <c r="D716" s="505"/>
      <c r="E716" s="505"/>
    </row>
    <row r="717">
      <c r="A717" s="504"/>
      <c r="B717" s="505"/>
      <c r="C717" s="505"/>
      <c r="D717" s="505"/>
      <c r="E717" s="505"/>
    </row>
    <row r="718">
      <c r="A718" s="504"/>
      <c r="B718" s="505"/>
      <c r="C718" s="505"/>
      <c r="D718" s="505"/>
      <c r="E718" s="505"/>
    </row>
    <row r="719">
      <c r="A719" s="504"/>
      <c r="B719" s="505"/>
      <c r="C719" s="505"/>
      <c r="D719" s="505"/>
      <c r="E719" s="505"/>
    </row>
    <row r="720">
      <c r="A720" s="504"/>
      <c r="B720" s="505"/>
      <c r="C720" s="505"/>
      <c r="D720" s="505"/>
      <c r="E720" s="505"/>
    </row>
    <row r="721">
      <c r="A721" s="504"/>
      <c r="B721" s="505"/>
      <c r="C721" s="505"/>
      <c r="D721" s="505"/>
      <c r="E721" s="505"/>
    </row>
    <row r="722">
      <c r="A722" s="504"/>
      <c r="B722" s="505"/>
      <c r="C722" s="505"/>
      <c r="D722" s="505"/>
      <c r="E722" s="505"/>
    </row>
    <row r="723">
      <c r="A723" s="504"/>
      <c r="B723" s="505"/>
      <c r="C723" s="505"/>
      <c r="D723" s="505"/>
      <c r="E723" s="505"/>
    </row>
    <row r="724">
      <c r="A724" s="504"/>
      <c r="B724" s="505"/>
      <c r="C724" s="505"/>
      <c r="D724" s="505"/>
      <c r="E724" s="505"/>
    </row>
    <row r="725">
      <c r="A725" s="504"/>
      <c r="B725" s="505"/>
      <c r="C725" s="505"/>
      <c r="D725" s="505"/>
      <c r="E725" s="505"/>
    </row>
    <row r="726">
      <c r="A726" s="504"/>
      <c r="B726" s="505"/>
      <c r="C726" s="505"/>
      <c r="D726" s="505"/>
      <c r="E726" s="505"/>
    </row>
    <row r="727">
      <c r="A727" s="504"/>
      <c r="B727" s="505"/>
      <c r="C727" s="505"/>
      <c r="D727" s="505"/>
      <c r="E727" s="505"/>
    </row>
    <row r="728">
      <c r="A728" s="504"/>
      <c r="B728" s="505"/>
      <c r="C728" s="505"/>
      <c r="D728" s="505"/>
      <c r="E728" s="505"/>
    </row>
    <row r="729">
      <c r="A729" s="504"/>
      <c r="B729" s="505"/>
      <c r="C729" s="505"/>
      <c r="D729" s="505"/>
      <c r="E729" s="505"/>
    </row>
    <row r="730">
      <c r="A730" s="504"/>
      <c r="B730" s="505"/>
      <c r="C730" s="505"/>
      <c r="D730" s="505"/>
      <c r="E730" s="505"/>
    </row>
    <row r="731">
      <c r="A731" s="504"/>
      <c r="B731" s="505"/>
      <c r="C731" s="505"/>
      <c r="D731" s="505"/>
      <c r="E731" s="505"/>
    </row>
    <row r="732">
      <c r="A732" s="504"/>
      <c r="B732" s="505"/>
      <c r="C732" s="505"/>
      <c r="D732" s="505"/>
      <c r="E732" s="505"/>
    </row>
    <row r="733">
      <c r="A733" s="504"/>
      <c r="B733" s="505"/>
      <c r="C733" s="505"/>
      <c r="D733" s="505"/>
      <c r="E733" s="505"/>
    </row>
    <row r="734">
      <c r="A734" s="504"/>
      <c r="B734" s="505"/>
      <c r="C734" s="505"/>
      <c r="D734" s="505"/>
      <c r="E734" s="505"/>
    </row>
    <row r="735">
      <c r="A735" s="504"/>
      <c r="B735" s="505"/>
      <c r="C735" s="505"/>
      <c r="D735" s="505"/>
      <c r="E735" s="505"/>
    </row>
    <row r="736">
      <c r="A736" s="504"/>
      <c r="B736" s="505"/>
      <c r="C736" s="505"/>
      <c r="D736" s="505"/>
      <c r="E736" s="505"/>
    </row>
    <row r="737">
      <c r="A737" s="504"/>
      <c r="B737" s="505"/>
      <c r="C737" s="505"/>
      <c r="D737" s="505"/>
      <c r="E737" s="505"/>
    </row>
    <row r="738">
      <c r="A738" s="504"/>
      <c r="B738" s="505"/>
      <c r="C738" s="505"/>
      <c r="D738" s="505"/>
      <c r="E738" s="505"/>
    </row>
    <row r="739">
      <c r="A739" s="504"/>
      <c r="B739" s="505"/>
      <c r="C739" s="505"/>
      <c r="D739" s="505"/>
      <c r="E739" s="505"/>
    </row>
    <row r="740">
      <c r="A740" s="504"/>
      <c r="B740" s="505"/>
      <c r="C740" s="505"/>
      <c r="D740" s="505"/>
      <c r="E740" s="505"/>
    </row>
    <row r="741">
      <c r="A741" s="504"/>
      <c r="B741" s="505"/>
      <c r="C741" s="505"/>
      <c r="D741" s="505"/>
      <c r="E741" s="505"/>
    </row>
    <row r="742">
      <c r="A742" s="504"/>
      <c r="B742" s="505"/>
      <c r="C742" s="505"/>
      <c r="D742" s="505"/>
      <c r="E742" s="505"/>
    </row>
    <row r="743">
      <c r="A743" s="504"/>
      <c r="B743" s="505"/>
      <c r="C743" s="505"/>
      <c r="D743" s="505"/>
      <c r="E743" s="505"/>
    </row>
    <row r="744">
      <c r="A744" s="504"/>
      <c r="B744" s="505"/>
      <c r="C744" s="505"/>
      <c r="D744" s="505"/>
      <c r="E744" s="505"/>
    </row>
    <row r="745">
      <c r="A745" s="504"/>
      <c r="B745" s="505"/>
      <c r="C745" s="505"/>
      <c r="D745" s="505"/>
      <c r="E745" s="505"/>
    </row>
    <row r="746">
      <c r="A746" s="504"/>
      <c r="B746" s="505"/>
      <c r="C746" s="505"/>
      <c r="D746" s="505"/>
      <c r="E746" s="505"/>
    </row>
    <row r="747">
      <c r="A747" s="504"/>
      <c r="B747" s="505"/>
      <c r="C747" s="505"/>
      <c r="D747" s="505"/>
      <c r="E747" s="505"/>
    </row>
    <row r="748">
      <c r="A748" s="504"/>
      <c r="B748" s="505"/>
      <c r="C748" s="505"/>
      <c r="D748" s="505"/>
      <c r="E748" s="505"/>
    </row>
    <row r="749">
      <c r="A749" s="504"/>
      <c r="B749" s="505"/>
      <c r="C749" s="505"/>
      <c r="D749" s="505"/>
      <c r="E749" s="505"/>
    </row>
    <row r="750">
      <c r="A750" s="504"/>
      <c r="B750" s="505"/>
      <c r="C750" s="505"/>
      <c r="D750" s="505"/>
      <c r="E750" s="505"/>
    </row>
    <row r="751">
      <c r="A751" s="504"/>
      <c r="B751" s="505"/>
      <c r="C751" s="505"/>
      <c r="D751" s="505"/>
      <c r="E751" s="505"/>
    </row>
    <row r="752">
      <c r="A752" s="504"/>
      <c r="B752" s="505"/>
      <c r="C752" s="505"/>
      <c r="D752" s="505"/>
      <c r="E752" s="505"/>
    </row>
    <row r="753">
      <c r="A753" s="504"/>
      <c r="B753" s="505"/>
      <c r="C753" s="505"/>
      <c r="D753" s="505"/>
      <c r="E753" s="505"/>
    </row>
    <row r="754">
      <c r="A754" s="504"/>
      <c r="B754" s="505"/>
      <c r="C754" s="505"/>
      <c r="D754" s="505"/>
      <c r="E754" s="505"/>
    </row>
    <row r="755">
      <c r="A755" s="504"/>
      <c r="B755" s="505"/>
      <c r="C755" s="505"/>
      <c r="D755" s="505"/>
      <c r="E755" s="505"/>
    </row>
    <row r="756">
      <c r="A756" s="504"/>
      <c r="B756" s="505"/>
      <c r="C756" s="505"/>
      <c r="D756" s="505"/>
      <c r="E756" s="505"/>
    </row>
    <row r="757">
      <c r="A757" s="504"/>
      <c r="B757" s="505"/>
      <c r="C757" s="505"/>
      <c r="D757" s="505"/>
      <c r="E757" s="505"/>
    </row>
    <row r="758">
      <c r="A758" s="504"/>
      <c r="B758" s="505"/>
      <c r="C758" s="505"/>
      <c r="D758" s="505"/>
      <c r="E758" s="505"/>
    </row>
    <row r="759">
      <c r="A759" s="504"/>
      <c r="B759" s="505"/>
      <c r="C759" s="505"/>
      <c r="D759" s="505"/>
      <c r="E759" s="505"/>
    </row>
    <row r="760">
      <c r="A760" s="504"/>
      <c r="B760" s="505"/>
      <c r="C760" s="505"/>
      <c r="D760" s="505"/>
      <c r="E760" s="505"/>
    </row>
    <row r="761">
      <c r="A761" s="504"/>
      <c r="B761" s="505"/>
      <c r="C761" s="505"/>
      <c r="D761" s="505"/>
      <c r="E761" s="505"/>
    </row>
    <row r="762">
      <c r="A762" s="504"/>
      <c r="B762" s="505"/>
      <c r="C762" s="505"/>
      <c r="D762" s="505"/>
      <c r="E762" s="505"/>
    </row>
    <row r="763">
      <c r="A763" s="504"/>
      <c r="B763" s="505"/>
      <c r="C763" s="505"/>
      <c r="D763" s="505"/>
      <c r="E763" s="505"/>
    </row>
    <row r="764">
      <c r="A764" s="504"/>
      <c r="B764" s="505"/>
      <c r="C764" s="505"/>
      <c r="D764" s="505"/>
      <c r="E764" s="505"/>
    </row>
    <row r="765">
      <c r="A765" s="504"/>
      <c r="B765" s="505"/>
      <c r="C765" s="505"/>
      <c r="D765" s="505"/>
      <c r="E765" s="505"/>
    </row>
    <row r="766">
      <c r="A766" s="504"/>
      <c r="B766" s="505"/>
      <c r="C766" s="505"/>
      <c r="D766" s="505"/>
      <c r="E766" s="505"/>
    </row>
    <row r="767">
      <c r="A767" s="504"/>
      <c r="B767" s="505"/>
      <c r="C767" s="505"/>
      <c r="D767" s="505"/>
      <c r="E767" s="505"/>
    </row>
    <row r="768">
      <c r="A768" s="504"/>
      <c r="B768" s="505"/>
      <c r="C768" s="505"/>
      <c r="D768" s="505"/>
      <c r="E768" s="505"/>
    </row>
    <row r="769">
      <c r="A769" s="504"/>
      <c r="B769" s="505"/>
      <c r="C769" s="505"/>
      <c r="D769" s="505"/>
      <c r="E769" s="505"/>
    </row>
    <row r="770">
      <c r="A770" s="504"/>
      <c r="B770" s="505"/>
      <c r="C770" s="505"/>
      <c r="D770" s="505"/>
      <c r="E770" s="505"/>
    </row>
    <row r="771">
      <c r="A771" s="504"/>
      <c r="B771" s="505"/>
      <c r="C771" s="505"/>
      <c r="D771" s="505"/>
      <c r="E771" s="505"/>
    </row>
    <row r="772">
      <c r="A772" s="504"/>
      <c r="B772" s="505"/>
      <c r="C772" s="505"/>
      <c r="D772" s="505"/>
      <c r="E772" s="505"/>
    </row>
    <row r="773">
      <c r="A773" s="504"/>
      <c r="B773" s="505"/>
      <c r="C773" s="505"/>
      <c r="D773" s="505"/>
      <c r="E773" s="505"/>
    </row>
    <row r="774">
      <c r="A774" s="504"/>
      <c r="B774" s="505"/>
      <c r="C774" s="505"/>
      <c r="D774" s="505"/>
      <c r="E774" s="505"/>
    </row>
    <row r="775">
      <c r="A775" s="504"/>
      <c r="B775" s="505"/>
      <c r="C775" s="505"/>
      <c r="D775" s="505"/>
      <c r="E775" s="505"/>
    </row>
    <row r="776">
      <c r="A776" s="504"/>
      <c r="B776" s="505"/>
      <c r="C776" s="505"/>
      <c r="D776" s="505"/>
      <c r="E776" s="505"/>
    </row>
    <row r="777">
      <c r="A777" s="504"/>
      <c r="B777" s="505"/>
      <c r="C777" s="505"/>
      <c r="D777" s="505"/>
      <c r="E777" s="505"/>
    </row>
    <row r="778">
      <c r="A778" s="504"/>
      <c r="B778" s="505"/>
      <c r="C778" s="505"/>
      <c r="D778" s="505"/>
      <c r="E778" s="505"/>
    </row>
    <row r="779">
      <c r="A779" s="504"/>
      <c r="B779" s="505"/>
      <c r="C779" s="505"/>
      <c r="D779" s="505"/>
      <c r="E779" s="505"/>
    </row>
    <row r="780">
      <c r="A780" s="504"/>
      <c r="B780" s="505"/>
      <c r="C780" s="505"/>
      <c r="D780" s="505"/>
      <c r="E780" s="505"/>
    </row>
    <row r="781">
      <c r="A781" s="504"/>
      <c r="B781" s="505"/>
      <c r="C781" s="505"/>
      <c r="D781" s="505"/>
      <c r="E781" s="505"/>
    </row>
    <row r="782">
      <c r="A782" s="504"/>
      <c r="B782" s="505"/>
      <c r="C782" s="505"/>
      <c r="D782" s="505"/>
      <c r="E782" s="505"/>
    </row>
    <row r="783">
      <c r="A783" s="504"/>
      <c r="B783" s="505"/>
      <c r="C783" s="505"/>
      <c r="D783" s="505"/>
      <c r="E783" s="505"/>
    </row>
    <row r="784">
      <c r="A784" s="504"/>
      <c r="B784" s="505"/>
      <c r="C784" s="505"/>
      <c r="D784" s="505"/>
      <c r="E784" s="505"/>
    </row>
    <row r="785">
      <c r="A785" s="504"/>
      <c r="B785" s="505"/>
      <c r="C785" s="505"/>
      <c r="D785" s="505"/>
      <c r="E785" s="505"/>
    </row>
    <row r="786">
      <c r="A786" s="504"/>
      <c r="B786" s="505"/>
      <c r="C786" s="505"/>
      <c r="D786" s="505"/>
      <c r="E786" s="505"/>
    </row>
    <row r="787">
      <c r="A787" s="504"/>
      <c r="B787" s="505"/>
      <c r="C787" s="505"/>
      <c r="D787" s="505"/>
      <c r="E787" s="505"/>
    </row>
    <row r="788">
      <c r="A788" s="504"/>
      <c r="B788" s="505"/>
      <c r="C788" s="505"/>
      <c r="D788" s="505"/>
      <c r="E788" s="505"/>
    </row>
    <row r="789">
      <c r="A789" s="504"/>
      <c r="B789" s="505"/>
      <c r="C789" s="505"/>
      <c r="D789" s="505"/>
      <c r="E789" s="505"/>
    </row>
    <row r="790">
      <c r="A790" s="504"/>
      <c r="B790" s="505"/>
      <c r="C790" s="505"/>
      <c r="D790" s="505"/>
      <c r="E790" s="505"/>
    </row>
    <row r="791">
      <c r="A791" s="504"/>
      <c r="B791" s="505"/>
      <c r="C791" s="505"/>
      <c r="D791" s="505"/>
      <c r="E791" s="505"/>
    </row>
    <row r="792">
      <c r="A792" s="504"/>
      <c r="B792" s="505"/>
      <c r="C792" s="505"/>
      <c r="D792" s="505"/>
      <c r="E792" s="505"/>
    </row>
    <row r="793">
      <c r="A793" s="504"/>
      <c r="B793" s="505"/>
      <c r="C793" s="505"/>
      <c r="D793" s="505"/>
      <c r="E793" s="505"/>
    </row>
    <row r="794">
      <c r="A794" s="504"/>
      <c r="B794" s="505"/>
      <c r="C794" s="505"/>
      <c r="D794" s="505"/>
      <c r="E794" s="505"/>
    </row>
    <row r="795">
      <c r="A795" s="504"/>
      <c r="B795" s="505"/>
      <c r="C795" s="505"/>
      <c r="D795" s="505"/>
      <c r="E795" s="505"/>
    </row>
    <row r="796">
      <c r="A796" s="504"/>
      <c r="B796" s="505"/>
      <c r="C796" s="505"/>
      <c r="D796" s="505"/>
      <c r="E796" s="505"/>
    </row>
    <row r="797">
      <c r="A797" s="504"/>
      <c r="B797" s="505"/>
      <c r="C797" s="505"/>
      <c r="D797" s="505"/>
      <c r="E797" s="505"/>
    </row>
    <row r="798">
      <c r="A798" s="504"/>
      <c r="B798" s="505"/>
      <c r="C798" s="505"/>
      <c r="D798" s="505"/>
      <c r="E798" s="505"/>
    </row>
    <row r="799">
      <c r="A799" s="504"/>
      <c r="B799" s="505"/>
      <c r="C799" s="505"/>
      <c r="D799" s="505"/>
      <c r="E799" s="505"/>
    </row>
    <row r="800">
      <c r="A800" s="504"/>
      <c r="B800" s="505"/>
      <c r="C800" s="505"/>
      <c r="D800" s="505"/>
      <c r="E800" s="505"/>
    </row>
    <row r="801">
      <c r="A801" s="504"/>
      <c r="B801" s="505"/>
      <c r="C801" s="505"/>
      <c r="D801" s="505"/>
      <c r="E801" s="505"/>
    </row>
    <row r="802">
      <c r="A802" s="504"/>
      <c r="B802" s="505"/>
      <c r="C802" s="505"/>
      <c r="D802" s="505"/>
      <c r="E802" s="505"/>
    </row>
    <row r="803">
      <c r="A803" s="504"/>
      <c r="B803" s="505"/>
      <c r="C803" s="505"/>
      <c r="D803" s="505"/>
      <c r="E803" s="505"/>
    </row>
    <row r="804">
      <c r="A804" s="504"/>
      <c r="B804" s="505"/>
      <c r="C804" s="505"/>
      <c r="D804" s="505"/>
      <c r="E804" s="505"/>
    </row>
    <row r="805">
      <c r="A805" s="504"/>
      <c r="B805" s="505"/>
      <c r="C805" s="505"/>
      <c r="D805" s="505"/>
      <c r="E805" s="505"/>
    </row>
    <row r="806">
      <c r="A806" s="504"/>
      <c r="B806" s="505"/>
      <c r="C806" s="505"/>
      <c r="D806" s="505"/>
      <c r="E806" s="505"/>
    </row>
    <row r="807">
      <c r="A807" s="504"/>
      <c r="B807" s="505"/>
      <c r="C807" s="505"/>
      <c r="D807" s="505"/>
      <c r="E807" s="505"/>
    </row>
    <row r="808">
      <c r="A808" s="504"/>
      <c r="B808" s="505"/>
      <c r="C808" s="505"/>
      <c r="D808" s="505"/>
      <c r="E808" s="505"/>
    </row>
    <row r="809">
      <c r="A809" s="504"/>
      <c r="B809" s="505"/>
      <c r="C809" s="505"/>
      <c r="D809" s="505"/>
      <c r="E809" s="505"/>
    </row>
    <row r="810">
      <c r="A810" s="504"/>
      <c r="B810" s="505"/>
      <c r="C810" s="505"/>
      <c r="D810" s="505"/>
      <c r="E810" s="505"/>
    </row>
    <row r="811">
      <c r="A811" s="504"/>
      <c r="B811" s="505"/>
      <c r="C811" s="505"/>
      <c r="D811" s="505"/>
      <c r="E811" s="505"/>
    </row>
    <row r="812">
      <c r="A812" s="504"/>
      <c r="B812" s="505"/>
      <c r="C812" s="505"/>
      <c r="D812" s="505"/>
      <c r="E812" s="505"/>
    </row>
    <row r="813">
      <c r="A813" s="504"/>
      <c r="B813" s="505"/>
      <c r="C813" s="505"/>
      <c r="D813" s="505"/>
      <c r="E813" s="505"/>
    </row>
    <row r="814">
      <c r="A814" s="504"/>
      <c r="B814" s="505"/>
      <c r="C814" s="505"/>
      <c r="D814" s="505"/>
      <c r="E814" s="505"/>
    </row>
    <row r="815">
      <c r="A815" s="504"/>
      <c r="B815" s="505"/>
      <c r="C815" s="505"/>
      <c r="D815" s="505"/>
      <c r="E815" s="505"/>
    </row>
    <row r="816">
      <c r="A816" s="504"/>
      <c r="B816" s="505"/>
      <c r="C816" s="505"/>
      <c r="D816" s="505"/>
      <c r="E816" s="505"/>
    </row>
    <row r="817">
      <c r="A817" s="504"/>
      <c r="B817" s="505"/>
      <c r="C817" s="505"/>
      <c r="D817" s="505"/>
      <c r="E817" s="505"/>
    </row>
    <row r="818">
      <c r="A818" s="504"/>
      <c r="B818" s="505"/>
      <c r="C818" s="505"/>
      <c r="D818" s="505"/>
      <c r="E818" s="505"/>
    </row>
    <row r="819">
      <c r="A819" s="504"/>
      <c r="B819" s="505"/>
      <c r="C819" s="505"/>
      <c r="D819" s="505"/>
      <c r="E819" s="505"/>
    </row>
    <row r="820">
      <c r="A820" s="504"/>
      <c r="B820" s="505"/>
      <c r="C820" s="505"/>
      <c r="D820" s="505"/>
      <c r="E820" s="505"/>
    </row>
    <row r="821">
      <c r="A821" s="504"/>
      <c r="B821" s="505"/>
      <c r="C821" s="505"/>
      <c r="D821" s="505"/>
      <c r="E821" s="505"/>
    </row>
    <row r="822">
      <c r="A822" s="504"/>
      <c r="B822" s="505"/>
      <c r="C822" s="505"/>
      <c r="D822" s="505"/>
      <c r="E822" s="505"/>
    </row>
    <row r="823">
      <c r="A823" s="504"/>
      <c r="B823" s="505"/>
      <c r="C823" s="505"/>
      <c r="D823" s="505"/>
      <c r="E823" s="505"/>
    </row>
    <row r="824">
      <c r="A824" s="504"/>
      <c r="B824" s="505"/>
      <c r="C824" s="505"/>
      <c r="D824" s="505"/>
      <c r="E824" s="505"/>
    </row>
    <row r="825">
      <c r="A825" s="504"/>
      <c r="B825" s="505"/>
      <c r="C825" s="505"/>
      <c r="D825" s="505"/>
      <c r="E825" s="505"/>
    </row>
    <row r="826">
      <c r="A826" s="504"/>
      <c r="B826" s="505"/>
      <c r="C826" s="505"/>
      <c r="D826" s="505"/>
      <c r="E826" s="505"/>
    </row>
    <row r="827">
      <c r="A827" s="504"/>
      <c r="B827" s="505"/>
      <c r="C827" s="505"/>
      <c r="D827" s="505"/>
      <c r="E827" s="505"/>
    </row>
    <row r="828">
      <c r="A828" s="504"/>
      <c r="B828" s="505"/>
      <c r="C828" s="505"/>
      <c r="D828" s="505"/>
      <c r="E828" s="505"/>
    </row>
    <row r="829">
      <c r="A829" s="504"/>
      <c r="B829" s="505"/>
      <c r="C829" s="505"/>
      <c r="D829" s="505"/>
      <c r="E829" s="505"/>
    </row>
    <row r="830">
      <c r="A830" s="504"/>
      <c r="B830" s="505"/>
      <c r="C830" s="505"/>
      <c r="D830" s="505"/>
      <c r="E830" s="505"/>
    </row>
    <row r="831">
      <c r="A831" s="504"/>
      <c r="B831" s="505"/>
      <c r="C831" s="505"/>
      <c r="D831" s="505"/>
      <c r="E831" s="505"/>
    </row>
    <row r="832">
      <c r="A832" s="504"/>
      <c r="B832" s="505"/>
      <c r="C832" s="505"/>
      <c r="D832" s="505"/>
      <c r="E832" s="505"/>
    </row>
    <row r="833">
      <c r="A833" s="504"/>
      <c r="B833" s="505"/>
      <c r="C833" s="505"/>
      <c r="D833" s="505"/>
      <c r="E833" s="505"/>
    </row>
    <row r="834">
      <c r="A834" s="504"/>
      <c r="B834" s="505"/>
      <c r="C834" s="505"/>
      <c r="D834" s="505"/>
      <c r="E834" s="505"/>
    </row>
    <row r="835">
      <c r="A835" s="504"/>
      <c r="B835" s="505"/>
      <c r="C835" s="505"/>
      <c r="D835" s="505"/>
      <c r="E835" s="505"/>
    </row>
    <row r="836">
      <c r="A836" s="504"/>
      <c r="B836" s="505"/>
      <c r="C836" s="505"/>
      <c r="D836" s="505"/>
      <c r="E836" s="505"/>
    </row>
    <row r="837">
      <c r="A837" s="504"/>
      <c r="B837" s="505"/>
      <c r="C837" s="505"/>
      <c r="D837" s="505"/>
      <c r="E837" s="505"/>
    </row>
    <row r="838">
      <c r="A838" s="504"/>
      <c r="B838" s="505"/>
      <c r="C838" s="505"/>
      <c r="D838" s="505"/>
      <c r="E838" s="505"/>
    </row>
    <row r="839">
      <c r="A839" s="504"/>
      <c r="B839" s="505"/>
      <c r="C839" s="505"/>
      <c r="D839" s="505"/>
      <c r="E839" s="505"/>
    </row>
    <row r="840">
      <c r="A840" s="504"/>
      <c r="B840" s="505"/>
      <c r="C840" s="505"/>
      <c r="D840" s="505"/>
      <c r="E840" s="505"/>
    </row>
    <row r="841">
      <c r="A841" s="504"/>
      <c r="B841" s="505"/>
      <c r="C841" s="505"/>
      <c r="D841" s="505"/>
      <c r="E841" s="505"/>
    </row>
    <row r="842">
      <c r="A842" s="504"/>
      <c r="B842" s="505"/>
      <c r="C842" s="505"/>
      <c r="D842" s="505"/>
      <c r="E842" s="505"/>
    </row>
    <row r="843">
      <c r="A843" s="504"/>
      <c r="B843" s="505"/>
      <c r="C843" s="505"/>
      <c r="D843" s="505"/>
      <c r="E843" s="505"/>
    </row>
    <row r="844">
      <c r="A844" s="504"/>
      <c r="B844" s="505"/>
      <c r="C844" s="505"/>
      <c r="D844" s="505"/>
      <c r="E844" s="505"/>
    </row>
    <row r="845">
      <c r="A845" s="504"/>
      <c r="B845" s="505"/>
      <c r="C845" s="505"/>
      <c r="D845" s="505"/>
      <c r="E845" s="505"/>
    </row>
    <row r="846">
      <c r="A846" s="504"/>
      <c r="B846" s="505"/>
      <c r="C846" s="505"/>
      <c r="D846" s="505"/>
      <c r="E846" s="505"/>
    </row>
    <row r="847">
      <c r="A847" s="504"/>
      <c r="B847" s="505"/>
      <c r="C847" s="505"/>
      <c r="D847" s="505"/>
      <c r="E847" s="505"/>
    </row>
    <row r="848">
      <c r="A848" s="504"/>
      <c r="B848" s="505"/>
      <c r="C848" s="505"/>
      <c r="D848" s="505"/>
      <c r="E848" s="505"/>
    </row>
    <row r="849">
      <c r="A849" s="504"/>
      <c r="B849" s="505"/>
      <c r="C849" s="505"/>
      <c r="D849" s="505"/>
      <c r="E849" s="505"/>
    </row>
    <row r="850">
      <c r="A850" s="504"/>
      <c r="B850" s="505"/>
      <c r="C850" s="505"/>
      <c r="D850" s="505"/>
      <c r="E850" s="505"/>
    </row>
    <row r="851">
      <c r="A851" s="504"/>
      <c r="B851" s="505"/>
      <c r="C851" s="505"/>
      <c r="D851" s="505"/>
      <c r="E851" s="505"/>
    </row>
    <row r="852">
      <c r="A852" s="504"/>
      <c r="B852" s="505"/>
      <c r="C852" s="505"/>
      <c r="D852" s="505"/>
      <c r="E852" s="505"/>
    </row>
    <row r="853">
      <c r="A853" s="504"/>
      <c r="B853" s="505"/>
      <c r="C853" s="505"/>
      <c r="D853" s="505"/>
      <c r="E853" s="505"/>
    </row>
    <row r="854">
      <c r="A854" s="504"/>
      <c r="B854" s="505"/>
      <c r="C854" s="505"/>
      <c r="D854" s="505"/>
      <c r="E854" s="505"/>
    </row>
    <row r="855">
      <c r="A855" s="504"/>
      <c r="B855" s="505"/>
      <c r="C855" s="505"/>
      <c r="D855" s="505"/>
      <c r="E855" s="505"/>
    </row>
    <row r="856">
      <c r="A856" s="504"/>
      <c r="B856" s="505"/>
      <c r="C856" s="505"/>
      <c r="D856" s="505"/>
      <c r="E856" s="505"/>
    </row>
    <row r="857">
      <c r="A857" s="504"/>
      <c r="B857" s="505"/>
      <c r="C857" s="505"/>
      <c r="D857" s="505"/>
      <c r="E857" s="505"/>
    </row>
    <row r="858">
      <c r="A858" s="504"/>
      <c r="B858" s="505"/>
      <c r="C858" s="505"/>
      <c r="D858" s="505"/>
      <c r="E858" s="505"/>
    </row>
    <row r="859">
      <c r="A859" s="504"/>
      <c r="B859" s="505"/>
      <c r="C859" s="505"/>
      <c r="D859" s="505"/>
      <c r="E859" s="505"/>
    </row>
    <row r="860">
      <c r="A860" s="504"/>
      <c r="B860" s="505"/>
      <c r="C860" s="505"/>
      <c r="D860" s="505"/>
      <c r="E860" s="505"/>
    </row>
    <row r="861">
      <c r="A861" s="504"/>
      <c r="B861" s="505"/>
      <c r="C861" s="505"/>
      <c r="D861" s="505"/>
      <c r="E861" s="505"/>
    </row>
    <row r="862">
      <c r="A862" s="504"/>
      <c r="B862" s="505"/>
      <c r="C862" s="505"/>
      <c r="D862" s="505"/>
      <c r="E862" s="505"/>
    </row>
    <row r="863">
      <c r="A863" s="504"/>
      <c r="B863" s="505"/>
      <c r="C863" s="505"/>
      <c r="D863" s="505"/>
      <c r="E863" s="505"/>
    </row>
    <row r="864">
      <c r="A864" s="504"/>
      <c r="B864" s="505"/>
      <c r="C864" s="505"/>
      <c r="D864" s="505"/>
      <c r="E864" s="505"/>
    </row>
    <row r="865">
      <c r="A865" s="504"/>
      <c r="B865" s="505"/>
      <c r="C865" s="505"/>
      <c r="D865" s="505"/>
      <c r="E865" s="505"/>
    </row>
    <row r="866">
      <c r="A866" s="504"/>
      <c r="B866" s="505"/>
      <c r="C866" s="505"/>
      <c r="D866" s="505"/>
      <c r="E866" s="505"/>
    </row>
    <row r="867">
      <c r="A867" s="504"/>
      <c r="B867" s="505"/>
      <c r="C867" s="505"/>
      <c r="D867" s="505"/>
      <c r="E867" s="505"/>
    </row>
    <row r="868">
      <c r="A868" s="504"/>
      <c r="B868" s="505"/>
      <c r="C868" s="505"/>
      <c r="D868" s="505"/>
      <c r="E868" s="505"/>
    </row>
    <row r="869">
      <c r="A869" s="504"/>
      <c r="B869" s="505"/>
      <c r="C869" s="505"/>
      <c r="D869" s="505"/>
      <c r="E869" s="505"/>
    </row>
    <row r="870">
      <c r="A870" s="504"/>
      <c r="B870" s="505"/>
      <c r="C870" s="505"/>
      <c r="D870" s="505"/>
      <c r="E870" s="505"/>
    </row>
    <row r="871">
      <c r="A871" s="504"/>
      <c r="B871" s="505"/>
      <c r="C871" s="505"/>
      <c r="D871" s="505"/>
      <c r="E871" s="505"/>
    </row>
    <row r="872">
      <c r="A872" s="504"/>
      <c r="B872" s="505"/>
      <c r="C872" s="505"/>
      <c r="D872" s="505"/>
      <c r="E872" s="505"/>
    </row>
    <row r="873">
      <c r="A873" s="504"/>
      <c r="B873" s="505"/>
      <c r="C873" s="505"/>
      <c r="D873" s="505"/>
      <c r="E873" s="505"/>
    </row>
    <row r="874">
      <c r="A874" s="504"/>
      <c r="B874" s="505"/>
      <c r="C874" s="505"/>
      <c r="D874" s="505"/>
      <c r="E874" s="505"/>
    </row>
    <row r="875">
      <c r="A875" s="504"/>
      <c r="B875" s="505"/>
      <c r="C875" s="505"/>
      <c r="D875" s="505"/>
      <c r="E875" s="505"/>
    </row>
    <row r="876">
      <c r="A876" s="504"/>
      <c r="B876" s="505"/>
      <c r="C876" s="505"/>
      <c r="D876" s="505"/>
      <c r="E876" s="505"/>
    </row>
    <row r="877">
      <c r="A877" s="504"/>
      <c r="B877" s="505"/>
      <c r="C877" s="505"/>
      <c r="D877" s="505"/>
      <c r="E877" s="505"/>
    </row>
    <row r="878">
      <c r="A878" s="504"/>
      <c r="B878" s="505"/>
      <c r="C878" s="505"/>
      <c r="D878" s="505"/>
      <c r="E878" s="505"/>
    </row>
    <row r="879">
      <c r="A879" s="504"/>
      <c r="B879" s="505"/>
      <c r="C879" s="505"/>
      <c r="D879" s="505"/>
      <c r="E879" s="505"/>
    </row>
    <row r="880">
      <c r="A880" s="504"/>
      <c r="B880" s="505"/>
      <c r="C880" s="505"/>
      <c r="D880" s="505"/>
      <c r="E880" s="505"/>
    </row>
    <row r="881">
      <c r="A881" s="504"/>
      <c r="B881" s="505"/>
      <c r="C881" s="505"/>
      <c r="D881" s="505"/>
      <c r="E881" s="505"/>
    </row>
    <row r="882">
      <c r="A882" s="504"/>
      <c r="B882" s="505"/>
      <c r="C882" s="505"/>
      <c r="D882" s="505"/>
      <c r="E882" s="505"/>
    </row>
    <row r="883">
      <c r="A883" s="504"/>
      <c r="B883" s="505"/>
      <c r="C883" s="505"/>
      <c r="D883" s="505"/>
      <c r="E883" s="505"/>
    </row>
    <row r="884">
      <c r="A884" s="504"/>
      <c r="B884" s="505"/>
      <c r="C884" s="505"/>
      <c r="D884" s="505"/>
      <c r="E884" s="505"/>
    </row>
    <row r="885">
      <c r="A885" s="504"/>
      <c r="B885" s="505"/>
      <c r="C885" s="505"/>
      <c r="D885" s="505"/>
      <c r="E885" s="505"/>
    </row>
    <row r="886">
      <c r="A886" s="504"/>
      <c r="B886" s="505"/>
      <c r="C886" s="505"/>
      <c r="D886" s="505"/>
      <c r="E886" s="505"/>
    </row>
    <row r="887">
      <c r="A887" s="504"/>
      <c r="B887" s="505"/>
      <c r="C887" s="505"/>
      <c r="D887" s="505"/>
      <c r="E887" s="505"/>
    </row>
    <row r="888">
      <c r="A888" s="504"/>
      <c r="B888" s="505"/>
      <c r="C888" s="505"/>
      <c r="D888" s="505"/>
      <c r="E888" s="505"/>
    </row>
    <row r="889">
      <c r="A889" s="504"/>
      <c r="B889" s="505"/>
      <c r="C889" s="505"/>
      <c r="D889" s="505"/>
      <c r="E889" s="505"/>
    </row>
    <row r="890">
      <c r="A890" s="504"/>
      <c r="B890" s="505"/>
      <c r="C890" s="505"/>
      <c r="D890" s="505"/>
      <c r="E890" s="505"/>
    </row>
    <row r="891">
      <c r="A891" s="504"/>
      <c r="B891" s="505"/>
      <c r="C891" s="505"/>
      <c r="D891" s="505"/>
      <c r="E891" s="505"/>
    </row>
    <row r="892">
      <c r="A892" s="504"/>
      <c r="B892" s="505"/>
      <c r="C892" s="505"/>
      <c r="D892" s="505"/>
      <c r="E892" s="505"/>
    </row>
    <row r="893">
      <c r="A893" s="504"/>
      <c r="B893" s="505"/>
      <c r="C893" s="505"/>
      <c r="D893" s="505"/>
      <c r="E893" s="505"/>
    </row>
    <row r="894">
      <c r="A894" s="504"/>
      <c r="B894" s="505"/>
      <c r="C894" s="505"/>
      <c r="D894" s="505"/>
      <c r="E894" s="505"/>
    </row>
    <row r="895">
      <c r="A895" s="504"/>
      <c r="B895" s="505"/>
      <c r="C895" s="505"/>
      <c r="D895" s="505"/>
      <c r="E895" s="505"/>
    </row>
    <row r="896">
      <c r="A896" s="504"/>
      <c r="B896" s="505"/>
      <c r="C896" s="505"/>
      <c r="D896" s="505"/>
      <c r="E896" s="505"/>
    </row>
    <row r="897">
      <c r="A897" s="504"/>
      <c r="B897" s="505"/>
      <c r="C897" s="505"/>
      <c r="D897" s="505"/>
      <c r="E897" s="505"/>
    </row>
    <row r="898">
      <c r="A898" s="504"/>
      <c r="B898" s="505"/>
      <c r="C898" s="505"/>
      <c r="D898" s="505"/>
      <c r="E898" s="505"/>
    </row>
    <row r="899">
      <c r="A899" s="504"/>
      <c r="B899" s="505"/>
      <c r="C899" s="505"/>
      <c r="D899" s="505"/>
      <c r="E899" s="505"/>
    </row>
    <row r="900">
      <c r="A900" s="504"/>
      <c r="B900" s="505"/>
      <c r="C900" s="505"/>
      <c r="D900" s="505"/>
      <c r="E900" s="505"/>
    </row>
    <row r="901">
      <c r="A901" s="504"/>
      <c r="B901" s="505"/>
      <c r="C901" s="505"/>
      <c r="D901" s="505"/>
      <c r="E901" s="505"/>
    </row>
    <row r="902">
      <c r="A902" s="504"/>
      <c r="B902" s="505"/>
      <c r="C902" s="505"/>
      <c r="D902" s="505"/>
      <c r="E902" s="505"/>
    </row>
    <row r="903">
      <c r="A903" s="504"/>
      <c r="B903" s="505"/>
      <c r="C903" s="505"/>
      <c r="D903" s="505"/>
      <c r="E903" s="505"/>
    </row>
    <row r="904">
      <c r="A904" s="504"/>
      <c r="B904" s="505"/>
      <c r="C904" s="505"/>
      <c r="D904" s="505"/>
      <c r="E904" s="505"/>
    </row>
    <row r="905">
      <c r="A905" s="504"/>
      <c r="B905" s="505"/>
      <c r="C905" s="505"/>
      <c r="D905" s="505"/>
      <c r="E905" s="505"/>
    </row>
    <row r="906">
      <c r="A906" s="504"/>
      <c r="B906" s="505"/>
      <c r="C906" s="505"/>
      <c r="D906" s="505"/>
      <c r="E906" s="505"/>
    </row>
    <row r="907">
      <c r="A907" s="504"/>
      <c r="B907" s="505"/>
      <c r="C907" s="505"/>
      <c r="D907" s="505"/>
      <c r="E907" s="505"/>
    </row>
    <row r="908">
      <c r="A908" s="504"/>
      <c r="B908" s="505"/>
      <c r="C908" s="505"/>
      <c r="D908" s="505"/>
      <c r="E908" s="505"/>
    </row>
    <row r="909">
      <c r="A909" s="504"/>
      <c r="B909" s="505"/>
      <c r="C909" s="505"/>
      <c r="D909" s="505"/>
      <c r="E909" s="505"/>
    </row>
    <row r="910">
      <c r="A910" s="504"/>
      <c r="B910" s="505"/>
      <c r="C910" s="505"/>
      <c r="D910" s="505"/>
      <c r="E910" s="505"/>
    </row>
    <row r="911">
      <c r="A911" s="504"/>
      <c r="B911" s="505"/>
      <c r="C911" s="505"/>
      <c r="D911" s="505"/>
      <c r="E911" s="505"/>
    </row>
    <row r="912">
      <c r="A912" s="504"/>
      <c r="B912" s="505"/>
      <c r="C912" s="505"/>
      <c r="D912" s="505"/>
      <c r="E912" s="505"/>
    </row>
    <row r="913">
      <c r="A913" s="504"/>
      <c r="B913" s="505"/>
      <c r="C913" s="505"/>
      <c r="D913" s="505"/>
      <c r="E913" s="505"/>
    </row>
    <row r="914">
      <c r="A914" s="504"/>
      <c r="B914" s="505"/>
      <c r="C914" s="505"/>
      <c r="D914" s="505"/>
      <c r="E914" s="505"/>
    </row>
    <row r="915">
      <c r="A915" s="504"/>
      <c r="B915" s="505"/>
      <c r="C915" s="505"/>
      <c r="D915" s="505"/>
      <c r="E915" s="505"/>
    </row>
    <row r="916">
      <c r="A916" s="504"/>
      <c r="B916" s="505"/>
      <c r="C916" s="505"/>
      <c r="D916" s="505"/>
      <c r="E916" s="505"/>
    </row>
    <row r="917">
      <c r="A917" s="504"/>
      <c r="B917" s="505"/>
      <c r="C917" s="505"/>
      <c r="D917" s="505"/>
      <c r="E917" s="505"/>
    </row>
    <row r="918">
      <c r="A918" s="504"/>
      <c r="B918" s="505"/>
      <c r="C918" s="505"/>
      <c r="D918" s="505"/>
      <c r="E918" s="505"/>
    </row>
    <row r="919">
      <c r="A919" s="504"/>
      <c r="B919" s="505"/>
      <c r="C919" s="505"/>
      <c r="D919" s="505"/>
      <c r="E919" s="505"/>
    </row>
    <row r="920">
      <c r="A920" s="504"/>
      <c r="B920" s="505"/>
      <c r="C920" s="505"/>
      <c r="D920" s="505"/>
      <c r="E920" s="505"/>
    </row>
    <row r="921">
      <c r="A921" s="504"/>
      <c r="B921" s="505"/>
      <c r="C921" s="505"/>
      <c r="D921" s="505"/>
      <c r="E921" s="505"/>
    </row>
    <row r="922">
      <c r="A922" s="504"/>
      <c r="B922" s="505"/>
      <c r="C922" s="505"/>
      <c r="D922" s="505"/>
      <c r="E922" s="505"/>
    </row>
    <row r="923">
      <c r="A923" s="504"/>
      <c r="B923" s="505"/>
      <c r="C923" s="505"/>
      <c r="D923" s="505"/>
      <c r="E923" s="505"/>
    </row>
    <row r="924">
      <c r="A924" s="504"/>
      <c r="B924" s="505"/>
      <c r="C924" s="505"/>
      <c r="D924" s="505"/>
      <c r="E924" s="505"/>
    </row>
    <row r="925">
      <c r="A925" s="504"/>
      <c r="B925" s="505"/>
      <c r="C925" s="505"/>
      <c r="D925" s="505"/>
      <c r="E925" s="505"/>
    </row>
    <row r="926">
      <c r="A926" s="504"/>
      <c r="B926" s="505"/>
      <c r="C926" s="505"/>
      <c r="D926" s="505"/>
      <c r="E926" s="505"/>
    </row>
    <row r="927">
      <c r="A927" s="504"/>
      <c r="B927" s="505"/>
      <c r="C927" s="505"/>
      <c r="D927" s="505"/>
      <c r="E927" s="505"/>
    </row>
    <row r="928">
      <c r="A928" s="504"/>
      <c r="B928" s="505"/>
      <c r="C928" s="505"/>
      <c r="D928" s="505"/>
      <c r="E928" s="505"/>
    </row>
    <row r="929">
      <c r="A929" s="504"/>
      <c r="B929" s="505"/>
      <c r="C929" s="505"/>
      <c r="D929" s="505"/>
      <c r="E929" s="505"/>
    </row>
    <row r="930">
      <c r="A930" s="504"/>
      <c r="B930" s="505"/>
      <c r="C930" s="505"/>
      <c r="D930" s="505"/>
      <c r="E930" s="505"/>
    </row>
    <row r="931">
      <c r="A931" s="504"/>
      <c r="B931" s="505"/>
      <c r="C931" s="505"/>
      <c r="D931" s="505"/>
      <c r="E931" s="505"/>
    </row>
    <row r="932">
      <c r="A932" s="504"/>
      <c r="B932" s="505"/>
      <c r="C932" s="505"/>
      <c r="D932" s="505"/>
      <c r="E932" s="505"/>
    </row>
    <row r="933">
      <c r="A933" s="504"/>
      <c r="B933" s="505"/>
      <c r="C933" s="505"/>
      <c r="D933" s="505"/>
      <c r="E933" s="505"/>
    </row>
    <row r="934">
      <c r="A934" s="504"/>
      <c r="B934" s="505"/>
      <c r="C934" s="505"/>
      <c r="D934" s="505"/>
      <c r="E934" s="505"/>
    </row>
    <row r="935">
      <c r="A935" s="504"/>
      <c r="B935" s="505"/>
      <c r="C935" s="505"/>
      <c r="D935" s="505"/>
      <c r="E935" s="505"/>
    </row>
    <row r="936">
      <c r="A936" s="504"/>
      <c r="B936" s="505"/>
      <c r="C936" s="505"/>
      <c r="D936" s="505"/>
      <c r="E936" s="505"/>
    </row>
    <row r="937">
      <c r="A937" s="504"/>
      <c r="B937" s="505"/>
      <c r="C937" s="505"/>
      <c r="D937" s="505"/>
      <c r="E937" s="505"/>
    </row>
    <row r="938">
      <c r="A938" s="504"/>
      <c r="B938" s="505"/>
      <c r="C938" s="505"/>
      <c r="D938" s="505"/>
      <c r="E938" s="505"/>
    </row>
    <row r="939">
      <c r="A939" s="504"/>
      <c r="B939" s="505"/>
      <c r="C939" s="505"/>
      <c r="D939" s="505"/>
      <c r="E939" s="505"/>
    </row>
    <row r="940">
      <c r="A940" s="504"/>
      <c r="B940" s="505"/>
      <c r="C940" s="505"/>
      <c r="D940" s="505"/>
      <c r="E940" s="505"/>
    </row>
    <row r="941">
      <c r="A941" s="504"/>
      <c r="B941" s="505"/>
      <c r="C941" s="505"/>
      <c r="D941" s="505"/>
      <c r="E941" s="505"/>
    </row>
    <row r="942">
      <c r="A942" s="504"/>
      <c r="B942" s="505"/>
      <c r="C942" s="505"/>
      <c r="D942" s="505"/>
      <c r="E942" s="505"/>
    </row>
    <row r="943">
      <c r="A943" s="504"/>
      <c r="B943" s="505"/>
      <c r="C943" s="505"/>
      <c r="D943" s="505"/>
      <c r="E943" s="505"/>
    </row>
    <row r="944">
      <c r="A944" s="504"/>
      <c r="B944" s="505"/>
      <c r="C944" s="505"/>
      <c r="D944" s="505"/>
      <c r="E944" s="505"/>
    </row>
    <row r="945">
      <c r="A945" s="504"/>
      <c r="B945" s="505"/>
      <c r="C945" s="505"/>
      <c r="D945" s="505"/>
      <c r="E945" s="505"/>
    </row>
    <row r="946">
      <c r="A946" s="504"/>
      <c r="B946" s="505"/>
      <c r="C946" s="505"/>
      <c r="D946" s="505"/>
      <c r="E946" s="505"/>
    </row>
    <row r="947">
      <c r="A947" s="504"/>
      <c r="B947" s="505"/>
      <c r="C947" s="505"/>
      <c r="D947" s="505"/>
      <c r="E947" s="505"/>
    </row>
    <row r="948">
      <c r="A948" s="504"/>
      <c r="B948" s="505"/>
      <c r="C948" s="505"/>
      <c r="D948" s="505"/>
      <c r="E948" s="505"/>
    </row>
    <row r="949">
      <c r="A949" s="504"/>
      <c r="B949" s="505"/>
      <c r="C949" s="505"/>
      <c r="D949" s="505"/>
      <c r="E949" s="505"/>
    </row>
    <row r="950">
      <c r="A950" s="504"/>
      <c r="B950" s="505"/>
      <c r="C950" s="505"/>
      <c r="D950" s="505"/>
      <c r="E950" s="505"/>
    </row>
    <row r="951">
      <c r="A951" s="504"/>
      <c r="B951" s="505"/>
      <c r="C951" s="505"/>
      <c r="D951" s="505"/>
      <c r="E951" s="505"/>
    </row>
    <row r="952">
      <c r="A952" s="504"/>
      <c r="B952" s="505"/>
      <c r="C952" s="505"/>
      <c r="D952" s="505"/>
      <c r="E952" s="505"/>
    </row>
    <row r="953">
      <c r="A953" s="504"/>
      <c r="B953" s="505"/>
      <c r="C953" s="505"/>
      <c r="D953" s="505"/>
      <c r="E953" s="505"/>
    </row>
    <row r="954">
      <c r="A954" s="504"/>
      <c r="B954" s="505"/>
      <c r="C954" s="505"/>
      <c r="D954" s="505"/>
      <c r="E954" s="505"/>
    </row>
    <row r="955">
      <c r="A955" s="504"/>
      <c r="B955" s="505"/>
      <c r="C955" s="505"/>
      <c r="D955" s="505"/>
      <c r="E955" s="505"/>
    </row>
    <row r="956">
      <c r="A956" s="504"/>
      <c r="B956" s="505"/>
      <c r="C956" s="505"/>
      <c r="D956" s="505"/>
      <c r="E956" s="505"/>
    </row>
    <row r="957">
      <c r="A957" s="504"/>
      <c r="B957" s="505"/>
      <c r="C957" s="505"/>
      <c r="D957" s="505"/>
      <c r="E957" s="505"/>
    </row>
    <row r="958">
      <c r="A958" s="504"/>
      <c r="B958" s="505"/>
      <c r="C958" s="505"/>
      <c r="D958" s="505"/>
      <c r="E958" s="505"/>
    </row>
    <row r="959">
      <c r="A959" s="504"/>
      <c r="B959" s="505"/>
      <c r="C959" s="505"/>
      <c r="D959" s="505"/>
      <c r="E959" s="505"/>
    </row>
    <row r="960">
      <c r="A960" s="504"/>
      <c r="B960" s="505"/>
      <c r="C960" s="505"/>
      <c r="D960" s="505"/>
      <c r="E960" s="505"/>
    </row>
    <row r="961">
      <c r="A961" s="504"/>
      <c r="B961" s="505"/>
      <c r="C961" s="505"/>
      <c r="D961" s="505"/>
      <c r="E961" s="505"/>
    </row>
    <row r="962">
      <c r="A962" s="504"/>
      <c r="B962" s="505"/>
      <c r="C962" s="505"/>
      <c r="D962" s="505"/>
      <c r="E962" s="505"/>
    </row>
    <row r="963">
      <c r="A963" s="504"/>
      <c r="B963" s="505"/>
      <c r="C963" s="505"/>
      <c r="D963" s="505"/>
      <c r="E963" s="505"/>
    </row>
    <row r="964">
      <c r="A964" s="504"/>
      <c r="B964" s="505"/>
      <c r="C964" s="505"/>
      <c r="D964" s="505"/>
      <c r="E964" s="505"/>
    </row>
    <row r="965">
      <c r="A965" s="504"/>
      <c r="B965" s="505"/>
      <c r="C965" s="505"/>
      <c r="D965" s="505"/>
      <c r="E965" s="505"/>
    </row>
    <row r="966">
      <c r="A966" s="504"/>
      <c r="B966" s="505"/>
      <c r="C966" s="505"/>
      <c r="D966" s="505"/>
      <c r="E966" s="505"/>
    </row>
    <row r="967">
      <c r="A967" s="504"/>
      <c r="B967" s="505"/>
      <c r="C967" s="505"/>
      <c r="D967" s="505"/>
      <c r="E967" s="505"/>
    </row>
    <row r="968">
      <c r="A968" s="504"/>
      <c r="B968" s="505"/>
      <c r="C968" s="505"/>
      <c r="D968" s="505"/>
      <c r="E968" s="505"/>
    </row>
    <row r="969">
      <c r="A969" s="504"/>
      <c r="B969" s="505"/>
      <c r="C969" s="505"/>
      <c r="D969" s="505"/>
      <c r="E969" s="505"/>
    </row>
    <row r="970">
      <c r="A970" s="504"/>
      <c r="B970" s="505"/>
      <c r="C970" s="505"/>
      <c r="D970" s="505"/>
      <c r="E970" s="505"/>
    </row>
    <row r="971">
      <c r="A971" s="504"/>
      <c r="B971" s="505"/>
      <c r="C971" s="505"/>
      <c r="D971" s="505"/>
      <c r="E971" s="505"/>
    </row>
    <row r="972">
      <c r="A972" s="504"/>
      <c r="B972" s="505"/>
      <c r="C972" s="505"/>
      <c r="D972" s="505"/>
      <c r="E972" s="505"/>
    </row>
    <row r="973">
      <c r="A973" s="504"/>
      <c r="B973" s="505"/>
      <c r="C973" s="505"/>
      <c r="D973" s="505"/>
      <c r="E973" s="505"/>
    </row>
    <row r="974">
      <c r="A974" s="504"/>
      <c r="B974" s="505"/>
      <c r="C974" s="505"/>
      <c r="D974" s="505"/>
      <c r="E974" s="505"/>
    </row>
    <row r="975">
      <c r="A975" s="504"/>
      <c r="B975" s="505"/>
      <c r="C975" s="505"/>
      <c r="D975" s="505"/>
      <c r="E975" s="505"/>
    </row>
    <row r="976">
      <c r="A976" s="504"/>
      <c r="B976" s="505"/>
      <c r="C976" s="505"/>
      <c r="D976" s="505"/>
      <c r="E976" s="505"/>
    </row>
    <row r="977">
      <c r="A977" s="504"/>
      <c r="B977" s="505"/>
      <c r="C977" s="505"/>
      <c r="D977" s="505"/>
      <c r="E977" s="505"/>
    </row>
    <row r="978">
      <c r="A978" s="504"/>
      <c r="B978" s="505"/>
      <c r="C978" s="505"/>
      <c r="D978" s="505"/>
      <c r="E978" s="505"/>
    </row>
    <row r="979">
      <c r="A979" s="504"/>
      <c r="B979" s="505"/>
      <c r="C979" s="505"/>
      <c r="D979" s="505"/>
      <c r="E979" s="505"/>
    </row>
    <row r="980">
      <c r="A980" s="504"/>
      <c r="B980" s="505"/>
      <c r="C980" s="505"/>
      <c r="D980" s="505"/>
      <c r="E980" s="505"/>
    </row>
    <row r="981">
      <c r="A981" s="504"/>
      <c r="B981" s="505"/>
      <c r="C981" s="505"/>
      <c r="D981" s="505"/>
      <c r="E981" s="505"/>
    </row>
    <row r="982">
      <c r="A982" s="504"/>
      <c r="B982" s="505"/>
      <c r="C982" s="505"/>
      <c r="D982" s="505"/>
      <c r="E982" s="505"/>
    </row>
    <row r="983">
      <c r="A983" s="504"/>
      <c r="B983" s="505"/>
      <c r="C983" s="505"/>
      <c r="D983" s="505"/>
      <c r="E983" s="505"/>
    </row>
    <row r="984">
      <c r="A984" s="504"/>
      <c r="B984" s="505"/>
      <c r="C984" s="505"/>
      <c r="D984" s="505"/>
      <c r="E984" s="505"/>
    </row>
    <row r="985">
      <c r="A985" s="504"/>
      <c r="B985" s="505"/>
      <c r="C985" s="505"/>
      <c r="D985" s="505"/>
      <c r="E985" s="505"/>
    </row>
    <row r="986">
      <c r="A986" s="504"/>
      <c r="B986" s="505"/>
      <c r="C986" s="505"/>
      <c r="D986" s="505"/>
      <c r="E986" s="505"/>
    </row>
    <row r="987">
      <c r="A987" s="504"/>
      <c r="B987" s="505"/>
      <c r="C987" s="505"/>
      <c r="D987" s="505"/>
      <c r="E987" s="505"/>
    </row>
    <row r="988">
      <c r="A988" s="504"/>
      <c r="B988" s="505"/>
      <c r="C988" s="505"/>
      <c r="D988" s="505"/>
      <c r="E988" s="505"/>
    </row>
    <row r="989">
      <c r="A989" s="504"/>
      <c r="B989" s="505"/>
      <c r="C989" s="505"/>
      <c r="D989" s="505"/>
      <c r="E989" s="505"/>
    </row>
    <row r="990">
      <c r="A990" s="504"/>
      <c r="B990" s="505"/>
      <c r="C990" s="505"/>
      <c r="D990" s="505"/>
      <c r="E990" s="505"/>
    </row>
    <row r="991">
      <c r="A991" s="504"/>
      <c r="B991" s="505"/>
      <c r="C991" s="505"/>
      <c r="D991" s="505"/>
      <c r="E991" s="505"/>
    </row>
    <row r="992">
      <c r="A992" s="504"/>
      <c r="B992" s="505"/>
      <c r="C992" s="505"/>
      <c r="D992" s="505"/>
      <c r="E992" s="505"/>
    </row>
    <row r="993">
      <c r="A993" s="504"/>
      <c r="B993" s="505"/>
      <c r="C993" s="505"/>
      <c r="D993" s="505"/>
      <c r="E993" s="505"/>
    </row>
    <row r="994">
      <c r="A994" s="504"/>
      <c r="B994" s="505"/>
      <c r="C994" s="505"/>
      <c r="D994" s="505"/>
      <c r="E994" s="505"/>
    </row>
    <row r="995">
      <c r="A995" s="504"/>
      <c r="B995" s="505"/>
      <c r="C995" s="505"/>
      <c r="D995" s="505"/>
      <c r="E995" s="505"/>
    </row>
    <row r="996">
      <c r="A996" s="504"/>
      <c r="B996" s="505"/>
      <c r="C996" s="505"/>
      <c r="D996" s="505"/>
      <c r="E996" s="505"/>
    </row>
    <row r="997">
      <c r="A997" s="504"/>
      <c r="B997" s="505"/>
      <c r="C997" s="505"/>
      <c r="D997" s="505"/>
      <c r="E997" s="505"/>
    </row>
    <row r="998">
      <c r="A998" s="504"/>
      <c r="B998" s="505"/>
      <c r="C998" s="505"/>
      <c r="D998" s="505"/>
      <c r="E998" s="505"/>
    </row>
    <row r="999">
      <c r="A999" s="504"/>
      <c r="B999" s="505"/>
      <c r="C999" s="505"/>
      <c r="D999" s="505"/>
      <c r="E999" s="505"/>
    </row>
    <row r="1000">
      <c r="A1000" s="504"/>
      <c r="B1000" s="505"/>
      <c r="C1000" s="505"/>
      <c r="D1000" s="505"/>
      <c r="E1000" s="505"/>
    </row>
    <row r="1001">
      <c r="A1001" s="504"/>
      <c r="B1001" s="505"/>
      <c r="C1001" s="505"/>
      <c r="D1001" s="505"/>
      <c r="E1001" s="505"/>
    </row>
    <row r="1002">
      <c r="A1002" s="504"/>
      <c r="B1002" s="505"/>
      <c r="C1002" s="505"/>
      <c r="D1002" s="505"/>
      <c r="E1002" s="505"/>
    </row>
    <row r="1003">
      <c r="A1003" s="504"/>
      <c r="B1003" s="505"/>
      <c r="C1003" s="505"/>
      <c r="D1003" s="505"/>
      <c r="E1003" s="505"/>
    </row>
    <row r="1004">
      <c r="A1004" s="504"/>
      <c r="B1004" s="505"/>
      <c r="C1004" s="505"/>
      <c r="D1004" s="505"/>
      <c r="E1004" s="505"/>
    </row>
    <row r="1005">
      <c r="A1005" s="504"/>
      <c r="B1005" s="505"/>
      <c r="C1005" s="505"/>
      <c r="D1005" s="505"/>
      <c r="E1005" s="505"/>
    </row>
    <row r="1006">
      <c r="A1006" s="504"/>
      <c r="B1006" s="505"/>
      <c r="C1006" s="505"/>
      <c r="D1006" s="505"/>
      <c r="E1006" s="505"/>
    </row>
    <row r="1007">
      <c r="A1007" s="504"/>
      <c r="B1007" s="505"/>
      <c r="C1007" s="505"/>
      <c r="D1007" s="505"/>
      <c r="E1007" s="505"/>
    </row>
    <row r="1008">
      <c r="A1008" s="504"/>
      <c r="B1008" s="505"/>
      <c r="C1008" s="505"/>
      <c r="D1008" s="505"/>
      <c r="E1008" s="505"/>
    </row>
    <row r="1009">
      <c r="A1009" s="504"/>
      <c r="B1009" s="505"/>
      <c r="C1009" s="505"/>
      <c r="D1009" s="505"/>
      <c r="E1009" s="505"/>
    </row>
    <row r="1010">
      <c r="A1010" s="504"/>
      <c r="B1010" s="505"/>
      <c r="C1010" s="505"/>
      <c r="D1010" s="505"/>
      <c r="E1010" s="505"/>
    </row>
    <row r="1011">
      <c r="A1011" s="504"/>
      <c r="B1011" s="505"/>
      <c r="C1011" s="505"/>
      <c r="D1011" s="505"/>
      <c r="E1011" s="505"/>
    </row>
    <row r="1012">
      <c r="A1012" s="504"/>
      <c r="B1012" s="505"/>
      <c r="C1012" s="505"/>
      <c r="D1012" s="505"/>
      <c r="E1012" s="505"/>
    </row>
    <row r="1013">
      <c r="A1013" s="504"/>
      <c r="B1013" s="505"/>
      <c r="C1013" s="505"/>
      <c r="D1013" s="505"/>
      <c r="E1013" s="505"/>
    </row>
    <row r="1014">
      <c r="A1014" s="504"/>
      <c r="B1014" s="505"/>
      <c r="C1014" s="505"/>
      <c r="D1014" s="505"/>
      <c r="E1014" s="505"/>
    </row>
    <row r="1015">
      <c r="A1015" s="504"/>
      <c r="B1015" s="505"/>
      <c r="C1015" s="505"/>
      <c r="D1015" s="505"/>
      <c r="E1015" s="505"/>
    </row>
    <row r="1016">
      <c r="A1016" s="504"/>
      <c r="B1016" s="505"/>
      <c r="C1016" s="505"/>
      <c r="D1016" s="505"/>
      <c r="E1016" s="505"/>
    </row>
    <row r="1017">
      <c r="A1017" s="504"/>
      <c r="B1017" s="505"/>
      <c r="C1017" s="505"/>
      <c r="D1017" s="505"/>
      <c r="E1017" s="505"/>
    </row>
    <row r="1018">
      <c r="A1018" s="504"/>
      <c r="B1018" s="505"/>
      <c r="C1018" s="505"/>
      <c r="D1018" s="505"/>
      <c r="E1018" s="505"/>
    </row>
    <row r="1019">
      <c r="A1019" s="504"/>
      <c r="B1019" s="505"/>
      <c r="C1019" s="505"/>
      <c r="D1019" s="505"/>
      <c r="E1019" s="505"/>
    </row>
    <row r="1020">
      <c r="A1020" s="504"/>
      <c r="B1020" s="505"/>
      <c r="C1020" s="505"/>
      <c r="D1020" s="505"/>
      <c r="E1020" s="505"/>
    </row>
    <row r="1021">
      <c r="A1021" s="504"/>
      <c r="B1021" s="505"/>
      <c r="C1021" s="505"/>
      <c r="D1021" s="505"/>
      <c r="E1021" s="505"/>
    </row>
    <row r="1022">
      <c r="A1022" s="504"/>
      <c r="B1022" s="505"/>
      <c r="C1022" s="505"/>
      <c r="D1022" s="505"/>
      <c r="E1022" s="505"/>
    </row>
    <row r="1023">
      <c r="A1023" s="504"/>
      <c r="B1023" s="505"/>
      <c r="C1023" s="505"/>
      <c r="D1023" s="505"/>
      <c r="E1023" s="505"/>
    </row>
    <row r="1024">
      <c r="A1024" s="504"/>
      <c r="B1024" s="505"/>
      <c r="C1024" s="505"/>
      <c r="D1024" s="505"/>
      <c r="E1024" s="505"/>
    </row>
    <row r="1025">
      <c r="A1025" s="504"/>
      <c r="B1025" s="505"/>
      <c r="C1025" s="505"/>
      <c r="D1025" s="505"/>
      <c r="E1025" s="505"/>
    </row>
    <row r="1026">
      <c r="A1026" s="504"/>
      <c r="B1026" s="505"/>
      <c r="C1026" s="505"/>
      <c r="D1026" s="505"/>
      <c r="E1026" s="505"/>
    </row>
    <row r="1027">
      <c r="A1027" s="504"/>
      <c r="B1027" s="505"/>
      <c r="C1027" s="505"/>
      <c r="D1027" s="505"/>
      <c r="E1027" s="505"/>
    </row>
    <row r="1028">
      <c r="A1028" s="504"/>
      <c r="B1028" s="505"/>
      <c r="C1028" s="505"/>
      <c r="D1028" s="505"/>
      <c r="E1028" s="505"/>
    </row>
    <row r="1029">
      <c r="A1029" s="504"/>
      <c r="B1029" s="505"/>
      <c r="C1029" s="505"/>
      <c r="D1029" s="505"/>
      <c r="E1029" s="505"/>
    </row>
    <row r="1030">
      <c r="A1030" s="504"/>
      <c r="B1030" s="505"/>
      <c r="C1030" s="505"/>
      <c r="D1030" s="505"/>
      <c r="E1030" s="505"/>
    </row>
    <row r="1031">
      <c r="A1031" s="504"/>
      <c r="B1031" s="505"/>
      <c r="C1031" s="505"/>
      <c r="D1031" s="505"/>
      <c r="E1031" s="505"/>
    </row>
    <row r="1032">
      <c r="A1032" s="504"/>
      <c r="B1032" s="505"/>
      <c r="C1032" s="505"/>
      <c r="D1032" s="505"/>
      <c r="E1032" s="505"/>
    </row>
    <row r="1033">
      <c r="A1033" s="504"/>
      <c r="B1033" s="505"/>
      <c r="C1033" s="505"/>
      <c r="D1033" s="505"/>
      <c r="E1033" s="505"/>
    </row>
    <row r="1034">
      <c r="A1034" s="504"/>
      <c r="B1034" s="505"/>
      <c r="C1034" s="505"/>
      <c r="D1034" s="505"/>
      <c r="E1034" s="505"/>
    </row>
    <row r="1035">
      <c r="A1035" s="504"/>
      <c r="B1035" s="505"/>
      <c r="C1035" s="505"/>
      <c r="D1035" s="505"/>
      <c r="E1035" s="505"/>
    </row>
    <row r="1036">
      <c r="A1036" s="504"/>
      <c r="B1036" s="505"/>
      <c r="C1036" s="505"/>
      <c r="D1036" s="505"/>
      <c r="E1036" s="505"/>
    </row>
    <row r="1037">
      <c r="A1037" s="504"/>
      <c r="B1037" s="505"/>
      <c r="C1037" s="505"/>
      <c r="D1037" s="505"/>
      <c r="E1037" s="505"/>
    </row>
    <row r="1038">
      <c r="A1038" s="504"/>
      <c r="B1038" s="505"/>
      <c r="C1038" s="505"/>
      <c r="D1038" s="505"/>
      <c r="E1038" s="505"/>
    </row>
    <row r="1039">
      <c r="A1039" s="504"/>
      <c r="B1039" s="505"/>
      <c r="C1039" s="505"/>
      <c r="D1039" s="505"/>
      <c r="E1039" s="505"/>
    </row>
    <row r="1040">
      <c r="A1040" s="504"/>
      <c r="B1040" s="505"/>
      <c r="C1040" s="505"/>
      <c r="D1040" s="505"/>
      <c r="E1040" s="505"/>
    </row>
    <row r="1041">
      <c r="A1041" s="504"/>
      <c r="B1041" s="505"/>
      <c r="C1041" s="505"/>
      <c r="D1041" s="505"/>
      <c r="E1041" s="505"/>
    </row>
    <row r="1042">
      <c r="A1042" s="504"/>
      <c r="B1042" s="505"/>
      <c r="C1042" s="505"/>
      <c r="D1042" s="505"/>
      <c r="E1042" s="505"/>
    </row>
    <row r="1043">
      <c r="A1043" s="504"/>
      <c r="B1043" s="505"/>
      <c r="C1043" s="505"/>
      <c r="D1043" s="505"/>
      <c r="E1043" s="505"/>
    </row>
    <row r="1044">
      <c r="A1044" s="504"/>
      <c r="B1044" s="505"/>
      <c r="C1044" s="505"/>
      <c r="D1044" s="505"/>
      <c r="E1044" s="505"/>
    </row>
    <row r="1045">
      <c r="A1045" s="504"/>
      <c r="B1045" s="505"/>
      <c r="C1045" s="505"/>
      <c r="D1045" s="505"/>
      <c r="E1045" s="505"/>
    </row>
    <row r="1046">
      <c r="A1046" s="504"/>
      <c r="B1046" s="505"/>
      <c r="C1046" s="505"/>
      <c r="D1046" s="505"/>
      <c r="E1046" s="505"/>
    </row>
    <row r="1047">
      <c r="A1047" s="504"/>
      <c r="B1047" s="505"/>
      <c r="C1047" s="505"/>
      <c r="D1047" s="505"/>
      <c r="E1047" s="505"/>
    </row>
    <row r="1048">
      <c r="A1048" s="504"/>
      <c r="B1048" s="505"/>
      <c r="C1048" s="505"/>
      <c r="D1048" s="505"/>
      <c r="E1048" s="505"/>
    </row>
    <row r="1049">
      <c r="A1049" s="504"/>
      <c r="B1049" s="505"/>
      <c r="C1049" s="505"/>
      <c r="D1049" s="505"/>
      <c r="E1049" s="505"/>
    </row>
    <row r="1050">
      <c r="A1050" s="504"/>
      <c r="B1050" s="505"/>
      <c r="C1050" s="505"/>
      <c r="D1050" s="505"/>
      <c r="E1050" s="505"/>
    </row>
    <row r="1051">
      <c r="A1051" s="504"/>
      <c r="B1051" s="505"/>
      <c r="C1051" s="505"/>
      <c r="D1051" s="505"/>
      <c r="E1051" s="505"/>
    </row>
    <row r="1052">
      <c r="A1052" s="504"/>
      <c r="B1052" s="505"/>
      <c r="C1052" s="505"/>
      <c r="D1052" s="505"/>
      <c r="E1052" s="505"/>
    </row>
    <row r="1053">
      <c r="A1053" s="504"/>
      <c r="B1053" s="505"/>
      <c r="C1053" s="505"/>
      <c r="D1053" s="505"/>
      <c r="E1053" s="505"/>
    </row>
    <row r="1054">
      <c r="A1054" s="504"/>
      <c r="B1054" s="505"/>
      <c r="C1054" s="505"/>
      <c r="D1054" s="505"/>
      <c r="E1054" s="505"/>
    </row>
    <row r="1055">
      <c r="A1055" s="504"/>
      <c r="B1055" s="505"/>
      <c r="C1055" s="505"/>
      <c r="D1055" s="505"/>
      <c r="E1055" s="505"/>
    </row>
    <row r="1056">
      <c r="A1056" s="504"/>
      <c r="B1056" s="505"/>
      <c r="C1056" s="505"/>
      <c r="D1056" s="505"/>
      <c r="E1056" s="505"/>
    </row>
    <row r="1057">
      <c r="A1057" s="504"/>
      <c r="B1057" s="505"/>
      <c r="C1057" s="505"/>
      <c r="D1057" s="505"/>
      <c r="E1057" s="505"/>
    </row>
    <row r="1058">
      <c r="A1058" s="504"/>
      <c r="B1058" s="505"/>
      <c r="C1058" s="505"/>
      <c r="D1058" s="505"/>
      <c r="E1058" s="505"/>
    </row>
    <row r="1059">
      <c r="A1059" s="504"/>
      <c r="B1059" s="505"/>
      <c r="C1059" s="505"/>
      <c r="D1059" s="505"/>
      <c r="E1059" s="505"/>
    </row>
    <row r="1060">
      <c r="A1060" s="504"/>
      <c r="B1060" s="505"/>
      <c r="C1060" s="505"/>
      <c r="D1060" s="505"/>
      <c r="E1060" s="505"/>
    </row>
    <row r="1061">
      <c r="A1061" s="504"/>
      <c r="B1061" s="505"/>
      <c r="C1061" s="505"/>
      <c r="D1061" s="505"/>
      <c r="E1061" s="505"/>
    </row>
    <row r="1062">
      <c r="A1062" s="504"/>
      <c r="B1062" s="505"/>
      <c r="C1062" s="505"/>
      <c r="D1062" s="505"/>
      <c r="E1062" s="505"/>
    </row>
    <row r="1063">
      <c r="A1063" s="504"/>
      <c r="B1063" s="505"/>
      <c r="C1063" s="505"/>
      <c r="D1063" s="505"/>
      <c r="E1063" s="505"/>
    </row>
    <row r="1064">
      <c r="A1064" s="504"/>
      <c r="B1064" s="505"/>
      <c r="C1064" s="505"/>
      <c r="D1064" s="505"/>
      <c r="E1064" s="505"/>
    </row>
    <row r="1065">
      <c r="A1065" s="504"/>
      <c r="B1065" s="505"/>
      <c r="C1065" s="505"/>
      <c r="D1065" s="505"/>
      <c r="E1065" s="505"/>
    </row>
    <row r="1066">
      <c r="A1066" s="504"/>
      <c r="B1066" s="505"/>
      <c r="C1066" s="505"/>
      <c r="D1066" s="505"/>
      <c r="E1066" s="505"/>
    </row>
    <row r="1067">
      <c r="A1067" s="504"/>
      <c r="B1067" s="505"/>
      <c r="C1067" s="505"/>
      <c r="D1067" s="505"/>
      <c r="E1067" s="505"/>
    </row>
    <row r="1068">
      <c r="A1068" s="504"/>
      <c r="B1068" s="505"/>
      <c r="C1068" s="505"/>
      <c r="D1068" s="505"/>
      <c r="E1068" s="505"/>
    </row>
    <row r="1069">
      <c r="A1069" s="504"/>
      <c r="B1069" s="505"/>
      <c r="C1069" s="505"/>
      <c r="D1069" s="505"/>
      <c r="E1069" s="505"/>
    </row>
    <row r="1070">
      <c r="A1070" s="504"/>
      <c r="B1070" s="505"/>
      <c r="C1070" s="505"/>
      <c r="D1070" s="505"/>
      <c r="E1070" s="505"/>
    </row>
    <row r="1071">
      <c r="A1071" s="504"/>
      <c r="B1071" s="505"/>
      <c r="C1071" s="505"/>
      <c r="D1071" s="505"/>
      <c r="E1071" s="505"/>
    </row>
    <row r="1072">
      <c r="A1072" s="504"/>
      <c r="B1072" s="505"/>
      <c r="C1072" s="505"/>
      <c r="D1072" s="505"/>
      <c r="E1072" s="505"/>
    </row>
    <row r="1073">
      <c r="A1073" s="504"/>
      <c r="B1073" s="505"/>
      <c r="C1073" s="505"/>
      <c r="D1073" s="505"/>
      <c r="E1073" s="505"/>
    </row>
    <row r="1074">
      <c r="A1074" s="504"/>
      <c r="B1074" s="505"/>
      <c r="C1074" s="505"/>
      <c r="D1074" s="505"/>
      <c r="E1074" s="505"/>
    </row>
    <row r="1075">
      <c r="A1075" s="504"/>
      <c r="B1075" s="505"/>
      <c r="C1075" s="505"/>
      <c r="D1075" s="505"/>
      <c r="E1075" s="505"/>
    </row>
    <row r="1076">
      <c r="A1076" s="504"/>
      <c r="B1076" s="505"/>
      <c r="C1076" s="505"/>
      <c r="D1076" s="505"/>
      <c r="E1076" s="505"/>
    </row>
    <row r="1077">
      <c r="A1077" s="504"/>
      <c r="B1077" s="505"/>
      <c r="C1077" s="505"/>
      <c r="D1077" s="505"/>
      <c r="E1077" s="505"/>
    </row>
    <row r="1078">
      <c r="A1078" s="504"/>
      <c r="B1078" s="505"/>
      <c r="C1078" s="505"/>
      <c r="D1078" s="505"/>
      <c r="E1078" s="505"/>
    </row>
    <row r="1079">
      <c r="A1079" s="504"/>
      <c r="B1079" s="505"/>
      <c r="C1079" s="505"/>
      <c r="D1079" s="505"/>
      <c r="E1079" s="505"/>
    </row>
    <row r="1080">
      <c r="A1080" s="504"/>
      <c r="B1080" s="505"/>
      <c r="C1080" s="505"/>
      <c r="D1080" s="505"/>
      <c r="E1080" s="505"/>
    </row>
    <row r="1081">
      <c r="A1081" s="504"/>
      <c r="B1081" s="505"/>
      <c r="C1081" s="505"/>
      <c r="D1081" s="505"/>
      <c r="E1081" s="505"/>
    </row>
    <row r="1082">
      <c r="A1082" s="504"/>
      <c r="B1082" s="505"/>
      <c r="C1082" s="505"/>
      <c r="D1082" s="505"/>
      <c r="E1082" s="505"/>
    </row>
    <row r="1083">
      <c r="A1083" s="504"/>
      <c r="B1083" s="505"/>
      <c r="C1083" s="505"/>
      <c r="D1083" s="505"/>
      <c r="E1083" s="505"/>
    </row>
    <row r="1084">
      <c r="A1084" s="504"/>
      <c r="B1084" s="505"/>
      <c r="C1084" s="505"/>
      <c r="D1084" s="505"/>
      <c r="E1084" s="505"/>
    </row>
    <row r="1085">
      <c r="A1085" s="504"/>
      <c r="B1085" s="505"/>
      <c r="C1085" s="505"/>
      <c r="D1085" s="505"/>
      <c r="E1085" s="505"/>
    </row>
    <row r="1086">
      <c r="A1086" s="504"/>
      <c r="B1086" s="505"/>
      <c r="C1086" s="505"/>
      <c r="D1086" s="505"/>
      <c r="E1086" s="505"/>
    </row>
    <row r="1087">
      <c r="A1087" s="504"/>
      <c r="B1087" s="505"/>
      <c r="C1087" s="505"/>
      <c r="D1087" s="505"/>
      <c r="E1087" s="505"/>
    </row>
    <row r="1088">
      <c r="A1088" s="504"/>
      <c r="B1088" s="505"/>
      <c r="C1088" s="505"/>
      <c r="D1088" s="505"/>
      <c r="E1088" s="505"/>
    </row>
    <row r="1089">
      <c r="A1089" s="504"/>
      <c r="B1089" s="505"/>
      <c r="C1089" s="505"/>
      <c r="D1089" s="505"/>
      <c r="E1089" s="505"/>
    </row>
    <row r="1090">
      <c r="A1090" s="504"/>
      <c r="B1090" s="505"/>
      <c r="C1090" s="505"/>
      <c r="D1090" s="505"/>
      <c r="E1090" s="505"/>
    </row>
    <row r="1091">
      <c r="A1091" s="504"/>
      <c r="B1091" s="505"/>
      <c r="C1091" s="505"/>
      <c r="D1091" s="505"/>
      <c r="E1091" s="505"/>
    </row>
    <row r="1092">
      <c r="A1092" s="504"/>
      <c r="B1092" s="505"/>
      <c r="C1092" s="505"/>
      <c r="D1092" s="505"/>
      <c r="E1092" s="505"/>
    </row>
    <row r="1093">
      <c r="A1093" s="504"/>
      <c r="B1093" s="505"/>
      <c r="C1093" s="505"/>
      <c r="D1093" s="505"/>
      <c r="E1093" s="505"/>
    </row>
    <row r="1094">
      <c r="A1094" s="504"/>
      <c r="B1094" s="505"/>
      <c r="C1094" s="505"/>
      <c r="D1094" s="505"/>
      <c r="E1094" s="505"/>
    </row>
    <row r="1095">
      <c r="A1095" s="504"/>
      <c r="B1095" s="505"/>
      <c r="C1095" s="505"/>
      <c r="D1095" s="505"/>
      <c r="E1095" s="505"/>
    </row>
    <row r="1096">
      <c r="A1096" s="504"/>
      <c r="B1096" s="505"/>
      <c r="C1096" s="505"/>
      <c r="D1096" s="505"/>
      <c r="E1096" s="505"/>
    </row>
    <row r="1097">
      <c r="A1097" s="504"/>
      <c r="B1097" s="505"/>
      <c r="C1097" s="505"/>
      <c r="D1097" s="505"/>
      <c r="E1097" s="505"/>
    </row>
    <row r="1098">
      <c r="A1098" s="504"/>
      <c r="B1098" s="505"/>
      <c r="C1098" s="505"/>
      <c r="D1098" s="505"/>
      <c r="E1098" s="505"/>
    </row>
    <row r="1099">
      <c r="A1099" s="504"/>
      <c r="B1099" s="505"/>
      <c r="C1099" s="505"/>
      <c r="D1099" s="505"/>
      <c r="E1099" s="505"/>
    </row>
    <row r="1100">
      <c r="A1100" s="504"/>
      <c r="B1100" s="505"/>
      <c r="C1100" s="505"/>
      <c r="D1100" s="505"/>
      <c r="E1100" s="505"/>
    </row>
    <row r="1101">
      <c r="A1101" s="504"/>
      <c r="B1101" s="505"/>
      <c r="C1101" s="505"/>
      <c r="D1101" s="505"/>
      <c r="E1101" s="505"/>
    </row>
    <row r="1102">
      <c r="A1102" s="504"/>
      <c r="B1102" s="505"/>
      <c r="C1102" s="505"/>
      <c r="D1102" s="505"/>
      <c r="E1102" s="505"/>
    </row>
    <row r="1103">
      <c r="A1103" s="504"/>
      <c r="B1103" s="505"/>
      <c r="C1103" s="505"/>
      <c r="D1103" s="505"/>
      <c r="E1103" s="505"/>
    </row>
    <row r="1104">
      <c r="A1104" s="504"/>
      <c r="B1104" s="505"/>
      <c r="C1104" s="505"/>
      <c r="D1104" s="505"/>
      <c r="E1104" s="505"/>
    </row>
    <row r="1105">
      <c r="A1105" s="504"/>
      <c r="B1105" s="505"/>
      <c r="C1105" s="505"/>
      <c r="D1105" s="505"/>
      <c r="E1105" s="505"/>
    </row>
    <row r="1106">
      <c r="A1106" s="504"/>
      <c r="B1106" s="505"/>
      <c r="C1106" s="505"/>
      <c r="D1106" s="505"/>
      <c r="E1106" s="505"/>
    </row>
    <row r="1107">
      <c r="A1107" s="504"/>
      <c r="B1107" s="505"/>
      <c r="C1107" s="505"/>
      <c r="D1107" s="505"/>
      <c r="E1107" s="505"/>
    </row>
    <row r="1108">
      <c r="A1108" s="504"/>
      <c r="B1108" s="505"/>
      <c r="C1108" s="505"/>
      <c r="D1108" s="505"/>
      <c r="E1108" s="505"/>
    </row>
    <row r="1109">
      <c r="A1109" s="504"/>
      <c r="B1109" s="505"/>
      <c r="C1109" s="505"/>
      <c r="D1109" s="505"/>
      <c r="E1109" s="505"/>
    </row>
    <row r="1110">
      <c r="A1110" s="504"/>
      <c r="B1110" s="505"/>
      <c r="C1110" s="505"/>
      <c r="D1110" s="505"/>
      <c r="E1110" s="505"/>
    </row>
    <row r="1111">
      <c r="A1111" s="504"/>
      <c r="B1111" s="505"/>
      <c r="C1111" s="505"/>
      <c r="D1111" s="505"/>
      <c r="E1111" s="505"/>
    </row>
    <row r="1112">
      <c r="A1112" s="504"/>
      <c r="B1112" s="505"/>
      <c r="C1112" s="505"/>
      <c r="D1112" s="505"/>
      <c r="E1112" s="505"/>
    </row>
    <row r="1113">
      <c r="A1113" s="504"/>
      <c r="B1113" s="505"/>
      <c r="C1113" s="505"/>
      <c r="D1113" s="505"/>
      <c r="E1113" s="505"/>
    </row>
    <row r="1114">
      <c r="A1114" s="504"/>
      <c r="B1114" s="505"/>
      <c r="C1114" s="505"/>
      <c r="D1114" s="505"/>
      <c r="E1114" s="505"/>
    </row>
    <row r="1115">
      <c r="A1115" s="504"/>
      <c r="B1115" s="505"/>
      <c r="C1115" s="505"/>
      <c r="D1115" s="505"/>
      <c r="E1115" s="505"/>
    </row>
    <row r="1116">
      <c r="A1116" s="504"/>
      <c r="B1116" s="505"/>
      <c r="C1116" s="505"/>
      <c r="D1116" s="505"/>
      <c r="E1116" s="505"/>
    </row>
    <row r="1117">
      <c r="A1117" s="504"/>
      <c r="B1117" s="505"/>
      <c r="C1117" s="505"/>
      <c r="D1117" s="505"/>
      <c r="E1117" s="505"/>
    </row>
    <row r="1118">
      <c r="A1118" s="504"/>
      <c r="B1118" s="505"/>
      <c r="C1118" s="505"/>
      <c r="D1118" s="505"/>
      <c r="E1118" s="505"/>
    </row>
    <row r="1119">
      <c r="A1119" s="504"/>
      <c r="B1119" s="505"/>
      <c r="C1119" s="505"/>
      <c r="D1119" s="505"/>
      <c r="E1119" s="505"/>
    </row>
    <row r="1120">
      <c r="A1120" s="504"/>
      <c r="B1120" s="505"/>
      <c r="C1120" s="505"/>
      <c r="D1120" s="505"/>
      <c r="E1120" s="505"/>
    </row>
    <row r="1121">
      <c r="A1121" s="504"/>
      <c r="B1121" s="505"/>
      <c r="C1121" s="505"/>
      <c r="D1121" s="505"/>
      <c r="E1121" s="505"/>
    </row>
    <row r="1122">
      <c r="A1122" s="504"/>
      <c r="B1122" s="505"/>
      <c r="C1122" s="505"/>
      <c r="D1122" s="505"/>
      <c r="E1122" s="505"/>
    </row>
    <row r="1123">
      <c r="A1123" s="504"/>
      <c r="B1123" s="505"/>
      <c r="C1123" s="505"/>
      <c r="D1123" s="505"/>
      <c r="E1123" s="505"/>
    </row>
    <row r="1124">
      <c r="A1124" s="504"/>
      <c r="B1124" s="505"/>
      <c r="C1124" s="505"/>
      <c r="D1124" s="505"/>
      <c r="E1124" s="505"/>
    </row>
    <row r="1125">
      <c r="A1125" s="504"/>
      <c r="B1125" s="505"/>
      <c r="C1125" s="505"/>
      <c r="D1125" s="505"/>
      <c r="E1125" s="505"/>
    </row>
    <row r="1126">
      <c r="A1126" s="504"/>
      <c r="B1126" s="505"/>
      <c r="C1126" s="505"/>
      <c r="D1126" s="505"/>
      <c r="E1126" s="505"/>
    </row>
    <row r="1127">
      <c r="A1127" s="504"/>
      <c r="B1127" s="505"/>
      <c r="C1127" s="505"/>
      <c r="D1127" s="505"/>
      <c r="E1127" s="505"/>
    </row>
    <row r="1128">
      <c r="A1128" s="504"/>
      <c r="B1128" s="505"/>
      <c r="C1128" s="505"/>
      <c r="D1128" s="505"/>
      <c r="E1128" s="505"/>
    </row>
    <row r="1129">
      <c r="A1129" s="504"/>
      <c r="B1129" s="505"/>
      <c r="C1129" s="505"/>
      <c r="D1129" s="505"/>
      <c r="E1129" s="505"/>
    </row>
    <row r="1130">
      <c r="A1130" s="504"/>
      <c r="B1130" s="505"/>
      <c r="C1130" s="505"/>
      <c r="D1130" s="505"/>
      <c r="E1130" s="505"/>
    </row>
    <row r="1131">
      <c r="A1131" s="504"/>
      <c r="B1131" s="505"/>
      <c r="C1131" s="505"/>
      <c r="D1131" s="505"/>
      <c r="E1131" s="505"/>
    </row>
    <row r="1132">
      <c r="A1132" s="504"/>
      <c r="B1132" s="505"/>
      <c r="C1132" s="505"/>
      <c r="D1132" s="505"/>
      <c r="E1132" s="505"/>
    </row>
    <row r="1133">
      <c r="A1133" s="504"/>
      <c r="B1133" s="505"/>
      <c r="C1133" s="505"/>
      <c r="D1133" s="505"/>
      <c r="E1133" s="505"/>
    </row>
    <row r="1134">
      <c r="A1134" s="504"/>
      <c r="B1134" s="505"/>
      <c r="C1134" s="505"/>
      <c r="D1134" s="505"/>
      <c r="E1134" s="505"/>
    </row>
    <row r="1135">
      <c r="A1135" s="504"/>
      <c r="B1135" s="505"/>
      <c r="C1135" s="505"/>
      <c r="D1135" s="505"/>
      <c r="E1135" s="505"/>
    </row>
    <row r="1136">
      <c r="A1136" s="504"/>
      <c r="B1136" s="505"/>
      <c r="C1136" s="505"/>
      <c r="D1136" s="505"/>
      <c r="E1136" s="505"/>
    </row>
    <row r="1137">
      <c r="A1137" s="504"/>
      <c r="B1137" s="505"/>
      <c r="C1137" s="505"/>
      <c r="D1137" s="505"/>
      <c r="E1137" s="505"/>
    </row>
    <row r="1138">
      <c r="A1138" s="504"/>
      <c r="B1138" s="505"/>
      <c r="C1138" s="505"/>
      <c r="D1138" s="505"/>
      <c r="E1138" s="505"/>
    </row>
    <row r="1139">
      <c r="A1139" s="504"/>
      <c r="B1139" s="505"/>
      <c r="C1139" s="505"/>
      <c r="D1139" s="505"/>
      <c r="E1139" s="505"/>
    </row>
    <row r="1140">
      <c r="A1140" s="504"/>
      <c r="B1140" s="505"/>
      <c r="C1140" s="505"/>
      <c r="D1140" s="505"/>
      <c r="E1140" s="505"/>
    </row>
    <row r="1141">
      <c r="A1141" s="504"/>
      <c r="B1141" s="505"/>
      <c r="C1141" s="505"/>
      <c r="D1141" s="505"/>
      <c r="E1141" s="505"/>
    </row>
    <row r="1142">
      <c r="A1142" s="504"/>
      <c r="B1142" s="505"/>
      <c r="C1142" s="505"/>
      <c r="D1142" s="505"/>
      <c r="E1142" s="505"/>
    </row>
    <row r="1143">
      <c r="A1143" s="504"/>
      <c r="B1143" s="505"/>
      <c r="C1143" s="505"/>
      <c r="D1143" s="505"/>
      <c r="E1143" s="505"/>
    </row>
    <row r="1144">
      <c r="A1144" s="504"/>
      <c r="B1144" s="505"/>
      <c r="C1144" s="505"/>
      <c r="D1144" s="505"/>
      <c r="E1144" s="505"/>
    </row>
    <row r="1145">
      <c r="A1145" s="504"/>
      <c r="B1145" s="505"/>
      <c r="C1145" s="505"/>
      <c r="D1145" s="505"/>
      <c r="E1145" s="505"/>
    </row>
    <row r="1146">
      <c r="A1146" s="504"/>
      <c r="B1146" s="505"/>
      <c r="C1146" s="505"/>
      <c r="D1146" s="505"/>
      <c r="E1146" s="505"/>
    </row>
    <row r="1147">
      <c r="A1147" s="504"/>
      <c r="B1147" s="505"/>
      <c r="C1147" s="505"/>
      <c r="D1147" s="505"/>
      <c r="E1147" s="505"/>
    </row>
    <row r="1148">
      <c r="A1148" s="504"/>
      <c r="B1148" s="505"/>
      <c r="C1148" s="505"/>
      <c r="D1148" s="505"/>
      <c r="E1148" s="505"/>
    </row>
    <row r="1149">
      <c r="A1149" s="504"/>
      <c r="B1149" s="505"/>
      <c r="C1149" s="505"/>
      <c r="D1149" s="505"/>
      <c r="E1149" s="505"/>
    </row>
    <row r="1150">
      <c r="A1150" s="504"/>
      <c r="B1150" s="505"/>
      <c r="C1150" s="505"/>
      <c r="D1150" s="505"/>
      <c r="E1150" s="505"/>
    </row>
    <row r="1151">
      <c r="A1151" s="504"/>
      <c r="B1151" s="505"/>
      <c r="C1151" s="505"/>
      <c r="D1151" s="505"/>
      <c r="E1151" s="505"/>
    </row>
    <row r="1152">
      <c r="A1152" s="504"/>
      <c r="B1152" s="505"/>
      <c r="C1152" s="505"/>
      <c r="D1152" s="505"/>
      <c r="E1152" s="505"/>
    </row>
    <row r="1153">
      <c r="A1153" s="504"/>
      <c r="B1153" s="505"/>
      <c r="C1153" s="505"/>
      <c r="D1153" s="505"/>
      <c r="E1153" s="505"/>
    </row>
    <row r="1154">
      <c r="A1154" s="504"/>
      <c r="B1154" s="505"/>
      <c r="C1154" s="505"/>
      <c r="D1154" s="505"/>
      <c r="E1154" s="505"/>
    </row>
    <row r="1155">
      <c r="A1155" s="504"/>
      <c r="B1155" s="505"/>
      <c r="C1155" s="505"/>
      <c r="D1155" s="505"/>
      <c r="E1155" s="505"/>
    </row>
    <row r="1156">
      <c r="A1156" s="504"/>
      <c r="B1156" s="505"/>
      <c r="C1156" s="505"/>
      <c r="D1156" s="505"/>
      <c r="E1156" s="505"/>
    </row>
    <row r="1157">
      <c r="A1157" s="504"/>
      <c r="B1157" s="505"/>
      <c r="C1157" s="505"/>
      <c r="D1157" s="505"/>
      <c r="E1157" s="505"/>
    </row>
    <row r="1158">
      <c r="A1158" s="504"/>
      <c r="B1158" s="505"/>
      <c r="C1158" s="505"/>
      <c r="D1158" s="505"/>
      <c r="E1158" s="505"/>
    </row>
    <row r="1159">
      <c r="A1159" s="504"/>
      <c r="B1159" s="505"/>
      <c r="C1159" s="505"/>
      <c r="D1159" s="505"/>
      <c r="E1159" s="505"/>
    </row>
    <row r="1160">
      <c r="A1160" s="504"/>
      <c r="B1160" s="505"/>
      <c r="C1160" s="505"/>
      <c r="D1160" s="505"/>
      <c r="E1160" s="505"/>
    </row>
    <row r="1161">
      <c r="A1161" s="504"/>
      <c r="B1161" s="505"/>
      <c r="C1161" s="505"/>
      <c r="D1161" s="505"/>
      <c r="E1161" s="505"/>
    </row>
    <row r="1162">
      <c r="A1162" s="504"/>
      <c r="B1162" s="505"/>
      <c r="C1162" s="505"/>
      <c r="D1162" s="505"/>
      <c r="E1162" s="505"/>
    </row>
    <row r="1163">
      <c r="A1163" s="504"/>
      <c r="B1163" s="505"/>
      <c r="C1163" s="505"/>
      <c r="D1163" s="505"/>
      <c r="E1163" s="505"/>
    </row>
    <row r="1164">
      <c r="A1164" s="504"/>
      <c r="B1164" s="505"/>
      <c r="C1164" s="505"/>
      <c r="D1164" s="505"/>
      <c r="E1164" s="505"/>
    </row>
    <row r="1165">
      <c r="A1165" s="504"/>
      <c r="B1165" s="505"/>
      <c r="C1165" s="505"/>
      <c r="D1165" s="505"/>
      <c r="E1165" s="505"/>
    </row>
    <row r="1166">
      <c r="A1166" s="504"/>
      <c r="B1166" s="505"/>
      <c r="C1166" s="505"/>
      <c r="D1166" s="505"/>
      <c r="E1166" s="505"/>
    </row>
    <row r="1167">
      <c r="A1167" s="504"/>
      <c r="B1167" s="505"/>
      <c r="C1167" s="505"/>
      <c r="D1167" s="505"/>
      <c r="E1167" s="505"/>
    </row>
    <row r="1168">
      <c r="A1168" s="504"/>
      <c r="B1168" s="505"/>
      <c r="C1168" s="505"/>
      <c r="D1168" s="505"/>
      <c r="E1168" s="505"/>
    </row>
    <row r="1169">
      <c r="A1169" s="504"/>
      <c r="B1169" s="505"/>
      <c r="C1169" s="505"/>
      <c r="D1169" s="505"/>
      <c r="E1169" s="505"/>
    </row>
    <row r="1170">
      <c r="A1170" s="504"/>
      <c r="B1170" s="505"/>
      <c r="C1170" s="505"/>
      <c r="D1170" s="505"/>
      <c r="E1170" s="505"/>
    </row>
    <row r="1171">
      <c r="A1171" s="504"/>
      <c r="B1171" s="505"/>
      <c r="C1171" s="505"/>
      <c r="D1171" s="505"/>
      <c r="E1171" s="505"/>
    </row>
    <row r="1172">
      <c r="A1172" s="504"/>
      <c r="B1172" s="505"/>
      <c r="C1172" s="505"/>
      <c r="D1172" s="505"/>
      <c r="E1172" s="505"/>
    </row>
    <row r="1173">
      <c r="A1173" s="504"/>
      <c r="B1173" s="505"/>
      <c r="C1173" s="505"/>
      <c r="D1173" s="505"/>
      <c r="E1173" s="505"/>
    </row>
    <row r="1174">
      <c r="A1174" s="504"/>
      <c r="B1174" s="505"/>
      <c r="C1174" s="505"/>
      <c r="D1174" s="505"/>
      <c r="E1174" s="505"/>
    </row>
    <row r="1175">
      <c r="A1175" s="504"/>
      <c r="B1175" s="505"/>
      <c r="C1175" s="505"/>
      <c r="D1175" s="505"/>
      <c r="E1175" s="505"/>
    </row>
    <row r="1176">
      <c r="A1176" s="504"/>
      <c r="B1176" s="505"/>
      <c r="C1176" s="505"/>
      <c r="D1176" s="505"/>
      <c r="E1176" s="505"/>
    </row>
    <row r="1177">
      <c r="A1177" s="504"/>
      <c r="B1177" s="505"/>
      <c r="C1177" s="505"/>
      <c r="D1177" s="505"/>
      <c r="E1177" s="505"/>
    </row>
    <row r="1178">
      <c r="A1178" s="504"/>
      <c r="B1178" s="505"/>
      <c r="C1178" s="505"/>
      <c r="D1178" s="505"/>
      <c r="E1178" s="505"/>
    </row>
    <row r="1179">
      <c r="A1179" s="504"/>
      <c r="B1179" s="505"/>
      <c r="C1179" s="505"/>
      <c r="D1179" s="505"/>
      <c r="E1179" s="505"/>
    </row>
    <row r="1180">
      <c r="A1180" s="504"/>
      <c r="B1180" s="505"/>
      <c r="C1180" s="505"/>
      <c r="D1180" s="505"/>
      <c r="E1180" s="505"/>
    </row>
    <row r="1181">
      <c r="A1181" s="504"/>
      <c r="B1181" s="505"/>
      <c r="C1181" s="505"/>
      <c r="D1181" s="505"/>
      <c r="E1181" s="505"/>
    </row>
    <row r="1182">
      <c r="A1182" s="504"/>
      <c r="B1182" s="505"/>
      <c r="C1182" s="505"/>
      <c r="D1182" s="505"/>
      <c r="E1182" s="505"/>
    </row>
    <row r="1183">
      <c r="A1183" s="504"/>
      <c r="B1183" s="505"/>
      <c r="C1183" s="505"/>
      <c r="D1183" s="505"/>
      <c r="E1183" s="505"/>
    </row>
    <row r="1184">
      <c r="A1184" s="504"/>
      <c r="B1184" s="505"/>
      <c r="C1184" s="505"/>
      <c r="D1184" s="505"/>
      <c r="E1184" s="505"/>
    </row>
    <row r="1185">
      <c r="A1185" s="504"/>
      <c r="B1185" s="505"/>
      <c r="C1185" s="505"/>
      <c r="D1185" s="505"/>
      <c r="E1185" s="505"/>
    </row>
    <row r="1186">
      <c r="A1186" s="504"/>
      <c r="B1186" s="505"/>
      <c r="C1186" s="505"/>
      <c r="D1186" s="505"/>
      <c r="E1186" s="505"/>
    </row>
    <row r="1187">
      <c r="A1187" s="504"/>
      <c r="B1187" s="505"/>
      <c r="C1187" s="505"/>
      <c r="D1187" s="505"/>
      <c r="E1187" s="505"/>
    </row>
    <row r="1188">
      <c r="A1188" s="504"/>
      <c r="B1188" s="505"/>
      <c r="C1188" s="505"/>
      <c r="D1188" s="505"/>
      <c r="E1188" s="505"/>
    </row>
    <row r="1189">
      <c r="A1189" s="504"/>
      <c r="B1189" s="505"/>
      <c r="C1189" s="505"/>
      <c r="D1189" s="505"/>
      <c r="E1189" s="505"/>
    </row>
    <row r="1190">
      <c r="A1190" s="504"/>
      <c r="B1190" s="505"/>
      <c r="C1190" s="505"/>
      <c r="D1190" s="505"/>
      <c r="E1190" s="505"/>
    </row>
    <row r="1191">
      <c r="A1191" s="504"/>
      <c r="B1191" s="505"/>
      <c r="C1191" s="505"/>
      <c r="D1191" s="505"/>
      <c r="E1191" s="505"/>
    </row>
    <row r="1192">
      <c r="A1192" s="504"/>
      <c r="B1192" s="505"/>
      <c r="C1192" s="505"/>
      <c r="D1192" s="505"/>
      <c r="E1192" s="505"/>
    </row>
    <row r="1193">
      <c r="A1193" s="504"/>
      <c r="B1193" s="505"/>
      <c r="C1193" s="505"/>
      <c r="D1193" s="505"/>
      <c r="E1193" s="505"/>
    </row>
    <row r="1194">
      <c r="A1194" s="504"/>
      <c r="B1194" s="505"/>
      <c r="C1194" s="505"/>
      <c r="D1194" s="505"/>
      <c r="E1194" s="505"/>
    </row>
    <row r="1195">
      <c r="A1195" s="504"/>
      <c r="B1195" s="505"/>
      <c r="C1195" s="505"/>
      <c r="D1195" s="505"/>
      <c r="E1195" s="505"/>
    </row>
    <row r="1196">
      <c r="A1196" s="504"/>
      <c r="B1196" s="505"/>
      <c r="C1196" s="505"/>
      <c r="D1196" s="505"/>
      <c r="E1196" s="505"/>
    </row>
    <row r="1197">
      <c r="A1197" s="504"/>
      <c r="B1197" s="505"/>
      <c r="C1197" s="505"/>
      <c r="D1197" s="505"/>
      <c r="E1197" s="505"/>
    </row>
    <row r="1198">
      <c r="A1198" s="504"/>
      <c r="B1198" s="505"/>
      <c r="C1198" s="505"/>
      <c r="D1198" s="505"/>
      <c r="E1198" s="505"/>
    </row>
    <row r="1199">
      <c r="A1199" s="504"/>
      <c r="B1199" s="505"/>
      <c r="C1199" s="505"/>
      <c r="D1199" s="505"/>
      <c r="E1199" s="505"/>
    </row>
    <row r="1200">
      <c r="A1200" s="504"/>
      <c r="B1200" s="505"/>
      <c r="C1200" s="505"/>
      <c r="D1200" s="505"/>
      <c r="E1200" s="505"/>
    </row>
    <row r="1201">
      <c r="A1201" s="504"/>
      <c r="B1201" s="505"/>
      <c r="C1201" s="505"/>
      <c r="D1201" s="505"/>
      <c r="E1201" s="505"/>
    </row>
    <row r="1202">
      <c r="A1202" s="504"/>
      <c r="B1202" s="505"/>
      <c r="C1202" s="505"/>
      <c r="D1202" s="505"/>
      <c r="E1202" s="505"/>
    </row>
    <row r="1203">
      <c r="A1203" s="504"/>
      <c r="B1203" s="505"/>
      <c r="C1203" s="505"/>
      <c r="D1203" s="505"/>
      <c r="E1203" s="505"/>
    </row>
    <row r="1204">
      <c r="A1204" s="504"/>
      <c r="B1204" s="505"/>
      <c r="C1204" s="505"/>
      <c r="D1204" s="505"/>
      <c r="E1204" s="505"/>
    </row>
    <row r="1205">
      <c r="A1205" s="504"/>
      <c r="B1205" s="505"/>
      <c r="C1205" s="505"/>
      <c r="D1205" s="505"/>
      <c r="E1205" s="505"/>
    </row>
    <row r="1206">
      <c r="A1206" s="504"/>
      <c r="B1206" s="505"/>
      <c r="C1206" s="505"/>
      <c r="D1206" s="505"/>
      <c r="E1206" s="505"/>
    </row>
    <row r="1207">
      <c r="A1207" s="504"/>
      <c r="B1207" s="505"/>
      <c r="C1207" s="505"/>
      <c r="D1207" s="505"/>
      <c r="E1207" s="505"/>
    </row>
    <row r="1208">
      <c r="A1208" s="504"/>
      <c r="B1208" s="505"/>
      <c r="C1208" s="505"/>
      <c r="D1208" s="505"/>
      <c r="E1208" s="505"/>
    </row>
    <row r="1209">
      <c r="A1209" s="504"/>
      <c r="B1209" s="505"/>
      <c r="C1209" s="505"/>
      <c r="D1209" s="505"/>
      <c r="E1209" s="505"/>
    </row>
    <row r="1210">
      <c r="A1210" s="504"/>
      <c r="B1210" s="505"/>
      <c r="C1210" s="505"/>
      <c r="D1210" s="505"/>
      <c r="E1210" s="505"/>
    </row>
    <row r="1211">
      <c r="A1211" s="504"/>
      <c r="B1211" s="505"/>
      <c r="C1211" s="505"/>
      <c r="D1211" s="505"/>
      <c r="E1211" s="505"/>
    </row>
    <row r="1212">
      <c r="A1212" s="504"/>
      <c r="B1212" s="505"/>
      <c r="C1212" s="505"/>
      <c r="D1212" s="505"/>
      <c r="E1212" s="505"/>
    </row>
    <row r="1213">
      <c r="A1213" s="504"/>
      <c r="B1213" s="505"/>
      <c r="C1213" s="505"/>
      <c r="D1213" s="505"/>
      <c r="E1213" s="505"/>
    </row>
    <row r="1214">
      <c r="A1214" s="504"/>
      <c r="B1214" s="505"/>
      <c r="C1214" s="505"/>
      <c r="D1214" s="505"/>
      <c r="E1214" s="505"/>
    </row>
    <row r="1215">
      <c r="A1215" s="504"/>
      <c r="B1215" s="505"/>
      <c r="C1215" s="505"/>
      <c r="D1215" s="505"/>
      <c r="E1215" s="505"/>
    </row>
    <row r="1216">
      <c r="A1216" s="504"/>
      <c r="B1216" s="505"/>
      <c r="C1216" s="505"/>
      <c r="D1216" s="505"/>
      <c r="E1216" s="505"/>
    </row>
    <row r="1217">
      <c r="A1217" s="504"/>
      <c r="B1217" s="505"/>
      <c r="C1217" s="505"/>
      <c r="D1217" s="505"/>
      <c r="E1217" s="505"/>
    </row>
    <row r="1218">
      <c r="A1218" s="504"/>
      <c r="B1218" s="505"/>
      <c r="C1218" s="505"/>
      <c r="D1218" s="505"/>
      <c r="E1218" s="505"/>
    </row>
    <row r="1219">
      <c r="A1219" s="504"/>
      <c r="B1219" s="505"/>
      <c r="C1219" s="505"/>
      <c r="D1219" s="505"/>
      <c r="E1219" s="505"/>
    </row>
    <row r="1220">
      <c r="A1220" s="504"/>
      <c r="B1220" s="505"/>
      <c r="C1220" s="505"/>
      <c r="D1220" s="505"/>
      <c r="E1220" s="505"/>
    </row>
    <row r="1221">
      <c r="A1221" s="504"/>
      <c r="B1221" s="505"/>
      <c r="C1221" s="505"/>
      <c r="D1221" s="505"/>
      <c r="E1221" s="505"/>
    </row>
    <row r="1222">
      <c r="A1222" s="504"/>
      <c r="B1222" s="505"/>
      <c r="C1222" s="505"/>
      <c r="D1222" s="505"/>
      <c r="E1222" s="505"/>
    </row>
    <row r="1223">
      <c r="A1223" s="504"/>
      <c r="B1223" s="505"/>
      <c r="C1223" s="505"/>
      <c r="D1223" s="505"/>
      <c r="E1223" s="505"/>
    </row>
    <row r="1224">
      <c r="A1224" s="504"/>
      <c r="B1224" s="505"/>
      <c r="C1224" s="505"/>
      <c r="D1224" s="505"/>
      <c r="E1224" s="505"/>
    </row>
    <row r="1225">
      <c r="A1225" s="504"/>
      <c r="B1225" s="505"/>
      <c r="C1225" s="505"/>
      <c r="D1225" s="505"/>
      <c r="E1225" s="505"/>
    </row>
    <row r="1226">
      <c r="A1226" s="504"/>
      <c r="B1226" s="505"/>
      <c r="C1226" s="505"/>
      <c r="D1226" s="505"/>
      <c r="E1226" s="505"/>
    </row>
    <row r="1227">
      <c r="A1227" s="504"/>
      <c r="B1227" s="505"/>
      <c r="C1227" s="505"/>
      <c r="D1227" s="505"/>
      <c r="E1227" s="505"/>
    </row>
    <row r="1228">
      <c r="A1228" s="504"/>
      <c r="B1228" s="505"/>
      <c r="C1228" s="505"/>
      <c r="D1228" s="505"/>
      <c r="E1228" s="505"/>
    </row>
    <row r="1229">
      <c r="A1229" s="504"/>
      <c r="B1229" s="505"/>
      <c r="C1229" s="505"/>
      <c r="D1229" s="505"/>
      <c r="E1229" s="505"/>
    </row>
    <row r="1230">
      <c r="A1230" s="504"/>
      <c r="B1230" s="505"/>
      <c r="C1230" s="505"/>
      <c r="D1230" s="505"/>
      <c r="E1230" s="505"/>
    </row>
    <row r="1231">
      <c r="A1231" s="504"/>
      <c r="B1231" s="505"/>
      <c r="C1231" s="505"/>
      <c r="D1231" s="505"/>
      <c r="E1231" s="505"/>
    </row>
    <row r="1232">
      <c r="A1232" s="504"/>
      <c r="B1232" s="505"/>
      <c r="C1232" s="505"/>
      <c r="D1232" s="505"/>
      <c r="E1232" s="505"/>
    </row>
    <row r="1233">
      <c r="A1233" s="504"/>
      <c r="B1233" s="505"/>
      <c r="C1233" s="505"/>
      <c r="D1233" s="505"/>
      <c r="E1233" s="505"/>
    </row>
    <row r="1234">
      <c r="A1234" s="504"/>
      <c r="B1234" s="505"/>
      <c r="C1234" s="505"/>
      <c r="D1234" s="505"/>
      <c r="E1234" s="505"/>
    </row>
    <row r="1235">
      <c r="A1235" s="504"/>
      <c r="B1235" s="505"/>
      <c r="C1235" s="505"/>
      <c r="D1235" s="505"/>
      <c r="E1235" s="505"/>
    </row>
    <row r="1236">
      <c r="A1236" s="504"/>
      <c r="B1236" s="505"/>
      <c r="C1236" s="505"/>
      <c r="D1236" s="505"/>
      <c r="E1236" s="505"/>
    </row>
    <row r="1237">
      <c r="A1237" s="504"/>
      <c r="B1237" s="505"/>
      <c r="C1237" s="505"/>
      <c r="D1237" s="505"/>
      <c r="E1237" s="505"/>
    </row>
    <row r="1238">
      <c r="A1238" s="504"/>
      <c r="B1238" s="505"/>
      <c r="C1238" s="505"/>
      <c r="D1238" s="505"/>
      <c r="E1238" s="505"/>
    </row>
    <row r="1239">
      <c r="A1239" s="504"/>
      <c r="B1239" s="505"/>
      <c r="C1239" s="505"/>
      <c r="D1239" s="505"/>
      <c r="E1239" s="505"/>
    </row>
    <row r="1240">
      <c r="A1240" s="504"/>
      <c r="B1240" s="505"/>
      <c r="C1240" s="505"/>
      <c r="D1240" s="505"/>
      <c r="E1240" s="505"/>
    </row>
    <row r="1241">
      <c r="A1241" s="504"/>
      <c r="B1241" s="505"/>
      <c r="C1241" s="505"/>
      <c r="D1241" s="505"/>
      <c r="E1241" s="505"/>
    </row>
    <row r="1242">
      <c r="A1242" s="504"/>
      <c r="B1242" s="505"/>
      <c r="C1242" s="505"/>
      <c r="D1242" s="505"/>
      <c r="E1242" s="505"/>
    </row>
    <row r="1243">
      <c r="A1243" s="504"/>
      <c r="B1243" s="505"/>
      <c r="C1243" s="505"/>
      <c r="D1243" s="505"/>
      <c r="E1243" s="505"/>
    </row>
    <row r="1244">
      <c r="A1244" s="504"/>
      <c r="B1244" s="505"/>
      <c r="C1244" s="505"/>
      <c r="D1244" s="505"/>
      <c r="E1244" s="505"/>
    </row>
    <row r="1245">
      <c r="A1245" s="504"/>
      <c r="B1245" s="505"/>
      <c r="C1245" s="505"/>
      <c r="D1245" s="505"/>
      <c r="E1245" s="505"/>
    </row>
    <row r="1246">
      <c r="A1246" s="504"/>
      <c r="B1246" s="505"/>
      <c r="C1246" s="505"/>
      <c r="D1246" s="505"/>
      <c r="E1246" s="505"/>
    </row>
    <row r="1247">
      <c r="A1247" s="504"/>
      <c r="B1247" s="505"/>
      <c r="C1247" s="505"/>
      <c r="D1247" s="505"/>
      <c r="E1247" s="505"/>
    </row>
    <row r="1248">
      <c r="A1248" s="504"/>
      <c r="B1248" s="505"/>
      <c r="C1248" s="505"/>
      <c r="D1248" s="505"/>
      <c r="E1248" s="505"/>
    </row>
    <row r="1249">
      <c r="A1249" s="504"/>
      <c r="B1249" s="505"/>
      <c r="C1249" s="505"/>
      <c r="D1249" s="505"/>
      <c r="E1249" s="505"/>
    </row>
    <row r="1250">
      <c r="A1250" s="504"/>
      <c r="B1250" s="505"/>
      <c r="C1250" s="505"/>
      <c r="D1250" s="505"/>
      <c r="E1250" s="505"/>
    </row>
    <row r="1251">
      <c r="A1251" s="504"/>
      <c r="B1251" s="505"/>
      <c r="C1251" s="505"/>
      <c r="D1251" s="505"/>
      <c r="E1251" s="505"/>
    </row>
    <row r="1252">
      <c r="A1252" s="504"/>
      <c r="B1252" s="505"/>
      <c r="C1252" s="505"/>
      <c r="D1252" s="505"/>
      <c r="E1252" s="505"/>
    </row>
    <row r="1253">
      <c r="A1253" s="504"/>
      <c r="B1253" s="505"/>
      <c r="C1253" s="505"/>
      <c r="D1253" s="505"/>
      <c r="E1253" s="505"/>
    </row>
    <row r="1254">
      <c r="A1254" s="504"/>
      <c r="B1254" s="505"/>
      <c r="C1254" s="505"/>
      <c r="D1254" s="505"/>
      <c r="E1254" s="505"/>
    </row>
    <row r="1255">
      <c r="A1255" s="504"/>
      <c r="B1255" s="505"/>
      <c r="C1255" s="505"/>
      <c r="D1255" s="505"/>
      <c r="E1255" s="505"/>
    </row>
    <row r="1256">
      <c r="A1256" s="504"/>
      <c r="B1256" s="505"/>
      <c r="C1256" s="505"/>
      <c r="D1256" s="505"/>
      <c r="E1256" s="505"/>
    </row>
    <row r="1257">
      <c r="A1257" s="504"/>
      <c r="B1257" s="505"/>
      <c r="C1257" s="505"/>
      <c r="D1257" s="505"/>
      <c r="E1257" s="505"/>
    </row>
    <row r="1258">
      <c r="A1258" s="504"/>
      <c r="B1258" s="505"/>
      <c r="C1258" s="505"/>
      <c r="D1258" s="505"/>
      <c r="E1258" s="505"/>
    </row>
    <row r="1259">
      <c r="A1259" s="504"/>
      <c r="B1259" s="505"/>
      <c r="C1259" s="505"/>
      <c r="D1259" s="505"/>
      <c r="E1259" s="505"/>
    </row>
    <row r="1260">
      <c r="A1260" s="504"/>
      <c r="B1260" s="505"/>
      <c r="C1260" s="505"/>
      <c r="D1260" s="505"/>
      <c r="E1260" s="505"/>
    </row>
    <row r="1261">
      <c r="A1261" s="504"/>
      <c r="B1261" s="505"/>
      <c r="C1261" s="505"/>
      <c r="D1261" s="505"/>
      <c r="E1261" s="505"/>
    </row>
    <row r="1262">
      <c r="A1262" s="504"/>
      <c r="B1262" s="505"/>
      <c r="C1262" s="505"/>
      <c r="D1262" s="505"/>
      <c r="E1262" s="505"/>
    </row>
    <row r="1263">
      <c r="A1263" s="504"/>
      <c r="B1263" s="505"/>
      <c r="C1263" s="505"/>
      <c r="D1263" s="505"/>
      <c r="E1263" s="505"/>
    </row>
    <row r="1264">
      <c r="A1264" s="504"/>
      <c r="B1264" s="505"/>
      <c r="C1264" s="505"/>
      <c r="D1264" s="505"/>
      <c r="E1264" s="505"/>
    </row>
    <row r="1265">
      <c r="A1265" s="504"/>
      <c r="B1265" s="505"/>
      <c r="C1265" s="505"/>
      <c r="D1265" s="505"/>
      <c r="E1265" s="505"/>
    </row>
    <row r="1266">
      <c r="A1266" s="504"/>
      <c r="B1266" s="505"/>
      <c r="C1266" s="505"/>
      <c r="D1266" s="505"/>
      <c r="E1266" s="505"/>
    </row>
    <row r="1267">
      <c r="A1267" s="504"/>
      <c r="B1267" s="505"/>
      <c r="C1267" s="505"/>
      <c r="D1267" s="505"/>
      <c r="E1267" s="505"/>
    </row>
    <row r="1268">
      <c r="A1268" s="504"/>
      <c r="B1268" s="505"/>
      <c r="C1268" s="505"/>
      <c r="D1268" s="505"/>
      <c r="E1268" s="505"/>
    </row>
    <row r="1269">
      <c r="A1269" s="504"/>
      <c r="B1269" s="505"/>
      <c r="C1269" s="505"/>
      <c r="D1269" s="505"/>
      <c r="E1269" s="505"/>
    </row>
    <row r="1270">
      <c r="A1270" s="504"/>
      <c r="B1270" s="505"/>
      <c r="C1270" s="505"/>
      <c r="D1270" s="505"/>
      <c r="E1270" s="505"/>
    </row>
    <row r="1271">
      <c r="A1271" s="504"/>
      <c r="B1271" s="505"/>
      <c r="C1271" s="505"/>
      <c r="D1271" s="505"/>
      <c r="E1271" s="505"/>
    </row>
    <row r="1272">
      <c r="A1272" s="504"/>
      <c r="B1272" s="505"/>
      <c r="C1272" s="505"/>
      <c r="D1272" s="505"/>
      <c r="E1272" s="505"/>
    </row>
    <row r="1273">
      <c r="A1273" s="504"/>
      <c r="B1273" s="505"/>
      <c r="C1273" s="505"/>
      <c r="D1273" s="505"/>
      <c r="E1273" s="505"/>
    </row>
    <row r="1274">
      <c r="A1274" s="504"/>
      <c r="B1274" s="505"/>
      <c r="C1274" s="505"/>
      <c r="D1274" s="505"/>
      <c r="E1274" s="505"/>
    </row>
    <row r="1275">
      <c r="A1275" s="504"/>
      <c r="B1275" s="505"/>
      <c r="C1275" s="505"/>
      <c r="D1275" s="505"/>
      <c r="E1275" s="505"/>
    </row>
    <row r="1276">
      <c r="A1276" s="504"/>
      <c r="B1276" s="505"/>
      <c r="C1276" s="505"/>
      <c r="D1276" s="505"/>
      <c r="E1276" s="505"/>
    </row>
    <row r="1277">
      <c r="A1277" s="504"/>
      <c r="B1277" s="505"/>
      <c r="C1277" s="505"/>
      <c r="D1277" s="505"/>
      <c r="E1277" s="505"/>
    </row>
    <row r="1278">
      <c r="A1278" s="504"/>
      <c r="B1278" s="505"/>
      <c r="C1278" s="505"/>
      <c r="D1278" s="505"/>
      <c r="E1278" s="505"/>
    </row>
    <row r="1279">
      <c r="A1279" s="504"/>
      <c r="B1279" s="505"/>
      <c r="C1279" s="505"/>
      <c r="D1279" s="505"/>
      <c r="E1279" s="505"/>
    </row>
    <row r="1280">
      <c r="A1280" s="504"/>
      <c r="B1280" s="505"/>
      <c r="C1280" s="505"/>
      <c r="D1280" s="505"/>
      <c r="E1280" s="505"/>
    </row>
    <row r="1281">
      <c r="A1281" s="504"/>
      <c r="B1281" s="505"/>
      <c r="C1281" s="505"/>
      <c r="D1281" s="505"/>
      <c r="E1281" s="505"/>
    </row>
    <row r="1282">
      <c r="A1282" s="504"/>
      <c r="B1282" s="505"/>
      <c r="C1282" s="505"/>
      <c r="D1282" s="505"/>
      <c r="E1282" s="505"/>
    </row>
    <row r="1283">
      <c r="A1283" s="504"/>
      <c r="B1283" s="505"/>
      <c r="C1283" s="505"/>
      <c r="D1283" s="505"/>
      <c r="E1283" s="505"/>
    </row>
    <row r="1284">
      <c r="A1284" s="504"/>
      <c r="B1284" s="505"/>
      <c r="C1284" s="505"/>
      <c r="D1284" s="505"/>
      <c r="E1284" s="505"/>
    </row>
    <row r="1285">
      <c r="A1285" s="504"/>
      <c r="B1285" s="505"/>
      <c r="C1285" s="505"/>
      <c r="D1285" s="505"/>
      <c r="E1285" s="505"/>
    </row>
    <row r="1286">
      <c r="A1286" s="504"/>
      <c r="B1286" s="505"/>
      <c r="C1286" s="505"/>
      <c r="D1286" s="505"/>
      <c r="E1286" s="505"/>
    </row>
    <row r="1287">
      <c r="A1287" s="504"/>
      <c r="B1287" s="505"/>
      <c r="C1287" s="505"/>
      <c r="D1287" s="505"/>
      <c r="E1287" s="505"/>
    </row>
    <row r="1288">
      <c r="A1288" s="504"/>
      <c r="B1288" s="505"/>
      <c r="C1288" s="505"/>
      <c r="D1288" s="505"/>
      <c r="E1288" s="505"/>
    </row>
    <row r="1289">
      <c r="A1289" s="504"/>
      <c r="B1289" s="505"/>
      <c r="C1289" s="505"/>
      <c r="D1289" s="505"/>
      <c r="E1289" s="505"/>
    </row>
    <row r="1290">
      <c r="A1290" s="504"/>
      <c r="B1290" s="505"/>
      <c r="C1290" s="505"/>
      <c r="D1290" s="505"/>
      <c r="E1290" s="505"/>
    </row>
    <row r="1291">
      <c r="A1291" s="504"/>
      <c r="B1291" s="505"/>
      <c r="C1291" s="505"/>
      <c r="D1291" s="505"/>
      <c r="E1291" s="505"/>
    </row>
    <row r="1292">
      <c r="A1292" s="504"/>
      <c r="B1292" s="505"/>
      <c r="C1292" s="505"/>
      <c r="D1292" s="505"/>
      <c r="E1292" s="505"/>
    </row>
    <row r="1293">
      <c r="A1293" s="504"/>
      <c r="B1293" s="505"/>
      <c r="C1293" s="505"/>
      <c r="D1293" s="505"/>
      <c r="E1293" s="505"/>
    </row>
    <row r="1294">
      <c r="A1294" s="504"/>
      <c r="B1294" s="505"/>
      <c r="C1294" s="505"/>
      <c r="D1294" s="505"/>
      <c r="E1294" s="505"/>
    </row>
    <row r="1295">
      <c r="A1295" s="504"/>
      <c r="B1295" s="505"/>
      <c r="C1295" s="505"/>
      <c r="D1295" s="505"/>
      <c r="E1295" s="505"/>
    </row>
    <row r="1296">
      <c r="A1296" s="504"/>
      <c r="B1296" s="505"/>
      <c r="C1296" s="505"/>
      <c r="D1296" s="505"/>
      <c r="E1296" s="505"/>
    </row>
    <row r="1297">
      <c r="A1297" s="504"/>
      <c r="B1297" s="505"/>
      <c r="C1297" s="505"/>
      <c r="D1297" s="505"/>
      <c r="E1297" s="505"/>
    </row>
    <row r="1298">
      <c r="A1298" s="504"/>
      <c r="B1298" s="505"/>
      <c r="C1298" s="505"/>
      <c r="D1298" s="505"/>
      <c r="E1298" s="505"/>
    </row>
    <row r="1299">
      <c r="A1299" s="504"/>
      <c r="B1299" s="505"/>
      <c r="C1299" s="505"/>
      <c r="D1299" s="505"/>
      <c r="E1299" s="505"/>
    </row>
    <row r="1300">
      <c r="A1300" s="504"/>
      <c r="B1300" s="505"/>
      <c r="C1300" s="505"/>
      <c r="D1300" s="505"/>
      <c r="E1300" s="505"/>
    </row>
    <row r="1301">
      <c r="A1301" s="504"/>
      <c r="B1301" s="505"/>
      <c r="C1301" s="505"/>
      <c r="D1301" s="505"/>
      <c r="E1301" s="505"/>
    </row>
    <row r="1302">
      <c r="A1302" s="504"/>
      <c r="B1302" s="505"/>
      <c r="C1302" s="505"/>
      <c r="D1302" s="505"/>
      <c r="E1302" s="505"/>
    </row>
    <row r="1303">
      <c r="A1303" s="504"/>
      <c r="B1303" s="505"/>
      <c r="C1303" s="505"/>
      <c r="D1303" s="505"/>
      <c r="E1303" s="505"/>
    </row>
    <row r="1304">
      <c r="A1304" s="504"/>
      <c r="B1304" s="505"/>
      <c r="C1304" s="505"/>
      <c r="D1304" s="505"/>
      <c r="E1304" s="505"/>
    </row>
    <row r="1305">
      <c r="A1305" s="504"/>
      <c r="B1305" s="505"/>
      <c r="C1305" s="505"/>
      <c r="D1305" s="505"/>
      <c r="E1305" s="505"/>
    </row>
    <row r="1306">
      <c r="A1306" s="504"/>
      <c r="B1306" s="505"/>
      <c r="C1306" s="505"/>
      <c r="D1306" s="505"/>
      <c r="E1306" s="505"/>
    </row>
    <row r="1307">
      <c r="A1307" s="504"/>
      <c r="B1307" s="505"/>
      <c r="C1307" s="505"/>
      <c r="D1307" s="505"/>
      <c r="E1307" s="505"/>
    </row>
    <row r="1308">
      <c r="A1308" s="504"/>
      <c r="B1308" s="505"/>
      <c r="C1308" s="505"/>
      <c r="D1308" s="505"/>
      <c r="E1308" s="505"/>
    </row>
    <row r="1309">
      <c r="A1309" s="504"/>
      <c r="B1309" s="505"/>
      <c r="C1309" s="505"/>
      <c r="D1309" s="505"/>
      <c r="E1309" s="505"/>
    </row>
    <row r="1310">
      <c r="A1310" s="504"/>
      <c r="B1310" s="505"/>
      <c r="C1310" s="505"/>
      <c r="D1310" s="505"/>
      <c r="E1310" s="505"/>
    </row>
    <row r="1311">
      <c r="A1311" s="504"/>
      <c r="B1311" s="505"/>
      <c r="C1311" s="505"/>
      <c r="D1311" s="505"/>
      <c r="E1311" s="505"/>
    </row>
    <row r="1312">
      <c r="A1312" s="504"/>
      <c r="B1312" s="505"/>
      <c r="C1312" s="505"/>
      <c r="D1312" s="505"/>
      <c r="E1312" s="505"/>
    </row>
    <row r="1313">
      <c r="A1313" s="504"/>
      <c r="B1313" s="505"/>
      <c r="C1313" s="505"/>
      <c r="D1313" s="505"/>
      <c r="E1313" s="505"/>
    </row>
    <row r="1314">
      <c r="A1314" s="504"/>
      <c r="B1314" s="505"/>
      <c r="C1314" s="505"/>
      <c r="D1314" s="505"/>
      <c r="E1314" s="505"/>
    </row>
    <row r="1315">
      <c r="A1315" s="504"/>
      <c r="B1315" s="505"/>
      <c r="C1315" s="505"/>
      <c r="D1315" s="505"/>
      <c r="E1315" s="505"/>
    </row>
    <row r="1316">
      <c r="A1316" s="504"/>
      <c r="B1316" s="505"/>
      <c r="C1316" s="505"/>
      <c r="D1316" s="505"/>
      <c r="E1316" s="505"/>
    </row>
    <row r="1317">
      <c r="A1317" s="504"/>
      <c r="B1317" s="505"/>
      <c r="C1317" s="505"/>
      <c r="D1317" s="505"/>
      <c r="E1317" s="505"/>
    </row>
    <row r="1318">
      <c r="A1318" s="504"/>
      <c r="B1318" s="505"/>
      <c r="C1318" s="505"/>
      <c r="D1318" s="505"/>
      <c r="E1318" s="505"/>
    </row>
    <row r="1319">
      <c r="A1319" s="504"/>
      <c r="B1319" s="505"/>
      <c r="C1319" s="505"/>
      <c r="D1319" s="505"/>
      <c r="E1319" s="505"/>
    </row>
    <row r="1320">
      <c r="A1320" s="504"/>
      <c r="B1320" s="505"/>
      <c r="C1320" s="505"/>
      <c r="D1320" s="505"/>
      <c r="E1320" s="505"/>
    </row>
    <row r="1321">
      <c r="A1321" s="504"/>
      <c r="B1321" s="505"/>
      <c r="C1321" s="505"/>
      <c r="D1321" s="505"/>
      <c r="E1321" s="505"/>
    </row>
    <row r="1322">
      <c r="A1322" s="504"/>
      <c r="B1322" s="505"/>
      <c r="C1322" s="505"/>
      <c r="D1322" s="505"/>
      <c r="E1322" s="505"/>
    </row>
    <row r="1323">
      <c r="A1323" s="504"/>
      <c r="B1323" s="505"/>
      <c r="C1323" s="505"/>
      <c r="D1323" s="505"/>
      <c r="E1323" s="505"/>
    </row>
    <row r="1324">
      <c r="A1324" s="504"/>
      <c r="B1324" s="505"/>
      <c r="C1324" s="505"/>
      <c r="D1324" s="505"/>
      <c r="E1324" s="505"/>
    </row>
    <row r="1325">
      <c r="A1325" s="504"/>
      <c r="B1325" s="505"/>
      <c r="C1325" s="505"/>
      <c r="D1325" s="505"/>
      <c r="E1325" s="505"/>
    </row>
    <row r="1326">
      <c r="A1326" s="504"/>
      <c r="B1326" s="505"/>
      <c r="C1326" s="505"/>
      <c r="D1326" s="505"/>
      <c r="E1326" s="505"/>
    </row>
    <row r="1327">
      <c r="A1327" s="504"/>
      <c r="B1327" s="505"/>
      <c r="C1327" s="505"/>
      <c r="D1327" s="505"/>
      <c r="E1327" s="505"/>
    </row>
    <row r="1328">
      <c r="A1328" s="504"/>
      <c r="B1328" s="505"/>
      <c r="C1328" s="505"/>
      <c r="D1328" s="505"/>
      <c r="E1328" s="505"/>
    </row>
    <row r="1329">
      <c r="A1329" s="504"/>
      <c r="B1329" s="505"/>
      <c r="C1329" s="505"/>
      <c r="D1329" s="505"/>
      <c r="E1329" s="505"/>
    </row>
    <row r="1330">
      <c r="A1330" s="504"/>
      <c r="B1330" s="505"/>
      <c r="C1330" s="505"/>
      <c r="D1330" s="505"/>
      <c r="E1330" s="505"/>
    </row>
    <row r="1331">
      <c r="A1331" s="504"/>
      <c r="B1331" s="505"/>
      <c r="C1331" s="505"/>
      <c r="D1331" s="505"/>
      <c r="E1331" s="505"/>
    </row>
    <row r="1332">
      <c r="A1332" s="504"/>
      <c r="B1332" s="505"/>
      <c r="C1332" s="505"/>
      <c r="D1332" s="505"/>
      <c r="E1332" s="505"/>
    </row>
    <row r="1333">
      <c r="A1333" s="504"/>
      <c r="B1333" s="505"/>
      <c r="C1333" s="505"/>
      <c r="D1333" s="505"/>
      <c r="E1333" s="505"/>
    </row>
    <row r="1334">
      <c r="A1334" s="504"/>
      <c r="B1334" s="505"/>
      <c r="C1334" s="505"/>
      <c r="D1334" s="505"/>
      <c r="E1334" s="505"/>
    </row>
    <row r="1335">
      <c r="A1335" s="504"/>
      <c r="B1335" s="505"/>
      <c r="C1335" s="505"/>
      <c r="D1335" s="505"/>
      <c r="E1335" s="505"/>
    </row>
    <row r="1336">
      <c r="A1336" s="504"/>
      <c r="B1336" s="505"/>
      <c r="C1336" s="505"/>
      <c r="D1336" s="505"/>
      <c r="E1336" s="505"/>
    </row>
    <row r="1337">
      <c r="A1337" s="504"/>
      <c r="B1337" s="505"/>
      <c r="C1337" s="505"/>
      <c r="D1337" s="505"/>
      <c r="E1337" s="505"/>
    </row>
    <row r="1338">
      <c r="A1338" s="504"/>
      <c r="B1338" s="505"/>
      <c r="C1338" s="505"/>
      <c r="D1338" s="505"/>
      <c r="E1338" s="505"/>
    </row>
    <row r="1339">
      <c r="A1339" s="504"/>
      <c r="B1339" s="505"/>
      <c r="C1339" s="505"/>
      <c r="D1339" s="505"/>
      <c r="E1339" s="505"/>
    </row>
    <row r="1340">
      <c r="A1340" s="504"/>
      <c r="B1340" s="505"/>
      <c r="C1340" s="505"/>
      <c r="D1340" s="505"/>
      <c r="E1340" s="505"/>
    </row>
    <row r="1341">
      <c r="A1341" s="504"/>
      <c r="B1341" s="505"/>
      <c r="C1341" s="505"/>
      <c r="D1341" s="505"/>
      <c r="E1341" s="505"/>
    </row>
    <row r="1342">
      <c r="A1342" s="504"/>
      <c r="B1342" s="505"/>
      <c r="C1342" s="505"/>
      <c r="D1342" s="505"/>
      <c r="E1342" s="505"/>
    </row>
    <row r="1343">
      <c r="A1343" s="504"/>
      <c r="B1343" s="505"/>
      <c r="C1343" s="505"/>
      <c r="D1343" s="505"/>
      <c r="E1343" s="505"/>
    </row>
    <row r="1344">
      <c r="A1344" s="504"/>
      <c r="B1344" s="505"/>
      <c r="C1344" s="505"/>
      <c r="D1344" s="505"/>
      <c r="E1344" s="505"/>
    </row>
    <row r="1345">
      <c r="A1345" s="504"/>
      <c r="B1345" s="505"/>
      <c r="C1345" s="505"/>
      <c r="D1345" s="505"/>
      <c r="E1345" s="505"/>
    </row>
    <row r="1346">
      <c r="A1346" s="504"/>
      <c r="B1346" s="505"/>
      <c r="C1346" s="505"/>
      <c r="D1346" s="505"/>
      <c r="E1346" s="505"/>
    </row>
    <row r="1347">
      <c r="A1347" s="504"/>
      <c r="B1347" s="505"/>
      <c r="C1347" s="505"/>
      <c r="D1347" s="505"/>
      <c r="E1347" s="505"/>
    </row>
    <row r="1348">
      <c r="A1348" s="504"/>
      <c r="B1348" s="505"/>
      <c r="C1348" s="505"/>
      <c r="D1348" s="505"/>
      <c r="E1348" s="505"/>
    </row>
    <row r="1349">
      <c r="A1349" s="504"/>
      <c r="B1349" s="505"/>
      <c r="C1349" s="505"/>
      <c r="D1349" s="505"/>
      <c r="E1349" s="505"/>
    </row>
    <row r="1350">
      <c r="A1350" s="504"/>
      <c r="B1350" s="505"/>
      <c r="C1350" s="505"/>
      <c r="D1350" s="505"/>
      <c r="E1350" s="505"/>
    </row>
    <row r="1351">
      <c r="A1351" s="504"/>
      <c r="B1351" s="505"/>
      <c r="C1351" s="505"/>
      <c r="D1351" s="505"/>
      <c r="E1351" s="505"/>
    </row>
    <row r="1352">
      <c r="A1352" s="504"/>
      <c r="B1352" s="505"/>
      <c r="C1352" s="505"/>
      <c r="D1352" s="505"/>
      <c r="E1352" s="505"/>
    </row>
    <row r="1353">
      <c r="A1353" s="504"/>
      <c r="B1353" s="505"/>
      <c r="C1353" s="505"/>
      <c r="D1353" s="505"/>
      <c r="E1353" s="505"/>
    </row>
    <row r="1354">
      <c r="A1354" s="504"/>
      <c r="B1354" s="505"/>
      <c r="C1354" s="505"/>
      <c r="D1354" s="505"/>
      <c r="E1354" s="505"/>
    </row>
    <row r="1355">
      <c r="A1355" s="504"/>
      <c r="B1355" s="505"/>
      <c r="C1355" s="505"/>
      <c r="D1355" s="505"/>
      <c r="E1355" s="505"/>
    </row>
    <row r="1356">
      <c r="A1356" s="504"/>
      <c r="B1356" s="505"/>
      <c r="C1356" s="505"/>
      <c r="D1356" s="505"/>
      <c r="E1356" s="505"/>
    </row>
    <row r="1357">
      <c r="A1357" s="504"/>
      <c r="B1357" s="505"/>
      <c r="C1357" s="505"/>
      <c r="D1357" s="505"/>
      <c r="E1357" s="505"/>
    </row>
    <row r="1358">
      <c r="A1358" s="504"/>
      <c r="B1358" s="505"/>
      <c r="C1358" s="505"/>
      <c r="D1358" s="505"/>
      <c r="E1358" s="505"/>
    </row>
    <row r="1359">
      <c r="A1359" s="504"/>
      <c r="B1359" s="505"/>
      <c r="C1359" s="505"/>
      <c r="D1359" s="505"/>
      <c r="E1359" s="505"/>
    </row>
    <row r="1360">
      <c r="A1360" s="504"/>
      <c r="B1360" s="505"/>
      <c r="C1360" s="505"/>
      <c r="D1360" s="505"/>
      <c r="E1360" s="505"/>
    </row>
    <row r="1361">
      <c r="A1361" s="504"/>
      <c r="B1361" s="505"/>
      <c r="C1361" s="505"/>
      <c r="D1361" s="505"/>
      <c r="E1361" s="505"/>
    </row>
    <row r="1362">
      <c r="A1362" s="504"/>
      <c r="B1362" s="505"/>
      <c r="C1362" s="505"/>
      <c r="D1362" s="505"/>
      <c r="E1362" s="505"/>
    </row>
    <row r="1363">
      <c r="A1363" s="504"/>
      <c r="B1363" s="505"/>
      <c r="C1363" s="505"/>
      <c r="D1363" s="505"/>
      <c r="E1363" s="505"/>
    </row>
    <row r="1364">
      <c r="A1364" s="504"/>
      <c r="B1364" s="505"/>
      <c r="C1364" s="505"/>
      <c r="D1364" s="505"/>
      <c r="E1364" s="505"/>
    </row>
    <row r="1365">
      <c r="A1365" s="504"/>
      <c r="B1365" s="505"/>
      <c r="C1365" s="505"/>
      <c r="D1365" s="505"/>
      <c r="E1365" s="505"/>
    </row>
    <row r="1366">
      <c r="A1366" s="504"/>
      <c r="B1366" s="505"/>
      <c r="C1366" s="505"/>
      <c r="D1366" s="505"/>
      <c r="E1366" s="505"/>
    </row>
    <row r="1367">
      <c r="A1367" s="504"/>
      <c r="B1367" s="505"/>
      <c r="C1367" s="505"/>
      <c r="D1367" s="505"/>
      <c r="E1367" s="505"/>
    </row>
    <row r="1368">
      <c r="A1368" s="504"/>
      <c r="B1368" s="505"/>
      <c r="C1368" s="505"/>
      <c r="D1368" s="505"/>
      <c r="E1368" s="505"/>
    </row>
    <row r="1369">
      <c r="A1369" s="504"/>
      <c r="B1369" s="505"/>
      <c r="C1369" s="505"/>
      <c r="D1369" s="505"/>
      <c r="E1369" s="505"/>
    </row>
    <row r="1370">
      <c r="A1370" s="504"/>
      <c r="B1370" s="505"/>
      <c r="C1370" s="505"/>
      <c r="D1370" s="505"/>
      <c r="E1370" s="505"/>
    </row>
    <row r="1371">
      <c r="A1371" s="504"/>
      <c r="B1371" s="505"/>
      <c r="C1371" s="505"/>
      <c r="D1371" s="505"/>
      <c r="E1371" s="505"/>
    </row>
    <row r="1372">
      <c r="A1372" s="504"/>
      <c r="B1372" s="505"/>
      <c r="C1372" s="505"/>
      <c r="D1372" s="505"/>
      <c r="E1372" s="505"/>
    </row>
    <row r="1373">
      <c r="A1373" s="504"/>
      <c r="B1373" s="505"/>
      <c r="C1373" s="505"/>
      <c r="D1373" s="505"/>
      <c r="E1373" s="505"/>
    </row>
    <row r="1374">
      <c r="A1374" s="504"/>
      <c r="B1374" s="505"/>
      <c r="C1374" s="505"/>
      <c r="D1374" s="505"/>
      <c r="E1374" s="505"/>
    </row>
    <row r="1375">
      <c r="A1375" s="504"/>
      <c r="B1375" s="505"/>
      <c r="C1375" s="505"/>
      <c r="D1375" s="505"/>
      <c r="E1375" s="505"/>
    </row>
    <row r="1376">
      <c r="A1376" s="504"/>
      <c r="B1376" s="505"/>
      <c r="C1376" s="505"/>
      <c r="D1376" s="505"/>
      <c r="E1376" s="505"/>
    </row>
    <row r="1377">
      <c r="A1377" s="504"/>
      <c r="B1377" s="505"/>
      <c r="C1377" s="505"/>
      <c r="D1377" s="505"/>
      <c r="E1377" s="505"/>
    </row>
    <row r="1378">
      <c r="A1378" s="504"/>
      <c r="B1378" s="505"/>
      <c r="C1378" s="505"/>
      <c r="D1378" s="505"/>
      <c r="E1378" s="505"/>
    </row>
    <row r="1379">
      <c r="A1379" s="504"/>
      <c r="B1379" s="505"/>
      <c r="C1379" s="505"/>
      <c r="D1379" s="505"/>
      <c r="E1379" s="505"/>
    </row>
    <row r="1380">
      <c r="A1380" s="504"/>
      <c r="B1380" s="505"/>
      <c r="C1380" s="505"/>
      <c r="D1380" s="505"/>
      <c r="E1380" s="505"/>
    </row>
    <row r="1381">
      <c r="A1381" s="504"/>
      <c r="B1381" s="505"/>
      <c r="C1381" s="505"/>
      <c r="D1381" s="505"/>
      <c r="E1381" s="505"/>
    </row>
    <row r="1382">
      <c r="A1382" s="504"/>
      <c r="B1382" s="505"/>
      <c r="C1382" s="505"/>
      <c r="D1382" s="505"/>
      <c r="E1382" s="505"/>
    </row>
    <row r="1383">
      <c r="A1383" s="504"/>
      <c r="B1383" s="505"/>
      <c r="C1383" s="505"/>
      <c r="D1383" s="505"/>
      <c r="E1383" s="505"/>
    </row>
    <row r="1384">
      <c r="A1384" s="504"/>
      <c r="B1384" s="505"/>
      <c r="C1384" s="505"/>
      <c r="D1384" s="505"/>
      <c r="E1384" s="505"/>
    </row>
    <row r="1385">
      <c r="A1385" s="504"/>
      <c r="B1385" s="505"/>
      <c r="C1385" s="505"/>
      <c r="D1385" s="505"/>
      <c r="E1385" s="505"/>
    </row>
    <row r="1386">
      <c r="A1386" s="504"/>
      <c r="B1386" s="505"/>
      <c r="C1386" s="505"/>
      <c r="D1386" s="505"/>
      <c r="E1386" s="505"/>
    </row>
    <row r="1387">
      <c r="A1387" s="504"/>
      <c r="B1387" s="505"/>
      <c r="C1387" s="505"/>
      <c r="D1387" s="505"/>
      <c r="E1387" s="505"/>
    </row>
    <row r="1388">
      <c r="A1388" s="504"/>
      <c r="B1388" s="505"/>
      <c r="C1388" s="505"/>
      <c r="D1388" s="505"/>
      <c r="E1388" s="505"/>
    </row>
    <row r="1389">
      <c r="A1389" s="504"/>
      <c r="B1389" s="505"/>
      <c r="C1389" s="505"/>
      <c r="D1389" s="505"/>
      <c r="E1389" s="505"/>
    </row>
    <row r="1390">
      <c r="A1390" s="504"/>
      <c r="B1390" s="505"/>
      <c r="C1390" s="505"/>
      <c r="D1390" s="505"/>
      <c r="E1390" s="505"/>
    </row>
    <row r="1391">
      <c r="A1391" s="504"/>
      <c r="B1391" s="505"/>
      <c r="C1391" s="505"/>
      <c r="D1391" s="505"/>
      <c r="E1391" s="505"/>
    </row>
    <row r="1392">
      <c r="A1392" s="504"/>
      <c r="B1392" s="505"/>
      <c r="C1392" s="505"/>
      <c r="D1392" s="505"/>
      <c r="E1392" s="505"/>
    </row>
    <row r="1393">
      <c r="A1393" s="504"/>
      <c r="B1393" s="505"/>
      <c r="C1393" s="505"/>
      <c r="D1393" s="505"/>
      <c r="E1393" s="505"/>
    </row>
    <row r="1394">
      <c r="A1394" s="504"/>
      <c r="B1394" s="505"/>
      <c r="C1394" s="505"/>
      <c r="D1394" s="505"/>
      <c r="E1394" s="505"/>
    </row>
    <row r="1395">
      <c r="A1395" s="504"/>
      <c r="B1395" s="505"/>
      <c r="C1395" s="505"/>
      <c r="D1395" s="505"/>
      <c r="E1395" s="505"/>
    </row>
    <row r="1396">
      <c r="A1396" s="504"/>
      <c r="B1396" s="505"/>
      <c r="C1396" s="505"/>
      <c r="D1396" s="505"/>
      <c r="E1396" s="505"/>
    </row>
    <row r="1397">
      <c r="A1397" s="504"/>
      <c r="B1397" s="505"/>
      <c r="C1397" s="505"/>
      <c r="D1397" s="505"/>
      <c r="E1397" s="505"/>
    </row>
    <row r="1398">
      <c r="A1398" s="504"/>
      <c r="B1398" s="505"/>
      <c r="C1398" s="505"/>
      <c r="D1398" s="505"/>
      <c r="E1398" s="505"/>
    </row>
    <row r="1399">
      <c r="A1399" s="504"/>
      <c r="B1399" s="505"/>
      <c r="C1399" s="505"/>
      <c r="D1399" s="505"/>
      <c r="E1399" s="505"/>
    </row>
    <row r="1400">
      <c r="A1400" s="504"/>
      <c r="B1400" s="505"/>
      <c r="C1400" s="505"/>
      <c r="D1400" s="505"/>
      <c r="E1400" s="505"/>
    </row>
    <row r="1401">
      <c r="A1401" s="504"/>
      <c r="B1401" s="505"/>
      <c r="C1401" s="505"/>
      <c r="D1401" s="505"/>
      <c r="E1401" s="505"/>
    </row>
    <row r="1402">
      <c r="A1402" s="504"/>
      <c r="B1402" s="505"/>
      <c r="C1402" s="505"/>
      <c r="D1402" s="505"/>
      <c r="E1402" s="505"/>
    </row>
    <row r="1403">
      <c r="A1403" s="504"/>
      <c r="B1403" s="505"/>
      <c r="C1403" s="505"/>
      <c r="D1403" s="505"/>
      <c r="E1403" s="505"/>
    </row>
    <row r="1404">
      <c r="A1404" s="504"/>
      <c r="B1404" s="505"/>
      <c r="C1404" s="505"/>
      <c r="D1404" s="505"/>
      <c r="E1404" s="505"/>
    </row>
    <row r="1405">
      <c r="A1405" s="504"/>
      <c r="B1405" s="505"/>
      <c r="C1405" s="505"/>
      <c r="D1405" s="505"/>
      <c r="E1405" s="505"/>
    </row>
    <row r="1406">
      <c r="A1406" s="504"/>
      <c r="B1406" s="505"/>
      <c r="C1406" s="505"/>
      <c r="D1406" s="505"/>
      <c r="E1406" s="505"/>
    </row>
    <row r="1407">
      <c r="A1407" s="504"/>
      <c r="B1407" s="505"/>
      <c r="C1407" s="505"/>
      <c r="D1407" s="505"/>
      <c r="E1407" s="505"/>
    </row>
    <row r="1408">
      <c r="A1408" s="504"/>
      <c r="B1408" s="505"/>
      <c r="C1408" s="505"/>
      <c r="D1408" s="505"/>
      <c r="E1408" s="505"/>
    </row>
    <row r="1409">
      <c r="A1409" s="504"/>
      <c r="B1409" s="505"/>
      <c r="C1409" s="505"/>
      <c r="D1409" s="505"/>
      <c r="E1409" s="505"/>
    </row>
    <row r="1410">
      <c r="A1410" s="504"/>
      <c r="B1410" s="505"/>
      <c r="C1410" s="505"/>
      <c r="D1410" s="505"/>
      <c r="E1410" s="505"/>
    </row>
    <row r="1411">
      <c r="A1411" s="504"/>
      <c r="B1411" s="505"/>
      <c r="C1411" s="505"/>
      <c r="D1411" s="505"/>
      <c r="E1411" s="505"/>
    </row>
    <row r="1412">
      <c r="A1412" s="504"/>
      <c r="B1412" s="505"/>
      <c r="C1412" s="505"/>
      <c r="D1412" s="505"/>
      <c r="E1412" s="505"/>
    </row>
    <row r="1413">
      <c r="A1413" s="504"/>
      <c r="B1413" s="505"/>
      <c r="C1413" s="505"/>
      <c r="D1413" s="505"/>
      <c r="E1413" s="505"/>
    </row>
    <row r="1414">
      <c r="A1414" s="504"/>
      <c r="B1414" s="505"/>
      <c r="C1414" s="505"/>
      <c r="D1414" s="505"/>
      <c r="E1414" s="505"/>
    </row>
    <row r="1415">
      <c r="A1415" s="504"/>
      <c r="B1415" s="505"/>
      <c r="C1415" s="505"/>
      <c r="D1415" s="505"/>
      <c r="E1415" s="505"/>
    </row>
    <row r="1416">
      <c r="A1416" s="504"/>
      <c r="B1416" s="505"/>
      <c r="C1416" s="505"/>
      <c r="D1416" s="505"/>
      <c r="E1416" s="505"/>
    </row>
    <row r="1417">
      <c r="A1417" s="504"/>
      <c r="B1417" s="505"/>
      <c r="C1417" s="505"/>
      <c r="D1417" s="505"/>
      <c r="E1417" s="505"/>
    </row>
    <row r="1418">
      <c r="A1418" s="504"/>
      <c r="B1418" s="505"/>
      <c r="C1418" s="505"/>
      <c r="D1418" s="505"/>
      <c r="E1418" s="505"/>
    </row>
    <row r="1419">
      <c r="A1419" s="504"/>
      <c r="B1419" s="505"/>
      <c r="C1419" s="505"/>
      <c r="D1419" s="505"/>
      <c r="E1419" s="505"/>
    </row>
    <row r="1420">
      <c r="A1420" s="504"/>
      <c r="B1420" s="505"/>
      <c r="C1420" s="505"/>
      <c r="D1420" s="505"/>
      <c r="E1420" s="505"/>
    </row>
    <row r="1421">
      <c r="A1421" s="504"/>
      <c r="B1421" s="505"/>
      <c r="C1421" s="505"/>
      <c r="D1421" s="505"/>
      <c r="E1421" s="505"/>
    </row>
    <row r="1422">
      <c r="A1422" s="504"/>
      <c r="B1422" s="505"/>
      <c r="C1422" s="505"/>
      <c r="D1422" s="505"/>
      <c r="E1422" s="505"/>
    </row>
    <row r="1423">
      <c r="A1423" s="504"/>
      <c r="B1423" s="505"/>
      <c r="C1423" s="505"/>
      <c r="D1423" s="505"/>
      <c r="E1423" s="505"/>
    </row>
    <row r="1424">
      <c r="A1424" s="504"/>
      <c r="B1424" s="505"/>
      <c r="C1424" s="505"/>
      <c r="D1424" s="505"/>
      <c r="E1424" s="505"/>
    </row>
    <row r="1425">
      <c r="A1425" s="504"/>
      <c r="B1425" s="505"/>
      <c r="C1425" s="505"/>
      <c r="D1425" s="505"/>
      <c r="E1425" s="505"/>
    </row>
    <row r="1426">
      <c r="A1426" s="504"/>
      <c r="B1426" s="505"/>
      <c r="C1426" s="505"/>
      <c r="D1426" s="505"/>
      <c r="E1426" s="505"/>
    </row>
    <row r="1427">
      <c r="A1427" s="504"/>
      <c r="B1427" s="505"/>
      <c r="C1427" s="505"/>
      <c r="D1427" s="505"/>
      <c r="E1427" s="505"/>
    </row>
    <row r="1428">
      <c r="A1428" s="504"/>
      <c r="B1428" s="505"/>
      <c r="C1428" s="505"/>
      <c r="D1428" s="505"/>
      <c r="E1428" s="505"/>
    </row>
    <row r="1429">
      <c r="A1429" s="504"/>
      <c r="B1429" s="505"/>
      <c r="C1429" s="505"/>
      <c r="D1429" s="505"/>
      <c r="E1429" s="505"/>
    </row>
    <row r="1430">
      <c r="A1430" s="504"/>
      <c r="B1430" s="505"/>
      <c r="C1430" s="505"/>
      <c r="D1430" s="505"/>
      <c r="E1430" s="505"/>
    </row>
    <row r="1431">
      <c r="A1431" s="504"/>
      <c r="B1431" s="505"/>
      <c r="C1431" s="505"/>
      <c r="D1431" s="505"/>
      <c r="E1431" s="505"/>
    </row>
    <row r="1432">
      <c r="A1432" s="504"/>
      <c r="B1432" s="505"/>
      <c r="C1432" s="505"/>
      <c r="D1432" s="505"/>
      <c r="E1432" s="505"/>
    </row>
    <row r="1433">
      <c r="A1433" s="504"/>
      <c r="B1433" s="505"/>
      <c r="C1433" s="505"/>
      <c r="D1433" s="505"/>
      <c r="E1433" s="505"/>
    </row>
    <row r="1434">
      <c r="A1434" s="504"/>
      <c r="B1434" s="505"/>
      <c r="C1434" s="505"/>
      <c r="D1434" s="505"/>
      <c r="E1434" s="505"/>
    </row>
    <row r="1435">
      <c r="A1435" s="504"/>
      <c r="B1435" s="505"/>
      <c r="C1435" s="505"/>
      <c r="D1435" s="505"/>
      <c r="E1435" s="505"/>
    </row>
    <row r="1436">
      <c r="A1436" s="504"/>
      <c r="B1436" s="505"/>
      <c r="C1436" s="505"/>
      <c r="D1436" s="505"/>
      <c r="E1436" s="505"/>
    </row>
    <row r="1437">
      <c r="A1437" s="504"/>
      <c r="B1437" s="505"/>
      <c r="C1437" s="505"/>
      <c r="D1437" s="505"/>
      <c r="E1437" s="505"/>
    </row>
    <row r="1438">
      <c r="A1438" s="504"/>
      <c r="B1438" s="505"/>
      <c r="C1438" s="505"/>
      <c r="D1438" s="505"/>
      <c r="E1438" s="505"/>
    </row>
    <row r="1439">
      <c r="A1439" s="504"/>
      <c r="B1439" s="505"/>
      <c r="C1439" s="505"/>
      <c r="D1439" s="505"/>
      <c r="E1439" s="505"/>
    </row>
    <row r="1440">
      <c r="A1440" s="504"/>
      <c r="B1440" s="505"/>
      <c r="C1440" s="505"/>
      <c r="D1440" s="505"/>
      <c r="E1440" s="505"/>
    </row>
    <row r="1441">
      <c r="A1441" s="504"/>
      <c r="B1441" s="505"/>
      <c r="C1441" s="505"/>
      <c r="D1441" s="505"/>
      <c r="E1441" s="505"/>
    </row>
    <row r="1442">
      <c r="A1442" s="504"/>
      <c r="B1442" s="505"/>
      <c r="C1442" s="505"/>
      <c r="D1442" s="505"/>
      <c r="E1442" s="505"/>
    </row>
    <row r="1443">
      <c r="A1443" s="504"/>
      <c r="B1443" s="505"/>
      <c r="C1443" s="505"/>
      <c r="D1443" s="505"/>
      <c r="E1443" s="505"/>
    </row>
    <row r="1444">
      <c r="A1444" s="504"/>
      <c r="B1444" s="505"/>
      <c r="C1444" s="505"/>
      <c r="D1444" s="505"/>
      <c r="E1444" s="505"/>
    </row>
    <row r="1445">
      <c r="A1445" s="504"/>
      <c r="B1445" s="505"/>
      <c r="C1445" s="505"/>
      <c r="D1445" s="505"/>
      <c r="E1445" s="505"/>
    </row>
    <row r="1446">
      <c r="A1446" s="504"/>
      <c r="B1446" s="505"/>
      <c r="C1446" s="505"/>
      <c r="D1446" s="505"/>
      <c r="E1446" s="505"/>
    </row>
    <row r="1447">
      <c r="A1447" s="504"/>
      <c r="B1447" s="505"/>
      <c r="C1447" s="505"/>
      <c r="D1447" s="505"/>
      <c r="E1447" s="505"/>
    </row>
    <row r="1448">
      <c r="A1448" s="504"/>
      <c r="B1448" s="505"/>
      <c r="C1448" s="505"/>
      <c r="D1448" s="505"/>
      <c r="E1448" s="505"/>
    </row>
    <row r="1449">
      <c r="A1449" s="504"/>
      <c r="B1449" s="505"/>
      <c r="C1449" s="505"/>
      <c r="D1449" s="505"/>
      <c r="E1449" s="505"/>
    </row>
    <row r="1450">
      <c r="A1450" s="504"/>
      <c r="B1450" s="505"/>
      <c r="C1450" s="505"/>
      <c r="D1450" s="505"/>
      <c r="E1450" s="505"/>
    </row>
    <row r="1451">
      <c r="A1451" s="504"/>
      <c r="B1451" s="505"/>
      <c r="C1451" s="505"/>
      <c r="D1451" s="505"/>
      <c r="E1451" s="505"/>
    </row>
    <row r="1452">
      <c r="A1452" s="504"/>
      <c r="B1452" s="505"/>
      <c r="C1452" s="505"/>
      <c r="D1452" s="505"/>
      <c r="E1452" s="505"/>
    </row>
    <row r="1453">
      <c r="A1453" s="504"/>
      <c r="B1453" s="505"/>
      <c r="C1453" s="505"/>
      <c r="D1453" s="505"/>
      <c r="E1453" s="505"/>
    </row>
    <row r="1454">
      <c r="A1454" s="504"/>
      <c r="B1454" s="505"/>
      <c r="C1454" s="505"/>
      <c r="D1454" s="505"/>
      <c r="E1454" s="505"/>
    </row>
    <row r="1455">
      <c r="A1455" s="504"/>
      <c r="B1455" s="505"/>
      <c r="C1455" s="505"/>
      <c r="D1455" s="505"/>
      <c r="E1455" s="505"/>
    </row>
    <row r="1456">
      <c r="A1456" s="504"/>
      <c r="B1456" s="505"/>
      <c r="C1456" s="505"/>
      <c r="D1456" s="505"/>
      <c r="E1456" s="505"/>
    </row>
    <row r="1457">
      <c r="A1457" s="504"/>
      <c r="B1457" s="505"/>
      <c r="C1457" s="505"/>
      <c r="D1457" s="505"/>
      <c r="E1457" s="505"/>
    </row>
    <row r="1458">
      <c r="A1458" s="504"/>
      <c r="B1458" s="505"/>
      <c r="C1458" s="505"/>
      <c r="D1458" s="505"/>
      <c r="E1458" s="505"/>
    </row>
    <row r="1459">
      <c r="A1459" s="504"/>
      <c r="B1459" s="505"/>
      <c r="C1459" s="505"/>
      <c r="D1459" s="505"/>
      <c r="E1459" s="505"/>
    </row>
    <row r="1460">
      <c r="A1460" s="504"/>
      <c r="B1460" s="505"/>
      <c r="C1460" s="505"/>
      <c r="D1460" s="505"/>
      <c r="E1460" s="505"/>
    </row>
    <row r="1461">
      <c r="A1461" s="504"/>
      <c r="B1461" s="505"/>
      <c r="C1461" s="505"/>
      <c r="D1461" s="505"/>
      <c r="E1461" s="505"/>
    </row>
    <row r="1462">
      <c r="A1462" s="504"/>
      <c r="B1462" s="505"/>
      <c r="C1462" s="505"/>
      <c r="D1462" s="505"/>
      <c r="E1462" s="505"/>
    </row>
    <row r="1463">
      <c r="A1463" s="504"/>
      <c r="B1463" s="505"/>
      <c r="C1463" s="505"/>
      <c r="D1463" s="505"/>
      <c r="E1463" s="505"/>
    </row>
    <row r="1464">
      <c r="A1464" s="504"/>
      <c r="B1464" s="505"/>
      <c r="C1464" s="505"/>
      <c r="D1464" s="505"/>
      <c r="E1464" s="505"/>
    </row>
    <row r="1465">
      <c r="A1465" s="504"/>
      <c r="B1465" s="505"/>
      <c r="C1465" s="505"/>
      <c r="D1465" s="505"/>
      <c r="E1465" s="505"/>
    </row>
    <row r="1466">
      <c r="A1466" s="504"/>
      <c r="B1466" s="505"/>
      <c r="C1466" s="505"/>
      <c r="D1466" s="505"/>
      <c r="E1466" s="505"/>
    </row>
    <row r="1467">
      <c r="A1467" s="504"/>
      <c r="B1467" s="505"/>
      <c r="C1467" s="505"/>
      <c r="D1467" s="505"/>
      <c r="E1467" s="505"/>
    </row>
    <row r="1468">
      <c r="A1468" s="504"/>
      <c r="B1468" s="505"/>
      <c r="C1468" s="505"/>
      <c r="D1468" s="505"/>
      <c r="E1468" s="505"/>
    </row>
    <row r="1469">
      <c r="A1469" s="504"/>
      <c r="B1469" s="505"/>
      <c r="C1469" s="505"/>
      <c r="D1469" s="505"/>
      <c r="E1469" s="505"/>
    </row>
    <row r="1470">
      <c r="A1470" s="504"/>
      <c r="B1470" s="505"/>
      <c r="C1470" s="505"/>
      <c r="D1470" s="505"/>
      <c r="E1470" s="505"/>
    </row>
    <row r="1471">
      <c r="A1471" s="504"/>
      <c r="B1471" s="505"/>
      <c r="C1471" s="505"/>
      <c r="D1471" s="505"/>
      <c r="E1471" s="505"/>
    </row>
    <row r="1472">
      <c r="A1472" s="504"/>
      <c r="B1472" s="505"/>
      <c r="C1472" s="505"/>
      <c r="D1472" s="505"/>
      <c r="E1472" s="505"/>
    </row>
    <row r="1473">
      <c r="A1473" s="504"/>
      <c r="B1473" s="505"/>
      <c r="C1473" s="505"/>
      <c r="D1473" s="505"/>
      <c r="E1473" s="505"/>
    </row>
    <row r="1474">
      <c r="A1474" s="504"/>
      <c r="B1474" s="505"/>
      <c r="C1474" s="505"/>
      <c r="D1474" s="505"/>
      <c r="E1474" s="505"/>
    </row>
    <row r="1475">
      <c r="A1475" s="504"/>
      <c r="B1475" s="505"/>
      <c r="C1475" s="505"/>
      <c r="D1475" s="505"/>
      <c r="E1475" s="505"/>
    </row>
    <row r="1476">
      <c r="A1476" s="504"/>
      <c r="B1476" s="505"/>
      <c r="C1476" s="505"/>
      <c r="D1476" s="505"/>
      <c r="E1476" s="505"/>
    </row>
    <row r="1477">
      <c r="A1477" s="504"/>
      <c r="B1477" s="505"/>
      <c r="C1477" s="505"/>
      <c r="D1477" s="505"/>
      <c r="E1477" s="505"/>
    </row>
    <row r="1478">
      <c r="A1478" s="504"/>
      <c r="B1478" s="505"/>
      <c r="C1478" s="505"/>
      <c r="D1478" s="505"/>
      <c r="E1478" s="505"/>
    </row>
    <row r="1479">
      <c r="A1479" s="504"/>
      <c r="B1479" s="505"/>
      <c r="C1479" s="505"/>
      <c r="D1479" s="505"/>
      <c r="E1479" s="505"/>
    </row>
    <row r="1480">
      <c r="A1480" s="504"/>
      <c r="B1480" s="505"/>
      <c r="C1480" s="505"/>
      <c r="D1480" s="505"/>
      <c r="E1480" s="505"/>
    </row>
    <row r="1481">
      <c r="A1481" s="504"/>
      <c r="B1481" s="505"/>
      <c r="C1481" s="505"/>
      <c r="D1481" s="505"/>
      <c r="E1481" s="505"/>
    </row>
    <row r="1482">
      <c r="A1482" s="504"/>
      <c r="B1482" s="505"/>
      <c r="C1482" s="505"/>
      <c r="D1482" s="505"/>
      <c r="E1482" s="505"/>
    </row>
    <row r="1483">
      <c r="A1483" s="504"/>
      <c r="B1483" s="505"/>
      <c r="C1483" s="505"/>
      <c r="D1483" s="505"/>
      <c r="E1483" s="505"/>
    </row>
    <row r="1484">
      <c r="A1484" s="504"/>
      <c r="B1484" s="505"/>
      <c r="C1484" s="505"/>
      <c r="D1484" s="505"/>
      <c r="E1484" s="505"/>
    </row>
    <row r="1485">
      <c r="A1485" s="504"/>
      <c r="B1485" s="505"/>
      <c r="C1485" s="505"/>
      <c r="D1485" s="505"/>
      <c r="E1485" s="505"/>
    </row>
    <row r="1486">
      <c r="A1486" s="504"/>
      <c r="B1486" s="505"/>
      <c r="C1486" s="505"/>
      <c r="D1486" s="505"/>
      <c r="E1486" s="505"/>
    </row>
    <row r="1487">
      <c r="A1487" s="504"/>
      <c r="B1487" s="505"/>
      <c r="C1487" s="505"/>
      <c r="D1487" s="505"/>
      <c r="E1487" s="505"/>
    </row>
    <row r="1488">
      <c r="A1488" s="504"/>
      <c r="B1488" s="505"/>
      <c r="C1488" s="505"/>
      <c r="D1488" s="505"/>
      <c r="E1488" s="505"/>
    </row>
    <row r="1489">
      <c r="A1489" s="504"/>
      <c r="B1489" s="505"/>
      <c r="C1489" s="505"/>
      <c r="D1489" s="505"/>
      <c r="E1489" s="505"/>
    </row>
    <row r="1490">
      <c r="A1490" s="504"/>
      <c r="B1490" s="505"/>
      <c r="C1490" s="505"/>
      <c r="D1490" s="505"/>
      <c r="E1490" s="505"/>
    </row>
    <row r="1491">
      <c r="A1491" s="504"/>
      <c r="B1491" s="505"/>
      <c r="C1491" s="505"/>
      <c r="D1491" s="505"/>
      <c r="E1491" s="505"/>
    </row>
    <row r="1492">
      <c r="A1492" s="504"/>
      <c r="B1492" s="505"/>
      <c r="C1492" s="505"/>
      <c r="D1492" s="505"/>
      <c r="E1492" s="505"/>
    </row>
    <row r="1493">
      <c r="A1493" s="504"/>
      <c r="B1493" s="505"/>
      <c r="C1493" s="505"/>
      <c r="D1493" s="505"/>
      <c r="E1493" s="505"/>
    </row>
    <row r="1494">
      <c r="A1494" s="504"/>
      <c r="B1494" s="505"/>
      <c r="C1494" s="505"/>
      <c r="D1494" s="505"/>
      <c r="E1494" s="505"/>
    </row>
    <row r="1495">
      <c r="A1495" s="504"/>
      <c r="B1495" s="505"/>
      <c r="C1495" s="505"/>
      <c r="D1495" s="505"/>
      <c r="E1495" s="505"/>
    </row>
    <row r="1496">
      <c r="A1496" s="504"/>
      <c r="B1496" s="505"/>
      <c r="C1496" s="505"/>
      <c r="D1496" s="505"/>
      <c r="E1496" s="505"/>
    </row>
    <row r="1497">
      <c r="A1497" s="504"/>
      <c r="B1497" s="505"/>
      <c r="C1497" s="505"/>
      <c r="D1497" s="505"/>
      <c r="E1497" s="505"/>
    </row>
    <row r="1498">
      <c r="A1498" s="504"/>
      <c r="B1498" s="505"/>
      <c r="C1498" s="505"/>
      <c r="D1498" s="505"/>
      <c r="E1498" s="505"/>
    </row>
    <row r="1499">
      <c r="A1499" s="504"/>
      <c r="B1499" s="505"/>
      <c r="C1499" s="505"/>
      <c r="D1499" s="505"/>
      <c r="E1499" s="505"/>
    </row>
    <row r="1500">
      <c r="A1500" s="504"/>
      <c r="B1500" s="505"/>
      <c r="C1500" s="505"/>
      <c r="D1500" s="505"/>
      <c r="E1500" s="505"/>
    </row>
    <row r="1501">
      <c r="A1501" s="504"/>
      <c r="B1501" s="505"/>
      <c r="C1501" s="505"/>
      <c r="D1501" s="505"/>
      <c r="E1501" s="505"/>
    </row>
    <row r="1502">
      <c r="A1502" s="504"/>
      <c r="B1502" s="505"/>
      <c r="C1502" s="505"/>
      <c r="D1502" s="505"/>
      <c r="E1502" s="505"/>
    </row>
    <row r="1503">
      <c r="A1503" s="504"/>
      <c r="B1503" s="505"/>
      <c r="C1503" s="505"/>
      <c r="D1503" s="505"/>
      <c r="E1503" s="505"/>
    </row>
    <row r="1504">
      <c r="A1504" s="504"/>
      <c r="B1504" s="505"/>
      <c r="C1504" s="505"/>
      <c r="D1504" s="505"/>
      <c r="E1504" s="505"/>
    </row>
    <row r="1505">
      <c r="A1505" s="504"/>
      <c r="B1505" s="505"/>
      <c r="C1505" s="505"/>
      <c r="D1505" s="505"/>
      <c r="E1505" s="505"/>
    </row>
    <row r="1506">
      <c r="A1506" s="504"/>
      <c r="B1506" s="505"/>
      <c r="C1506" s="505"/>
      <c r="D1506" s="505"/>
      <c r="E1506" s="505"/>
    </row>
    <row r="1507">
      <c r="A1507" s="504"/>
      <c r="B1507" s="505"/>
      <c r="C1507" s="505"/>
      <c r="D1507" s="505"/>
      <c r="E1507" s="505"/>
    </row>
    <row r="1508">
      <c r="A1508" s="504"/>
      <c r="B1508" s="505"/>
      <c r="C1508" s="505"/>
      <c r="D1508" s="505"/>
      <c r="E1508" s="505"/>
    </row>
    <row r="1509">
      <c r="A1509" s="504"/>
      <c r="B1509" s="505"/>
      <c r="C1509" s="505"/>
      <c r="D1509" s="505"/>
      <c r="E1509" s="505"/>
    </row>
    <row r="1510">
      <c r="A1510" s="504"/>
      <c r="B1510" s="505"/>
      <c r="C1510" s="505"/>
      <c r="D1510" s="505"/>
      <c r="E1510" s="505"/>
    </row>
    <row r="1511">
      <c r="A1511" s="504"/>
      <c r="B1511" s="505"/>
      <c r="C1511" s="505"/>
      <c r="D1511" s="505"/>
      <c r="E1511" s="505"/>
    </row>
    <row r="1512">
      <c r="A1512" s="504"/>
      <c r="B1512" s="505"/>
      <c r="C1512" s="505"/>
      <c r="D1512" s="505"/>
      <c r="E1512" s="505"/>
    </row>
    <row r="1513">
      <c r="A1513" s="504"/>
      <c r="B1513" s="505"/>
      <c r="C1513" s="505"/>
      <c r="D1513" s="505"/>
      <c r="E1513" s="505"/>
    </row>
    <row r="1514">
      <c r="A1514" s="504"/>
      <c r="B1514" s="505"/>
      <c r="C1514" s="505"/>
      <c r="D1514" s="505"/>
      <c r="E1514" s="505"/>
    </row>
    <row r="1515">
      <c r="A1515" s="504"/>
      <c r="B1515" s="505"/>
      <c r="C1515" s="505"/>
      <c r="D1515" s="505"/>
      <c r="E1515" s="505"/>
    </row>
    <row r="1516">
      <c r="A1516" s="504"/>
      <c r="B1516" s="505"/>
      <c r="C1516" s="505"/>
      <c r="D1516" s="505"/>
      <c r="E1516" s="505"/>
    </row>
    <row r="1517">
      <c r="A1517" s="504"/>
      <c r="B1517" s="505"/>
      <c r="C1517" s="505"/>
      <c r="D1517" s="505"/>
      <c r="E1517" s="505"/>
    </row>
    <row r="1518">
      <c r="A1518" s="504"/>
      <c r="B1518" s="505"/>
      <c r="C1518" s="505"/>
      <c r="D1518" s="505"/>
      <c r="E1518" s="505"/>
    </row>
    <row r="1519">
      <c r="A1519" s="504"/>
      <c r="B1519" s="505"/>
      <c r="C1519" s="505"/>
      <c r="D1519" s="505"/>
      <c r="E1519" s="505"/>
    </row>
    <row r="1520">
      <c r="A1520" s="504"/>
      <c r="B1520" s="505"/>
      <c r="C1520" s="505"/>
      <c r="D1520" s="505"/>
      <c r="E1520" s="505"/>
    </row>
    <row r="1521">
      <c r="A1521" s="504"/>
      <c r="B1521" s="505"/>
      <c r="C1521" s="505"/>
      <c r="D1521" s="505"/>
      <c r="E1521" s="505"/>
    </row>
    <row r="1522">
      <c r="A1522" s="504"/>
      <c r="B1522" s="505"/>
      <c r="C1522" s="505"/>
      <c r="D1522" s="505"/>
      <c r="E1522" s="505"/>
    </row>
    <row r="1523">
      <c r="A1523" s="504"/>
      <c r="B1523" s="505"/>
      <c r="C1523" s="505"/>
      <c r="D1523" s="505"/>
      <c r="E1523" s="505"/>
    </row>
    <row r="1524">
      <c r="A1524" s="504"/>
      <c r="B1524" s="505"/>
      <c r="C1524" s="505"/>
      <c r="D1524" s="505"/>
      <c r="E1524" s="505"/>
    </row>
    <row r="1525">
      <c r="A1525" s="504"/>
      <c r="B1525" s="505"/>
      <c r="C1525" s="505"/>
      <c r="D1525" s="505"/>
      <c r="E1525" s="505"/>
    </row>
    <row r="1526">
      <c r="A1526" s="504"/>
      <c r="B1526" s="505"/>
      <c r="C1526" s="505"/>
      <c r="D1526" s="505"/>
      <c r="E1526" s="505"/>
    </row>
    <row r="1527">
      <c r="A1527" s="504"/>
      <c r="B1527" s="505"/>
      <c r="C1527" s="505"/>
      <c r="D1527" s="505"/>
      <c r="E1527" s="505"/>
    </row>
    <row r="1528">
      <c r="A1528" s="504"/>
      <c r="B1528" s="505"/>
      <c r="C1528" s="505"/>
      <c r="D1528" s="505"/>
      <c r="E1528" s="505"/>
    </row>
    <row r="1529">
      <c r="A1529" s="504"/>
      <c r="B1529" s="505"/>
      <c r="C1529" s="505"/>
      <c r="D1529" s="505"/>
      <c r="E1529" s="505"/>
    </row>
    <row r="1530">
      <c r="A1530" s="504"/>
      <c r="B1530" s="505"/>
      <c r="C1530" s="505"/>
      <c r="D1530" s="505"/>
      <c r="E1530" s="505"/>
    </row>
    <row r="1531">
      <c r="A1531" s="504"/>
      <c r="B1531" s="505"/>
      <c r="C1531" s="505"/>
      <c r="D1531" s="505"/>
      <c r="E1531" s="505"/>
    </row>
    <row r="1532">
      <c r="A1532" s="504"/>
      <c r="B1532" s="505"/>
      <c r="C1532" s="505"/>
      <c r="D1532" s="505"/>
      <c r="E1532" s="505"/>
    </row>
    <row r="1533">
      <c r="A1533" s="504"/>
      <c r="B1533" s="505"/>
      <c r="C1533" s="505"/>
      <c r="D1533" s="505"/>
      <c r="E1533" s="505"/>
    </row>
    <row r="1534">
      <c r="A1534" s="504"/>
      <c r="B1534" s="505"/>
      <c r="C1534" s="505"/>
      <c r="D1534" s="505"/>
      <c r="E1534" s="505"/>
    </row>
    <row r="1535">
      <c r="A1535" s="504"/>
      <c r="B1535" s="505"/>
      <c r="C1535" s="505"/>
      <c r="D1535" s="505"/>
      <c r="E1535" s="505"/>
    </row>
    <row r="1536">
      <c r="A1536" s="504"/>
      <c r="B1536" s="505"/>
      <c r="C1536" s="505"/>
      <c r="D1536" s="505"/>
      <c r="E1536" s="505"/>
    </row>
    <row r="1537">
      <c r="A1537" s="504"/>
      <c r="B1537" s="505"/>
      <c r="C1537" s="505"/>
      <c r="D1537" s="505"/>
      <c r="E1537" s="505"/>
    </row>
    <row r="1538">
      <c r="A1538" s="504"/>
      <c r="B1538" s="505"/>
      <c r="C1538" s="505"/>
      <c r="D1538" s="505"/>
      <c r="E1538" s="505"/>
    </row>
    <row r="1539">
      <c r="A1539" s="504"/>
      <c r="B1539" s="505"/>
      <c r="C1539" s="505"/>
      <c r="D1539" s="505"/>
      <c r="E1539" s="505"/>
    </row>
    <row r="1540">
      <c r="A1540" s="504"/>
      <c r="B1540" s="505"/>
      <c r="C1540" s="505"/>
      <c r="D1540" s="505"/>
      <c r="E1540" s="505"/>
    </row>
    <row r="1541">
      <c r="A1541" s="504"/>
      <c r="B1541" s="505"/>
      <c r="C1541" s="505"/>
      <c r="D1541" s="505"/>
      <c r="E1541" s="505"/>
    </row>
    <row r="1542">
      <c r="A1542" s="504"/>
      <c r="B1542" s="505"/>
      <c r="C1542" s="505"/>
      <c r="D1542" s="505"/>
      <c r="E1542" s="505"/>
    </row>
    <row r="1543">
      <c r="A1543" s="504"/>
      <c r="B1543" s="505"/>
      <c r="C1543" s="505"/>
      <c r="D1543" s="505"/>
      <c r="E1543" s="505"/>
    </row>
    <row r="1544">
      <c r="A1544" s="504"/>
      <c r="B1544" s="505"/>
      <c r="C1544" s="505"/>
      <c r="D1544" s="505"/>
      <c r="E1544" s="505"/>
    </row>
    <row r="1545">
      <c r="A1545" s="504"/>
      <c r="B1545" s="505"/>
      <c r="C1545" s="505"/>
      <c r="D1545" s="505"/>
      <c r="E1545" s="505"/>
    </row>
    <row r="1546">
      <c r="A1546" s="504"/>
      <c r="B1546" s="505"/>
      <c r="C1546" s="505"/>
      <c r="D1546" s="505"/>
      <c r="E1546" s="505"/>
    </row>
    <row r="1547">
      <c r="A1547" s="504"/>
      <c r="B1547" s="505"/>
      <c r="C1547" s="505"/>
      <c r="D1547" s="505"/>
      <c r="E1547" s="505"/>
    </row>
    <row r="1548">
      <c r="A1548" s="504"/>
      <c r="B1548" s="505"/>
      <c r="C1548" s="505"/>
      <c r="D1548" s="505"/>
      <c r="E1548" s="505"/>
    </row>
    <row r="1549">
      <c r="A1549" s="504"/>
      <c r="B1549" s="505"/>
      <c r="C1549" s="505"/>
      <c r="D1549" s="505"/>
      <c r="E1549" s="505"/>
    </row>
    <row r="1550">
      <c r="A1550" s="504"/>
      <c r="B1550" s="505"/>
      <c r="C1550" s="505"/>
      <c r="D1550" s="505"/>
      <c r="E1550" s="505"/>
    </row>
    <row r="1551">
      <c r="A1551" s="504"/>
      <c r="B1551" s="505"/>
      <c r="C1551" s="505"/>
      <c r="D1551" s="505"/>
      <c r="E1551" s="505"/>
    </row>
    <row r="1552">
      <c r="A1552" s="504"/>
      <c r="B1552" s="505"/>
      <c r="C1552" s="505"/>
      <c r="D1552" s="505"/>
      <c r="E1552" s="505"/>
    </row>
    <row r="1553">
      <c r="A1553" s="504"/>
      <c r="B1553" s="505"/>
      <c r="C1553" s="505"/>
      <c r="D1553" s="505"/>
      <c r="E1553" s="505"/>
    </row>
    <row r="1554">
      <c r="A1554" s="504"/>
      <c r="B1554" s="505"/>
      <c r="C1554" s="505"/>
      <c r="D1554" s="505"/>
      <c r="E1554" s="505"/>
    </row>
    <row r="1555">
      <c r="A1555" s="504"/>
      <c r="B1555" s="505"/>
      <c r="C1555" s="505"/>
      <c r="D1555" s="505"/>
      <c r="E1555" s="505"/>
    </row>
    <row r="1556">
      <c r="A1556" s="504"/>
      <c r="B1556" s="505"/>
      <c r="C1556" s="505"/>
      <c r="D1556" s="505"/>
      <c r="E1556" s="505"/>
    </row>
    <row r="1557">
      <c r="A1557" s="504"/>
      <c r="B1557" s="505"/>
      <c r="C1557" s="505"/>
      <c r="D1557" s="505"/>
      <c r="E1557" s="505"/>
    </row>
    <row r="1558">
      <c r="A1558" s="504"/>
      <c r="B1558" s="505"/>
      <c r="C1558" s="505"/>
      <c r="D1558" s="505"/>
      <c r="E1558" s="505"/>
    </row>
    <row r="1559">
      <c r="A1559" s="504"/>
      <c r="B1559" s="505"/>
      <c r="C1559" s="505"/>
      <c r="D1559" s="505"/>
      <c r="E1559" s="505"/>
    </row>
    <row r="1560">
      <c r="A1560" s="504"/>
      <c r="B1560" s="505"/>
      <c r="C1560" s="505"/>
      <c r="D1560" s="505"/>
      <c r="E1560" s="505"/>
    </row>
    <row r="1561">
      <c r="A1561" s="504"/>
      <c r="B1561" s="505"/>
      <c r="C1561" s="505"/>
      <c r="D1561" s="505"/>
      <c r="E1561" s="505"/>
    </row>
    <row r="1562">
      <c r="A1562" s="504"/>
      <c r="B1562" s="505"/>
      <c r="C1562" s="505"/>
      <c r="D1562" s="505"/>
      <c r="E1562" s="505"/>
    </row>
    <row r="1563">
      <c r="A1563" s="504"/>
      <c r="B1563" s="505"/>
      <c r="C1563" s="505"/>
      <c r="D1563" s="505"/>
      <c r="E1563" s="505"/>
    </row>
    <row r="1564">
      <c r="A1564" s="504"/>
      <c r="B1564" s="505"/>
      <c r="C1564" s="505"/>
      <c r="D1564" s="505"/>
      <c r="E1564" s="505"/>
    </row>
    <row r="1565">
      <c r="A1565" s="504"/>
      <c r="B1565" s="505"/>
      <c r="C1565" s="505"/>
      <c r="D1565" s="505"/>
      <c r="E1565" s="505"/>
    </row>
    <row r="1566">
      <c r="A1566" s="504"/>
      <c r="B1566" s="505"/>
      <c r="C1566" s="505"/>
      <c r="D1566" s="505"/>
      <c r="E1566" s="505"/>
    </row>
    <row r="1567">
      <c r="A1567" s="504"/>
      <c r="B1567" s="505"/>
      <c r="C1567" s="505"/>
      <c r="D1567" s="505"/>
      <c r="E1567" s="505"/>
    </row>
    <row r="1568">
      <c r="A1568" s="504"/>
      <c r="B1568" s="505"/>
      <c r="C1568" s="505"/>
      <c r="D1568" s="505"/>
      <c r="E1568" s="505"/>
    </row>
    <row r="1569">
      <c r="A1569" s="504"/>
      <c r="B1569" s="505"/>
      <c r="C1569" s="505"/>
      <c r="D1569" s="505"/>
      <c r="E1569" s="505"/>
    </row>
    <row r="1570">
      <c r="A1570" s="504"/>
      <c r="B1570" s="505"/>
      <c r="C1570" s="505"/>
      <c r="D1570" s="505"/>
      <c r="E1570" s="505"/>
    </row>
    <row r="1571">
      <c r="A1571" s="504"/>
      <c r="B1571" s="505"/>
      <c r="C1571" s="505"/>
      <c r="D1571" s="505"/>
      <c r="E1571" s="505"/>
    </row>
    <row r="1572">
      <c r="A1572" s="504"/>
      <c r="B1572" s="505"/>
      <c r="C1572" s="505"/>
      <c r="D1572" s="505"/>
      <c r="E1572" s="505"/>
    </row>
    <row r="1573">
      <c r="A1573" s="504"/>
      <c r="B1573" s="505"/>
      <c r="C1573" s="505"/>
      <c r="D1573" s="505"/>
      <c r="E1573" s="505"/>
    </row>
    <row r="1574">
      <c r="A1574" s="504"/>
      <c r="B1574" s="505"/>
      <c r="C1574" s="505"/>
      <c r="D1574" s="505"/>
      <c r="E1574" s="505"/>
    </row>
    <row r="1575">
      <c r="A1575" s="504"/>
      <c r="B1575" s="505"/>
      <c r="C1575" s="505"/>
      <c r="D1575" s="505"/>
      <c r="E1575" s="505"/>
    </row>
    <row r="1576">
      <c r="A1576" s="504"/>
      <c r="B1576" s="505"/>
      <c r="C1576" s="505"/>
      <c r="D1576" s="505"/>
      <c r="E1576" s="505"/>
    </row>
    <row r="1577">
      <c r="A1577" s="504"/>
      <c r="B1577" s="505"/>
      <c r="C1577" s="505"/>
      <c r="D1577" s="505"/>
      <c r="E1577" s="505"/>
    </row>
    <row r="1578">
      <c r="A1578" s="504"/>
      <c r="B1578" s="505"/>
      <c r="C1578" s="505"/>
      <c r="D1578" s="505"/>
      <c r="E1578" s="505"/>
    </row>
    <row r="1579">
      <c r="A1579" s="504"/>
      <c r="B1579" s="505"/>
      <c r="C1579" s="505"/>
      <c r="D1579" s="505"/>
      <c r="E1579" s="505"/>
    </row>
    <row r="1580">
      <c r="A1580" s="504"/>
      <c r="B1580" s="505"/>
      <c r="C1580" s="505"/>
      <c r="D1580" s="505"/>
      <c r="E1580" s="505"/>
    </row>
    <row r="1581">
      <c r="A1581" s="504"/>
      <c r="B1581" s="505"/>
      <c r="C1581" s="505"/>
      <c r="D1581" s="505"/>
      <c r="E1581" s="505"/>
    </row>
    <row r="1582">
      <c r="A1582" s="504"/>
      <c r="B1582" s="505"/>
      <c r="C1582" s="505"/>
      <c r="D1582" s="505"/>
      <c r="E1582" s="505"/>
    </row>
    <row r="1583">
      <c r="A1583" s="504"/>
      <c r="B1583" s="505"/>
      <c r="C1583" s="505"/>
      <c r="D1583" s="505"/>
      <c r="E1583" s="505"/>
    </row>
    <row r="1584">
      <c r="A1584" s="504"/>
      <c r="B1584" s="505"/>
      <c r="C1584" s="505"/>
      <c r="D1584" s="505"/>
      <c r="E1584" s="505"/>
    </row>
    <row r="1585">
      <c r="A1585" s="504"/>
      <c r="B1585" s="505"/>
      <c r="C1585" s="505"/>
      <c r="D1585" s="505"/>
      <c r="E1585" s="505"/>
    </row>
    <row r="1586">
      <c r="A1586" s="504"/>
      <c r="B1586" s="505"/>
      <c r="C1586" s="505"/>
      <c r="D1586" s="505"/>
      <c r="E1586" s="505"/>
    </row>
    <row r="1587">
      <c r="A1587" s="504"/>
      <c r="B1587" s="505"/>
      <c r="C1587" s="505"/>
      <c r="D1587" s="505"/>
      <c r="E1587" s="505"/>
    </row>
    <row r="1588">
      <c r="A1588" s="504"/>
      <c r="B1588" s="505"/>
      <c r="C1588" s="505"/>
      <c r="D1588" s="505"/>
      <c r="E1588" s="505"/>
    </row>
    <row r="1589">
      <c r="A1589" s="504"/>
      <c r="B1589" s="505"/>
      <c r="C1589" s="505"/>
      <c r="D1589" s="505"/>
      <c r="E1589" s="505"/>
    </row>
    <row r="1590">
      <c r="A1590" s="504"/>
      <c r="B1590" s="505"/>
      <c r="C1590" s="505"/>
      <c r="D1590" s="505"/>
      <c r="E1590" s="505"/>
    </row>
    <row r="1591">
      <c r="A1591" s="504"/>
      <c r="B1591" s="505"/>
      <c r="C1591" s="505"/>
      <c r="D1591" s="505"/>
      <c r="E1591" s="505"/>
    </row>
    <row r="1592">
      <c r="A1592" s="504"/>
      <c r="B1592" s="505"/>
      <c r="C1592" s="505"/>
      <c r="D1592" s="505"/>
      <c r="E1592" s="505"/>
    </row>
    <row r="1593">
      <c r="A1593" s="504"/>
      <c r="B1593" s="505"/>
      <c r="C1593" s="505"/>
      <c r="D1593" s="505"/>
      <c r="E1593" s="505"/>
    </row>
    <row r="1594">
      <c r="A1594" s="504"/>
      <c r="B1594" s="505"/>
      <c r="C1594" s="505"/>
      <c r="D1594" s="505"/>
      <c r="E1594" s="505"/>
    </row>
    <row r="1595">
      <c r="A1595" s="504"/>
      <c r="B1595" s="505"/>
      <c r="C1595" s="505"/>
      <c r="D1595" s="505"/>
      <c r="E1595" s="505"/>
    </row>
    <row r="1596">
      <c r="A1596" s="504"/>
      <c r="B1596" s="505"/>
      <c r="C1596" s="505"/>
      <c r="D1596" s="505"/>
      <c r="E1596" s="505"/>
    </row>
    <row r="1597">
      <c r="A1597" s="504"/>
      <c r="B1597" s="505"/>
      <c r="C1597" s="505"/>
      <c r="D1597" s="505"/>
      <c r="E1597" s="505"/>
    </row>
    <row r="1598">
      <c r="A1598" s="504"/>
      <c r="B1598" s="505"/>
      <c r="C1598" s="505"/>
      <c r="D1598" s="505"/>
      <c r="E1598" s="505"/>
    </row>
    <row r="1599">
      <c r="A1599" s="504"/>
      <c r="B1599" s="505"/>
      <c r="C1599" s="505"/>
      <c r="D1599" s="505"/>
      <c r="E1599" s="505"/>
    </row>
    <row r="1600">
      <c r="A1600" s="504"/>
      <c r="B1600" s="505"/>
      <c r="C1600" s="505"/>
      <c r="D1600" s="505"/>
      <c r="E1600" s="505"/>
    </row>
    <row r="1601">
      <c r="A1601" s="504"/>
      <c r="B1601" s="505"/>
      <c r="C1601" s="505"/>
      <c r="D1601" s="505"/>
      <c r="E1601" s="505"/>
    </row>
    <row r="1602">
      <c r="A1602" s="504"/>
      <c r="B1602" s="505"/>
      <c r="C1602" s="505"/>
      <c r="D1602" s="505"/>
      <c r="E1602" s="505"/>
    </row>
    <row r="1603">
      <c r="A1603" s="504"/>
      <c r="B1603" s="505"/>
      <c r="C1603" s="505"/>
      <c r="D1603" s="505"/>
      <c r="E1603" s="505"/>
    </row>
    <row r="1604">
      <c r="A1604" s="504"/>
      <c r="B1604" s="505"/>
      <c r="C1604" s="505"/>
      <c r="D1604" s="505"/>
      <c r="E1604" s="505"/>
    </row>
    <row r="1605">
      <c r="A1605" s="504"/>
      <c r="B1605" s="505"/>
      <c r="C1605" s="505"/>
      <c r="D1605" s="505"/>
      <c r="E1605" s="505"/>
    </row>
    <row r="1606">
      <c r="A1606" s="504"/>
      <c r="B1606" s="505"/>
      <c r="C1606" s="505"/>
      <c r="D1606" s="505"/>
      <c r="E1606" s="505"/>
    </row>
    <row r="1607">
      <c r="A1607" s="504"/>
      <c r="B1607" s="505"/>
      <c r="C1607" s="505"/>
      <c r="D1607" s="505"/>
      <c r="E1607" s="505"/>
    </row>
    <row r="1608">
      <c r="A1608" s="504"/>
      <c r="B1608" s="505"/>
      <c r="C1608" s="505"/>
      <c r="D1608" s="505"/>
      <c r="E1608" s="505"/>
    </row>
    <row r="1609">
      <c r="A1609" s="504"/>
      <c r="B1609" s="505"/>
      <c r="C1609" s="505"/>
      <c r="D1609" s="505"/>
      <c r="E1609" s="505"/>
    </row>
    <row r="1610">
      <c r="A1610" s="504"/>
      <c r="B1610" s="505"/>
      <c r="C1610" s="505"/>
      <c r="D1610" s="505"/>
      <c r="E1610" s="505"/>
    </row>
    <row r="1611">
      <c r="A1611" s="504"/>
      <c r="B1611" s="505"/>
      <c r="C1611" s="505"/>
      <c r="D1611" s="505"/>
      <c r="E1611" s="505"/>
    </row>
    <row r="1612">
      <c r="A1612" s="504"/>
      <c r="B1612" s="505"/>
      <c r="C1612" s="505"/>
      <c r="D1612" s="505"/>
      <c r="E1612" s="505"/>
    </row>
    <row r="1613">
      <c r="A1613" s="504"/>
      <c r="B1613" s="505"/>
      <c r="C1613" s="505"/>
      <c r="D1613" s="505"/>
      <c r="E1613" s="505"/>
    </row>
    <row r="1614">
      <c r="A1614" s="504"/>
      <c r="B1614" s="505"/>
      <c r="C1614" s="505"/>
      <c r="D1614" s="505"/>
      <c r="E1614" s="505"/>
    </row>
    <row r="1615">
      <c r="A1615" s="504"/>
      <c r="B1615" s="505"/>
      <c r="C1615" s="505"/>
      <c r="D1615" s="505"/>
      <c r="E1615" s="505"/>
    </row>
    <row r="1616">
      <c r="A1616" s="504"/>
      <c r="B1616" s="505"/>
      <c r="C1616" s="505"/>
      <c r="D1616" s="505"/>
      <c r="E1616" s="505"/>
    </row>
    <row r="1617">
      <c r="A1617" s="504"/>
      <c r="B1617" s="505"/>
      <c r="C1617" s="505"/>
      <c r="D1617" s="505"/>
      <c r="E1617" s="505"/>
    </row>
    <row r="1618">
      <c r="A1618" s="504"/>
      <c r="B1618" s="505"/>
      <c r="C1618" s="505"/>
      <c r="D1618" s="505"/>
      <c r="E1618" s="505"/>
    </row>
    <row r="1619">
      <c r="A1619" s="504"/>
      <c r="B1619" s="505"/>
      <c r="C1619" s="505"/>
      <c r="D1619" s="505"/>
      <c r="E1619" s="505"/>
    </row>
    <row r="1620">
      <c r="A1620" s="504"/>
      <c r="B1620" s="505"/>
      <c r="C1620" s="505"/>
      <c r="D1620" s="505"/>
      <c r="E1620" s="505"/>
    </row>
    <row r="1621">
      <c r="A1621" s="504"/>
      <c r="B1621" s="505"/>
      <c r="C1621" s="505"/>
      <c r="D1621" s="505"/>
      <c r="E1621" s="505"/>
    </row>
    <row r="1622">
      <c r="A1622" s="504"/>
      <c r="B1622" s="505"/>
      <c r="C1622" s="505"/>
      <c r="D1622" s="505"/>
      <c r="E1622" s="505"/>
    </row>
    <row r="1623">
      <c r="A1623" s="504"/>
      <c r="B1623" s="505"/>
      <c r="C1623" s="505"/>
      <c r="D1623" s="505"/>
      <c r="E1623" s="505"/>
    </row>
    <row r="1624">
      <c r="A1624" s="504"/>
      <c r="B1624" s="505"/>
      <c r="C1624" s="505"/>
      <c r="D1624" s="505"/>
      <c r="E1624" s="505"/>
    </row>
    <row r="1625">
      <c r="A1625" s="504"/>
      <c r="B1625" s="505"/>
      <c r="C1625" s="505"/>
      <c r="D1625" s="505"/>
      <c r="E1625" s="505"/>
    </row>
    <row r="1626">
      <c r="A1626" s="504"/>
      <c r="B1626" s="505"/>
      <c r="C1626" s="505"/>
      <c r="D1626" s="505"/>
      <c r="E1626" s="505"/>
    </row>
    <row r="1627">
      <c r="A1627" s="504"/>
      <c r="B1627" s="505"/>
      <c r="C1627" s="505"/>
      <c r="D1627" s="505"/>
      <c r="E1627" s="505"/>
    </row>
    <row r="1628">
      <c r="A1628" s="504"/>
      <c r="B1628" s="505"/>
      <c r="C1628" s="505"/>
      <c r="D1628" s="505"/>
      <c r="E1628" s="505"/>
    </row>
    <row r="1629">
      <c r="A1629" s="504"/>
      <c r="B1629" s="505"/>
      <c r="C1629" s="505"/>
      <c r="D1629" s="505"/>
      <c r="E1629" s="505"/>
    </row>
    <row r="1630">
      <c r="A1630" s="504"/>
      <c r="B1630" s="505"/>
      <c r="C1630" s="505"/>
      <c r="D1630" s="505"/>
      <c r="E1630" s="505"/>
    </row>
    <row r="1631">
      <c r="A1631" s="504"/>
      <c r="B1631" s="505"/>
      <c r="C1631" s="505"/>
      <c r="D1631" s="505"/>
      <c r="E1631" s="505"/>
    </row>
    <row r="1632">
      <c r="A1632" s="504"/>
      <c r="B1632" s="505"/>
      <c r="C1632" s="505"/>
      <c r="D1632" s="505"/>
      <c r="E1632" s="505"/>
    </row>
    <row r="1633">
      <c r="A1633" s="504"/>
      <c r="B1633" s="505"/>
      <c r="C1633" s="505"/>
      <c r="D1633" s="505"/>
      <c r="E1633" s="505"/>
    </row>
    <row r="1634">
      <c r="A1634" s="504"/>
      <c r="B1634" s="505"/>
      <c r="C1634" s="505"/>
      <c r="D1634" s="505"/>
      <c r="E1634" s="505"/>
    </row>
    <row r="1635">
      <c r="A1635" s="504"/>
      <c r="B1635" s="505"/>
      <c r="C1635" s="505"/>
      <c r="D1635" s="505"/>
      <c r="E1635" s="505"/>
    </row>
    <row r="1636">
      <c r="A1636" s="504"/>
      <c r="B1636" s="505"/>
      <c r="C1636" s="505"/>
      <c r="D1636" s="505"/>
      <c r="E1636" s="505"/>
    </row>
    <row r="1637">
      <c r="A1637" s="504"/>
      <c r="B1637" s="505"/>
      <c r="C1637" s="505"/>
      <c r="D1637" s="505"/>
      <c r="E1637" s="505"/>
    </row>
    <row r="1638">
      <c r="A1638" s="504"/>
      <c r="B1638" s="505"/>
      <c r="C1638" s="505"/>
      <c r="D1638" s="505"/>
      <c r="E1638" s="505"/>
    </row>
    <row r="1639">
      <c r="A1639" s="504"/>
      <c r="B1639" s="505"/>
      <c r="C1639" s="505"/>
      <c r="D1639" s="505"/>
      <c r="E1639" s="505"/>
    </row>
    <row r="1640">
      <c r="A1640" s="504"/>
      <c r="B1640" s="505"/>
      <c r="C1640" s="505"/>
      <c r="D1640" s="505"/>
      <c r="E1640" s="505"/>
    </row>
    <row r="1641">
      <c r="A1641" s="504"/>
      <c r="B1641" s="505"/>
      <c r="C1641" s="505"/>
      <c r="D1641" s="505"/>
      <c r="E1641" s="505"/>
    </row>
    <row r="1642">
      <c r="A1642" s="504"/>
      <c r="B1642" s="505"/>
      <c r="C1642" s="505"/>
      <c r="D1642" s="505"/>
      <c r="E1642" s="505"/>
    </row>
    <row r="1643">
      <c r="A1643" s="504"/>
      <c r="B1643" s="505"/>
      <c r="C1643" s="505"/>
      <c r="D1643" s="505"/>
      <c r="E1643" s="505"/>
    </row>
    <row r="1644">
      <c r="A1644" s="504"/>
      <c r="B1644" s="505"/>
      <c r="C1644" s="505"/>
      <c r="D1644" s="505"/>
      <c r="E1644" s="505"/>
    </row>
    <row r="1645">
      <c r="A1645" s="504"/>
      <c r="B1645" s="505"/>
      <c r="C1645" s="505"/>
      <c r="D1645" s="505"/>
      <c r="E1645" s="505"/>
    </row>
    <row r="1646">
      <c r="A1646" s="504"/>
      <c r="B1646" s="505"/>
      <c r="C1646" s="505"/>
      <c r="D1646" s="505"/>
      <c r="E1646" s="505"/>
    </row>
    <row r="1647">
      <c r="A1647" s="504"/>
      <c r="B1647" s="505"/>
      <c r="C1647" s="505"/>
      <c r="D1647" s="505"/>
      <c r="E1647" s="505"/>
    </row>
    <row r="1648">
      <c r="A1648" s="504"/>
      <c r="B1648" s="505"/>
      <c r="C1648" s="505"/>
      <c r="D1648" s="505"/>
      <c r="E1648" s="505"/>
    </row>
    <row r="1649">
      <c r="A1649" s="504"/>
      <c r="B1649" s="505"/>
      <c r="C1649" s="505"/>
      <c r="D1649" s="505"/>
      <c r="E1649" s="505"/>
    </row>
    <row r="1650">
      <c r="A1650" s="504"/>
      <c r="B1650" s="505"/>
      <c r="C1650" s="505"/>
      <c r="D1650" s="505"/>
      <c r="E1650" s="505"/>
    </row>
    <row r="1651">
      <c r="A1651" s="504"/>
      <c r="B1651" s="505"/>
      <c r="C1651" s="505"/>
      <c r="D1651" s="505"/>
      <c r="E1651" s="505"/>
    </row>
    <row r="1652">
      <c r="A1652" s="504"/>
      <c r="B1652" s="505"/>
      <c r="C1652" s="505"/>
      <c r="D1652" s="505"/>
      <c r="E1652" s="505"/>
    </row>
    <row r="1653">
      <c r="A1653" s="504"/>
      <c r="B1653" s="505"/>
      <c r="C1653" s="505"/>
      <c r="D1653" s="505"/>
      <c r="E1653" s="505"/>
    </row>
    <row r="1654">
      <c r="A1654" s="504"/>
      <c r="B1654" s="505"/>
      <c r="C1654" s="505"/>
      <c r="D1654" s="505"/>
      <c r="E1654" s="505"/>
    </row>
    <row r="1655">
      <c r="A1655" s="504"/>
      <c r="B1655" s="505"/>
      <c r="C1655" s="505"/>
      <c r="D1655" s="505"/>
      <c r="E1655" s="505"/>
    </row>
    <row r="1656">
      <c r="A1656" s="504"/>
      <c r="B1656" s="505"/>
      <c r="C1656" s="505"/>
      <c r="D1656" s="505"/>
      <c r="E1656" s="505"/>
    </row>
    <row r="1657">
      <c r="A1657" s="504"/>
      <c r="B1657" s="505"/>
      <c r="C1657" s="505"/>
      <c r="D1657" s="505"/>
      <c r="E1657" s="505"/>
    </row>
    <row r="1658">
      <c r="A1658" s="504"/>
      <c r="B1658" s="505"/>
      <c r="C1658" s="505"/>
      <c r="D1658" s="505"/>
      <c r="E1658" s="505"/>
    </row>
    <row r="1659">
      <c r="A1659" s="504"/>
      <c r="B1659" s="505"/>
      <c r="C1659" s="505"/>
      <c r="D1659" s="505"/>
      <c r="E1659" s="505"/>
    </row>
    <row r="1660">
      <c r="A1660" s="504"/>
      <c r="B1660" s="505"/>
      <c r="C1660" s="505"/>
      <c r="D1660" s="505"/>
      <c r="E1660" s="505"/>
    </row>
    <row r="1661">
      <c r="A1661" s="504"/>
      <c r="B1661" s="505"/>
      <c r="C1661" s="505"/>
      <c r="D1661" s="505"/>
      <c r="E1661" s="505"/>
    </row>
    <row r="1662">
      <c r="A1662" s="504"/>
      <c r="B1662" s="505"/>
      <c r="C1662" s="505"/>
      <c r="D1662" s="505"/>
      <c r="E1662" s="505"/>
    </row>
    <row r="1663">
      <c r="A1663" s="504"/>
      <c r="B1663" s="505"/>
      <c r="C1663" s="505"/>
      <c r="D1663" s="505"/>
      <c r="E1663" s="505"/>
    </row>
    <row r="1664">
      <c r="A1664" s="504"/>
      <c r="B1664" s="505"/>
      <c r="C1664" s="505"/>
      <c r="D1664" s="505"/>
      <c r="E1664" s="505"/>
    </row>
    <row r="1665">
      <c r="A1665" s="504"/>
      <c r="B1665" s="505"/>
      <c r="C1665" s="505"/>
      <c r="D1665" s="505"/>
      <c r="E1665" s="505"/>
    </row>
    <row r="1666">
      <c r="A1666" s="504"/>
      <c r="B1666" s="505"/>
      <c r="C1666" s="505"/>
      <c r="D1666" s="505"/>
      <c r="E1666" s="505"/>
    </row>
    <row r="1667">
      <c r="A1667" s="504"/>
      <c r="B1667" s="505"/>
      <c r="C1667" s="505"/>
      <c r="D1667" s="505"/>
      <c r="E1667" s="505"/>
    </row>
    <row r="1668">
      <c r="A1668" s="504"/>
      <c r="B1668" s="505"/>
      <c r="C1668" s="505"/>
      <c r="D1668" s="505"/>
      <c r="E1668" s="505"/>
    </row>
    <row r="1669">
      <c r="A1669" s="504"/>
      <c r="B1669" s="505"/>
      <c r="C1669" s="505"/>
      <c r="D1669" s="505"/>
      <c r="E1669" s="505"/>
    </row>
    <row r="1670">
      <c r="A1670" s="504"/>
      <c r="B1670" s="505"/>
      <c r="C1670" s="505"/>
      <c r="D1670" s="505"/>
      <c r="E1670" s="505"/>
    </row>
    <row r="1671">
      <c r="A1671" s="504"/>
      <c r="B1671" s="505"/>
      <c r="C1671" s="505"/>
      <c r="D1671" s="505"/>
      <c r="E1671" s="505"/>
    </row>
    <row r="1672">
      <c r="A1672" s="504"/>
      <c r="B1672" s="505"/>
      <c r="C1672" s="505"/>
      <c r="D1672" s="505"/>
      <c r="E1672" s="505"/>
    </row>
    <row r="1673">
      <c r="A1673" s="504"/>
      <c r="B1673" s="505"/>
      <c r="C1673" s="505"/>
      <c r="D1673" s="505"/>
      <c r="E1673" s="505"/>
    </row>
    <row r="1674">
      <c r="A1674" s="504"/>
      <c r="B1674" s="505"/>
      <c r="C1674" s="505"/>
      <c r="D1674" s="505"/>
      <c r="E1674" s="505"/>
    </row>
    <row r="1675">
      <c r="A1675" s="504"/>
      <c r="B1675" s="505"/>
      <c r="C1675" s="505"/>
      <c r="D1675" s="505"/>
      <c r="E1675" s="505"/>
    </row>
    <row r="1676">
      <c r="A1676" s="504"/>
      <c r="B1676" s="505"/>
      <c r="C1676" s="505"/>
      <c r="D1676" s="505"/>
      <c r="E1676" s="505"/>
    </row>
    <row r="1677">
      <c r="A1677" s="504"/>
      <c r="B1677" s="505"/>
      <c r="C1677" s="505"/>
      <c r="D1677" s="505"/>
      <c r="E1677" s="505"/>
    </row>
    <row r="1678">
      <c r="A1678" s="504"/>
      <c r="B1678" s="505"/>
      <c r="C1678" s="505"/>
      <c r="D1678" s="505"/>
      <c r="E1678" s="505"/>
    </row>
    <row r="1679">
      <c r="A1679" s="504"/>
      <c r="B1679" s="505"/>
      <c r="C1679" s="505"/>
      <c r="D1679" s="505"/>
      <c r="E1679" s="505"/>
    </row>
    <row r="1680">
      <c r="A1680" s="504"/>
      <c r="B1680" s="505"/>
      <c r="C1680" s="505"/>
      <c r="D1680" s="505"/>
      <c r="E1680" s="505"/>
    </row>
    <row r="1681">
      <c r="A1681" s="504"/>
      <c r="B1681" s="505"/>
      <c r="C1681" s="505"/>
      <c r="D1681" s="505"/>
      <c r="E1681" s="505"/>
    </row>
    <row r="1682">
      <c r="A1682" s="504"/>
      <c r="B1682" s="505"/>
      <c r="C1682" s="505"/>
      <c r="D1682" s="505"/>
      <c r="E1682" s="505"/>
    </row>
    <row r="1683">
      <c r="A1683" s="504"/>
      <c r="B1683" s="505"/>
      <c r="C1683" s="505"/>
      <c r="D1683" s="505"/>
      <c r="E1683" s="505"/>
    </row>
    <row r="1684">
      <c r="A1684" s="504"/>
      <c r="B1684" s="505"/>
      <c r="C1684" s="505"/>
      <c r="D1684" s="505"/>
      <c r="E1684" s="505"/>
    </row>
    <row r="1685">
      <c r="A1685" s="504"/>
      <c r="B1685" s="505"/>
      <c r="C1685" s="505"/>
      <c r="D1685" s="505"/>
      <c r="E1685" s="505"/>
    </row>
    <row r="1686">
      <c r="A1686" s="504"/>
      <c r="B1686" s="505"/>
      <c r="C1686" s="505"/>
      <c r="D1686" s="505"/>
      <c r="E1686" s="505"/>
    </row>
    <row r="1687">
      <c r="A1687" s="504"/>
      <c r="B1687" s="505"/>
      <c r="C1687" s="505"/>
      <c r="D1687" s="505"/>
      <c r="E1687" s="505"/>
    </row>
    <row r="1688">
      <c r="A1688" s="504"/>
      <c r="B1688" s="505"/>
      <c r="C1688" s="505"/>
      <c r="D1688" s="505"/>
      <c r="E1688" s="505"/>
    </row>
    <row r="1689">
      <c r="A1689" s="504"/>
      <c r="B1689" s="505"/>
      <c r="C1689" s="505"/>
      <c r="D1689" s="505"/>
      <c r="E1689" s="505"/>
    </row>
    <row r="1690">
      <c r="A1690" s="504"/>
      <c r="B1690" s="505"/>
      <c r="C1690" s="505"/>
      <c r="D1690" s="505"/>
      <c r="E1690" s="505"/>
    </row>
    <row r="1691">
      <c r="A1691" s="504"/>
      <c r="B1691" s="505"/>
      <c r="C1691" s="505"/>
      <c r="D1691" s="505"/>
      <c r="E1691" s="505"/>
    </row>
    <row r="1692">
      <c r="A1692" s="504"/>
      <c r="B1692" s="505"/>
      <c r="C1692" s="505"/>
      <c r="D1692" s="505"/>
      <c r="E1692" s="505"/>
    </row>
    <row r="1693">
      <c r="A1693" s="504"/>
      <c r="B1693" s="505"/>
      <c r="C1693" s="505"/>
      <c r="D1693" s="505"/>
      <c r="E1693" s="505"/>
    </row>
    <row r="1694">
      <c r="A1694" s="504"/>
      <c r="B1694" s="505"/>
      <c r="C1694" s="505"/>
      <c r="D1694" s="505"/>
      <c r="E1694" s="505"/>
    </row>
    <row r="1695">
      <c r="A1695" s="504"/>
      <c r="B1695" s="505"/>
      <c r="C1695" s="505"/>
      <c r="D1695" s="505"/>
      <c r="E1695" s="505"/>
    </row>
    <row r="1696">
      <c r="A1696" s="504"/>
      <c r="B1696" s="505"/>
      <c r="C1696" s="505"/>
      <c r="D1696" s="505"/>
      <c r="E1696" s="505"/>
    </row>
    <row r="1697">
      <c r="A1697" s="504"/>
      <c r="B1697" s="505"/>
      <c r="C1697" s="505"/>
      <c r="D1697" s="505"/>
      <c r="E1697" s="505"/>
    </row>
    <row r="1698">
      <c r="A1698" s="504"/>
      <c r="B1698" s="505"/>
      <c r="C1698" s="505"/>
      <c r="D1698" s="505"/>
      <c r="E1698" s="505"/>
    </row>
    <row r="1699">
      <c r="A1699" s="504"/>
      <c r="B1699" s="505"/>
      <c r="C1699" s="505"/>
      <c r="D1699" s="505"/>
      <c r="E1699" s="505"/>
    </row>
    <row r="1700">
      <c r="A1700" s="504"/>
      <c r="B1700" s="505"/>
      <c r="C1700" s="505"/>
      <c r="D1700" s="505"/>
      <c r="E1700" s="505"/>
    </row>
    <row r="1701">
      <c r="A1701" s="504"/>
      <c r="B1701" s="505"/>
      <c r="C1701" s="505"/>
      <c r="D1701" s="505"/>
      <c r="E1701" s="505"/>
    </row>
    <row r="1702">
      <c r="A1702" s="504"/>
      <c r="B1702" s="505"/>
      <c r="C1702" s="505"/>
      <c r="D1702" s="505"/>
      <c r="E1702" s="505"/>
    </row>
    <row r="1703">
      <c r="A1703" s="504"/>
      <c r="B1703" s="505"/>
      <c r="C1703" s="505"/>
      <c r="D1703" s="505"/>
      <c r="E1703" s="505"/>
    </row>
    <row r="1704">
      <c r="A1704" s="504"/>
      <c r="B1704" s="505"/>
      <c r="C1704" s="505"/>
      <c r="D1704" s="505"/>
      <c r="E1704" s="505"/>
    </row>
    <row r="1705">
      <c r="A1705" s="504"/>
      <c r="B1705" s="505"/>
      <c r="C1705" s="505"/>
      <c r="D1705" s="505"/>
      <c r="E1705" s="505"/>
    </row>
    <row r="1706">
      <c r="A1706" s="504"/>
      <c r="B1706" s="505"/>
      <c r="C1706" s="505"/>
      <c r="D1706" s="505"/>
      <c r="E1706" s="505"/>
    </row>
    <row r="1707">
      <c r="A1707" s="504"/>
      <c r="B1707" s="505"/>
      <c r="C1707" s="505"/>
      <c r="D1707" s="505"/>
      <c r="E1707" s="505"/>
    </row>
    <row r="1708">
      <c r="A1708" s="504"/>
      <c r="B1708" s="505"/>
      <c r="C1708" s="505"/>
      <c r="D1708" s="505"/>
      <c r="E1708" s="505"/>
    </row>
    <row r="1709">
      <c r="A1709" s="504"/>
      <c r="B1709" s="505"/>
      <c r="C1709" s="505"/>
      <c r="D1709" s="505"/>
      <c r="E1709" s="505"/>
    </row>
    <row r="1710">
      <c r="A1710" s="504"/>
      <c r="B1710" s="505"/>
      <c r="C1710" s="505"/>
      <c r="D1710" s="505"/>
      <c r="E1710" s="505"/>
    </row>
    <row r="1711">
      <c r="A1711" s="504"/>
      <c r="B1711" s="505"/>
      <c r="C1711" s="505"/>
      <c r="D1711" s="505"/>
      <c r="E1711" s="505"/>
    </row>
    <row r="1712">
      <c r="A1712" s="504"/>
      <c r="B1712" s="505"/>
      <c r="C1712" s="505"/>
      <c r="D1712" s="505"/>
      <c r="E1712" s="505"/>
    </row>
    <row r="1713">
      <c r="A1713" s="504"/>
      <c r="B1713" s="505"/>
      <c r="C1713" s="505"/>
      <c r="D1713" s="505"/>
      <c r="E1713" s="505"/>
    </row>
    <row r="1714">
      <c r="A1714" s="504"/>
      <c r="B1714" s="505"/>
      <c r="C1714" s="505"/>
      <c r="D1714" s="505"/>
      <c r="E1714" s="505"/>
    </row>
    <row r="1715">
      <c r="A1715" s="504"/>
      <c r="B1715" s="505"/>
      <c r="C1715" s="505"/>
      <c r="D1715" s="505"/>
      <c r="E1715" s="505"/>
    </row>
    <row r="1716">
      <c r="A1716" s="504"/>
      <c r="B1716" s="505"/>
      <c r="C1716" s="505"/>
      <c r="D1716" s="505"/>
      <c r="E1716" s="505"/>
    </row>
    <row r="1717">
      <c r="A1717" s="504"/>
      <c r="B1717" s="505"/>
      <c r="C1717" s="505"/>
      <c r="D1717" s="505"/>
      <c r="E1717" s="505"/>
    </row>
    <row r="1718">
      <c r="A1718" s="504"/>
      <c r="B1718" s="505"/>
      <c r="C1718" s="505"/>
      <c r="D1718" s="505"/>
      <c r="E1718" s="505"/>
    </row>
    <row r="1719">
      <c r="A1719" s="504"/>
      <c r="B1719" s="505"/>
      <c r="C1719" s="505"/>
      <c r="D1719" s="505"/>
      <c r="E1719" s="505"/>
    </row>
    <row r="1720">
      <c r="A1720" s="504"/>
      <c r="B1720" s="505"/>
      <c r="C1720" s="505"/>
      <c r="D1720" s="505"/>
      <c r="E1720" s="505"/>
    </row>
    <row r="1721">
      <c r="A1721" s="504"/>
      <c r="B1721" s="505"/>
      <c r="C1721" s="505"/>
      <c r="D1721" s="505"/>
      <c r="E1721" s="505"/>
    </row>
    <row r="1722">
      <c r="A1722" s="504"/>
      <c r="B1722" s="505"/>
      <c r="C1722" s="505"/>
      <c r="D1722" s="505"/>
      <c r="E1722" s="505"/>
    </row>
    <row r="1723">
      <c r="A1723" s="504"/>
      <c r="B1723" s="505"/>
      <c r="C1723" s="505"/>
      <c r="D1723" s="505"/>
      <c r="E1723" s="505"/>
    </row>
    <row r="1724">
      <c r="A1724" s="504"/>
      <c r="B1724" s="505"/>
      <c r="C1724" s="505"/>
      <c r="D1724" s="505"/>
      <c r="E1724" s="505"/>
    </row>
    <row r="1725">
      <c r="A1725" s="504"/>
      <c r="B1725" s="505"/>
      <c r="C1725" s="505"/>
      <c r="D1725" s="505"/>
      <c r="E1725" s="505"/>
    </row>
    <row r="1726">
      <c r="A1726" s="504"/>
      <c r="B1726" s="505"/>
      <c r="C1726" s="505"/>
      <c r="D1726" s="505"/>
      <c r="E1726" s="505"/>
    </row>
    <row r="1727">
      <c r="A1727" s="504"/>
      <c r="B1727" s="505"/>
      <c r="C1727" s="505"/>
      <c r="D1727" s="505"/>
      <c r="E1727" s="505"/>
    </row>
    <row r="1728">
      <c r="A1728" s="504"/>
      <c r="B1728" s="505"/>
      <c r="C1728" s="505"/>
      <c r="D1728" s="505"/>
      <c r="E1728" s="505"/>
    </row>
    <row r="1729">
      <c r="A1729" s="504"/>
      <c r="B1729" s="505"/>
      <c r="C1729" s="505"/>
      <c r="D1729" s="505"/>
      <c r="E1729" s="505"/>
    </row>
    <row r="1730">
      <c r="A1730" s="504"/>
      <c r="B1730" s="505"/>
      <c r="C1730" s="505"/>
      <c r="D1730" s="505"/>
      <c r="E1730" s="505"/>
    </row>
    <row r="1731">
      <c r="A1731" s="504"/>
      <c r="B1731" s="505"/>
      <c r="C1731" s="505"/>
      <c r="D1731" s="505"/>
      <c r="E1731" s="505"/>
    </row>
    <row r="1732">
      <c r="A1732" s="504"/>
      <c r="B1732" s="505"/>
      <c r="C1732" s="505"/>
      <c r="D1732" s="505"/>
      <c r="E1732" s="505"/>
    </row>
    <row r="1733">
      <c r="A1733" s="504"/>
      <c r="B1733" s="505"/>
      <c r="C1733" s="505"/>
      <c r="D1733" s="505"/>
      <c r="E1733" s="505"/>
    </row>
    <row r="1734">
      <c r="A1734" s="504"/>
      <c r="B1734" s="505"/>
      <c r="C1734" s="505"/>
      <c r="D1734" s="505"/>
      <c r="E1734" s="505"/>
    </row>
    <row r="1735">
      <c r="A1735" s="504"/>
      <c r="B1735" s="505"/>
      <c r="C1735" s="505"/>
      <c r="D1735" s="505"/>
      <c r="E1735" s="505"/>
    </row>
    <row r="1736">
      <c r="A1736" s="504"/>
      <c r="B1736" s="505"/>
      <c r="C1736" s="505"/>
      <c r="D1736" s="505"/>
      <c r="E1736" s="505"/>
    </row>
    <row r="1737">
      <c r="A1737" s="504"/>
      <c r="B1737" s="505"/>
      <c r="C1737" s="505"/>
      <c r="D1737" s="505"/>
      <c r="E1737" s="505"/>
    </row>
    <row r="1738">
      <c r="A1738" s="504"/>
      <c r="B1738" s="505"/>
      <c r="C1738" s="505"/>
      <c r="D1738" s="505"/>
      <c r="E1738" s="505"/>
    </row>
    <row r="1739">
      <c r="A1739" s="504"/>
      <c r="B1739" s="505"/>
      <c r="C1739" s="505"/>
      <c r="D1739" s="505"/>
      <c r="E1739" s="505"/>
    </row>
    <row r="1740">
      <c r="A1740" s="504"/>
      <c r="B1740" s="505"/>
      <c r="C1740" s="505"/>
      <c r="D1740" s="505"/>
      <c r="E1740" s="505"/>
    </row>
    <row r="1741">
      <c r="A1741" s="504"/>
      <c r="B1741" s="505"/>
      <c r="C1741" s="505"/>
      <c r="D1741" s="505"/>
      <c r="E1741" s="505"/>
    </row>
    <row r="1742">
      <c r="A1742" s="504"/>
      <c r="B1742" s="505"/>
      <c r="C1742" s="505"/>
      <c r="D1742" s="505"/>
      <c r="E1742" s="505"/>
    </row>
    <row r="1743">
      <c r="A1743" s="504"/>
      <c r="B1743" s="505"/>
      <c r="C1743" s="505"/>
      <c r="D1743" s="505"/>
      <c r="E1743" s="505"/>
    </row>
    <row r="1744">
      <c r="A1744" s="504"/>
      <c r="B1744" s="505"/>
      <c r="C1744" s="505"/>
      <c r="D1744" s="505"/>
      <c r="E1744" s="505"/>
    </row>
    <row r="1745">
      <c r="A1745" s="504"/>
      <c r="B1745" s="505"/>
      <c r="C1745" s="505"/>
      <c r="D1745" s="505"/>
      <c r="E1745" s="505"/>
    </row>
    <row r="1746">
      <c r="A1746" s="504"/>
      <c r="B1746" s="505"/>
      <c r="C1746" s="505"/>
      <c r="D1746" s="505"/>
      <c r="E1746" s="505"/>
    </row>
    <row r="1747">
      <c r="A1747" s="504"/>
      <c r="B1747" s="505"/>
      <c r="C1747" s="505"/>
      <c r="D1747" s="505"/>
      <c r="E1747" s="505"/>
    </row>
    <row r="1748">
      <c r="A1748" s="504"/>
      <c r="B1748" s="505"/>
      <c r="C1748" s="505"/>
      <c r="D1748" s="505"/>
      <c r="E1748" s="505"/>
    </row>
    <row r="1749">
      <c r="A1749" s="504"/>
      <c r="B1749" s="505"/>
      <c r="C1749" s="505"/>
      <c r="D1749" s="505"/>
      <c r="E1749" s="505"/>
    </row>
    <row r="1750">
      <c r="A1750" s="504"/>
      <c r="B1750" s="505"/>
      <c r="C1750" s="505"/>
      <c r="D1750" s="505"/>
      <c r="E1750" s="505"/>
    </row>
    <row r="1751">
      <c r="A1751" s="504"/>
      <c r="B1751" s="505"/>
      <c r="C1751" s="505"/>
      <c r="D1751" s="505"/>
      <c r="E1751" s="505"/>
    </row>
    <row r="1752">
      <c r="A1752" s="504"/>
      <c r="B1752" s="505"/>
      <c r="C1752" s="505"/>
      <c r="D1752" s="505"/>
      <c r="E1752" s="505"/>
    </row>
    <row r="1753">
      <c r="A1753" s="504"/>
      <c r="B1753" s="505"/>
      <c r="C1753" s="505"/>
      <c r="D1753" s="505"/>
      <c r="E1753" s="505"/>
    </row>
    <row r="1754">
      <c r="A1754" s="504"/>
      <c r="B1754" s="505"/>
      <c r="C1754" s="505"/>
      <c r="D1754" s="505"/>
      <c r="E1754" s="505"/>
    </row>
    <row r="1755">
      <c r="A1755" s="504"/>
      <c r="B1755" s="505"/>
      <c r="C1755" s="505"/>
      <c r="D1755" s="505"/>
      <c r="E1755" s="505"/>
    </row>
    <row r="1756">
      <c r="A1756" s="504"/>
      <c r="B1756" s="505"/>
      <c r="C1756" s="505"/>
      <c r="D1756" s="505"/>
      <c r="E1756" s="505"/>
    </row>
    <row r="1757">
      <c r="A1757" s="504"/>
      <c r="B1757" s="505"/>
      <c r="C1757" s="505"/>
      <c r="D1757" s="505"/>
      <c r="E1757" s="505"/>
    </row>
    <row r="1758">
      <c r="A1758" s="504"/>
      <c r="B1758" s="505"/>
      <c r="C1758" s="505"/>
      <c r="D1758" s="505"/>
      <c r="E1758" s="505"/>
    </row>
    <row r="1759">
      <c r="A1759" s="504"/>
      <c r="B1759" s="505"/>
      <c r="C1759" s="505"/>
      <c r="D1759" s="505"/>
      <c r="E1759" s="505"/>
    </row>
    <row r="1760">
      <c r="A1760" s="504"/>
      <c r="B1760" s="505"/>
      <c r="C1760" s="505"/>
      <c r="D1760" s="505"/>
      <c r="E1760" s="505"/>
    </row>
    <row r="1761">
      <c r="A1761" s="504"/>
      <c r="B1761" s="505"/>
      <c r="C1761" s="505"/>
      <c r="D1761" s="505"/>
      <c r="E1761" s="505"/>
    </row>
    <row r="1762">
      <c r="A1762" s="504"/>
      <c r="B1762" s="505"/>
      <c r="C1762" s="505"/>
      <c r="D1762" s="505"/>
      <c r="E1762" s="505"/>
    </row>
    <row r="1763">
      <c r="A1763" s="504"/>
      <c r="B1763" s="505"/>
      <c r="C1763" s="505"/>
      <c r="D1763" s="505"/>
      <c r="E1763" s="505"/>
    </row>
    <row r="1764">
      <c r="A1764" s="504"/>
      <c r="B1764" s="505"/>
      <c r="C1764" s="505"/>
      <c r="D1764" s="505"/>
      <c r="E1764" s="505"/>
    </row>
    <row r="1765">
      <c r="A1765" s="504"/>
      <c r="B1765" s="505"/>
      <c r="C1765" s="505"/>
      <c r="D1765" s="505"/>
      <c r="E1765" s="505"/>
    </row>
    <row r="1766">
      <c r="A1766" s="504"/>
      <c r="B1766" s="505"/>
      <c r="C1766" s="505"/>
      <c r="D1766" s="505"/>
      <c r="E1766" s="505"/>
    </row>
    <row r="1767">
      <c r="A1767" s="504"/>
      <c r="B1767" s="505"/>
      <c r="C1767" s="505"/>
      <c r="D1767" s="505"/>
      <c r="E1767" s="505"/>
    </row>
    <row r="1768">
      <c r="A1768" s="504"/>
      <c r="B1768" s="505"/>
      <c r="C1768" s="505"/>
      <c r="D1768" s="505"/>
      <c r="E1768" s="505"/>
    </row>
    <row r="1769">
      <c r="A1769" s="504"/>
      <c r="B1769" s="505"/>
      <c r="C1769" s="505"/>
      <c r="D1769" s="505"/>
      <c r="E1769" s="505"/>
    </row>
    <row r="1770">
      <c r="A1770" s="504"/>
      <c r="B1770" s="505"/>
      <c r="C1770" s="505"/>
      <c r="D1770" s="505"/>
      <c r="E1770" s="505"/>
    </row>
    <row r="1771">
      <c r="A1771" s="504"/>
      <c r="B1771" s="505"/>
      <c r="C1771" s="505"/>
      <c r="D1771" s="505"/>
      <c r="E1771" s="505"/>
    </row>
    <row r="1772">
      <c r="A1772" s="504"/>
      <c r="B1772" s="505"/>
      <c r="C1772" s="505"/>
      <c r="D1772" s="505"/>
      <c r="E1772" s="505"/>
    </row>
    <row r="1773">
      <c r="A1773" s="504"/>
      <c r="B1773" s="505"/>
      <c r="C1773" s="505"/>
      <c r="D1773" s="505"/>
      <c r="E1773" s="505"/>
    </row>
    <row r="1774">
      <c r="A1774" s="504"/>
      <c r="B1774" s="505"/>
      <c r="C1774" s="505"/>
      <c r="D1774" s="505"/>
      <c r="E1774" s="505"/>
    </row>
    <row r="1775">
      <c r="A1775" s="504"/>
      <c r="B1775" s="505"/>
      <c r="C1775" s="505"/>
      <c r="D1775" s="505"/>
      <c r="E1775" s="505"/>
    </row>
    <row r="1776">
      <c r="A1776" s="504"/>
      <c r="B1776" s="505"/>
      <c r="C1776" s="505"/>
      <c r="D1776" s="505"/>
      <c r="E1776" s="505"/>
    </row>
    <row r="1777">
      <c r="A1777" s="504"/>
      <c r="B1777" s="505"/>
      <c r="C1777" s="505"/>
      <c r="D1777" s="505"/>
      <c r="E1777" s="505"/>
    </row>
    <row r="1778">
      <c r="A1778" s="504"/>
      <c r="B1778" s="505"/>
      <c r="C1778" s="505"/>
      <c r="D1778" s="505"/>
      <c r="E1778" s="505"/>
    </row>
    <row r="1779">
      <c r="A1779" s="504"/>
      <c r="B1779" s="505"/>
      <c r="C1779" s="505"/>
      <c r="D1779" s="505"/>
      <c r="E1779" s="505"/>
    </row>
    <row r="1780">
      <c r="A1780" s="504"/>
      <c r="B1780" s="505"/>
      <c r="C1780" s="505"/>
      <c r="D1780" s="505"/>
      <c r="E1780" s="505"/>
    </row>
    <row r="1781">
      <c r="A1781" s="504"/>
      <c r="B1781" s="505"/>
      <c r="C1781" s="505"/>
      <c r="D1781" s="505"/>
      <c r="E1781" s="505"/>
    </row>
    <row r="1782">
      <c r="A1782" s="504"/>
      <c r="B1782" s="505"/>
      <c r="C1782" s="505"/>
      <c r="D1782" s="505"/>
      <c r="E1782" s="505"/>
    </row>
    <row r="1783">
      <c r="A1783" s="504"/>
      <c r="B1783" s="505"/>
      <c r="C1783" s="505"/>
      <c r="D1783" s="505"/>
      <c r="E1783" s="505"/>
    </row>
    <row r="1784">
      <c r="A1784" s="504"/>
      <c r="B1784" s="505"/>
      <c r="C1784" s="505"/>
      <c r="D1784" s="505"/>
      <c r="E1784" s="505"/>
    </row>
    <row r="1785">
      <c r="A1785" s="504"/>
      <c r="B1785" s="505"/>
      <c r="C1785" s="505"/>
      <c r="D1785" s="505"/>
      <c r="E1785" s="505"/>
    </row>
    <row r="1786">
      <c r="A1786" s="504"/>
      <c r="B1786" s="505"/>
      <c r="C1786" s="505"/>
      <c r="D1786" s="505"/>
      <c r="E1786" s="505"/>
    </row>
    <row r="1787">
      <c r="A1787" s="504"/>
      <c r="B1787" s="505"/>
      <c r="C1787" s="505"/>
      <c r="D1787" s="505"/>
      <c r="E1787" s="505"/>
    </row>
    <row r="1788">
      <c r="A1788" s="504"/>
      <c r="B1788" s="505"/>
      <c r="C1788" s="505"/>
      <c r="D1788" s="505"/>
      <c r="E1788" s="505"/>
    </row>
    <row r="1789">
      <c r="A1789" s="504"/>
      <c r="B1789" s="505"/>
      <c r="C1789" s="505"/>
      <c r="D1789" s="505"/>
      <c r="E1789" s="505"/>
    </row>
    <row r="1790">
      <c r="A1790" s="504"/>
      <c r="B1790" s="505"/>
      <c r="C1790" s="505"/>
      <c r="D1790" s="505"/>
      <c r="E1790" s="505"/>
    </row>
    <row r="1791">
      <c r="A1791" s="504"/>
      <c r="B1791" s="505"/>
      <c r="C1791" s="505"/>
      <c r="D1791" s="505"/>
      <c r="E1791" s="505"/>
    </row>
    <row r="1792">
      <c r="A1792" s="504"/>
      <c r="B1792" s="505"/>
      <c r="C1792" s="505"/>
      <c r="D1792" s="505"/>
      <c r="E1792" s="505"/>
    </row>
    <row r="1793">
      <c r="A1793" s="504"/>
      <c r="B1793" s="505"/>
      <c r="C1793" s="505"/>
      <c r="D1793" s="505"/>
      <c r="E1793" s="505"/>
    </row>
    <row r="1794">
      <c r="A1794" s="504"/>
      <c r="B1794" s="505"/>
      <c r="C1794" s="505"/>
      <c r="D1794" s="505"/>
      <c r="E1794" s="505"/>
    </row>
    <row r="1795">
      <c r="A1795" s="504"/>
      <c r="B1795" s="505"/>
      <c r="C1795" s="505"/>
      <c r="D1795" s="505"/>
      <c r="E1795" s="505"/>
    </row>
    <row r="1796">
      <c r="A1796" s="504"/>
      <c r="B1796" s="505"/>
      <c r="C1796" s="505"/>
      <c r="D1796" s="505"/>
      <c r="E1796" s="505"/>
    </row>
    <row r="1797">
      <c r="A1797" s="504"/>
      <c r="B1797" s="505"/>
      <c r="C1797" s="505"/>
      <c r="D1797" s="505"/>
      <c r="E1797" s="505"/>
    </row>
    <row r="1798">
      <c r="A1798" s="504"/>
      <c r="B1798" s="505"/>
      <c r="C1798" s="505"/>
      <c r="D1798" s="505"/>
      <c r="E1798" s="505"/>
    </row>
    <row r="1799">
      <c r="A1799" s="504"/>
      <c r="B1799" s="505"/>
      <c r="C1799" s="505"/>
      <c r="D1799" s="505"/>
      <c r="E1799" s="505"/>
    </row>
    <row r="1800">
      <c r="A1800" s="504"/>
      <c r="B1800" s="505"/>
      <c r="C1800" s="505"/>
      <c r="D1800" s="505"/>
      <c r="E1800" s="505"/>
    </row>
    <row r="1801">
      <c r="A1801" s="504"/>
      <c r="B1801" s="505"/>
      <c r="C1801" s="505"/>
      <c r="D1801" s="505"/>
      <c r="E1801" s="505"/>
    </row>
    <row r="1802">
      <c r="A1802" s="504"/>
      <c r="B1802" s="505"/>
      <c r="C1802" s="505"/>
      <c r="D1802" s="505"/>
      <c r="E1802" s="505"/>
    </row>
    <row r="1803">
      <c r="A1803" s="504"/>
      <c r="B1803" s="505"/>
      <c r="C1803" s="505"/>
      <c r="D1803" s="505"/>
      <c r="E1803" s="505"/>
    </row>
    <row r="1804">
      <c r="A1804" s="504"/>
      <c r="B1804" s="505"/>
      <c r="C1804" s="505"/>
      <c r="D1804" s="505"/>
      <c r="E1804" s="505"/>
    </row>
    <row r="1805">
      <c r="A1805" s="504"/>
      <c r="B1805" s="505"/>
      <c r="C1805" s="505"/>
      <c r="D1805" s="505"/>
      <c r="E1805" s="505"/>
    </row>
    <row r="1806">
      <c r="A1806" s="504"/>
      <c r="B1806" s="505"/>
      <c r="C1806" s="505"/>
      <c r="D1806" s="505"/>
      <c r="E1806" s="505"/>
    </row>
    <row r="1807">
      <c r="A1807" s="504"/>
      <c r="B1807" s="505"/>
      <c r="C1807" s="505"/>
      <c r="D1807" s="505"/>
      <c r="E1807" s="505"/>
    </row>
    <row r="1808">
      <c r="A1808" s="504"/>
      <c r="B1808" s="505"/>
      <c r="C1808" s="505"/>
      <c r="D1808" s="505"/>
      <c r="E1808" s="505"/>
    </row>
    <row r="1809">
      <c r="A1809" s="504"/>
      <c r="B1809" s="505"/>
      <c r="C1809" s="505"/>
      <c r="D1809" s="505"/>
      <c r="E1809" s="505"/>
    </row>
    <row r="1810">
      <c r="A1810" s="504"/>
      <c r="B1810" s="505"/>
      <c r="C1810" s="505"/>
      <c r="D1810" s="505"/>
      <c r="E1810" s="505"/>
    </row>
    <row r="1811">
      <c r="A1811" s="504"/>
      <c r="B1811" s="505"/>
      <c r="C1811" s="505"/>
      <c r="D1811" s="505"/>
      <c r="E1811" s="505"/>
    </row>
    <row r="1812">
      <c r="A1812" s="504"/>
      <c r="B1812" s="505"/>
      <c r="C1812" s="505"/>
      <c r="D1812" s="505"/>
      <c r="E1812" s="505"/>
    </row>
    <row r="1813">
      <c r="A1813" s="504"/>
      <c r="B1813" s="505"/>
      <c r="C1813" s="505"/>
      <c r="D1813" s="505"/>
      <c r="E1813" s="505"/>
    </row>
    <row r="1814">
      <c r="A1814" s="504"/>
      <c r="B1814" s="505"/>
      <c r="C1814" s="505"/>
      <c r="D1814" s="505"/>
      <c r="E1814" s="505"/>
    </row>
    <row r="1815">
      <c r="A1815" s="504"/>
      <c r="B1815" s="505"/>
      <c r="C1815" s="505"/>
      <c r="D1815" s="505"/>
      <c r="E1815" s="505"/>
    </row>
    <row r="1816">
      <c r="A1816" s="504"/>
      <c r="B1816" s="505"/>
      <c r="C1816" s="505"/>
      <c r="D1816" s="505"/>
      <c r="E1816" s="505"/>
    </row>
    <row r="1817">
      <c r="A1817" s="504"/>
      <c r="B1817" s="505"/>
      <c r="C1817" s="505"/>
      <c r="D1817" s="505"/>
      <c r="E1817" s="505"/>
    </row>
    <row r="1818">
      <c r="A1818" s="504"/>
      <c r="B1818" s="505"/>
      <c r="C1818" s="505"/>
      <c r="D1818" s="505"/>
      <c r="E1818" s="505"/>
    </row>
    <row r="1819">
      <c r="A1819" s="504"/>
      <c r="B1819" s="505"/>
      <c r="C1819" s="505"/>
      <c r="D1819" s="505"/>
      <c r="E1819" s="505"/>
    </row>
    <row r="1820">
      <c r="A1820" s="504"/>
      <c r="B1820" s="505"/>
      <c r="C1820" s="505"/>
      <c r="D1820" s="505"/>
      <c r="E1820" s="505"/>
    </row>
    <row r="1821">
      <c r="A1821" s="504"/>
      <c r="B1821" s="505"/>
      <c r="C1821" s="505"/>
      <c r="D1821" s="505"/>
      <c r="E1821" s="505"/>
    </row>
    <row r="1822">
      <c r="A1822" s="504"/>
      <c r="B1822" s="505"/>
      <c r="C1822" s="505"/>
      <c r="D1822" s="505"/>
      <c r="E1822" s="505"/>
    </row>
    <row r="1823">
      <c r="A1823" s="504"/>
      <c r="B1823" s="505"/>
      <c r="C1823" s="505"/>
      <c r="D1823" s="505"/>
      <c r="E1823" s="505"/>
    </row>
    <row r="1824">
      <c r="A1824" s="504"/>
      <c r="B1824" s="505"/>
      <c r="C1824" s="505"/>
      <c r="D1824" s="505"/>
      <c r="E1824" s="505"/>
    </row>
    <row r="1825">
      <c r="A1825" s="504"/>
      <c r="B1825" s="505"/>
      <c r="C1825" s="505"/>
      <c r="D1825" s="505"/>
      <c r="E1825" s="505"/>
    </row>
    <row r="1826">
      <c r="A1826" s="504"/>
      <c r="B1826" s="505"/>
      <c r="C1826" s="505"/>
      <c r="D1826" s="505"/>
      <c r="E1826" s="505"/>
    </row>
    <row r="1827">
      <c r="A1827" s="504"/>
      <c r="B1827" s="505"/>
      <c r="C1827" s="505"/>
      <c r="D1827" s="505"/>
      <c r="E1827" s="505"/>
    </row>
    <row r="1828">
      <c r="A1828" s="504"/>
      <c r="B1828" s="505"/>
      <c r="C1828" s="505"/>
      <c r="D1828" s="505"/>
      <c r="E1828" s="505"/>
    </row>
    <row r="1829">
      <c r="A1829" s="504"/>
      <c r="B1829" s="505"/>
      <c r="C1829" s="505"/>
      <c r="D1829" s="505"/>
      <c r="E1829" s="505"/>
    </row>
    <row r="1830">
      <c r="A1830" s="504"/>
      <c r="B1830" s="505"/>
      <c r="C1830" s="505"/>
      <c r="D1830" s="505"/>
      <c r="E1830" s="505"/>
    </row>
    <row r="1831">
      <c r="A1831" s="504"/>
      <c r="B1831" s="505"/>
      <c r="C1831" s="505"/>
      <c r="D1831" s="505"/>
      <c r="E1831" s="505"/>
    </row>
    <row r="1832">
      <c r="A1832" s="504"/>
      <c r="B1832" s="505"/>
      <c r="C1832" s="505"/>
      <c r="D1832" s="505"/>
      <c r="E1832" s="505"/>
    </row>
    <row r="1833">
      <c r="A1833" s="504"/>
      <c r="B1833" s="505"/>
      <c r="C1833" s="505"/>
      <c r="D1833" s="505"/>
      <c r="E1833" s="505"/>
    </row>
    <row r="1834">
      <c r="A1834" s="504"/>
      <c r="B1834" s="505"/>
      <c r="C1834" s="505"/>
      <c r="D1834" s="505"/>
      <c r="E1834" s="505"/>
    </row>
    <row r="1835">
      <c r="A1835" s="504"/>
      <c r="B1835" s="505"/>
      <c r="C1835" s="505"/>
      <c r="D1835" s="505"/>
      <c r="E1835" s="505"/>
    </row>
    <row r="1836">
      <c r="A1836" s="504"/>
      <c r="B1836" s="505"/>
      <c r="C1836" s="505"/>
      <c r="D1836" s="505"/>
      <c r="E1836" s="505"/>
    </row>
    <row r="1837">
      <c r="A1837" s="504"/>
      <c r="B1837" s="505"/>
      <c r="C1837" s="505"/>
      <c r="D1837" s="505"/>
      <c r="E1837" s="505"/>
    </row>
    <row r="1838">
      <c r="A1838" s="504"/>
      <c r="B1838" s="505"/>
      <c r="C1838" s="505"/>
      <c r="D1838" s="505"/>
      <c r="E1838" s="505"/>
    </row>
    <row r="1839">
      <c r="A1839" s="504"/>
      <c r="B1839" s="505"/>
      <c r="C1839" s="505"/>
      <c r="D1839" s="505"/>
      <c r="E1839" s="505"/>
    </row>
    <row r="1840">
      <c r="A1840" s="504"/>
      <c r="B1840" s="505"/>
      <c r="C1840" s="505"/>
      <c r="D1840" s="505"/>
      <c r="E1840" s="505"/>
    </row>
    <row r="1841">
      <c r="A1841" s="504"/>
      <c r="B1841" s="505"/>
      <c r="C1841" s="505"/>
      <c r="D1841" s="505"/>
      <c r="E1841" s="505"/>
    </row>
    <row r="1842">
      <c r="A1842" s="504"/>
      <c r="B1842" s="505"/>
      <c r="C1842" s="505"/>
      <c r="D1842" s="505"/>
      <c r="E1842" s="505"/>
    </row>
    <row r="1843">
      <c r="A1843" s="504"/>
      <c r="B1843" s="505"/>
      <c r="C1843" s="505"/>
      <c r="D1843" s="505"/>
      <c r="E1843" s="505"/>
    </row>
    <row r="1844">
      <c r="A1844" s="504"/>
      <c r="B1844" s="505"/>
      <c r="C1844" s="505"/>
      <c r="D1844" s="505"/>
      <c r="E1844" s="505"/>
    </row>
    <row r="1845">
      <c r="A1845" s="504"/>
      <c r="B1845" s="505"/>
      <c r="C1845" s="505"/>
      <c r="D1845" s="505"/>
      <c r="E1845" s="505"/>
    </row>
    <row r="1846">
      <c r="A1846" s="504"/>
      <c r="B1846" s="505"/>
      <c r="C1846" s="505"/>
      <c r="D1846" s="505"/>
      <c r="E1846" s="505"/>
    </row>
    <row r="1847">
      <c r="A1847" s="504"/>
      <c r="B1847" s="505"/>
      <c r="C1847" s="505"/>
      <c r="D1847" s="505"/>
      <c r="E1847" s="505"/>
    </row>
    <row r="1848">
      <c r="A1848" s="504"/>
      <c r="B1848" s="505"/>
      <c r="C1848" s="505"/>
      <c r="D1848" s="505"/>
      <c r="E1848" s="505"/>
    </row>
    <row r="1849">
      <c r="A1849" s="504"/>
      <c r="B1849" s="505"/>
      <c r="C1849" s="505"/>
      <c r="D1849" s="505"/>
      <c r="E1849" s="505"/>
    </row>
    <row r="1850">
      <c r="A1850" s="504"/>
      <c r="B1850" s="505"/>
      <c r="C1850" s="505"/>
      <c r="D1850" s="505"/>
      <c r="E1850" s="505"/>
    </row>
    <row r="1851">
      <c r="A1851" s="504"/>
      <c r="B1851" s="505"/>
      <c r="C1851" s="505"/>
      <c r="D1851" s="505"/>
      <c r="E1851" s="505"/>
    </row>
    <row r="1852">
      <c r="A1852" s="504"/>
      <c r="B1852" s="505"/>
      <c r="C1852" s="505"/>
      <c r="D1852" s="505"/>
      <c r="E1852" s="505"/>
    </row>
    <row r="1853">
      <c r="A1853" s="504"/>
      <c r="B1853" s="505"/>
      <c r="C1853" s="505"/>
      <c r="D1853" s="505"/>
      <c r="E1853" s="505"/>
    </row>
    <row r="1854">
      <c r="A1854" s="504"/>
      <c r="B1854" s="505"/>
      <c r="C1854" s="505"/>
      <c r="D1854" s="505"/>
      <c r="E1854" s="505"/>
    </row>
    <row r="1855">
      <c r="A1855" s="504"/>
      <c r="B1855" s="505"/>
      <c r="C1855" s="505"/>
      <c r="D1855" s="505"/>
      <c r="E1855" s="505"/>
    </row>
    <row r="1856">
      <c r="A1856" s="504"/>
      <c r="B1856" s="505"/>
      <c r="C1856" s="505"/>
      <c r="D1856" s="505"/>
      <c r="E1856" s="505"/>
    </row>
    <row r="1857">
      <c r="A1857" s="504"/>
      <c r="B1857" s="505"/>
      <c r="C1857" s="505"/>
      <c r="D1857" s="505"/>
      <c r="E1857" s="505"/>
    </row>
    <row r="1858">
      <c r="A1858" s="504"/>
      <c r="B1858" s="505"/>
      <c r="C1858" s="505"/>
      <c r="D1858" s="505"/>
      <c r="E1858" s="505"/>
    </row>
    <row r="1859">
      <c r="A1859" s="504"/>
      <c r="B1859" s="505"/>
      <c r="C1859" s="505"/>
      <c r="D1859" s="505"/>
      <c r="E1859" s="505"/>
    </row>
    <row r="1860">
      <c r="A1860" s="504"/>
      <c r="B1860" s="505"/>
      <c r="C1860" s="505"/>
      <c r="D1860" s="505"/>
      <c r="E1860" s="505"/>
    </row>
    <row r="1861">
      <c r="A1861" s="504"/>
      <c r="B1861" s="505"/>
      <c r="C1861" s="505"/>
      <c r="D1861" s="505"/>
      <c r="E1861" s="505"/>
    </row>
    <row r="1862">
      <c r="A1862" s="504"/>
      <c r="B1862" s="505"/>
      <c r="C1862" s="505"/>
      <c r="D1862" s="505"/>
      <c r="E1862" s="505"/>
    </row>
    <row r="1863">
      <c r="A1863" s="504"/>
      <c r="B1863" s="505"/>
      <c r="C1863" s="505"/>
      <c r="D1863" s="505"/>
      <c r="E1863" s="505"/>
    </row>
    <row r="1864">
      <c r="A1864" s="504"/>
      <c r="B1864" s="505"/>
      <c r="C1864" s="505"/>
      <c r="D1864" s="505"/>
      <c r="E1864" s="505"/>
    </row>
    <row r="1865">
      <c r="A1865" s="504"/>
      <c r="B1865" s="505"/>
      <c r="C1865" s="505"/>
      <c r="D1865" s="505"/>
      <c r="E1865" s="505"/>
    </row>
    <row r="1866">
      <c r="A1866" s="504"/>
      <c r="B1866" s="505"/>
      <c r="C1866" s="505"/>
      <c r="D1866" s="505"/>
      <c r="E1866" s="505"/>
    </row>
    <row r="1867">
      <c r="A1867" s="504"/>
      <c r="B1867" s="505"/>
      <c r="C1867" s="505"/>
      <c r="D1867" s="505"/>
      <c r="E1867" s="505"/>
    </row>
    <row r="1868">
      <c r="A1868" s="504"/>
      <c r="B1868" s="505"/>
      <c r="C1868" s="505"/>
      <c r="D1868" s="505"/>
      <c r="E1868" s="505"/>
    </row>
    <row r="1869">
      <c r="A1869" s="504"/>
      <c r="B1869" s="505"/>
      <c r="C1869" s="505"/>
      <c r="D1869" s="505"/>
      <c r="E1869" s="505"/>
    </row>
    <row r="1870">
      <c r="A1870" s="504"/>
      <c r="B1870" s="505"/>
      <c r="C1870" s="505"/>
      <c r="D1870" s="505"/>
      <c r="E1870" s="505"/>
    </row>
    <row r="1871">
      <c r="A1871" s="504"/>
      <c r="B1871" s="505"/>
      <c r="C1871" s="505"/>
      <c r="D1871" s="505"/>
      <c r="E1871" s="505"/>
    </row>
    <row r="1872">
      <c r="A1872" s="504"/>
      <c r="B1872" s="505"/>
      <c r="C1872" s="505"/>
      <c r="D1872" s="505"/>
      <c r="E1872" s="505"/>
    </row>
    <row r="1873">
      <c r="A1873" s="504"/>
      <c r="B1873" s="505"/>
      <c r="C1873" s="505"/>
      <c r="D1873" s="505"/>
      <c r="E1873" s="505"/>
    </row>
    <row r="1874">
      <c r="A1874" s="504"/>
      <c r="B1874" s="505"/>
      <c r="C1874" s="505"/>
      <c r="D1874" s="505"/>
      <c r="E1874" s="505"/>
    </row>
    <row r="1875">
      <c r="A1875" s="504"/>
      <c r="B1875" s="505"/>
      <c r="C1875" s="505"/>
      <c r="D1875" s="505"/>
      <c r="E1875" s="505"/>
    </row>
    <row r="1876">
      <c r="A1876" s="504"/>
      <c r="B1876" s="505"/>
      <c r="C1876" s="505"/>
      <c r="D1876" s="505"/>
      <c r="E1876" s="505"/>
    </row>
    <row r="1877">
      <c r="A1877" s="504"/>
      <c r="B1877" s="505"/>
      <c r="C1877" s="505"/>
      <c r="D1877" s="505"/>
      <c r="E1877" s="505"/>
    </row>
    <row r="1878">
      <c r="A1878" s="504"/>
      <c r="B1878" s="505"/>
      <c r="C1878" s="505"/>
      <c r="D1878" s="505"/>
      <c r="E1878" s="505"/>
    </row>
    <row r="1879">
      <c r="A1879" s="504"/>
      <c r="B1879" s="505"/>
      <c r="C1879" s="505"/>
      <c r="D1879" s="505"/>
      <c r="E1879" s="505"/>
    </row>
    <row r="1880">
      <c r="A1880" s="504"/>
      <c r="B1880" s="505"/>
      <c r="C1880" s="505"/>
      <c r="D1880" s="505"/>
      <c r="E1880" s="505"/>
    </row>
    <row r="1881">
      <c r="A1881" s="504"/>
      <c r="B1881" s="505"/>
      <c r="C1881" s="505"/>
      <c r="D1881" s="505"/>
      <c r="E1881" s="505"/>
    </row>
    <row r="1882">
      <c r="A1882" s="504"/>
      <c r="B1882" s="505"/>
      <c r="C1882" s="505"/>
      <c r="D1882" s="505"/>
      <c r="E1882" s="505"/>
    </row>
    <row r="1883">
      <c r="A1883" s="504"/>
      <c r="B1883" s="505"/>
      <c r="C1883" s="505"/>
      <c r="D1883" s="505"/>
      <c r="E1883" s="505"/>
    </row>
    <row r="1884">
      <c r="A1884" s="504"/>
      <c r="B1884" s="505"/>
      <c r="C1884" s="505"/>
      <c r="D1884" s="505"/>
      <c r="E1884" s="505"/>
    </row>
    <row r="1885">
      <c r="A1885" s="504"/>
      <c r="B1885" s="505"/>
      <c r="C1885" s="505"/>
      <c r="D1885" s="505"/>
      <c r="E1885" s="505"/>
    </row>
    <row r="1886">
      <c r="A1886" s="504"/>
      <c r="B1886" s="505"/>
      <c r="C1886" s="505"/>
      <c r="D1886" s="505"/>
      <c r="E1886" s="505"/>
    </row>
    <row r="1887">
      <c r="A1887" s="504"/>
      <c r="B1887" s="505"/>
      <c r="C1887" s="505"/>
      <c r="D1887" s="505"/>
      <c r="E1887" s="505"/>
    </row>
    <row r="1888">
      <c r="A1888" s="504"/>
      <c r="B1888" s="505"/>
      <c r="C1888" s="505"/>
      <c r="D1888" s="505"/>
      <c r="E1888" s="505"/>
    </row>
    <row r="1889">
      <c r="A1889" s="504"/>
      <c r="B1889" s="505"/>
      <c r="C1889" s="505"/>
      <c r="D1889" s="505"/>
      <c r="E1889" s="505"/>
    </row>
    <row r="1890">
      <c r="A1890" s="504"/>
      <c r="B1890" s="505"/>
      <c r="C1890" s="505"/>
      <c r="D1890" s="505"/>
      <c r="E1890" s="505"/>
    </row>
    <row r="1891">
      <c r="A1891" s="504"/>
      <c r="B1891" s="505"/>
      <c r="C1891" s="505"/>
      <c r="D1891" s="505"/>
      <c r="E1891" s="505"/>
    </row>
    <row r="1892">
      <c r="A1892" s="504"/>
      <c r="B1892" s="505"/>
      <c r="C1892" s="505"/>
      <c r="D1892" s="505"/>
      <c r="E1892" s="505"/>
    </row>
    <row r="1893">
      <c r="A1893" s="504"/>
      <c r="B1893" s="505"/>
      <c r="C1893" s="505"/>
      <c r="D1893" s="505"/>
      <c r="E1893" s="505"/>
    </row>
    <row r="1894">
      <c r="A1894" s="504"/>
      <c r="B1894" s="505"/>
      <c r="C1894" s="505"/>
      <c r="D1894" s="505"/>
      <c r="E1894" s="505"/>
    </row>
    <row r="1895">
      <c r="A1895" s="504"/>
      <c r="B1895" s="505"/>
      <c r="C1895" s="505"/>
      <c r="D1895" s="505"/>
      <c r="E1895" s="505"/>
    </row>
    <row r="1896">
      <c r="A1896" s="504"/>
      <c r="B1896" s="505"/>
      <c r="C1896" s="505"/>
      <c r="D1896" s="505"/>
      <c r="E1896" s="505"/>
    </row>
    <row r="1897">
      <c r="A1897" s="504"/>
      <c r="B1897" s="505"/>
      <c r="C1897" s="505"/>
      <c r="D1897" s="505"/>
      <c r="E1897" s="505"/>
    </row>
    <row r="1898">
      <c r="A1898" s="504"/>
      <c r="B1898" s="505"/>
      <c r="C1898" s="505"/>
      <c r="D1898" s="505"/>
      <c r="E1898" s="505"/>
    </row>
    <row r="1899">
      <c r="A1899" s="504"/>
      <c r="B1899" s="505"/>
      <c r="C1899" s="505"/>
      <c r="D1899" s="505"/>
      <c r="E1899" s="505"/>
    </row>
    <row r="1900">
      <c r="A1900" s="504"/>
      <c r="B1900" s="505"/>
      <c r="C1900" s="505"/>
      <c r="D1900" s="505"/>
      <c r="E1900" s="505"/>
    </row>
    <row r="1901">
      <c r="A1901" s="504"/>
      <c r="B1901" s="505"/>
      <c r="C1901" s="505"/>
      <c r="D1901" s="505"/>
      <c r="E1901" s="505"/>
    </row>
    <row r="1902">
      <c r="A1902" s="504"/>
      <c r="B1902" s="505"/>
      <c r="C1902" s="505"/>
      <c r="D1902" s="505"/>
      <c r="E1902" s="505"/>
    </row>
    <row r="1903">
      <c r="A1903" s="504"/>
      <c r="B1903" s="505"/>
      <c r="C1903" s="505"/>
      <c r="D1903" s="505"/>
      <c r="E1903" s="505"/>
    </row>
    <row r="1904">
      <c r="A1904" s="504"/>
      <c r="B1904" s="505"/>
      <c r="C1904" s="505"/>
      <c r="D1904" s="505"/>
      <c r="E1904" s="505"/>
    </row>
    <row r="1905">
      <c r="A1905" s="504"/>
      <c r="B1905" s="505"/>
      <c r="C1905" s="505"/>
      <c r="D1905" s="505"/>
      <c r="E1905" s="505"/>
    </row>
    <row r="1906">
      <c r="A1906" s="504"/>
      <c r="B1906" s="505"/>
      <c r="C1906" s="505"/>
      <c r="D1906" s="505"/>
      <c r="E1906" s="505"/>
    </row>
    <row r="1907">
      <c r="A1907" s="504"/>
      <c r="B1907" s="505"/>
      <c r="C1907" s="505"/>
      <c r="D1907" s="505"/>
      <c r="E1907" s="505"/>
    </row>
    <row r="1908">
      <c r="A1908" s="504"/>
      <c r="B1908" s="505"/>
      <c r="C1908" s="505"/>
      <c r="D1908" s="505"/>
      <c r="E1908" s="505"/>
    </row>
    <row r="1909">
      <c r="A1909" s="504"/>
      <c r="B1909" s="505"/>
      <c r="C1909" s="505"/>
      <c r="D1909" s="505"/>
      <c r="E1909" s="505"/>
    </row>
    <row r="1910">
      <c r="A1910" s="504"/>
      <c r="B1910" s="505"/>
      <c r="C1910" s="505"/>
      <c r="D1910" s="505"/>
      <c r="E1910" s="505"/>
    </row>
    <row r="1911">
      <c r="A1911" s="504"/>
      <c r="B1911" s="505"/>
      <c r="C1911" s="505"/>
      <c r="D1911" s="505"/>
      <c r="E1911" s="505"/>
    </row>
    <row r="1912">
      <c r="A1912" s="504"/>
      <c r="B1912" s="505"/>
      <c r="C1912" s="505"/>
      <c r="D1912" s="505"/>
      <c r="E1912" s="505"/>
    </row>
    <row r="1913">
      <c r="A1913" s="504"/>
      <c r="B1913" s="505"/>
      <c r="C1913" s="505"/>
      <c r="D1913" s="505"/>
      <c r="E1913" s="505"/>
    </row>
    <row r="1914">
      <c r="A1914" s="504"/>
      <c r="B1914" s="505"/>
      <c r="C1914" s="505"/>
      <c r="D1914" s="505"/>
      <c r="E1914" s="505"/>
    </row>
    <row r="1915">
      <c r="A1915" s="504"/>
      <c r="B1915" s="505"/>
      <c r="C1915" s="505"/>
      <c r="D1915" s="505"/>
      <c r="E1915" s="505"/>
    </row>
    <row r="1916">
      <c r="A1916" s="504"/>
      <c r="B1916" s="505"/>
      <c r="C1916" s="505"/>
      <c r="D1916" s="505"/>
      <c r="E1916" s="505"/>
    </row>
    <row r="1917">
      <c r="A1917" s="504"/>
      <c r="B1917" s="505"/>
      <c r="C1917" s="505"/>
      <c r="D1917" s="505"/>
      <c r="E1917" s="505"/>
    </row>
    <row r="1918">
      <c r="A1918" s="504"/>
      <c r="B1918" s="505"/>
      <c r="C1918" s="505"/>
      <c r="D1918" s="505"/>
      <c r="E1918" s="505"/>
    </row>
    <row r="1919">
      <c r="A1919" s="504"/>
      <c r="B1919" s="505"/>
      <c r="C1919" s="505"/>
      <c r="D1919" s="505"/>
      <c r="E1919" s="505"/>
    </row>
    <row r="1920">
      <c r="A1920" s="504"/>
      <c r="B1920" s="505"/>
      <c r="C1920" s="505"/>
      <c r="D1920" s="505"/>
      <c r="E1920" s="505"/>
    </row>
    <row r="1921">
      <c r="A1921" s="504"/>
      <c r="B1921" s="505"/>
      <c r="C1921" s="505"/>
      <c r="D1921" s="505"/>
      <c r="E1921" s="505"/>
    </row>
    <row r="1922">
      <c r="A1922" s="504"/>
      <c r="B1922" s="505"/>
      <c r="C1922" s="505"/>
      <c r="D1922" s="505"/>
      <c r="E1922" s="505"/>
    </row>
    <row r="1923">
      <c r="A1923" s="504"/>
      <c r="B1923" s="505"/>
      <c r="C1923" s="505"/>
      <c r="D1923" s="505"/>
      <c r="E1923" s="505"/>
    </row>
    <row r="1924">
      <c r="A1924" s="504"/>
      <c r="B1924" s="505"/>
      <c r="C1924" s="505"/>
      <c r="D1924" s="505"/>
      <c r="E1924" s="505"/>
    </row>
    <row r="1925">
      <c r="A1925" s="504"/>
      <c r="B1925" s="505"/>
      <c r="C1925" s="505"/>
      <c r="D1925" s="505"/>
      <c r="E1925" s="505"/>
    </row>
    <row r="1926">
      <c r="A1926" s="504"/>
      <c r="B1926" s="505"/>
      <c r="C1926" s="505"/>
      <c r="D1926" s="505"/>
      <c r="E1926" s="505"/>
    </row>
    <row r="1927">
      <c r="A1927" s="504"/>
      <c r="B1927" s="505"/>
      <c r="C1927" s="505"/>
      <c r="D1927" s="505"/>
      <c r="E1927" s="505"/>
    </row>
    <row r="1928">
      <c r="A1928" s="504"/>
      <c r="B1928" s="505"/>
      <c r="C1928" s="505"/>
      <c r="D1928" s="505"/>
      <c r="E1928" s="505"/>
    </row>
    <row r="1929">
      <c r="A1929" s="504"/>
      <c r="B1929" s="505"/>
      <c r="C1929" s="505"/>
      <c r="D1929" s="505"/>
      <c r="E1929" s="505"/>
    </row>
    <row r="1930">
      <c r="A1930" s="504"/>
      <c r="B1930" s="505"/>
      <c r="C1930" s="505"/>
      <c r="D1930" s="505"/>
      <c r="E1930" s="505"/>
    </row>
    <row r="1931">
      <c r="A1931" s="504"/>
      <c r="B1931" s="505"/>
      <c r="C1931" s="505"/>
      <c r="D1931" s="505"/>
      <c r="E1931" s="505"/>
    </row>
    <row r="1932">
      <c r="A1932" s="504"/>
      <c r="B1932" s="505"/>
      <c r="C1932" s="505"/>
      <c r="D1932" s="505"/>
      <c r="E1932" s="505"/>
    </row>
    <row r="1933">
      <c r="A1933" s="504"/>
      <c r="B1933" s="505"/>
      <c r="C1933" s="505"/>
      <c r="D1933" s="505"/>
      <c r="E1933" s="505"/>
    </row>
    <row r="1934">
      <c r="A1934" s="504"/>
      <c r="B1934" s="505"/>
      <c r="C1934" s="505"/>
      <c r="D1934" s="505"/>
      <c r="E1934" s="505"/>
    </row>
    <row r="1935">
      <c r="A1935" s="504"/>
      <c r="B1935" s="505"/>
      <c r="C1935" s="505"/>
      <c r="D1935" s="505"/>
      <c r="E1935" s="505"/>
    </row>
    <row r="1936">
      <c r="A1936" s="504"/>
      <c r="B1936" s="505"/>
      <c r="C1936" s="505"/>
      <c r="D1936" s="505"/>
      <c r="E1936" s="505"/>
    </row>
    <row r="1937">
      <c r="A1937" s="504"/>
      <c r="B1937" s="505"/>
      <c r="C1937" s="505"/>
      <c r="D1937" s="505"/>
      <c r="E1937" s="505"/>
    </row>
    <row r="1938">
      <c r="A1938" s="504"/>
      <c r="B1938" s="505"/>
      <c r="C1938" s="505"/>
      <c r="D1938" s="505"/>
      <c r="E1938" s="505"/>
    </row>
    <row r="1939">
      <c r="A1939" s="504"/>
      <c r="B1939" s="505"/>
      <c r="C1939" s="505"/>
      <c r="D1939" s="505"/>
      <c r="E1939" s="505"/>
    </row>
    <row r="1940">
      <c r="A1940" s="504"/>
      <c r="B1940" s="505"/>
      <c r="C1940" s="505"/>
      <c r="D1940" s="505"/>
      <c r="E1940" s="505"/>
    </row>
    <row r="1941">
      <c r="A1941" s="504"/>
      <c r="B1941" s="505"/>
      <c r="C1941" s="505"/>
      <c r="D1941" s="505"/>
      <c r="E1941" s="505"/>
    </row>
    <row r="1942">
      <c r="A1942" s="504"/>
      <c r="B1942" s="505"/>
      <c r="C1942" s="505"/>
      <c r="D1942" s="505"/>
      <c r="E1942" s="505"/>
    </row>
    <row r="1943">
      <c r="A1943" s="504"/>
      <c r="B1943" s="505"/>
      <c r="C1943" s="505"/>
      <c r="D1943" s="505"/>
      <c r="E1943" s="505"/>
    </row>
    <row r="1944">
      <c r="A1944" s="504"/>
      <c r="B1944" s="505"/>
      <c r="C1944" s="505"/>
      <c r="D1944" s="505"/>
      <c r="E1944" s="505"/>
    </row>
    <row r="1945">
      <c r="A1945" s="504"/>
      <c r="B1945" s="505"/>
      <c r="C1945" s="505"/>
      <c r="D1945" s="505"/>
      <c r="E1945" s="505"/>
    </row>
    <row r="1946">
      <c r="A1946" s="504"/>
      <c r="B1946" s="505"/>
      <c r="C1946" s="505"/>
      <c r="D1946" s="505"/>
      <c r="E1946" s="505"/>
    </row>
    <row r="1947">
      <c r="A1947" s="504"/>
      <c r="B1947" s="505"/>
      <c r="C1947" s="505"/>
      <c r="D1947" s="505"/>
      <c r="E1947" s="505"/>
    </row>
    <row r="1948">
      <c r="A1948" s="504"/>
      <c r="B1948" s="505"/>
      <c r="C1948" s="505"/>
      <c r="D1948" s="505"/>
      <c r="E1948" s="505"/>
    </row>
    <row r="1949">
      <c r="A1949" s="504"/>
      <c r="B1949" s="505"/>
      <c r="C1949" s="505"/>
      <c r="D1949" s="505"/>
      <c r="E1949" s="505"/>
    </row>
    <row r="1950">
      <c r="A1950" s="504"/>
      <c r="B1950" s="505"/>
      <c r="C1950" s="505"/>
      <c r="D1950" s="505"/>
      <c r="E1950" s="505"/>
    </row>
    <row r="1951">
      <c r="A1951" s="504"/>
      <c r="B1951" s="505"/>
      <c r="C1951" s="505"/>
      <c r="D1951" s="505"/>
      <c r="E1951" s="505"/>
    </row>
    <row r="1952">
      <c r="A1952" s="504"/>
      <c r="B1952" s="505"/>
      <c r="C1952" s="505"/>
      <c r="D1952" s="505"/>
      <c r="E1952" s="505"/>
    </row>
    <row r="1953">
      <c r="A1953" s="504"/>
      <c r="B1953" s="505"/>
      <c r="C1953" s="505"/>
      <c r="D1953" s="505"/>
      <c r="E1953" s="505"/>
    </row>
    <row r="1954">
      <c r="A1954" s="504"/>
      <c r="B1954" s="505"/>
      <c r="C1954" s="505"/>
      <c r="D1954" s="505"/>
      <c r="E1954" s="505"/>
    </row>
    <row r="1955">
      <c r="A1955" s="504"/>
      <c r="B1955" s="505"/>
      <c r="C1955" s="505"/>
      <c r="D1955" s="505"/>
      <c r="E1955" s="505"/>
    </row>
    <row r="1956">
      <c r="A1956" s="504"/>
      <c r="B1956" s="505"/>
      <c r="C1956" s="505"/>
      <c r="D1956" s="505"/>
      <c r="E1956" s="505"/>
    </row>
    <row r="1957">
      <c r="A1957" s="504"/>
      <c r="B1957" s="505"/>
      <c r="C1957" s="505"/>
      <c r="D1957" s="505"/>
      <c r="E1957" s="505"/>
    </row>
    <row r="1958">
      <c r="A1958" s="504"/>
      <c r="B1958" s="505"/>
      <c r="C1958" s="505"/>
      <c r="D1958" s="505"/>
      <c r="E1958" s="505"/>
    </row>
    <row r="1959">
      <c r="A1959" s="504"/>
      <c r="B1959" s="505"/>
      <c r="C1959" s="505"/>
      <c r="D1959" s="505"/>
      <c r="E1959" s="505"/>
    </row>
    <row r="1960">
      <c r="A1960" s="504"/>
      <c r="B1960" s="505"/>
      <c r="C1960" s="505"/>
      <c r="D1960" s="505"/>
      <c r="E1960" s="505"/>
    </row>
    <row r="1961">
      <c r="A1961" s="504"/>
      <c r="B1961" s="505"/>
      <c r="C1961" s="505"/>
      <c r="D1961" s="505"/>
      <c r="E1961" s="505"/>
    </row>
    <row r="1962">
      <c r="A1962" s="504"/>
      <c r="B1962" s="505"/>
      <c r="C1962" s="505"/>
      <c r="D1962" s="505"/>
      <c r="E1962" s="505"/>
    </row>
    <row r="1963">
      <c r="A1963" s="504"/>
      <c r="B1963" s="505"/>
      <c r="C1963" s="505"/>
      <c r="D1963" s="505"/>
      <c r="E1963" s="505"/>
    </row>
    <row r="1964">
      <c r="A1964" s="504"/>
      <c r="B1964" s="505"/>
      <c r="C1964" s="505"/>
      <c r="D1964" s="505"/>
      <c r="E1964" s="505"/>
    </row>
    <row r="1965">
      <c r="A1965" s="504"/>
      <c r="B1965" s="505"/>
      <c r="C1965" s="505"/>
      <c r="D1965" s="505"/>
      <c r="E1965" s="505"/>
    </row>
    <row r="1966">
      <c r="A1966" s="504"/>
      <c r="B1966" s="505"/>
      <c r="C1966" s="505"/>
      <c r="D1966" s="505"/>
      <c r="E1966" s="505"/>
    </row>
    <row r="1967">
      <c r="A1967" s="504"/>
      <c r="B1967" s="505"/>
      <c r="C1967" s="505"/>
      <c r="D1967" s="505"/>
      <c r="E1967" s="505"/>
    </row>
    <row r="1968">
      <c r="A1968" s="504"/>
      <c r="B1968" s="505"/>
      <c r="C1968" s="505"/>
      <c r="D1968" s="505"/>
      <c r="E1968" s="505"/>
    </row>
    <row r="1969">
      <c r="A1969" s="504"/>
      <c r="B1969" s="505"/>
      <c r="C1969" s="505"/>
      <c r="D1969" s="505"/>
      <c r="E1969" s="505"/>
    </row>
    <row r="1970">
      <c r="A1970" s="504"/>
      <c r="B1970" s="505"/>
      <c r="C1970" s="505"/>
      <c r="D1970" s="505"/>
      <c r="E1970" s="505"/>
    </row>
    <row r="1971">
      <c r="A1971" s="504"/>
      <c r="B1971" s="505"/>
      <c r="C1971" s="505"/>
      <c r="D1971" s="505"/>
      <c r="E1971" s="505"/>
    </row>
    <row r="1972">
      <c r="A1972" s="504"/>
      <c r="B1972" s="505"/>
      <c r="C1972" s="505"/>
      <c r="D1972" s="505"/>
      <c r="E1972" s="505"/>
    </row>
    <row r="1973">
      <c r="A1973" s="504"/>
      <c r="B1973" s="505"/>
      <c r="C1973" s="505"/>
      <c r="D1973" s="505"/>
      <c r="E1973" s="505"/>
    </row>
    <row r="1974">
      <c r="A1974" s="504"/>
      <c r="B1974" s="505"/>
      <c r="C1974" s="505"/>
      <c r="D1974" s="505"/>
      <c r="E1974" s="505"/>
    </row>
    <row r="1975">
      <c r="A1975" s="504"/>
      <c r="B1975" s="505"/>
      <c r="C1975" s="505"/>
      <c r="D1975" s="505"/>
      <c r="E1975" s="505"/>
    </row>
    <row r="1976">
      <c r="A1976" s="504"/>
      <c r="B1976" s="505"/>
      <c r="C1976" s="505"/>
      <c r="D1976" s="505"/>
      <c r="E1976" s="505"/>
    </row>
    <row r="1977">
      <c r="A1977" s="504"/>
      <c r="B1977" s="505"/>
      <c r="C1977" s="505"/>
      <c r="D1977" s="505"/>
      <c r="E1977" s="505"/>
    </row>
    <row r="1978">
      <c r="A1978" s="504"/>
      <c r="B1978" s="505"/>
      <c r="C1978" s="505"/>
      <c r="D1978" s="505"/>
      <c r="E1978" s="505"/>
    </row>
    <row r="1979">
      <c r="A1979" s="504"/>
      <c r="B1979" s="505"/>
      <c r="C1979" s="505"/>
      <c r="D1979" s="505"/>
      <c r="E1979" s="505"/>
    </row>
    <row r="1980">
      <c r="A1980" s="504"/>
      <c r="B1980" s="505"/>
      <c r="C1980" s="505"/>
      <c r="D1980" s="505"/>
      <c r="E1980" s="505"/>
    </row>
    <row r="1981">
      <c r="A1981" s="504"/>
      <c r="B1981" s="505"/>
      <c r="C1981" s="505"/>
      <c r="D1981" s="505"/>
      <c r="E1981" s="505"/>
    </row>
    <row r="1982">
      <c r="A1982" s="504"/>
      <c r="B1982" s="505"/>
      <c r="C1982" s="505"/>
      <c r="D1982" s="505"/>
      <c r="E1982" s="505"/>
    </row>
    <row r="1983">
      <c r="A1983" s="504"/>
      <c r="B1983" s="505"/>
      <c r="C1983" s="505"/>
      <c r="D1983" s="505"/>
      <c r="E1983" s="505"/>
    </row>
    <row r="1984">
      <c r="A1984" s="504"/>
      <c r="B1984" s="505"/>
      <c r="C1984" s="505"/>
      <c r="D1984" s="505"/>
      <c r="E1984" s="505"/>
    </row>
    <row r="1985">
      <c r="A1985" s="504"/>
      <c r="B1985" s="505"/>
      <c r="C1985" s="505"/>
      <c r="D1985" s="505"/>
      <c r="E1985" s="505"/>
    </row>
    <row r="1986">
      <c r="A1986" s="504"/>
      <c r="B1986" s="505"/>
      <c r="C1986" s="505"/>
      <c r="D1986" s="505"/>
      <c r="E1986" s="505"/>
    </row>
    <row r="1987">
      <c r="A1987" s="504"/>
      <c r="B1987" s="505"/>
      <c r="C1987" s="505"/>
      <c r="D1987" s="505"/>
      <c r="E1987" s="505"/>
    </row>
    <row r="1988">
      <c r="A1988" s="504"/>
      <c r="B1988" s="505"/>
      <c r="C1988" s="505"/>
      <c r="D1988" s="505"/>
      <c r="E1988" s="505"/>
    </row>
    <row r="1989">
      <c r="A1989" s="504"/>
      <c r="B1989" s="505"/>
      <c r="C1989" s="505"/>
      <c r="D1989" s="505"/>
      <c r="E1989" s="505"/>
    </row>
    <row r="1990">
      <c r="A1990" s="504"/>
      <c r="B1990" s="505"/>
      <c r="C1990" s="505"/>
      <c r="D1990" s="505"/>
      <c r="E1990" s="505"/>
    </row>
    <row r="1991">
      <c r="A1991" s="504"/>
      <c r="B1991" s="505"/>
      <c r="C1991" s="505"/>
      <c r="D1991" s="505"/>
      <c r="E1991" s="505"/>
    </row>
    <row r="1992">
      <c r="A1992" s="504"/>
      <c r="B1992" s="505"/>
      <c r="C1992" s="505"/>
      <c r="D1992" s="505"/>
      <c r="E1992" s="505"/>
    </row>
    <row r="1993">
      <c r="A1993" s="504"/>
      <c r="B1993" s="505"/>
      <c r="C1993" s="505"/>
      <c r="D1993" s="505"/>
      <c r="E1993" s="505"/>
    </row>
    <row r="1994">
      <c r="A1994" s="504"/>
      <c r="B1994" s="505"/>
      <c r="C1994" s="505"/>
      <c r="D1994" s="505"/>
      <c r="E1994" s="505"/>
    </row>
    <row r="1995">
      <c r="A1995" s="504"/>
      <c r="B1995" s="505"/>
      <c r="C1995" s="505"/>
      <c r="D1995" s="505"/>
      <c r="E1995" s="505"/>
    </row>
    <row r="1996">
      <c r="A1996" s="504"/>
      <c r="B1996" s="505"/>
      <c r="C1996" s="505"/>
      <c r="D1996" s="505"/>
      <c r="E1996" s="505"/>
    </row>
    <row r="1997">
      <c r="A1997" s="504"/>
      <c r="B1997" s="505"/>
      <c r="C1997" s="505"/>
      <c r="D1997" s="505"/>
      <c r="E1997" s="505"/>
    </row>
    <row r="1998">
      <c r="A1998" s="504"/>
      <c r="B1998" s="505"/>
      <c r="C1998" s="505"/>
      <c r="D1998" s="505"/>
      <c r="E1998" s="505"/>
    </row>
    <row r="1999">
      <c r="A1999" s="504"/>
      <c r="B1999" s="505"/>
      <c r="C1999" s="505"/>
      <c r="D1999" s="505"/>
      <c r="E1999" s="505"/>
    </row>
    <row r="2000">
      <c r="A2000" s="504"/>
      <c r="B2000" s="505"/>
      <c r="C2000" s="505"/>
      <c r="D2000" s="505"/>
      <c r="E2000" s="50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4.13"/>
    <col customWidth="1" min="3" max="3" width="12.13"/>
    <col customWidth="1" min="4" max="6" width="17.0"/>
    <col customWidth="1" min="7" max="7" width="28.13"/>
    <col customWidth="1" min="8" max="26" width="12.88"/>
  </cols>
  <sheetData>
    <row r="1">
      <c r="A1" s="507" t="s">
        <v>1428</v>
      </c>
      <c r="B1" s="508"/>
      <c r="C1" s="508"/>
      <c r="D1" s="508"/>
      <c r="E1" s="508"/>
      <c r="F1" s="508"/>
      <c r="G1" s="509"/>
    </row>
    <row r="2">
      <c r="A2" s="510" t="s">
        <v>1429</v>
      </c>
      <c r="B2" s="511" t="s">
        <v>1430</v>
      </c>
      <c r="C2" s="511" t="s">
        <v>1425</v>
      </c>
      <c r="D2" s="511" t="s">
        <v>1431</v>
      </c>
      <c r="E2" s="511" t="s">
        <v>1432</v>
      </c>
      <c r="F2" s="511" t="s">
        <v>1433</v>
      </c>
      <c r="G2" s="511" t="s">
        <v>28</v>
      </c>
    </row>
    <row r="3">
      <c r="A3" s="512" t="s">
        <v>1434</v>
      </c>
      <c r="B3" s="513" t="s">
        <v>1435</v>
      </c>
      <c r="C3" s="513" t="s">
        <v>1393</v>
      </c>
      <c r="D3" s="513" t="s">
        <v>1257</v>
      </c>
      <c r="E3" s="514" t="s">
        <v>1436</v>
      </c>
      <c r="F3" s="514" t="s">
        <v>1436</v>
      </c>
      <c r="G3" s="513" t="s">
        <v>1437</v>
      </c>
    </row>
    <row r="4">
      <c r="A4" s="515" t="s">
        <v>1434</v>
      </c>
      <c r="B4" s="516" t="s">
        <v>1435</v>
      </c>
      <c r="C4" s="516" t="s">
        <v>1393</v>
      </c>
      <c r="D4" s="517" t="s">
        <v>1438</v>
      </c>
      <c r="E4" s="518">
        <v>46195.0</v>
      </c>
      <c r="F4" s="517" t="s">
        <v>1439</v>
      </c>
      <c r="G4" s="519" t="s">
        <v>1440</v>
      </c>
    </row>
    <row r="5">
      <c r="A5" s="515" t="s">
        <v>1434</v>
      </c>
      <c r="B5" s="516" t="s">
        <v>1435</v>
      </c>
      <c r="C5" s="516" t="s">
        <v>1393</v>
      </c>
      <c r="D5" s="517" t="s">
        <v>1441</v>
      </c>
      <c r="E5" s="518">
        <v>46195.0</v>
      </c>
      <c r="F5" s="517" t="s">
        <v>1439</v>
      </c>
      <c r="G5" s="519" t="s">
        <v>1440</v>
      </c>
    </row>
    <row r="6">
      <c r="A6" s="520" t="s">
        <v>1442</v>
      </c>
      <c r="B6" s="521" t="s">
        <v>1443</v>
      </c>
      <c r="C6" s="521" t="s">
        <v>1444</v>
      </c>
      <c r="D6" s="521" t="s">
        <v>1445</v>
      </c>
      <c r="E6" s="518">
        <v>46195.0</v>
      </c>
      <c r="F6" s="518">
        <v>46206.0</v>
      </c>
      <c r="G6" s="522" t="s">
        <v>1446</v>
      </c>
    </row>
    <row r="7">
      <c r="A7" s="520" t="s">
        <v>1442</v>
      </c>
      <c r="B7" s="523" t="s">
        <v>1447</v>
      </c>
      <c r="C7" s="521" t="s">
        <v>1444</v>
      </c>
      <c r="D7" s="521" t="s">
        <v>1448</v>
      </c>
      <c r="E7" s="518">
        <v>46207.0</v>
      </c>
      <c r="F7" s="518">
        <v>46217.0</v>
      </c>
      <c r="G7" s="522" t="s">
        <v>1446</v>
      </c>
    </row>
    <row r="8">
      <c r="A8" s="524" t="s">
        <v>1442</v>
      </c>
      <c r="B8" s="525" t="s">
        <v>1449</v>
      </c>
      <c r="C8" s="525" t="s">
        <v>1395</v>
      </c>
      <c r="D8" s="525" t="s">
        <v>1450</v>
      </c>
      <c r="E8" s="525" t="s">
        <v>1451</v>
      </c>
      <c r="F8" s="525" t="s">
        <v>1436</v>
      </c>
      <c r="G8" s="526" t="s">
        <v>1452</v>
      </c>
    </row>
    <row r="9">
      <c r="A9" s="524" t="s">
        <v>1442</v>
      </c>
      <c r="B9" s="525" t="s">
        <v>1449</v>
      </c>
      <c r="C9" s="525" t="s">
        <v>1395</v>
      </c>
      <c r="D9" s="525" t="s">
        <v>1453</v>
      </c>
      <c r="E9" s="525" t="s">
        <v>1451</v>
      </c>
      <c r="F9" s="525" t="s">
        <v>1436</v>
      </c>
      <c r="G9" s="526" t="s">
        <v>1452</v>
      </c>
    </row>
    <row r="10">
      <c r="A10" s="512" t="s">
        <v>1454</v>
      </c>
      <c r="B10" s="527" t="s">
        <v>1455</v>
      </c>
      <c r="C10" s="527" t="s">
        <v>1396</v>
      </c>
      <c r="D10" s="528" t="s">
        <v>1441</v>
      </c>
      <c r="E10" s="525" t="s">
        <v>1451</v>
      </c>
      <c r="F10" s="525" t="s">
        <v>1436</v>
      </c>
      <c r="G10" s="526" t="s">
        <v>1452</v>
      </c>
    </row>
    <row r="11">
      <c r="A11" s="529" t="s">
        <v>1454</v>
      </c>
      <c r="B11" s="530" t="s">
        <v>1455</v>
      </c>
      <c r="C11" s="530" t="s">
        <v>1396</v>
      </c>
      <c r="D11" s="531" t="s">
        <v>1456</v>
      </c>
      <c r="E11" s="532" t="s">
        <v>1441</v>
      </c>
      <c r="F11" s="532" t="s">
        <v>1439</v>
      </c>
      <c r="G11" s="533" t="s">
        <v>1457</v>
      </c>
    </row>
    <row r="12">
      <c r="A12" s="534"/>
      <c r="B12" s="535"/>
      <c r="C12" s="535"/>
      <c r="D12" s="536"/>
      <c r="E12" s="536"/>
      <c r="F12" s="536"/>
      <c r="G12" s="537"/>
    </row>
    <row r="13">
      <c r="A13" s="538"/>
      <c r="B13" s="539"/>
      <c r="C13" s="539"/>
      <c r="D13" s="540"/>
      <c r="E13" s="540"/>
      <c r="F13" s="539"/>
      <c r="G13" s="539"/>
    </row>
    <row r="14">
      <c r="B14" s="541"/>
      <c r="C14" s="541"/>
      <c r="D14" s="541"/>
      <c r="E14" s="541"/>
      <c r="F14" s="541"/>
      <c r="G14" s="541"/>
    </row>
    <row r="15">
      <c r="B15" s="542"/>
      <c r="C15" s="542"/>
      <c r="D15" s="542"/>
      <c r="E15" s="542"/>
      <c r="F15" s="542"/>
      <c r="G15" s="543"/>
    </row>
    <row r="16">
      <c r="B16" s="542"/>
      <c r="C16" s="542"/>
      <c r="D16" s="542"/>
      <c r="E16" s="542"/>
      <c r="F16" s="542"/>
      <c r="G16" s="543"/>
    </row>
    <row r="17">
      <c r="B17" s="542"/>
      <c r="C17" s="542"/>
      <c r="D17" s="542"/>
      <c r="E17" s="542"/>
      <c r="F17" s="542"/>
      <c r="G17" s="543"/>
    </row>
    <row r="18">
      <c r="B18" s="542"/>
      <c r="C18" s="542"/>
      <c r="D18" s="542"/>
      <c r="E18" s="542"/>
      <c r="F18" s="542"/>
      <c r="G18" s="543"/>
    </row>
    <row r="19">
      <c r="B19" s="542"/>
      <c r="C19" s="542"/>
      <c r="D19" s="542"/>
      <c r="E19" s="542"/>
      <c r="F19" s="542"/>
      <c r="G19" s="543"/>
    </row>
    <row r="20">
      <c r="B20" s="542"/>
      <c r="C20" s="542"/>
      <c r="D20" s="542"/>
      <c r="E20" s="542"/>
      <c r="F20" s="542"/>
      <c r="G20" s="543"/>
    </row>
    <row r="21">
      <c r="B21" s="542"/>
      <c r="C21" s="542"/>
      <c r="D21" s="542"/>
      <c r="E21" s="542"/>
      <c r="F21" s="542"/>
      <c r="G21" s="543"/>
    </row>
    <row r="22">
      <c r="B22" s="542"/>
      <c r="C22" s="542"/>
      <c r="D22" s="542"/>
      <c r="E22" s="542"/>
      <c r="F22" s="542"/>
      <c r="G22" s="543"/>
    </row>
    <row r="23">
      <c r="B23" s="542"/>
      <c r="C23" s="542"/>
      <c r="D23" s="542"/>
      <c r="E23" s="542"/>
      <c r="F23" s="542"/>
      <c r="G23" s="543"/>
    </row>
    <row r="24">
      <c r="B24" s="542"/>
      <c r="C24" s="542"/>
      <c r="D24" s="542"/>
      <c r="E24" s="542"/>
      <c r="F24" s="542"/>
      <c r="G24" s="543"/>
    </row>
    <row r="25">
      <c r="B25" s="542"/>
      <c r="C25" s="542"/>
      <c r="D25" s="542"/>
      <c r="E25" s="542"/>
      <c r="F25" s="542"/>
      <c r="G25" s="543"/>
    </row>
    <row r="26">
      <c r="B26" s="542"/>
      <c r="C26" s="542"/>
      <c r="D26" s="542"/>
      <c r="E26" s="542"/>
      <c r="F26" s="542"/>
      <c r="G26" s="543"/>
    </row>
    <row r="27">
      <c r="B27" s="542"/>
      <c r="C27" s="542"/>
      <c r="D27" s="542"/>
      <c r="E27" s="542"/>
      <c r="F27" s="542"/>
      <c r="G27" s="543"/>
    </row>
    <row r="28">
      <c r="B28" s="542"/>
      <c r="C28" s="542"/>
      <c r="D28" s="542"/>
      <c r="E28" s="542"/>
      <c r="F28" s="542"/>
      <c r="G28" s="543"/>
    </row>
    <row r="29">
      <c r="B29" s="542"/>
      <c r="C29" s="542"/>
      <c r="D29" s="542"/>
      <c r="E29" s="542"/>
      <c r="F29" s="542"/>
      <c r="G29" s="543"/>
    </row>
    <row r="30">
      <c r="B30" s="542"/>
      <c r="C30" s="542"/>
      <c r="D30" s="542"/>
      <c r="E30" s="542"/>
      <c r="F30" s="542"/>
      <c r="G30" s="543"/>
    </row>
    <row r="31">
      <c r="B31" s="542"/>
      <c r="C31" s="542"/>
      <c r="D31" s="542"/>
      <c r="E31" s="542"/>
      <c r="F31" s="542"/>
      <c r="G31" s="543"/>
    </row>
    <row r="32">
      <c r="B32" s="542"/>
      <c r="C32" s="542"/>
      <c r="D32" s="542"/>
      <c r="E32" s="542"/>
      <c r="F32" s="542"/>
      <c r="G32" s="543"/>
    </row>
    <row r="33">
      <c r="B33" s="542"/>
      <c r="C33" s="542"/>
      <c r="D33" s="542"/>
      <c r="E33" s="542"/>
      <c r="F33" s="542"/>
      <c r="G33" s="543"/>
    </row>
    <row r="34">
      <c r="B34" s="542"/>
      <c r="C34" s="542"/>
      <c r="D34" s="542"/>
      <c r="E34" s="542"/>
      <c r="F34" s="542"/>
      <c r="G34" s="543"/>
    </row>
    <row r="35">
      <c r="B35" s="542"/>
      <c r="C35" s="542"/>
      <c r="D35" s="542"/>
      <c r="E35" s="542"/>
      <c r="F35" s="542"/>
      <c r="G35" s="543"/>
    </row>
    <row r="36">
      <c r="B36" s="542"/>
      <c r="C36" s="542"/>
      <c r="D36" s="542"/>
      <c r="E36" s="542"/>
      <c r="F36" s="542"/>
      <c r="G36" s="543"/>
    </row>
    <row r="37">
      <c r="B37" s="542"/>
      <c r="C37" s="542"/>
      <c r="D37" s="542"/>
      <c r="E37" s="542"/>
      <c r="F37" s="542"/>
      <c r="G37" s="543"/>
    </row>
    <row r="38">
      <c r="B38" s="542"/>
      <c r="C38" s="542"/>
      <c r="D38" s="542"/>
      <c r="E38" s="542"/>
      <c r="F38" s="542"/>
      <c r="G38" s="543"/>
    </row>
    <row r="39">
      <c r="B39" s="542"/>
      <c r="C39" s="542"/>
      <c r="D39" s="542"/>
      <c r="E39" s="542"/>
      <c r="F39" s="542"/>
      <c r="G39" s="543"/>
    </row>
    <row r="40">
      <c r="B40" s="542"/>
      <c r="C40" s="542"/>
      <c r="D40" s="542"/>
      <c r="E40" s="542"/>
      <c r="F40" s="542"/>
      <c r="G40" s="543"/>
    </row>
    <row r="41">
      <c r="B41" s="542"/>
      <c r="C41" s="542"/>
      <c r="D41" s="542"/>
      <c r="E41" s="542"/>
      <c r="F41" s="542"/>
      <c r="G41" s="543"/>
    </row>
    <row r="42">
      <c r="B42" s="542"/>
      <c r="C42" s="542"/>
      <c r="D42" s="542"/>
      <c r="E42" s="542"/>
      <c r="F42" s="542"/>
      <c r="G42" s="543"/>
    </row>
    <row r="43">
      <c r="B43" s="542"/>
      <c r="C43" s="542"/>
      <c r="D43" s="542"/>
      <c r="E43" s="542"/>
      <c r="F43" s="542"/>
      <c r="G43" s="543"/>
    </row>
    <row r="44">
      <c r="B44" s="542"/>
      <c r="C44" s="542"/>
      <c r="D44" s="542"/>
      <c r="E44" s="542"/>
      <c r="F44" s="542"/>
      <c r="G44" s="543"/>
    </row>
    <row r="45">
      <c r="B45" s="542"/>
      <c r="C45" s="542"/>
      <c r="D45" s="542"/>
      <c r="E45" s="542"/>
      <c r="F45" s="542"/>
      <c r="G45" s="543"/>
    </row>
    <row r="46">
      <c r="B46" s="542"/>
      <c r="C46" s="542"/>
      <c r="D46" s="542"/>
      <c r="E46" s="542"/>
      <c r="F46" s="542"/>
      <c r="G46" s="543"/>
    </row>
    <row r="47">
      <c r="B47" s="542"/>
      <c r="C47" s="542"/>
      <c r="D47" s="542"/>
      <c r="E47" s="542"/>
      <c r="F47" s="542"/>
      <c r="G47" s="543"/>
    </row>
    <row r="48">
      <c r="B48" s="542"/>
      <c r="C48" s="542"/>
      <c r="D48" s="542"/>
      <c r="E48" s="542"/>
      <c r="F48" s="542"/>
      <c r="G48" s="543"/>
    </row>
    <row r="49">
      <c r="B49" s="542"/>
      <c r="C49" s="542"/>
      <c r="D49" s="542"/>
      <c r="E49" s="542"/>
      <c r="F49" s="542"/>
      <c r="G49" s="543"/>
    </row>
    <row r="50">
      <c r="B50" s="542"/>
      <c r="C50" s="542"/>
      <c r="D50" s="542"/>
      <c r="E50" s="542"/>
      <c r="F50" s="542"/>
      <c r="G50" s="543"/>
    </row>
    <row r="51">
      <c r="B51" s="542"/>
      <c r="C51" s="542"/>
      <c r="D51" s="542"/>
      <c r="E51" s="542"/>
      <c r="F51" s="542"/>
      <c r="G51" s="543"/>
    </row>
    <row r="52">
      <c r="B52" s="542"/>
      <c r="C52" s="542"/>
      <c r="D52" s="542"/>
      <c r="E52" s="542"/>
      <c r="F52" s="542"/>
      <c r="G52" s="543"/>
    </row>
    <row r="53">
      <c r="B53" s="542"/>
      <c r="C53" s="542"/>
      <c r="D53" s="542"/>
      <c r="E53" s="542"/>
      <c r="F53" s="542"/>
      <c r="G53" s="543"/>
    </row>
    <row r="54">
      <c r="B54" s="542"/>
      <c r="C54" s="542"/>
      <c r="D54" s="542"/>
      <c r="E54" s="542"/>
      <c r="F54" s="542"/>
      <c r="G54" s="543"/>
    </row>
    <row r="55">
      <c r="B55" s="542"/>
      <c r="C55" s="542"/>
      <c r="D55" s="542"/>
      <c r="E55" s="542"/>
      <c r="F55" s="542"/>
      <c r="G55" s="543"/>
    </row>
    <row r="56">
      <c r="B56" s="542"/>
      <c r="C56" s="542"/>
      <c r="D56" s="542"/>
      <c r="E56" s="542"/>
      <c r="F56" s="542"/>
      <c r="G56" s="543"/>
    </row>
    <row r="57">
      <c r="B57" s="542"/>
      <c r="C57" s="542"/>
      <c r="D57" s="542"/>
      <c r="E57" s="542"/>
      <c r="F57" s="542"/>
      <c r="G57" s="543"/>
    </row>
    <row r="58">
      <c r="B58" s="542"/>
      <c r="C58" s="542"/>
      <c r="D58" s="542"/>
      <c r="E58" s="542"/>
      <c r="F58" s="542"/>
      <c r="G58" s="543"/>
    </row>
    <row r="59">
      <c r="B59" s="542"/>
      <c r="C59" s="542"/>
      <c r="D59" s="542"/>
      <c r="E59" s="542"/>
      <c r="F59" s="542"/>
      <c r="G59" s="543"/>
    </row>
    <row r="60">
      <c r="B60" s="542"/>
      <c r="C60" s="542"/>
      <c r="D60" s="542"/>
      <c r="E60" s="542"/>
      <c r="F60" s="542"/>
      <c r="G60" s="543"/>
    </row>
    <row r="61">
      <c r="B61" s="542"/>
      <c r="C61" s="542"/>
      <c r="D61" s="542"/>
      <c r="E61" s="542"/>
      <c r="F61" s="542"/>
      <c r="G61" s="543"/>
    </row>
    <row r="62">
      <c r="B62" s="542"/>
      <c r="C62" s="542"/>
      <c r="D62" s="542"/>
      <c r="E62" s="542"/>
      <c r="F62" s="542"/>
      <c r="G62" s="543"/>
    </row>
    <row r="63">
      <c r="B63" s="542"/>
      <c r="C63" s="542"/>
      <c r="D63" s="542"/>
      <c r="E63" s="542"/>
      <c r="F63" s="542"/>
      <c r="G63" s="543"/>
    </row>
    <row r="64">
      <c r="B64" s="542"/>
      <c r="C64" s="542"/>
      <c r="D64" s="542"/>
      <c r="E64" s="542"/>
      <c r="F64" s="542"/>
      <c r="G64" s="543"/>
    </row>
    <row r="65">
      <c r="B65" s="542"/>
      <c r="C65" s="542"/>
      <c r="D65" s="542"/>
      <c r="E65" s="542"/>
      <c r="F65" s="542"/>
      <c r="G65" s="543"/>
    </row>
    <row r="66">
      <c r="B66" s="542"/>
      <c r="C66" s="542"/>
      <c r="D66" s="542"/>
      <c r="E66" s="542"/>
      <c r="F66" s="542"/>
      <c r="G66" s="543"/>
    </row>
    <row r="67">
      <c r="B67" s="542"/>
      <c r="C67" s="542"/>
      <c r="D67" s="542"/>
      <c r="E67" s="542"/>
      <c r="F67" s="542"/>
      <c r="G67" s="543"/>
    </row>
    <row r="68">
      <c r="B68" s="542"/>
      <c r="C68" s="542"/>
      <c r="D68" s="542"/>
      <c r="E68" s="542"/>
      <c r="F68" s="542"/>
      <c r="G68" s="543"/>
    </row>
    <row r="69">
      <c r="B69" s="542"/>
      <c r="C69" s="542"/>
      <c r="D69" s="542"/>
      <c r="E69" s="542"/>
      <c r="F69" s="542"/>
      <c r="G69" s="543"/>
    </row>
    <row r="70">
      <c r="B70" s="542"/>
      <c r="C70" s="542"/>
      <c r="D70" s="542"/>
      <c r="E70" s="542"/>
      <c r="F70" s="542"/>
      <c r="G70" s="543"/>
    </row>
    <row r="71">
      <c r="B71" s="542"/>
      <c r="C71" s="542"/>
      <c r="D71" s="542"/>
      <c r="E71" s="542"/>
      <c r="F71" s="542"/>
      <c r="G71" s="543"/>
    </row>
    <row r="72">
      <c r="B72" s="542"/>
      <c r="C72" s="542"/>
      <c r="D72" s="542"/>
      <c r="E72" s="542"/>
      <c r="F72" s="542"/>
      <c r="G72" s="543"/>
    </row>
    <row r="73">
      <c r="B73" s="542"/>
      <c r="C73" s="542"/>
      <c r="D73" s="542"/>
      <c r="E73" s="542"/>
      <c r="F73" s="542"/>
      <c r="G73" s="543"/>
    </row>
    <row r="74">
      <c r="B74" s="542"/>
      <c r="C74" s="542"/>
      <c r="D74" s="542"/>
      <c r="E74" s="542"/>
      <c r="F74" s="542"/>
      <c r="G74" s="543"/>
    </row>
    <row r="75">
      <c r="B75" s="542"/>
      <c r="C75" s="542"/>
      <c r="D75" s="542"/>
      <c r="E75" s="542"/>
      <c r="F75" s="542"/>
      <c r="G75" s="543"/>
    </row>
    <row r="76">
      <c r="B76" s="542"/>
      <c r="C76" s="542"/>
      <c r="D76" s="542"/>
      <c r="E76" s="542"/>
      <c r="F76" s="542"/>
      <c r="G76" s="543"/>
    </row>
    <row r="77">
      <c r="B77" s="542"/>
      <c r="C77" s="542"/>
      <c r="D77" s="542"/>
      <c r="E77" s="542"/>
      <c r="F77" s="542"/>
      <c r="G77" s="543"/>
    </row>
    <row r="78">
      <c r="B78" s="542"/>
      <c r="C78" s="542"/>
      <c r="D78" s="542"/>
      <c r="E78" s="542"/>
      <c r="F78" s="542"/>
      <c r="G78" s="543"/>
    </row>
    <row r="79">
      <c r="B79" s="542"/>
      <c r="C79" s="542"/>
      <c r="D79" s="542"/>
      <c r="E79" s="542"/>
      <c r="F79" s="542"/>
      <c r="G79" s="543"/>
    </row>
    <row r="80">
      <c r="B80" s="542"/>
      <c r="C80" s="542"/>
      <c r="D80" s="542"/>
      <c r="E80" s="542"/>
      <c r="F80" s="542"/>
      <c r="G80" s="543"/>
    </row>
    <row r="81">
      <c r="B81" s="542"/>
      <c r="C81" s="542"/>
      <c r="D81" s="542"/>
      <c r="E81" s="542"/>
      <c r="F81" s="542"/>
      <c r="G81" s="543"/>
    </row>
    <row r="82">
      <c r="B82" s="542"/>
      <c r="C82" s="542"/>
      <c r="D82" s="542"/>
      <c r="E82" s="542"/>
      <c r="F82" s="542"/>
      <c r="G82" s="543"/>
    </row>
    <row r="83">
      <c r="B83" s="542"/>
      <c r="C83" s="542"/>
      <c r="D83" s="542"/>
      <c r="E83" s="542"/>
      <c r="F83" s="542"/>
      <c r="G83" s="543"/>
    </row>
    <row r="84">
      <c r="B84" s="542"/>
      <c r="C84" s="542"/>
      <c r="D84" s="542"/>
      <c r="E84" s="542"/>
      <c r="F84" s="542"/>
      <c r="G84" s="543"/>
    </row>
    <row r="85">
      <c r="B85" s="542"/>
      <c r="C85" s="542"/>
      <c r="D85" s="542"/>
      <c r="E85" s="542"/>
      <c r="F85" s="542"/>
      <c r="G85" s="543"/>
    </row>
    <row r="86">
      <c r="B86" s="542"/>
      <c r="C86" s="542"/>
      <c r="D86" s="542"/>
      <c r="E86" s="542"/>
      <c r="F86" s="542"/>
      <c r="G86" s="543"/>
    </row>
    <row r="87">
      <c r="B87" s="542"/>
      <c r="C87" s="542"/>
      <c r="D87" s="542"/>
      <c r="E87" s="542"/>
      <c r="F87" s="542"/>
      <c r="G87" s="543"/>
    </row>
    <row r="88">
      <c r="B88" s="542"/>
      <c r="C88" s="542"/>
      <c r="D88" s="542"/>
      <c r="E88" s="542"/>
      <c r="F88" s="542"/>
      <c r="G88" s="543"/>
    </row>
    <row r="89">
      <c r="B89" s="542"/>
      <c r="C89" s="542"/>
      <c r="D89" s="542"/>
      <c r="E89" s="542"/>
      <c r="F89" s="542"/>
      <c r="G89" s="543"/>
    </row>
    <row r="90">
      <c r="B90" s="542"/>
      <c r="C90" s="542"/>
      <c r="D90" s="542"/>
      <c r="E90" s="542"/>
      <c r="F90" s="542"/>
      <c r="G90" s="543"/>
    </row>
    <row r="91">
      <c r="B91" s="542"/>
      <c r="C91" s="542"/>
      <c r="D91" s="542"/>
      <c r="E91" s="542"/>
      <c r="F91" s="542"/>
      <c r="G91" s="543"/>
    </row>
    <row r="92">
      <c r="B92" s="542"/>
      <c r="C92" s="542"/>
      <c r="D92" s="542"/>
      <c r="E92" s="542"/>
      <c r="F92" s="542"/>
      <c r="G92" s="543"/>
    </row>
    <row r="93">
      <c r="B93" s="542"/>
      <c r="C93" s="542"/>
      <c r="D93" s="542"/>
      <c r="E93" s="542"/>
      <c r="F93" s="542"/>
      <c r="G93" s="543"/>
    </row>
    <row r="94">
      <c r="B94" s="542"/>
      <c r="C94" s="542"/>
      <c r="D94" s="542"/>
      <c r="E94" s="542"/>
      <c r="F94" s="542"/>
      <c r="G94" s="543"/>
    </row>
    <row r="95">
      <c r="B95" s="542"/>
      <c r="C95" s="542"/>
      <c r="D95" s="542"/>
      <c r="E95" s="542"/>
      <c r="F95" s="542"/>
      <c r="G95" s="543"/>
    </row>
    <row r="96">
      <c r="B96" s="542"/>
      <c r="C96" s="542"/>
      <c r="D96" s="542"/>
      <c r="E96" s="542"/>
      <c r="F96" s="542"/>
      <c r="G96" s="543"/>
    </row>
    <row r="97">
      <c r="B97" s="542"/>
      <c r="C97" s="542"/>
      <c r="D97" s="542"/>
      <c r="E97" s="542"/>
      <c r="F97" s="542"/>
      <c r="G97" s="543"/>
    </row>
    <row r="98">
      <c r="B98" s="542"/>
      <c r="C98" s="542"/>
      <c r="D98" s="542"/>
      <c r="E98" s="542"/>
      <c r="F98" s="542"/>
      <c r="G98" s="543"/>
    </row>
    <row r="99">
      <c r="B99" s="542"/>
      <c r="C99" s="542"/>
      <c r="D99" s="542"/>
      <c r="E99" s="542"/>
      <c r="F99" s="542"/>
      <c r="G99" s="543"/>
    </row>
    <row r="100">
      <c r="B100" s="542"/>
      <c r="C100" s="542"/>
      <c r="D100" s="542"/>
      <c r="E100" s="542"/>
      <c r="F100" s="542"/>
      <c r="G100" s="543"/>
    </row>
    <row r="101">
      <c r="B101" s="542"/>
      <c r="C101" s="542"/>
      <c r="D101" s="542"/>
      <c r="E101" s="542"/>
      <c r="F101" s="542"/>
      <c r="G101" s="543"/>
    </row>
    <row r="102">
      <c r="B102" s="542"/>
      <c r="C102" s="542"/>
      <c r="D102" s="542"/>
      <c r="E102" s="542"/>
      <c r="F102" s="542"/>
      <c r="G102" s="543"/>
    </row>
    <row r="103">
      <c r="B103" s="542"/>
      <c r="C103" s="542"/>
      <c r="D103" s="542"/>
      <c r="E103" s="542"/>
      <c r="F103" s="542"/>
      <c r="G103" s="543"/>
    </row>
    <row r="104">
      <c r="B104" s="542"/>
      <c r="C104" s="542"/>
      <c r="D104" s="542"/>
      <c r="E104" s="542"/>
      <c r="F104" s="542"/>
      <c r="G104" s="543"/>
    </row>
    <row r="105">
      <c r="B105" s="542"/>
      <c r="C105" s="542"/>
      <c r="D105" s="542"/>
      <c r="E105" s="542"/>
      <c r="F105" s="542"/>
      <c r="G105" s="543"/>
    </row>
    <row r="106">
      <c r="B106" s="542"/>
      <c r="C106" s="542"/>
      <c r="D106" s="542"/>
      <c r="E106" s="542"/>
      <c r="F106" s="542"/>
      <c r="G106" s="543"/>
    </row>
    <row r="107">
      <c r="B107" s="542"/>
      <c r="C107" s="542"/>
      <c r="D107" s="542"/>
      <c r="E107" s="542"/>
      <c r="F107" s="542"/>
      <c r="G107" s="543"/>
    </row>
    <row r="108">
      <c r="B108" s="542"/>
      <c r="C108" s="542"/>
      <c r="D108" s="542"/>
      <c r="E108" s="542"/>
      <c r="F108" s="542"/>
      <c r="G108" s="543"/>
    </row>
    <row r="109">
      <c r="B109" s="542"/>
      <c r="C109" s="542"/>
      <c r="D109" s="542"/>
      <c r="E109" s="542"/>
      <c r="F109" s="542"/>
      <c r="G109" s="543"/>
    </row>
    <row r="110">
      <c r="B110" s="542"/>
      <c r="C110" s="542"/>
      <c r="D110" s="542"/>
      <c r="E110" s="542"/>
      <c r="F110" s="542"/>
      <c r="G110" s="543"/>
    </row>
    <row r="111">
      <c r="B111" s="542"/>
      <c r="C111" s="542"/>
      <c r="D111" s="542"/>
      <c r="E111" s="542"/>
      <c r="F111" s="542"/>
      <c r="G111" s="543"/>
    </row>
    <row r="112">
      <c r="B112" s="542"/>
      <c r="C112" s="542"/>
      <c r="D112" s="542"/>
      <c r="E112" s="542"/>
      <c r="F112" s="542"/>
      <c r="G112" s="543"/>
    </row>
    <row r="113">
      <c r="B113" s="542"/>
      <c r="C113" s="542"/>
      <c r="D113" s="542"/>
      <c r="E113" s="542"/>
      <c r="F113" s="542"/>
      <c r="G113" s="543"/>
    </row>
    <row r="114">
      <c r="B114" s="542"/>
      <c r="C114" s="542"/>
      <c r="D114" s="542"/>
      <c r="E114" s="542"/>
      <c r="F114" s="542"/>
      <c r="G114" s="543"/>
    </row>
    <row r="115">
      <c r="B115" s="542"/>
      <c r="C115" s="542"/>
      <c r="D115" s="542"/>
      <c r="E115" s="542"/>
      <c r="F115" s="542"/>
      <c r="G115" s="543"/>
    </row>
    <row r="116">
      <c r="B116" s="542"/>
      <c r="C116" s="542"/>
      <c r="D116" s="542"/>
      <c r="E116" s="542"/>
      <c r="F116" s="542"/>
      <c r="G116" s="543"/>
    </row>
    <row r="117">
      <c r="B117" s="542"/>
      <c r="C117" s="542"/>
      <c r="D117" s="542"/>
      <c r="E117" s="542"/>
      <c r="F117" s="542"/>
      <c r="G117" s="543"/>
    </row>
    <row r="118">
      <c r="B118" s="542"/>
      <c r="C118" s="542"/>
      <c r="D118" s="542"/>
      <c r="E118" s="542"/>
      <c r="F118" s="542"/>
      <c r="G118" s="543"/>
    </row>
    <row r="119">
      <c r="B119" s="542"/>
      <c r="C119" s="542"/>
      <c r="D119" s="542"/>
      <c r="E119" s="542"/>
      <c r="F119" s="542"/>
      <c r="G119" s="543"/>
    </row>
    <row r="120">
      <c r="B120" s="542"/>
      <c r="C120" s="542"/>
      <c r="D120" s="542"/>
      <c r="E120" s="542"/>
      <c r="F120" s="542"/>
      <c r="G120" s="543"/>
    </row>
    <row r="121">
      <c r="B121" s="542"/>
      <c r="C121" s="542"/>
      <c r="D121" s="542"/>
      <c r="E121" s="542"/>
      <c r="F121" s="542"/>
      <c r="G121" s="543"/>
    </row>
    <row r="122">
      <c r="B122" s="542"/>
      <c r="C122" s="542"/>
      <c r="D122" s="542"/>
      <c r="E122" s="542"/>
      <c r="F122" s="542"/>
      <c r="G122" s="543"/>
    </row>
    <row r="123">
      <c r="B123" s="542"/>
      <c r="C123" s="542"/>
      <c r="D123" s="542"/>
      <c r="E123" s="542"/>
      <c r="F123" s="542"/>
      <c r="G123" s="543"/>
    </row>
    <row r="124">
      <c r="B124" s="542"/>
      <c r="C124" s="542"/>
      <c r="D124" s="542"/>
      <c r="E124" s="542"/>
      <c r="F124" s="542"/>
      <c r="G124" s="543"/>
    </row>
    <row r="125">
      <c r="B125" s="542"/>
      <c r="C125" s="542"/>
      <c r="D125" s="542"/>
      <c r="E125" s="542"/>
      <c r="F125" s="542"/>
      <c r="G125" s="543"/>
    </row>
    <row r="126">
      <c r="B126" s="542"/>
      <c r="C126" s="542"/>
      <c r="D126" s="542"/>
      <c r="E126" s="542"/>
      <c r="F126" s="542"/>
      <c r="G126" s="543"/>
    </row>
    <row r="127">
      <c r="B127" s="542"/>
      <c r="C127" s="542"/>
      <c r="D127" s="542"/>
      <c r="E127" s="542"/>
      <c r="F127" s="542"/>
      <c r="G127" s="543"/>
    </row>
    <row r="128">
      <c r="B128" s="542"/>
      <c r="C128" s="542"/>
      <c r="D128" s="542"/>
      <c r="E128" s="542"/>
      <c r="F128" s="542"/>
      <c r="G128" s="543"/>
    </row>
    <row r="129">
      <c r="B129" s="542"/>
      <c r="C129" s="542"/>
      <c r="D129" s="542"/>
      <c r="E129" s="542"/>
      <c r="F129" s="542"/>
      <c r="G129" s="543"/>
    </row>
    <row r="130">
      <c r="B130" s="542"/>
      <c r="C130" s="542"/>
      <c r="D130" s="542"/>
      <c r="E130" s="542"/>
      <c r="F130" s="542"/>
      <c r="G130" s="543"/>
    </row>
    <row r="131">
      <c r="B131" s="542"/>
      <c r="C131" s="542"/>
      <c r="D131" s="542"/>
      <c r="E131" s="542"/>
      <c r="F131" s="542"/>
      <c r="G131" s="543"/>
    </row>
    <row r="132">
      <c r="B132" s="542"/>
      <c r="C132" s="542"/>
      <c r="D132" s="542"/>
      <c r="E132" s="542"/>
      <c r="F132" s="542"/>
      <c r="G132" s="543"/>
    </row>
    <row r="133">
      <c r="B133" s="542"/>
      <c r="C133" s="542"/>
      <c r="D133" s="542"/>
      <c r="E133" s="542"/>
      <c r="F133" s="542"/>
      <c r="G133" s="543"/>
    </row>
    <row r="134">
      <c r="B134" s="542"/>
      <c r="C134" s="542"/>
      <c r="D134" s="542"/>
      <c r="E134" s="542"/>
      <c r="F134" s="542"/>
      <c r="G134" s="543"/>
    </row>
    <row r="135">
      <c r="B135" s="542"/>
      <c r="C135" s="542"/>
      <c r="D135" s="542"/>
      <c r="E135" s="542"/>
      <c r="F135" s="542"/>
      <c r="G135" s="543"/>
    </row>
    <row r="136">
      <c r="B136" s="542"/>
      <c r="C136" s="542"/>
      <c r="D136" s="542"/>
      <c r="E136" s="542"/>
      <c r="F136" s="542"/>
      <c r="G136" s="543"/>
    </row>
    <row r="137">
      <c r="B137" s="542"/>
      <c r="C137" s="542"/>
      <c r="D137" s="542"/>
      <c r="E137" s="542"/>
      <c r="F137" s="542"/>
      <c r="G137" s="543"/>
    </row>
    <row r="138">
      <c r="B138" s="542"/>
      <c r="C138" s="542"/>
      <c r="D138" s="542"/>
      <c r="E138" s="542"/>
      <c r="F138" s="542"/>
      <c r="G138" s="543"/>
    </row>
    <row r="139">
      <c r="B139" s="542"/>
      <c r="C139" s="542"/>
      <c r="D139" s="542"/>
      <c r="E139" s="542"/>
      <c r="F139" s="542"/>
      <c r="G139" s="543"/>
    </row>
    <row r="140">
      <c r="B140" s="542"/>
      <c r="C140" s="542"/>
      <c r="D140" s="542"/>
      <c r="E140" s="542"/>
      <c r="F140" s="542"/>
      <c r="G140" s="543"/>
    </row>
    <row r="141">
      <c r="B141" s="542"/>
      <c r="C141" s="542"/>
      <c r="D141" s="542"/>
      <c r="E141" s="542"/>
      <c r="F141" s="542"/>
      <c r="G141" s="543"/>
    </row>
    <row r="142">
      <c r="B142" s="542"/>
      <c r="C142" s="542"/>
      <c r="D142" s="542"/>
      <c r="E142" s="542"/>
      <c r="F142" s="542"/>
      <c r="G142" s="543"/>
    </row>
    <row r="143">
      <c r="B143" s="542"/>
      <c r="C143" s="542"/>
      <c r="D143" s="542"/>
      <c r="E143" s="542"/>
      <c r="F143" s="542"/>
      <c r="G143" s="543"/>
    </row>
    <row r="144">
      <c r="B144" s="542"/>
      <c r="C144" s="542"/>
      <c r="D144" s="542"/>
      <c r="E144" s="542"/>
      <c r="F144" s="542"/>
      <c r="G144" s="543"/>
    </row>
    <row r="145">
      <c r="B145" s="542"/>
      <c r="C145" s="542"/>
      <c r="D145" s="542"/>
      <c r="E145" s="542"/>
      <c r="F145" s="542"/>
      <c r="G145" s="543"/>
    </row>
    <row r="146">
      <c r="B146" s="542"/>
      <c r="C146" s="542"/>
      <c r="D146" s="542"/>
      <c r="E146" s="542"/>
      <c r="F146" s="542"/>
      <c r="G146" s="543"/>
    </row>
    <row r="147">
      <c r="B147" s="542"/>
      <c r="C147" s="542"/>
      <c r="D147" s="542"/>
      <c r="E147" s="542"/>
      <c r="F147" s="542"/>
      <c r="G147" s="543"/>
    </row>
    <row r="148">
      <c r="B148" s="542"/>
      <c r="C148" s="542"/>
      <c r="D148" s="542"/>
      <c r="E148" s="542"/>
      <c r="F148" s="542"/>
      <c r="G148" s="543"/>
    </row>
    <row r="149">
      <c r="B149" s="542"/>
      <c r="C149" s="542"/>
      <c r="D149" s="542"/>
      <c r="E149" s="542"/>
      <c r="F149" s="542"/>
      <c r="G149" s="543"/>
    </row>
    <row r="150">
      <c r="B150" s="542"/>
      <c r="C150" s="542"/>
      <c r="D150" s="542"/>
      <c r="E150" s="542"/>
      <c r="F150" s="542"/>
      <c r="G150" s="543"/>
    </row>
    <row r="151">
      <c r="B151" s="542"/>
      <c r="C151" s="542"/>
      <c r="D151" s="542"/>
      <c r="E151" s="542"/>
      <c r="F151" s="542"/>
      <c r="G151" s="543"/>
    </row>
    <row r="152">
      <c r="B152" s="542"/>
      <c r="C152" s="542"/>
      <c r="D152" s="542"/>
      <c r="E152" s="542"/>
      <c r="F152" s="542"/>
      <c r="G152" s="543"/>
    </row>
    <row r="153">
      <c r="B153" s="542"/>
      <c r="C153" s="542"/>
      <c r="D153" s="542"/>
      <c r="E153" s="542"/>
      <c r="F153" s="542"/>
      <c r="G153" s="543"/>
    </row>
    <row r="154">
      <c r="B154" s="542"/>
      <c r="C154" s="542"/>
      <c r="D154" s="542"/>
      <c r="E154" s="542"/>
      <c r="F154" s="542"/>
      <c r="G154" s="543"/>
    </row>
    <row r="155">
      <c r="B155" s="542"/>
      <c r="C155" s="542"/>
      <c r="D155" s="542"/>
      <c r="E155" s="542"/>
      <c r="F155" s="542"/>
      <c r="G155" s="543"/>
    </row>
    <row r="156">
      <c r="B156" s="542"/>
      <c r="C156" s="542"/>
      <c r="D156" s="542"/>
      <c r="E156" s="542"/>
      <c r="F156" s="542"/>
      <c r="G156" s="543"/>
    </row>
    <row r="157">
      <c r="B157" s="542"/>
      <c r="C157" s="542"/>
      <c r="D157" s="542"/>
      <c r="E157" s="542"/>
      <c r="F157" s="542"/>
      <c r="G157" s="543"/>
    </row>
    <row r="158">
      <c r="B158" s="542"/>
      <c r="C158" s="542"/>
      <c r="D158" s="542"/>
      <c r="E158" s="542"/>
      <c r="F158" s="542"/>
      <c r="G158" s="543"/>
    </row>
    <row r="159">
      <c r="B159" s="542"/>
      <c r="C159" s="542"/>
      <c r="D159" s="542"/>
      <c r="E159" s="542"/>
      <c r="F159" s="542"/>
      <c r="G159" s="543"/>
    </row>
    <row r="160">
      <c r="B160" s="542"/>
      <c r="C160" s="542"/>
      <c r="D160" s="542"/>
      <c r="E160" s="542"/>
      <c r="F160" s="542"/>
      <c r="G160" s="543"/>
    </row>
    <row r="161">
      <c r="B161" s="542"/>
      <c r="C161" s="542"/>
      <c r="D161" s="542"/>
      <c r="E161" s="542"/>
      <c r="F161" s="542"/>
      <c r="G161" s="543"/>
    </row>
    <row r="162">
      <c r="B162" s="542"/>
      <c r="C162" s="542"/>
      <c r="D162" s="542"/>
      <c r="E162" s="542"/>
      <c r="F162" s="542"/>
      <c r="G162" s="543"/>
    </row>
    <row r="163">
      <c r="B163" s="542"/>
      <c r="C163" s="542"/>
      <c r="D163" s="542"/>
      <c r="E163" s="542"/>
      <c r="F163" s="542"/>
      <c r="G163" s="543"/>
    </row>
    <row r="164">
      <c r="B164" s="542"/>
      <c r="C164" s="542"/>
      <c r="D164" s="542"/>
      <c r="E164" s="542"/>
      <c r="F164" s="542"/>
      <c r="G164" s="543"/>
    </row>
    <row r="165">
      <c r="B165" s="542"/>
      <c r="C165" s="542"/>
      <c r="D165" s="542"/>
      <c r="E165" s="542"/>
      <c r="F165" s="542"/>
      <c r="G165" s="543"/>
    </row>
    <row r="166">
      <c r="B166" s="542"/>
      <c r="C166" s="542"/>
      <c r="D166" s="542"/>
      <c r="E166" s="542"/>
      <c r="F166" s="542"/>
      <c r="G166" s="543"/>
    </row>
    <row r="167">
      <c r="B167" s="542"/>
      <c r="C167" s="542"/>
      <c r="D167" s="542"/>
      <c r="E167" s="542"/>
      <c r="F167" s="542"/>
      <c r="G167" s="543"/>
    </row>
    <row r="168">
      <c r="B168" s="542"/>
      <c r="C168" s="542"/>
      <c r="D168" s="542"/>
      <c r="E168" s="542"/>
      <c r="F168" s="542"/>
      <c r="G168" s="543"/>
    </row>
    <row r="169">
      <c r="B169" s="542"/>
      <c r="C169" s="542"/>
      <c r="D169" s="542"/>
      <c r="E169" s="542"/>
      <c r="F169" s="542"/>
      <c r="G169" s="543"/>
    </row>
    <row r="170">
      <c r="B170" s="542"/>
      <c r="C170" s="542"/>
      <c r="D170" s="542"/>
      <c r="E170" s="542"/>
      <c r="F170" s="542"/>
      <c r="G170" s="543"/>
    </row>
    <row r="171">
      <c r="B171" s="542"/>
      <c r="C171" s="542"/>
      <c r="D171" s="542"/>
      <c r="E171" s="542"/>
      <c r="F171" s="542"/>
      <c r="G171" s="543"/>
    </row>
    <row r="172">
      <c r="B172" s="542"/>
      <c r="C172" s="542"/>
      <c r="D172" s="542"/>
      <c r="E172" s="542"/>
      <c r="F172" s="542"/>
      <c r="G172" s="543"/>
    </row>
    <row r="173">
      <c r="B173" s="542"/>
      <c r="C173" s="542"/>
      <c r="D173" s="542"/>
      <c r="E173" s="542"/>
      <c r="F173" s="542"/>
      <c r="G173" s="543"/>
    </row>
    <row r="174">
      <c r="B174" s="542"/>
      <c r="C174" s="542"/>
      <c r="D174" s="542"/>
      <c r="E174" s="542"/>
      <c r="F174" s="542"/>
      <c r="G174" s="543"/>
    </row>
    <row r="175">
      <c r="B175" s="542"/>
      <c r="C175" s="542"/>
      <c r="D175" s="542"/>
      <c r="E175" s="542"/>
      <c r="F175" s="542"/>
      <c r="G175" s="543"/>
    </row>
    <row r="176">
      <c r="B176" s="542"/>
      <c r="C176" s="542"/>
      <c r="D176" s="542"/>
      <c r="E176" s="542"/>
      <c r="F176" s="542"/>
      <c r="G176" s="543"/>
    </row>
    <row r="177">
      <c r="B177" s="542"/>
      <c r="C177" s="542"/>
      <c r="D177" s="542"/>
      <c r="E177" s="542"/>
      <c r="F177" s="542"/>
      <c r="G177" s="543"/>
    </row>
    <row r="178">
      <c r="B178" s="542"/>
      <c r="C178" s="542"/>
      <c r="D178" s="542"/>
      <c r="E178" s="542"/>
      <c r="F178" s="542"/>
      <c r="G178" s="543"/>
    </row>
    <row r="179">
      <c r="B179" s="542"/>
      <c r="C179" s="542"/>
      <c r="D179" s="542"/>
      <c r="E179" s="542"/>
      <c r="F179" s="542"/>
      <c r="G179" s="543"/>
    </row>
    <row r="180">
      <c r="B180" s="542"/>
      <c r="C180" s="542"/>
      <c r="D180" s="542"/>
      <c r="E180" s="542"/>
      <c r="F180" s="542"/>
      <c r="G180" s="543"/>
    </row>
    <row r="181">
      <c r="B181" s="542"/>
      <c r="C181" s="542"/>
      <c r="D181" s="542"/>
      <c r="E181" s="542"/>
      <c r="F181" s="542"/>
      <c r="G181" s="543"/>
    </row>
    <row r="182">
      <c r="B182" s="542"/>
      <c r="C182" s="542"/>
      <c r="D182" s="542"/>
      <c r="E182" s="542"/>
      <c r="F182" s="542"/>
      <c r="G182" s="543"/>
    </row>
    <row r="183">
      <c r="B183" s="542"/>
      <c r="C183" s="542"/>
      <c r="D183" s="542"/>
      <c r="E183" s="542"/>
      <c r="F183" s="542"/>
      <c r="G183" s="543"/>
    </row>
    <row r="184">
      <c r="B184" s="542"/>
      <c r="C184" s="542"/>
      <c r="D184" s="542"/>
      <c r="E184" s="542"/>
      <c r="F184" s="542"/>
      <c r="G184" s="543"/>
    </row>
    <row r="185">
      <c r="B185" s="542"/>
      <c r="C185" s="542"/>
      <c r="D185" s="542"/>
      <c r="E185" s="542"/>
      <c r="F185" s="542"/>
      <c r="G185" s="543"/>
    </row>
    <row r="186">
      <c r="B186" s="542"/>
      <c r="C186" s="542"/>
      <c r="D186" s="542"/>
      <c r="E186" s="542"/>
      <c r="F186" s="542"/>
      <c r="G186" s="543"/>
    </row>
    <row r="187">
      <c r="B187" s="542"/>
      <c r="C187" s="542"/>
      <c r="D187" s="542"/>
      <c r="E187" s="542"/>
      <c r="F187" s="542"/>
      <c r="G187" s="543"/>
    </row>
    <row r="188">
      <c r="B188" s="542"/>
      <c r="C188" s="542"/>
      <c r="D188" s="542"/>
      <c r="E188" s="542"/>
      <c r="F188" s="542"/>
      <c r="G188" s="543"/>
    </row>
    <row r="189">
      <c r="B189" s="542"/>
      <c r="C189" s="542"/>
      <c r="D189" s="542"/>
      <c r="E189" s="542"/>
      <c r="F189" s="542"/>
      <c r="G189" s="543"/>
    </row>
    <row r="190">
      <c r="B190" s="542"/>
      <c r="C190" s="542"/>
      <c r="D190" s="542"/>
      <c r="E190" s="542"/>
      <c r="F190" s="542"/>
      <c r="G190" s="543"/>
    </row>
    <row r="191">
      <c r="B191" s="542"/>
      <c r="C191" s="542"/>
      <c r="D191" s="542"/>
      <c r="E191" s="542"/>
      <c r="F191" s="542"/>
      <c r="G191" s="543"/>
    </row>
    <row r="192">
      <c r="B192" s="542"/>
      <c r="C192" s="542"/>
      <c r="D192" s="542"/>
      <c r="E192" s="542"/>
      <c r="F192" s="542"/>
      <c r="G192" s="543"/>
    </row>
    <row r="193">
      <c r="B193" s="542"/>
      <c r="C193" s="542"/>
      <c r="D193" s="542"/>
      <c r="E193" s="542"/>
      <c r="F193" s="542"/>
      <c r="G193" s="543"/>
    </row>
    <row r="194">
      <c r="B194" s="542"/>
      <c r="C194" s="542"/>
      <c r="D194" s="542"/>
      <c r="E194" s="542"/>
      <c r="F194" s="542"/>
      <c r="G194" s="543"/>
    </row>
    <row r="195">
      <c r="B195" s="542"/>
      <c r="C195" s="542"/>
      <c r="D195" s="542"/>
      <c r="E195" s="542"/>
      <c r="F195" s="542"/>
      <c r="G195" s="543"/>
    </row>
    <row r="196">
      <c r="B196" s="542"/>
      <c r="C196" s="542"/>
      <c r="D196" s="542"/>
      <c r="E196" s="542"/>
      <c r="F196" s="542"/>
      <c r="G196" s="543"/>
    </row>
    <row r="197">
      <c r="B197" s="542"/>
      <c r="C197" s="542"/>
      <c r="D197" s="542"/>
      <c r="E197" s="542"/>
      <c r="F197" s="542"/>
      <c r="G197" s="543"/>
    </row>
    <row r="198">
      <c r="B198" s="542"/>
      <c r="C198" s="542"/>
      <c r="D198" s="542"/>
      <c r="E198" s="542"/>
      <c r="F198" s="542"/>
      <c r="G198" s="543"/>
    </row>
    <row r="199">
      <c r="B199" s="542"/>
      <c r="C199" s="542"/>
      <c r="D199" s="542"/>
      <c r="E199" s="542"/>
      <c r="F199" s="542"/>
      <c r="G199" s="543"/>
    </row>
    <row r="200">
      <c r="B200" s="542"/>
      <c r="C200" s="542"/>
      <c r="D200" s="542"/>
      <c r="E200" s="542"/>
      <c r="F200" s="542"/>
      <c r="G200" s="543"/>
    </row>
    <row r="201">
      <c r="B201" s="542"/>
      <c r="C201" s="542"/>
      <c r="D201" s="542"/>
      <c r="E201" s="542"/>
      <c r="F201" s="542"/>
      <c r="G201" s="543"/>
    </row>
    <row r="202">
      <c r="B202" s="542"/>
      <c r="C202" s="542"/>
      <c r="D202" s="542"/>
      <c r="E202" s="542"/>
      <c r="F202" s="542"/>
      <c r="G202" s="543"/>
    </row>
    <row r="203">
      <c r="B203" s="542"/>
      <c r="C203" s="542"/>
      <c r="D203" s="542"/>
      <c r="E203" s="542"/>
      <c r="F203" s="542"/>
      <c r="G203" s="543"/>
    </row>
    <row r="204">
      <c r="B204" s="542"/>
      <c r="C204" s="542"/>
      <c r="D204" s="542"/>
      <c r="E204" s="542"/>
      <c r="F204" s="542"/>
      <c r="G204" s="543"/>
    </row>
    <row r="205">
      <c r="B205" s="542"/>
      <c r="C205" s="542"/>
      <c r="D205" s="542"/>
      <c r="E205" s="542"/>
      <c r="F205" s="542"/>
      <c r="G205" s="543"/>
    </row>
    <row r="206">
      <c r="B206" s="542"/>
      <c r="C206" s="542"/>
      <c r="D206" s="542"/>
      <c r="E206" s="542"/>
      <c r="F206" s="542"/>
      <c r="G206" s="543"/>
    </row>
    <row r="207">
      <c r="B207" s="542"/>
      <c r="C207" s="542"/>
      <c r="D207" s="542"/>
      <c r="E207" s="542"/>
      <c r="F207" s="542"/>
      <c r="G207" s="543"/>
    </row>
    <row r="208">
      <c r="B208" s="542"/>
      <c r="C208" s="542"/>
      <c r="D208" s="542"/>
      <c r="E208" s="542"/>
      <c r="F208" s="542"/>
      <c r="G208" s="543"/>
    </row>
    <row r="209">
      <c r="B209" s="542"/>
      <c r="C209" s="542"/>
      <c r="D209" s="542"/>
      <c r="E209" s="542"/>
      <c r="F209" s="542"/>
      <c r="G209" s="543"/>
    </row>
    <row r="210">
      <c r="B210" s="542"/>
      <c r="C210" s="542"/>
      <c r="D210" s="542"/>
      <c r="E210" s="542"/>
      <c r="F210" s="542"/>
      <c r="G210" s="543"/>
    </row>
    <row r="211">
      <c r="B211" s="542"/>
      <c r="C211" s="542"/>
      <c r="D211" s="542"/>
      <c r="E211" s="542"/>
      <c r="F211" s="542"/>
      <c r="G211" s="543"/>
    </row>
    <row r="212">
      <c r="B212" s="542"/>
      <c r="C212" s="542"/>
      <c r="D212" s="542"/>
      <c r="E212" s="542"/>
      <c r="F212" s="542"/>
      <c r="G212" s="543"/>
    </row>
    <row r="213">
      <c r="B213" s="542"/>
      <c r="C213" s="542"/>
      <c r="D213" s="542"/>
      <c r="E213" s="542"/>
      <c r="F213" s="542"/>
      <c r="G213" s="543"/>
    </row>
    <row r="214">
      <c r="B214" s="542"/>
      <c r="C214" s="542"/>
      <c r="D214" s="542"/>
      <c r="E214" s="542"/>
      <c r="F214" s="542"/>
      <c r="G214" s="543"/>
    </row>
    <row r="215">
      <c r="B215" s="542"/>
      <c r="C215" s="542"/>
      <c r="D215" s="542"/>
      <c r="E215" s="542"/>
      <c r="F215" s="542"/>
      <c r="G215" s="543"/>
    </row>
    <row r="216">
      <c r="B216" s="542"/>
      <c r="C216" s="542"/>
      <c r="D216" s="542"/>
      <c r="E216" s="542"/>
      <c r="F216" s="542"/>
      <c r="G216" s="543"/>
    </row>
    <row r="217">
      <c r="B217" s="542"/>
      <c r="C217" s="542"/>
      <c r="D217" s="542"/>
      <c r="E217" s="542"/>
      <c r="F217" s="542"/>
      <c r="G217" s="543"/>
    </row>
    <row r="218">
      <c r="B218" s="542"/>
      <c r="C218" s="542"/>
      <c r="D218" s="542"/>
      <c r="E218" s="542"/>
      <c r="F218" s="542"/>
      <c r="G218" s="543"/>
    </row>
    <row r="219">
      <c r="B219" s="542"/>
      <c r="C219" s="542"/>
      <c r="D219" s="542"/>
      <c r="E219" s="542"/>
      <c r="F219" s="542"/>
      <c r="G219" s="543"/>
    </row>
    <row r="220">
      <c r="B220" s="542"/>
      <c r="C220" s="542"/>
      <c r="D220" s="542"/>
      <c r="E220" s="542"/>
      <c r="F220" s="542"/>
      <c r="G220" s="543"/>
    </row>
    <row r="221">
      <c r="B221" s="542"/>
      <c r="C221" s="542"/>
      <c r="D221" s="542"/>
      <c r="E221" s="542"/>
      <c r="F221" s="542"/>
      <c r="G221" s="543"/>
    </row>
    <row r="222">
      <c r="B222" s="542"/>
      <c r="C222" s="542"/>
      <c r="D222" s="542"/>
      <c r="E222" s="542"/>
      <c r="F222" s="542"/>
      <c r="G222" s="543"/>
    </row>
    <row r="223">
      <c r="B223" s="542"/>
      <c r="C223" s="542"/>
      <c r="D223" s="542"/>
      <c r="E223" s="542"/>
      <c r="F223" s="542"/>
      <c r="G223" s="543"/>
    </row>
    <row r="224">
      <c r="B224" s="542"/>
      <c r="C224" s="542"/>
      <c r="D224" s="542"/>
      <c r="E224" s="542"/>
      <c r="F224" s="542"/>
      <c r="G224" s="543"/>
    </row>
    <row r="225">
      <c r="B225" s="542"/>
      <c r="C225" s="542"/>
      <c r="D225" s="542"/>
      <c r="E225" s="542"/>
      <c r="F225" s="542"/>
      <c r="G225" s="543"/>
    </row>
    <row r="226">
      <c r="B226" s="542"/>
      <c r="C226" s="542"/>
      <c r="D226" s="542"/>
      <c r="E226" s="542"/>
      <c r="F226" s="542"/>
      <c r="G226" s="543"/>
    </row>
    <row r="227">
      <c r="B227" s="542"/>
      <c r="C227" s="542"/>
      <c r="D227" s="542"/>
      <c r="E227" s="542"/>
      <c r="F227" s="542"/>
      <c r="G227" s="543"/>
    </row>
    <row r="228">
      <c r="B228" s="542"/>
      <c r="C228" s="542"/>
      <c r="D228" s="542"/>
      <c r="E228" s="542"/>
      <c r="F228" s="542"/>
      <c r="G228" s="543"/>
    </row>
    <row r="229">
      <c r="B229" s="542"/>
      <c r="C229" s="542"/>
      <c r="D229" s="542"/>
      <c r="E229" s="542"/>
      <c r="F229" s="542"/>
      <c r="G229" s="543"/>
    </row>
    <row r="230">
      <c r="B230" s="542"/>
      <c r="C230" s="542"/>
      <c r="D230" s="542"/>
      <c r="E230" s="542"/>
      <c r="F230" s="542"/>
      <c r="G230" s="543"/>
    </row>
    <row r="231">
      <c r="B231" s="542"/>
      <c r="C231" s="542"/>
      <c r="D231" s="542"/>
      <c r="E231" s="542"/>
      <c r="F231" s="542"/>
      <c r="G231" s="543"/>
    </row>
    <row r="232">
      <c r="B232" s="542"/>
      <c r="C232" s="542"/>
      <c r="D232" s="542"/>
      <c r="E232" s="542"/>
      <c r="F232" s="542"/>
      <c r="G232" s="543"/>
    </row>
    <row r="233">
      <c r="B233" s="542"/>
      <c r="C233" s="542"/>
      <c r="D233" s="542"/>
      <c r="E233" s="542"/>
      <c r="F233" s="542"/>
      <c r="G233" s="543"/>
    </row>
    <row r="234">
      <c r="B234" s="542"/>
      <c r="C234" s="542"/>
      <c r="D234" s="542"/>
      <c r="E234" s="542"/>
      <c r="F234" s="542"/>
      <c r="G234" s="543"/>
    </row>
    <row r="235">
      <c r="B235" s="542"/>
      <c r="C235" s="542"/>
      <c r="D235" s="542"/>
      <c r="E235" s="542"/>
      <c r="F235" s="542"/>
      <c r="G235" s="543"/>
    </row>
    <row r="236">
      <c r="B236" s="542"/>
      <c r="C236" s="542"/>
      <c r="D236" s="542"/>
      <c r="E236" s="542"/>
      <c r="F236" s="542"/>
      <c r="G236" s="543"/>
    </row>
    <row r="237">
      <c r="B237" s="542"/>
      <c r="C237" s="542"/>
      <c r="D237" s="542"/>
      <c r="E237" s="542"/>
      <c r="F237" s="542"/>
      <c r="G237" s="543"/>
    </row>
    <row r="238">
      <c r="B238" s="542"/>
      <c r="C238" s="542"/>
      <c r="D238" s="542"/>
      <c r="E238" s="542"/>
      <c r="F238" s="542"/>
      <c r="G238" s="543"/>
    </row>
    <row r="239">
      <c r="B239" s="542"/>
      <c r="C239" s="542"/>
      <c r="D239" s="542"/>
      <c r="E239" s="542"/>
      <c r="F239" s="542"/>
      <c r="G239" s="543"/>
    </row>
    <row r="240">
      <c r="B240" s="542"/>
      <c r="C240" s="542"/>
      <c r="D240" s="542"/>
      <c r="E240" s="542"/>
      <c r="F240" s="542"/>
      <c r="G240" s="543"/>
    </row>
    <row r="241">
      <c r="B241" s="542"/>
      <c r="C241" s="542"/>
      <c r="D241" s="542"/>
      <c r="E241" s="542"/>
      <c r="F241" s="542"/>
      <c r="G241" s="543"/>
    </row>
    <row r="242">
      <c r="B242" s="542"/>
      <c r="C242" s="542"/>
      <c r="D242" s="542"/>
      <c r="E242" s="542"/>
      <c r="F242" s="542"/>
      <c r="G242" s="543"/>
    </row>
    <row r="243">
      <c r="B243" s="542"/>
      <c r="C243" s="542"/>
      <c r="D243" s="542"/>
      <c r="E243" s="542"/>
      <c r="F243" s="542"/>
      <c r="G243" s="543"/>
    </row>
    <row r="244">
      <c r="B244" s="542"/>
      <c r="C244" s="542"/>
      <c r="D244" s="542"/>
      <c r="E244" s="542"/>
      <c r="F244" s="542"/>
      <c r="G244" s="543"/>
    </row>
    <row r="245">
      <c r="B245" s="542"/>
      <c r="C245" s="542"/>
      <c r="D245" s="542"/>
      <c r="E245" s="542"/>
      <c r="F245" s="542"/>
      <c r="G245" s="543"/>
    </row>
    <row r="246">
      <c r="B246" s="542"/>
      <c r="C246" s="542"/>
      <c r="D246" s="542"/>
      <c r="E246" s="542"/>
      <c r="F246" s="542"/>
      <c r="G246" s="543"/>
    </row>
    <row r="247">
      <c r="B247" s="542"/>
      <c r="C247" s="542"/>
      <c r="D247" s="542"/>
      <c r="E247" s="542"/>
      <c r="F247" s="542"/>
      <c r="G247" s="543"/>
    </row>
    <row r="248">
      <c r="B248" s="542"/>
      <c r="C248" s="542"/>
      <c r="D248" s="542"/>
      <c r="E248" s="542"/>
      <c r="F248" s="542"/>
      <c r="G248" s="543"/>
    </row>
    <row r="249">
      <c r="B249" s="542"/>
      <c r="C249" s="542"/>
      <c r="D249" s="542"/>
      <c r="E249" s="542"/>
      <c r="F249" s="542"/>
      <c r="G249" s="543"/>
    </row>
    <row r="250">
      <c r="B250" s="542"/>
      <c r="C250" s="542"/>
      <c r="D250" s="542"/>
      <c r="E250" s="542"/>
      <c r="F250" s="542"/>
      <c r="G250" s="543"/>
    </row>
    <row r="251">
      <c r="B251" s="542"/>
      <c r="C251" s="542"/>
      <c r="D251" s="542"/>
      <c r="E251" s="542"/>
      <c r="F251" s="542"/>
      <c r="G251" s="543"/>
    </row>
    <row r="252">
      <c r="B252" s="542"/>
      <c r="C252" s="542"/>
      <c r="D252" s="542"/>
      <c r="E252" s="542"/>
      <c r="F252" s="542"/>
      <c r="G252" s="543"/>
    </row>
    <row r="253">
      <c r="B253" s="542"/>
      <c r="C253" s="542"/>
      <c r="D253" s="542"/>
      <c r="E253" s="542"/>
      <c r="F253" s="542"/>
      <c r="G253" s="543"/>
    </row>
    <row r="254">
      <c r="B254" s="542"/>
      <c r="C254" s="542"/>
      <c r="D254" s="542"/>
      <c r="E254" s="542"/>
      <c r="F254" s="542"/>
      <c r="G254" s="543"/>
    </row>
    <row r="255">
      <c r="B255" s="542"/>
      <c r="C255" s="542"/>
      <c r="D255" s="542"/>
      <c r="E255" s="542"/>
      <c r="F255" s="542"/>
      <c r="G255" s="543"/>
    </row>
    <row r="256">
      <c r="B256" s="542"/>
      <c r="C256" s="542"/>
      <c r="D256" s="542"/>
      <c r="E256" s="542"/>
      <c r="F256" s="542"/>
      <c r="G256" s="543"/>
    </row>
    <row r="257">
      <c r="B257" s="542"/>
      <c r="C257" s="542"/>
      <c r="D257" s="542"/>
      <c r="E257" s="542"/>
      <c r="F257" s="542"/>
      <c r="G257" s="543"/>
    </row>
    <row r="258">
      <c r="B258" s="542"/>
      <c r="C258" s="542"/>
      <c r="D258" s="542"/>
      <c r="E258" s="542"/>
      <c r="F258" s="542"/>
      <c r="G258" s="543"/>
    </row>
    <row r="259">
      <c r="B259" s="542"/>
      <c r="C259" s="542"/>
      <c r="D259" s="542"/>
      <c r="E259" s="542"/>
      <c r="F259" s="542"/>
      <c r="G259" s="543"/>
    </row>
    <row r="260">
      <c r="B260" s="542"/>
      <c r="C260" s="542"/>
      <c r="D260" s="542"/>
      <c r="E260" s="542"/>
      <c r="F260" s="542"/>
      <c r="G260" s="543"/>
    </row>
    <row r="261">
      <c r="B261" s="542"/>
      <c r="C261" s="542"/>
      <c r="D261" s="542"/>
      <c r="E261" s="542"/>
      <c r="F261" s="542"/>
      <c r="G261" s="543"/>
    </row>
    <row r="262">
      <c r="B262" s="542"/>
      <c r="C262" s="542"/>
      <c r="D262" s="542"/>
      <c r="E262" s="542"/>
      <c r="F262" s="542"/>
      <c r="G262" s="543"/>
    </row>
    <row r="263">
      <c r="B263" s="542"/>
      <c r="C263" s="542"/>
      <c r="D263" s="542"/>
      <c r="E263" s="542"/>
      <c r="F263" s="542"/>
      <c r="G263" s="543"/>
    </row>
    <row r="264">
      <c r="B264" s="542"/>
      <c r="C264" s="542"/>
      <c r="D264" s="542"/>
      <c r="E264" s="542"/>
      <c r="F264" s="542"/>
      <c r="G264" s="543"/>
    </row>
    <row r="265">
      <c r="B265" s="542"/>
      <c r="C265" s="542"/>
      <c r="D265" s="542"/>
      <c r="E265" s="542"/>
      <c r="F265" s="542"/>
      <c r="G265" s="543"/>
    </row>
    <row r="266">
      <c r="B266" s="542"/>
      <c r="C266" s="542"/>
      <c r="D266" s="542"/>
      <c r="E266" s="542"/>
      <c r="F266" s="542"/>
      <c r="G266" s="543"/>
    </row>
    <row r="267">
      <c r="B267" s="542"/>
      <c r="C267" s="542"/>
      <c r="D267" s="542"/>
      <c r="E267" s="542"/>
      <c r="F267" s="542"/>
      <c r="G267" s="543"/>
    </row>
    <row r="268">
      <c r="B268" s="542"/>
      <c r="C268" s="542"/>
      <c r="D268" s="542"/>
      <c r="E268" s="542"/>
      <c r="F268" s="542"/>
      <c r="G268" s="543"/>
    </row>
    <row r="269">
      <c r="B269" s="542"/>
      <c r="C269" s="542"/>
      <c r="D269" s="542"/>
      <c r="E269" s="542"/>
      <c r="F269" s="542"/>
      <c r="G269" s="543"/>
    </row>
    <row r="270">
      <c r="B270" s="542"/>
      <c r="C270" s="542"/>
      <c r="D270" s="542"/>
      <c r="E270" s="542"/>
      <c r="F270" s="542"/>
      <c r="G270" s="543"/>
    </row>
    <row r="271">
      <c r="B271" s="542"/>
      <c r="C271" s="542"/>
      <c r="D271" s="542"/>
      <c r="E271" s="542"/>
      <c r="F271" s="542"/>
      <c r="G271" s="543"/>
    </row>
    <row r="272">
      <c r="B272" s="542"/>
      <c r="C272" s="542"/>
      <c r="D272" s="542"/>
      <c r="E272" s="542"/>
      <c r="F272" s="542"/>
      <c r="G272" s="543"/>
    </row>
    <row r="273">
      <c r="B273" s="542"/>
      <c r="C273" s="542"/>
      <c r="D273" s="542"/>
      <c r="E273" s="542"/>
      <c r="F273" s="542"/>
      <c r="G273" s="543"/>
    </row>
    <row r="274">
      <c r="B274" s="542"/>
      <c r="C274" s="542"/>
      <c r="D274" s="542"/>
      <c r="E274" s="542"/>
      <c r="F274" s="542"/>
      <c r="G274" s="543"/>
    </row>
    <row r="275">
      <c r="B275" s="542"/>
      <c r="C275" s="542"/>
      <c r="D275" s="542"/>
      <c r="E275" s="542"/>
      <c r="F275" s="542"/>
      <c r="G275" s="543"/>
    </row>
    <row r="276">
      <c r="B276" s="542"/>
      <c r="C276" s="542"/>
      <c r="D276" s="542"/>
      <c r="E276" s="542"/>
      <c r="F276" s="542"/>
      <c r="G276" s="543"/>
    </row>
    <row r="277">
      <c r="B277" s="542"/>
      <c r="C277" s="542"/>
      <c r="D277" s="542"/>
      <c r="E277" s="542"/>
      <c r="F277" s="542"/>
      <c r="G277" s="543"/>
    </row>
    <row r="278">
      <c r="B278" s="542"/>
      <c r="C278" s="542"/>
      <c r="D278" s="542"/>
      <c r="E278" s="542"/>
      <c r="F278" s="542"/>
      <c r="G278" s="543"/>
    </row>
    <row r="279">
      <c r="B279" s="542"/>
      <c r="C279" s="542"/>
      <c r="D279" s="542"/>
      <c r="E279" s="542"/>
      <c r="F279" s="542"/>
      <c r="G279" s="543"/>
    </row>
    <row r="280">
      <c r="B280" s="542"/>
      <c r="C280" s="542"/>
      <c r="D280" s="542"/>
      <c r="E280" s="542"/>
      <c r="F280" s="542"/>
      <c r="G280" s="543"/>
    </row>
    <row r="281">
      <c r="B281" s="542"/>
      <c r="C281" s="542"/>
      <c r="D281" s="542"/>
      <c r="E281" s="542"/>
      <c r="F281" s="542"/>
      <c r="G281" s="543"/>
    </row>
    <row r="282">
      <c r="B282" s="542"/>
      <c r="C282" s="542"/>
      <c r="D282" s="542"/>
      <c r="E282" s="542"/>
      <c r="F282" s="542"/>
      <c r="G282" s="543"/>
    </row>
    <row r="283">
      <c r="B283" s="542"/>
      <c r="C283" s="542"/>
      <c r="D283" s="542"/>
      <c r="E283" s="542"/>
      <c r="F283" s="542"/>
      <c r="G283" s="543"/>
    </row>
    <row r="284">
      <c r="B284" s="542"/>
      <c r="C284" s="542"/>
      <c r="D284" s="542"/>
      <c r="E284" s="542"/>
      <c r="F284" s="542"/>
      <c r="G284" s="543"/>
    </row>
    <row r="285">
      <c r="B285" s="542"/>
      <c r="C285" s="542"/>
      <c r="D285" s="542"/>
      <c r="E285" s="542"/>
      <c r="F285" s="542"/>
      <c r="G285" s="543"/>
    </row>
    <row r="286">
      <c r="B286" s="542"/>
      <c r="C286" s="542"/>
      <c r="D286" s="542"/>
      <c r="E286" s="542"/>
      <c r="F286" s="542"/>
      <c r="G286" s="543"/>
    </row>
    <row r="287">
      <c r="B287" s="542"/>
      <c r="C287" s="542"/>
      <c r="D287" s="542"/>
      <c r="E287" s="542"/>
      <c r="F287" s="542"/>
      <c r="G287" s="543"/>
    </row>
    <row r="288">
      <c r="B288" s="542"/>
      <c r="C288" s="542"/>
      <c r="D288" s="542"/>
      <c r="E288" s="542"/>
      <c r="F288" s="542"/>
      <c r="G288" s="543"/>
    </row>
    <row r="289">
      <c r="B289" s="542"/>
      <c r="C289" s="542"/>
      <c r="D289" s="542"/>
      <c r="E289" s="542"/>
      <c r="F289" s="542"/>
      <c r="G289" s="543"/>
    </row>
    <row r="290">
      <c r="B290" s="542"/>
      <c r="C290" s="542"/>
      <c r="D290" s="542"/>
      <c r="E290" s="542"/>
      <c r="F290" s="542"/>
      <c r="G290" s="543"/>
    </row>
    <row r="291">
      <c r="B291" s="542"/>
      <c r="C291" s="542"/>
      <c r="D291" s="542"/>
      <c r="E291" s="542"/>
      <c r="F291" s="542"/>
      <c r="G291" s="543"/>
    </row>
    <row r="292">
      <c r="B292" s="542"/>
      <c r="C292" s="542"/>
      <c r="D292" s="542"/>
      <c r="E292" s="542"/>
      <c r="F292" s="542"/>
      <c r="G292" s="543"/>
    </row>
    <row r="293">
      <c r="B293" s="542"/>
      <c r="C293" s="542"/>
      <c r="D293" s="542"/>
      <c r="E293" s="542"/>
      <c r="F293" s="542"/>
      <c r="G293" s="543"/>
    </row>
    <row r="294">
      <c r="B294" s="542"/>
      <c r="C294" s="542"/>
      <c r="D294" s="542"/>
      <c r="E294" s="542"/>
      <c r="F294" s="542"/>
      <c r="G294" s="543"/>
    </row>
    <row r="295">
      <c r="B295" s="542"/>
      <c r="C295" s="542"/>
      <c r="D295" s="542"/>
      <c r="E295" s="542"/>
      <c r="F295" s="542"/>
      <c r="G295" s="543"/>
    </row>
    <row r="296">
      <c r="B296" s="542"/>
      <c r="C296" s="542"/>
      <c r="D296" s="542"/>
      <c r="E296" s="542"/>
      <c r="F296" s="542"/>
      <c r="G296" s="543"/>
    </row>
    <row r="297">
      <c r="B297" s="542"/>
      <c r="C297" s="542"/>
      <c r="D297" s="542"/>
      <c r="E297" s="542"/>
      <c r="F297" s="542"/>
      <c r="G297" s="543"/>
    </row>
    <row r="298">
      <c r="B298" s="542"/>
      <c r="C298" s="542"/>
      <c r="D298" s="542"/>
      <c r="E298" s="542"/>
      <c r="F298" s="542"/>
      <c r="G298" s="543"/>
    </row>
    <row r="299">
      <c r="B299" s="542"/>
      <c r="C299" s="542"/>
      <c r="D299" s="542"/>
      <c r="E299" s="542"/>
      <c r="F299" s="542"/>
      <c r="G299" s="543"/>
    </row>
    <row r="300">
      <c r="B300" s="542"/>
      <c r="C300" s="542"/>
      <c r="D300" s="542"/>
      <c r="E300" s="542"/>
      <c r="F300" s="542"/>
      <c r="G300" s="543"/>
    </row>
    <row r="301">
      <c r="B301" s="542"/>
      <c r="C301" s="542"/>
      <c r="D301" s="542"/>
      <c r="E301" s="542"/>
      <c r="F301" s="542"/>
      <c r="G301" s="543"/>
    </row>
    <row r="302">
      <c r="B302" s="542"/>
      <c r="C302" s="542"/>
      <c r="D302" s="542"/>
      <c r="E302" s="542"/>
      <c r="F302" s="542"/>
      <c r="G302" s="543"/>
    </row>
    <row r="303">
      <c r="B303" s="542"/>
      <c r="C303" s="542"/>
      <c r="D303" s="542"/>
      <c r="E303" s="542"/>
      <c r="F303" s="542"/>
      <c r="G303" s="543"/>
    </row>
    <row r="304">
      <c r="B304" s="542"/>
      <c r="C304" s="542"/>
      <c r="D304" s="542"/>
      <c r="E304" s="542"/>
      <c r="F304" s="542"/>
      <c r="G304" s="543"/>
    </row>
    <row r="305">
      <c r="B305" s="542"/>
      <c r="C305" s="542"/>
      <c r="D305" s="542"/>
      <c r="E305" s="542"/>
      <c r="F305" s="542"/>
      <c r="G305" s="543"/>
    </row>
    <row r="306">
      <c r="B306" s="542"/>
      <c r="C306" s="542"/>
      <c r="D306" s="542"/>
      <c r="E306" s="542"/>
      <c r="F306" s="542"/>
      <c r="G306" s="543"/>
    </row>
    <row r="307">
      <c r="B307" s="542"/>
      <c r="C307" s="542"/>
      <c r="D307" s="542"/>
      <c r="E307" s="542"/>
      <c r="F307" s="542"/>
      <c r="G307" s="543"/>
    </row>
    <row r="308">
      <c r="B308" s="542"/>
      <c r="C308" s="542"/>
      <c r="D308" s="542"/>
      <c r="E308" s="542"/>
      <c r="F308" s="542"/>
      <c r="G308" s="543"/>
    </row>
    <row r="309">
      <c r="B309" s="542"/>
      <c r="C309" s="542"/>
      <c r="D309" s="542"/>
      <c r="E309" s="542"/>
      <c r="F309" s="542"/>
      <c r="G309" s="543"/>
    </row>
    <row r="310">
      <c r="B310" s="542"/>
      <c r="C310" s="542"/>
      <c r="D310" s="542"/>
      <c r="E310" s="542"/>
      <c r="F310" s="542"/>
      <c r="G310" s="543"/>
    </row>
    <row r="311">
      <c r="B311" s="542"/>
      <c r="C311" s="542"/>
      <c r="D311" s="542"/>
      <c r="E311" s="542"/>
      <c r="F311" s="542"/>
      <c r="G311" s="543"/>
    </row>
    <row r="312">
      <c r="B312" s="542"/>
      <c r="C312" s="542"/>
      <c r="D312" s="542"/>
      <c r="E312" s="542"/>
      <c r="F312" s="542"/>
      <c r="G312" s="543"/>
    </row>
    <row r="313">
      <c r="B313" s="542"/>
      <c r="C313" s="542"/>
      <c r="D313" s="542"/>
      <c r="E313" s="542"/>
      <c r="F313" s="542"/>
      <c r="G313" s="543"/>
    </row>
    <row r="314">
      <c r="B314" s="542"/>
      <c r="C314" s="542"/>
      <c r="D314" s="542"/>
      <c r="E314" s="542"/>
      <c r="F314" s="542"/>
      <c r="G314" s="543"/>
    </row>
    <row r="315">
      <c r="B315" s="542"/>
      <c r="C315" s="542"/>
      <c r="D315" s="542"/>
      <c r="E315" s="542"/>
      <c r="F315" s="542"/>
      <c r="G315" s="543"/>
    </row>
    <row r="316">
      <c r="B316" s="542"/>
      <c r="C316" s="542"/>
      <c r="D316" s="542"/>
      <c r="E316" s="542"/>
      <c r="F316" s="542"/>
      <c r="G316" s="543"/>
    </row>
    <row r="317">
      <c r="B317" s="542"/>
      <c r="C317" s="542"/>
      <c r="D317" s="542"/>
      <c r="E317" s="542"/>
      <c r="F317" s="542"/>
      <c r="G317" s="543"/>
    </row>
    <row r="318">
      <c r="B318" s="542"/>
      <c r="C318" s="542"/>
      <c r="D318" s="542"/>
      <c r="E318" s="542"/>
      <c r="F318" s="542"/>
      <c r="G318" s="543"/>
    </row>
    <row r="319">
      <c r="B319" s="542"/>
      <c r="C319" s="542"/>
      <c r="D319" s="542"/>
      <c r="E319" s="542"/>
      <c r="F319" s="542"/>
      <c r="G319" s="543"/>
    </row>
    <row r="320">
      <c r="B320" s="542"/>
      <c r="C320" s="542"/>
      <c r="D320" s="542"/>
      <c r="E320" s="542"/>
      <c r="F320" s="542"/>
      <c r="G320" s="543"/>
    </row>
    <row r="321">
      <c r="B321" s="542"/>
      <c r="C321" s="542"/>
      <c r="D321" s="542"/>
      <c r="E321" s="542"/>
      <c r="F321" s="542"/>
      <c r="G321" s="543"/>
    </row>
    <row r="322">
      <c r="B322" s="542"/>
      <c r="C322" s="542"/>
      <c r="D322" s="542"/>
      <c r="E322" s="542"/>
      <c r="F322" s="542"/>
      <c r="G322" s="543"/>
    </row>
    <row r="323">
      <c r="B323" s="542"/>
      <c r="C323" s="542"/>
      <c r="D323" s="542"/>
      <c r="E323" s="542"/>
      <c r="F323" s="542"/>
      <c r="G323" s="543"/>
    </row>
    <row r="324">
      <c r="B324" s="542"/>
      <c r="C324" s="542"/>
      <c r="D324" s="542"/>
      <c r="E324" s="542"/>
      <c r="F324" s="542"/>
      <c r="G324" s="543"/>
    </row>
    <row r="325">
      <c r="B325" s="542"/>
      <c r="C325" s="542"/>
      <c r="D325" s="542"/>
      <c r="E325" s="542"/>
      <c r="F325" s="542"/>
      <c r="G325" s="543"/>
    </row>
    <row r="326">
      <c r="B326" s="542"/>
      <c r="C326" s="542"/>
      <c r="D326" s="542"/>
      <c r="E326" s="542"/>
      <c r="F326" s="542"/>
      <c r="G326" s="543"/>
    </row>
    <row r="327">
      <c r="B327" s="542"/>
      <c r="C327" s="542"/>
      <c r="D327" s="542"/>
      <c r="E327" s="542"/>
      <c r="F327" s="542"/>
      <c r="G327" s="543"/>
    </row>
    <row r="328">
      <c r="B328" s="542"/>
      <c r="C328" s="542"/>
      <c r="D328" s="542"/>
      <c r="E328" s="542"/>
      <c r="F328" s="542"/>
      <c r="G328" s="543"/>
    </row>
    <row r="329">
      <c r="B329" s="542"/>
      <c r="C329" s="542"/>
      <c r="D329" s="542"/>
      <c r="E329" s="542"/>
      <c r="F329" s="542"/>
      <c r="G329" s="543"/>
    </row>
    <row r="330">
      <c r="B330" s="542"/>
      <c r="C330" s="542"/>
      <c r="D330" s="542"/>
      <c r="E330" s="542"/>
      <c r="F330" s="542"/>
      <c r="G330" s="543"/>
    </row>
    <row r="331">
      <c r="B331" s="542"/>
      <c r="C331" s="542"/>
      <c r="D331" s="542"/>
      <c r="E331" s="542"/>
      <c r="F331" s="542"/>
      <c r="G331" s="543"/>
    </row>
    <row r="332">
      <c r="B332" s="542"/>
      <c r="C332" s="542"/>
      <c r="D332" s="542"/>
      <c r="E332" s="542"/>
      <c r="F332" s="542"/>
      <c r="G332" s="543"/>
    </row>
    <row r="333">
      <c r="B333" s="542"/>
      <c r="C333" s="542"/>
      <c r="D333" s="542"/>
      <c r="E333" s="542"/>
      <c r="F333" s="542"/>
      <c r="G333" s="543"/>
    </row>
    <row r="334">
      <c r="B334" s="542"/>
      <c r="C334" s="542"/>
      <c r="D334" s="542"/>
      <c r="E334" s="542"/>
      <c r="F334" s="542"/>
      <c r="G334" s="543"/>
    </row>
    <row r="335">
      <c r="B335" s="542"/>
      <c r="C335" s="542"/>
      <c r="D335" s="542"/>
      <c r="E335" s="542"/>
      <c r="F335" s="542"/>
      <c r="G335" s="543"/>
    </row>
    <row r="336">
      <c r="B336" s="542"/>
      <c r="C336" s="542"/>
      <c r="D336" s="542"/>
      <c r="E336" s="542"/>
      <c r="F336" s="542"/>
      <c r="G336" s="543"/>
    </row>
    <row r="337">
      <c r="B337" s="542"/>
      <c r="C337" s="542"/>
      <c r="D337" s="542"/>
      <c r="E337" s="542"/>
      <c r="F337" s="542"/>
      <c r="G337" s="543"/>
    </row>
    <row r="338">
      <c r="B338" s="542"/>
      <c r="C338" s="542"/>
      <c r="D338" s="542"/>
      <c r="E338" s="542"/>
      <c r="F338" s="542"/>
      <c r="G338" s="543"/>
    </row>
    <row r="339">
      <c r="B339" s="542"/>
      <c r="C339" s="542"/>
      <c r="D339" s="542"/>
      <c r="E339" s="542"/>
      <c r="F339" s="542"/>
      <c r="G339" s="543"/>
    </row>
    <row r="340">
      <c r="B340" s="542"/>
      <c r="C340" s="542"/>
      <c r="D340" s="542"/>
      <c r="E340" s="542"/>
      <c r="F340" s="542"/>
      <c r="G340" s="543"/>
    </row>
    <row r="341">
      <c r="B341" s="542"/>
      <c r="C341" s="542"/>
      <c r="D341" s="542"/>
      <c r="E341" s="542"/>
      <c r="F341" s="542"/>
      <c r="G341" s="543"/>
    </row>
    <row r="342">
      <c r="B342" s="542"/>
      <c r="C342" s="542"/>
      <c r="D342" s="542"/>
      <c r="E342" s="542"/>
      <c r="F342" s="542"/>
      <c r="G342" s="543"/>
    </row>
    <row r="343">
      <c r="B343" s="542"/>
      <c r="C343" s="542"/>
      <c r="D343" s="542"/>
      <c r="E343" s="542"/>
      <c r="F343" s="542"/>
      <c r="G343" s="543"/>
    </row>
    <row r="344">
      <c r="B344" s="542"/>
      <c r="C344" s="542"/>
      <c r="D344" s="542"/>
      <c r="E344" s="542"/>
      <c r="F344" s="542"/>
      <c r="G344" s="543"/>
    </row>
    <row r="345">
      <c r="B345" s="542"/>
      <c r="C345" s="542"/>
      <c r="D345" s="542"/>
      <c r="E345" s="542"/>
      <c r="F345" s="542"/>
      <c r="G345" s="543"/>
    </row>
    <row r="346">
      <c r="B346" s="542"/>
      <c r="C346" s="542"/>
      <c r="D346" s="542"/>
      <c r="E346" s="542"/>
      <c r="F346" s="542"/>
      <c r="G346" s="543"/>
    </row>
    <row r="347">
      <c r="B347" s="542"/>
      <c r="C347" s="542"/>
      <c r="D347" s="542"/>
      <c r="E347" s="542"/>
      <c r="F347" s="542"/>
      <c r="G347" s="543"/>
    </row>
    <row r="348">
      <c r="B348" s="542"/>
      <c r="C348" s="542"/>
      <c r="D348" s="542"/>
      <c r="E348" s="542"/>
      <c r="F348" s="542"/>
      <c r="G348" s="543"/>
    </row>
    <row r="349">
      <c r="B349" s="542"/>
      <c r="C349" s="542"/>
      <c r="D349" s="542"/>
      <c r="E349" s="542"/>
      <c r="F349" s="542"/>
      <c r="G349" s="543"/>
    </row>
    <row r="350">
      <c r="B350" s="542"/>
      <c r="C350" s="542"/>
      <c r="D350" s="542"/>
      <c r="E350" s="542"/>
      <c r="F350" s="542"/>
      <c r="G350" s="543"/>
    </row>
    <row r="351">
      <c r="B351" s="542"/>
      <c r="C351" s="542"/>
      <c r="D351" s="542"/>
      <c r="E351" s="542"/>
      <c r="F351" s="542"/>
      <c r="G351" s="543"/>
    </row>
    <row r="352">
      <c r="B352" s="542"/>
      <c r="C352" s="542"/>
      <c r="D352" s="542"/>
      <c r="E352" s="542"/>
      <c r="F352" s="542"/>
      <c r="G352" s="543"/>
    </row>
    <row r="353">
      <c r="B353" s="542"/>
      <c r="C353" s="542"/>
      <c r="D353" s="542"/>
      <c r="E353" s="542"/>
      <c r="F353" s="542"/>
      <c r="G353" s="543"/>
    </row>
    <row r="354">
      <c r="B354" s="542"/>
      <c r="C354" s="542"/>
      <c r="D354" s="542"/>
      <c r="E354" s="542"/>
      <c r="F354" s="542"/>
      <c r="G354" s="543"/>
    </row>
    <row r="355">
      <c r="B355" s="542"/>
      <c r="C355" s="542"/>
      <c r="D355" s="542"/>
      <c r="E355" s="542"/>
      <c r="F355" s="542"/>
      <c r="G355" s="543"/>
    </row>
    <row r="356">
      <c r="B356" s="542"/>
      <c r="C356" s="542"/>
      <c r="D356" s="542"/>
      <c r="E356" s="542"/>
      <c r="F356" s="542"/>
      <c r="G356" s="543"/>
    </row>
    <row r="357">
      <c r="B357" s="542"/>
      <c r="C357" s="542"/>
      <c r="D357" s="542"/>
      <c r="E357" s="542"/>
      <c r="F357" s="542"/>
      <c r="G357" s="543"/>
    </row>
    <row r="358">
      <c r="B358" s="542"/>
      <c r="C358" s="542"/>
      <c r="D358" s="542"/>
      <c r="E358" s="542"/>
      <c r="F358" s="542"/>
      <c r="G358" s="543"/>
    </row>
    <row r="359">
      <c r="B359" s="542"/>
      <c r="C359" s="542"/>
      <c r="D359" s="542"/>
      <c r="E359" s="542"/>
      <c r="F359" s="542"/>
      <c r="G359" s="543"/>
    </row>
    <row r="360">
      <c r="B360" s="542"/>
      <c r="C360" s="542"/>
      <c r="D360" s="542"/>
      <c r="E360" s="542"/>
      <c r="F360" s="542"/>
      <c r="G360" s="543"/>
    </row>
    <row r="361">
      <c r="B361" s="542"/>
      <c r="C361" s="542"/>
      <c r="D361" s="542"/>
      <c r="E361" s="542"/>
      <c r="F361" s="542"/>
      <c r="G361" s="543"/>
    </row>
    <row r="362">
      <c r="B362" s="542"/>
      <c r="C362" s="542"/>
      <c r="D362" s="542"/>
      <c r="E362" s="542"/>
      <c r="F362" s="542"/>
      <c r="G362" s="543"/>
    </row>
    <row r="363">
      <c r="B363" s="542"/>
      <c r="C363" s="542"/>
      <c r="D363" s="542"/>
      <c r="E363" s="542"/>
      <c r="F363" s="542"/>
      <c r="G363" s="543"/>
    </row>
    <row r="364">
      <c r="B364" s="542"/>
      <c r="C364" s="542"/>
      <c r="D364" s="542"/>
      <c r="E364" s="542"/>
      <c r="F364" s="542"/>
      <c r="G364" s="543"/>
    </row>
    <row r="365">
      <c r="B365" s="542"/>
      <c r="C365" s="542"/>
      <c r="D365" s="542"/>
      <c r="E365" s="542"/>
      <c r="F365" s="542"/>
      <c r="G365" s="543"/>
    </row>
    <row r="366">
      <c r="B366" s="542"/>
      <c r="C366" s="542"/>
      <c r="D366" s="542"/>
      <c r="E366" s="542"/>
      <c r="F366" s="542"/>
      <c r="G366" s="543"/>
    </row>
    <row r="367">
      <c r="B367" s="542"/>
      <c r="C367" s="542"/>
      <c r="D367" s="542"/>
      <c r="E367" s="542"/>
      <c r="F367" s="542"/>
      <c r="G367" s="543"/>
    </row>
    <row r="368">
      <c r="B368" s="542"/>
      <c r="C368" s="542"/>
      <c r="D368" s="542"/>
      <c r="E368" s="542"/>
      <c r="F368" s="542"/>
      <c r="G368" s="543"/>
    </row>
    <row r="369">
      <c r="B369" s="542"/>
      <c r="C369" s="542"/>
      <c r="D369" s="542"/>
      <c r="E369" s="542"/>
      <c r="F369" s="542"/>
      <c r="G369" s="543"/>
    </row>
    <row r="370">
      <c r="B370" s="542"/>
      <c r="C370" s="542"/>
      <c r="D370" s="542"/>
      <c r="E370" s="542"/>
      <c r="F370" s="542"/>
      <c r="G370" s="543"/>
    </row>
    <row r="371">
      <c r="B371" s="542"/>
      <c r="C371" s="542"/>
      <c r="D371" s="542"/>
      <c r="E371" s="542"/>
      <c r="F371" s="542"/>
      <c r="G371" s="543"/>
    </row>
    <row r="372">
      <c r="B372" s="542"/>
      <c r="C372" s="542"/>
      <c r="D372" s="542"/>
      <c r="E372" s="542"/>
      <c r="F372" s="542"/>
      <c r="G372" s="543"/>
    </row>
    <row r="373">
      <c r="B373" s="542"/>
      <c r="C373" s="542"/>
      <c r="D373" s="542"/>
      <c r="E373" s="542"/>
      <c r="F373" s="542"/>
      <c r="G373" s="543"/>
    </row>
    <row r="374">
      <c r="B374" s="542"/>
      <c r="C374" s="542"/>
      <c r="D374" s="542"/>
      <c r="E374" s="542"/>
      <c r="F374" s="542"/>
      <c r="G374" s="543"/>
    </row>
    <row r="375">
      <c r="B375" s="542"/>
      <c r="C375" s="542"/>
      <c r="D375" s="542"/>
      <c r="E375" s="542"/>
      <c r="F375" s="542"/>
      <c r="G375" s="543"/>
    </row>
    <row r="376">
      <c r="B376" s="542"/>
      <c r="C376" s="542"/>
      <c r="D376" s="542"/>
      <c r="E376" s="542"/>
      <c r="F376" s="542"/>
      <c r="G376" s="543"/>
    </row>
    <row r="377">
      <c r="B377" s="542"/>
      <c r="C377" s="542"/>
      <c r="D377" s="542"/>
      <c r="E377" s="542"/>
      <c r="F377" s="542"/>
      <c r="G377" s="543"/>
    </row>
    <row r="378">
      <c r="B378" s="542"/>
      <c r="C378" s="542"/>
      <c r="D378" s="542"/>
      <c r="E378" s="542"/>
      <c r="F378" s="542"/>
      <c r="G378" s="543"/>
    </row>
    <row r="379">
      <c r="B379" s="542"/>
      <c r="C379" s="542"/>
      <c r="D379" s="542"/>
      <c r="E379" s="542"/>
      <c r="F379" s="542"/>
      <c r="G379" s="543"/>
    </row>
    <row r="380">
      <c r="B380" s="542"/>
      <c r="C380" s="542"/>
      <c r="D380" s="542"/>
      <c r="E380" s="542"/>
      <c r="F380" s="542"/>
      <c r="G380" s="543"/>
    </row>
    <row r="381">
      <c r="B381" s="542"/>
      <c r="C381" s="542"/>
      <c r="D381" s="542"/>
      <c r="E381" s="542"/>
      <c r="F381" s="542"/>
      <c r="G381" s="543"/>
    </row>
    <row r="382">
      <c r="B382" s="542"/>
      <c r="C382" s="542"/>
      <c r="D382" s="542"/>
      <c r="E382" s="542"/>
      <c r="F382" s="542"/>
      <c r="G382" s="543"/>
    </row>
    <row r="383">
      <c r="B383" s="542"/>
      <c r="C383" s="542"/>
      <c r="D383" s="542"/>
      <c r="E383" s="542"/>
      <c r="F383" s="542"/>
      <c r="G383" s="543"/>
    </row>
    <row r="384">
      <c r="B384" s="542"/>
      <c r="C384" s="542"/>
      <c r="D384" s="542"/>
      <c r="E384" s="542"/>
      <c r="F384" s="542"/>
      <c r="G384" s="543"/>
    </row>
    <row r="385">
      <c r="B385" s="542"/>
      <c r="C385" s="542"/>
      <c r="D385" s="542"/>
      <c r="E385" s="542"/>
      <c r="F385" s="542"/>
      <c r="G385" s="543"/>
    </row>
    <row r="386">
      <c r="B386" s="542"/>
      <c r="C386" s="542"/>
      <c r="D386" s="542"/>
      <c r="E386" s="542"/>
      <c r="F386" s="542"/>
      <c r="G386" s="543"/>
    </row>
    <row r="387">
      <c r="B387" s="542"/>
      <c r="C387" s="542"/>
      <c r="D387" s="542"/>
      <c r="E387" s="542"/>
      <c r="F387" s="542"/>
      <c r="G387" s="543"/>
    </row>
    <row r="388">
      <c r="B388" s="542"/>
      <c r="C388" s="542"/>
      <c r="D388" s="542"/>
      <c r="E388" s="542"/>
      <c r="F388" s="542"/>
      <c r="G388" s="543"/>
    </row>
    <row r="389">
      <c r="B389" s="542"/>
      <c r="C389" s="542"/>
      <c r="D389" s="542"/>
      <c r="E389" s="542"/>
      <c r="F389" s="542"/>
      <c r="G389" s="543"/>
    </row>
    <row r="390">
      <c r="B390" s="542"/>
      <c r="C390" s="542"/>
      <c r="D390" s="542"/>
      <c r="E390" s="542"/>
      <c r="F390" s="542"/>
      <c r="G390" s="543"/>
    </row>
    <row r="391">
      <c r="B391" s="542"/>
      <c r="C391" s="542"/>
      <c r="D391" s="542"/>
      <c r="E391" s="542"/>
      <c r="F391" s="542"/>
      <c r="G391" s="543"/>
    </row>
    <row r="392">
      <c r="B392" s="542"/>
      <c r="C392" s="542"/>
      <c r="D392" s="542"/>
      <c r="E392" s="542"/>
      <c r="F392" s="542"/>
      <c r="G392" s="543"/>
    </row>
    <row r="393">
      <c r="B393" s="542"/>
      <c r="C393" s="542"/>
      <c r="D393" s="542"/>
      <c r="E393" s="542"/>
      <c r="F393" s="542"/>
      <c r="G393" s="543"/>
    </row>
    <row r="394">
      <c r="B394" s="542"/>
      <c r="C394" s="542"/>
      <c r="D394" s="542"/>
      <c r="E394" s="542"/>
      <c r="F394" s="542"/>
      <c r="G394" s="543"/>
    </row>
    <row r="395">
      <c r="B395" s="542"/>
      <c r="C395" s="542"/>
      <c r="D395" s="542"/>
      <c r="E395" s="542"/>
      <c r="F395" s="542"/>
      <c r="G395" s="543"/>
    </row>
    <row r="396">
      <c r="B396" s="542"/>
      <c r="C396" s="542"/>
      <c r="D396" s="542"/>
      <c r="E396" s="542"/>
      <c r="F396" s="542"/>
      <c r="G396" s="543"/>
    </row>
    <row r="397">
      <c r="B397" s="542"/>
      <c r="C397" s="542"/>
      <c r="D397" s="542"/>
      <c r="E397" s="542"/>
      <c r="F397" s="542"/>
      <c r="G397" s="543"/>
    </row>
    <row r="398">
      <c r="B398" s="542"/>
      <c r="C398" s="542"/>
      <c r="D398" s="542"/>
      <c r="E398" s="542"/>
      <c r="F398" s="542"/>
      <c r="G398" s="543"/>
    </row>
    <row r="399">
      <c r="B399" s="542"/>
      <c r="C399" s="542"/>
      <c r="D399" s="542"/>
      <c r="E399" s="542"/>
      <c r="F399" s="542"/>
      <c r="G399" s="543"/>
    </row>
    <row r="400">
      <c r="B400" s="542"/>
      <c r="C400" s="542"/>
      <c r="D400" s="542"/>
      <c r="E400" s="542"/>
      <c r="F400" s="542"/>
      <c r="G400" s="543"/>
    </row>
    <row r="401">
      <c r="B401" s="542"/>
      <c r="C401" s="542"/>
      <c r="D401" s="542"/>
      <c r="E401" s="542"/>
      <c r="F401" s="542"/>
      <c r="G401" s="543"/>
    </row>
    <row r="402">
      <c r="B402" s="542"/>
      <c r="C402" s="542"/>
      <c r="D402" s="542"/>
      <c r="E402" s="542"/>
      <c r="F402" s="542"/>
      <c r="G402" s="543"/>
    </row>
    <row r="403">
      <c r="B403" s="542"/>
      <c r="C403" s="542"/>
      <c r="D403" s="542"/>
      <c r="E403" s="542"/>
      <c r="F403" s="542"/>
      <c r="G403" s="543"/>
    </row>
    <row r="404">
      <c r="B404" s="542"/>
      <c r="C404" s="542"/>
      <c r="D404" s="542"/>
      <c r="E404" s="542"/>
      <c r="F404" s="542"/>
      <c r="G404" s="543"/>
    </row>
    <row r="405">
      <c r="B405" s="542"/>
      <c r="C405" s="542"/>
      <c r="D405" s="542"/>
      <c r="E405" s="542"/>
      <c r="F405" s="542"/>
      <c r="G405" s="543"/>
    </row>
    <row r="406">
      <c r="B406" s="542"/>
      <c r="C406" s="542"/>
      <c r="D406" s="542"/>
      <c r="E406" s="542"/>
      <c r="F406" s="542"/>
      <c r="G406" s="543"/>
    </row>
    <row r="407">
      <c r="B407" s="542"/>
      <c r="C407" s="542"/>
      <c r="D407" s="542"/>
      <c r="E407" s="542"/>
      <c r="F407" s="542"/>
      <c r="G407" s="543"/>
    </row>
    <row r="408">
      <c r="B408" s="542"/>
      <c r="C408" s="542"/>
      <c r="D408" s="542"/>
      <c r="E408" s="542"/>
      <c r="F408" s="542"/>
      <c r="G408" s="543"/>
    </row>
    <row r="409">
      <c r="B409" s="542"/>
      <c r="C409" s="542"/>
      <c r="D409" s="542"/>
      <c r="E409" s="542"/>
      <c r="F409" s="542"/>
      <c r="G409" s="543"/>
    </row>
    <row r="410">
      <c r="B410" s="542"/>
      <c r="C410" s="542"/>
      <c r="D410" s="542"/>
      <c r="E410" s="542"/>
      <c r="F410" s="542"/>
      <c r="G410" s="543"/>
    </row>
    <row r="411">
      <c r="B411" s="542"/>
      <c r="C411" s="542"/>
      <c r="D411" s="542"/>
      <c r="E411" s="542"/>
      <c r="F411" s="542"/>
      <c r="G411" s="543"/>
    </row>
    <row r="412">
      <c r="B412" s="542"/>
      <c r="C412" s="542"/>
      <c r="D412" s="542"/>
      <c r="E412" s="542"/>
      <c r="F412" s="542"/>
      <c r="G412" s="543"/>
    </row>
    <row r="413">
      <c r="B413" s="542"/>
      <c r="C413" s="542"/>
      <c r="D413" s="542"/>
      <c r="E413" s="542"/>
      <c r="F413" s="542"/>
      <c r="G413" s="543"/>
    </row>
    <row r="414">
      <c r="B414" s="542"/>
      <c r="C414" s="542"/>
      <c r="D414" s="542"/>
      <c r="E414" s="542"/>
      <c r="F414" s="542"/>
      <c r="G414" s="543"/>
    </row>
    <row r="415">
      <c r="B415" s="542"/>
      <c r="C415" s="542"/>
      <c r="D415" s="542"/>
      <c r="E415" s="542"/>
      <c r="F415" s="542"/>
      <c r="G415" s="543"/>
    </row>
    <row r="416">
      <c r="B416" s="542"/>
      <c r="C416" s="542"/>
      <c r="D416" s="542"/>
      <c r="E416" s="542"/>
      <c r="F416" s="542"/>
      <c r="G416" s="543"/>
    </row>
    <row r="417">
      <c r="B417" s="542"/>
      <c r="C417" s="542"/>
      <c r="D417" s="542"/>
      <c r="E417" s="542"/>
      <c r="F417" s="542"/>
      <c r="G417" s="543"/>
    </row>
    <row r="418">
      <c r="B418" s="542"/>
      <c r="C418" s="542"/>
      <c r="D418" s="542"/>
      <c r="E418" s="542"/>
      <c r="F418" s="542"/>
      <c r="G418" s="543"/>
    </row>
    <row r="419">
      <c r="B419" s="542"/>
      <c r="C419" s="542"/>
      <c r="D419" s="542"/>
      <c r="E419" s="542"/>
      <c r="F419" s="542"/>
      <c r="G419" s="543"/>
    </row>
    <row r="420">
      <c r="B420" s="542"/>
      <c r="C420" s="542"/>
      <c r="D420" s="542"/>
      <c r="E420" s="542"/>
      <c r="F420" s="542"/>
      <c r="G420" s="543"/>
    </row>
    <row r="421">
      <c r="B421" s="542"/>
      <c r="C421" s="542"/>
      <c r="D421" s="542"/>
      <c r="E421" s="542"/>
      <c r="F421" s="542"/>
      <c r="G421" s="543"/>
    </row>
    <row r="422">
      <c r="B422" s="542"/>
      <c r="C422" s="542"/>
      <c r="D422" s="542"/>
      <c r="E422" s="542"/>
      <c r="F422" s="542"/>
      <c r="G422" s="543"/>
    </row>
    <row r="423">
      <c r="B423" s="542"/>
      <c r="C423" s="542"/>
      <c r="D423" s="542"/>
      <c r="E423" s="542"/>
      <c r="F423" s="542"/>
      <c r="G423" s="543"/>
    </row>
    <row r="424">
      <c r="B424" s="542"/>
      <c r="C424" s="542"/>
      <c r="D424" s="542"/>
      <c r="E424" s="542"/>
      <c r="F424" s="542"/>
      <c r="G424" s="543"/>
    </row>
    <row r="425">
      <c r="B425" s="542"/>
      <c r="C425" s="542"/>
      <c r="D425" s="542"/>
      <c r="E425" s="542"/>
      <c r="F425" s="542"/>
      <c r="G425" s="543"/>
    </row>
    <row r="426">
      <c r="B426" s="542"/>
      <c r="C426" s="542"/>
      <c r="D426" s="542"/>
      <c r="E426" s="542"/>
      <c r="F426" s="542"/>
      <c r="G426" s="543"/>
    </row>
    <row r="427">
      <c r="B427" s="542"/>
      <c r="C427" s="542"/>
      <c r="D427" s="542"/>
      <c r="E427" s="542"/>
      <c r="F427" s="542"/>
      <c r="G427" s="543"/>
    </row>
    <row r="428">
      <c r="B428" s="542"/>
      <c r="C428" s="542"/>
      <c r="D428" s="542"/>
      <c r="E428" s="542"/>
      <c r="F428" s="542"/>
      <c r="G428" s="543"/>
    </row>
    <row r="429">
      <c r="B429" s="542"/>
      <c r="C429" s="542"/>
      <c r="D429" s="542"/>
      <c r="E429" s="542"/>
      <c r="F429" s="542"/>
      <c r="G429" s="543"/>
    </row>
    <row r="430">
      <c r="B430" s="542"/>
      <c r="C430" s="542"/>
      <c r="D430" s="542"/>
      <c r="E430" s="542"/>
      <c r="F430" s="542"/>
      <c r="G430" s="543"/>
    </row>
    <row r="431">
      <c r="B431" s="542"/>
      <c r="C431" s="542"/>
      <c r="D431" s="542"/>
      <c r="E431" s="542"/>
      <c r="F431" s="542"/>
      <c r="G431" s="543"/>
    </row>
    <row r="432">
      <c r="B432" s="542"/>
      <c r="C432" s="542"/>
      <c r="D432" s="542"/>
      <c r="E432" s="542"/>
      <c r="F432" s="542"/>
      <c r="G432" s="543"/>
    </row>
    <row r="433">
      <c r="B433" s="542"/>
      <c r="C433" s="542"/>
      <c r="D433" s="542"/>
      <c r="E433" s="542"/>
      <c r="F433" s="542"/>
      <c r="G433" s="543"/>
    </row>
    <row r="434">
      <c r="B434" s="542"/>
      <c r="C434" s="542"/>
      <c r="D434" s="542"/>
      <c r="E434" s="542"/>
      <c r="F434" s="542"/>
      <c r="G434" s="543"/>
    </row>
    <row r="435">
      <c r="B435" s="542"/>
      <c r="C435" s="542"/>
      <c r="D435" s="542"/>
      <c r="E435" s="542"/>
      <c r="F435" s="542"/>
      <c r="G435" s="543"/>
    </row>
    <row r="436">
      <c r="B436" s="542"/>
      <c r="C436" s="542"/>
      <c r="D436" s="542"/>
      <c r="E436" s="542"/>
      <c r="F436" s="542"/>
      <c r="G436" s="543"/>
    </row>
    <row r="437">
      <c r="B437" s="542"/>
      <c r="C437" s="542"/>
      <c r="D437" s="542"/>
      <c r="E437" s="542"/>
      <c r="F437" s="542"/>
      <c r="G437" s="543"/>
    </row>
    <row r="438">
      <c r="B438" s="542"/>
      <c r="C438" s="542"/>
      <c r="D438" s="542"/>
      <c r="E438" s="542"/>
      <c r="F438" s="542"/>
      <c r="G438" s="543"/>
    </row>
    <row r="439">
      <c r="B439" s="542"/>
      <c r="C439" s="542"/>
      <c r="D439" s="542"/>
      <c r="E439" s="542"/>
      <c r="F439" s="542"/>
      <c r="G439" s="543"/>
    </row>
    <row r="440">
      <c r="B440" s="542"/>
      <c r="C440" s="542"/>
      <c r="D440" s="542"/>
      <c r="E440" s="542"/>
      <c r="F440" s="542"/>
      <c r="G440" s="543"/>
    </row>
    <row r="441">
      <c r="B441" s="542"/>
      <c r="C441" s="542"/>
      <c r="D441" s="542"/>
      <c r="E441" s="542"/>
      <c r="F441" s="542"/>
      <c r="G441" s="543"/>
    </row>
    <row r="442">
      <c r="B442" s="542"/>
      <c r="C442" s="542"/>
      <c r="D442" s="542"/>
      <c r="E442" s="542"/>
      <c r="F442" s="542"/>
      <c r="G442" s="543"/>
    </row>
    <row r="443">
      <c r="B443" s="542"/>
      <c r="C443" s="542"/>
      <c r="D443" s="542"/>
      <c r="E443" s="542"/>
      <c r="F443" s="542"/>
      <c r="G443" s="543"/>
    </row>
    <row r="444">
      <c r="B444" s="542"/>
      <c r="C444" s="542"/>
      <c r="D444" s="542"/>
      <c r="E444" s="542"/>
      <c r="F444" s="542"/>
      <c r="G444" s="543"/>
    </row>
    <row r="445">
      <c r="B445" s="542"/>
      <c r="C445" s="542"/>
      <c r="D445" s="542"/>
      <c r="E445" s="542"/>
      <c r="F445" s="542"/>
      <c r="G445" s="543"/>
    </row>
    <row r="446">
      <c r="B446" s="542"/>
      <c r="C446" s="542"/>
      <c r="D446" s="542"/>
      <c r="E446" s="542"/>
      <c r="F446" s="542"/>
      <c r="G446" s="543"/>
    </row>
    <row r="447">
      <c r="B447" s="542"/>
      <c r="C447" s="542"/>
      <c r="D447" s="542"/>
      <c r="E447" s="542"/>
      <c r="F447" s="542"/>
      <c r="G447" s="543"/>
    </row>
    <row r="448">
      <c r="B448" s="542"/>
      <c r="C448" s="542"/>
      <c r="D448" s="542"/>
      <c r="E448" s="542"/>
      <c r="F448" s="542"/>
      <c r="G448" s="543"/>
    </row>
    <row r="449">
      <c r="B449" s="542"/>
      <c r="C449" s="542"/>
      <c r="D449" s="542"/>
      <c r="E449" s="542"/>
      <c r="F449" s="542"/>
      <c r="G449" s="543"/>
    </row>
    <row r="450">
      <c r="B450" s="542"/>
      <c r="C450" s="542"/>
      <c r="D450" s="542"/>
      <c r="E450" s="542"/>
      <c r="F450" s="542"/>
      <c r="G450" s="543"/>
    </row>
    <row r="451">
      <c r="B451" s="542"/>
      <c r="C451" s="542"/>
      <c r="D451" s="542"/>
      <c r="E451" s="542"/>
      <c r="F451" s="542"/>
      <c r="G451" s="543"/>
    </row>
    <row r="452">
      <c r="B452" s="542"/>
      <c r="C452" s="542"/>
      <c r="D452" s="542"/>
      <c r="E452" s="542"/>
      <c r="F452" s="542"/>
      <c r="G452" s="543"/>
    </row>
    <row r="453">
      <c r="B453" s="542"/>
      <c r="C453" s="542"/>
      <c r="D453" s="542"/>
      <c r="E453" s="542"/>
      <c r="F453" s="542"/>
      <c r="G453" s="543"/>
    </row>
    <row r="454">
      <c r="B454" s="542"/>
      <c r="C454" s="542"/>
      <c r="D454" s="542"/>
      <c r="E454" s="542"/>
      <c r="F454" s="542"/>
      <c r="G454" s="543"/>
    </row>
    <row r="455">
      <c r="B455" s="542"/>
      <c r="C455" s="542"/>
      <c r="D455" s="542"/>
      <c r="E455" s="542"/>
      <c r="F455" s="542"/>
      <c r="G455" s="543"/>
    </row>
    <row r="456">
      <c r="B456" s="542"/>
      <c r="C456" s="542"/>
      <c r="D456" s="542"/>
      <c r="E456" s="542"/>
      <c r="F456" s="542"/>
      <c r="G456" s="543"/>
    </row>
    <row r="457">
      <c r="B457" s="542"/>
      <c r="C457" s="542"/>
      <c r="D457" s="542"/>
      <c r="E457" s="542"/>
      <c r="F457" s="542"/>
      <c r="G457" s="543"/>
    </row>
    <row r="458">
      <c r="B458" s="542"/>
      <c r="C458" s="542"/>
      <c r="D458" s="542"/>
      <c r="E458" s="542"/>
      <c r="F458" s="542"/>
      <c r="G458" s="543"/>
    </row>
    <row r="459">
      <c r="B459" s="542"/>
      <c r="C459" s="542"/>
      <c r="D459" s="542"/>
      <c r="E459" s="542"/>
      <c r="F459" s="542"/>
      <c r="G459" s="543"/>
    </row>
    <row r="460">
      <c r="B460" s="542"/>
      <c r="C460" s="542"/>
      <c r="D460" s="542"/>
      <c r="E460" s="542"/>
      <c r="F460" s="542"/>
      <c r="G460" s="543"/>
    </row>
    <row r="461">
      <c r="B461" s="542"/>
      <c r="C461" s="542"/>
      <c r="D461" s="542"/>
      <c r="E461" s="542"/>
      <c r="F461" s="542"/>
      <c r="G461" s="543"/>
    </row>
    <row r="462">
      <c r="B462" s="542"/>
      <c r="C462" s="542"/>
      <c r="D462" s="542"/>
      <c r="E462" s="542"/>
      <c r="F462" s="542"/>
      <c r="G462" s="543"/>
    </row>
    <row r="463">
      <c r="B463" s="542"/>
      <c r="C463" s="542"/>
      <c r="D463" s="542"/>
      <c r="E463" s="542"/>
      <c r="F463" s="542"/>
      <c r="G463" s="543"/>
    </row>
    <row r="464">
      <c r="B464" s="542"/>
      <c r="C464" s="542"/>
      <c r="D464" s="542"/>
      <c r="E464" s="542"/>
      <c r="F464" s="542"/>
      <c r="G464" s="543"/>
    </row>
    <row r="465">
      <c r="B465" s="542"/>
      <c r="C465" s="542"/>
      <c r="D465" s="542"/>
      <c r="E465" s="542"/>
      <c r="F465" s="542"/>
      <c r="G465" s="543"/>
    </row>
    <row r="466">
      <c r="B466" s="542"/>
      <c r="C466" s="542"/>
      <c r="D466" s="542"/>
      <c r="E466" s="542"/>
      <c r="F466" s="542"/>
      <c r="G466" s="543"/>
    </row>
    <row r="467">
      <c r="B467" s="542"/>
      <c r="C467" s="542"/>
      <c r="D467" s="542"/>
      <c r="E467" s="542"/>
      <c r="F467" s="542"/>
      <c r="G467" s="543"/>
    </row>
    <row r="468">
      <c r="B468" s="542"/>
      <c r="C468" s="542"/>
      <c r="D468" s="542"/>
      <c r="E468" s="542"/>
      <c r="F468" s="542"/>
      <c r="G468" s="543"/>
    </row>
    <row r="469">
      <c r="B469" s="542"/>
      <c r="C469" s="542"/>
      <c r="D469" s="542"/>
      <c r="E469" s="542"/>
      <c r="F469" s="542"/>
      <c r="G469" s="543"/>
    </row>
    <row r="470">
      <c r="B470" s="542"/>
      <c r="C470" s="542"/>
      <c r="D470" s="542"/>
      <c r="E470" s="542"/>
      <c r="F470" s="542"/>
      <c r="G470" s="543"/>
    </row>
    <row r="471">
      <c r="B471" s="542"/>
      <c r="C471" s="542"/>
      <c r="D471" s="542"/>
      <c r="E471" s="542"/>
      <c r="F471" s="542"/>
      <c r="G471" s="543"/>
    </row>
    <row r="472">
      <c r="B472" s="542"/>
      <c r="C472" s="542"/>
      <c r="D472" s="542"/>
      <c r="E472" s="542"/>
      <c r="F472" s="542"/>
      <c r="G472" s="543"/>
    </row>
    <row r="473">
      <c r="B473" s="542"/>
      <c r="C473" s="542"/>
      <c r="D473" s="542"/>
      <c r="E473" s="542"/>
      <c r="F473" s="542"/>
      <c r="G473" s="543"/>
    </row>
    <row r="474">
      <c r="B474" s="542"/>
      <c r="C474" s="542"/>
      <c r="D474" s="542"/>
      <c r="E474" s="542"/>
      <c r="F474" s="542"/>
      <c r="G474" s="543"/>
    </row>
    <row r="475">
      <c r="B475" s="542"/>
      <c r="C475" s="542"/>
      <c r="D475" s="542"/>
      <c r="E475" s="542"/>
      <c r="F475" s="542"/>
      <c r="G475" s="543"/>
    </row>
    <row r="476">
      <c r="B476" s="542"/>
      <c r="C476" s="542"/>
      <c r="D476" s="542"/>
      <c r="E476" s="542"/>
      <c r="F476" s="542"/>
      <c r="G476" s="543"/>
    </row>
    <row r="477">
      <c r="B477" s="542"/>
      <c r="C477" s="542"/>
      <c r="D477" s="542"/>
      <c r="E477" s="542"/>
      <c r="F477" s="542"/>
      <c r="G477" s="543"/>
    </row>
    <row r="478">
      <c r="B478" s="542"/>
      <c r="C478" s="542"/>
      <c r="D478" s="542"/>
      <c r="E478" s="542"/>
      <c r="F478" s="542"/>
      <c r="G478" s="543"/>
    </row>
    <row r="479">
      <c r="B479" s="542"/>
      <c r="C479" s="542"/>
      <c r="D479" s="542"/>
      <c r="E479" s="542"/>
      <c r="F479" s="542"/>
      <c r="G479" s="543"/>
    </row>
    <row r="480">
      <c r="B480" s="542"/>
      <c r="C480" s="542"/>
      <c r="D480" s="542"/>
      <c r="E480" s="542"/>
      <c r="F480" s="542"/>
      <c r="G480" s="543"/>
    </row>
    <row r="481">
      <c r="B481" s="542"/>
      <c r="C481" s="542"/>
      <c r="D481" s="542"/>
      <c r="E481" s="542"/>
      <c r="F481" s="542"/>
      <c r="G481" s="543"/>
    </row>
    <row r="482">
      <c r="B482" s="542"/>
      <c r="C482" s="542"/>
      <c r="D482" s="542"/>
      <c r="E482" s="542"/>
      <c r="F482" s="542"/>
      <c r="G482" s="543"/>
    </row>
    <row r="483">
      <c r="B483" s="542"/>
      <c r="C483" s="542"/>
      <c r="D483" s="542"/>
      <c r="E483" s="542"/>
      <c r="F483" s="542"/>
      <c r="G483" s="543"/>
    </row>
    <row r="484">
      <c r="B484" s="542"/>
      <c r="C484" s="542"/>
      <c r="D484" s="542"/>
      <c r="E484" s="542"/>
      <c r="F484" s="542"/>
      <c r="G484" s="543"/>
    </row>
    <row r="485">
      <c r="B485" s="542"/>
      <c r="C485" s="542"/>
      <c r="D485" s="542"/>
      <c r="E485" s="542"/>
      <c r="F485" s="542"/>
      <c r="G485" s="543"/>
    </row>
    <row r="486">
      <c r="B486" s="542"/>
      <c r="C486" s="542"/>
      <c r="D486" s="542"/>
      <c r="E486" s="542"/>
      <c r="F486" s="542"/>
      <c r="G486" s="543"/>
    </row>
    <row r="487">
      <c r="B487" s="542"/>
      <c r="C487" s="542"/>
      <c r="D487" s="542"/>
      <c r="E487" s="542"/>
      <c r="F487" s="542"/>
      <c r="G487" s="543"/>
    </row>
    <row r="488">
      <c r="B488" s="542"/>
      <c r="C488" s="542"/>
      <c r="D488" s="542"/>
      <c r="E488" s="542"/>
      <c r="F488" s="542"/>
      <c r="G488" s="543"/>
    </row>
    <row r="489">
      <c r="B489" s="542"/>
      <c r="C489" s="542"/>
      <c r="D489" s="542"/>
      <c r="E489" s="542"/>
      <c r="F489" s="542"/>
      <c r="G489" s="543"/>
    </row>
    <row r="490">
      <c r="B490" s="542"/>
      <c r="C490" s="542"/>
      <c r="D490" s="542"/>
      <c r="E490" s="542"/>
      <c r="F490" s="542"/>
      <c r="G490" s="543"/>
    </row>
    <row r="491">
      <c r="B491" s="542"/>
      <c r="C491" s="542"/>
      <c r="D491" s="542"/>
      <c r="E491" s="542"/>
      <c r="F491" s="542"/>
      <c r="G491" s="543"/>
    </row>
    <row r="492">
      <c r="B492" s="542"/>
      <c r="C492" s="542"/>
      <c r="D492" s="542"/>
      <c r="E492" s="542"/>
      <c r="F492" s="542"/>
      <c r="G492" s="543"/>
    </row>
    <row r="493">
      <c r="B493" s="542"/>
      <c r="C493" s="542"/>
      <c r="D493" s="542"/>
      <c r="E493" s="542"/>
      <c r="F493" s="542"/>
      <c r="G493" s="543"/>
    </row>
    <row r="494">
      <c r="B494" s="542"/>
      <c r="C494" s="542"/>
      <c r="D494" s="542"/>
      <c r="E494" s="542"/>
      <c r="F494" s="542"/>
      <c r="G494" s="543"/>
    </row>
    <row r="495">
      <c r="B495" s="542"/>
      <c r="C495" s="542"/>
      <c r="D495" s="542"/>
      <c r="E495" s="542"/>
      <c r="F495" s="542"/>
      <c r="G495" s="543"/>
    </row>
    <row r="496">
      <c r="B496" s="542"/>
      <c r="C496" s="542"/>
      <c r="D496" s="542"/>
      <c r="E496" s="542"/>
      <c r="F496" s="542"/>
      <c r="G496" s="543"/>
    </row>
    <row r="497">
      <c r="B497" s="542"/>
      <c r="C497" s="542"/>
      <c r="D497" s="542"/>
      <c r="E497" s="542"/>
      <c r="F497" s="542"/>
      <c r="G497" s="543"/>
    </row>
    <row r="498">
      <c r="B498" s="542"/>
      <c r="C498" s="542"/>
      <c r="D498" s="542"/>
      <c r="E498" s="542"/>
      <c r="F498" s="542"/>
      <c r="G498" s="543"/>
    </row>
    <row r="499">
      <c r="B499" s="542"/>
      <c r="C499" s="542"/>
      <c r="D499" s="542"/>
      <c r="E499" s="542"/>
      <c r="F499" s="542"/>
      <c r="G499" s="543"/>
    </row>
    <row r="500">
      <c r="B500" s="542"/>
      <c r="C500" s="542"/>
      <c r="D500" s="542"/>
      <c r="E500" s="542"/>
      <c r="F500" s="542"/>
      <c r="G500" s="543"/>
    </row>
    <row r="501">
      <c r="B501" s="542"/>
      <c r="C501" s="542"/>
      <c r="D501" s="542"/>
      <c r="E501" s="542"/>
      <c r="F501" s="542"/>
      <c r="G501" s="543"/>
    </row>
    <row r="502">
      <c r="B502" s="542"/>
      <c r="C502" s="542"/>
      <c r="D502" s="542"/>
      <c r="E502" s="542"/>
      <c r="F502" s="542"/>
      <c r="G502" s="543"/>
    </row>
    <row r="503">
      <c r="B503" s="542"/>
      <c r="C503" s="542"/>
      <c r="D503" s="542"/>
      <c r="E503" s="542"/>
      <c r="F503" s="542"/>
      <c r="G503" s="543"/>
    </row>
    <row r="504">
      <c r="B504" s="542"/>
      <c r="C504" s="542"/>
      <c r="D504" s="542"/>
      <c r="E504" s="542"/>
      <c r="F504" s="542"/>
      <c r="G504" s="543"/>
    </row>
    <row r="505">
      <c r="B505" s="542"/>
      <c r="C505" s="542"/>
      <c r="D505" s="542"/>
      <c r="E505" s="542"/>
      <c r="F505" s="542"/>
      <c r="G505" s="543"/>
    </row>
    <row r="506">
      <c r="B506" s="542"/>
      <c r="C506" s="542"/>
      <c r="D506" s="542"/>
      <c r="E506" s="542"/>
      <c r="F506" s="542"/>
      <c r="G506" s="543"/>
    </row>
    <row r="507">
      <c r="B507" s="542"/>
      <c r="C507" s="542"/>
      <c r="D507" s="542"/>
      <c r="E507" s="542"/>
      <c r="F507" s="542"/>
      <c r="G507" s="543"/>
    </row>
    <row r="508">
      <c r="B508" s="542"/>
      <c r="C508" s="542"/>
      <c r="D508" s="542"/>
      <c r="E508" s="542"/>
      <c r="F508" s="542"/>
      <c r="G508" s="543"/>
    </row>
    <row r="509">
      <c r="B509" s="542"/>
      <c r="C509" s="542"/>
      <c r="D509" s="542"/>
      <c r="E509" s="542"/>
      <c r="F509" s="542"/>
      <c r="G509" s="543"/>
    </row>
    <row r="510">
      <c r="B510" s="542"/>
      <c r="C510" s="542"/>
      <c r="D510" s="542"/>
      <c r="E510" s="542"/>
      <c r="F510" s="542"/>
      <c r="G510" s="543"/>
    </row>
    <row r="511">
      <c r="B511" s="542"/>
      <c r="C511" s="542"/>
      <c r="D511" s="542"/>
      <c r="E511" s="542"/>
      <c r="F511" s="542"/>
      <c r="G511" s="543"/>
    </row>
    <row r="512">
      <c r="B512" s="542"/>
      <c r="C512" s="542"/>
      <c r="D512" s="542"/>
      <c r="E512" s="542"/>
      <c r="F512" s="542"/>
      <c r="G512" s="543"/>
    </row>
    <row r="513">
      <c r="B513" s="542"/>
      <c r="C513" s="542"/>
      <c r="D513" s="542"/>
      <c r="E513" s="542"/>
      <c r="F513" s="542"/>
      <c r="G513" s="543"/>
    </row>
    <row r="514">
      <c r="B514" s="542"/>
      <c r="C514" s="542"/>
      <c r="D514" s="542"/>
      <c r="E514" s="542"/>
      <c r="F514" s="542"/>
      <c r="G514" s="543"/>
    </row>
    <row r="515">
      <c r="B515" s="542"/>
      <c r="C515" s="542"/>
      <c r="D515" s="542"/>
      <c r="E515" s="542"/>
      <c r="F515" s="542"/>
      <c r="G515" s="543"/>
    </row>
    <row r="516">
      <c r="B516" s="542"/>
      <c r="C516" s="542"/>
      <c r="D516" s="542"/>
      <c r="E516" s="542"/>
      <c r="F516" s="542"/>
      <c r="G516" s="543"/>
    </row>
    <row r="517">
      <c r="B517" s="542"/>
      <c r="C517" s="542"/>
      <c r="D517" s="542"/>
      <c r="E517" s="542"/>
      <c r="F517" s="542"/>
      <c r="G517" s="543"/>
    </row>
    <row r="518">
      <c r="B518" s="542"/>
      <c r="C518" s="542"/>
      <c r="D518" s="542"/>
      <c r="E518" s="542"/>
      <c r="F518" s="542"/>
      <c r="G518" s="543"/>
    </row>
    <row r="519">
      <c r="B519" s="542"/>
      <c r="C519" s="542"/>
      <c r="D519" s="542"/>
      <c r="E519" s="542"/>
      <c r="F519" s="542"/>
      <c r="G519" s="543"/>
    </row>
    <row r="520">
      <c r="B520" s="542"/>
      <c r="C520" s="542"/>
      <c r="D520" s="542"/>
      <c r="E520" s="542"/>
      <c r="F520" s="542"/>
      <c r="G520" s="543"/>
    </row>
    <row r="521">
      <c r="B521" s="542"/>
      <c r="C521" s="542"/>
      <c r="D521" s="542"/>
      <c r="E521" s="542"/>
      <c r="F521" s="542"/>
      <c r="G521" s="543"/>
    </row>
    <row r="522">
      <c r="B522" s="542"/>
      <c r="C522" s="542"/>
      <c r="D522" s="542"/>
      <c r="E522" s="542"/>
      <c r="F522" s="542"/>
      <c r="G522" s="543"/>
    </row>
    <row r="523">
      <c r="B523" s="542"/>
      <c r="C523" s="542"/>
      <c r="D523" s="542"/>
      <c r="E523" s="542"/>
      <c r="F523" s="542"/>
      <c r="G523" s="543"/>
    </row>
    <row r="524">
      <c r="B524" s="542"/>
      <c r="C524" s="542"/>
      <c r="D524" s="542"/>
      <c r="E524" s="542"/>
      <c r="F524" s="542"/>
      <c r="G524" s="543"/>
    </row>
    <row r="525">
      <c r="B525" s="542"/>
      <c r="C525" s="542"/>
      <c r="D525" s="542"/>
      <c r="E525" s="542"/>
      <c r="F525" s="542"/>
      <c r="G525" s="543"/>
    </row>
    <row r="526">
      <c r="B526" s="542"/>
      <c r="C526" s="542"/>
      <c r="D526" s="542"/>
      <c r="E526" s="542"/>
      <c r="F526" s="542"/>
      <c r="G526" s="543"/>
    </row>
    <row r="527">
      <c r="B527" s="542"/>
      <c r="C527" s="542"/>
      <c r="D527" s="542"/>
      <c r="E527" s="542"/>
      <c r="F527" s="542"/>
      <c r="G527" s="543"/>
    </row>
    <row r="528">
      <c r="B528" s="542"/>
      <c r="C528" s="542"/>
      <c r="D528" s="542"/>
      <c r="E528" s="542"/>
      <c r="F528" s="542"/>
      <c r="G528" s="543"/>
    </row>
    <row r="529">
      <c r="B529" s="542"/>
      <c r="C529" s="542"/>
      <c r="D529" s="542"/>
      <c r="E529" s="542"/>
      <c r="F529" s="542"/>
      <c r="G529" s="543"/>
    </row>
    <row r="530">
      <c r="B530" s="542"/>
      <c r="C530" s="542"/>
      <c r="D530" s="542"/>
      <c r="E530" s="542"/>
      <c r="F530" s="542"/>
      <c r="G530" s="543"/>
    </row>
    <row r="531">
      <c r="B531" s="542"/>
      <c r="C531" s="542"/>
      <c r="D531" s="542"/>
      <c r="E531" s="542"/>
      <c r="F531" s="542"/>
      <c r="G531" s="543"/>
    </row>
    <row r="532">
      <c r="B532" s="542"/>
      <c r="C532" s="542"/>
      <c r="D532" s="542"/>
      <c r="E532" s="542"/>
      <c r="F532" s="542"/>
      <c r="G532" s="543"/>
    </row>
    <row r="533">
      <c r="B533" s="542"/>
      <c r="C533" s="542"/>
      <c r="D533" s="542"/>
      <c r="E533" s="542"/>
      <c r="F533" s="542"/>
      <c r="G533" s="543"/>
    </row>
    <row r="534">
      <c r="B534" s="542"/>
      <c r="C534" s="542"/>
      <c r="D534" s="542"/>
      <c r="E534" s="542"/>
      <c r="F534" s="542"/>
      <c r="G534" s="543"/>
    </row>
    <row r="535">
      <c r="B535" s="542"/>
      <c r="C535" s="542"/>
      <c r="D535" s="542"/>
      <c r="E535" s="542"/>
      <c r="F535" s="542"/>
      <c r="G535" s="543"/>
    </row>
    <row r="536">
      <c r="B536" s="542"/>
      <c r="C536" s="542"/>
      <c r="D536" s="542"/>
      <c r="E536" s="542"/>
      <c r="F536" s="542"/>
      <c r="G536" s="543"/>
    </row>
    <row r="537">
      <c r="B537" s="542"/>
      <c r="C537" s="542"/>
      <c r="D537" s="542"/>
      <c r="E537" s="542"/>
      <c r="F537" s="542"/>
      <c r="G537" s="543"/>
    </row>
    <row r="538">
      <c r="B538" s="542"/>
      <c r="C538" s="542"/>
      <c r="D538" s="542"/>
      <c r="E538" s="542"/>
      <c r="F538" s="542"/>
      <c r="G538" s="543"/>
    </row>
    <row r="539">
      <c r="B539" s="542"/>
      <c r="C539" s="542"/>
      <c r="D539" s="542"/>
      <c r="E539" s="542"/>
      <c r="F539" s="542"/>
      <c r="G539" s="543"/>
    </row>
    <row r="540">
      <c r="B540" s="542"/>
      <c r="C540" s="542"/>
      <c r="D540" s="542"/>
      <c r="E540" s="542"/>
      <c r="F540" s="542"/>
      <c r="G540" s="543"/>
    </row>
    <row r="541">
      <c r="B541" s="542"/>
      <c r="C541" s="542"/>
      <c r="D541" s="542"/>
      <c r="E541" s="542"/>
      <c r="F541" s="542"/>
      <c r="G541" s="543"/>
    </row>
    <row r="542">
      <c r="B542" s="542"/>
      <c r="C542" s="542"/>
      <c r="D542" s="542"/>
      <c r="E542" s="542"/>
      <c r="F542" s="542"/>
      <c r="G542" s="543"/>
    </row>
    <row r="543">
      <c r="B543" s="542"/>
      <c r="C543" s="542"/>
      <c r="D543" s="542"/>
      <c r="E543" s="542"/>
      <c r="F543" s="542"/>
      <c r="G543" s="543"/>
    </row>
    <row r="544">
      <c r="B544" s="542"/>
      <c r="C544" s="542"/>
      <c r="D544" s="542"/>
      <c r="E544" s="542"/>
      <c r="F544" s="542"/>
      <c r="G544" s="543"/>
    </row>
    <row r="545">
      <c r="B545" s="542"/>
      <c r="C545" s="542"/>
      <c r="D545" s="542"/>
      <c r="E545" s="542"/>
      <c r="F545" s="542"/>
      <c r="G545" s="543"/>
    </row>
    <row r="546">
      <c r="B546" s="542"/>
      <c r="C546" s="542"/>
      <c r="D546" s="542"/>
      <c r="E546" s="542"/>
      <c r="F546" s="542"/>
      <c r="G546" s="543"/>
    </row>
    <row r="547">
      <c r="B547" s="542"/>
      <c r="C547" s="542"/>
      <c r="D547" s="542"/>
      <c r="E547" s="542"/>
      <c r="F547" s="542"/>
      <c r="G547" s="543"/>
    </row>
    <row r="548">
      <c r="B548" s="542"/>
      <c r="C548" s="542"/>
      <c r="D548" s="542"/>
      <c r="E548" s="542"/>
      <c r="F548" s="542"/>
      <c r="G548" s="543"/>
    </row>
    <row r="549">
      <c r="B549" s="542"/>
      <c r="C549" s="542"/>
      <c r="D549" s="542"/>
      <c r="E549" s="542"/>
      <c r="F549" s="542"/>
      <c r="G549" s="543"/>
    </row>
    <row r="550">
      <c r="B550" s="542"/>
      <c r="C550" s="542"/>
      <c r="D550" s="542"/>
      <c r="E550" s="542"/>
      <c r="F550" s="542"/>
      <c r="G550" s="543"/>
    </row>
    <row r="551">
      <c r="B551" s="542"/>
      <c r="C551" s="542"/>
      <c r="D551" s="542"/>
      <c r="E551" s="542"/>
      <c r="F551" s="542"/>
      <c r="G551" s="543"/>
    </row>
    <row r="552">
      <c r="B552" s="542"/>
      <c r="C552" s="542"/>
      <c r="D552" s="542"/>
      <c r="E552" s="542"/>
      <c r="F552" s="542"/>
      <c r="G552" s="543"/>
    </row>
    <row r="553">
      <c r="B553" s="542"/>
      <c r="C553" s="542"/>
      <c r="D553" s="542"/>
      <c r="E553" s="542"/>
      <c r="F553" s="542"/>
      <c r="G553" s="543"/>
    </row>
    <row r="554">
      <c r="B554" s="542"/>
      <c r="C554" s="542"/>
      <c r="D554" s="542"/>
      <c r="E554" s="542"/>
      <c r="F554" s="542"/>
      <c r="G554" s="543"/>
    </row>
    <row r="555">
      <c r="B555" s="542"/>
      <c r="C555" s="542"/>
      <c r="D555" s="542"/>
      <c r="E555" s="542"/>
      <c r="F555" s="542"/>
      <c r="G555" s="543"/>
    </row>
    <row r="556">
      <c r="B556" s="542"/>
      <c r="C556" s="542"/>
      <c r="D556" s="542"/>
      <c r="E556" s="542"/>
      <c r="F556" s="542"/>
      <c r="G556" s="543"/>
    </row>
    <row r="557">
      <c r="B557" s="542"/>
      <c r="C557" s="542"/>
      <c r="D557" s="542"/>
      <c r="E557" s="542"/>
      <c r="F557" s="542"/>
      <c r="G557" s="543"/>
    </row>
    <row r="558">
      <c r="B558" s="542"/>
      <c r="C558" s="542"/>
      <c r="D558" s="542"/>
      <c r="E558" s="542"/>
      <c r="F558" s="542"/>
      <c r="G558" s="543"/>
    </row>
    <row r="559">
      <c r="B559" s="542"/>
      <c r="C559" s="542"/>
      <c r="D559" s="542"/>
      <c r="E559" s="542"/>
      <c r="F559" s="542"/>
      <c r="G559" s="543"/>
    </row>
    <row r="560">
      <c r="B560" s="542"/>
      <c r="C560" s="542"/>
      <c r="D560" s="542"/>
      <c r="E560" s="542"/>
      <c r="F560" s="542"/>
      <c r="G560" s="543"/>
    </row>
    <row r="561">
      <c r="B561" s="542"/>
      <c r="C561" s="542"/>
      <c r="D561" s="542"/>
      <c r="E561" s="542"/>
      <c r="F561" s="542"/>
      <c r="G561" s="543"/>
    </row>
    <row r="562">
      <c r="B562" s="542"/>
      <c r="C562" s="542"/>
      <c r="D562" s="542"/>
      <c r="E562" s="542"/>
      <c r="F562" s="542"/>
      <c r="G562" s="543"/>
    </row>
    <row r="563">
      <c r="B563" s="542"/>
      <c r="C563" s="542"/>
      <c r="D563" s="542"/>
      <c r="E563" s="542"/>
      <c r="F563" s="542"/>
      <c r="G563" s="543"/>
    </row>
    <row r="564">
      <c r="B564" s="542"/>
      <c r="C564" s="542"/>
      <c r="D564" s="542"/>
      <c r="E564" s="542"/>
      <c r="F564" s="542"/>
      <c r="G564" s="543"/>
    </row>
    <row r="565">
      <c r="B565" s="542"/>
      <c r="C565" s="542"/>
      <c r="D565" s="542"/>
      <c r="E565" s="542"/>
      <c r="F565" s="542"/>
      <c r="G565" s="543"/>
    </row>
    <row r="566">
      <c r="B566" s="542"/>
      <c r="C566" s="542"/>
      <c r="D566" s="542"/>
      <c r="E566" s="542"/>
      <c r="F566" s="542"/>
      <c r="G566" s="543"/>
    </row>
    <row r="567">
      <c r="B567" s="542"/>
      <c r="C567" s="542"/>
      <c r="D567" s="542"/>
      <c r="E567" s="542"/>
      <c r="F567" s="542"/>
      <c r="G567" s="543"/>
    </row>
    <row r="568">
      <c r="B568" s="542"/>
      <c r="C568" s="542"/>
      <c r="D568" s="542"/>
      <c r="E568" s="542"/>
      <c r="F568" s="542"/>
      <c r="G568" s="543"/>
    </row>
    <row r="569">
      <c r="B569" s="542"/>
      <c r="C569" s="542"/>
      <c r="D569" s="542"/>
      <c r="E569" s="542"/>
      <c r="F569" s="542"/>
      <c r="G569" s="543"/>
    </row>
    <row r="570">
      <c r="B570" s="542"/>
      <c r="C570" s="542"/>
      <c r="D570" s="542"/>
      <c r="E570" s="542"/>
      <c r="F570" s="542"/>
      <c r="G570" s="543"/>
    </row>
    <row r="571">
      <c r="B571" s="542"/>
      <c r="C571" s="542"/>
      <c r="D571" s="542"/>
      <c r="E571" s="542"/>
      <c r="F571" s="542"/>
      <c r="G571" s="543"/>
    </row>
    <row r="572">
      <c r="B572" s="542"/>
      <c r="C572" s="542"/>
      <c r="D572" s="542"/>
      <c r="E572" s="542"/>
      <c r="F572" s="542"/>
      <c r="G572" s="543"/>
    </row>
    <row r="573">
      <c r="B573" s="542"/>
      <c r="C573" s="542"/>
      <c r="D573" s="542"/>
      <c r="E573" s="542"/>
      <c r="F573" s="542"/>
      <c r="G573" s="543"/>
    </row>
    <row r="574">
      <c r="B574" s="542"/>
      <c r="C574" s="542"/>
      <c r="D574" s="542"/>
      <c r="E574" s="542"/>
      <c r="F574" s="542"/>
      <c r="G574" s="543"/>
    </row>
    <row r="575">
      <c r="B575" s="542"/>
      <c r="C575" s="542"/>
      <c r="D575" s="542"/>
      <c r="E575" s="542"/>
      <c r="F575" s="542"/>
      <c r="G575" s="543"/>
    </row>
    <row r="576">
      <c r="B576" s="542"/>
      <c r="C576" s="542"/>
      <c r="D576" s="542"/>
      <c r="E576" s="542"/>
      <c r="F576" s="542"/>
      <c r="G576" s="543"/>
    </row>
    <row r="577">
      <c r="B577" s="542"/>
      <c r="C577" s="542"/>
      <c r="D577" s="542"/>
      <c r="E577" s="542"/>
      <c r="F577" s="542"/>
      <c r="G577" s="543"/>
    </row>
    <row r="578">
      <c r="B578" s="542"/>
      <c r="C578" s="542"/>
      <c r="D578" s="542"/>
      <c r="E578" s="542"/>
      <c r="F578" s="542"/>
      <c r="G578" s="543"/>
    </row>
    <row r="579">
      <c r="B579" s="542"/>
      <c r="C579" s="542"/>
      <c r="D579" s="542"/>
      <c r="E579" s="542"/>
      <c r="F579" s="542"/>
      <c r="G579" s="543"/>
    </row>
    <row r="580">
      <c r="B580" s="542"/>
      <c r="C580" s="542"/>
      <c r="D580" s="542"/>
      <c r="E580" s="542"/>
      <c r="F580" s="542"/>
      <c r="G580" s="543"/>
    </row>
    <row r="581">
      <c r="B581" s="542"/>
      <c r="C581" s="542"/>
      <c r="D581" s="542"/>
      <c r="E581" s="542"/>
      <c r="F581" s="542"/>
      <c r="G581" s="543"/>
    </row>
    <row r="582">
      <c r="B582" s="542"/>
      <c r="C582" s="542"/>
      <c r="D582" s="542"/>
      <c r="E582" s="542"/>
      <c r="F582" s="542"/>
      <c r="G582" s="543"/>
    </row>
    <row r="583">
      <c r="B583" s="542"/>
      <c r="C583" s="542"/>
      <c r="D583" s="542"/>
      <c r="E583" s="542"/>
      <c r="F583" s="542"/>
      <c r="G583" s="543"/>
    </row>
    <row r="584">
      <c r="B584" s="542"/>
      <c r="C584" s="542"/>
      <c r="D584" s="542"/>
      <c r="E584" s="542"/>
      <c r="F584" s="542"/>
      <c r="G584" s="543"/>
    </row>
    <row r="585">
      <c r="B585" s="542"/>
      <c r="C585" s="542"/>
      <c r="D585" s="542"/>
      <c r="E585" s="542"/>
      <c r="F585" s="542"/>
      <c r="G585" s="543"/>
    </row>
    <row r="586">
      <c r="B586" s="542"/>
      <c r="C586" s="542"/>
      <c r="D586" s="542"/>
      <c r="E586" s="542"/>
      <c r="F586" s="542"/>
      <c r="G586" s="543"/>
    </row>
    <row r="587">
      <c r="B587" s="542"/>
      <c r="C587" s="542"/>
      <c r="D587" s="542"/>
      <c r="E587" s="542"/>
      <c r="F587" s="542"/>
      <c r="G587" s="543"/>
    </row>
    <row r="588">
      <c r="B588" s="542"/>
      <c r="C588" s="542"/>
      <c r="D588" s="542"/>
      <c r="E588" s="542"/>
      <c r="F588" s="542"/>
      <c r="G588" s="543"/>
    </row>
    <row r="589">
      <c r="B589" s="542"/>
      <c r="C589" s="542"/>
      <c r="D589" s="542"/>
      <c r="E589" s="542"/>
      <c r="F589" s="542"/>
      <c r="G589" s="543"/>
    </row>
    <row r="590">
      <c r="B590" s="542"/>
      <c r="C590" s="542"/>
      <c r="D590" s="542"/>
      <c r="E590" s="542"/>
      <c r="F590" s="542"/>
      <c r="G590" s="543"/>
    </row>
    <row r="591">
      <c r="B591" s="542"/>
      <c r="C591" s="542"/>
      <c r="D591" s="542"/>
      <c r="E591" s="542"/>
      <c r="F591" s="542"/>
      <c r="G591" s="543"/>
    </row>
    <row r="592">
      <c r="B592" s="542"/>
      <c r="C592" s="542"/>
      <c r="D592" s="542"/>
      <c r="E592" s="542"/>
      <c r="F592" s="542"/>
      <c r="G592" s="543"/>
    </row>
    <row r="593">
      <c r="B593" s="542"/>
      <c r="C593" s="542"/>
      <c r="D593" s="542"/>
      <c r="E593" s="542"/>
      <c r="F593" s="542"/>
      <c r="G593" s="543"/>
    </row>
    <row r="594">
      <c r="B594" s="542"/>
      <c r="C594" s="542"/>
      <c r="D594" s="542"/>
      <c r="E594" s="542"/>
      <c r="F594" s="542"/>
      <c r="G594" s="543"/>
    </row>
    <row r="595">
      <c r="B595" s="542"/>
      <c r="C595" s="542"/>
      <c r="D595" s="542"/>
      <c r="E595" s="542"/>
      <c r="F595" s="542"/>
      <c r="G595" s="543"/>
    </row>
    <row r="596">
      <c r="B596" s="542"/>
      <c r="C596" s="542"/>
      <c r="D596" s="542"/>
      <c r="E596" s="542"/>
      <c r="F596" s="542"/>
      <c r="G596" s="543"/>
    </row>
    <row r="597">
      <c r="B597" s="542"/>
      <c r="C597" s="542"/>
      <c r="D597" s="542"/>
      <c r="E597" s="542"/>
      <c r="F597" s="542"/>
      <c r="G597" s="543"/>
    </row>
    <row r="598">
      <c r="B598" s="542"/>
      <c r="C598" s="542"/>
      <c r="D598" s="542"/>
      <c r="E598" s="542"/>
      <c r="F598" s="542"/>
      <c r="G598" s="543"/>
    </row>
    <row r="599">
      <c r="B599" s="542"/>
      <c r="C599" s="542"/>
      <c r="D599" s="542"/>
      <c r="E599" s="542"/>
      <c r="F599" s="542"/>
      <c r="G599" s="543"/>
    </row>
    <row r="600">
      <c r="B600" s="542"/>
      <c r="C600" s="542"/>
      <c r="D600" s="542"/>
      <c r="E600" s="542"/>
      <c r="F600" s="542"/>
      <c r="G600" s="543"/>
    </row>
    <row r="601">
      <c r="B601" s="542"/>
      <c r="C601" s="542"/>
      <c r="D601" s="542"/>
      <c r="E601" s="542"/>
      <c r="F601" s="542"/>
      <c r="G601" s="543"/>
    </row>
    <row r="602">
      <c r="B602" s="542"/>
      <c r="C602" s="542"/>
      <c r="D602" s="542"/>
      <c r="E602" s="542"/>
      <c r="F602" s="542"/>
      <c r="G602" s="543"/>
    </row>
    <row r="603">
      <c r="B603" s="542"/>
      <c r="C603" s="542"/>
      <c r="D603" s="542"/>
      <c r="E603" s="542"/>
      <c r="F603" s="542"/>
      <c r="G603" s="543"/>
    </row>
    <row r="604">
      <c r="B604" s="542"/>
      <c r="C604" s="542"/>
      <c r="D604" s="542"/>
      <c r="E604" s="542"/>
      <c r="F604" s="542"/>
      <c r="G604" s="543"/>
    </row>
    <row r="605">
      <c r="B605" s="542"/>
      <c r="C605" s="542"/>
      <c r="D605" s="542"/>
      <c r="E605" s="542"/>
      <c r="F605" s="542"/>
      <c r="G605" s="543"/>
    </row>
    <row r="606">
      <c r="B606" s="542"/>
      <c r="C606" s="542"/>
      <c r="D606" s="542"/>
      <c r="E606" s="542"/>
      <c r="F606" s="542"/>
      <c r="G606" s="543"/>
    </row>
    <row r="607">
      <c r="B607" s="542"/>
      <c r="C607" s="542"/>
      <c r="D607" s="542"/>
      <c r="E607" s="542"/>
      <c r="F607" s="542"/>
      <c r="G607" s="543"/>
    </row>
    <row r="608">
      <c r="B608" s="542"/>
      <c r="C608" s="542"/>
      <c r="D608" s="542"/>
      <c r="E608" s="542"/>
      <c r="F608" s="542"/>
      <c r="G608" s="543"/>
    </row>
    <row r="609">
      <c r="B609" s="542"/>
      <c r="C609" s="542"/>
      <c r="D609" s="542"/>
      <c r="E609" s="542"/>
      <c r="F609" s="542"/>
      <c r="G609" s="543"/>
    </row>
    <row r="610">
      <c r="B610" s="542"/>
      <c r="C610" s="542"/>
      <c r="D610" s="542"/>
      <c r="E610" s="542"/>
      <c r="F610" s="542"/>
      <c r="G610" s="543"/>
    </row>
    <row r="611">
      <c r="B611" s="542"/>
      <c r="C611" s="542"/>
      <c r="D611" s="542"/>
      <c r="E611" s="542"/>
      <c r="F611" s="542"/>
      <c r="G611" s="543"/>
    </row>
    <row r="612">
      <c r="B612" s="542"/>
      <c r="C612" s="542"/>
      <c r="D612" s="542"/>
      <c r="E612" s="542"/>
      <c r="F612" s="542"/>
      <c r="G612" s="543"/>
    </row>
    <row r="613">
      <c r="B613" s="542"/>
      <c r="C613" s="542"/>
      <c r="D613" s="542"/>
      <c r="E613" s="542"/>
      <c r="F613" s="542"/>
      <c r="G613" s="543"/>
    </row>
    <row r="614">
      <c r="B614" s="542"/>
      <c r="C614" s="542"/>
      <c r="D614" s="542"/>
      <c r="E614" s="542"/>
      <c r="F614" s="542"/>
      <c r="G614" s="543"/>
    </row>
    <row r="615">
      <c r="B615" s="542"/>
      <c r="C615" s="542"/>
      <c r="D615" s="542"/>
      <c r="E615" s="542"/>
      <c r="F615" s="542"/>
      <c r="G615" s="543"/>
    </row>
    <row r="616">
      <c r="B616" s="542"/>
      <c r="C616" s="542"/>
      <c r="D616" s="542"/>
      <c r="E616" s="542"/>
      <c r="F616" s="542"/>
      <c r="G616" s="543"/>
    </row>
    <row r="617">
      <c r="B617" s="542"/>
      <c r="C617" s="542"/>
      <c r="D617" s="542"/>
      <c r="E617" s="542"/>
      <c r="F617" s="542"/>
      <c r="G617" s="543"/>
    </row>
    <row r="618">
      <c r="B618" s="542"/>
      <c r="C618" s="542"/>
      <c r="D618" s="542"/>
      <c r="E618" s="542"/>
      <c r="F618" s="542"/>
      <c r="G618" s="543"/>
    </row>
    <row r="619">
      <c r="B619" s="542"/>
      <c r="C619" s="542"/>
      <c r="D619" s="542"/>
      <c r="E619" s="542"/>
      <c r="F619" s="542"/>
      <c r="G619" s="543"/>
    </row>
    <row r="620">
      <c r="B620" s="542"/>
      <c r="C620" s="542"/>
      <c r="D620" s="542"/>
      <c r="E620" s="542"/>
      <c r="F620" s="542"/>
      <c r="G620" s="543"/>
    </row>
    <row r="621">
      <c r="B621" s="542"/>
      <c r="C621" s="542"/>
      <c r="D621" s="542"/>
      <c r="E621" s="542"/>
      <c r="F621" s="542"/>
      <c r="G621" s="543"/>
    </row>
    <row r="622">
      <c r="B622" s="542"/>
      <c r="C622" s="542"/>
      <c r="D622" s="542"/>
      <c r="E622" s="542"/>
      <c r="F622" s="542"/>
      <c r="G622" s="543"/>
    </row>
    <row r="623">
      <c r="B623" s="542"/>
      <c r="C623" s="542"/>
      <c r="D623" s="542"/>
      <c r="E623" s="542"/>
      <c r="F623" s="542"/>
      <c r="G623" s="543"/>
    </row>
    <row r="624">
      <c r="B624" s="542"/>
      <c r="C624" s="542"/>
      <c r="D624" s="542"/>
      <c r="E624" s="542"/>
      <c r="F624" s="542"/>
      <c r="G624" s="543"/>
    </row>
    <row r="625">
      <c r="B625" s="542"/>
      <c r="C625" s="542"/>
      <c r="D625" s="542"/>
      <c r="E625" s="542"/>
      <c r="F625" s="542"/>
      <c r="G625" s="543"/>
    </row>
    <row r="626">
      <c r="B626" s="542"/>
      <c r="C626" s="542"/>
      <c r="D626" s="542"/>
      <c r="E626" s="542"/>
      <c r="F626" s="542"/>
      <c r="G626" s="543"/>
    </row>
    <row r="627">
      <c r="B627" s="542"/>
      <c r="C627" s="542"/>
      <c r="D627" s="542"/>
      <c r="E627" s="542"/>
      <c r="F627" s="542"/>
      <c r="G627" s="543"/>
    </row>
    <row r="628">
      <c r="B628" s="542"/>
      <c r="C628" s="542"/>
      <c r="D628" s="542"/>
      <c r="E628" s="542"/>
      <c r="F628" s="542"/>
      <c r="G628" s="543"/>
    </row>
    <row r="629">
      <c r="B629" s="542"/>
      <c r="C629" s="542"/>
      <c r="D629" s="542"/>
      <c r="E629" s="542"/>
      <c r="F629" s="542"/>
      <c r="G629" s="543"/>
    </row>
    <row r="630">
      <c r="B630" s="542"/>
      <c r="C630" s="542"/>
      <c r="D630" s="542"/>
      <c r="E630" s="542"/>
      <c r="F630" s="542"/>
      <c r="G630" s="543"/>
    </row>
    <row r="631">
      <c r="B631" s="542"/>
      <c r="C631" s="542"/>
      <c r="D631" s="542"/>
      <c r="E631" s="542"/>
      <c r="F631" s="542"/>
      <c r="G631" s="543"/>
    </row>
    <row r="632">
      <c r="B632" s="542"/>
      <c r="C632" s="542"/>
      <c r="D632" s="542"/>
      <c r="E632" s="542"/>
      <c r="F632" s="542"/>
      <c r="G632" s="543"/>
    </row>
    <row r="633">
      <c r="B633" s="542"/>
      <c r="C633" s="542"/>
      <c r="D633" s="542"/>
      <c r="E633" s="542"/>
      <c r="F633" s="542"/>
      <c r="G633" s="543"/>
    </row>
    <row r="634">
      <c r="B634" s="542"/>
      <c r="C634" s="542"/>
      <c r="D634" s="542"/>
      <c r="E634" s="542"/>
      <c r="F634" s="542"/>
      <c r="G634" s="543"/>
    </row>
    <row r="635">
      <c r="B635" s="542"/>
      <c r="C635" s="542"/>
      <c r="D635" s="542"/>
      <c r="E635" s="542"/>
      <c r="F635" s="542"/>
      <c r="G635" s="543"/>
    </row>
    <row r="636">
      <c r="B636" s="542"/>
      <c r="C636" s="542"/>
      <c r="D636" s="542"/>
      <c r="E636" s="542"/>
      <c r="F636" s="542"/>
      <c r="G636" s="543"/>
    </row>
    <row r="637">
      <c r="B637" s="542"/>
      <c r="C637" s="542"/>
      <c r="D637" s="542"/>
      <c r="E637" s="542"/>
      <c r="F637" s="542"/>
      <c r="G637" s="543"/>
    </row>
    <row r="638">
      <c r="B638" s="542"/>
      <c r="C638" s="542"/>
      <c r="D638" s="542"/>
      <c r="E638" s="542"/>
      <c r="F638" s="542"/>
      <c r="G638" s="543"/>
    </row>
    <row r="639">
      <c r="B639" s="542"/>
      <c r="C639" s="542"/>
      <c r="D639" s="542"/>
      <c r="E639" s="542"/>
      <c r="F639" s="542"/>
      <c r="G639" s="543"/>
    </row>
    <row r="640">
      <c r="B640" s="542"/>
      <c r="C640" s="542"/>
      <c r="D640" s="542"/>
      <c r="E640" s="542"/>
      <c r="F640" s="542"/>
      <c r="G640" s="543"/>
    </row>
    <row r="641">
      <c r="B641" s="542"/>
      <c r="C641" s="542"/>
      <c r="D641" s="542"/>
      <c r="E641" s="542"/>
      <c r="F641" s="542"/>
      <c r="G641" s="543"/>
    </row>
    <row r="642">
      <c r="B642" s="542"/>
      <c r="C642" s="542"/>
      <c r="D642" s="542"/>
      <c r="E642" s="542"/>
      <c r="F642" s="542"/>
      <c r="G642" s="543"/>
    </row>
    <row r="643">
      <c r="B643" s="542"/>
      <c r="C643" s="542"/>
      <c r="D643" s="542"/>
      <c r="E643" s="542"/>
      <c r="F643" s="542"/>
      <c r="G643" s="543"/>
    </row>
    <row r="644">
      <c r="B644" s="542"/>
      <c r="C644" s="542"/>
      <c r="D644" s="542"/>
      <c r="E644" s="542"/>
      <c r="F644" s="542"/>
      <c r="G644" s="543"/>
    </row>
    <row r="645">
      <c r="B645" s="542"/>
      <c r="C645" s="542"/>
      <c r="D645" s="542"/>
      <c r="E645" s="542"/>
      <c r="F645" s="542"/>
      <c r="G645" s="543"/>
    </row>
    <row r="646">
      <c r="B646" s="542"/>
      <c r="C646" s="542"/>
      <c r="D646" s="542"/>
      <c r="E646" s="542"/>
      <c r="F646" s="542"/>
      <c r="G646" s="543"/>
    </row>
    <row r="647">
      <c r="B647" s="542"/>
      <c r="C647" s="542"/>
      <c r="D647" s="542"/>
      <c r="E647" s="542"/>
      <c r="F647" s="542"/>
      <c r="G647" s="543"/>
    </row>
    <row r="648">
      <c r="B648" s="542"/>
      <c r="C648" s="542"/>
      <c r="D648" s="542"/>
      <c r="E648" s="542"/>
      <c r="F648" s="542"/>
      <c r="G648" s="543"/>
    </row>
    <row r="649">
      <c r="B649" s="542"/>
      <c r="C649" s="542"/>
      <c r="D649" s="542"/>
      <c r="E649" s="542"/>
      <c r="F649" s="542"/>
      <c r="G649" s="543"/>
    </row>
    <row r="650">
      <c r="B650" s="542"/>
      <c r="C650" s="542"/>
      <c r="D650" s="542"/>
      <c r="E650" s="542"/>
      <c r="F650" s="542"/>
      <c r="G650" s="543"/>
    </row>
    <row r="651">
      <c r="B651" s="542"/>
      <c r="C651" s="542"/>
      <c r="D651" s="542"/>
      <c r="E651" s="542"/>
      <c r="F651" s="542"/>
      <c r="G651" s="543"/>
    </row>
    <row r="652">
      <c r="B652" s="542"/>
      <c r="C652" s="542"/>
      <c r="D652" s="542"/>
      <c r="E652" s="542"/>
      <c r="F652" s="542"/>
      <c r="G652" s="543"/>
    </row>
    <row r="653">
      <c r="B653" s="542"/>
      <c r="C653" s="542"/>
      <c r="D653" s="542"/>
      <c r="E653" s="542"/>
      <c r="F653" s="542"/>
      <c r="G653" s="543"/>
    </row>
    <row r="654">
      <c r="B654" s="542"/>
      <c r="C654" s="542"/>
      <c r="D654" s="542"/>
      <c r="E654" s="542"/>
      <c r="F654" s="542"/>
      <c r="G654" s="543"/>
    </row>
    <row r="655">
      <c r="B655" s="542"/>
      <c r="C655" s="542"/>
      <c r="D655" s="542"/>
      <c r="E655" s="542"/>
      <c r="F655" s="542"/>
      <c r="G655" s="543"/>
    </row>
    <row r="656">
      <c r="B656" s="542"/>
      <c r="C656" s="542"/>
      <c r="D656" s="542"/>
      <c r="E656" s="542"/>
      <c r="F656" s="542"/>
      <c r="G656" s="543"/>
    </row>
    <row r="657">
      <c r="B657" s="542"/>
      <c r="C657" s="542"/>
      <c r="D657" s="542"/>
      <c r="E657" s="542"/>
      <c r="F657" s="542"/>
      <c r="G657" s="543"/>
    </row>
    <row r="658">
      <c r="B658" s="542"/>
      <c r="C658" s="542"/>
      <c r="D658" s="542"/>
      <c r="E658" s="542"/>
      <c r="F658" s="542"/>
      <c r="G658" s="543"/>
    </row>
    <row r="659">
      <c r="B659" s="542"/>
      <c r="C659" s="542"/>
      <c r="D659" s="542"/>
      <c r="E659" s="542"/>
      <c r="F659" s="542"/>
      <c r="G659" s="543"/>
    </row>
    <row r="660">
      <c r="B660" s="542"/>
      <c r="C660" s="542"/>
      <c r="D660" s="542"/>
      <c r="E660" s="542"/>
      <c r="F660" s="542"/>
      <c r="G660" s="543"/>
    </row>
    <row r="661">
      <c r="B661" s="542"/>
      <c r="C661" s="542"/>
      <c r="D661" s="542"/>
      <c r="E661" s="542"/>
      <c r="F661" s="542"/>
      <c r="G661" s="543"/>
    </row>
    <row r="662">
      <c r="B662" s="542"/>
      <c r="C662" s="542"/>
      <c r="D662" s="542"/>
      <c r="E662" s="542"/>
      <c r="F662" s="542"/>
      <c r="G662" s="543"/>
    </row>
    <row r="663">
      <c r="B663" s="542"/>
      <c r="C663" s="542"/>
      <c r="D663" s="542"/>
      <c r="E663" s="542"/>
      <c r="F663" s="542"/>
      <c r="G663" s="543"/>
    </row>
    <row r="664">
      <c r="B664" s="542"/>
      <c r="C664" s="542"/>
      <c r="D664" s="542"/>
      <c r="E664" s="542"/>
      <c r="F664" s="542"/>
      <c r="G664" s="543"/>
    </row>
    <row r="665">
      <c r="B665" s="542"/>
      <c r="C665" s="542"/>
      <c r="D665" s="542"/>
      <c r="E665" s="542"/>
      <c r="F665" s="542"/>
      <c r="G665" s="543"/>
    </row>
    <row r="666">
      <c r="B666" s="542"/>
      <c r="C666" s="542"/>
      <c r="D666" s="542"/>
      <c r="E666" s="542"/>
      <c r="F666" s="542"/>
      <c r="G666" s="543"/>
    </row>
    <row r="667">
      <c r="B667" s="542"/>
      <c r="C667" s="542"/>
      <c r="D667" s="542"/>
      <c r="E667" s="542"/>
      <c r="F667" s="542"/>
      <c r="G667" s="543"/>
    </row>
    <row r="668">
      <c r="B668" s="542"/>
      <c r="C668" s="542"/>
      <c r="D668" s="542"/>
      <c r="E668" s="542"/>
      <c r="F668" s="542"/>
      <c r="G668" s="543"/>
    </row>
    <row r="669">
      <c r="B669" s="542"/>
      <c r="C669" s="542"/>
      <c r="D669" s="542"/>
      <c r="E669" s="542"/>
      <c r="F669" s="542"/>
      <c r="G669" s="543"/>
    </row>
    <row r="670">
      <c r="B670" s="542"/>
      <c r="C670" s="542"/>
      <c r="D670" s="542"/>
      <c r="E670" s="542"/>
      <c r="F670" s="542"/>
      <c r="G670" s="543"/>
    </row>
    <row r="671">
      <c r="B671" s="542"/>
      <c r="C671" s="542"/>
      <c r="D671" s="542"/>
      <c r="E671" s="542"/>
      <c r="F671" s="542"/>
      <c r="G671" s="543"/>
    </row>
    <row r="672">
      <c r="B672" s="542"/>
      <c r="C672" s="542"/>
      <c r="D672" s="542"/>
      <c r="E672" s="542"/>
      <c r="F672" s="542"/>
      <c r="G672" s="543"/>
    </row>
    <row r="673">
      <c r="B673" s="542"/>
      <c r="C673" s="542"/>
      <c r="D673" s="542"/>
      <c r="E673" s="542"/>
      <c r="F673" s="542"/>
      <c r="G673" s="543"/>
    </row>
    <row r="674">
      <c r="B674" s="542"/>
      <c r="C674" s="542"/>
      <c r="D674" s="542"/>
      <c r="E674" s="542"/>
      <c r="F674" s="542"/>
      <c r="G674" s="543"/>
    </row>
    <row r="675">
      <c r="B675" s="542"/>
      <c r="C675" s="542"/>
      <c r="D675" s="542"/>
      <c r="E675" s="542"/>
      <c r="F675" s="542"/>
      <c r="G675" s="543"/>
    </row>
    <row r="676">
      <c r="B676" s="542"/>
      <c r="C676" s="542"/>
      <c r="D676" s="542"/>
      <c r="E676" s="542"/>
      <c r="F676" s="542"/>
      <c r="G676" s="543"/>
    </row>
    <row r="677">
      <c r="B677" s="542"/>
      <c r="C677" s="542"/>
      <c r="D677" s="542"/>
      <c r="E677" s="542"/>
      <c r="F677" s="542"/>
      <c r="G677" s="543"/>
    </row>
    <row r="678">
      <c r="B678" s="542"/>
      <c r="C678" s="542"/>
      <c r="D678" s="542"/>
      <c r="E678" s="542"/>
      <c r="F678" s="542"/>
      <c r="G678" s="543"/>
    </row>
    <row r="679">
      <c r="B679" s="542"/>
      <c r="C679" s="542"/>
      <c r="D679" s="542"/>
      <c r="E679" s="542"/>
      <c r="F679" s="542"/>
      <c r="G679" s="543"/>
    </row>
    <row r="680">
      <c r="B680" s="542"/>
      <c r="C680" s="542"/>
      <c r="D680" s="542"/>
      <c r="E680" s="542"/>
      <c r="F680" s="542"/>
      <c r="G680" s="543"/>
    </row>
    <row r="681">
      <c r="B681" s="542"/>
      <c r="C681" s="542"/>
      <c r="D681" s="542"/>
      <c r="E681" s="542"/>
      <c r="F681" s="542"/>
      <c r="G681" s="543"/>
    </row>
    <row r="682">
      <c r="B682" s="542"/>
      <c r="C682" s="542"/>
      <c r="D682" s="542"/>
      <c r="E682" s="542"/>
      <c r="F682" s="542"/>
      <c r="G682" s="543"/>
    </row>
    <row r="683">
      <c r="B683" s="542"/>
      <c r="C683" s="542"/>
      <c r="D683" s="542"/>
      <c r="E683" s="542"/>
      <c r="F683" s="542"/>
      <c r="G683" s="543"/>
    </row>
    <row r="684">
      <c r="B684" s="542"/>
      <c r="C684" s="542"/>
      <c r="D684" s="542"/>
      <c r="E684" s="542"/>
      <c r="F684" s="542"/>
      <c r="G684" s="543"/>
    </row>
    <row r="685">
      <c r="B685" s="542"/>
      <c r="C685" s="542"/>
      <c r="D685" s="542"/>
      <c r="E685" s="542"/>
      <c r="F685" s="542"/>
      <c r="G685" s="543"/>
    </row>
    <row r="686">
      <c r="B686" s="542"/>
      <c r="C686" s="542"/>
      <c r="D686" s="542"/>
      <c r="E686" s="542"/>
      <c r="F686" s="542"/>
      <c r="G686" s="543"/>
    </row>
    <row r="687">
      <c r="B687" s="542"/>
      <c r="C687" s="542"/>
      <c r="D687" s="542"/>
      <c r="E687" s="542"/>
      <c r="F687" s="542"/>
      <c r="G687" s="543"/>
    </row>
    <row r="688">
      <c r="B688" s="542"/>
      <c r="C688" s="542"/>
      <c r="D688" s="542"/>
      <c r="E688" s="542"/>
      <c r="F688" s="542"/>
      <c r="G688" s="543"/>
    </row>
    <row r="689">
      <c r="B689" s="542"/>
      <c r="C689" s="542"/>
      <c r="D689" s="542"/>
      <c r="E689" s="542"/>
      <c r="F689" s="542"/>
      <c r="G689" s="543"/>
    </row>
    <row r="690">
      <c r="B690" s="542"/>
      <c r="C690" s="542"/>
      <c r="D690" s="542"/>
      <c r="E690" s="542"/>
      <c r="F690" s="542"/>
      <c r="G690" s="543"/>
    </row>
    <row r="691">
      <c r="B691" s="542"/>
      <c r="C691" s="542"/>
      <c r="D691" s="542"/>
      <c r="E691" s="542"/>
      <c r="F691" s="542"/>
      <c r="G691" s="543"/>
    </row>
    <row r="692">
      <c r="B692" s="542"/>
      <c r="C692" s="542"/>
      <c r="D692" s="542"/>
      <c r="E692" s="542"/>
      <c r="F692" s="542"/>
      <c r="G692" s="543"/>
    </row>
    <row r="693">
      <c r="B693" s="542"/>
      <c r="C693" s="542"/>
      <c r="D693" s="542"/>
      <c r="E693" s="542"/>
      <c r="F693" s="542"/>
      <c r="G693" s="543"/>
    </row>
    <row r="694">
      <c r="B694" s="542"/>
      <c r="C694" s="542"/>
      <c r="D694" s="542"/>
      <c r="E694" s="542"/>
      <c r="F694" s="542"/>
      <c r="G694" s="543"/>
    </row>
    <row r="695">
      <c r="B695" s="542"/>
      <c r="C695" s="542"/>
      <c r="D695" s="542"/>
      <c r="E695" s="542"/>
      <c r="F695" s="542"/>
      <c r="G695" s="543"/>
    </row>
    <row r="696">
      <c r="B696" s="542"/>
      <c r="C696" s="542"/>
      <c r="D696" s="542"/>
      <c r="E696" s="542"/>
      <c r="F696" s="542"/>
      <c r="G696" s="543"/>
    </row>
    <row r="697">
      <c r="B697" s="542"/>
      <c r="C697" s="542"/>
      <c r="D697" s="542"/>
      <c r="E697" s="542"/>
      <c r="F697" s="542"/>
      <c r="G697" s="543"/>
    </row>
    <row r="698">
      <c r="B698" s="542"/>
      <c r="C698" s="542"/>
      <c r="D698" s="542"/>
      <c r="E698" s="542"/>
      <c r="F698" s="542"/>
      <c r="G698" s="543"/>
    </row>
    <row r="699">
      <c r="B699" s="542"/>
      <c r="C699" s="542"/>
      <c r="D699" s="542"/>
      <c r="E699" s="542"/>
      <c r="F699" s="542"/>
      <c r="G699" s="543"/>
    </row>
    <row r="700">
      <c r="B700" s="542"/>
      <c r="C700" s="542"/>
      <c r="D700" s="542"/>
      <c r="E700" s="542"/>
      <c r="F700" s="542"/>
      <c r="G700" s="543"/>
    </row>
    <row r="701">
      <c r="B701" s="542"/>
      <c r="C701" s="542"/>
      <c r="D701" s="542"/>
      <c r="E701" s="542"/>
      <c r="F701" s="542"/>
      <c r="G701" s="543"/>
    </row>
    <row r="702">
      <c r="B702" s="542"/>
      <c r="C702" s="542"/>
      <c r="D702" s="542"/>
      <c r="E702" s="542"/>
      <c r="F702" s="542"/>
      <c r="G702" s="543"/>
    </row>
    <row r="703">
      <c r="B703" s="542"/>
      <c r="C703" s="542"/>
      <c r="D703" s="542"/>
      <c r="E703" s="542"/>
      <c r="F703" s="542"/>
      <c r="G703" s="543"/>
    </row>
    <row r="704">
      <c r="B704" s="542"/>
      <c r="C704" s="542"/>
      <c r="D704" s="542"/>
      <c r="E704" s="542"/>
      <c r="F704" s="542"/>
      <c r="G704" s="543"/>
    </row>
    <row r="705">
      <c r="B705" s="542"/>
      <c r="C705" s="542"/>
      <c r="D705" s="542"/>
      <c r="E705" s="542"/>
      <c r="F705" s="542"/>
      <c r="G705" s="543"/>
    </row>
    <row r="706">
      <c r="B706" s="542"/>
      <c r="C706" s="542"/>
      <c r="D706" s="542"/>
      <c r="E706" s="542"/>
      <c r="F706" s="542"/>
      <c r="G706" s="543"/>
    </row>
    <row r="707">
      <c r="B707" s="542"/>
      <c r="C707" s="542"/>
      <c r="D707" s="542"/>
      <c r="E707" s="542"/>
      <c r="F707" s="542"/>
      <c r="G707" s="543"/>
    </row>
    <row r="708">
      <c r="B708" s="542"/>
      <c r="C708" s="542"/>
      <c r="D708" s="542"/>
      <c r="E708" s="542"/>
      <c r="F708" s="542"/>
      <c r="G708" s="543"/>
    </row>
    <row r="709">
      <c r="B709" s="542"/>
      <c r="C709" s="542"/>
      <c r="D709" s="542"/>
      <c r="E709" s="542"/>
      <c r="F709" s="542"/>
      <c r="G709" s="543"/>
    </row>
    <row r="710">
      <c r="B710" s="542"/>
      <c r="C710" s="542"/>
      <c r="D710" s="542"/>
      <c r="E710" s="542"/>
      <c r="F710" s="542"/>
      <c r="G710" s="543"/>
    </row>
    <row r="711">
      <c r="B711" s="542"/>
      <c r="C711" s="542"/>
      <c r="D711" s="542"/>
      <c r="E711" s="542"/>
      <c r="F711" s="542"/>
      <c r="G711" s="543"/>
    </row>
    <row r="712">
      <c r="B712" s="542"/>
      <c r="C712" s="542"/>
      <c r="D712" s="542"/>
      <c r="E712" s="542"/>
      <c r="F712" s="542"/>
      <c r="G712" s="543"/>
    </row>
    <row r="713">
      <c r="B713" s="542"/>
      <c r="C713" s="542"/>
      <c r="D713" s="542"/>
      <c r="E713" s="542"/>
      <c r="F713" s="542"/>
      <c r="G713" s="543"/>
    </row>
    <row r="714">
      <c r="B714" s="542"/>
      <c r="C714" s="542"/>
      <c r="D714" s="542"/>
      <c r="E714" s="542"/>
      <c r="F714" s="542"/>
      <c r="G714" s="543"/>
    </row>
    <row r="715">
      <c r="B715" s="542"/>
      <c r="C715" s="542"/>
      <c r="D715" s="542"/>
      <c r="E715" s="542"/>
      <c r="F715" s="542"/>
      <c r="G715" s="543"/>
    </row>
    <row r="716">
      <c r="B716" s="542"/>
      <c r="C716" s="542"/>
      <c r="D716" s="542"/>
      <c r="E716" s="542"/>
      <c r="F716" s="542"/>
      <c r="G716" s="543"/>
    </row>
    <row r="717">
      <c r="B717" s="542"/>
      <c r="C717" s="542"/>
      <c r="D717" s="542"/>
      <c r="E717" s="542"/>
      <c r="F717" s="542"/>
      <c r="G717" s="543"/>
    </row>
    <row r="718">
      <c r="B718" s="542"/>
      <c r="C718" s="542"/>
      <c r="D718" s="542"/>
      <c r="E718" s="542"/>
      <c r="F718" s="542"/>
      <c r="G718" s="543"/>
    </row>
    <row r="719">
      <c r="B719" s="542"/>
      <c r="C719" s="542"/>
      <c r="D719" s="542"/>
      <c r="E719" s="542"/>
      <c r="F719" s="542"/>
      <c r="G719" s="543"/>
    </row>
    <row r="720">
      <c r="B720" s="542"/>
      <c r="C720" s="542"/>
      <c r="D720" s="542"/>
      <c r="E720" s="542"/>
      <c r="F720" s="542"/>
      <c r="G720" s="543"/>
    </row>
    <row r="721">
      <c r="B721" s="542"/>
      <c r="C721" s="542"/>
      <c r="D721" s="542"/>
      <c r="E721" s="542"/>
      <c r="F721" s="542"/>
      <c r="G721" s="543"/>
    </row>
    <row r="722">
      <c r="B722" s="542"/>
      <c r="C722" s="542"/>
      <c r="D722" s="542"/>
      <c r="E722" s="542"/>
      <c r="F722" s="542"/>
      <c r="G722" s="543"/>
    </row>
    <row r="723">
      <c r="B723" s="542"/>
      <c r="C723" s="542"/>
      <c r="D723" s="542"/>
      <c r="E723" s="542"/>
      <c r="F723" s="542"/>
      <c r="G723" s="543"/>
    </row>
    <row r="724">
      <c r="B724" s="542"/>
      <c r="C724" s="542"/>
      <c r="D724" s="542"/>
      <c r="E724" s="542"/>
      <c r="F724" s="542"/>
      <c r="G724" s="543"/>
    </row>
    <row r="725">
      <c r="B725" s="542"/>
      <c r="C725" s="542"/>
      <c r="D725" s="542"/>
      <c r="E725" s="542"/>
      <c r="F725" s="542"/>
      <c r="G725" s="543"/>
    </row>
    <row r="726">
      <c r="B726" s="542"/>
      <c r="C726" s="542"/>
      <c r="D726" s="542"/>
      <c r="E726" s="542"/>
      <c r="F726" s="542"/>
      <c r="G726" s="543"/>
    </row>
    <row r="727">
      <c r="B727" s="542"/>
      <c r="C727" s="542"/>
      <c r="D727" s="542"/>
      <c r="E727" s="542"/>
      <c r="F727" s="542"/>
      <c r="G727" s="543"/>
    </row>
    <row r="728">
      <c r="B728" s="542"/>
      <c r="C728" s="542"/>
      <c r="D728" s="542"/>
      <c r="E728" s="542"/>
      <c r="F728" s="542"/>
      <c r="G728" s="543"/>
    </row>
    <row r="729">
      <c r="B729" s="542"/>
      <c r="C729" s="542"/>
      <c r="D729" s="542"/>
      <c r="E729" s="542"/>
      <c r="F729" s="542"/>
      <c r="G729" s="543"/>
    </row>
    <row r="730">
      <c r="B730" s="542"/>
      <c r="C730" s="542"/>
      <c r="D730" s="542"/>
      <c r="E730" s="542"/>
      <c r="F730" s="542"/>
      <c r="G730" s="543"/>
    </row>
    <row r="731">
      <c r="B731" s="542"/>
      <c r="C731" s="542"/>
      <c r="D731" s="542"/>
      <c r="E731" s="542"/>
      <c r="F731" s="542"/>
      <c r="G731" s="543"/>
    </row>
    <row r="732">
      <c r="B732" s="542"/>
      <c r="C732" s="542"/>
      <c r="D732" s="542"/>
      <c r="E732" s="542"/>
      <c r="F732" s="542"/>
      <c r="G732" s="543"/>
    </row>
    <row r="733">
      <c r="B733" s="542"/>
      <c r="C733" s="542"/>
      <c r="D733" s="542"/>
      <c r="E733" s="542"/>
      <c r="F733" s="542"/>
      <c r="G733" s="543"/>
    </row>
    <row r="734">
      <c r="B734" s="542"/>
      <c r="C734" s="542"/>
      <c r="D734" s="542"/>
      <c r="E734" s="542"/>
      <c r="F734" s="542"/>
      <c r="G734" s="543"/>
    </row>
    <row r="735">
      <c r="B735" s="542"/>
      <c r="C735" s="542"/>
      <c r="D735" s="542"/>
      <c r="E735" s="542"/>
      <c r="F735" s="542"/>
      <c r="G735" s="543"/>
    </row>
    <row r="736">
      <c r="B736" s="542"/>
      <c r="C736" s="542"/>
      <c r="D736" s="542"/>
      <c r="E736" s="542"/>
      <c r="F736" s="542"/>
      <c r="G736" s="543"/>
    </row>
    <row r="737">
      <c r="B737" s="542"/>
      <c r="C737" s="542"/>
      <c r="D737" s="542"/>
      <c r="E737" s="542"/>
      <c r="F737" s="542"/>
      <c r="G737" s="543"/>
    </row>
    <row r="738">
      <c r="B738" s="542"/>
      <c r="C738" s="542"/>
      <c r="D738" s="542"/>
      <c r="E738" s="542"/>
      <c r="F738" s="542"/>
      <c r="G738" s="543"/>
    </row>
    <row r="739">
      <c r="B739" s="542"/>
      <c r="C739" s="542"/>
      <c r="D739" s="542"/>
      <c r="E739" s="542"/>
      <c r="F739" s="542"/>
      <c r="G739" s="543"/>
    </row>
    <row r="740">
      <c r="B740" s="542"/>
      <c r="C740" s="542"/>
      <c r="D740" s="542"/>
      <c r="E740" s="542"/>
      <c r="F740" s="542"/>
      <c r="G740" s="543"/>
    </row>
    <row r="741">
      <c r="B741" s="542"/>
      <c r="C741" s="542"/>
      <c r="D741" s="542"/>
      <c r="E741" s="542"/>
      <c r="F741" s="542"/>
      <c r="G741" s="543"/>
    </row>
    <row r="742">
      <c r="B742" s="542"/>
      <c r="C742" s="542"/>
      <c r="D742" s="542"/>
      <c r="E742" s="542"/>
      <c r="F742" s="542"/>
      <c r="G742" s="543"/>
    </row>
    <row r="743">
      <c r="B743" s="542"/>
      <c r="C743" s="542"/>
      <c r="D743" s="542"/>
      <c r="E743" s="542"/>
      <c r="F743" s="542"/>
      <c r="G743" s="543"/>
    </row>
    <row r="744">
      <c r="B744" s="542"/>
      <c r="C744" s="542"/>
      <c r="D744" s="542"/>
      <c r="E744" s="542"/>
      <c r="F744" s="542"/>
      <c r="G744" s="543"/>
    </row>
    <row r="745">
      <c r="B745" s="542"/>
      <c r="C745" s="542"/>
      <c r="D745" s="542"/>
      <c r="E745" s="542"/>
      <c r="F745" s="542"/>
      <c r="G745" s="543"/>
    </row>
    <row r="746">
      <c r="B746" s="542"/>
      <c r="C746" s="542"/>
      <c r="D746" s="542"/>
      <c r="E746" s="542"/>
      <c r="F746" s="542"/>
      <c r="G746" s="543"/>
    </row>
    <row r="747">
      <c r="B747" s="542"/>
      <c r="C747" s="542"/>
      <c r="D747" s="542"/>
      <c r="E747" s="542"/>
      <c r="F747" s="542"/>
      <c r="G747" s="543"/>
    </row>
    <row r="748">
      <c r="B748" s="542"/>
      <c r="C748" s="542"/>
      <c r="D748" s="542"/>
      <c r="E748" s="542"/>
      <c r="F748" s="542"/>
      <c r="G748" s="543"/>
    </row>
    <row r="749">
      <c r="B749" s="542"/>
      <c r="C749" s="542"/>
      <c r="D749" s="542"/>
      <c r="E749" s="542"/>
      <c r="F749" s="542"/>
      <c r="G749" s="543"/>
    </row>
    <row r="750">
      <c r="B750" s="542"/>
      <c r="C750" s="542"/>
      <c r="D750" s="542"/>
      <c r="E750" s="542"/>
      <c r="F750" s="542"/>
      <c r="G750" s="543"/>
    </row>
    <row r="751">
      <c r="B751" s="542"/>
      <c r="C751" s="542"/>
      <c r="D751" s="542"/>
      <c r="E751" s="542"/>
      <c r="F751" s="542"/>
      <c r="G751" s="543"/>
    </row>
    <row r="752">
      <c r="B752" s="542"/>
      <c r="C752" s="542"/>
      <c r="D752" s="542"/>
      <c r="E752" s="542"/>
      <c r="F752" s="542"/>
      <c r="G752" s="543"/>
    </row>
    <row r="753">
      <c r="B753" s="542"/>
      <c r="C753" s="542"/>
      <c r="D753" s="542"/>
      <c r="E753" s="542"/>
      <c r="F753" s="542"/>
      <c r="G753" s="543"/>
    </row>
    <row r="754">
      <c r="B754" s="542"/>
      <c r="C754" s="542"/>
      <c r="D754" s="542"/>
      <c r="E754" s="542"/>
      <c r="F754" s="542"/>
      <c r="G754" s="543"/>
    </row>
    <row r="755">
      <c r="B755" s="542"/>
      <c r="C755" s="542"/>
      <c r="D755" s="542"/>
      <c r="E755" s="542"/>
      <c r="F755" s="542"/>
      <c r="G755" s="543"/>
    </row>
    <row r="756">
      <c r="B756" s="542"/>
      <c r="C756" s="542"/>
      <c r="D756" s="542"/>
      <c r="E756" s="542"/>
      <c r="F756" s="542"/>
      <c r="G756" s="543"/>
    </row>
    <row r="757">
      <c r="B757" s="542"/>
      <c r="C757" s="542"/>
      <c r="D757" s="542"/>
      <c r="E757" s="542"/>
      <c r="F757" s="542"/>
      <c r="G757" s="543"/>
    </row>
    <row r="758">
      <c r="B758" s="542"/>
      <c r="C758" s="542"/>
      <c r="D758" s="542"/>
      <c r="E758" s="542"/>
      <c r="F758" s="542"/>
      <c r="G758" s="543"/>
    </row>
    <row r="759">
      <c r="B759" s="542"/>
      <c r="C759" s="542"/>
      <c r="D759" s="542"/>
      <c r="E759" s="542"/>
      <c r="F759" s="542"/>
      <c r="G759" s="543"/>
    </row>
    <row r="760">
      <c r="B760" s="542"/>
      <c r="C760" s="542"/>
      <c r="D760" s="542"/>
      <c r="E760" s="542"/>
      <c r="F760" s="542"/>
      <c r="G760" s="543"/>
    </row>
    <row r="761">
      <c r="B761" s="542"/>
      <c r="C761" s="542"/>
      <c r="D761" s="542"/>
      <c r="E761" s="542"/>
      <c r="F761" s="542"/>
      <c r="G761" s="543"/>
    </row>
    <row r="762">
      <c r="B762" s="542"/>
      <c r="C762" s="542"/>
      <c r="D762" s="542"/>
      <c r="E762" s="542"/>
      <c r="F762" s="542"/>
      <c r="G762" s="543"/>
    </row>
    <row r="763">
      <c r="B763" s="542"/>
      <c r="C763" s="542"/>
      <c r="D763" s="542"/>
      <c r="E763" s="542"/>
      <c r="F763" s="542"/>
      <c r="G763" s="543"/>
    </row>
    <row r="764">
      <c r="B764" s="542"/>
      <c r="C764" s="542"/>
      <c r="D764" s="542"/>
      <c r="E764" s="542"/>
      <c r="F764" s="542"/>
      <c r="G764" s="543"/>
    </row>
    <row r="765">
      <c r="B765" s="542"/>
      <c r="C765" s="542"/>
      <c r="D765" s="542"/>
      <c r="E765" s="542"/>
      <c r="F765" s="542"/>
      <c r="G765" s="543"/>
    </row>
    <row r="766">
      <c r="B766" s="542"/>
      <c r="C766" s="542"/>
      <c r="D766" s="542"/>
      <c r="E766" s="542"/>
      <c r="F766" s="542"/>
      <c r="G766" s="543"/>
    </row>
    <row r="767">
      <c r="B767" s="542"/>
      <c r="C767" s="542"/>
      <c r="D767" s="542"/>
      <c r="E767" s="542"/>
      <c r="F767" s="542"/>
      <c r="G767" s="543"/>
    </row>
    <row r="768">
      <c r="B768" s="542"/>
      <c r="C768" s="542"/>
      <c r="D768" s="542"/>
      <c r="E768" s="542"/>
      <c r="F768" s="542"/>
      <c r="G768" s="543"/>
    </row>
    <row r="769">
      <c r="B769" s="542"/>
      <c r="C769" s="542"/>
      <c r="D769" s="542"/>
      <c r="E769" s="542"/>
      <c r="F769" s="542"/>
      <c r="G769" s="543"/>
    </row>
    <row r="770">
      <c r="B770" s="542"/>
      <c r="C770" s="542"/>
      <c r="D770" s="542"/>
      <c r="E770" s="542"/>
      <c r="F770" s="542"/>
      <c r="G770" s="543"/>
    </row>
    <row r="771">
      <c r="B771" s="542"/>
      <c r="C771" s="542"/>
      <c r="D771" s="542"/>
      <c r="E771" s="542"/>
      <c r="F771" s="542"/>
      <c r="G771" s="543"/>
    </row>
    <row r="772">
      <c r="B772" s="542"/>
      <c r="C772" s="542"/>
      <c r="D772" s="542"/>
      <c r="E772" s="542"/>
      <c r="F772" s="542"/>
      <c r="G772" s="543"/>
    </row>
    <row r="773">
      <c r="B773" s="542"/>
      <c r="C773" s="542"/>
      <c r="D773" s="542"/>
      <c r="E773" s="542"/>
      <c r="F773" s="542"/>
      <c r="G773" s="543"/>
    </row>
    <row r="774">
      <c r="B774" s="542"/>
      <c r="C774" s="542"/>
      <c r="D774" s="542"/>
      <c r="E774" s="542"/>
      <c r="F774" s="542"/>
      <c r="G774" s="543"/>
    </row>
    <row r="775">
      <c r="B775" s="542"/>
      <c r="C775" s="542"/>
      <c r="D775" s="542"/>
      <c r="E775" s="542"/>
      <c r="F775" s="542"/>
      <c r="G775" s="543"/>
    </row>
    <row r="776">
      <c r="B776" s="542"/>
      <c r="C776" s="542"/>
      <c r="D776" s="542"/>
      <c r="E776" s="542"/>
      <c r="F776" s="542"/>
      <c r="G776" s="543"/>
    </row>
    <row r="777">
      <c r="B777" s="542"/>
      <c r="C777" s="542"/>
      <c r="D777" s="542"/>
      <c r="E777" s="542"/>
      <c r="F777" s="542"/>
      <c r="G777" s="543"/>
    </row>
    <row r="778">
      <c r="B778" s="542"/>
      <c r="C778" s="542"/>
      <c r="D778" s="542"/>
      <c r="E778" s="542"/>
      <c r="F778" s="542"/>
      <c r="G778" s="543"/>
    </row>
    <row r="779">
      <c r="B779" s="542"/>
      <c r="C779" s="542"/>
      <c r="D779" s="542"/>
      <c r="E779" s="542"/>
      <c r="F779" s="542"/>
      <c r="G779" s="543"/>
    </row>
    <row r="780">
      <c r="B780" s="542"/>
      <c r="C780" s="542"/>
      <c r="D780" s="542"/>
      <c r="E780" s="542"/>
      <c r="F780" s="542"/>
      <c r="G780" s="543"/>
    </row>
    <row r="781">
      <c r="B781" s="542"/>
      <c r="C781" s="542"/>
      <c r="D781" s="542"/>
      <c r="E781" s="542"/>
      <c r="F781" s="542"/>
      <c r="G781" s="543"/>
    </row>
    <row r="782">
      <c r="B782" s="542"/>
      <c r="C782" s="542"/>
      <c r="D782" s="542"/>
      <c r="E782" s="542"/>
      <c r="F782" s="542"/>
      <c r="G782" s="543"/>
    </row>
    <row r="783">
      <c r="B783" s="542"/>
      <c r="C783" s="542"/>
      <c r="D783" s="542"/>
      <c r="E783" s="542"/>
      <c r="F783" s="542"/>
      <c r="G783" s="543"/>
    </row>
    <row r="784">
      <c r="B784" s="542"/>
      <c r="C784" s="542"/>
      <c r="D784" s="542"/>
      <c r="E784" s="542"/>
      <c r="F784" s="542"/>
      <c r="G784" s="543"/>
    </row>
    <row r="785">
      <c r="B785" s="542"/>
      <c r="C785" s="542"/>
      <c r="D785" s="542"/>
      <c r="E785" s="542"/>
      <c r="F785" s="542"/>
      <c r="G785" s="543"/>
    </row>
    <row r="786">
      <c r="B786" s="542"/>
      <c r="C786" s="542"/>
      <c r="D786" s="542"/>
      <c r="E786" s="542"/>
      <c r="F786" s="542"/>
      <c r="G786" s="543"/>
    </row>
    <row r="787">
      <c r="B787" s="542"/>
      <c r="C787" s="542"/>
      <c r="D787" s="542"/>
      <c r="E787" s="542"/>
      <c r="F787" s="542"/>
      <c r="G787" s="543"/>
    </row>
    <row r="788">
      <c r="B788" s="542"/>
      <c r="C788" s="542"/>
      <c r="D788" s="542"/>
      <c r="E788" s="542"/>
      <c r="F788" s="542"/>
      <c r="G788" s="543"/>
    </row>
    <row r="789">
      <c r="B789" s="542"/>
      <c r="C789" s="542"/>
      <c r="D789" s="542"/>
      <c r="E789" s="542"/>
      <c r="F789" s="542"/>
      <c r="G789" s="543"/>
    </row>
    <row r="790">
      <c r="B790" s="542"/>
      <c r="C790" s="542"/>
      <c r="D790" s="542"/>
      <c r="E790" s="542"/>
      <c r="F790" s="542"/>
      <c r="G790" s="543"/>
    </row>
    <row r="791">
      <c r="B791" s="542"/>
      <c r="C791" s="542"/>
      <c r="D791" s="542"/>
      <c r="E791" s="542"/>
      <c r="F791" s="542"/>
      <c r="G791" s="543"/>
    </row>
    <row r="792">
      <c r="B792" s="542"/>
      <c r="C792" s="542"/>
      <c r="D792" s="542"/>
      <c r="E792" s="542"/>
      <c r="F792" s="542"/>
      <c r="G792" s="543"/>
    </row>
    <row r="793">
      <c r="B793" s="542"/>
      <c r="C793" s="542"/>
      <c r="D793" s="542"/>
      <c r="E793" s="542"/>
      <c r="F793" s="542"/>
      <c r="G793" s="543"/>
    </row>
    <row r="794">
      <c r="B794" s="542"/>
      <c r="C794" s="542"/>
      <c r="D794" s="542"/>
      <c r="E794" s="542"/>
      <c r="F794" s="542"/>
      <c r="G794" s="543"/>
    </row>
    <row r="795">
      <c r="B795" s="542"/>
      <c r="C795" s="542"/>
      <c r="D795" s="542"/>
      <c r="E795" s="542"/>
      <c r="F795" s="542"/>
      <c r="G795" s="543"/>
    </row>
    <row r="796">
      <c r="B796" s="542"/>
      <c r="C796" s="542"/>
      <c r="D796" s="542"/>
      <c r="E796" s="542"/>
      <c r="F796" s="542"/>
      <c r="G796" s="543"/>
    </row>
    <row r="797">
      <c r="B797" s="542"/>
      <c r="C797" s="542"/>
      <c r="D797" s="542"/>
      <c r="E797" s="542"/>
      <c r="F797" s="542"/>
      <c r="G797" s="543"/>
    </row>
    <row r="798">
      <c r="B798" s="542"/>
      <c r="C798" s="542"/>
      <c r="D798" s="542"/>
      <c r="E798" s="542"/>
      <c r="F798" s="542"/>
      <c r="G798" s="543"/>
    </row>
    <row r="799">
      <c r="B799" s="542"/>
      <c r="C799" s="542"/>
      <c r="D799" s="542"/>
      <c r="E799" s="542"/>
      <c r="F799" s="542"/>
      <c r="G799" s="543"/>
    </row>
    <row r="800">
      <c r="B800" s="542"/>
      <c r="C800" s="542"/>
      <c r="D800" s="542"/>
      <c r="E800" s="542"/>
      <c r="F800" s="542"/>
      <c r="G800" s="543"/>
    </row>
    <row r="801">
      <c r="B801" s="542"/>
      <c r="C801" s="542"/>
      <c r="D801" s="542"/>
      <c r="E801" s="542"/>
      <c r="F801" s="542"/>
      <c r="G801" s="543"/>
    </row>
    <row r="802">
      <c r="B802" s="542"/>
      <c r="C802" s="542"/>
      <c r="D802" s="542"/>
      <c r="E802" s="542"/>
      <c r="F802" s="542"/>
      <c r="G802" s="543"/>
    </row>
    <row r="803">
      <c r="B803" s="542"/>
      <c r="C803" s="542"/>
      <c r="D803" s="542"/>
      <c r="E803" s="542"/>
      <c r="F803" s="542"/>
      <c r="G803" s="543"/>
    </row>
    <row r="804">
      <c r="B804" s="542"/>
      <c r="C804" s="542"/>
      <c r="D804" s="542"/>
      <c r="E804" s="542"/>
      <c r="F804" s="542"/>
      <c r="G804" s="543"/>
    </row>
    <row r="805">
      <c r="B805" s="542"/>
      <c r="C805" s="542"/>
      <c r="D805" s="542"/>
      <c r="E805" s="542"/>
      <c r="F805" s="542"/>
      <c r="G805" s="543"/>
    </row>
    <row r="806">
      <c r="B806" s="542"/>
      <c r="C806" s="542"/>
      <c r="D806" s="542"/>
      <c r="E806" s="542"/>
      <c r="F806" s="542"/>
      <c r="G806" s="543"/>
    </row>
    <row r="807">
      <c r="B807" s="542"/>
      <c r="C807" s="542"/>
      <c r="D807" s="542"/>
      <c r="E807" s="542"/>
      <c r="F807" s="542"/>
      <c r="G807" s="543"/>
    </row>
    <row r="808">
      <c r="B808" s="542"/>
      <c r="C808" s="542"/>
      <c r="D808" s="542"/>
      <c r="E808" s="542"/>
      <c r="F808" s="542"/>
      <c r="G808" s="543"/>
    </row>
    <row r="809">
      <c r="B809" s="542"/>
      <c r="C809" s="542"/>
      <c r="D809" s="542"/>
      <c r="E809" s="542"/>
      <c r="F809" s="542"/>
      <c r="G809" s="543"/>
    </row>
    <row r="810">
      <c r="B810" s="542"/>
      <c r="C810" s="542"/>
      <c r="D810" s="542"/>
      <c r="E810" s="542"/>
      <c r="F810" s="542"/>
      <c r="G810" s="543"/>
    </row>
    <row r="811">
      <c r="B811" s="542"/>
      <c r="C811" s="542"/>
      <c r="D811" s="542"/>
      <c r="E811" s="542"/>
      <c r="F811" s="542"/>
      <c r="G811" s="543"/>
    </row>
    <row r="812">
      <c r="B812" s="542"/>
      <c r="C812" s="542"/>
      <c r="D812" s="542"/>
      <c r="E812" s="542"/>
      <c r="F812" s="542"/>
      <c r="G812" s="543"/>
    </row>
    <row r="813">
      <c r="B813" s="542"/>
      <c r="C813" s="542"/>
      <c r="D813" s="542"/>
      <c r="E813" s="542"/>
      <c r="F813" s="542"/>
      <c r="G813" s="543"/>
    </row>
    <row r="814">
      <c r="B814" s="542"/>
      <c r="C814" s="542"/>
      <c r="D814" s="542"/>
      <c r="E814" s="542"/>
      <c r="F814" s="542"/>
      <c r="G814" s="543"/>
    </row>
    <row r="815">
      <c r="B815" s="542"/>
      <c r="C815" s="542"/>
      <c r="D815" s="542"/>
      <c r="E815" s="542"/>
      <c r="F815" s="542"/>
      <c r="G815" s="543"/>
    </row>
    <row r="816">
      <c r="B816" s="542"/>
      <c r="C816" s="542"/>
      <c r="D816" s="542"/>
      <c r="E816" s="542"/>
      <c r="F816" s="542"/>
      <c r="G816" s="543"/>
    </row>
    <row r="817">
      <c r="B817" s="542"/>
      <c r="C817" s="542"/>
      <c r="D817" s="542"/>
      <c r="E817" s="542"/>
      <c r="F817" s="542"/>
      <c r="G817" s="543"/>
    </row>
    <row r="818">
      <c r="B818" s="542"/>
      <c r="C818" s="542"/>
      <c r="D818" s="542"/>
      <c r="E818" s="542"/>
      <c r="F818" s="542"/>
      <c r="G818" s="543"/>
    </row>
    <row r="819">
      <c r="B819" s="542"/>
      <c r="C819" s="542"/>
      <c r="D819" s="542"/>
      <c r="E819" s="542"/>
      <c r="F819" s="542"/>
      <c r="G819" s="543"/>
    </row>
    <row r="820">
      <c r="B820" s="542"/>
      <c r="C820" s="542"/>
      <c r="D820" s="542"/>
      <c r="E820" s="542"/>
      <c r="F820" s="542"/>
      <c r="G820" s="543"/>
    </row>
    <row r="821">
      <c r="B821" s="542"/>
      <c r="C821" s="542"/>
      <c r="D821" s="542"/>
      <c r="E821" s="542"/>
      <c r="F821" s="542"/>
      <c r="G821" s="543"/>
    </row>
    <row r="822">
      <c r="B822" s="542"/>
      <c r="C822" s="542"/>
      <c r="D822" s="542"/>
      <c r="E822" s="542"/>
      <c r="F822" s="542"/>
      <c r="G822" s="543"/>
    </row>
    <row r="823">
      <c r="B823" s="542"/>
      <c r="C823" s="542"/>
      <c r="D823" s="542"/>
      <c r="E823" s="542"/>
      <c r="F823" s="542"/>
      <c r="G823" s="543"/>
    </row>
    <row r="824">
      <c r="B824" s="542"/>
      <c r="C824" s="542"/>
      <c r="D824" s="542"/>
      <c r="E824" s="542"/>
      <c r="F824" s="542"/>
      <c r="G824" s="543"/>
    </row>
    <row r="825">
      <c r="B825" s="542"/>
      <c r="C825" s="542"/>
      <c r="D825" s="542"/>
      <c r="E825" s="542"/>
      <c r="F825" s="542"/>
      <c r="G825" s="543"/>
    </row>
    <row r="826">
      <c r="B826" s="542"/>
      <c r="C826" s="542"/>
      <c r="D826" s="542"/>
      <c r="E826" s="542"/>
      <c r="F826" s="542"/>
      <c r="G826" s="543"/>
    </row>
    <row r="827">
      <c r="B827" s="542"/>
      <c r="C827" s="542"/>
      <c r="D827" s="542"/>
      <c r="E827" s="542"/>
      <c r="F827" s="542"/>
      <c r="G827" s="543"/>
    </row>
    <row r="828">
      <c r="B828" s="542"/>
      <c r="C828" s="542"/>
      <c r="D828" s="542"/>
      <c r="E828" s="542"/>
      <c r="F828" s="542"/>
      <c r="G828" s="543"/>
    </row>
    <row r="829">
      <c r="B829" s="542"/>
      <c r="C829" s="542"/>
      <c r="D829" s="542"/>
      <c r="E829" s="542"/>
      <c r="F829" s="542"/>
      <c r="G829" s="543"/>
    </row>
    <row r="830">
      <c r="B830" s="542"/>
      <c r="C830" s="542"/>
      <c r="D830" s="542"/>
      <c r="E830" s="542"/>
      <c r="F830" s="542"/>
      <c r="G830" s="543"/>
    </row>
    <row r="831">
      <c r="B831" s="542"/>
      <c r="C831" s="542"/>
      <c r="D831" s="542"/>
      <c r="E831" s="542"/>
      <c r="F831" s="542"/>
      <c r="G831" s="543"/>
    </row>
    <row r="832">
      <c r="B832" s="542"/>
      <c r="C832" s="542"/>
      <c r="D832" s="542"/>
      <c r="E832" s="542"/>
      <c r="F832" s="542"/>
      <c r="G832" s="543"/>
    </row>
    <row r="833">
      <c r="B833" s="542"/>
      <c r="C833" s="542"/>
      <c r="D833" s="542"/>
      <c r="E833" s="542"/>
      <c r="F833" s="542"/>
      <c r="G833" s="543"/>
    </row>
    <row r="834">
      <c r="B834" s="542"/>
      <c r="C834" s="542"/>
      <c r="D834" s="542"/>
      <c r="E834" s="542"/>
      <c r="F834" s="542"/>
      <c r="G834" s="543"/>
    </row>
    <row r="835">
      <c r="B835" s="542"/>
      <c r="C835" s="542"/>
      <c r="D835" s="542"/>
      <c r="E835" s="542"/>
      <c r="F835" s="542"/>
      <c r="G835" s="543"/>
    </row>
    <row r="836">
      <c r="B836" s="542"/>
      <c r="C836" s="542"/>
      <c r="D836" s="542"/>
      <c r="E836" s="542"/>
      <c r="F836" s="542"/>
      <c r="G836" s="543"/>
    </row>
    <row r="837">
      <c r="B837" s="542"/>
      <c r="C837" s="542"/>
      <c r="D837" s="542"/>
      <c r="E837" s="542"/>
      <c r="F837" s="542"/>
      <c r="G837" s="543"/>
    </row>
    <row r="838">
      <c r="B838" s="542"/>
      <c r="C838" s="542"/>
      <c r="D838" s="542"/>
      <c r="E838" s="542"/>
      <c r="F838" s="542"/>
      <c r="G838" s="543"/>
    </row>
    <row r="839">
      <c r="B839" s="542"/>
      <c r="C839" s="542"/>
      <c r="D839" s="542"/>
      <c r="E839" s="542"/>
      <c r="F839" s="542"/>
      <c r="G839" s="543"/>
    </row>
    <row r="840">
      <c r="B840" s="542"/>
      <c r="C840" s="542"/>
      <c r="D840" s="542"/>
      <c r="E840" s="542"/>
      <c r="F840" s="542"/>
      <c r="G840" s="543"/>
    </row>
    <row r="841">
      <c r="B841" s="542"/>
      <c r="C841" s="542"/>
      <c r="D841" s="542"/>
      <c r="E841" s="542"/>
      <c r="F841" s="542"/>
      <c r="G841" s="543"/>
    </row>
    <row r="842">
      <c r="B842" s="542"/>
      <c r="C842" s="542"/>
      <c r="D842" s="542"/>
      <c r="E842" s="542"/>
      <c r="F842" s="542"/>
      <c r="G842" s="543"/>
    </row>
    <row r="843">
      <c r="B843" s="542"/>
      <c r="C843" s="542"/>
      <c r="D843" s="542"/>
      <c r="E843" s="542"/>
      <c r="F843" s="542"/>
      <c r="G843" s="543"/>
    </row>
    <row r="844">
      <c r="B844" s="542"/>
      <c r="C844" s="542"/>
      <c r="D844" s="542"/>
      <c r="E844" s="542"/>
      <c r="F844" s="542"/>
      <c r="G844" s="543"/>
    </row>
    <row r="845">
      <c r="B845" s="542"/>
      <c r="C845" s="542"/>
      <c r="D845" s="542"/>
      <c r="E845" s="542"/>
      <c r="F845" s="542"/>
      <c r="G845" s="543"/>
    </row>
    <row r="846">
      <c r="B846" s="542"/>
      <c r="C846" s="542"/>
      <c r="D846" s="542"/>
      <c r="E846" s="542"/>
      <c r="F846" s="542"/>
      <c r="G846" s="543"/>
    </row>
    <row r="847">
      <c r="B847" s="542"/>
      <c r="C847" s="542"/>
      <c r="D847" s="542"/>
      <c r="E847" s="542"/>
      <c r="F847" s="542"/>
      <c r="G847" s="543"/>
    </row>
    <row r="848">
      <c r="B848" s="542"/>
      <c r="C848" s="542"/>
      <c r="D848" s="542"/>
      <c r="E848" s="542"/>
      <c r="F848" s="542"/>
      <c r="G848" s="543"/>
    </row>
    <row r="849">
      <c r="B849" s="542"/>
      <c r="C849" s="542"/>
      <c r="D849" s="542"/>
      <c r="E849" s="542"/>
      <c r="F849" s="542"/>
      <c r="G849" s="543"/>
    </row>
    <row r="850">
      <c r="B850" s="542"/>
      <c r="C850" s="542"/>
      <c r="D850" s="542"/>
      <c r="E850" s="542"/>
      <c r="F850" s="542"/>
      <c r="G850" s="543"/>
    </row>
    <row r="851">
      <c r="B851" s="542"/>
      <c r="C851" s="542"/>
      <c r="D851" s="542"/>
      <c r="E851" s="542"/>
      <c r="F851" s="542"/>
      <c r="G851" s="543"/>
    </row>
    <row r="852">
      <c r="B852" s="542"/>
      <c r="C852" s="542"/>
      <c r="D852" s="542"/>
      <c r="E852" s="542"/>
      <c r="F852" s="542"/>
      <c r="G852" s="543"/>
    </row>
    <row r="853">
      <c r="B853" s="542"/>
      <c r="C853" s="542"/>
      <c r="D853" s="542"/>
      <c r="E853" s="542"/>
      <c r="F853" s="542"/>
      <c r="G853" s="543"/>
    </row>
    <row r="854">
      <c r="B854" s="542"/>
      <c r="C854" s="542"/>
      <c r="D854" s="542"/>
      <c r="E854" s="542"/>
      <c r="F854" s="542"/>
      <c r="G854" s="543"/>
    </row>
    <row r="855">
      <c r="B855" s="542"/>
      <c r="C855" s="542"/>
      <c r="D855" s="542"/>
      <c r="E855" s="542"/>
      <c r="F855" s="542"/>
      <c r="G855" s="543"/>
    </row>
    <row r="856">
      <c r="B856" s="542"/>
      <c r="C856" s="542"/>
      <c r="D856" s="542"/>
      <c r="E856" s="542"/>
      <c r="F856" s="542"/>
      <c r="G856" s="543"/>
    </row>
    <row r="857">
      <c r="B857" s="542"/>
      <c r="C857" s="542"/>
      <c r="D857" s="542"/>
      <c r="E857" s="542"/>
      <c r="F857" s="542"/>
      <c r="G857" s="543"/>
    </row>
    <row r="858">
      <c r="B858" s="542"/>
      <c r="C858" s="542"/>
      <c r="D858" s="542"/>
      <c r="E858" s="542"/>
      <c r="F858" s="542"/>
      <c r="G858" s="543"/>
    </row>
    <row r="859">
      <c r="B859" s="542"/>
      <c r="C859" s="542"/>
      <c r="D859" s="542"/>
      <c r="E859" s="542"/>
      <c r="F859" s="542"/>
      <c r="G859" s="543"/>
    </row>
    <row r="860">
      <c r="B860" s="542"/>
      <c r="C860" s="542"/>
      <c r="D860" s="542"/>
      <c r="E860" s="542"/>
      <c r="F860" s="542"/>
      <c r="G860" s="543"/>
    </row>
    <row r="861">
      <c r="B861" s="542"/>
      <c r="C861" s="542"/>
      <c r="D861" s="542"/>
      <c r="E861" s="542"/>
      <c r="F861" s="542"/>
      <c r="G861" s="543"/>
    </row>
    <row r="862">
      <c r="B862" s="542"/>
      <c r="C862" s="542"/>
      <c r="D862" s="542"/>
      <c r="E862" s="542"/>
      <c r="F862" s="542"/>
      <c r="G862" s="543"/>
    </row>
    <row r="863">
      <c r="B863" s="542"/>
      <c r="C863" s="542"/>
      <c r="D863" s="542"/>
      <c r="E863" s="542"/>
      <c r="F863" s="542"/>
      <c r="G863" s="543"/>
    </row>
    <row r="864">
      <c r="B864" s="542"/>
      <c r="C864" s="542"/>
      <c r="D864" s="542"/>
      <c r="E864" s="542"/>
      <c r="F864" s="542"/>
      <c r="G864" s="543"/>
    </row>
    <row r="865">
      <c r="B865" s="542"/>
      <c r="C865" s="542"/>
      <c r="D865" s="542"/>
      <c r="E865" s="542"/>
      <c r="F865" s="542"/>
      <c r="G865" s="543"/>
    </row>
    <row r="866">
      <c r="B866" s="542"/>
      <c r="C866" s="542"/>
      <c r="D866" s="542"/>
      <c r="E866" s="542"/>
      <c r="F866" s="542"/>
      <c r="G866" s="543"/>
    </row>
    <row r="867">
      <c r="B867" s="542"/>
      <c r="C867" s="542"/>
      <c r="D867" s="542"/>
      <c r="E867" s="542"/>
      <c r="F867" s="542"/>
      <c r="G867" s="543"/>
    </row>
    <row r="868">
      <c r="B868" s="542"/>
      <c r="C868" s="542"/>
      <c r="D868" s="542"/>
      <c r="E868" s="542"/>
      <c r="F868" s="542"/>
      <c r="G868" s="543"/>
    </row>
    <row r="869">
      <c r="B869" s="542"/>
      <c r="C869" s="542"/>
      <c r="D869" s="542"/>
      <c r="E869" s="542"/>
      <c r="F869" s="542"/>
      <c r="G869" s="543"/>
    </row>
    <row r="870">
      <c r="B870" s="542"/>
      <c r="C870" s="542"/>
      <c r="D870" s="542"/>
      <c r="E870" s="542"/>
      <c r="F870" s="542"/>
      <c r="G870" s="543"/>
    </row>
    <row r="871">
      <c r="B871" s="542"/>
      <c r="C871" s="542"/>
      <c r="D871" s="542"/>
      <c r="E871" s="542"/>
      <c r="F871" s="542"/>
      <c r="G871" s="543"/>
    </row>
    <row r="872">
      <c r="B872" s="542"/>
      <c r="C872" s="542"/>
      <c r="D872" s="542"/>
      <c r="E872" s="542"/>
      <c r="F872" s="542"/>
      <c r="G872" s="543"/>
    </row>
    <row r="873">
      <c r="B873" s="542"/>
      <c r="C873" s="542"/>
      <c r="D873" s="542"/>
      <c r="E873" s="542"/>
      <c r="F873" s="542"/>
      <c r="G873" s="543"/>
    </row>
    <row r="874">
      <c r="B874" s="542"/>
      <c r="C874" s="542"/>
      <c r="D874" s="542"/>
      <c r="E874" s="542"/>
      <c r="F874" s="542"/>
      <c r="G874" s="543"/>
    </row>
    <row r="875">
      <c r="B875" s="542"/>
      <c r="C875" s="542"/>
      <c r="D875" s="542"/>
      <c r="E875" s="542"/>
      <c r="F875" s="542"/>
      <c r="G875" s="543"/>
    </row>
    <row r="876">
      <c r="B876" s="542"/>
      <c r="C876" s="542"/>
      <c r="D876" s="542"/>
      <c r="E876" s="542"/>
      <c r="F876" s="542"/>
      <c r="G876" s="543"/>
    </row>
    <row r="877">
      <c r="B877" s="542"/>
      <c r="C877" s="542"/>
      <c r="D877" s="542"/>
      <c r="E877" s="542"/>
      <c r="F877" s="542"/>
      <c r="G877" s="543"/>
    </row>
    <row r="878">
      <c r="B878" s="542"/>
      <c r="C878" s="542"/>
      <c r="D878" s="542"/>
      <c r="E878" s="542"/>
      <c r="F878" s="542"/>
      <c r="G878" s="543"/>
    </row>
    <row r="879">
      <c r="B879" s="542"/>
      <c r="C879" s="542"/>
      <c r="D879" s="542"/>
      <c r="E879" s="542"/>
      <c r="F879" s="542"/>
      <c r="G879" s="543"/>
    </row>
    <row r="880">
      <c r="B880" s="542"/>
      <c r="C880" s="542"/>
      <c r="D880" s="542"/>
      <c r="E880" s="542"/>
      <c r="F880" s="542"/>
      <c r="G880" s="543"/>
    </row>
    <row r="881">
      <c r="B881" s="542"/>
      <c r="C881" s="542"/>
      <c r="D881" s="542"/>
      <c r="E881" s="542"/>
      <c r="F881" s="542"/>
      <c r="G881" s="543"/>
    </row>
    <row r="882">
      <c r="B882" s="542"/>
      <c r="C882" s="542"/>
      <c r="D882" s="542"/>
      <c r="E882" s="542"/>
      <c r="F882" s="542"/>
      <c r="G882" s="543"/>
    </row>
    <row r="883">
      <c r="B883" s="542"/>
      <c r="C883" s="542"/>
      <c r="D883" s="542"/>
      <c r="E883" s="542"/>
      <c r="F883" s="542"/>
      <c r="G883" s="543"/>
    </row>
    <row r="884">
      <c r="B884" s="542"/>
      <c r="C884" s="542"/>
      <c r="D884" s="542"/>
      <c r="E884" s="542"/>
      <c r="F884" s="542"/>
      <c r="G884" s="543"/>
    </row>
    <row r="885">
      <c r="B885" s="542"/>
      <c r="C885" s="542"/>
      <c r="D885" s="542"/>
      <c r="E885" s="542"/>
      <c r="F885" s="542"/>
      <c r="G885" s="543"/>
    </row>
    <row r="886">
      <c r="B886" s="542"/>
      <c r="C886" s="542"/>
      <c r="D886" s="542"/>
      <c r="E886" s="542"/>
      <c r="F886" s="542"/>
      <c r="G886" s="543"/>
    </row>
    <row r="887">
      <c r="B887" s="542"/>
      <c r="C887" s="542"/>
      <c r="D887" s="542"/>
      <c r="E887" s="542"/>
      <c r="F887" s="542"/>
      <c r="G887" s="543"/>
    </row>
    <row r="888">
      <c r="B888" s="542"/>
      <c r="C888" s="542"/>
      <c r="D888" s="542"/>
      <c r="E888" s="542"/>
      <c r="F888" s="542"/>
      <c r="G888" s="543"/>
    </row>
    <row r="889">
      <c r="B889" s="542"/>
      <c r="C889" s="542"/>
      <c r="D889" s="542"/>
      <c r="E889" s="542"/>
      <c r="F889" s="542"/>
      <c r="G889" s="543"/>
    </row>
    <row r="890">
      <c r="B890" s="542"/>
      <c r="C890" s="542"/>
      <c r="D890" s="542"/>
      <c r="E890" s="542"/>
      <c r="F890" s="542"/>
      <c r="G890" s="543"/>
    </row>
    <row r="891">
      <c r="B891" s="542"/>
      <c r="C891" s="542"/>
      <c r="D891" s="542"/>
      <c r="E891" s="542"/>
      <c r="F891" s="542"/>
      <c r="G891" s="543"/>
    </row>
    <row r="892">
      <c r="B892" s="542"/>
      <c r="C892" s="542"/>
      <c r="D892" s="542"/>
      <c r="E892" s="542"/>
      <c r="F892" s="542"/>
      <c r="G892" s="543"/>
    </row>
    <row r="893">
      <c r="B893" s="542"/>
      <c r="C893" s="542"/>
      <c r="D893" s="542"/>
      <c r="E893" s="542"/>
      <c r="F893" s="542"/>
      <c r="G893" s="543"/>
    </row>
    <row r="894">
      <c r="B894" s="542"/>
      <c r="C894" s="542"/>
      <c r="D894" s="542"/>
      <c r="E894" s="542"/>
      <c r="F894" s="542"/>
      <c r="G894" s="543"/>
    </row>
    <row r="895">
      <c r="B895" s="542"/>
      <c r="C895" s="542"/>
      <c r="D895" s="542"/>
      <c r="E895" s="542"/>
      <c r="F895" s="542"/>
      <c r="G895" s="543"/>
    </row>
    <row r="896">
      <c r="B896" s="542"/>
      <c r="C896" s="542"/>
      <c r="D896" s="542"/>
      <c r="E896" s="542"/>
      <c r="F896" s="542"/>
      <c r="G896" s="543"/>
    </row>
    <row r="897">
      <c r="B897" s="542"/>
      <c r="C897" s="542"/>
      <c r="D897" s="542"/>
      <c r="E897" s="542"/>
      <c r="F897" s="542"/>
      <c r="G897" s="543"/>
    </row>
    <row r="898">
      <c r="B898" s="542"/>
      <c r="C898" s="542"/>
      <c r="D898" s="542"/>
      <c r="E898" s="542"/>
      <c r="F898" s="542"/>
      <c r="G898" s="543"/>
    </row>
    <row r="899">
      <c r="B899" s="542"/>
      <c r="C899" s="542"/>
      <c r="D899" s="542"/>
      <c r="E899" s="542"/>
      <c r="F899" s="542"/>
      <c r="G899" s="543"/>
    </row>
    <row r="900">
      <c r="B900" s="542"/>
      <c r="C900" s="542"/>
      <c r="D900" s="542"/>
      <c r="E900" s="542"/>
      <c r="F900" s="542"/>
      <c r="G900" s="543"/>
    </row>
    <row r="901">
      <c r="B901" s="542"/>
      <c r="C901" s="542"/>
      <c r="D901" s="542"/>
      <c r="E901" s="542"/>
      <c r="F901" s="542"/>
      <c r="G901" s="543"/>
    </row>
    <row r="902">
      <c r="B902" s="542"/>
      <c r="C902" s="542"/>
      <c r="D902" s="542"/>
      <c r="E902" s="542"/>
      <c r="F902" s="542"/>
      <c r="G902" s="543"/>
    </row>
    <row r="903">
      <c r="B903" s="542"/>
      <c r="C903" s="542"/>
      <c r="D903" s="542"/>
      <c r="E903" s="542"/>
      <c r="F903" s="542"/>
      <c r="G903" s="543"/>
    </row>
    <row r="904">
      <c r="B904" s="542"/>
      <c r="C904" s="542"/>
      <c r="D904" s="542"/>
      <c r="E904" s="542"/>
      <c r="F904" s="542"/>
      <c r="G904" s="543"/>
    </row>
    <row r="905">
      <c r="B905" s="542"/>
      <c r="C905" s="542"/>
      <c r="D905" s="542"/>
      <c r="E905" s="542"/>
      <c r="F905" s="542"/>
      <c r="G905" s="543"/>
    </row>
    <row r="906">
      <c r="B906" s="542"/>
      <c r="C906" s="542"/>
      <c r="D906" s="542"/>
      <c r="E906" s="542"/>
      <c r="F906" s="542"/>
      <c r="G906" s="543"/>
    </row>
    <row r="907">
      <c r="B907" s="542"/>
      <c r="C907" s="542"/>
      <c r="D907" s="542"/>
      <c r="E907" s="542"/>
      <c r="F907" s="542"/>
      <c r="G907" s="543"/>
    </row>
    <row r="908">
      <c r="B908" s="542"/>
      <c r="C908" s="542"/>
      <c r="D908" s="542"/>
      <c r="E908" s="542"/>
      <c r="F908" s="542"/>
      <c r="G908" s="543"/>
    </row>
    <row r="909">
      <c r="B909" s="542"/>
      <c r="C909" s="542"/>
      <c r="D909" s="542"/>
      <c r="E909" s="542"/>
      <c r="F909" s="542"/>
      <c r="G909" s="543"/>
    </row>
    <row r="910">
      <c r="B910" s="542"/>
      <c r="C910" s="542"/>
      <c r="D910" s="542"/>
      <c r="E910" s="542"/>
      <c r="F910" s="542"/>
      <c r="G910" s="543"/>
    </row>
    <row r="911">
      <c r="B911" s="542"/>
      <c r="C911" s="542"/>
      <c r="D911" s="542"/>
      <c r="E911" s="542"/>
      <c r="F911" s="542"/>
      <c r="G911" s="543"/>
    </row>
    <row r="912">
      <c r="B912" s="542"/>
      <c r="C912" s="542"/>
      <c r="D912" s="542"/>
      <c r="E912" s="542"/>
      <c r="F912" s="542"/>
      <c r="G912" s="543"/>
    </row>
    <row r="913">
      <c r="B913" s="542"/>
      <c r="C913" s="542"/>
      <c r="D913" s="542"/>
      <c r="E913" s="542"/>
      <c r="F913" s="542"/>
      <c r="G913" s="543"/>
    </row>
    <row r="914">
      <c r="B914" s="542"/>
      <c r="C914" s="542"/>
      <c r="D914" s="542"/>
      <c r="E914" s="542"/>
      <c r="F914" s="542"/>
      <c r="G914" s="543"/>
    </row>
    <row r="915">
      <c r="B915" s="542"/>
      <c r="C915" s="542"/>
      <c r="D915" s="542"/>
      <c r="E915" s="542"/>
      <c r="F915" s="542"/>
      <c r="G915" s="543"/>
    </row>
    <row r="916">
      <c r="B916" s="542"/>
      <c r="C916" s="542"/>
      <c r="D916" s="542"/>
      <c r="E916" s="542"/>
      <c r="F916" s="542"/>
      <c r="G916" s="543"/>
    </row>
    <row r="917">
      <c r="B917" s="542"/>
      <c r="C917" s="542"/>
      <c r="D917" s="542"/>
      <c r="E917" s="542"/>
      <c r="F917" s="542"/>
      <c r="G917" s="543"/>
    </row>
    <row r="918">
      <c r="B918" s="542"/>
      <c r="C918" s="542"/>
      <c r="D918" s="542"/>
      <c r="E918" s="542"/>
      <c r="F918" s="542"/>
      <c r="G918" s="543"/>
    </row>
    <row r="919">
      <c r="B919" s="542"/>
      <c r="C919" s="542"/>
      <c r="D919" s="542"/>
      <c r="E919" s="542"/>
      <c r="F919" s="542"/>
      <c r="G919" s="543"/>
    </row>
    <row r="920">
      <c r="B920" s="542"/>
      <c r="C920" s="542"/>
      <c r="D920" s="542"/>
      <c r="E920" s="542"/>
      <c r="F920" s="542"/>
      <c r="G920" s="543"/>
    </row>
    <row r="921">
      <c r="B921" s="542"/>
      <c r="C921" s="542"/>
      <c r="D921" s="542"/>
      <c r="E921" s="542"/>
      <c r="F921" s="542"/>
      <c r="G921" s="543"/>
    </row>
    <row r="922">
      <c r="B922" s="542"/>
      <c r="C922" s="542"/>
      <c r="D922" s="542"/>
      <c r="E922" s="542"/>
      <c r="F922" s="542"/>
      <c r="G922" s="543"/>
    </row>
    <row r="923">
      <c r="B923" s="542"/>
      <c r="C923" s="542"/>
      <c r="D923" s="542"/>
      <c r="E923" s="542"/>
      <c r="F923" s="542"/>
      <c r="G923" s="543"/>
    </row>
    <row r="924">
      <c r="B924" s="542"/>
      <c r="C924" s="542"/>
      <c r="D924" s="542"/>
      <c r="E924" s="542"/>
      <c r="F924" s="542"/>
      <c r="G924" s="543"/>
    </row>
    <row r="925">
      <c r="B925" s="542"/>
      <c r="C925" s="542"/>
      <c r="D925" s="542"/>
      <c r="E925" s="542"/>
      <c r="F925" s="542"/>
      <c r="G925" s="543"/>
    </row>
    <row r="926">
      <c r="B926" s="542"/>
      <c r="C926" s="542"/>
      <c r="D926" s="542"/>
      <c r="E926" s="542"/>
      <c r="F926" s="542"/>
      <c r="G926" s="543"/>
    </row>
    <row r="927">
      <c r="B927" s="542"/>
      <c r="C927" s="542"/>
      <c r="D927" s="542"/>
      <c r="E927" s="542"/>
      <c r="F927" s="542"/>
      <c r="G927" s="543"/>
    </row>
    <row r="928">
      <c r="B928" s="542"/>
      <c r="C928" s="542"/>
      <c r="D928" s="542"/>
      <c r="E928" s="542"/>
      <c r="F928" s="542"/>
      <c r="G928" s="543"/>
    </row>
    <row r="929">
      <c r="B929" s="542"/>
      <c r="C929" s="542"/>
      <c r="D929" s="542"/>
      <c r="E929" s="542"/>
      <c r="F929" s="542"/>
      <c r="G929" s="543"/>
    </row>
    <row r="930">
      <c r="B930" s="542"/>
      <c r="C930" s="542"/>
      <c r="D930" s="542"/>
      <c r="E930" s="542"/>
      <c r="F930" s="542"/>
      <c r="G930" s="543"/>
    </row>
    <row r="931">
      <c r="B931" s="542"/>
      <c r="C931" s="542"/>
      <c r="D931" s="542"/>
      <c r="E931" s="542"/>
      <c r="F931" s="542"/>
      <c r="G931" s="543"/>
    </row>
    <row r="932">
      <c r="B932" s="542"/>
      <c r="C932" s="542"/>
      <c r="D932" s="542"/>
      <c r="E932" s="542"/>
      <c r="F932" s="542"/>
      <c r="G932" s="543"/>
    </row>
    <row r="933">
      <c r="B933" s="542"/>
      <c r="C933" s="542"/>
      <c r="D933" s="542"/>
      <c r="E933" s="542"/>
      <c r="F933" s="542"/>
      <c r="G933" s="543"/>
    </row>
    <row r="934">
      <c r="B934" s="542"/>
      <c r="C934" s="542"/>
      <c r="D934" s="542"/>
      <c r="E934" s="542"/>
      <c r="F934" s="542"/>
      <c r="G934" s="543"/>
    </row>
    <row r="935">
      <c r="B935" s="542"/>
      <c r="C935" s="542"/>
      <c r="D935" s="542"/>
      <c r="E935" s="542"/>
      <c r="F935" s="542"/>
      <c r="G935" s="543"/>
    </row>
    <row r="936">
      <c r="B936" s="542"/>
      <c r="C936" s="542"/>
      <c r="D936" s="542"/>
      <c r="E936" s="542"/>
      <c r="F936" s="542"/>
      <c r="G936" s="543"/>
    </row>
    <row r="937">
      <c r="B937" s="542"/>
      <c r="C937" s="542"/>
      <c r="D937" s="542"/>
      <c r="E937" s="542"/>
      <c r="F937" s="542"/>
      <c r="G937" s="543"/>
    </row>
    <row r="938">
      <c r="B938" s="542"/>
      <c r="C938" s="542"/>
      <c r="D938" s="542"/>
      <c r="E938" s="542"/>
      <c r="F938" s="542"/>
      <c r="G938" s="543"/>
    </row>
    <row r="939">
      <c r="B939" s="542"/>
      <c r="C939" s="542"/>
      <c r="D939" s="542"/>
      <c r="E939" s="542"/>
      <c r="F939" s="542"/>
      <c r="G939" s="543"/>
    </row>
    <row r="940">
      <c r="B940" s="542"/>
      <c r="C940" s="542"/>
      <c r="D940" s="542"/>
      <c r="E940" s="542"/>
      <c r="F940" s="542"/>
      <c r="G940" s="543"/>
    </row>
    <row r="941">
      <c r="B941" s="542"/>
      <c r="C941" s="542"/>
      <c r="D941" s="542"/>
      <c r="E941" s="542"/>
      <c r="F941" s="542"/>
      <c r="G941" s="543"/>
    </row>
    <row r="942">
      <c r="B942" s="542"/>
      <c r="C942" s="542"/>
      <c r="D942" s="542"/>
      <c r="E942" s="542"/>
      <c r="F942" s="542"/>
      <c r="G942" s="543"/>
    </row>
    <row r="943">
      <c r="B943" s="542"/>
      <c r="C943" s="542"/>
      <c r="D943" s="542"/>
      <c r="E943" s="542"/>
      <c r="F943" s="542"/>
      <c r="G943" s="543"/>
    </row>
    <row r="944">
      <c r="B944" s="542"/>
      <c r="C944" s="542"/>
      <c r="D944" s="542"/>
      <c r="E944" s="542"/>
      <c r="F944" s="542"/>
      <c r="G944" s="543"/>
    </row>
    <row r="945">
      <c r="B945" s="542"/>
      <c r="C945" s="542"/>
      <c r="D945" s="542"/>
      <c r="E945" s="542"/>
      <c r="F945" s="542"/>
      <c r="G945" s="543"/>
    </row>
    <row r="946">
      <c r="B946" s="542"/>
      <c r="C946" s="542"/>
      <c r="D946" s="542"/>
      <c r="E946" s="542"/>
      <c r="F946" s="542"/>
      <c r="G946" s="543"/>
    </row>
    <row r="947">
      <c r="B947" s="542"/>
      <c r="C947" s="542"/>
      <c r="D947" s="542"/>
      <c r="E947" s="542"/>
      <c r="F947" s="542"/>
      <c r="G947" s="543"/>
    </row>
    <row r="948">
      <c r="B948" s="542"/>
      <c r="C948" s="542"/>
      <c r="D948" s="542"/>
      <c r="E948" s="542"/>
      <c r="F948" s="542"/>
      <c r="G948" s="543"/>
    </row>
    <row r="949">
      <c r="B949" s="542"/>
      <c r="C949" s="542"/>
      <c r="D949" s="542"/>
      <c r="E949" s="542"/>
      <c r="F949" s="542"/>
      <c r="G949" s="543"/>
    </row>
    <row r="950">
      <c r="B950" s="542"/>
      <c r="C950" s="542"/>
      <c r="D950" s="542"/>
      <c r="E950" s="542"/>
      <c r="F950" s="542"/>
      <c r="G950" s="543"/>
    </row>
    <row r="951">
      <c r="B951" s="542"/>
      <c r="C951" s="542"/>
      <c r="D951" s="542"/>
      <c r="E951" s="542"/>
      <c r="F951" s="542"/>
      <c r="G951" s="543"/>
    </row>
    <row r="952">
      <c r="B952" s="542"/>
      <c r="C952" s="542"/>
      <c r="D952" s="542"/>
      <c r="E952" s="542"/>
      <c r="F952" s="542"/>
      <c r="G952" s="543"/>
    </row>
    <row r="953">
      <c r="B953" s="542"/>
      <c r="C953" s="542"/>
      <c r="D953" s="542"/>
      <c r="E953" s="542"/>
      <c r="F953" s="542"/>
      <c r="G953" s="543"/>
    </row>
    <row r="954">
      <c r="B954" s="542"/>
      <c r="C954" s="542"/>
      <c r="D954" s="542"/>
      <c r="E954" s="542"/>
      <c r="F954" s="542"/>
      <c r="G954" s="543"/>
    </row>
    <row r="955">
      <c r="B955" s="542"/>
      <c r="C955" s="542"/>
      <c r="D955" s="542"/>
      <c r="E955" s="542"/>
      <c r="F955" s="542"/>
      <c r="G955" s="543"/>
    </row>
    <row r="956">
      <c r="B956" s="542"/>
      <c r="C956" s="542"/>
      <c r="D956" s="542"/>
      <c r="E956" s="542"/>
      <c r="F956" s="542"/>
      <c r="G956" s="543"/>
    </row>
    <row r="957">
      <c r="B957" s="542"/>
      <c r="C957" s="542"/>
      <c r="D957" s="542"/>
      <c r="E957" s="542"/>
      <c r="F957" s="542"/>
      <c r="G957" s="543"/>
    </row>
    <row r="958">
      <c r="B958" s="542"/>
      <c r="C958" s="542"/>
      <c r="D958" s="542"/>
      <c r="E958" s="542"/>
      <c r="F958" s="542"/>
      <c r="G958" s="543"/>
    </row>
    <row r="959">
      <c r="B959" s="542"/>
      <c r="C959" s="542"/>
      <c r="D959" s="542"/>
      <c r="E959" s="542"/>
      <c r="F959" s="542"/>
      <c r="G959" s="543"/>
    </row>
    <row r="960">
      <c r="B960" s="542"/>
      <c r="C960" s="542"/>
      <c r="D960" s="542"/>
      <c r="E960" s="542"/>
      <c r="F960" s="542"/>
      <c r="G960" s="543"/>
    </row>
    <row r="961">
      <c r="B961" s="542"/>
      <c r="C961" s="542"/>
      <c r="D961" s="542"/>
      <c r="E961" s="542"/>
      <c r="F961" s="542"/>
      <c r="G961" s="543"/>
    </row>
    <row r="962">
      <c r="B962" s="542"/>
      <c r="C962" s="542"/>
      <c r="D962" s="542"/>
      <c r="E962" s="542"/>
      <c r="F962" s="542"/>
      <c r="G962" s="543"/>
    </row>
    <row r="963">
      <c r="B963" s="542"/>
      <c r="C963" s="542"/>
      <c r="D963" s="542"/>
      <c r="E963" s="542"/>
      <c r="F963" s="542"/>
      <c r="G963" s="543"/>
    </row>
    <row r="964">
      <c r="B964" s="542"/>
      <c r="C964" s="542"/>
      <c r="D964" s="542"/>
      <c r="E964" s="542"/>
      <c r="F964" s="542"/>
      <c r="G964" s="543"/>
    </row>
    <row r="965">
      <c r="B965" s="542"/>
      <c r="C965" s="542"/>
      <c r="D965" s="542"/>
      <c r="E965" s="542"/>
      <c r="F965" s="542"/>
      <c r="G965" s="543"/>
    </row>
    <row r="966">
      <c r="B966" s="542"/>
      <c r="C966" s="542"/>
      <c r="D966" s="542"/>
      <c r="E966" s="542"/>
      <c r="F966" s="542"/>
      <c r="G966" s="543"/>
    </row>
    <row r="967">
      <c r="B967" s="542"/>
      <c r="C967" s="542"/>
      <c r="D967" s="542"/>
      <c r="E967" s="542"/>
      <c r="F967" s="542"/>
      <c r="G967" s="543"/>
    </row>
    <row r="968">
      <c r="B968" s="542"/>
      <c r="C968" s="542"/>
      <c r="D968" s="542"/>
      <c r="E968" s="542"/>
      <c r="F968" s="542"/>
      <c r="G968" s="543"/>
    </row>
    <row r="969">
      <c r="B969" s="542"/>
      <c r="C969" s="542"/>
      <c r="D969" s="542"/>
      <c r="E969" s="542"/>
      <c r="F969" s="542"/>
      <c r="G969" s="543"/>
    </row>
    <row r="970">
      <c r="B970" s="542"/>
      <c r="C970" s="542"/>
      <c r="D970" s="542"/>
      <c r="E970" s="542"/>
      <c r="F970" s="542"/>
      <c r="G970" s="543"/>
    </row>
    <row r="971">
      <c r="B971" s="542"/>
      <c r="C971" s="542"/>
      <c r="D971" s="542"/>
      <c r="E971" s="542"/>
      <c r="F971" s="542"/>
      <c r="G971" s="543"/>
    </row>
    <row r="972">
      <c r="B972" s="542"/>
      <c r="C972" s="542"/>
      <c r="D972" s="542"/>
      <c r="E972" s="542"/>
      <c r="F972" s="542"/>
      <c r="G972" s="543"/>
    </row>
    <row r="973">
      <c r="B973" s="542"/>
      <c r="C973" s="542"/>
      <c r="D973" s="542"/>
      <c r="E973" s="542"/>
      <c r="F973" s="542"/>
      <c r="G973" s="543"/>
    </row>
    <row r="974">
      <c r="B974" s="542"/>
      <c r="C974" s="542"/>
      <c r="D974" s="542"/>
      <c r="E974" s="542"/>
      <c r="F974" s="542"/>
      <c r="G974" s="543"/>
    </row>
    <row r="975">
      <c r="B975" s="542"/>
      <c r="C975" s="542"/>
      <c r="D975" s="542"/>
      <c r="E975" s="542"/>
      <c r="F975" s="542"/>
      <c r="G975" s="543"/>
    </row>
    <row r="976">
      <c r="B976" s="542"/>
      <c r="C976" s="542"/>
      <c r="D976" s="542"/>
      <c r="E976" s="542"/>
      <c r="F976" s="542"/>
      <c r="G976" s="543"/>
    </row>
    <row r="977">
      <c r="B977" s="542"/>
      <c r="C977" s="542"/>
      <c r="D977" s="542"/>
      <c r="E977" s="542"/>
      <c r="F977" s="542"/>
      <c r="G977" s="543"/>
    </row>
    <row r="978">
      <c r="B978" s="542"/>
      <c r="C978" s="542"/>
      <c r="D978" s="542"/>
      <c r="E978" s="542"/>
      <c r="F978" s="542"/>
      <c r="G978" s="543"/>
    </row>
    <row r="979">
      <c r="B979" s="542"/>
      <c r="C979" s="542"/>
      <c r="D979" s="542"/>
      <c r="E979" s="542"/>
      <c r="F979" s="542"/>
      <c r="G979" s="543"/>
    </row>
    <row r="980">
      <c r="B980" s="542"/>
      <c r="C980" s="542"/>
      <c r="D980" s="542"/>
      <c r="E980" s="542"/>
      <c r="F980" s="542"/>
      <c r="G980" s="543"/>
    </row>
    <row r="981">
      <c r="B981" s="542"/>
      <c r="C981" s="542"/>
      <c r="D981" s="542"/>
      <c r="E981" s="542"/>
      <c r="F981" s="542"/>
      <c r="G981" s="543"/>
    </row>
    <row r="982">
      <c r="B982" s="542"/>
      <c r="C982" s="542"/>
      <c r="D982" s="542"/>
      <c r="E982" s="542"/>
      <c r="F982" s="542"/>
      <c r="G982" s="543"/>
    </row>
    <row r="983">
      <c r="B983" s="542"/>
      <c r="C983" s="542"/>
      <c r="D983" s="542"/>
      <c r="E983" s="542"/>
      <c r="F983" s="542"/>
      <c r="G983" s="543"/>
    </row>
    <row r="984">
      <c r="B984" s="542"/>
      <c r="C984" s="542"/>
      <c r="D984" s="542"/>
      <c r="E984" s="542"/>
      <c r="F984" s="542"/>
      <c r="G984" s="543"/>
    </row>
    <row r="985">
      <c r="B985" s="542"/>
      <c r="C985" s="542"/>
      <c r="D985" s="542"/>
      <c r="E985" s="542"/>
      <c r="F985" s="542"/>
      <c r="G985" s="543"/>
    </row>
    <row r="986">
      <c r="B986" s="542"/>
      <c r="C986" s="542"/>
      <c r="D986" s="542"/>
      <c r="E986" s="542"/>
      <c r="F986" s="542"/>
      <c r="G986" s="543"/>
    </row>
    <row r="987">
      <c r="B987" s="542"/>
      <c r="C987" s="542"/>
      <c r="D987" s="542"/>
      <c r="E987" s="542"/>
      <c r="F987" s="542"/>
      <c r="G987" s="543"/>
    </row>
    <row r="988">
      <c r="B988" s="542"/>
      <c r="C988" s="542"/>
      <c r="D988" s="542"/>
      <c r="E988" s="542"/>
      <c r="F988" s="542"/>
      <c r="G988" s="543"/>
    </row>
    <row r="989">
      <c r="B989" s="542"/>
      <c r="C989" s="542"/>
      <c r="D989" s="542"/>
      <c r="E989" s="542"/>
      <c r="F989" s="542"/>
      <c r="G989" s="543"/>
    </row>
    <row r="990">
      <c r="B990" s="542"/>
      <c r="C990" s="542"/>
      <c r="D990" s="542"/>
      <c r="E990" s="542"/>
      <c r="F990" s="542"/>
      <c r="G990" s="543"/>
    </row>
    <row r="991">
      <c r="B991" s="542"/>
      <c r="C991" s="542"/>
      <c r="D991" s="542"/>
      <c r="E991" s="542"/>
      <c r="F991" s="542"/>
      <c r="G991" s="543"/>
    </row>
    <row r="992">
      <c r="B992" s="542"/>
      <c r="C992" s="542"/>
      <c r="D992" s="542"/>
      <c r="E992" s="542"/>
      <c r="F992" s="542"/>
      <c r="G992" s="543"/>
    </row>
    <row r="993">
      <c r="B993" s="542"/>
      <c r="C993" s="542"/>
      <c r="D993" s="542"/>
      <c r="E993" s="542"/>
      <c r="F993" s="542"/>
      <c r="G993" s="543"/>
    </row>
    <row r="994">
      <c r="B994" s="542"/>
      <c r="C994" s="542"/>
      <c r="D994" s="542"/>
      <c r="E994" s="542"/>
      <c r="F994" s="542"/>
      <c r="G994" s="543"/>
    </row>
    <row r="995">
      <c r="B995" s="542"/>
      <c r="C995" s="542"/>
      <c r="D995" s="542"/>
      <c r="E995" s="542"/>
      <c r="F995" s="542"/>
      <c r="G995" s="543"/>
    </row>
    <row r="996">
      <c r="B996" s="542"/>
      <c r="C996" s="542"/>
      <c r="D996" s="542"/>
      <c r="E996" s="542"/>
      <c r="F996" s="542"/>
      <c r="G996" s="543"/>
    </row>
    <row r="997">
      <c r="B997" s="542"/>
      <c r="C997" s="542"/>
      <c r="D997" s="542"/>
      <c r="E997" s="542"/>
      <c r="F997" s="542"/>
      <c r="G997" s="543"/>
    </row>
    <row r="998">
      <c r="B998" s="542"/>
      <c r="C998" s="542"/>
      <c r="D998" s="542"/>
      <c r="E998" s="542"/>
      <c r="F998" s="542"/>
      <c r="G998" s="543"/>
    </row>
    <row r="999">
      <c r="B999" s="542"/>
      <c r="C999" s="542"/>
      <c r="D999" s="542"/>
      <c r="E999" s="542"/>
      <c r="F999" s="542"/>
      <c r="G999" s="543"/>
    </row>
  </sheetData>
  <mergeCells count="1">
    <mergeCell ref="A1:G1"/>
  </mergeCells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9.0" ySplit="12.0" topLeftCell="J13" activePane="bottomRight" state="frozen"/>
      <selection activeCell="J1" sqref="J1" pane="topRight"/>
      <selection activeCell="A13" sqref="A13" pane="bottomLeft"/>
      <selection activeCell="J13" sqref="J13" pane="bottomRight"/>
    </sheetView>
  </sheetViews>
  <sheetFormatPr customHeight="1" defaultColWidth="12.63" defaultRowHeight="15.75"/>
  <cols>
    <col customWidth="1" min="1" max="1" width="9.0"/>
    <col customWidth="1" min="2" max="2" width="10.88"/>
    <col customWidth="1" min="3" max="3" width="8.63"/>
    <col customWidth="1" min="4" max="4" width="10.88"/>
    <col customWidth="1" min="5" max="5" width="50.63"/>
    <col customWidth="1" min="6" max="7" width="9.88"/>
    <col customWidth="1" hidden="1" min="8" max="8" width="11.5"/>
    <col customWidth="1" min="9" max="9" width="11.5"/>
    <col customWidth="1" min="10" max="14" width="7.0"/>
    <col customWidth="1" hidden="1" min="15" max="18" width="7.88"/>
    <col customWidth="1" min="19" max="19" width="7.0"/>
    <col customWidth="1" min="20" max="27" width="12.88"/>
  </cols>
  <sheetData>
    <row r="1" ht="12.75" customHeight="1">
      <c r="A1" s="544" t="s">
        <v>1458</v>
      </c>
      <c r="B1" s="545"/>
      <c r="C1" s="545"/>
      <c r="D1" s="545"/>
      <c r="E1" s="546"/>
      <c r="F1" s="547"/>
      <c r="G1" s="547"/>
      <c r="H1" s="547"/>
      <c r="I1" s="548" t="s">
        <v>1459</v>
      </c>
      <c r="J1" s="549" t="s">
        <v>1460</v>
      </c>
      <c r="K1" s="508"/>
      <c r="L1" s="508"/>
      <c r="M1" s="508"/>
      <c r="N1" s="508"/>
      <c r="O1" s="508"/>
      <c r="P1" s="508"/>
      <c r="Q1" s="508"/>
      <c r="R1" s="509"/>
      <c r="S1" s="550"/>
      <c r="T1" s="551"/>
      <c r="U1" s="551"/>
      <c r="V1" s="551"/>
      <c r="W1" s="551"/>
      <c r="X1" s="551"/>
      <c r="Y1" s="551"/>
      <c r="Z1" s="551"/>
      <c r="AA1" s="551"/>
    </row>
    <row r="2" ht="12.75" customHeight="1">
      <c r="A2" s="552">
        <v>46192.0</v>
      </c>
      <c r="B2" s="545"/>
      <c r="C2" s="545"/>
      <c r="D2" s="545"/>
      <c r="E2" s="546"/>
      <c r="G2" s="547"/>
      <c r="H2" s="547"/>
      <c r="I2" s="553"/>
      <c r="J2" s="554" t="s">
        <v>1393</v>
      </c>
      <c r="K2" s="554" t="s">
        <v>1396</v>
      </c>
      <c r="L2" s="554" t="s">
        <v>1395</v>
      </c>
      <c r="M2" s="555" t="s">
        <v>1444</v>
      </c>
      <c r="N2" s="554" t="s">
        <v>1394</v>
      </c>
      <c r="O2" s="554"/>
      <c r="P2" s="554"/>
      <c r="Q2" s="554"/>
      <c r="R2" s="554"/>
      <c r="S2" s="550"/>
      <c r="T2" s="551"/>
      <c r="U2" s="551"/>
      <c r="V2" s="551"/>
      <c r="W2" s="551"/>
      <c r="X2" s="551"/>
      <c r="Y2" s="551"/>
      <c r="Z2" s="551"/>
      <c r="AA2" s="551"/>
    </row>
    <row r="3" ht="12.75" customHeight="1">
      <c r="A3" s="556"/>
      <c r="B3" s="557"/>
      <c r="C3" s="557"/>
      <c r="D3" s="557"/>
      <c r="E3" s="558"/>
      <c r="F3" s="547"/>
      <c r="G3" s="547"/>
      <c r="H3" s="547"/>
      <c r="I3" s="559" t="s">
        <v>1461</v>
      </c>
      <c r="J3" s="560">
        <v>25.0</v>
      </c>
      <c r="K3" s="560"/>
      <c r="L3" s="560"/>
      <c r="M3" s="560"/>
      <c r="N3" s="560"/>
      <c r="O3" s="560"/>
      <c r="P3" s="560"/>
      <c r="Q3" s="560"/>
      <c r="R3" s="560"/>
      <c r="S3" s="550"/>
      <c r="T3" s="551"/>
      <c r="U3" s="551"/>
      <c r="V3" s="551"/>
      <c r="W3" s="551"/>
      <c r="X3" s="551"/>
      <c r="Y3" s="551"/>
      <c r="Z3" s="551"/>
      <c r="AA3" s="551"/>
    </row>
    <row r="4" ht="12.75" customHeight="1">
      <c r="A4" s="561" t="s">
        <v>1425</v>
      </c>
      <c r="B4" s="561" t="s">
        <v>1462</v>
      </c>
      <c r="C4" s="561" t="s">
        <v>1463</v>
      </c>
      <c r="D4" s="561" t="s">
        <v>1464</v>
      </c>
      <c r="E4" s="561" t="s">
        <v>1465</v>
      </c>
      <c r="F4" s="562" t="s">
        <v>1431</v>
      </c>
      <c r="G4" s="547"/>
      <c r="H4" s="547"/>
      <c r="I4" s="559" t="s">
        <v>1466</v>
      </c>
      <c r="J4" s="560">
        <v>20.0</v>
      </c>
      <c r="K4" s="560">
        <v>6.0</v>
      </c>
      <c r="L4" s="560"/>
      <c r="M4" s="560"/>
      <c r="N4" s="560"/>
      <c r="O4" s="560"/>
      <c r="P4" s="560"/>
      <c r="Q4" s="560"/>
      <c r="R4" s="560"/>
      <c r="S4" s="550"/>
      <c r="T4" s="551"/>
      <c r="U4" s="551"/>
      <c r="V4" s="551"/>
      <c r="W4" s="551"/>
      <c r="X4" s="551"/>
      <c r="Y4" s="551"/>
      <c r="Z4" s="551"/>
      <c r="AA4" s="551"/>
    </row>
    <row r="5" ht="12.75" customHeight="1">
      <c r="A5" s="563" t="s">
        <v>1467</v>
      </c>
      <c r="B5" s="564">
        <v>2.0</v>
      </c>
      <c r="C5" s="564">
        <v>575.0</v>
      </c>
      <c r="D5" s="565">
        <f t="shared" ref="D5:D8" si="1">(C5*44)/1000</f>
        <v>25.3</v>
      </c>
      <c r="E5" s="566">
        <f t="shared" ref="E5:E8" si="2">D5*B5</f>
        <v>50.6</v>
      </c>
      <c r="F5" s="567" t="s">
        <v>1257</v>
      </c>
      <c r="G5" s="547"/>
      <c r="H5" s="547"/>
      <c r="I5" s="559" t="s">
        <v>1468</v>
      </c>
      <c r="J5" s="560">
        <v>20.0</v>
      </c>
      <c r="K5" s="560"/>
      <c r="L5" s="560">
        <v>6.0</v>
      </c>
      <c r="M5" s="560"/>
      <c r="N5" s="560"/>
      <c r="O5" s="560"/>
      <c r="P5" s="560"/>
      <c r="Q5" s="560"/>
      <c r="R5" s="560"/>
      <c r="S5" s="550"/>
      <c r="T5" s="551"/>
      <c r="U5" s="551"/>
      <c r="V5" s="551"/>
      <c r="W5" s="551"/>
      <c r="X5" s="551"/>
      <c r="Y5" s="551"/>
      <c r="Z5" s="551"/>
      <c r="AA5" s="551"/>
    </row>
    <row r="6" ht="12.75" customHeight="1">
      <c r="A6" s="568" t="s">
        <v>1467</v>
      </c>
      <c r="B6" s="564">
        <v>2.0</v>
      </c>
      <c r="C6" s="564">
        <v>575.0</v>
      </c>
      <c r="D6" s="565">
        <f t="shared" si="1"/>
        <v>25.3</v>
      </c>
      <c r="E6" s="566">
        <f t="shared" si="2"/>
        <v>50.6</v>
      </c>
      <c r="F6" s="567" t="s">
        <v>1438</v>
      </c>
      <c r="G6" s="547"/>
      <c r="H6" s="547"/>
      <c r="I6" s="569" t="s">
        <v>1469</v>
      </c>
      <c r="J6" s="570">
        <v>21.0</v>
      </c>
      <c r="K6" s="560"/>
      <c r="L6" s="560"/>
      <c r="M6" s="570">
        <v>3.0</v>
      </c>
      <c r="N6" s="560"/>
      <c r="O6" s="560"/>
      <c r="P6" s="560"/>
      <c r="Q6" s="560"/>
      <c r="R6" s="560"/>
      <c r="S6" s="550"/>
      <c r="T6" s="551"/>
      <c r="U6" s="551"/>
      <c r="V6" s="551"/>
      <c r="W6" s="551"/>
      <c r="X6" s="551"/>
      <c r="Y6" s="551"/>
      <c r="Z6" s="551"/>
      <c r="AA6" s="551"/>
    </row>
    <row r="7" ht="12.75" customHeight="1">
      <c r="A7" s="571" t="s">
        <v>1470</v>
      </c>
      <c r="B7" s="564">
        <v>5.0</v>
      </c>
      <c r="C7" s="564">
        <v>590.0</v>
      </c>
      <c r="D7" s="565">
        <f t="shared" si="1"/>
        <v>25.96</v>
      </c>
      <c r="E7" s="566">
        <f t="shared" si="2"/>
        <v>129.8</v>
      </c>
      <c r="F7" s="567" t="s">
        <v>1438</v>
      </c>
      <c r="G7" s="547"/>
      <c r="H7" s="547"/>
      <c r="I7" s="559" t="s">
        <v>1471</v>
      </c>
      <c r="J7" s="560">
        <v>10.0</v>
      </c>
      <c r="K7" s="560"/>
      <c r="L7" s="560"/>
      <c r="M7" s="560"/>
      <c r="N7" s="560">
        <v>15.0</v>
      </c>
      <c r="O7" s="560"/>
      <c r="P7" s="560"/>
      <c r="Q7" s="560"/>
      <c r="R7" s="560"/>
      <c r="S7" s="550"/>
      <c r="T7" s="551"/>
      <c r="U7" s="551"/>
      <c r="V7" s="551"/>
      <c r="W7" s="551"/>
      <c r="X7" s="551"/>
      <c r="Y7" s="551"/>
      <c r="Z7" s="551"/>
      <c r="AA7" s="551"/>
    </row>
    <row r="8" ht="12.75" customHeight="1">
      <c r="A8" s="572" t="s">
        <v>1470</v>
      </c>
      <c r="B8" s="564">
        <v>5.0</v>
      </c>
      <c r="C8" s="564">
        <v>590.0</v>
      </c>
      <c r="D8" s="565">
        <f t="shared" si="1"/>
        <v>25.96</v>
      </c>
      <c r="E8" s="566">
        <f t="shared" si="2"/>
        <v>129.8</v>
      </c>
      <c r="F8" s="567" t="s">
        <v>1441</v>
      </c>
      <c r="G8" s="547"/>
      <c r="H8" s="547"/>
      <c r="I8" s="573"/>
      <c r="J8" s="550"/>
      <c r="K8" s="550"/>
      <c r="L8" s="550"/>
      <c r="M8" s="550"/>
      <c r="N8" s="550"/>
      <c r="O8" s="550"/>
      <c r="P8" s="550"/>
      <c r="Q8" s="550"/>
      <c r="R8" s="550"/>
      <c r="S8" s="550"/>
      <c r="T8" s="551"/>
      <c r="U8" s="551"/>
      <c r="V8" s="551"/>
      <c r="W8" s="551"/>
      <c r="X8" s="551"/>
      <c r="Y8" s="551"/>
      <c r="Z8" s="551"/>
      <c r="AA8" s="551"/>
    </row>
    <row r="9" ht="12.75" customHeight="1">
      <c r="A9" s="574"/>
      <c r="B9" s="575"/>
      <c r="C9" s="575"/>
      <c r="D9" s="575"/>
      <c r="E9" s="576"/>
      <c r="F9" s="547"/>
      <c r="G9" s="547"/>
      <c r="H9" s="547"/>
      <c r="I9" s="573"/>
      <c r="J9" s="550"/>
      <c r="K9" s="550"/>
      <c r="L9" s="550"/>
      <c r="M9" s="550"/>
      <c r="N9" s="550"/>
      <c r="O9" s="550"/>
      <c r="P9" s="550"/>
      <c r="Q9" s="550"/>
      <c r="R9" s="550"/>
      <c r="S9" s="550"/>
      <c r="T9" s="551"/>
      <c r="U9" s="551"/>
      <c r="V9" s="551"/>
      <c r="W9" s="551"/>
      <c r="X9" s="551"/>
      <c r="Y9" s="551"/>
      <c r="Z9" s="551"/>
      <c r="AA9" s="551"/>
    </row>
    <row r="10" ht="12.75" customHeight="1">
      <c r="A10" s="577" t="s">
        <v>1390</v>
      </c>
      <c r="B10" s="578" t="s">
        <v>17</v>
      </c>
      <c r="C10" s="578" t="s">
        <v>1391</v>
      </c>
      <c r="D10" s="578" t="s">
        <v>1013</v>
      </c>
      <c r="E10" s="579" t="s">
        <v>28</v>
      </c>
      <c r="F10" s="579" t="s">
        <v>1472</v>
      </c>
      <c r="G10" s="579" t="s">
        <v>1473</v>
      </c>
      <c r="H10" s="579" t="s">
        <v>1474</v>
      </c>
      <c r="I10" s="580" t="s">
        <v>1475</v>
      </c>
      <c r="J10" s="549" t="s">
        <v>1476</v>
      </c>
      <c r="K10" s="508"/>
      <c r="L10" s="508"/>
      <c r="M10" s="508"/>
      <c r="N10" s="508"/>
      <c r="O10" s="508"/>
      <c r="P10" s="508"/>
      <c r="Q10" s="508"/>
      <c r="R10" s="508"/>
      <c r="S10" s="509"/>
      <c r="T10" s="551"/>
      <c r="U10" s="551"/>
      <c r="V10" s="551"/>
      <c r="W10" s="551"/>
      <c r="X10" s="551"/>
      <c r="Y10" s="551"/>
      <c r="Z10" s="551"/>
      <c r="AA10" s="551"/>
    </row>
    <row r="11" ht="12.75" customHeight="1">
      <c r="A11" s="581"/>
      <c r="B11" s="581"/>
      <c r="C11" s="581"/>
      <c r="D11" s="581"/>
      <c r="E11" s="581"/>
      <c r="F11" s="553"/>
      <c r="G11" s="553"/>
      <c r="H11" s="553"/>
      <c r="I11" s="581"/>
      <c r="J11" s="549" t="s">
        <v>1460</v>
      </c>
      <c r="K11" s="508"/>
      <c r="L11" s="508"/>
      <c r="M11" s="508"/>
      <c r="N11" s="508"/>
      <c r="O11" s="508"/>
      <c r="P11" s="508"/>
      <c r="Q11" s="508"/>
      <c r="R11" s="508"/>
      <c r="S11" s="509"/>
      <c r="T11" s="551"/>
      <c r="U11" s="551"/>
      <c r="V11" s="551"/>
      <c r="W11" s="551"/>
      <c r="X11" s="551"/>
      <c r="Y11" s="551"/>
      <c r="Z11" s="551"/>
      <c r="AA11" s="551"/>
    </row>
    <row r="12" ht="12.75" customHeight="1">
      <c r="A12" s="553"/>
      <c r="B12" s="553"/>
      <c r="C12" s="553"/>
      <c r="D12" s="553"/>
      <c r="E12" s="553"/>
      <c r="F12" s="582" t="s">
        <v>1477</v>
      </c>
      <c r="G12" s="508"/>
      <c r="H12" s="509"/>
      <c r="I12" s="553"/>
      <c r="J12" s="583" t="str">
        <f t="shared" ref="J12:M12" si="3">IF(J2="","",J2)</f>
        <v>3X50</v>
      </c>
      <c r="K12" s="584" t="str">
        <f t="shared" si="3"/>
        <v>6X50</v>
      </c>
      <c r="L12" s="585" t="str">
        <f t="shared" si="3"/>
        <v>8X50</v>
      </c>
      <c r="M12" s="585" t="str">
        <f t="shared" si="3"/>
        <v>4X8</v>
      </c>
      <c r="N12" s="583" t="s">
        <v>1394</v>
      </c>
      <c r="O12" s="583" t="str">
        <f t="shared" ref="O12:R12" si="4">IF(O2="","",O2)</f>
        <v/>
      </c>
      <c r="P12" s="583" t="str">
        <f t="shared" si="4"/>
        <v/>
      </c>
      <c r="Q12" s="583" t="str">
        <f t="shared" si="4"/>
        <v/>
      </c>
      <c r="R12" s="583" t="str">
        <f t="shared" si="4"/>
        <v/>
      </c>
      <c r="S12" s="583" t="s">
        <v>1397</v>
      </c>
      <c r="T12" s="586"/>
      <c r="U12" s="586"/>
      <c r="V12" s="586"/>
      <c r="W12" s="586"/>
      <c r="X12" s="586"/>
      <c r="Y12" s="586"/>
      <c r="Z12" s="586"/>
      <c r="AA12" s="586"/>
    </row>
    <row r="13" hidden="1">
      <c r="A13" s="574"/>
      <c r="B13" s="575"/>
      <c r="C13" s="575"/>
      <c r="D13" s="575"/>
      <c r="E13" s="576"/>
      <c r="F13" s="547"/>
      <c r="G13" s="547"/>
      <c r="H13" s="547"/>
      <c r="I13" s="573"/>
      <c r="J13" s="550"/>
      <c r="K13" s="550"/>
      <c r="L13" s="550"/>
      <c r="M13" s="550"/>
      <c r="N13" s="550"/>
      <c r="O13" s="550"/>
      <c r="P13" s="550"/>
      <c r="Q13" s="550"/>
      <c r="R13" s="550"/>
      <c r="S13" s="550"/>
      <c r="T13" s="551"/>
      <c r="U13" s="551"/>
      <c r="V13" s="551"/>
      <c r="W13" s="551"/>
      <c r="X13" s="551"/>
      <c r="Y13" s="551"/>
      <c r="Z13" s="551"/>
      <c r="AA13" s="551"/>
    </row>
    <row r="14" hidden="1">
      <c r="A14" s="587">
        <f t="shared" ref="A14:A44" si="7">IF(B14="","",YEAR(B14))</f>
        <v>2026</v>
      </c>
      <c r="B14" s="588">
        <v>46023.0</v>
      </c>
      <c r="C14" s="588" t="str">
        <f t="shared" ref="C14:C44" si="8">IF(B14="", "", TEXT(DATE(A14, MONTH(B14), 1), "MMMM"))</f>
        <v>January</v>
      </c>
      <c r="D14" s="587" t="str">
        <f t="shared" ref="D14:D44" si="9">IF(B14="","",TEXT(B14, "dddd"))</f>
        <v>Thursday</v>
      </c>
      <c r="E14" s="589" t="s">
        <v>1478</v>
      </c>
      <c r="F14" s="590"/>
      <c r="G14" s="590"/>
      <c r="H14" s="590"/>
      <c r="I14" s="591">
        <f t="shared" ref="I14:I44" si="10">COUNTIF(F14:H14,"&lt;&gt;")</f>
        <v>0</v>
      </c>
      <c r="J14" s="592">
        <f t="shared" ref="J14:L14" si="5">SUMIFS(J$3:J$9,$I$3:$I$9,$G14)+SUMIFS(J$3:J$9,$I$3:$I$9,$H14)+SUMIFS(J$3:J$9,$I$3:$I$9,$F14)</f>
        <v>0</v>
      </c>
      <c r="K14" s="592">
        <f t="shared" si="5"/>
        <v>0</v>
      </c>
      <c r="L14" s="592">
        <f t="shared" si="5"/>
        <v>0</v>
      </c>
      <c r="M14" s="592"/>
      <c r="N14" s="592">
        <f t="shared" ref="N14:O14" si="6">SUMIFS(N$3:N$9,$I$3:$I$9,$G14)+SUMIFS(N$3:N$9,$I$3:$I$9,$H14)+SUMIFS(N$3:N$9,$I$3:$I$9,$F14)</f>
        <v>0</v>
      </c>
      <c r="O14" s="592">
        <f t="shared" si="6"/>
        <v>0</v>
      </c>
      <c r="P14" s="592"/>
      <c r="Q14" s="592"/>
      <c r="R14" s="592"/>
      <c r="S14" s="592">
        <f t="shared" ref="S14:S44" si="13">SUM(J14:R14)</f>
        <v>0</v>
      </c>
      <c r="T14" s="551"/>
      <c r="U14" s="551"/>
      <c r="V14" s="551"/>
      <c r="W14" s="551"/>
      <c r="X14" s="551"/>
      <c r="Y14" s="551"/>
      <c r="Z14" s="551"/>
      <c r="AA14" s="551"/>
    </row>
    <row r="15" hidden="1">
      <c r="A15" s="593">
        <f t="shared" si="7"/>
        <v>2026</v>
      </c>
      <c r="B15" s="594">
        <v>46024.0</v>
      </c>
      <c r="C15" s="594" t="str">
        <f t="shared" si="8"/>
        <v>January</v>
      </c>
      <c r="D15" s="593" t="str">
        <f t="shared" si="9"/>
        <v>Friday</v>
      </c>
      <c r="E15" s="595"/>
      <c r="F15" s="596" t="s">
        <v>1461</v>
      </c>
      <c r="G15" s="596"/>
      <c r="H15" s="596"/>
      <c r="I15" s="597">
        <f t="shared" si="10"/>
        <v>1</v>
      </c>
      <c r="J15" s="598">
        <f t="shared" ref="J15:L15" si="11">SUMIFS(J$3:J$9,$I$3:$I$9,$G15)+SUMIFS(J$3:J$9,$I$3:$I$9,$H15)+SUMIFS(J$3:J$9,$I$3:$I$9,$F15)</f>
        <v>25</v>
      </c>
      <c r="K15" s="598">
        <f t="shared" si="11"/>
        <v>0</v>
      </c>
      <c r="L15" s="598">
        <f t="shared" si="11"/>
        <v>0</v>
      </c>
      <c r="M15" s="598"/>
      <c r="N15" s="598">
        <f t="shared" ref="N15:O15" si="12">SUMIFS(N$3:N$9,$I$3:$I$9,$G15)+SUMIFS(N$3:N$9,$I$3:$I$9,$H15)+SUMIFS(N$3:N$9,$I$3:$I$9,$F15)</f>
        <v>0</v>
      </c>
      <c r="O15" s="598">
        <f t="shared" si="12"/>
        <v>0</v>
      </c>
      <c r="P15" s="598"/>
      <c r="Q15" s="598"/>
      <c r="R15" s="598"/>
      <c r="S15" s="598">
        <f t="shared" si="13"/>
        <v>25</v>
      </c>
      <c r="T15" s="551"/>
      <c r="U15" s="551"/>
      <c r="V15" s="551"/>
      <c r="W15" s="551"/>
      <c r="X15" s="551"/>
      <c r="Y15" s="551"/>
      <c r="Z15" s="551"/>
      <c r="AA15" s="551"/>
    </row>
    <row r="16" hidden="1">
      <c r="A16" s="593">
        <f t="shared" si="7"/>
        <v>2026</v>
      </c>
      <c r="B16" s="594">
        <v>46025.0</v>
      </c>
      <c r="C16" s="594" t="str">
        <f t="shared" si="8"/>
        <v>January</v>
      </c>
      <c r="D16" s="593" t="str">
        <f t="shared" si="9"/>
        <v>Saturday</v>
      </c>
      <c r="E16" s="595"/>
      <c r="F16" s="596" t="s">
        <v>1461</v>
      </c>
      <c r="G16" s="596"/>
      <c r="H16" s="596"/>
      <c r="I16" s="597">
        <f t="shared" si="10"/>
        <v>1</v>
      </c>
      <c r="J16" s="598">
        <f t="shared" ref="J16:L16" si="14">SUMIFS(J$3:J$9,$I$3:$I$9,$G16)+SUMIFS(J$3:J$9,$I$3:$I$9,$H16)+SUMIFS(J$3:J$9,$I$3:$I$9,$F16)</f>
        <v>25</v>
      </c>
      <c r="K16" s="598">
        <f t="shared" si="14"/>
        <v>0</v>
      </c>
      <c r="L16" s="598">
        <f t="shared" si="14"/>
        <v>0</v>
      </c>
      <c r="M16" s="598"/>
      <c r="N16" s="598">
        <f t="shared" ref="N16:O16" si="15">SUMIFS(N$3:N$9,$I$3:$I$9,$G16)+SUMIFS(N$3:N$9,$I$3:$I$9,$H16)+SUMIFS(N$3:N$9,$I$3:$I$9,$F16)</f>
        <v>0</v>
      </c>
      <c r="O16" s="598">
        <f t="shared" si="15"/>
        <v>0</v>
      </c>
      <c r="P16" s="598"/>
      <c r="Q16" s="598"/>
      <c r="R16" s="598"/>
      <c r="S16" s="598">
        <f t="shared" si="13"/>
        <v>25</v>
      </c>
      <c r="T16" s="551"/>
      <c r="U16" s="551"/>
      <c r="V16" s="551"/>
      <c r="W16" s="551"/>
      <c r="X16" s="551"/>
      <c r="Y16" s="551"/>
      <c r="Z16" s="551"/>
      <c r="AA16" s="551"/>
    </row>
    <row r="17" hidden="1">
      <c r="A17" s="593">
        <f t="shared" si="7"/>
        <v>2026</v>
      </c>
      <c r="B17" s="594">
        <v>46026.0</v>
      </c>
      <c r="C17" s="594" t="str">
        <f t="shared" si="8"/>
        <v>January</v>
      </c>
      <c r="D17" s="593" t="str">
        <f t="shared" si="9"/>
        <v>Sunday</v>
      </c>
      <c r="E17" s="595"/>
      <c r="F17" s="596"/>
      <c r="G17" s="596"/>
      <c r="H17" s="596"/>
      <c r="I17" s="597">
        <f t="shared" si="10"/>
        <v>0</v>
      </c>
      <c r="J17" s="598">
        <f t="shared" ref="J17:L17" si="16">SUMIFS(J$3:J$9,$I$3:$I$9,$G17)+SUMIFS(J$3:J$9,$I$3:$I$9,$H17)+SUMIFS(J$3:J$9,$I$3:$I$9,$F17)</f>
        <v>0</v>
      </c>
      <c r="K17" s="598">
        <f t="shared" si="16"/>
        <v>0</v>
      </c>
      <c r="L17" s="598">
        <f t="shared" si="16"/>
        <v>0</v>
      </c>
      <c r="M17" s="598"/>
      <c r="N17" s="598">
        <f t="shared" ref="N17:O17" si="17">SUMIFS(N$3:N$9,$I$3:$I$9,$G17)+SUMIFS(N$3:N$9,$I$3:$I$9,$H17)+SUMIFS(N$3:N$9,$I$3:$I$9,$F17)</f>
        <v>0</v>
      </c>
      <c r="O17" s="598">
        <f t="shared" si="17"/>
        <v>0</v>
      </c>
      <c r="P17" s="598"/>
      <c r="Q17" s="598"/>
      <c r="R17" s="598"/>
      <c r="S17" s="598">
        <f t="shared" si="13"/>
        <v>0</v>
      </c>
      <c r="T17" s="551"/>
      <c r="U17" s="551"/>
      <c r="V17" s="551"/>
      <c r="W17" s="551"/>
      <c r="X17" s="551"/>
      <c r="Y17" s="551"/>
      <c r="Z17" s="551"/>
      <c r="AA17" s="551"/>
    </row>
    <row r="18" hidden="1">
      <c r="A18" s="593">
        <f t="shared" si="7"/>
        <v>2026</v>
      </c>
      <c r="B18" s="594">
        <v>46027.0</v>
      </c>
      <c r="C18" s="594" t="str">
        <f t="shared" si="8"/>
        <v>January</v>
      </c>
      <c r="D18" s="593" t="str">
        <f t="shared" si="9"/>
        <v>Monday</v>
      </c>
      <c r="E18" s="595"/>
      <c r="F18" s="596" t="s">
        <v>1461</v>
      </c>
      <c r="G18" s="596"/>
      <c r="H18" s="596"/>
      <c r="I18" s="597">
        <f t="shared" si="10"/>
        <v>1</v>
      </c>
      <c r="J18" s="598">
        <f t="shared" ref="J18:L18" si="18">SUMIFS(J$3:J$9,$I$3:$I$9,$G18)+SUMIFS(J$3:J$9,$I$3:$I$9,$H18)+SUMIFS(J$3:J$9,$I$3:$I$9,$F18)</f>
        <v>25</v>
      </c>
      <c r="K18" s="598">
        <f t="shared" si="18"/>
        <v>0</v>
      </c>
      <c r="L18" s="598">
        <f t="shared" si="18"/>
        <v>0</v>
      </c>
      <c r="M18" s="598"/>
      <c r="N18" s="598">
        <f t="shared" ref="N18:O18" si="19">SUMIFS(N$3:N$9,$I$3:$I$9,$G18)+SUMIFS(N$3:N$9,$I$3:$I$9,$H18)+SUMIFS(N$3:N$9,$I$3:$I$9,$F18)</f>
        <v>0</v>
      </c>
      <c r="O18" s="598">
        <f t="shared" si="19"/>
        <v>0</v>
      </c>
      <c r="P18" s="598"/>
      <c r="Q18" s="598"/>
      <c r="R18" s="598"/>
      <c r="S18" s="598">
        <f t="shared" si="13"/>
        <v>25</v>
      </c>
      <c r="T18" s="551"/>
      <c r="U18" s="551"/>
      <c r="V18" s="551"/>
      <c r="W18" s="551"/>
      <c r="X18" s="551"/>
      <c r="Y18" s="551"/>
      <c r="Z18" s="551"/>
      <c r="AA18" s="551"/>
    </row>
    <row r="19" hidden="1">
      <c r="A19" s="593">
        <f t="shared" si="7"/>
        <v>2026</v>
      </c>
      <c r="B19" s="594">
        <v>46028.0</v>
      </c>
      <c r="C19" s="594" t="str">
        <f t="shared" si="8"/>
        <v>January</v>
      </c>
      <c r="D19" s="593" t="str">
        <f t="shared" si="9"/>
        <v>Tuesday</v>
      </c>
      <c r="E19" s="595"/>
      <c r="F19" s="596" t="s">
        <v>1461</v>
      </c>
      <c r="G19" s="596"/>
      <c r="H19" s="596"/>
      <c r="I19" s="597">
        <f t="shared" si="10"/>
        <v>1</v>
      </c>
      <c r="J19" s="598">
        <f t="shared" ref="J19:L19" si="20">SUMIFS(J$3:J$9,$I$3:$I$9,$G19)+SUMIFS(J$3:J$9,$I$3:$I$9,$H19)+SUMIFS(J$3:J$9,$I$3:$I$9,$F19)</f>
        <v>25</v>
      </c>
      <c r="K19" s="598">
        <f t="shared" si="20"/>
        <v>0</v>
      </c>
      <c r="L19" s="598">
        <f t="shared" si="20"/>
        <v>0</v>
      </c>
      <c r="M19" s="598"/>
      <c r="N19" s="598">
        <f t="shared" ref="N19:O19" si="21">SUMIFS(N$3:N$9,$I$3:$I$9,$G19)+SUMIFS(N$3:N$9,$I$3:$I$9,$H19)+SUMIFS(N$3:N$9,$I$3:$I$9,$F19)</f>
        <v>0</v>
      </c>
      <c r="O19" s="598">
        <f t="shared" si="21"/>
        <v>0</v>
      </c>
      <c r="P19" s="598"/>
      <c r="Q19" s="598"/>
      <c r="R19" s="598"/>
      <c r="S19" s="598">
        <f t="shared" si="13"/>
        <v>25</v>
      </c>
      <c r="T19" s="551"/>
      <c r="U19" s="551"/>
      <c r="V19" s="551"/>
      <c r="W19" s="551"/>
      <c r="X19" s="551"/>
      <c r="Y19" s="551"/>
      <c r="Z19" s="551"/>
      <c r="AA19" s="551"/>
    </row>
    <row r="20" hidden="1">
      <c r="A20" s="593">
        <f t="shared" si="7"/>
        <v>2026</v>
      </c>
      <c r="B20" s="594">
        <v>46029.0</v>
      </c>
      <c r="C20" s="594" t="str">
        <f t="shared" si="8"/>
        <v>January</v>
      </c>
      <c r="D20" s="593" t="str">
        <f t="shared" si="9"/>
        <v>Wednesday</v>
      </c>
      <c r="E20" s="595"/>
      <c r="F20" s="596" t="s">
        <v>1461</v>
      </c>
      <c r="G20" s="596"/>
      <c r="H20" s="596"/>
      <c r="I20" s="597">
        <f t="shared" si="10"/>
        <v>1</v>
      </c>
      <c r="J20" s="598">
        <f t="shared" ref="J20:L20" si="22">SUMIFS(J$3:J$9,$I$3:$I$9,$G20)+SUMIFS(J$3:J$9,$I$3:$I$9,$H20)+SUMIFS(J$3:J$9,$I$3:$I$9,$F20)</f>
        <v>25</v>
      </c>
      <c r="K20" s="598">
        <f t="shared" si="22"/>
        <v>0</v>
      </c>
      <c r="L20" s="598">
        <f t="shared" si="22"/>
        <v>0</v>
      </c>
      <c r="M20" s="598"/>
      <c r="N20" s="598">
        <f t="shared" ref="N20:O20" si="23">SUMIFS(N$3:N$9,$I$3:$I$9,$G20)+SUMIFS(N$3:N$9,$I$3:$I$9,$H20)+SUMIFS(N$3:N$9,$I$3:$I$9,$F20)</f>
        <v>0</v>
      </c>
      <c r="O20" s="598">
        <f t="shared" si="23"/>
        <v>0</v>
      </c>
      <c r="P20" s="598"/>
      <c r="Q20" s="598"/>
      <c r="R20" s="598"/>
      <c r="S20" s="598">
        <f t="shared" si="13"/>
        <v>25</v>
      </c>
      <c r="T20" s="551"/>
      <c r="U20" s="551"/>
      <c r="V20" s="551"/>
      <c r="W20" s="551"/>
      <c r="X20" s="551"/>
      <c r="Y20" s="551"/>
      <c r="Z20" s="551"/>
      <c r="AA20" s="551"/>
    </row>
    <row r="21" hidden="1">
      <c r="A21" s="593">
        <f t="shared" si="7"/>
        <v>2026</v>
      </c>
      <c r="B21" s="594">
        <v>46030.0</v>
      </c>
      <c r="C21" s="594" t="str">
        <f t="shared" si="8"/>
        <v>January</v>
      </c>
      <c r="D21" s="593" t="str">
        <f t="shared" si="9"/>
        <v>Thursday</v>
      </c>
      <c r="E21" s="595"/>
      <c r="F21" s="596" t="s">
        <v>1461</v>
      </c>
      <c r="G21" s="596"/>
      <c r="H21" s="596"/>
      <c r="I21" s="597">
        <f t="shared" si="10"/>
        <v>1</v>
      </c>
      <c r="J21" s="598">
        <f t="shared" ref="J21:L21" si="24">SUMIFS(J$3:J$9,$I$3:$I$9,$G21)+SUMIFS(J$3:J$9,$I$3:$I$9,$H21)+SUMIFS(J$3:J$9,$I$3:$I$9,$F21)</f>
        <v>25</v>
      </c>
      <c r="K21" s="598">
        <f t="shared" si="24"/>
        <v>0</v>
      </c>
      <c r="L21" s="598">
        <f t="shared" si="24"/>
        <v>0</v>
      </c>
      <c r="M21" s="598"/>
      <c r="N21" s="598">
        <f t="shared" ref="N21:O21" si="25">SUMIFS(N$3:N$9,$I$3:$I$9,$G21)+SUMIFS(N$3:N$9,$I$3:$I$9,$H21)+SUMIFS(N$3:N$9,$I$3:$I$9,$F21)</f>
        <v>0</v>
      </c>
      <c r="O21" s="598">
        <f t="shared" si="25"/>
        <v>0</v>
      </c>
      <c r="P21" s="598"/>
      <c r="Q21" s="598"/>
      <c r="R21" s="598"/>
      <c r="S21" s="598">
        <f t="shared" si="13"/>
        <v>25</v>
      </c>
      <c r="T21" s="551"/>
      <c r="U21" s="551"/>
      <c r="V21" s="551"/>
      <c r="W21" s="551"/>
      <c r="X21" s="551"/>
      <c r="Y21" s="551"/>
      <c r="Z21" s="551"/>
      <c r="AA21" s="551"/>
    </row>
    <row r="22" hidden="1">
      <c r="A22" s="593">
        <f t="shared" si="7"/>
        <v>2026</v>
      </c>
      <c r="B22" s="594">
        <v>46031.0</v>
      </c>
      <c r="C22" s="594" t="str">
        <f t="shared" si="8"/>
        <v>January</v>
      </c>
      <c r="D22" s="593" t="str">
        <f t="shared" si="9"/>
        <v>Friday</v>
      </c>
      <c r="E22" s="576"/>
      <c r="F22" s="596" t="s">
        <v>1461</v>
      </c>
      <c r="G22" s="596"/>
      <c r="H22" s="596"/>
      <c r="I22" s="597">
        <f t="shared" si="10"/>
        <v>1</v>
      </c>
      <c r="J22" s="598">
        <f t="shared" ref="J22:L22" si="26">SUMIFS(J$3:J$9,$I$3:$I$9,$G22)+SUMIFS(J$3:J$9,$I$3:$I$9,$H22)+SUMIFS(J$3:J$9,$I$3:$I$9,$F22)</f>
        <v>25</v>
      </c>
      <c r="K22" s="598">
        <f t="shared" si="26"/>
        <v>0</v>
      </c>
      <c r="L22" s="598">
        <f t="shared" si="26"/>
        <v>0</v>
      </c>
      <c r="M22" s="598"/>
      <c r="N22" s="598">
        <f t="shared" ref="N22:O22" si="27">SUMIFS(N$3:N$9,$I$3:$I$9,$G22)+SUMIFS(N$3:N$9,$I$3:$I$9,$H22)+SUMIFS(N$3:N$9,$I$3:$I$9,$F22)</f>
        <v>0</v>
      </c>
      <c r="O22" s="598">
        <f t="shared" si="27"/>
        <v>0</v>
      </c>
      <c r="P22" s="598"/>
      <c r="Q22" s="598"/>
      <c r="R22" s="598"/>
      <c r="S22" s="598">
        <f t="shared" si="13"/>
        <v>25</v>
      </c>
      <c r="T22" s="551"/>
      <c r="U22" s="551"/>
      <c r="V22" s="551"/>
      <c r="W22" s="551"/>
      <c r="X22" s="551"/>
      <c r="Y22" s="551"/>
      <c r="Z22" s="551"/>
      <c r="AA22" s="551"/>
    </row>
    <row r="23" hidden="1">
      <c r="A23" s="593">
        <f t="shared" si="7"/>
        <v>2026</v>
      </c>
      <c r="B23" s="594">
        <v>46032.0</v>
      </c>
      <c r="C23" s="594" t="str">
        <f t="shared" si="8"/>
        <v>January</v>
      </c>
      <c r="D23" s="593" t="str">
        <f t="shared" si="9"/>
        <v>Saturday</v>
      </c>
      <c r="E23" s="595"/>
      <c r="F23" s="596" t="s">
        <v>1461</v>
      </c>
      <c r="G23" s="596"/>
      <c r="H23" s="596"/>
      <c r="I23" s="597">
        <f t="shared" si="10"/>
        <v>1</v>
      </c>
      <c r="J23" s="598">
        <f t="shared" ref="J23:L23" si="28">SUMIFS(J$3:J$9,$I$3:$I$9,$G23)+SUMIFS(J$3:J$9,$I$3:$I$9,$H23)+SUMIFS(J$3:J$9,$I$3:$I$9,$F23)</f>
        <v>25</v>
      </c>
      <c r="K23" s="598">
        <f t="shared" si="28"/>
        <v>0</v>
      </c>
      <c r="L23" s="598">
        <f t="shared" si="28"/>
        <v>0</v>
      </c>
      <c r="M23" s="598"/>
      <c r="N23" s="598">
        <f t="shared" ref="N23:O23" si="29">SUMIFS(N$3:N$9,$I$3:$I$9,$G23)+SUMIFS(N$3:N$9,$I$3:$I$9,$H23)+SUMIFS(N$3:N$9,$I$3:$I$9,$F23)</f>
        <v>0</v>
      </c>
      <c r="O23" s="598">
        <f t="shared" si="29"/>
        <v>0</v>
      </c>
      <c r="P23" s="598"/>
      <c r="Q23" s="598"/>
      <c r="R23" s="598"/>
      <c r="S23" s="598">
        <f t="shared" si="13"/>
        <v>25</v>
      </c>
      <c r="T23" s="551"/>
      <c r="U23" s="551"/>
      <c r="V23" s="551"/>
      <c r="W23" s="551"/>
      <c r="X23" s="551"/>
      <c r="Y23" s="551"/>
      <c r="Z23" s="551"/>
      <c r="AA23" s="551"/>
    </row>
    <row r="24" hidden="1">
      <c r="A24" s="593">
        <f t="shared" si="7"/>
        <v>2026</v>
      </c>
      <c r="B24" s="594">
        <v>46033.0</v>
      </c>
      <c r="C24" s="594" t="str">
        <f t="shared" si="8"/>
        <v>January</v>
      </c>
      <c r="D24" s="593" t="str">
        <f t="shared" si="9"/>
        <v>Sunday</v>
      </c>
      <c r="E24" s="595"/>
      <c r="F24" s="596"/>
      <c r="G24" s="596"/>
      <c r="H24" s="596"/>
      <c r="I24" s="597">
        <f t="shared" si="10"/>
        <v>0</v>
      </c>
      <c r="J24" s="598">
        <f t="shared" ref="J24:L24" si="30">SUMIFS(J$3:J$9,$I$3:$I$9,$G24)+SUMIFS(J$3:J$9,$I$3:$I$9,$H24)+SUMIFS(J$3:J$9,$I$3:$I$9,$F24)</f>
        <v>0</v>
      </c>
      <c r="K24" s="598">
        <f t="shared" si="30"/>
        <v>0</v>
      </c>
      <c r="L24" s="598">
        <f t="shared" si="30"/>
        <v>0</v>
      </c>
      <c r="M24" s="598"/>
      <c r="N24" s="598">
        <f t="shared" ref="N24:O24" si="31">SUMIFS(N$3:N$9,$I$3:$I$9,$G24)+SUMIFS(N$3:N$9,$I$3:$I$9,$H24)+SUMIFS(N$3:N$9,$I$3:$I$9,$F24)</f>
        <v>0</v>
      </c>
      <c r="O24" s="598">
        <f t="shared" si="31"/>
        <v>0</v>
      </c>
      <c r="P24" s="598"/>
      <c r="Q24" s="598"/>
      <c r="R24" s="598"/>
      <c r="S24" s="598">
        <f t="shared" si="13"/>
        <v>0</v>
      </c>
      <c r="T24" s="551"/>
      <c r="U24" s="551"/>
      <c r="V24" s="551"/>
      <c r="W24" s="551"/>
      <c r="X24" s="551"/>
      <c r="Y24" s="551"/>
      <c r="Z24" s="551"/>
      <c r="AA24" s="551"/>
    </row>
    <row r="25" hidden="1">
      <c r="A25" s="593">
        <f t="shared" si="7"/>
        <v>2026</v>
      </c>
      <c r="B25" s="594">
        <v>46034.0</v>
      </c>
      <c r="C25" s="594" t="str">
        <f t="shared" si="8"/>
        <v>January</v>
      </c>
      <c r="D25" s="593" t="str">
        <f t="shared" si="9"/>
        <v>Monday</v>
      </c>
      <c r="E25" s="599" t="s">
        <v>1479</v>
      </c>
      <c r="F25" s="596" t="s">
        <v>1461</v>
      </c>
      <c r="G25" s="596"/>
      <c r="H25" s="596"/>
      <c r="I25" s="597">
        <f t="shared" si="10"/>
        <v>1</v>
      </c>
      <c r="J25" s="598">
        <f t="shared" ref="J25:L25" si="32">SUMIFS(J$3:J$9,$I$3:$I$9,$G25)+SUMIFS(J$3:J$9,$I$3:$I$9,$H25)+SUMIFS(J$3:J$9,$I$3:$I$9,$F25)</f>
        <v>25</v>
      </c>
      <c r="K25" s="598">
        <f t="shared" si="32"/>
        <v>0</v>
      </c>
      <c r="L25" s="598">
        <f t="shared" si="32"/>
        <v>0</v>
      </c>
      <c r="M25" s="598"/>
      <c r="N25" s="598">
        <f t="shared" ref="N25:O25" si="33">SUMIFS(N$3:N$9,$I$3:$I$9,$G25)+SUMIFS(N$3:N$9,$I$3:$I$9,$H25)+SUMIFS(N$3:N$9,$I$3:$I$9,$F25)</f>
        <v>0</v>
      </c>
      <c r="O25" s="598">
        <f t="shared" si="33"/>
        <v>0</v>
      </c>
      <c r="P25" s="598"/>
      <c r="Q25" s="598"/>
      <c r="R25" s="598"/>
      <c r="S25" s="598">
        <f t="shared" si="13"/>
        <v>25</v>
      </c>
      <c r="T25" s="551"/>
      <c r="U25" s="551"/>
      <c r="V25" s="551"/>
      <c r="W25" s="551"/>
      <c r="X25" s="551"/>
      <c r="Y25" s="551"/>
      <c r="Z25" s="551"/>
      <c r="AA25" s="551"/>
    </row>
    <row r="26" hidden="1">
      <c r="A26" s="593">
        <f t="shared" si="7"/>
        <v>2026</v>
      </c>
      <c r="B26" s="594">
        <v>46035.0</v>
      </c>
      <c r="C26" s="594" t="str">
        <f t="shared" si="8"/>
        <v>January</v>
      </c>
      <c r="D26" s="593" t="str">
        <f t="shared" si="9"/>
        <v>Tuesday</v>
      </c>
      <c r="E26" s="595"/>
      <c r="F26" s="596" t="s">
        <v>1461</v>
      </c>
      <c r="G26" s="596"/>
      <c r="H26" s="596"/>
      <c r="I26" s="597">
        <f t="shared" si="10"/>
        <v>1</v>
      </c>
      <c r="J26" s="598">
        <f t="shared" ref="J26:L26" si="34">SUMIFS(J$3:J$9,$I$3:$I$9,$G26)+SUMIFS(J$3:J$9,$I$3:$I$9,$H26)+SUMIFS(J$3:J$9,$I$3:$I$9,$F26)</f>
        <v>25</v>
      </c>
      <c r="K26" s="598">
        <f t="shared" si="34"/>
        <v>0</v>
      </c>
      <c r="L26" s="598">
        <f t="shared" si="34"/>
        <v>0</v>
      </c>
      <c r="M26" s="598"/>
      <c r="N26" s="598">
        <f t="shared" ref="N26:O26" si="35">SUMIFS(N$3:N$9,$I$3:$I$9,$G26)+SUMIFS(N$3:N$9,$I$3:$I$9,$H26)+SUMIFS(N$3:N$9,$I$3:$I$9,$F26)</f>
        <v>0</v>
      </c>
      <c r="O26" s="598">
        <f t="shared" si="35"/>
        <v>0</v>
      </c>
      <c r="P26" s="598"/>
      <c r="Q26" s="598"/>
      <c r="R26" s="598"/>
      <c r="S26" s="598">
        <f t="shared" si="13"/>
        <v>25</v>
      </c>
      <c r="T26" s="551"/>
      <c r="U26" s="551"/>
      <c r="V26" s="551"/>
      <c r="W26" s="551"/>
      <c r="X26" s="551"/>
      <c r="Y26" s="551"/>
      <c r="Z26" s="551"/>
      <c r="AA26" s="551"/>
    </row>
    <row r="27" hidden="1">
      <c r="A27" s="593">
        <f t="shared" si="7"/>
        <v>2026</v>
      </c>
      <c r="B27" s="594">
        <v>46036.0</v>
      </c>
      <c r="C27" s="594" t="str">
        <f t="shared" si="8"/>
        <v>January</v>
      </c>
      <c r="D27" s="593" t="str">
        <f t="shared" si="9"/>
        <v>Wednesday</v>
      </c>
      <c r="E27" s="595"/>
      <c r="F27" s="596" t="s">
        <v>1461</v>
      </c>
      <c r="G27" s="596"/>
      <c r="H27" s="596"/>
      <c r="I27" s="597">
        <f t="shared" si="10"/>
        <v>1</v>
      </c>
      <c r="J27" s="598">
        <f t="shared" ref="J27:L27" si="36">SUMIFS(J$3:J$9,$I$3:$I$9,$G27)+SUMIFS(J$3:J$9,$I$3:$I$9,$H27)+SUMIFS(J$3:J$9,$I$3:$I$9,$F27)</f>
        <v>25</v>
      </c>
      <c r="K27" s="598">
        <f t="shared" si="36"/>
        <v>0</v>
      </c>
      <c r="L27" s="598">
        <f t="shared" si="36"/>
        <v>0</v>
      </c>
      <c r="M27" s="598"/>
      <c r="N27" s="598">
        <f t="shared" ref="N27:O27" si="37">SUMIFS(N$3:N$9,$I$3:$I$9,$G27)+SUMIFS(N$3:N$9,$I$3:$I$9,$H27)+SUMIFS(N$3:N$9,$I$3:$I$9,$F27)</f>
        <v>0</v>
      </c>
      <c r="O27" s="598">
        <f t="shared" si="37"/>
        <v>0</v>
      </c>
      <c r="P27" s="598"/>
      <c r="Q27" s="598"/>
      <c r="R27" s="598"/>
      <c r="S27" s="598">
        <f t="shared" si="13"/>
        <v>25</v>
      </c>
      <c r="T27" s="551"/>
      <c r="U27" s="551"/>
      <c r="V27" s="551"/>
      <c r="W27" s="551"/>
      <c r="X27" s="551"/>
      <c r="Y27" s="551"/>
      <c r="Z27" s="551"/>
      <c r="AA27" s="551"/>
    </row>
    <row r="28" hidden="1">
      <c r="A28" s="593">
        <f t="shared" si="7"/>
        <v>2026</v>
      </c>
      <c r="B28" s="594">
        <v>46037.0</v>
      </c>
      <c r="C28" s="594" t="str">
        <f t="shared" si="8"/>
        <v>January</v>
      </c>
      <c r="D28" s="593" t="str">
        <f t="shared" si="9"/>
        <v>Thursday</v>
      </c>
      <c r="E28" s="595"/>
      <c r="F28" s="596" t="s">
        <v>1461</v>
      </c>
      <c r="G28" s="596"/>
      <c r="H28" s="596"/>
      <c r="I28" s="597">
        <f t="shared" si="10"/>
        <v>1</v>
      </c>
      <c r="J28" s="598">
        <f t="shared" ref="J28:L28" si="38">SUMIFS(J$3:J$9,$I$3:$I$9,$G28)+SUMIFS(J$3:J$9,$I$3:$I$9,$H28)+SUMIFS(J$3:J$9,$I$3:$I$9,$F28)</f>
        <v>25</v>
      </c>
      <c r="K28" s="598">
        <f t="shared" si="38"/>
        <v>0</v>
      </c>
      <c r="L28" s="598">
        <f t="shared" si="38"/>
        <v>0</v>
      </c>
      <c r="M28" s="598"/>
      <c r="N28" s="598">
        <f t="shared" ref="N28:O28" si="39">SUMIFS(N$3:N$9,$I$3:$I$9,$G28)+SUMIFS(N$3:N$9,$I$3:$I$9,$H28)+SUMIFS(N$3:N$9,$I$3:$I$9,$F28)</f>
        <v>0</v>
      </c>
      <c r="O28" s="598">
        <f t="shared" si="39"/>
        <v>0</v>
      </c>
      <c r="P28" s="598"/>
      <c r="Q28" s="598"/>
      <c r="R28" s="598"/>
      <c r="S28" s="598">
        <f t="shared" si="13"/>
        <v>25</v>
      </c>
      <c r="T28" s="551"/>
      <c r="U28" s="551"/>
      <c r="V28" s="551"/>
      <c r="W28" s="551"/>
      <c r="X28" s="551"/>
      <c r="Y28" s="551"/>
      <c r="Z28" s="551"/>
      <c r="AA28" s="551"/>
    </row>
    <row r="29" hidden="1">
      <c r="A29" s="593">
        <f t="shared" si="7"/>
        <v>2026</v>
      </c>
      <c r="B29" s="594">
        <v>46038.0</v>
      </c>
      <c r="C29" s="594" t="str">
        <f t="shared" si="8"/>
        <v>January</v>
      </c>
      <c r="D29" s="593" t="str">
        <f t="shared" si="9"/>
        <v>Friday</v>
      </c>
      <c r="E29" s="595"/>
      <c r="F29" s="596" t="s">
        <v>1461</v>
      </c>
      <c r="G29" s="596"/>
      <c r="H29" s="596"/>
      <c r="I29" s="597">
        <f t="shared" si="10"/>
        <v>1</v>
      </c>
      <c r="J29" s="598">
        <f t="shared" ref="J29:L29" si="40">SUMIFS(J$3:J$9,$I$3:$I$9,$G29)+SUMIFS(J$3:J$9,$I$3:$I$9,$H29)+SUMIFS(J$3:J$9,$I$3:$I$9,$F29)</f>
        <v>25</v>
      </c>
      <c r="K29" s="598">
        <f t="shared" si="40"/>
        <v>0</v>
      </c>
      <c r="L29" s="598">
        <f t="shared" si="40"/>
        <v>0</v>
      </c>
      <c r="M29" s="598"/>
      <c r="N29" s="598">
        <f t="shared" ref="N29:O29" si="41">SUMIFS(N$3:N$9,$I$3:$I$9,$G29)+SUMIFS(N$3:N$9,$I$3:$I$9,$H29)+SUMIFS(N$3:N$9,$I$3:$I$9,$F29)</f>
        <v>0</v>
      </c>
      <c r="O29" s="598">
        <f t="shared" si="41"/>
        <v>0</v>
      </c>
      <c r="P29" s="598"/>
      <c r="Q29" s="598"/>
      <c r="R29" s="598"/>
      <c r="S29" s="598">
        <f t="shared" si="13"/>
        <v>25</v>
      </c>
      <c r="T29" s="551"/>
      <c r="U29" s="551"/>
      <c r="V29" s="551"/>
      <c r="W29" s="551"/>
      <c r="X29" s="551"/>
      <c r="Y29" s="551"/>
      <c r="Z29" s="551"/>
      <c r="AA29" s="551"/>
    </row>
    <row r="30" hidden="1">
      <c r="A30" s="593">
        <f t="shared" si="7"/>
        <v>2026</v>
      </c>
      <c r="B30" s="594">
        <v>46039.0</v>
      </c>
      <c r="C30" s="594" t="str">
        <f t="shared" si="8"/>
        <v>January</v>
      </c>
      <c r="D30" s="593" t="str">
        <f t="shared" si="9"/>
        <v>Saturday</v>
      </c>
      <c r="E30" s="595"/>
      <c r="F30" s="596" t="s">
        <v>1461</v>
      </c>
      <c r="G30" s="596"/>
      <c r="H30" s="596"/>
      <c r="I30" s="597">
        <f t="shared" si="10"/>
        <v>1</v>
      </c>
      <c r="J30" s="598">
        <f t="shared" ref="J30:L30" si="42">SUMIFS(J$3:J$9,$I$3:$I$9,$G30)+SUMIFS(J$3:J$9,$I$3:$I$9,$H30)+SUMIFS(J$3:J$9,$I$3:$I$9,$F30)</f>
        <v>25</v>
      </c>
      <c r="K30" s="598">
        <f t="shared" si="42"/>
        <v>0</v>
      </c>
      <c r="L30" s="598">
        <f t="shared" si="42"/>
        <v>0</v>
      </c>
      <c r="M30" s="598"/>
      <c r="N30" s="598">
        <f t="shared" ref="N30:O30" si="43">SUMIFS(N$3:N$9,$I$3:$I$9,$G30)+SUMIFS(N$3:N$9,$I$3:$I$9,$H30)+SUMIFS(N$3:N$9,$I$3:$I$9,$F30)</f>
        <v>0</v>
      </c>
      <c r="O30" s="598">
        <f t="shared" si="43"/>
        <v>0</v>
      </c>
      <c r="P30" s="598"/>
      <c r="Q30" s="598"/>
      <c r="R30" s="598"/>
      <c r="S30" s="598">
        <f t="shared" si="13"/>
        <v>25</v>
      </c>
      <c r="T30" s="551"/>
      <c r="U30" s="551"/>
      <c r="V30" s="551"/>
      <c r="W30" s="551"/>
      <c r="X30" s="551"/>
      <c r="Y30" s="551"/>
      <c r="Z30" s="551"/>
      <c r="AA30" s="551"/>
    </row>
    <row r="31" hidden="1">
      <c r="A31" s="593">
        <f t="shared" si="7"/>
        <v>2026</v>
      </c>
      <c r="B31" s="594">
        <v>46040.0</v>
      </c>
      <c r="C31" s="594" t="str">
        <f t="shared" si="8"/>
        <v>January</v>
      </c>
      <c r="D31" s="593" t="str">
        <f t="shared" si="9"/>
        <v>Sunday</v>
      </c>
      <c r="E31" s="595"/>
      <c r="F31" s="596"/>
      <c r="G31" s="596"/>
      <c r="H31" s="596"/>
      <c r="I31" s="597">
        <f t="shared" si="10"/>
        <v>0</v>
      </c>
      <c r="J31" s="598">
        <f t="shared" ref="J31:L31" si="44">SUMIFS(J$3:J$9,$I$3:$I$9,$G31)+SUMIFS(J$3:J$9,$I$3:$I$9,$H31)+SUMIFS(J$3:J$9,$I$3:$I$9,$F31)</f>
        <v>0</v>
      </c>
      <c r="K31" s="598">
        <f t="shared" si="44"/>
        <v>0</v>
      </c>
      <c r="L31" s="598">
        <f t="shared" si="44"/>
        <v>0</v>
      </c>
      <c r="M31" s="598"/>
      <c r="N31" s="598">
        <f t="shared" ref="N31:O31" si="45">SUMIFS(N$3:N$9,$I$3:$I$9,$G31)+SUMIFS(N$3:N$9,$I$3:$I$9,$H31)+SUMIFS(N$3:N$9,$I$3:$I$9,$F31)</f>
        <v>0</v>
      </c>
      <c r="O31" s="598">
        <f t="shared" si="45"/>
        <v>0</v>
      </c>
      <c r="P31" s="598"/>
      <c r="Q31" s="598"/>
      <c r="R31" s="598"/>
      <c r="S31" s="598">
        <f t="shared" si="13"/>
        <v>0</v>
      </c>
      <c r="T31" s="551"/>
      <c r="U31" s="551"/>
      <c r="V31" s="551"/>
      <c r="W31" s="551"/>
      <c r="X31" s="551"/>
      <c r="Y31" s="551"/>
      <c r="Z31" s="551"/>
      <c r="AA31" s="551"/>
    </row>
    <row r="32" hidden="1">
      <c r="A32" s="593">
        <f t="shared" si="7"/>
        <v>2026</v>
      </c>
      <c r="B32" s="594">
        <v>46041.0</v>
      </c>
      <c r="C32" s="594" t="str">
        <f t="shared" si="8"/>
        <v>January</v>
      </c>
      <c r="D32" s="593" t="str">
        <f t="shared" si="9"/>
        <v>Monday</v>
      </c>
      <c r="E32" s="595"/>
      <c r="F32" s="596" t="s">
        <v>1461</v>
      </c>
      <c r="G32" s="596"/>
      <c r="H32" s="596"/>
      <c r="I32" s="597">
        <f t="shared" si="10"/>
        <v>1</v>
      </c>
      <c r="J32" s="598">
        <f t="shared" ref="J32:L32" si="46">SUMIFS(J$3:J$9,$I$3:$I$9,$G32)+SUMIFS(J$3:J$9,$I$3:$I$9,$H32)+SUMIFS(J$3:J$9,$I$3:$I$9,$F32)</f>
        <v>25</v>
      </c>
      <c r="K32" s="598">
        <f t="shared" si="46"/>
        <v>0</v>
      </c>
      <c r="L32" s="598">
        <f t="shared" si="46"/>
        <v>0</v>
      </c>
      <c r="M32" s="598"/>
      <c r="N32" s="598">
        <f t="shared" ref="N32:O32" si="47">SUMIFS(N$3:N$9,$I$3:$I$9,$G32)+SUMIFS(N$3:N$9,$I$3:$I$9,$H32)+SUMIFS(N$3:N$9,$I$3:$I$9,$F32)</f>
        <v>0</v>
      </c>
      <c r="O32" s="598">
        <f t="shared" si="47"/>
        <v>0</v>
      </c>
      <c r="P32" s="598"/>
      <c r="Q32" s="598"/>
      <c r="R32" s="598"/>
      <c r="S32" s="598">
        <f t="shared" si="13"/>
        <v>25</v>
      </c>
      <c r="T32" s="551"/>
      <c r="U32" s="551"/>
      <c r="V32" s="551"/>
      <c r="W32" s="551"/>
      <c r="X32" s="551"/>
      <c r="Y32" s="551"/>
      <c r="Z32" s="551"/>
      <c r="AA32" s="551"/>
    </row>
    <row r="33" hidden="1">
      <c r="A33" s="593">
        <f t="shared" si="7"/>
        <v>2026</v>
      </c>
      <c r="B33" s="594">
        <v>46042.0</v>
      </c>
      <c r="C33" s="594" t="str">
        <f t="shared" si="8"/>
        <v>January</v>
      </c>
      <c r="D33" s="593" t="str">
        <f t="shared" si="9"/>
        <v>Tuesday</v>
      </c>
      <c r="E33" s="595"/>
      <c r="F33" s="596" t="s">
        <v>1461</v>
      </c>
      <c r="G33" s="596"/>
      <c r="H33" s="596"/>
      <c r="I33" s="597">
        <f t="shared" si="10"/>
        <v>1</v>
      </c>
      <c r="J33" s="598">
        <f t="shared" ref="J33:L33" si="48">SUMIFS(J$3:J$9,$I$3:$I$9,$G33)+SUMIFS(J$3:J$9,$I$3:$I$9,$H33)+SUMIFS(J$3:J$9,$I$3:$I$9,$F33)</f>
        <v>25</v>
      </c>
      <c r="K33" s="598">
        <f t="shared" si="48"/>
        <v>0</v>
      </c>
      <c r="L33" s="598">
        <f t="shared" si="48"/>
        <v>0</v>
      </c>
      <c r="M33" s="598"/>
      <c r="N33" s="598">
        <f t="shared" ref="N33:O33" si="49">SUMIFS(N$3:N$9,$I$3:$I$9,$G33)+SUMIFS(N$3:N$9,$I$3:$I$9,$H33)+SUMIFS(N$3:N$9,$I$3:$I$9,$F33)</f>
        <v>0</v>
      </c>
      <c r="O33" s="598">
        <f t="shared" si="49"/>
        <v>0</v>
      </c>
      <c r="P33" s="598"/>
      <c r="Q33" s="598"/>
      <c r="R33" s="598"/>
      <c r="S33" s="598">
        <f t="shared" si="13"/>
        <v>25</v>
      </c>
      <c r="T33" s="551"/>
      <c r="U33" s="551"/>
      <c r="V33" s="551"/>
      <c r="W33" s="551"/>
      <c r="X33" s="551"/>
      <c r="Y33" s="551"/>
      <c r="Z33" s="551"/>
      <c r="AA33" s="551"/>
    </row>
    <row r="34" hidden="1">
      <c r="A34" s="593">
        <f t="shared" si="7"/>
        <v>2026</v>
      </c>
      <c r="B34" s="594">
        <v>46043.0</v>
      </c>
      <c r="C34" s="594" t="str">
        <f t="shared" si="8"/>
        <v>January</v>
      </c>
      <c r="D34" s="593" t="str">
        <f t="shared" si="9"/>
        <v>Wednesday</v>
      </c>
      <c r="E34" s="595"/>
      <c r="F34" s="596" t="s">
        <v>1461</v>
      </c>
      <c r="G34" s="596"/>
      <c r="H34" s="596"/>
      <c r="I34" s="597">
        <f t="shared" si="10"/>
        <v>1</v>
      </c>
      <c r="J34" s="598">
        <f t="shared" ref="J34:L34" si="50">SUMIFS(J$3:J$9,$I$3:$I$9,$G34)+SUMIFS(J$3:J$9,$I$3:$I$9,$H34)+SUMIFS(J$3:J$9,$I$3:$I$9,$F34)</f>
        <v>25</v>
      </c>
      <c r="K34" s="598">
        <f t="shared" si="50"/>
        <v>0</v>
      </c>
      <c r="L34" s="598">
        <f t="shared" si="50"/>
        <v>0</v>
      </c>
      <c r="M34" s="598"/>
      <c r="N34" s="598">
        <f t="shared" ref="N34:O34" si="51">SUMIFS(N$3:N$9,$I$3:$I$9,$G34)+SUMIFS(N$3:N$9,$I$3:$I$9,$H34)+SUMIFS(N$3:N$9,$I$3:$I$9,$F34)</f>
        <v>0</v>
      </c>
      <c r="O34" s="598">
        <f t="shared" si="51"/>
        <v>0</v>
      </c>
      <c r="P34" s="598"/>
      <c r="Q34" s="598"/>
      <c r="R34" s="598"/>
      <c r="S34" s="598">
        <f t="shared" si="13"/>
        <v>25</v>
      </c>
      <c r="T34" s="551"/>
      <c r="U34" s="551"/>
      <c r="V34" s="551"/>
      <c r="W34" s="551"/>
      <c r="X34" s="551"/>
      <c r="Y34" s="551"/>
      <c r="Z34" s="551"/>
      <c r="AA34" s="551"/>
    </row>
    <row r="35" hidden="1">
      <c r="A35" s="593">
        <f t="shared" si="7"/>
        <v>2026</v>
      </c>
      <c r="B35" s="594">
        <v>46044.0</v>
      </c>
      <c r="C35" s="594" t="str">
        <f t="shared" si="8"/>
        <v>January</v>
      </c>
      <c r="D35" s="593" t="str">
        <f t="shared" si="9"/>
        <v>Thursday</v>
      </c>
      <c r="E35" s="595"/>
      <c r="F35" s="596" t="s">
        <v>1461</v>
      </c>
      <c r="G35" s="596"/>
      <c r="H35" s="596"/>
      <c r="I35" s="597">
        <f t="shared" si="10"/>
        <v>1</v>
      </c>
      <c r="J35" s="598">
        <f t="shared" ref="J35:L35" si="52">SUMIFS(J$3:J$9,$I$3:$I$9,$G35)+SUMIFS(J$3:J$9,$I$3:$I$9,$H35)+SUMIFS(J$3:J$9,$I$3:$I$9,$F35)</f>
        <v>25</v>
      </c>
      <c r="K35" s="598">
        <f t="shared" si="52"/>
        <v>0</v>
      </c>
      <c r="L35" s="598">
        <f t="shared" si="52"/>
        <v>0</v>
      </c>
      <c r="M35" s="598"/>
      <c r="N35" s="598">
        <f t="shared" ref="N35:O35" si="53">SUMIFS(N$3:N$9,$I$3:$I$9,$G35)+SUMIFS(N$3:N$9,$I$3:$I$9,$H35)+SUMIFS(N$3:N$9,$I$3:$I$9,$F35)</f>
        <v>0</v>
      </c>
      <c r="O35" s="598">
        <f t="shared" si="53"/>
        <v>0</v>
      </c>
      <c r="P35" s="598"/>
      <c r="Q35" s="598"/>
      <c r="R35" s="598"/>
      <c r="S35" s="598">
        <f t="shared" si="13"/>
        <v>25</v>
      </c>
      <c r="T35" s="551"/>
      <c r="U35" s="551"/>
      <c r="V35" s="551"/>
      <c r="W35" s="551"/>
      <c r="X35" s="551"/>
      <c r="Y35" s="551"/>
      <c r="Z35" s="551"/>
      <c r="AA35" s="551"/>
    </row>
    <row r="36" hidden="1">
      <c r="A36" s="593">
        <f t="shared" si="7"/>
        <v>2026</v>
      </c>
      <c r="B36" s="594">
        <v>46045.0</v>
      </c>
      <c r="C36" s="594" t="str">
        <f t="shared" si="8"/>
        <v>January</v>
      </c>
      <c r="D36" s="593" t="str">
        <f t="shared" si="9"/>
        <v>Friday</v>
      </c>
      <c r="E36" s="595"/>
      <c r="F36" s="596" t="s">
        <v>1461</v>
      </c>
      <c r="G36" s="596"/>
      <c r="H36" s="596"/>
      <c r="I36" s="597">
        <f t="shared" si="10"/>
        <v>1</v>
      </c>
      <c r="J36" s="598">
        <f t="shared" ref="J36:L36" si="54">SUMIFS(J$3:J$9,$I$3:$I$9,$G36)+SUMIFS(J$3:J$9,$I$3:$I$9,$H36)+SUMIFS(J$3:J$9,$I$3:$I$9,$F36)</f>
        <v>25</v>
      </c>
      <c r="K36" s="598">
        <f t="shared" si="54"/>
        <v>0</v>
      </c>
      <c r="L36" s="598">
        <f t="shared" si="54"/>
        <v>0</v>
      </c>
      <c r="M36" s="598"/>
      <c r="N36" s="598">
        <f t="shared" ref="N36:O36" si="55">SUMIFS(N$3:N$9,$I$3:$I$9,$G36)+SUMIFS(N$3:N$9,$I$3:$I$9,$H36)+SUMIFS(N$3:N$9,$I$3:$I$9,$F36)</f>
        <v>0</v>
      </c>
      <c r="O36" s="598">
        <f t="shared" si="55"/>
        <v>0</v>
      </c>
      <c r="P36" s="598"/>
      <c r="Q36" s="598"/>
      <c r="R36" s="598"/>
      <c r="S36" s="598">
        <f t="shared" si="13"/>
        <v>25</v>
      </c>
      <c r="T36" s="551"/>
      <c r="U36" s="551"/>
      <c r="V36" s="551"/>
      <c r="W36" s="551"/>
      <c r="X36" s="551"/>
      <c r="Y36" s="551"/>
      <c r="Z36" s="551"/>
      <c r="AA36" s="551"/>
    </row>
    <row r="37" hidden="1">
      <c r="A37" s="593">
        <f t="shared" si="7"/>
        <v>2026</v>
      </c>
      <c r="B37" s="594">
        <v>46046.0</v>
      </c>
      <c r="C37" s="594" t="str">
        <f t="shared" si="8"/>
        <v>January</v>
      </c>
      <c r="D37" s="593" t="str">
        <f t="shared" si="9"/>
        <v>Saturday</v>
      </c>
      <c r="E37" s="595"/>
      <c r="F37" s="596" t="s">
        <v>1461</v>
      </c>
      <c r="G37" s="596"/>
      <c r="H37" s="596"/>
      <c r="I37" s="597">
        <f t="shared" si="10"/>
        <v>1</v>
      </c>
      <c r="J37" s="598">
        <f t="shared" ref="J37:L37" si="56">SUMIFS(J$3:J$9,$I$3:$I$9,$G37)+SUMIFS(J$3:J$9,$I$3:$I$9,$H37)+SUMIFS(J$3:J$9,$I$3:$I$9,$F37)</f>
        <v>25</v>
      </c>
      <c r="K37" s="598">
        <f t="shared" si="56"/>
        <v>0</v>
      </c>
      <c r="L37" s="598">
        <f t="shared" si="56"/>
        <v>0</v>
      </c>
      <c r="M37" s="598"/>
      <c r="N37" s="598">
        <f t="shared" ref="N37:O37" si="57">SUMIFS(N$3:N$9,$I$3:$I$9,$G37)+SUMIFS(N$3:N$9,$I$3:$I$9,$H37)+SUMIFS(N$3:N$9,$I$3:$I$9,$F37)</f>
        <v>0</v>
      </c>
      <c r="O37" s="598">
        <f t="shared" si="57"/>
        <v>0</v>
      </c>
      <c r="P37" s="598"/>
      <c r="Q37" s="598"/>
      <c r="R37" s="598"/>
      <c r="S37" s="598">
        <f t="shared" si="13"/>
        <v>25</v>
      </c>
      <c r="T37" s="551"/>
      <c r="U37" s="551"/>
      <c r="V37" s="551"/>
      <c r="W37" s="551"/>
      <c r="X37" s="551"/>
      <c r="Y37" s="551"/>
      <c r="Z37" s="551"/>
      <c r="AA37" s="551"/>
    </row>
    <row r="38" hidden="1">
      <c r="A38" s="593">
        <f t="shared" si="7"/>
        <v>2026</v>
      </c>
      <c r="B38" s="594">
        <v>46047.0</v>
      </c>
      <c r="C38" s="594" t="str">
        <f t="shared" si="8"/>
        <v>January</v>
      </c>
      <c r="D38" s="593" t="str">
        <f t="shared" si="9"/>
        <v>Sunday</v>
      </c>
      <c r="E38" s="595"/>
      <c r="F38" s="596"/>
      <c r="G38" s="596"/>
      <c r="H38" s="596"/>
      <c r="I38" s="597">
        <f t="shared" si="10"/>
        <v>0</v>
      </c>
      <c r="J38" s="598">
        <f t="shared" ref="J38:L38" si="58">SUMIFS(J$3:J$9,$I$3:$I$9,$G38)+SUMIFS(J$3:J$9,$I$3:$I$9,$H38)+SUMIFS(J$3:J$9,$I$3:$I$9,$F38)</f>
        <v>0</v>
      </c>
      <c r="K38" s="598">
        <f t="shared" si="58"/>
        <v>0</v>
      </c>
      <c r="L38" s="598">
        <f t="shared" si="58"/>
        <v>0</v>
      </c>
      <c r="M38" s="598"/>
      <c r="N38" s="598">
        <f t="shared" ref="N38:O38" si="59">SUMIFS(N$3:N$9,$I$3:$I$9,$G38)+SUMIFS(N$3:N$9,$I$3:$I$9,$H38)+SUMIFS(N$3:N$9,$I$3:$I$9,$F38)</f>
        <v>0</v>
      </c>
      <c r="O38" s="598">
        <f t="shared" si="59"/>
        <v>0</v>
      </c>
      <c r="P38" s="598"/>
      <c r="Q38" s="598"/>
      <c r="R38" s="598"/>
      <c r="S38" s="598">
        <f t="shared" si="13"/>
        <v>0</v>
      </c>
      <c r="T38" s="551"/>
      <c r="U38" s="551"/>
      <c r="V38" s="551"/>
      <c r="W38" s="551"/>
      <c r="X38" s="551"/>
      <c r="Y38" s="551"/>
      <c r="Z38" s="551"/>
      <c r="AA38" s="551"/>
    </row>
    <row r="39" hidden="1">
      <c r="A39" s="593">
        <f t="shared" si="7"/>
        <v>2026</v>
      </c>
      <c r="B39" s="594">
        <v>46048.0</v>
      </c>
      <c r="C39" s="594" t="str">
        <f t="shared" si="8"/>
        <v>January</v>
      </c>
      <c r="D39" s="593" t="str">
        <f t="shared" si="9"/>
        <v>Monday</v>
      </c>
      <c r="E39" s="595"/>
      <c r="F39" s="596" t="s">
        <v>1461</v>
      </c>
      <c r="G39" s="596"/>
      <c r="H39" s="596"/>
      <c r="I39" s="597">
        <f t="shared" si="10"/>
        <v>1</v>
      </c>
      <c r="J39" s="598">
        <f t="shared" ref="J39:L39" si="60">SUMIFS(J$3:J$9,$I$3:$I$9,$G39)+SUMIFS(J$3:J$9,$I$3:$I$9,$H39)+SUMIFS(J$3:J$9,$I$3:$I$9,$F39)</f>
        <v>25</v>
      </c>
      <c r="K39" s="598">
        <f t="shared" si="60"/>
        <v>0</v>
      </c>
      <c r="L39" s="598">
        <f t="shared" si="60"/>
        <v>0</v>
      </c>
      <c r="M39" s="598"/>
      <c r="N39" s="598">
        <f t="shared" ref="N39:O39" si="61">SUMIFS(N$3:N$9,$I$3:$I$9,$G39)+SUMIFS(N$3:N$9,$I$3:$I$9,$H39)+SUMIFS(N$3:N$9,$I$3:$I$9,$F39)</f>
        <v>0</v>
      </c>
      <c r="O39" s="598">
        <f t="shared" si="61"/>
        <v>0</v>
      </c>
      <c r="P39" s="598"/>
      <c r="Q39" s="598"/>
      <c r="R39" s="598"/>
      <c r="S39" s="598">
        <f t="shared" si="13"/>
        <v>25</v>
      </c>
      <c r="T39" s="551"/>
      <c r="U39" s="551"/>
      <c r="V39" s="551"/>
      <c r="W39" s="551"/>
      <c r="X39" s="551"/>
      <c r="Y39" s="551"/>
      <c r="Z39" s="551"/>
      <c r="AA39" s="551"/>
    </row>
    <row r="40" hidden="1">
      <c r="A40" s="593">
        <f t="shared" si="7"/>
        <v>2026</v>
      </c>
      <c r="B40" s="594">
        <v>46049.0</v>
      </c>
      <c r="C40" s="594" t="str">
        <f t="shared" si="8"/>
        <v>January</v>
      </c>
      <c r="D40" s="593" t="str">
        <f t="shared" si="9"/>
        <v>Tuesday</v>
      </c>
      <c r="E40" s="595"/>
      <c r="F40" s="596" t="s">
        <v>1461</v>
      </c>
      <c r="G40" s="596"/>
      <c r="H40" s="596"/>
      <c r="I40" s="597">
        <f t="shared" si="10"/>
        <v>1</v>
      </c>
      <c r="J40" s="598">
        <f t="shared" ref="J40:L40" si="62">SUMIFS(J$3:J$9,$I$3:$I$9,$G40)+SUMIFS(J$3:J$9,$I$3:$I$9,$H40)+SUMIFS(J$3:J$9,$I$3:$I$9,$F40)</f>
        <v>25</v>
      </c>
      <c r="K40" s="598">
        <f t="shared" si="62"/>
        <v>0</v>
      </c>
      <c r="L40" s="598">
        <f t="shared" si="62"/>
        <v>0</v>
      </c>
      <c r="M40" s="598"/>
      <c r="N40" s="598">
        <f t="shared" ref="N40:O40" si="63">SUMIFS(N$3:N$9,$I$3:$I$9,$G40)+SUMIFS(N$3:N$9,$I$3:$I$9,$H40)+SUMIFS(N$3:N$9,$I$3:$I$9,$F40)</f>
        <v>0</v>
      </c>
      <c r="O40" s="598">
        <f t="shared" si="63"/>
        <v>0</v>
      </c>
      <c r="P40" s="598"/>
      <c r="Q40" s="598"/>
      <c r="R40" s="598"/>
      <c r="S40" s="598">
        <f t="shared" si="13"/>
        <v>25</v>
      </c>
      <c r="T40" s="551"/>
      <c r="U40" s="551"/>
      <c r="V40" s="551"/>
      <c r="W40" s="551"/>
      <c r="X40" s="551"/>
      <c r="Y40" s="551"/>
      <c r="Z40" s="551"/>
      <c r="AA40" s="551"/>
    </row>
    <row r="41" hidden="1">
      <c r="A41" s="593">
        <f t="shared" si="7"/>
        <v>2026</v>
      </c>
      <c r="B41" s="594">
        <v>46050.0</v>
      </c>
      <c r="C41" s="594" t="str">
        <f t="shared" si="8"/>
        <v>January</v>
      </c>
      <c r="D41" s="593" t="str">
        <f t="shared" si="9"/>
        <v>Wednesday</v>
      </c>
      <c r="E41" s="595"/>
      <c r="F41" s="596" t="s">
        <v>1461</v>
      </c>
      <c r="G41" s="596"/>
      <c r="H41" s="596"/>
      <c r="I41" s="597">
        <f t="shared" si="10"/>
        <v>1</v>
      </c>
      <c r="J41" s="598">
        <f t="shared" ref="J41:L41" si="64">SUMIFS(J$3:J$9,$I$3:$I$9,$G41)+SUMIFS(J$3:J$9,$I$3:$I$9,$H41)+SUMIFS(J$3:J$9,$I$3:$I$9,$F41)</f>
        <v>25</v>
      </c>
      <c r="K41" s="598">
        <f t="shared" si="64"/>
        <v>0</v>
      </c>
      <c r="L41" s="598">
        <f t="shared" si="64"/>
        <v>0</v>
      </c>
      <c r="M41" s="598"/>
      <c r="N41" s="598">
        <f t="shared" ref="N41:O41" si="65">SUMIFS(N$3:N$9,$I$3:$I$9,$G41)+SUMIFS(N$3:N$9,$I$3:$I$9,$H41)+SUMIFS(N$3:N$9,$I$3:$I$9,$F41)</f>
        <v>0</v>
      </c>
      <c r="O41" s="598">
        <f t="shared" si="65"/>
        <v>0</v>
      </c>
      <c r="P41" s="598"/>
      <c r="Q41" s="598"/>
      <c r="R41" s="598"/>
      <c r="S41" s="598">
        <f t="shared" si="13"/>
        <v>25</v>
      </c>
      <c r="T41" s="551"/>
      <c r="U41" s="551"/>
      <c r="V41" s="551"/>
      <c r="W41" s="551"/>
      <c r="X41" s="551"/>
      <c r="Y41" s="551"/>
      <c r="Z41" s="551"/>
      <c r="AA41" s="551"/>
    </row>
    <row r="42" hidden="1">
      <c r="A42" s="593">
        <f t="shared" si="7"/>
        <v>2026</v>
      </c>
      <c r="B42" s="594">
        <v>46051.0</v>
      </c>
      <c r="C42" s="594" t="str">
        <f t="shared" si="8"/>
        <v>January</v>
      </c>
      <c r="D42" s="593" t="str">
        <f t="shared" si="9"/>
        <v>Thursday</v>
      </c>
      <c r="E42" s="595"/>
      <c r="F42" s="596" t="s">
        <v>1461</v>
      </c>
      <c r="G42" s="596"/>
      <c r="H42" s="596"/>
      <c r="I42" s="597">
        <f t="shared" si="10"/>
        <v>1</v>
      </c>
      <c r="J42" s="598">
        <f t="shared" ref="J42:L42" si="66">SUMIFS(J$3:J$9,$I$3:$I$9,$G42)+SUMIFS(J$3:J$9,$I$3:$I$9,$H42)+SUMIFS(J$3:J$9,$I$3:$I$9,$F42)</f>
        <v>25</v>
      </c>
      <c r="K42" s="598">
        <f t="shared" si="66"/>
        <v>0</v>
      </c>
      <c r="L42" s="598">
        <f t="shared" si="66"/>
        <v>0</v>
      </c>
      <c r="M42" s="598"/>
      <c r="N42" s="598">
        <f t="shared" ref="N42:O42" si="67">SUMIFS(N$3:N$9,$I$3:$I$9,$G42)+SUMIFS(N$3:N$9,$I$3:$I$9,$H42)+SUMIFS(N$3:N$9,$I$3:$I$9,$F42)</f>
        <v>0</v>
      </c>
      <c r="O42" s="598">
        <f t="shared" si="67"/>
        <v>0</v>
      </c>
      <c r="P42" s="598"/>
      <c r="Q42" s="598"/>
      <c r="R42" s="598"/>
      <c r="S42" s="598">
        <f t="shared" si="13"/>
        <v>25</v>
      </c>
      <c r="T42" s="551"/>
      <c r="U42" s="551"/>
      <c r="V42" s="551"/>
      <c r="W42" s="551"/>
      <c r="X42" s="551"/>
      <c r="Y42" s="551"/>
      <c r="Z42" s="551"/>
      <c r="AA42" s="551"/>
    </row>
    <row r="43" hidden="1">
      <c r="A43" s="593">
        <f t="shared" si="7"/>
        <v>2026</v>
      </c>
      <c r="B43" s="594">
        <v>46052.0</v>
      </c>
      <c r="C43" s="594" t="str">
        <f t="shared" si="8"/>
        <v>January</v>
      </c>
      <c r="D43" s="593" t="str">
        <f t="shared" si="9"/>
        <v>Friday</v>
      </c>
      <c r="E43" s="595"/>
      <c r="F43" s="596" t="s">
        <v>1461</v>
      </c>
      <c r="G43" s="596"/>
      <c r="H43" s="596"/>
      <c r="I43" s="597">
        <f t="shared" si="10"/>
        <v>1</v>
      </c>
      <c r="J43" s="598">
        <f t="shared" ref="J43:L43" si="68">SUMIFS(J$3:J$9,$I$3:$I$9,$G43)+SUMIFS(J$3:J$9,$I$3:$I$9,$H43)+SUMIFS(J$3:J$9,$I$3:$I$9,$F43)</f>
        <v>25</v>
      </c>
      <c r="K43" s="598">
        <f t="shared" si="68"/>
        <v>0</v>
      </c>
      <c r="L43" s="598">
        <f t="shared" si="68"/>
        <v>0</v>
      </c>
      <c r="M43" s="598"/>
      <c r="N43" s="598">
        <f t="shared" ref="N43:O43" si="69">SUMIFS(N$3:N$9,$I$3:$I$9,$G43)+SUMIFS(N$3:N$9,$I$3:$I$9,$H43)+SUMIFS(N$3:N$9,$I$3:$I$9,$F43)</f>
        <v>0</v>
      </c>
      <c r="O43" s="598">
        <f t="shared" si="69"/>
        <v>0</v>
      </c>
      <c r="P43" s="598"/>
      <c r="Q43" s="598"/>
      <c r="R43" s="598"/>
      <c r="S43" s="598">
        <f t="shared" si="13"/>
        <v>25</v>
      </c>
      <c r="T43" s="551"/>
      <c r="U43" s="551"/>
      <c r="V43" s="551"/>
      <c r="W43" s="551"/>
      <c r="X43" s="551"/>
      <c r="Y43" s="551"/>
      <c r="Z43" s="551"/>
      <c r="AA43" s="551"/>
    </row>
    <row r="44" hidden="1">
      <c r="A44" s="593">
        <f t="shared" si="7"/>
        <v>2026</v>
      </c>
      <c r="B44" s="594">
        <v>46053.0</v>
      </c>
      <c r="C44" s="594" t="str">
        <f t="shared" si="8"/>
        <v>January</v>
      </c>
      <c r="D44" s="593" t="str">
        <f t="shared" si="9"/>
        <v>Saturday</v>
      </c>
      <c r="E44" s="599" t="s">
        <v>1480</v>
      </c>
      <c r="F44" s="596" t="s">
        <v>1461</v>
      </c>
      <c r="G44" s="596"/>
      <c r="H44" s="596"/>
      <c r="I44" s="597">
        <f t="shared" si="10"/>
        <v>1</v>
      </c>
      <c r="J44" s="598">
        <f t="shared" ref="J44:L44" si="70">SUMIFS(J$3:J$9,$I$3:$I$9,$G44)+SUMIFS(J$3:J$9,$I$3:$I$9,$H44)+SUMIFS(J$3:J$9,$I$3:$I$9,$F44)</f>
        <v>25</v>
      </c>
      <c r="K44" s="598">
        <f t="shared" si="70"/>
        <v>0</v>
      </c>
      <c r="L44" s="598">
        <f t="shared" si="70"/>
        <v>0</v>
      </c>
      <c r="M44" s="598"/>
      <c r="N44" s="598">
        <f t="shared" ref="N44:O44" si="71">SUMIFS(N$3:N$9,$I$3:$I$9,$G44)+SUMIFS(N$3:N$9,$I$3:$I$9,$H44)+SUMIFS(N$3:N$9,$I$3:$I$9,$F44)</f>
        <v>0</v>
      </c>
      <c r="O44" s="598">
        <f t="shared" si="71"/>
        <v>0</v>
      </c>
      <c r="P44" s="598"/>
      <c r="Q44" s="598"/>
      <c r="R44" s="598"/>
      <c r="S44" s="598">
        <f t="shared" si="13"/>
        <v>25</v>
      </c>
      <c r="T44" s="551"/>
      <c r="U44" s="551"/>
      <c r="V44" s="551"/>
      <c r="W44" s="551"/>
      <c r="X44" s="551"/>
      <c r="Y44" s="551"/>
      <c r="Z44" s="551"/>
      <c r="AA44" s="551"/>
    </row>
    <row r="45" hidden="1">
      <c r="A45" s="600">
        <f>A14</f>
        <v>2026</v>
      </c>
      <c r="B45" s="600" t="str">
        <f>CONCATENATE(A45," ",C45)</f>
        <v>2026 January</v>
      </c>
      <c r="C45" s="601" t="str">
        <f>C14</f>
        <v>January</v>
      </c>
      <c r="D45" s="600"/>
      <c r="E45" s="602"/>
      <c r="F45" s="603"/>
      <c r="G45" s="603"/>
      <c r="H45" s="603"/>
      <c r="I45" s="604">
        <f t="shared" ref="I45:L45" si="72">SUM(I14:I44)</f>
        <v>26</v>
      </c>
      <c r="J45" s="605">
        <f t="shared" si="72"/>
        <v>650</v>
      </c>
      <c r="K45" s="605">
        <f t="shared" si="72"/>
        <v>0</v>
      </c>
      <c r="L45" s="605">
        <f t="shared" si="72"/>
        <v>0</v>
      </c>
      <c r="M45" s="605"/>
      <c r="N45" s="605">
        <f t="shared" ref="N45:S45" si="73">SUM(N14:N44)</f>
        <v>0</v>
      </c>
      <c r="O45" s="605">
        <f t="shared" si="73"/>
        <v>0</v>
      </c>
      <c r="P45" s="605">
        <f t="shared" si="73"/>
        <v>0</v>
      </c>
      <c r="Q45" s="605">
        <f t="shared" si="73"/>
        <v>0</v>
      </c>
      <c r="R45" s="605">
        <f t="shared" si="73"/>
        <v>0</v>
      </c>
      <c r="S45" s="605">
        <f t="shared" si="73"/>
        <v>650</v>
      </c>
      <c r="T45" s="551"/>
      <c r="U45" s="551"/>
      <c r="V45" s="551"/>
      <c r="W45" s="551"/>
      <c r="X45" s="551"/>
      <c r="Y45" s="551"/>
      <c r="Z45" s="551"/>
      <c r="AA45" s="551"/>
    </row>
    <row r="46" hidden="1">
      <c r="A46" s="574"/>
      <c r="B46" s="575"/>
      <c r="C46" s="575"/>
      <c r="D46" s="575"/>
      <c r="E46" s="576"/>
      <c r="F46" s="547"/>
      <c r="G46" s="547"/>
      <c r="H46" s="547"/>
      <c r="I46" s="573"/>
      <c r="J46" s="550"/>
      <c r="K46" s="550"/>
      <c r="L46" s="550"/>
      <c r="M46" s="550"/>
      <c r="N46" s="550"/>
      <c r="O46" s="550"/>
      <c r="P46" s="550"/>
      <c r="Q46" s="550"/>
      <c r="R46" s="550"/>
      <c r="S46" s="550"/>
      <c r="T46" s="551"/>
      <c r="U46" s="551"/>
      <c r="V46" s="551"/>
      <c r="W46" s="551"/>
      <c r="X46" s="551"/>
      <c r="Y46" s="551"/>
      <c r="Z46" s="551"/>
      <c r="AA46" s="551"/>
    </row>
    <row r="47" hidden="1">
      <c r="A47" s="577">
        <f t="shared" ref="A47:A77" si="76">IF(B47="","",YEAR(B47))</f>
        <v>2026</v>
      </c>
      <c r="B47" s="606">
        <v>46054.0</v>
      </c>
      <c r="C47" s="606" t="str">
        <f t="shared" ref="C47:C77" si="77">IF(B47="", "", TEXT(DATE(A47, MONTH(B47), 1), "MMMM"))</f>
        <v>February</v>
      </c>
      <c r="D47" s="577" t="str">
        <f t="shared" ref="D47:D77" si="78">IF(B47="","",TEXT(B47, "dddd"))</f>
        <v>Sunday</v>
      </c>
      <c r="E47" s="607"/>
      <c r="F47" s="608"/>
      <c r="G47" s="608"/>
      <c r="H47" s="608"/>
      <c r="I47" s="548">
        <f t="shared" ref="I47:I77" si="79">COUNTIF(F47:H47,"&lt;&gt;")</f>
        <v>0</v>
      </c>
      <c r="J47" s="609">
        <f t="shared" ref="J47:L47" si="74">SUMIFS(J$3:J$9,$I$3:$I$9,$G47)+SUMIFS(J$3:J$9,$I$3:$I$9,$H47)+SUMIFS(J$3:J$9,$I$3:$I$9,$F47)</f>
        <v>0</v>
      </c>
      <c r="K47" s="609">
        <f t="shared" si="74"/>
        <v>0</v>
      </c>
      <c r="L47" s="609">
        <f t="shared" si="74"/>
        <v>0</v>
      </c>
      <c r="M47" s="609"/>
      <c r="N47" s="609">
        <f t="shared" ref="N47:O47" si="75">SUMIFS(N$3:N$9,$I$3:$I$9,$G47)+SUMIFS(N$3:N$9,$I$3:$I$9,$H47)+SUMIFS(N$3:N$9,$I$3:$I$9,$F47)</f>
        <v>0</v>
      </c>
      <c r="O47" s="609">
        <f t="shared" si="75"/>
        <v>0</v>
      </c>
      <c r="P47" s="609"/>
      <c r="Q47" s="609"/>
      <c r="R47" s="609"/>
      <c r="S47" s="609">
        <f t="shared" ref="S47:S77" si="82">SUM(J47:R47)</f>
        <v>0</v>
      </c>
      <c r="T47" s="551"/>
      <c r="U47" s="551"/>
      <c r="V47" s="551"/>
      <c r="W47" s="551"/>
      <c r="X47" s="551"/>
      <c r="Y47" s="551"/>
      <c r="Z47" s="551"/>
      <c r="AA47" s="551"/>
    </row>
    <row r="48" hidden="1">
      <c r="A48" s="593">
        <f t="shared" si="76"/>
        <v>2026</v>
      </c>
      <c r="B48" s="594">
        <v>46055.0</v>
      </c>
      <c r="C48" s="594" t="str">
        <f t="shared" si="77"/>
        <v>February</v>
      </c>
      <c r="D48" s="593" t="str">
        <f t="shared" si="78"/>
        <v>Monday</v>
      </c>
      <c r="E48" s="610" t="s">
        <v>1481</v>
      </c>
      <c r="F48" s="596"/>
      <c r="G48" s="596"/>
      <c r="H48" s="596"/>
      <c r="I48" s="597">
        <f t="shared" si="79"/>
        <v>0</v>
      </c>
      <c r="J48" s="598">
        <f t="shared" ref="J48:L48" si="80">SUMIFS(J$3:J$9,$I$3:$I$9,$G48)+SUMIFS(J$3:J$9,$I$3:$I$9,$H48)+SUMIFS(J$3:J$9,$I$3:$I$9,$F48)</f>
        <v>0</v>
      </c>
      <c r="K48" s="598">
        <f t="shared" si="80"/>
        <v>0</v>
      </c>
      <c r="L48" s="598">
        <f t="shared" si="80"/>
        <v>0</v>
      </c>
      <c r="M48" s="598"/>
      <c r="N48" s="598">
        <f t="shared" ref="N48:O48" si="81">SUMIFS(N$3:N$9,$I$3:$I$9,$G48)+SUMIFS(N$3:N$9,$I$3:$I$9,$H48)+SUMIFS(N$3:N$9,$I$3:$I$9,$F48)</f>
        <v>0</v>
      </c>
      <c r="O48" s="598">
        <f t="shared" si="81"/>
        <v>0</v>
      </c>
      <c r="P48" s="598"/>
      <c r="Q48" s="598"/>
      <c r="R48" s="598"/>
      <c r="S48" s="598">
        <f t="shared" si="82"/>
        <v>0</v>
      </c>
      <c r="T48" s="551"/>
      <c r="U48" s="551"/>
      <c r="V48" s="551"/>
      <c r="W48" s="551"/>
      <c r="X48" s="551"/>
      <c r="Y48" s="551"/>
      <c r="Z48" s="551"/>
      <c r="AA48" s="551"/>
    </row>
    <row r="49" hidden="1">
      <c r="A49" s="593">
        <f t="shared" si="76"/>
        <v>2026</v>
      </c>
      <c r="B49" s="594">
        <v>46056.0</v>
      </c>
      <c r="C49" s="594" t="str">
        <f t="shared" si="77"/>
        <v>February</v>
      </c>
      <c r="D49" s="593" t="str">
        <f t="shared" si="78"/>
        <v>Tuesday</v>
      </c>
      <c r="E49" s="596" t="s">
        <v>1482</v>
      </c>
      <c r="F49" s="596" t="s">
        <v>1471</v>
      </c>
      <c r="G49" s="596"/>
      <c r="H49" s="596"/>
      <c r="I49" s="597">
        <f t="shared" si="79"/>
        <v>1</v>
      </c>
      <c r="J49" s="598">
        <f t="shared" ref="J49:L49" si="83">SUMIFS(J$3:J$9,$I$3:$I$9,$G49)+SUMIFS(J$3:J$9,$I$3:$I$9,$H49)+SUMIFS(J$3:J$9,$I$3:$I$9,$F49)</f>
        <v>10</v>
      </c>
      <c r="K49" s="598">
        <f t="shared" si="83"/>
        <v>0</v>
      </c>
      <c r="L49" s="598">
        <f t="shared" si="83"/>
        <v>0</v>
      </c>
      <c r="M49" s="598"/>
      <c r="N49" s="598">
        <f t="shared" ref="N49:O49" si="84">SUMIFS(N$3:N$9,$I$3:$I$9,$G49)+SUMIFS(N$3:N$9,$I$3:$I$9,$H49)+SUMIFS(N$3:N$9,$I$3:$I$9,$F49)</f>
        <v>15</v>
      </c>
      <c r="O49" s="598">
        <f t="shared" si="84"/>
        <v>0</v>
      </c>
      <c r="P49" s="598"/>
      <c r="Q49" s="598"/>
      <c r="R49" s="598"/>
      <c r="S49" s="598">
        <f t="shared" si="82"/>
        <v>25</v>
      </c>
      <c r="T49" s="551"/>
      <c r="U49" s="551"/>
      <c r="V49" s="551"/>
      <c r="W49" s="551"/>
      <c r="X49" s="551"/>
      <c r="Y49" s="551"/>
      <c r="Z49" s="551"/>
      <c r="AA49" s="551"/>
    </row>
    <row r="50" hidden="1">
      <c r="A50" s="593">
        <f t="shared" si="76"/>
        <v>2026</v>
      </c>
      <c r="B50" s="594">
        <v>46057.0</v>
      </c>
      <c r="C50" s="594" t="str">
        <f t="shared" si="77"/>
        <v>February</v>
      </c>
      <c r="D50" s="593" t="str">
        <f t="shared" si="78"/>
        <v>Wednesday</v>
      </c>
      <c r="E50" s="581"/>
      <c r="F50" s="596" t="s">
        <v>1471</v>
      </c>
      <c r="G50" s="596"/>
      <c r="H50" s="596"/>
      <c r="I50" s="597">
        <f t="shared" si="79"/>
        <v>1</v>
      </c>
      <c r="J50" s="598">
        <f t="shared" ref="J50:L50" si="85">SUMIFS(J$3:J$9,$I$3:$I$9,$G50)+SUMIFS(J$3:J$9,$I$3:$I$9,$H50)+SUMIFS(J$3:J$9,$I$3:$I$9,$F50)</f>
        <v>10</v>
      </c>
      <c r="K50" s="598">
        <f t="shared" si="85"/>
        <v>0</v>
      </c>
      <c r="L50" s="598">
        <f t="shared" si="85"/>
        <v>0</v>
      </c>
      <c r="M50" s="598"/>
      <c r="N50" s="598">
        <f t="shared" ref="N50:O50" si="86">SUMIFS(N$3:N$9,$I$3:$I$9,$G50)+SUMIFS(N$3:N$9,$I$3:$I$9,$H50)+SUMIFS(N$3:N$9,$I$3:$I$9,$F50)</f>
        <v>15</v>
      </c>
      <c r="O50" s="598">
        <f t="shared" si="86"/>
        <v>0</v>
      </c>
      <c r="P50" s="598"/>
      <c r="Q50" s="598"/>
      <c r="R50" s="598"/>
      <c r="S50" s="598">
        <f t="shared" si="82"/>
        <v>25</v>
      </c>
      <c r="T50" s="551"/>
      <c r="U50" s="551"/>
      <c r="V50" s="551"/>
      <c r="W50" s="551"/>
      <c r="X50" s="551"/>
      <c r="Y50" s="551"/>
      <c r="Z50" s="551"/>
      <c r="AA50" s="551"/>
    </row>
    <row r="51" hidden="1">
      <c r="A51" s="593">
        <f t="shared" si="76"/>
        <v>2026</v>
      </c>
      <c r="B51" s="594">
        <v>46058.0</v>
      </c>
      <c r="C51" s="594" t="str">
        <f t="shared" si="77"/>
        <v>February</v>
      </c>
      <c r="D51" s="593" t="str">
        <f t="shared" si="78"/>
        <v>Thursday</v>
      </c>
      <c r="E51" s="581"/>
      <c r="F51" s="596" t="s">
        <v>1471</v>
      </c>
      <c r="G51" s="596"/>
      <c r="H51" s="596"/>
      <c r="I51" s="597">
        <f t="shared" si="79"/>
        <v>1</v>
      </c>
      <c r="J51" s="598">
        <f t="shared" ref="J51:L51" si="87">SUMIFS(J$3:J$9,$I$3:$I$9,$G51)+SUMIFS(J$3:J$9,$I$3:$I$9,$H51)+SUMIFS(J$3:J$9,$I$3:$I$9,$F51)</f>
        <v>10</v>
      </c>
      <c r="K51" s="598">
        <f t="shared" si="87"/>
        <v>0</v>
      </c>
      <c r="L51" s="598">
        <f t="shared" si="87"/>
        <v>0</v>
      </c>
      <c r="M51" s="598"/>
      <c r="N51" s="598">
        <f t="shared" ref="N51:O51" si="88">SUMIFS(N$3:N$9,$I$3:$I$9,$G51)+SUMIFS(N$3:N$9,$I$3:$I$9,$H51)+SUMIFS(N$3:N$9,$I$3:$I$9,$F51)</f>
        <v>15</v>
      </c>
      <c r="O51" s="598">
        <f t="shared" si="88"/>
        <v>0</v>
      </c>
      <c r="P51" s="598"/>
      <c r="Q51" s="598"/>
      <c r="R51" s="598"/>
      <c r="S51" s="598">
        <f t="shared" si="82"/>
        <v>25</v>
      </c>
      <c r="T51" s="551"/>
      <c r="U51" s="551"/>
      <c r="V51" s="551"/>
      <c r="W51" s="551"/>
      <c r="X51" s="551"/>
      <c r="Y51" s="551"/>
      <c r="Z51" s="551"/>
      <c r="AA51" s="551"/>
    </row>
    <row r="52" hidden="1">
      <c r="A52" s="593">
        <f t="shared" si="76"/>
        <v>2026</v>
      </c>
      <c r="B52" s="594">
        <v>46059.0</v>
      </c>
      <c r="C52" s="594" t="str">
        <f t="shared" si="77"/>
        <v>February</v>
      </c>
      <c r="D52" s="593" t="str">
        <f t="shared" si="78"/>
        <v>Friday</v>
      </c>
      <c r="E52" s="610" t="s">
        <v>1483</v>
      </c>
      <c r="F52" s="596" t="s">
        <v>1471</v>
      </c>
      <c r="G52" s="596"/>
      <c r="H52" s="596"/>
      <c r="I52" s="597">
        <f t="shared" si="79"/>
        <v>1</v>
      </c>
      <c r="J52" s="598">
        <f t="shared" ref="J52:L52" si="89">SUMIFS(J$3:J$9,$I$3:$I$9,$G52)+SUMIFS(J$3:J$9,$I$3:$I$9,$H52)+SUMIFS(J$3:J$9,$I$3:$I$9,$F52)</f>
        <v>10</v>
      </c>
      <c r="K52" s="598">
        <f t="shared" si="89"/>
        <v>0</v>
      </c>
      <c r="L52" s="598">
        <f t="shared" si="89"/>
        <v>0</v>
      </c>
      <c r="M52" s="598"/>
      <c r="N52" s="598">
        <f t="shared" ref="N52:O52" si="90">SUMIFS(N$3:N$9,$I$3:$I$9,$G52)+SUMIFS(N$3:N$9,$I$3:$I$9,$H52)+SUMIFS(N$3:N$9,$I$3:$I$9,$F52)</f>
        <v>15</v>
      </c>
      <c r="O52" s="598">
        <f t="shared" si="90"/>
        <v>0</v>
      </c>
      <c r="P52" s="598"/>
      <c r="Q52" s="598"/>
      <c r="R52" s="598"/>
      <c r="S52" s="598">
        <f t="shared" si="82"/>
        <v>25</v>
      </c>
      <c r="T52" s="551"/>
      <c r="U52" s="551"/>
      <c r="V52" s="551"/>
      <c r="W52" s="551"/>
      <c r="X52" s="551"/>
      <c r="Y52" s="551"/>
      <c r="Z52" s="551"/>
      <c r="AA52" s="551"/>
    </row>
    <row r="53" hidden="1">
      <c r="A53" s="593">
        <f t="shared" si="76"/>
        <v>2026</v>
      </c>
      <c r="B53" s="594">
        <v>46060.0</v>
      </c>
      <c r="C53" s="594" t="str">
        <f t="shared" si="77"/>
        <v>February</v>
      </c>
      <c r="D53" s="593" t="str">
        <f t="shared" si="78"/>
        <v>Saturday</v>
      </c>
      <c r="E53" s="611" t="s">
        <v>1484</v>
      </c>
      <c r="F53" s="596" t="s">
        <v>1466</v>
      </c>
      <c r="G53" s="596"/>
      <c r="H53" s="596"/>
      <c r="I53" s="597">
        <f t="shared" si="79"/>
        <v>1</v>
      </c>
      <c r="J53" s="598">
        <f t="shared" ref="J53:L53" si="91">SUMIFS(J$3:J$9,$I$3:$I$9,$G53)+SUMIFS(J$3:J$9,$I$3:$I$9,$H53)+SUMIFS(J$3:J$9,$I$3:$I$9,$F53)</f>
        <v>20</v>
      </c>
      <c r="K53" s="598">
        <f t="shared" si="91"/>
        <v>6</v>
      </c>
      <c r="L53" s="598">
        <f t="shared" si="91"/>
        <v>0</v>
      </c>
      <c r="M53" s="598"/>
      <c r="N53" s="598">
        <f t="shared" ref="N53:O53" si="92">SUMIFS(N$3:N$9,$I$3:$I$9,$G53)+SUMIFS(N$3:N$9,$I$3:$I$9,$H53)+SUMIFS(N$3:N$9,$I$3:$I$9,$F53)</f>
        <v>0</v>
      </c>
      <c r="O53" s="598">
        <f t="shared" si="92"/>
        <v>0</v>
      </c>
      <c r="P53" s="598"/>
      <c r="Q53" s="598"/>
      <c r="R53" s="598"/>
      <c r="S53" s="598">
        <f t="shared" si="82"/>
        <v>26</v>
      </c>
      <c r="T53" s="551"/>
      <c r="U53" s="551"/>
      <c r="V53" s="551"/>
      <c r="W53" s="551"/>
      <c r="X53" s="551"/>
      <c r="Y53" s="551"/>
      <c r="Z53" s="551"/>
      <c r="AA53" s="551"/>
    </row>
    <row r="54" hidden="1">
      <c r="A54" s="593">
        <f t="shared" si="76"/>
        <v>2026</v>
      </c>
      <c r="B54" s="594">
        <v>46061.0</v>
      </c>
      <c r="C54" s="594" t="str">
        <f t="shared" si="77"/>
        <v>February</v>
      </c>
      <c r="D54" s="593" t="str">
        <f t="shared" si="78"/>
        <v>Sunday</v>
      </c>
      <c r="E54" s="595" t="s">
        <v>1485</v>
      </c>
      <c r="F54" s="596"/>
      <c r="G54" s="596"/>
      <c r="H54" s="596"/>
      <c r="I54" s="597">
        <f t="shared" si="79"/>
        <v>0</v>
      </c>
      <c r="J54" s="598">
        <f t="shared" ref="J54:L54" si="93">SUMIFS(J$3:J$9,$I$3:$I$9,$G54)+SUMIFS(J$3:J$9,$I$3:$I$9,$H54)+SUMIFS(J$3:J$9,$I$3:$I$9,$F54)</f>
        <v>0</v>
      </c>
      <c r="K54" s="598">
        <f t="shared" si="93"/>
        <v>0</v>
      </c>
      <c r="L54" s="598">
        <f t="shared" si="93"/>
        <v>0</v>
      </c>
      <c r="M54" s="598"/>
      <c r="N54" s="598">
        <f t="shared" ref="N54:O54" si="94">SUMIFS(N$3:N$9,$I$3:$I$9,$G54)+SUMIFS(N$3:N$9,$I$3:$I$9,$H54)+SUMIFS(N$3:N$9,$I$3:$I$9,$F54)</f>
        <v>0</v>
      </c>
      <c r="O54" s="598">
        <f t="shared" si="94"/>
        <v>0</v>
      </c>
      <c r="P54" s="598"/>
      <c r="Q54" s="598"/>
      <c r="R54" s="598"/>
      <c r="S54" s="598">
        <f t="shared" si="82"/>
        <v>0</v>
      </c>
      <c r="T54" s="551"/>
      <c r="U54" s="551"/>
      <c r="V54" s="551"/>
      <c r="W54" s="551"/>
      <c r="X54" s="551"/>
      <c r="Y54" s="551"/>
      <c r="Z54" s="551"/>
      <c r="AA54" s="551"/>
    </row>
    <row r="55" hidden="1">
      <c r="A55" s="593">
        <f t="shared" si="76"/>
        <v>2026</v>
      </c>
      <c r="B55" s="594">
        <v>46062.0</v>
      </c>
      <c r="C55" s="594" t="str">
        <f t="shared" si="77"/>
        <v>February</v>
      </c>
      <c r="D55" s="593" t="str">
        <f t="shared" si="78"/>
        <v>Monday</v>
      </c>
      <c r="E55" s="576"/>
      <c r="F55" s="596" t="s">
        <v>1466</v>
      </c>
      <c r="G55" s="596"/>
      <c r="H55" s="596"/>
      <c r="I55" s="597">
        <f t="shared" si="79"/>
        <v>1</v>
      </c>
      <c r="J55" s="598">
        <f t="shared" ref="J55:L55" si="95">SUMIFS(J$3:J$9,$I$3:$I$9,$G55)+SUMIFS(J$3:J$9,$I$3:$I$9,$H55)+SUMIFS(J$3:J$9,$I$3:$I$9,$F55)</f>
        <v>20</v>
      </c>
      <c r="K55" s="598">
        <f t="shared" si="95"/>
        <v>6</v>
      </c>
      <c r="L55" s="598">
        <f t="shared" si="95"/>
        <v>0</v>
      </c>
      <c r="M55" s="598"/>
      <c r="N55" s="598">
        <f t="shared" ref="N55:O55" si="96">SUMIFS(N$3:N$9,$I$3:$I$9,$G55)+SUMIFS(N$3:N$9,$I$3:$I$9,$H55)+SUMIFS(N$3:N$9,$I$3:$I$9,$F55)</f>
        <v>0</v>
      </c>
      <c r="O55" s="598">
        <f t="shared" si="96"/>
        <v>0</v>
      </c>
      <c r="P55" s="598"/>
      <c r="Q55" s="598"/>
      <c r="R55" s="598"/>
      <c r="S55" s="598">
        <f t="shared" si="82"/>
        <v>26</v>
      </c>
      <c r="T55" s="551"/>
      <c r="U55" s="551"/>
      <c r="V55" s="551"/>
      <c r="W55" s="551"/>
      <c r="X55" s="551"/>
      <c r="Y55" s="551"/>
      <c r="Z55" s="551"/>
      <c r="AA55" s="551"/>
    </row>
    <row r="56" hidden="1">
      <c r="A56" s="593">
        <f t="shared" si="76"/>
        <v>2026</v>
      </c>
      <c r="B56" s="594">
        <v>46063.0</v>
      </c>
      <c r="C56" s="594" t="str">
        <f t="shared" si="77"/>
        <v>February</v>
      </c>
      <c r="D56" s="593" t="str">
        <f t="shared" si="78"/>
        <v>Tuesday</v>
      </c>
      <c r="E56" s="595"/>
      <c r="F56" s="596" t="s">
        <v>1466</v>
      </c>
      <c r="G56" s="596"/>
      <c r="H56" s="596"/>
      <c r="I56" s="597">
        <f t="shared" si="79"/>
        <v>1</v>
      </c>
      <c r="J56" s="598">
        <f t="shared" ref="J56:L56" si="97">SUMIFS(J$3:J$9,$I$3:$I$9,$G56)+SUMIFS(J$3:J$9,$I$3:$I$9,$H56)+SUMIFS(J$3:J$9,$I$3:$I$9,$F56)</f>
        <v>20</v>
      </c>
      <c r="K56" s="598">
        <f t="shared" si="97"/>
        <v>6</v>
      </c>
      <c r="L56" s="598">
        <f t="shared" si="97"/>
        <v>0</v>
      </c>
      <c r="M56" s="598"/>
      <c r="N56" s="598">
        <f t="shared" ref="N56:O56" si="98">SUMIFS(N$3:N$9,$I$3:$I$9,$G56)+SUMIFS(N$3:N$9,$I$3:$I$9,$H56)+SUMIFS(N$3:N$9,$I$3:$I$9,$F56)</f>
        <v>0</v>
      </c>
      <c r="O56" s="598">
        <f t="shared" si="98"/>
        <v>0</v>
      </c>
      <c r="P56" s="598"/>
      <c r="Q56" s="598"/>
      <c r="R56" s="598"/>
      <c r="S56" s="598">
        <f t="shared" si="82"/>
        <v>26</v>
      </c>
      <c r="T56" s="551"/>
      <c r="U56" s="551"/>
      <c r="V56" s="551"/>
      <c r="W56" s="551"/>
      <c r="X56" s="551"/>
      <c r="Y56" s="551"/>
      <c r="Z56" s="551"/>
      <c r="AA56" s="551"/>
    </row>
    <row r="57" hidden="1">
      <c r="A57" s="593">
        <f t="shared" si="76"/>
        <v>2026</v>
      </c>
      <c r="B57" s="594">
        <v>46064.0</v>
      </c>
      <c r="C57" s="594" t="str">
        <f t="shared" si="77"/>
        <v>February</v>
      </c>
      <c r="D57" s="593" t="str">
        <f t="shared" si="78"/>
        <v>Wednesday</v>
      </c>
      <c r="E57" s="595"/>
      <c r="F57" s="596" t="s">
        <v>1466</v>
      </c>
      <c r="G57" s="596"/>
      <c r="H57" s="596"/>
      <c r="I57" s="597">
        <f t="shared" si="79"/>
        <v>1</v>
      </c>
      <c r="J57" s="598">
        <f t="shared" ref="J57:L57" si="99">SUMIFS(J$3:J$9,$I$3:$I$9,$G57)+SUMIFS(J$3:J$9,$I$3:$I$9,$H57)+SUMIFS(J$3:J$9,$I$3:$I$9,$F57)</f>
        <v>20</v>
      </c>
      <c r="K57" s="598">
        <f t="shared" si="99"/>
        <v>6</v>
      </c>
      <c r="L57" s="598">
        <f t="shared" si="99"/>
        <v>0</v>
      </c>
      <c r="M57" s="598"/>
      <c r="N57" s="598">
        <f t="shared" ref="N57:O57" si="100">SUMIFS(N$3:N$9,$I$3:$I$9,$G57)+SUMIFS(N$3:N$9,$I$3:$I$9,$H57)+SUMIFS(N$3:N$9,$I$3:$I$9,$F57)</f>
        <v>0</v>
      </c>
      <c r="O57" s="598">
        <f t="shared" si="100"/>
        <v>0</v>
      </c>
      <c r="P57" s="598"/>
      <c r="Q57" s="598"/>
      <c r="R57" s="598"/>
      <c r="S57" s="598">
        <f t="shared" si="82"/>
        <v>26</v>
      </c>
      <c r="T57" s="551"/>
      <c r="U57" s="551"/>
      <c r="V57" s="551"/>
      <c r="W57" s="551"/>
      <c r="X57" s="551"/>
      <c r="Y57" s="551"/>
      <c r="Z57" s="551"/>
      <c r="AA57" s="551"/>
    </row>
    <row r="58" hidden="1">
      <c r="A58" s="593">
        <f t="shared" si="76"/>
        <v>2026</v>
      </c>
      <c r="B58" s="594">
        <v>46065.0</v>
      </c>
      <c r="C58" s="594" t="str">
        <f t="shared" si="77"/>
        <v>February</v>
      </c>
      <c r="D58" s="593" t="str">
        <f t="shared" si="78"/>
        <v>Thursday</v>
      </c>
      <c r="E58" s="595"/>
      <c r="F58" s="596" t="s">
        <v>1466</v>
      </c>
      <c r="G58" s="596"/>
      <c r="H58" s="596"/>
      <c r="I58" s="597">
        <f t="shared" si="79"/>
        <v>1</v>
      </c>
      <c r="J58" s="598">
        <f t="shared" ref="J58:L58" si="101">SUMIFS(J$3:J$9,$I$3:$I$9,$G58)+SUMIFS(J$3:J$9,$I$3:$I$9,$H58)+SUMIFS(J$3:J$9,$I$3:$I$9,$F58)</f>
        <v>20</v>
      </c>
      <c r="K58" s="598">
        <f t="shared" si="101"/>
        <v>6</v>
      </c>
      <c r="L58" s="598">
        <f t="shared" si="101"/>
        <v>0</v>
      </c>
      <c r="M58" s="598"/>
      <c r="N58" s="598">
        <f t="shared" ref="N58:O58" si="102">SUMIFS(N$3:N$9,$I$3:$I$9,$G58)+SUMIFS(N$3:N$9,$I$3:$I$9,$H58)+SUMIFS(N$3:N$9,$I$3:$I$9,$F58)</f>
        <v>0</v>
      </c>
      <c r="O58" s="598">
        <f t="shared" si="102"/>
        <v>0</v>
      </c>
      <c r="P58" s="598"/>
      <c r="Q58" s="598"/>
      <c r="R58" s="598"/>
      <c r="S58" s="598">
        <f t="shared" si="82"/>
        <v>26</v>
      </c>
      <c r="T58" s="551"/>
      <c r="U58" s="551"/>
      <c r="V58" s="551"/>
      <c r="W58" s="551"/>
      <c r="X58" s="551"/>
      <c r="Y58" s="551"/>
      <c r="Z58" s="551"/>
      <c r="AA58" s="551"/>
    </row>
    <row r="59" hidden="1">
      <c r="A59" s="593">
        <f t="shared" si="76"/>
        <v>2026</v>
      </c>
      <c r="B59" s="594">
        <v>46066.0</v>
      </c>
      <c r="C59" s="594" t="str">
        <f t="shared" si="77"/>
        <v>February</v>
      </c>
      <c r="D59" s="593" t="str">
        <f t="shared" si="78"/>
        <v>Friday</v>
      </c>
      <c r="E59" s="595"/>
      <c r="F59" s="596" t="s">
        <v>1466</v>
      </c>
      <c r="G59" s="596"/>
      <c r="H59" s="596"/>
      <c r="I59" s="597">
        <f t="shared" si="79"/>
        <v>1</v>
      </c>
      <c r="J59" s="598">
        <f t="shared" ref="J59:L59" si="103">SUMIFS(J$3:J$9,$I$3:$I$9,$G59)+SUMIFS(J$3:J$9,$I$3:$I$9,$H59)+SUMIFS(J$3:J$9,$I$3:$I$9,$F59)</f>
        <v>20</v>
      </c>
      <c r="K59" s="598">
        <f t="shared" si="103"/>
        <v>6</v>
      </c>
      <c r="L59" s="598">
        <f t="shared" si="103"/>
        <v>0</v>
      </c>
      <c r="M59" s="598"/>
      <c r="N59" s="598">
        <f t="shared" ref="N59:O59" si="104">SUMIFS(N$3:N$9,$I$3:$I$9,$G59)+SUMIFS(N$3:N$9,$I$3:$I$9,$H59)+SUMIFS(N$3:N$9,$I$3:$I$9,$F59)</f>
        <v>0</v>
      </c>
      <c r="O59" s="598">
        <f t="shared" si="104"/>
        <v>0</v>
      </c>
      <c r="P59" s="598"/>
      <c r="Q59" s="598"/>
      <c r="R59" s="598"/>
      <c r="S59" s="598">
        <f t="shared" si="82"/>
        <v>26</v>
      </c>
      <c r="T59" s="551"/>
      <c r="U59" s="551"/>
      <c r="V59" s="551"/>
      <c r="W59" s="551"/>
      <c r="X59" s="551"/>
      <c r="Y59" s="551"/>
      <c r="Z59" s="551"/>
      <c r="AA59" s="551"/>
    </row>
    <row r="60" hidden="1">
      <c r="A60" s="593">
        <f t="shared" si="76"/>
        <v>2026</v>
      </c>
      <c r="B60" s="594">
        <v>46067.0</v>
      </c>
      <c r="C60" s="594" t="str">
        <f t="shared" si="77"/>
        <v>February</v>
      </c>
      <c r="D60" s="593" t="str">
        <f t="shared" si="78"/>
        <v>Saturday</v>
      </c>
      <c r="E60" s="595"/>
      <c r="F60" s="596" t="s">
        <v>1466</v>
      </c>
      <c r="G60" s="596"/>
      <c r="H60" s="596"/>
      <c r="I60" s="597">
        <f t="shared" si="79"/>
        <v>1</v>
      </c>
      <c r="J60" s="598">
        <f t="shared" ref="J60:L60" si="105">SUMIFS(J$3:J$9,$I$3:$I$9,$G60)+SUMIFS(J$3:J$9,$I$3:$I$9,$H60)+SUMIFS(J$3:J$9,$I$3:$I$9,$F60)</f>
        <v>20</v>
      </c>
      <c r="K60" s="598">
        <f t="shared" si="105"/>
        <v>6</v>
      </c>
      <c r="L60" s="598">
        <f t="shared" si="105"/>
        <v>0</v>
      </c>
      <c r="M60" s="598"/>
      <c r="N60" s="598">
        <f t="shared" ref="N60:O60" si="106">SUMIFS(N$3:N$9,$I$3:$I$9,$G60)+SUMIFS(N$3:N$9,$I$3:$I$9,$H60)+SUMIFS(N$3:N$9,$I$3:$I$9,$F60)</f>
        <v>0</v>
      </c>
      <c r="O60" s="598">
        <f t="shared" si="106"/>
        <v>0</v>
      </c>
      <c r="P60" s="598"/>
      <c r="Q60" s="598"/>
      <c r="R60" s="598"/>
      <c r="S60" s="598">
        <f t="shared" si="82"/>
        <v>26</v>
      </c>
      <c r="T60" s="551"/>
      <c r="U60" s="551"/>
      <c r="V60" s="551"/>
      <c r="W60" s="551"/>
      <c r="X60" s="551"/>
      <c r="Y60" s="551"/>
      <c r="Z60" s="551"/>
      <c r="AA60" s="551"/>
    </row>
    <row r="61" hidden="1">
      <c r="A61" s="593">
        <f t="shared" si="76"/>
        <v>2026</v>
      </c>
      <c r="B61" s="594">
        <v>46068.0</v>
      </c>
      <c r="C61" s="594" t="str">
        <f t="shared" si="77"/>
        <v>February</v>
      </c>
      <c r="D61" s="593" t="str">
        <f t="shared" si="78"/>
        <v>Sunday</v>
      </c>
      <c r="E61" s="595"/>
      <c r="F61" s="596"/>
      <c r="G61" s="596"/>
      <c r="H61" s="596"/>
      <c r="I61" s="597">
        <f t="shared" si="79"/>
        <v>0</v>
      </c>
      <c r="J61" s="598">
        <f t="shared" ref="J61:L61" si="107">SUMIFS(J$3:J$9,$I$3:$I$9,$G61)+SUMIFS(J$3:J$9,$I$3:$I$9,$H61)+SUMIFS(J$3:J$9,$I$3:$I$9,$F61)</f>
        <v>0</v>
      </c>
      <c r="K61" s="598">
        <f t="shared" si="107"/>
        <v>0</v>
      </c>
      <c r="L61" s="598">
        <f t="shared" si="107"/>
        <v>0</v>
      </c>
      <c r="M61" s="598"/>
      <c r="N61" s="598">
        <f t="shared" ref="N61:O61" si="108">SUMIFS(N$3:N$9,$I$3:$I$9,$G61)+SUMIFS(N$3:N$9,$I$3:$I$9,$H61)+SUMIFS(N$3:N$9,$I$3:$I$9,$F61)</f>
        <v>0</v>
      </c>
      <c r="O61" s="598">
        <f t="shared" si="108"/>
        <v>0</v>
      </c>
      <c r="P61" s="598"/>
      <c r="Q61" s="598"/>
      <c r="R61" s="598"/>
      <c r="S61" s="598">
        <f t="shared" si="82"/>
        <v>0</v>
      </c>
      <c r="T61" s="551"/>
      <c r="U61" s="551"/>
      <c r="V61" s="551"/>
      <c r="W61" s="551"/>
      <c r="X61" s="551"/>
      <c r="Y61" s="551"/>
      <c r="Z61" s="551"/>
      <c r="AA61" s="551"/>
    </row>
    <row r="62" hidden="1">
      <c r="A62" s="593">
        <f t="shared" si="76"/>
        <v>2026</v>
      </c>
      <c r="B62" s="594">
        <v>46069.0</v>
      </c>
      <c r="C62" s="594" t="str">
        <f t="shared" si="77"/>
        <v>February</v>
      </c>
      <c r="D62" s="593" t="str">
        <f t="shared" si="78"/>
        <v>Monday</v>
      </c>
      <c r="E62" s="595"/>
      <c r="F62" s="596" t="s">
        <v>1466</v>
      </c>
      <c r="G62" s="596"/>
      <c r="H62" s="596"/>
      <c r="I62" s="597">
        <f t="shared" si="79"/>
        <v>1</v>
      </c>
      <c r="J62" s="598">
        <f t="shared" ref="J62:L62" si="109">SUMIFS(J$3:J$9,$I$3:$I$9,$G62)+SUMIFS(J$3:J$9,$I$3:$I$9,$H62)+SUMIFS(J$3:J$9,$I$3:$I$9,$F62)</f>
        <v>20</v>
      </c>
      <c r="K62" s="598">
        <f t="shared" si="109"/>
        <v>6</v>
      </c>
      <c r="L62" s="598">
        <f t="shared" si="109"/>
        <v>0</v>
      </c>
      <c r="M62" s="598"/>
      <c r="N62" s="598">
        <f t="shared" ref="N62:O62" si="110">SUMIFS(N$3:N$9,$I$3:$I$9,$G62)+SUMIFS(N$3:N$9,$I$3:$I$9,$H62)+SUMIFS(N$3:N$9,$I$3:$I$9,$F62)</f>
        <v>0</v>
      </c>
      <c r="O62" s="598">
        <f t="shared" si="110"/>
        <v>0</v>
      </c>
      <c r="P62" s="598"/>
      <c r="Q62" s="598"/>
      <c r="R62" s="598"/>
      <c r="S62" s="598">
        <f t="shared" si="82"/>
        <v>26</v>
      </c>
      <c r="T62" s="551"/>
      <c r="U62" s="551"/>
      <c r="V62" s="551"/>
      <c r="W62" s="551"/>
      <c r="X62" s="551"/>
      <c r="Y62" s="551"/>
      <c r="Z62" s="551"/>
      <c r="AA62" s="551"/>
    </row>
    <row r="63" hidden="1">
      <c r="A63" s="593">
        <f t="shared" si="76"/>
        <v>2026</v>
      </c>
      <c r="B63" s="594">
        <v>46070.0</v>
      </c>
      <c r="C63" s="594" t="str">
        <f t="shared" si="77"/>
        <v>February</v>
      </c>
      <c r="D63" s="593" t="str">
        <f t="shared" si="78"/>
        <v>Tuesday</v>
      </c>
      <c r="E63" s="595" t="s">
        <v>1486</v>
      </c>
      <c r="F63" s="596"/>
      <c r="G63" s="596"/>
      <c r="H63" s="596"/>
      <c r="I63" s="597">
        <f t="shared" si="79"/>
        <v>0</v>
      </c>
      <c r="J63" s="598">
        <f t="shared" ref="J63:L63" si="111">SUMIFS(J$3:J$9,$I$3:$I$9,$G63)+SUMIFS(J$3:J$9,$I$3:$I$9,$H63)+SUMIFS(J$3:J$9,$I$3:$I$9,$F63)</f>
        <v>0</v>
      </c>
      <c r="K63" s="598">
        <f t="shared" si="111"/>
        <v>0</v>
      </c>
      <c r="L63" s="598">
        <f t="shared" si="111"/>
        <v>0</v>
      </c>
      <c r="M63" s="598"/>
      <c r="N63" s="598">
        <f t="shared" ref="N63:O63" si="112">SUMIFS(N$3:N$9,$I$3:$I$9,$G63)+SUMIFS(N$3:N$9,$I$3:$I$9,$H63)+SUMIFS(N$3:N$9,$I$3:$I$9,$F63)</f>
        <v>0</v>
      </c>
      <c r="O63" s="598">
        <f t="shared" si="112"/>
        <v>0</v>
      </c>
      <c r="P63" s="598"/>
      <c r="Q63" s="598"/>
      <c r="R63" s="598"/>
      <c r="S63" s="598">
        <f t="shared" si="82"/>
        <v>0</v>
      </c>
      <c r="T63" s="551"/>
      <c r="U63" s="551"/>
      <c r="V63" s="551"/>
      <c r="W63" s="551"/>
      <c r="X63" s="551"/>
      <c r="Y63" s="551"/>
      <c r="Z63" s="551"/>
      <c r="AA63" s="551"/>
    </row>
    <row r="64" hidden="1">
      <c r="A64" s="593">
        <f t="shared" si="76"/>
        <v>2026</v>
      </c>
      <c r="B64" s="594">
        <v>46071.0</v>
      </c>
      <c r="C64" s="594" t="str">
        <f t="shared" si="77"/>
        <v>February</v>
      </c>
      <c r="D64" s="593" t="str">
        <f t="shared" si="78"/>
        <v>Wednesday</v>
      </c>
      <c r="E64" s="595"/>
      <c r="F64" s="596" t="s">
        <v>1466</v>
      </c>
      <c r="G64" s="596"/>
      <c r="H64" s="596"/>
      <c r="I64" s="597">
        <f t="shared" si="79"/>
        <v>1</v>
      </c>
      <c r="J64" s="598">
        <f t="shared" ref="J64:L64" si="113">SUMIFS(J$3:J$9,$I$3:$I$9,$G64)+SUMIFS(J$3:J$9,$I$3:$I$9,$H64)+SUMIFS(J$3:J$9,$I$3:$I$9,$F64)</f>
        <v>20</v>
      </c>
      <c r="K64" s="598">
        <f t="shared" si="113"/>
        <v>6</v>
      </c>
      <c r="L64" s="598">
        <f t="shared" si="113"/>
        <v>0</v>
      </c>
      <c r="M64" s="598"/>
      <c r="N64" s="598">
        <f t="shared" ref="N64:O64" si="114">SUMIFS(N$3:N$9,$I$3:$I$9,$G64)+SUMIFS(N$3:N$9,$I$3:$I$9,$H64)+SUMIFS(N$3:N$9,$I$3:$I$9,$F64)</f>
        <v>0</v>
      </c>
      <c r="O64" s="598">
        <f t="shared" si="114"/>
        <v>0</v>
      </c>
      <c r="P64" s="598"/>
      <c r="Q64" s="598"/>
      <c r="R64" s="598"/>
      <c r="S64" s="598">
        <f t="shared" si="82"/>
        <v>26</v>
      </c>
      <c r="T64" s="551"/>
      <c r="U64" s="551"/>
      <c r="V64" s="551"/>
      <c r="W64" s="551"/>
      <c r="X64" s="551"/>
      <c r="Y64" s="551"/>
      <c r="Z64" s="551"/>
      <c r="AA64" s="551"/>
    </row>
    <row r="65" hidden="1">
      <c r="A65" s="593">
        <f t="shared" si="76"/>
        <v>2026</v>
      </c>
      <c r="B65" s="594">
        <v>46072.0</v>
      </c>
      <c r="C65" s="594" t="str">
        <f t="shared" si="77"/>
        <v>February</v>
      </c>
      <c r="D65" s="593" t="str">
        <f t="shared" si="78"/>
        <v>Thursday</v>
      </c>
      <c r="E65" s="595"/>
      <c r="F65" s="596" t="s">
        <v>1466</v>
      </c>
      <c r="G65" s="596"/>
      <c r="H65" s="596"/>
      <c r="I65" s="597">
        <f t="shared" si="79"/>
        <v>1</v>
      </c>
      <c r="J65" s="598">
        <f t="shared" ref="J65:L65" si="115">SUMIFS(J$3:J$9,$I$3:$I$9,$G65)+SUMIFS(J$3:J$9,$I$3:$I$9,$H65)+SUMIFS(J$3:J$9,$I$3:$I$9,$F65)</f>
        <v>20</v>
      </c>
      <c r="K65" s="598">
        <f t="shared" si="115"/>
        <v>6</v>
      </c>
      <c r="L65" s="598">
        <f t="shared" si="115"/>
        <v>0</v>
      </c>
      <c r="M65" s="598"/>
      <c r="N65" s="598">
        <f t="shared" ref="N65:O65" si="116">SUMIFS(N$3:N$9,$I$3:$I$9,$G65)+SUMIFS(N$3:N$9,$I$3:$I$9,$H65)+SUMIFS(N$3:N$9,$I$3:$I$9,$F65)</f>
        <v>0</v>
      </c>
      <c r="O65" s="598">
        <f t="shared" si="116"/>
        <v>0</v>
      </c>
      <c r="P65" s="598"/>
      <c r="Q65" s="598"/>
      <c r="R65" s="598"/>
      <c r="S65" s="598">
        <f t="shared" si="82"/>
        <v>26</v>
      </c>
      <c r="T65" s="551"/>
      <c r="U65" s="551"/>
      <c r="V65" s="551"/>
      <c r="W65" s="551"/>
      <c r="X65" s="551"/>
      <c r="Y65" s="551"/>
      <c r="Z65" s="551"/>
      <c r="AA65" s="551"/>
    </row>
    <row r="66" hidden="1">
      <c r="A66" s="593">
        <f t="shared" si="76"/>
        <v>2026</v>
      </c>
      <c r="B66" s="594">
        <v>46073.0</v>
      </c>
      <c r="C66" s="594" t="str">
        <f t="shared" si="77"/>
        <v>February</v>
      </c>
      <c r="D66" s="593" t="str">
        <f t="shared" si="78"/>
        <v>Friday</v>
      </c>
      <c r="E66" s="595"/>
      <c r="F66" s="596" t="s">
        <v>1466</v>
      </c>
      <c r="G66" s="596"/>
      <c r="H66" s="596"/>
      <c r="I66" s="597">
        <f t="shared" si="79"/>
        <v>1</v>
      </c>
      <c r="J66" s="598">
        <f t="shared" ref="J66:L66" si="117">SUMIFS(J$3:J$9,$I$3:$I$9,$G66)+SUMIFS(J$3:J$9,$I$3:$I$9,$H66)+SUMIFS(J$3:J$9,$I$3:$I$9,$F66)</f>
        <v>20</v>
      </c>
      <c r="K66" s="598">
        <f t="shared" si="117"/>
        <v>6</v>
      </c>
      <c r="L66" s="598">
        <f t="shared" si="117"/>
        <v>0</v>
      </c>
      <c r="M66" s="598"/>
      <c r="N66" s="598">
        <f t="shared" ref="N66:O66" si="118">SUMIFS(N$3:N$9,$I$3:$I$9,$G66)+SUMIFS(N$3:N$9,$I$3:$I$9,$H66)+SUMIFS(N$3:N$9,$I$3:$I$9,$F66)</f>
        <v>0</v>
      </c>
      <c r="O66" s="598">
        <f t="shared" si="118"/>
        <v>0</v>
      </c>
      <c r="P66" s="598"/>
      <c r="Q66" s="598"/>
      <c r="R66" s="598"/>
      <c r="S66" s="598">
        <f t="shared" si="82"/>
        <v>26</v>
      </c>
      <c r="T66" s="551"/>
      <c r="U66" s="551"/>
      <c r="V66" s="551"/>
      <c r="W66" s="551"/>
      <c r="X66" s="551"/>
      <c r="Y66" s="551"/>
      <c r="Z66" s="551"/>
      <c r="AA66" s="551"/>
    </row>
    <row r="67" hidden="1">
      <c r="A67" s="593">
        <f t="shared" si="76"/>
        <v>2026</v>
      </c>
      <c r="B67" s="594">
        <v>46074.0</v>
      </c>
      <c r="C67" s="594" t="str">
        <f t="shared" si="77"/>
        <v>February</v>
      </c>
      <c r="D67" s="593" t="str">
        <f t="shared" si="78"/>
        <v>Saturday</v>
      </c>
      <c r="E67" s="595"/>
      <c r="F67" s="596" t="s">
        <v>1466</v>
      </c>
      <c r="G67" s="596"/>
      <c r="H67" s="596"/>
      <c r="I67" s="597">
        <f t="shared" si="79"/>
        <v>1</v>
      </c>
      <c r="J67" s="598">
        <f t="shared" ref="J67:L67" si="119">SUMIFS(J$3:J$9,$I$3:$I$9,$G67)+SUMIFS(J$3:J$9,$I$3:$I$9,$H67)+SUMIFS(J$3:J$9,$I$3:$I$9,$F67)</f>
        <v>20</v>
      </c>
      <c r="K67" s="598">
        <f t="shared" si="119"/>
        <v>6</v>
      </c>
      <c r="L67" s="598">
        <f t="shared" si="119"/>
        <v>0</v>
      </c>
      <c r="M67" s="598"/>
      <c r="N67" s="598">
        <f t="shared" ref="N67:O67" si="120">SUMIFS(N$3:N$9,$I$3:$I$9,$G67)+SUMIFS(N$3:N$9,$I$3:$I$9,$H67)+SUMIFS(N$3:N$9,$I$3:$I$9,$F67)</f>
        <v>0</v>
      </c>
      <c r="O67" s="598">
        <f t="shared" si="120"/>
        <v>0</v>
      </c>
      <c r="P67" s="598"/>
      <c r="Q67" s="598"/>
      <c r="R67" s="598"/>
      <c r="S67" s="598">
        <f t="shared" si="82"/>
        <v>26</v>
      </c>
      <c r="T67" s="551"/>
      <c r="U67" s="551"/>
      <c r="V67" s="551"/>
      <c r="W67" s="551"/>
      <c r="X67" s="551"/>
      <c r="Y67" s="551"/>
      <c r="Z67" s="551"/>
      <c r="AA67" s="551"/>
    </row>
    <row r="68" hidden="1">
      <c r="A68" s="593">
        <f t="shared" si="76"/>
        <v>2026</v>
      </c>
      <c r="B68" s="594">
        <v>46075.0</v>
      </c>
      <c r="C68" s="594" t="str">
        <f t="shared" si="77"/>
        <v>February</v>
      </c>
      <c r="D68" s="593" t="str">
        <f t="shared" si="78"/>
        <v>Sunday</v>
      </c>
      <c r="E68" s="595"/>
      <c r="F68" s="596"/>
      <c r="G68" s="596"/>
      <c r="H68" s="596"/>
      <c r="I68" s="597">
        <f t="shared" si="79"/>
        <v>0</v>
      </c>
      <c r="J68" s="598">
        <f t="shared" ref="J68:L68" si="121">SUMIFS(J$3:J$9,$I$3:$I$9,$G68)+SUMIFS(J$3:J$9,$I$3:$I$9,$H68)+SUMIFS(J$3:J$9,$I$3:$I$9,$F68)</f>
        <v>0</v>
      </c>
      <c r="K68" s="598">
        <f t="shared" si="121"/>
        <v>0</v>
      </c>
      <c r="L68" s="598">
        <f t="shared" si="121"/>
        <v>0</v>
      </c>
      <c r="M68" s="598"/>
      <c r="N68" s="598">
        <f t="shared" ref="N68:O68" si="122">SUMIFS(N$3:N$9,$I$3:$I$9,$G68)+SUMIFS(N$3:N$9,$I$3:$I$9,$H68)+SUMIFS(N$3:N$9,$I$3:$I$9,$F68)</f>
        <v>0</v>
      </c>
      <c r="O68" s="598">
        <f t="shared" si="122"/>
        <v>0</v>
      </c>
      <c r="P68" s="598"/>
      <c r="Q68" s="598"/>
      <c r="R68" s="598"/>
      <c r="S68" s="598">
        <f t="shared" si="82"/>
        <v>0</v>
      </c>
      <c r="T68" s="551"/>
      <c r="U68" s="551"/>
      <c r="V68" s="551"/>
      <c r="W68" s="551"/>
      <c r="X68" s="551"/>
      <c r="Y68" s="551"/>
      <c r="Z68" s="551"/>
      <c r="AA68" s="551"/>
    </row>
    <row r="69" hidden="1">
      <c r="A69" s="593">
        <f t="shared" si="76"/>
        <v>2026</v>
      </c>
      <c r="B69" s="594">
        <v>46076.0</v>
      </c>
      <c r="C69" s="594" t="str">
        <f t="shared" si="77"/>
        <v>February</v>
      </c>
      <c r="D69" s="593" t="str">
        <f t="shared" si="78"/>
        <v>Monday</v>
      </c>
      <c r="E69" s="595"/>
      <c r="F69" s="596" t="s">
        <v>1466</v>
      </c>
      <c r="G69" s="596"/>
      <c r="H69" s="596"/>
      <c r="I69" s="597">
        <f t="shared" si="79"/>
        <v>1</v>
      </c>
      <c r="J69" s="598">
        <f t="shared" ref="J69:L69" si="123">SUMIFS(J$3:J$9,$I$3:$I$9,$G69)+SUMIFS(J$3:J$9,$I$3:$I$9,$H69)+SUMIFS(J$3:J$9,$I$3:$I$9,$F69)</f>
        <v>20</v>
      </c>
      <c r="K69" s="598">
        <f t="shared" si="123"/>
        <v>6</v>
      </c>
      <c r="L69" s="598">
        <f t="shared" si="123"/>
        <v>0</v>
      </c>
      <c r="M69" s="598"/>
      <c r="N69" s="598">
        <f t="shared" ref="N69:O69" si="124">SUMIFS(N$3:N$9,$I$3:$I$9,$G69)+SUMIFS(N$3:N$9,$I$3:$I$9,$H69)+SUMIFS(N$3:N$9,$I$3:$I$9,$F69)</f>
        <v>0</v>
      </c>
      <c r="O69" s="598">
        <f t="shared" si="124"/>
        <v>0</v>
      </c>
      <c r="P69" s="598"/>
      <c r="Q69" s="598"/>
      <c r="R69" s="598"/>
      <c r="S69" s="598">
        <f t="shared" si="82"/>
        <v>26</v>
      </c>
      <c r="T69" s="551"/>
      <c r="U69" s="551"/>
      <c r="V69" s="551"/>
      <c r="W69" s="551"/>
      <c r="X69" s="551"/>
      <c r="Y69" s="551"/>
      <c r="Z69" s="551"/>
      <c r="AA69" s="551"/>
    </row>
    <row r="70" hidden="1">
      <c r="A70" s="593">
        <f t="shared" si="76"/>
        <v>2026</v>
      </c>
      <c r="B70" s="594">
        <v>46077.0</v>
      </c>
      <c r="C70" s="594" t="str">
        <f t="shared" si="77"/>
        <v>February</v>
      </c>
      <c r="D70" s="593" t="str">
        <f t="shared" si="78"/>
        <v>Tuesday</v>
      </c>
      <c r="E70" s="595"/>
      <c r="F70" s="596" t="s">
        <v>1466</v>
      </c>
      <c r="G70" s="596"/>
      <c r="H70" s="596"/>
      <c r="I70" s="597">
        <f t="shared" si="79"/>
        <v>1</v>
      </c>
      <c r="J70" s="598">
        <f t="shared" ref="J70:L70" si="125">SUMIFS(J$3:J$9,$I$3:$I$9,$G70)+SUMIFS(J$3:J$9,$I$3:$I$9,$H70)+SUMIFS(J$3:J$9,$I$3:$I$9,$F70)</f>
        <v>20</v>
      </c>
      <c r="K70" s="598">
        <f t="shared" si="125"/>
        <v>6</v>
      </c>
      <c r="L70" s="598">
        <f t="shared" si="125"/>
        <v>0</v>
      </c>
      <c r="M70" s="598"/>
      <c r="N70" s="598">
        <f t="shared" ref="N70:O70" si="126">SUMIFS(N$3:N$9,$I$3:$I$9,$G70)+SUMIFS(N$3:N$9,$I$3:$I$9,$H70)+SUMIFS(N$3:N$9,$I$3:$I$9,$F70)</f>
        <v>0</v>
      </c>
      <c r="O70" s="598">
        <f t="shared" si="126"/>
        <v>0</v>
      </c>
      <c r="P70" s="598"/>
      <c r="Q70" s="598"/>
      <c r="R70" s="598"/>
      <c r="S70" s="598">
        <f t="shared" si="82"/>
        <v>26</v>
      </c>
      <c r="T70" s="551"/>
      <c r="U70" s="551"/>
      <c r="V70" s="551"/>
      <c r="W70" s="551"/>
      <c r="X70" s="551"/>
      <c r="Y70" s="551"/>
      <c r="Z70" s="551"/>
      <c r="AA70" s="551"/>
    </row>
    <row r="71" hidden="1">
      <c r="A71" s="593">
        <f t="shared" si="76"/>
        <v>2026</v>
      </c>
      <c r="B71" s="594">
        <v>46078.0</v>
      </c>
      <c r="C71" s="594" t="str">
        <f t="shared" si="77"/>
        <v>February</v>
      </c>
      <c r="D71" s="593" t="str">
        <f t="shared" si="78"/>
        <v>Wednesday</v>
      </c>
      <c r="E71" s="595"/>
      <c r="F71" s="596" t="s">
        <v>1466</v>
      </c>
      <c r="G71" s="596"/>
      <c r="H71" s="596"/>
      <c r="I71" s="597">
        <f t="shared" si="79"/>
        <v>1</v>
      </c>
      <c r="J71" s="598">
        <f t="shared" ref="J71:L71" si="127">SUMIFS(J$3:J$9,$I$3:$I$9,$G71)+SUMIFS(J$3:J$9,$I$3:$I$9,$H71)+SUMIFS(J$3:J$9,$I$3:$I$9,$F71)</f>
        <v>20</v>
      </c>
      <c r="K71" s="598">
        <f t="shared" si="127"/>
        <v>6</v>
      </c>
      <c r="L71" s="598">
        <f t="shared" si="127"/>
        <v>0</v>
      </c>
      <c r="M71" s="598"/>
      <c r="N71" s="598">
        <f t="shared" ref="N71:O71" si="128">SUMIFS(N$3:N$9,$I$3:$I$9,$G71)+SUMIFS(N$3:N$9,$I$3:$I$9,$H71)+SUMIFS(N$3:N$9,$I$3:$I$9,$F71)</f>
        <v>0</v>
      </c>
      <c r="O71" s="598">
        <f t="shared" si="128"/>
        <v>0</v>
      </c>
      <c r="P71" s="598"/>
      <c r="Q71" s="598"/>
      <c r="R71" s="598"/>
      <c r="S71" s="598">
        <f t="shared" si="82"/>
        <v>26</v>
      </c>
      <c r="T71" s="551"/>
      <c r="U71" s="551"/>
      <c r="V71" s="551"/>
      <c r="W71" s="551"/>
      <c r="X71" s="551"/>
      <c r="Y71" s="551"/>
      <c r="Z71" s="551"/>
      <c r="AA71" s="551"/>
    </row>
    <row r="72" hidden="1">
      <c r="A72" s="593">
        <f t="shared" si="76"/>
        <v>2026</v>
      </c>
      <c r="B72" s="594">
        <v>46079.0</v>
      </c>
      <c r="C72" s="594" t="str">
        <f t="shared" si="77"/>
        <v>February</v>
      </c>
      <c r="D72" s="593" t="str">
        <f t="shared" si="78"/>
        <v>Thursday</v>
      </c>
      <c r="E72" s="595"/>
      <c r="F72" s="596" t="s">
        <v>1466</v>
      </c>
      <c r="G72" s="596"/>
      <c r="H72" s="596"/>
      <c r="I72" s="597">
        <f t="shared" si="79"/>
        <v>1</v>
      </c>
      <c r="J72" s="598">
        <f t="shared" ref="J72:L72" si="129">SUMIFS(J$3:J$9,$I$3:$I$9,$G72)+SUMIFS(J$3:J$9,$I$3:$I$9,$H72)+SUMIFS(J$3:J$9,$I$3:$I$9,$F72)</f>
        <v>20</v>
      </c>
      <c r="K72" s="598">
        <f t="shared" si="129"/>
        <v>6</v>
      </c>
      <c r="L72" s="598">
        <f t="shared" si="129"/>
        <v>0</v>
      </c>
      <c r="M72" s="598"/>
      <c r="N72" s="598">
        <f t="shared" ref="N72:O72" si="130">SUMIFS(N$3:N$9,$I$3:$I$9,$G72)+SUMIFS(N$3:N$9,$I$3:$I$9,$H72)+SUMIFS(N$3:N$9,$I$3:$I$9,$F72)</f>
        <v>0</v>
      </c>
      <c r="O72" s="598">
        <f t="shared" si="130"/>
        <v>0</v>
      </c>
      <c r="P72" s="598"/>
      <c r="Q72" s="598"/>
      <c r="R72" s="598"/>
      <c r="S72" s="598">
        <f t="shared" si="82"/>
        <v>26</v>
      </c>
      <c r="T72" s="551"/>
      <c r="U72" s="551"/>
      <c r="V72" s="551"/>
      <c r="W72" s="551"/>
      <c r="X72" s="551"/>
      <c r="Y72" s="551"/>
      <c r="Z72" s="551"/>
      <c r="AA72" s="551"/>
    </row>
    <row r="73" hidden="1">
      <c r="A73" s="593">
        <f t="shared" si="76"/>
        <v>2026</v>
      </c>
      <c r="B73" s="594">
        <v>46080.0</v>
      </c>
      <c r="C73" s="594" t="str">
        <f t="shared" si="77"/>
        <v>February</v>
      </c>
      <c r="D73" s="593" t="str">
        <f t="shared" si="78"/>
        <v>Friday</v>
      </c>
      <c r="E73" s="595"/>
      <c r="F73" s="596" t="s">
        <v>1466</v>
      </c>
      <c r="G73" s="596"/>
      <c r="H73" s="596"/>
      <c r="I73" s="597">
        <f t="shared" si="79"/>
        <v>1</v>
      </c>
      <c r="J73" s="598">
        <f t="shared" ref="J73:L73" si="131">SUMIFS(J$3:J$9,$I$3:$I$9,$G73)+SUMIFS(J$3:J$9,$I$3:$I$9,$H73)+SUMIFS(J$3:J$9,$I$3:$I$9,$F73)</f>
        <v>20</v>
      </c>
      <c r="K73" s="598">
        <f t="shared" si="131"/>
        <v>6</v>
      </c>
      <c r="L73" s="598">
        <f t="shared" si="131"/>
        <v>0</v>
      </c>
      <c r="M73" s="598"/>
      <c r="N73" s="598">
        <f t="shared" ref="N73:O73" si="132">SUMIFS(N$3:N$9,$I$3:$I$9,$G73)+SUMIFS(N$3:N$9,$I$3:$I$9,$H73)+SUMIFS(N$3:N$9,$I$3:$I$9,$F73)</f>
        <v>0</v>
      </c>
      <c r="O73" s="598">
        <f t="shared" si="132"/>
        <v>0</v>
      </c>
      <c r="P73" s="598"/>
      <c r="Q73" s="598"/>
      <c r="R73" s="598"/>
      <c r="S73" s="598">
        <f t="shared" si="82"/>
        <v>26</v>
      </c>
      <c r="T73" s="551"/>
      <c r="U73" s="551"/>
      <c r="V73" s="551"/>
      <c r="W73" s="551"/>
      <c r="X73" s="551"/>
      <c r="Y73" s="551"/>
      <c r="Z73" s="551"/>
      <c r="AA73" s="551"/>
    </row>
    <row r="74" hidden="1">
      <c r="A74" s="593">
        <f t="shared" si="76"/>
        <v>2026</v>
      </c>
      <c r="B74" s="594">
        <v>46081.0</v>
      </c>
      <c r="C74" s="594" t="str">
        <f t="shared" si="77"/>
        <v>February</v>
      </c>
      <c r="D74" s="593" t="str">
        <f t="shared" si="78"/>
        <v>Saturday</v>
      </c>
      <c r="E74" s="611" t="s">
        <v>1487</v>
      </c>
      <c r="F74" s="596" t="s">
        <v>1466</v>
      </c>
      <c r="G74" s="596"/>
      <c r="H74" s="596"/>
      <c r="I74" s="597">
        <f t="shared" si="79"/>
        <v>1</v>
      </c>
      <c r="J74" s="598">
        <f t="shared" ref="J74:L74" si="133">SUMIFS(J$3:J$9,$I$3:$I$9,$G74)+SUMIFS(J$3:J$9,$I$3:$I$9,$H74)+SUMIFS(J$3:J$9,$I$3:$I$9,$F74)</f>
        <v>20</v>
      </c>
      <c r="K74" s="598">
        <f t="shared" si="133"/>
        <v>6</v>
      </c>
      <c r="L74" s="598">
        <f t="shared" si="133"/>
        <v>0</v>
      </c>
      <c r="M74" s="598"/>
      <c r="N74" s="598">
        <f t="shared" ref="N74:O74" si="134">SUMIFS(N$3:N$9,$I$3:$I$9,$G74)+SUMIFS(N$3:N$9,$I$3:$I$9,$H74)+SUMIFS(N$3:N$9,$I$3:$I$9,$F74)</f>
        <v>0</v>
      </c>
      <c r="O74" s="598">
        <f t="shared" si="134"/>
        <v>0</v>
      </c>
      <c r="P74" s="598"/>
      <c r="Q74" s="598"/>
      <c r="R74" s="598"/>
      <c r="S74" s="598">
        <f t="shared" si="82"/>
        <v>26</v>
      </c>
      <c r="T74" s="551"/>
      <c r="U74" s="551"/>
      <c r="V74" s="551"/>
      <c r="W74" s="551"/>
      <c r="X74" s="551"/>
      <c r="Y74" s="551"/>
      <c r="Z74" s="551"/>
      <c r="AA74" s="551"/>
    </row>
    <row r="75" hidden="1">
      <c r="A75" s="593" t="str">
        <f t="shared" si="76"/>
        <v/>
      </c>
      <c r="B75" s="594"/>
      <c r="C75" s="594" t="str">
        <f t="shared" si="77"/>
        <v/>
      </c>
      <c r="D75" s="593" t="str">
        <f t="shared" si="78"/>
        <v/>
      </c>
      <c r="E75" s="595"/>
      <c r="F75" s="596"/>
      <c r="G75" s="596"/>
      <c r="H75" s="596"/>
      <c r="I75" s="597">
        <f t="shared" si="79"/>
        <v>0</v>
      </c>
      <c r="J75" s="598">
        <f t="shared" ref="J75:L75" si="135">SUMIFS(J$3:J$9,$I$3:$I$9,$G75)+SUMIFS(J$3:J$9,$I$3:$I$9,$H75)+SUMIFS(J$3:J$9,$I$3:$I$9,$F75)</f>
        <v>0</v>
      </c>
      <c r="K75" s="598">
        <f t="shared" si="135"/>
        <v>0</v>
      </c>
      <c r="L75" s="598">
        <f t="shared" si="135"/>
        <v>0</v>
      </c>
      <c r="M75" s="598"/>
      <c r="N75" s="598">
        <f t="shared" ref="N75:O75" si="136">SUMIFS(N$3:N$9,$I$3:$I$9,$G75)+SUMIFS(N$3:N$9,$I$3:$I$9,$H75)+SUMIFS(N$3:N$9,$I$3:$I$9,$F75)</f>
        <v>0</v>
      </c>
      <c r="O75" s="598">
        <f t="shared" si="136"/>
        <v>0</v>
      </c>
      <c r="P75" s="598"/>
      <c r="Q75" s="598"/>
      <c r="R75" s="598"/>
      <c r="S75" s="598">
        <f t="shared" si="82"/>
        <v>0</v>
      </c>
      <c r="T75" s="551"/>
      <c r="U75" s="551"/>
      <c r="V75" s="551"/>
      <c r="W75" s="551"/>
      <c r="X75" s="551"/>
      <c r="Y75" s="551"/>
      <c r="Z75" s="551"/>
      <c r="AA75" s="551"/>
    </row>
    <row r="76" hidden="1">
      <c r="A76" s="593" t="str">
        <f t="shared" si="76"/>
        <v/>
      </c>
      <c r="B76" s="594"/>
      <c r="C76" s="594" t="str">
        <f t="shared" si="77"/>
        <v/>
      </c>
      <c r="D76" s="593" t="str">
        <f t="shared" si="78"/>
        <v/>
      </c>
      <c r="E76" s="595"/>
      <c r="F76" s="596"/>
      <c r="G76" s="596"/>
      <c r="H76" s="596"/>
      <c r="I76" s="597">
        <f t="shared" si="79"/>
        <v>0</v>
      </c>
      <c r="J76" s="598">
        <f t="shared" ref="J76:L76" si="137">SUMIFS(J$3:J$9,$I$3:$I$9,$G76)+SUMIFS(J$3:J$9,$I$3:$I$9,$H76)+SUMIFS(J$3:J$9,$I$3:$I$9,$F76)</f>
        <v>0</v>
      </c>
      <c r="K76" s="598">
        <f t="shared" si="137"/>
        <v>0</v>
      </c>
      <c r="L76" s="598">
        <f t="shared" si="137"/>
        <v>0</v>
      </c>
      <c r="M76" s="598"/>
      <c r="N76" s="598">
        <f t="shared" ref="N76:O76" si="138">SUMIFS(N$3:N$9,$I$3:$I$9,$G76)+SUMIFS(N$3:N$9,$I$3:$I$9,$H76)+SUMIFS(N$3:N$9,$I$3:$I$9,$F76)</f>
        <v>0</v>
      </c>
      <c r="O76" s="598">
        <f t="shared" si="138"/>
        <v>0</v>
      </c>
      <c r="P76" s="598"/>
      <c r="Q76" s="598"/>
      <c r="R76" s="598"/>
      <c r="S76" s="598">
        <f t="shared" si="82"/>
        <v>0</v>
      </c>
      <c r="T76" s="551"/>
      <c r="U76" s="551"/>
      <c r="V76" s="551"/>
      <c r="W76" s="551"/>
      <c r="X76" s="551"/>
      <c r="Y76" s="551"/>
      <c r="Z76" s="551"/>
      <c r="AA76" s="551"/>
    </row>
    <row r="77" hidden="1">
      <c r="A77" s="593" t="str">
        <f t="shared" si="76"/>
        <v/>
      </c>
      <c r="B77" s="594"/>
      <c r="C77" s="594" t="str">
        <f t="shared" si="77"/>
        <v/>
      </c>
      <c r="D77" s="593" t="str">
        <f t="shared" si="78"/>
        <v/>
      </c>
      <c r="E77" s="595"/>
      <c r="F77" s="596"/>
      <c r="G77" s="596"/>
      <c r="H77" s="596"/>
      <c r="I77" s="597">
        <f t="shared" si="79"/>
        <v>0</v>
      </c>
      <c r="J77" s="598">
        <f t="shared" ref="J77:L77" si="139">SUMIFS(J$3:J$9,$I$3:$I$9,$G77)+SUMIFS(J$3:J$9,$I$3:$I$9,$H77)+SUMIFS(J$3:J$9,$I$3:$I$9,$F77)</f>
        <v>0</v>
      </c>
      <c r="K77" s="598">
        <f t="shared" si="139"/>
        <v>0</v>
      </c>
      <c r="L77" s="598">
        <f t="shared" si="139"/>
        <v>0</v>
      </c>
      <c r="M77" s="598"/>
      <c r="N77" s="598">
        <f t="shared" ref="N77:O77" si="140">SUMIFS(N$3:N$9,$I$3:$I$9,$G77)+SUMIFS(N$3:N$9,$I$3:$I$9,$H77)+SUMIFS(N$3:N$9,$I$3:$I$9,$F77)</f>
        <v>0</v>
      </c>
      <c r="O77" s="598">
        <f t="shared" si="140"/>
        <v>0</v>
      </c>
      <c r="P77" s="598"/>
      <c r="Q77" s="598"/>
      <c r="R77" s="598"/>
      <c r="S77" s="598">
        <f t="shared" si="82"/>
        <v>0</v>
      </c>
      <c r="T77" s="551"/>
      <c r="U77" s="551"/>
      <c r="V77" s="551"/>
      <c r="W77" s="551"/>
      <c r="X77" s="551"/>
      <c r="Y77" s="551"/>
      <c r="Z77" s="551"/>
      <c r="AA77" s="551"/>
    </row>
    <row r="78" hidden="1">
      <c r="A78" s="600">
        <f>A47</f>
        <v>2026</v>
      </c>
      <c r="B78" s="600" t="str">
        <f>CONCATENATE(A78," ",C78)</f>
        <v>2026 February</v>
      </c>
      <c r="C78" s="601" t="str">
        <f>C47</f>
        <v>February</v>
      </c>
      <c r="D78" s="600"/>
      <c r="E78" s="602"/>
      <c r="F78" s="603"/>
      <c r="G78" s="603"/>
      <c r="H78" s="603"/>
      <c r="I78" s="604">
        <f t="shared" ref="I78:L78" si="141">SUM(I47:I77)</f>
        <v>22</v>
      </c>
      <c r="J78" s="605">
        <f t="shared" si="141"/>
        <v>400</v>
      </c>
      <c r="K78" s="605">
        <f t="shared" si="141"/>
        <v>108</v>
      </c>
      <c r="L78" s="605">
        <f t="shared" si="141"/>
        <v>0</v>
      </c>
      <c r="M78" s="605"/>
      <c r="N78" s="605">
        <f t="shared" ref="N78:S78" si="142">SUM(N47:N77)</f>
        <v>60</v>
      </c>
      <c r="O78" s="605">
        <f t="shared" si="142"/>
        <v>0</v>
      </c>
      <c r="P78" s="605">
        <f t="shared" si="142"/>
        <v>0</v>
      </c>
      <c r="Q78" s="605">
        <f t="shared" si="142"/>
        <v>0</v>
      </c>
      <c r="R78" s="605">
        <f t="shared" si="142"/>
        <v>0</v>
      </c>
      <c r="S78" s="605">
        <f t="shared" si="142"/>
        <v>568</v>
      </c>
      <c r="T78" s="551"/>
      <c r="U78" s="551"/>
      <c r="V78" s="551"/>
      <c r="W78" s="551"/>
      <c r="X78" s="551"/>
      <c r="Y78" s="551"/>
      <c r="Z78" s="551"/>
      <c r="AA78" s="551"/>
    </row>
    <row r="79" hidden="1">
      <c r="A79" s="574"/>
      <c r="B79" s="575"/>
      <c r="C79" s="575"/>
      <c r="D79" s="575"/>
      <c r="E79" s="576"/>
      <c r="F79" s="547"/>
      <c r="G79" s="547"/>
      <c r="H79" s="547"/>
      <c r="I79" s="573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1"/>
      <c r="U79" s="551"/>
      <c r="V79" s="551"/>
      <c r="W79" s="551"/>
      <c r="X79" s="551"/>
      <c r="Y79" s="551"/>
      <c r="Z79" s="551"/>
      <c r="AA79" s="551"/>
    </row>
    <row r="80" hidden="1">
      <c r="A80" s="577">
        <f t="shared" ref="A80:A110" si="145">IF(B80="","",YEAR(B80))</f>
        <v>2026</v>
      </c>
      <c r="B80" s="612">
        <v>46082.0</v>
      </c>
      <c r="C80" s="606" t="str">
        <f t="shared" ref="C80:C110" si="146">IF(B80="", "", TEXT(DATE(A80, MONTH(B80), 1), "MMMM"))</f>
        <v>March</v>
      </c>
      <c r="D80" s="577" t="str">
        <f t="shared" ref="D80:D110" si="147">IF(B80="","",TEXT(B80, "dddd"))</f>
        <v>Sunday</v>
      </c>
      <c r="E80" s="607"/>
      <c r="F80" s="608"/>
      <c r="G80" s="608"/>
      <c r="H80" s="608"/>
      <c r="I80" s="548">
        <f t="shared" ref="I80:I110" si="148">COUNTIF(F80:H80,"&lt;&gt;")</f>
        <v>0</v>
      </c>
      <c r="J80" s="609">
        <f t="shared" ref="J80:L80" si="143">SUMIFS(J$3:J$9,$I$3:$I$9,$G80)+SUMIFS(J$3:J$9,$I$3:$I$9,$H80)+SUMIFS(J$3:J$9,$I$3:$I$9,$F80)</f>
        <v>0</v>
      </c>
      <c r="K80" s="609">
        <f t="shared" si="143"/>
        <v>0</v>
      </c>
      <c r="L80" s="609">
        <f t="shared" si="143"/>
        <v>0</v>
      </c>
      <c r="M80" s="609"/>
      <c r="N80" s="609">
        <f t="shared" ref="N80:O80" si="144">SUMIFS(N$3:N$9,$I$3:$I$9,$G80)+SUMIFS(N$3:N$9,$I$3:$I$9,$H80)+SUMIFS(N$3:N$9,$I$3:$I$9,$F80)</f>
        <v>0</v>
      </c>
      <c r="O80" s="609">
        <f t="shared" si="144"/>
        <v>0</v>
      </c>
      <c r="P80" s="609"/>
      <c r="Q80" s="609"/>
      <c r="R80" s="609"/>
      <c r="S80" s="609">
        <f t="shared" ref="S80:S110" si="151">SUM(J80:R80)</f>
        <v>0</v>
      </c>
      <c r="T80" s="551"/>
      <c r="U80" s="551"/>
      <c r="V80" s="551"/>
      <c r="W80" s="551"/>
      <c r="X80" s="551"/>
      <c r="Y80" s="551"/>
      <c r="Z80" s="551"/>
      <c r="AA80" s="551"/>
    </row>
    <row r="81" hidden="1">
      <c r="A81" s="593">
        <f t="shared" si="145"/>
        <v>2026</v>
      </c>
      <c r="B81" s="613">
        <v>46083.0</v>
      </c>
      <c r="C81" s="594" t="str">
        <f t="shared" si="146"/>
        <v>March</v>
      </c>
      <c r="D81" s="593" t="str">
        <f t="shared" si="147"/>
        <v>Monday</v>
      </c>
      <c r="E81" s="595" t="s">
        <v>1488</v>
      </c>
      <c r="F81" s="596" t="s">
        <v>1461</v>
      </c>
      <c r="G81" s="596"/>
      <c r="H81" s="596"/>
      <c r="I81" s="597">
        <f t="shared" si="148"/>
        <v>1</v>
      </c>
      <c r="J81" s="598">
        <f t="shared" ref="J81:L81" si="149">SUMIFS(J$3:J$9,$I$3:$I$9,$G81)+SUMIFS(J$3:J$9,$I$3:$I$9,$H81)+SUMIFS(J$3:J$9,$I$3:$I$9,$F81)</f>
        <v>25</v>
      </c>
      <c r="K81" s="598">
        <f t="shared" si="149"/>
        <v>0</v>
      </c>
      <c r="L81" s="598">
        <f t="shared" si="149"/>
        <v>0</v>
      </c>
      <c r="M81" s="598"/>
      <c r="N81" s="598">
        <f t="shared" ref="N81:O81" si="150">SUMIFS(N$3:N$9,$I$3:$I$9,$G81)+SUMIFS(N$3:N$9,$I$3:$I$9,$H81)+SUMIFS(N$3:N$9,$I$3:$I$9,$F81)</f>
        <v>0</v>
      </c>
      <c r="O81" s="598">
        <f t="shared" si="150"/>
        <v>0</v>
      </c>
      <c r="P81" s="598"/>
      <c r="Q81" s="598"/>
      <c r="R81" s="598"/>
      <c r="S81" s="598">
        <f t="shared" si="151"/>
        <v>25</v>
      </c>
      <c r="T81" s="551"/>
      <c r="U81" s="551"/>
      <c r="V81" s="551"/>
      <c r="W81" s="551"/>
      <c r="X81" s="551"/>
      <c r="Y81" s="551"/>
      <c r="Z81" s="551"/>
      <c r="AA81" s="551"/>
    </row>
    <row r="82" hidden="1">
      <c r="A82" s="593">
        <f t="shared" si="145"/>
        <v>2026</v>
      </c>
      <c r="B82" s="613">
        <v>46084.0</v>
      </c>
      <c r="C82" s="594" t="str">
        <f t="shared" si="146"/>
        <v>March</v>
      </c>
      <c r="D82" s="593" t="str">
        <f t="shared" si="147"/>
        <v>Tuesday</v>
      </c>
      <c r="E82" s="595"/>
      <c r="F82" s="596" t="s">
        <v>1461</v>
      </c>
      <c r="G82" s="596"/>
      <c r="H82" s="596"/>
      <c r="I82" s="597">
        <f t="shared" si="148"/>
        <v>1</v>
      </c>
      <c r="J82" s="598">
        <f t="shared" ref="J82:L82" si="152">SUMIFS(J$3:J$9,$I$3:$I$9,$G82)+SUMIFS(J$3:J$9,$I$3:$I$9,$H82)+SUMIFS(J$3:J$9,$I$3:$I$9,$F82)</f>
        <v>25</v>
      </c>
      <c r="K82" s="598">
        <f t="shared" si="152"/>
        <v>0</v>
      </c>
      <c r="L82" s="598">
        <f t="shared" si="152"/>
        <v>0</v>
      </c>
      <c r="M82" s="598"/>
      <c r="N82" s="598">
        <f t="shared" ref="N82:O82" si="153">SUMIFS(N$3:N$9,$I$3:$I$9,$G82)+SUMIFS(N$3:N$9,$I$3:$I$9,$H82)+SUMIFS(N$3:N$9,$I$3:$I$9,$F82)</f>
        <v>0</v>
      </c>
      <c r="O82" s="598">
        <f t="shared" si="153"/>
        <v>0</v>
      </c>
      <c r="P82" s="598"/>
      <c r="Q82" s="598"/>
      <c r="R82" s="598"/>
      <c r="S82" s="598">
        <f t="shared" si="151"/>
        <v>25</v>
      </c>
      <c r="T82" s="551"/>
      <c r="U82" s="551"/>
      <c r="V82" s="551"/>
      <c r="W82" s="551"/>
      <c r="X82" s="551"/>
      <c r="Y82" s="551"/>
      <c r="Z82" s="551"/>
      <c r="AA82" s="551"/>
    </row>
    <row r="83" hidden="1">
      <c r="A83" s="593">
        <f t="shared" si="145"/>
        <v>2026</v>
      </c>
      <c r="B83" s="613">
        <v>46085.0</v>
      </c>
      <c r="C83" s="594" t="str">
        <f t="shared" si="146"/>
        <v>March</v>
      </c>
      <c r="D83" s="593" t="str">
        <f t="shared" si="147"/>
        <v>Wednesday</v>
      </c>
      <c r="E83" s="595"/>
      <c r="F83" s="596" t="s">
        <v>1461</v>
      </c>
      <c r="G83" s="596"/>
      <c r="H83" s="596"/>
      <c r="I83" s="597">
        <f t="shared" si="148"/>
        <v>1</v>
      </c>
      <c r="J83" s="598">
        <f t="shared" ref="J83:L83" si="154">SUMIFS(J$3:J$9,$I$3:$I$9,$G83)+SUMIFS(J$3:J$9,$I$3:$I$9,$H83)+SUMIFS(J$3:J$9,$I$3:$I$9,$F83)</f>
        <v>25</v>
      </c>
      <c r="K83" s="598">
        <f t="shared" si="154"/>
        <v>0</v>
      </c>
      <c r="L83" s="598">
        <f t="shared" si="154"/>
        <v>0</v>
      </c>
      <c r="M83" s="598"/>
      <c r="N83" s="598">
        <f t="shared" ref="N83:O83" si="155">SUMIFS(N$3:N$9,$I$3:$I$9,$G83)+SUMIFS(N$3:N$9,$I$3:$I$9,$H83)+SUMIFS(N$3:N$9,$I$3:$I$9,$F83)</f>
        <v>0</v>
      </c>
      <c r="O83" s="598">
        <f t="shared" si="155"/>
        <v>0</v>
      </c>
      <c r="P83" s="598"/>
      <c r="Q83" s="598"/>
      <c r="R83" s="598"/>
      <c r="S83" s="598">
        <f t="shared" si="151"/>
        <v>25</v>
      </c>
      <c r="T83" s="551"/>
      <c r="U83" s="551"/>
      <c r="V83" s="551"/>
      <c r="W83" s="551"/>
      <c r="X83" s="551"/>
      <c r="Y83" s="551"/>
      <c r="Z83" s="551"/>
      <c r="AA83" s="551"/>
    </row>
    <row r="84" hidden="1">
      <c r="A84" s="593">
        <f t="shared" si="145"/>
        <v>2026</v>
      </c>
      <c r="B84" s="613">
        <v>46086.0</v>
      </c>
      <c r="C84" s="594" t="str">
        <f t="shared" si="146"/>
        <v>March</v>
      </c>
      <c r="D84" s="593" t="str">
        <f t="shared" si="147"/>
        <v>Thursday</v>
      </c>
      <c r="E84" s="595"/>
      <c r="F84" s="596" t="s">
        <v>1461</v>
      </c>
      <c r="G84" s="596"/>
      <c r="H84" s="596"/>
      <c r="I84" s="597">
        <f t="shared" si="148"/>
        <v>1</v>
      </c>
      <c r="J84" s="598">
        <f t="shared" ref="J84:L84" si="156">SUMIFS(J$3:J$9,$I$3:$I$9,$G84)+SUMIFS(J$3:J$9,$I$3:$I$9,$H84)+SUMIFS(J$3:J$9,$I$3:$I$9,$F84)</f>
        <v>25</v>
      </c>
      <c r="K84" s="598">
        <f t="shared" si="156"/>
        <v>0</v>
      </c>
      <c r="L84" s="598">
        <f t="shared" si="156"/>
        <v>0</v>
      </c>
      <c r="M84" s="598"/>
      <c r="N84" s="598">
        <f t="shared" ref="N84:O84" si="157">SUMIFS(N$3:N$9,$I$3:$I$9,$G84)+SUMIFS(N$3:N$9,$I$3:$I$9,$H84)+SUMIFS(N$3:N$9,$I$3:$I$9,$F84)</f>
        <v>0</v>
      </c>
      <c r="O84" s="598">
        <f t="shared" si="157"/>
        <v>0</v>
      </c>
      <c r="P84" s="598"/>
      <c r="Q84" s="598"/>
      <c r="R84" s="598"/>
      <c r="S84" s="598">
        <f t="shared" si="151"/>
        <v>25</v>
      </c>
      <c r="T84" s="551"/>
      <c r="U84" s="551"/>
      <c r="V84" s="551"/>
      <c r="W84" s="551"/>
      <c r="X84" s="551"/>
      <c r="Y84" s="551"/>
      <c r="Z84" s="551"/>
      <c r="AA84" s="551"/>
    </row>
    <row r="85" hidden="1">
      <c r="A85" s="593">
        <f t="shared" si="145"/>
        <v>2026</v>
      </c>
      <c r="B85" s="613">
        <v>46087.0</v>
      </c>
      <c r="C85" s="594" t="str">
        <f t="shared" si="146"/>
        <v>March</v>
      </c>
      <c r="D85" s="593" t="str">
        <f t="shared" si="147"/>
        <v>Friday</v>
      </c>
      <c r="E85" s="595"/>
      <c r="F85" s="596" t="s">
        <v>1461</v>
      </c>
      <c r="G85" s="596"/>
      <c r="H85" s="596"/>
      <c r="I85" s="597">
        <f t="shared" si="148"/>
        <v>1</v>
      </c>
      <c r="J85" s="598">
        <f t="shared" ref="J85:L85" si="158">SUMIFS(J$3:J$9,$I$3:$I$9,$G85)+SUMIFS(J$3:J$9,$I$3:$I$9,$H85)+SUMIFS(J$3:J$9,$I$3:$I$9,$F85)</f>
        <v>25</v>
      </c>
      <c r="K85" s="598">
        <f t="shared" si="158"/>
        <v>0</v>
      </c>
      <c r="L85" s="598">
        <f t="shared" si="158"/>
        <v>0</v>
      </c>
      <c r="M85" s="598"/>
      <c r="N85" s="598">
        <f t="shared" ref="N85:O85" si="159">SUMIFS(N$3:N$9,$I$3:$I$9,$G85)+SUMIFS(N$3:N$9,$I$3:$I$9,$H85)+SUMIFS(N$3:N$9,$I$3:$I$9,$F85)</f>
        <v>0</v>
      </c>
      <c r="O85" s="598">
        <f t="shared" si="159"/>
        <v>0</v>
      </c>
      <c r="P85" s="598"/>
      <c r="Q85" s="598"/>
      <c r="R85" s="598"/>
      <c r="S85" s="598">
        <f t="shared" si="151"/>
        <v>25</v>
      </c>
      <c r="T85" s="551"/>
      <c r="U85" s="551"/>
      <c r="V85" s="551"/>
      <c r="W85" s="551"/>
      <c r="X85" s="551"/>
      <c r="Y85" s="551"/>
      <c r="Z85" s="551"/>
      <c r="AA85" s="551"/>
    </row>
    <row r="86" hidden="1">
      <c r="A86" s="593">
        <f t="shared" si="145"/>
        <v>2026</v>
      </c>
      <c r="B86" s="613">
        <v>46088.0</v>
      </c>
      <c r="C86" s="594" t="str">
        <f t="shared" si="146"/>
        <v>March</v>
      </c>
      <c r="D86" s="593" t="str">
        <f t="shared" si="147"/>
        <v>Saturday</v>
      </c>
      <c r="E86" s="595"/>
      <c r="F86" s="596" t="s">
        <v>1461</v>
      </c>
      <c r="G86" s="596"/>
      <c r="H86" s="596"/>
      <c r="I86" s="597">
        <f t="shared" si="148"/>
        <v>1</v>
      </c>
      <c r="J86" s="598">
        <f t="shared" ref="J86:L86" si="160">SUMIFS(J$3:J$9,$I$3:$I$9,$G86)+SUMIFS(J$3:J$9,$I$3:$I$9,$H86)+SUMIFS(J$3:J$9,$I$3:$I$9,$F86)</f>
        <v>25</v>
      </c>
      <c r="K86" s="598">
        <f t="shared" si="160"/>
        <v>0</v>
      </c>
      <c r="L86" s="598">
        <f t="shared" si="160"/>
        <v>0</v>
      </c>
      <c r="M86" s="598"/>
      <c r="N86" s="598">
        <f t="shared" ref="N86:O86" si="161">SUMIFS(N$3:N$9,$I$3:$I$9,$G86)+SUMIFS(N$3:N$9,$I$3:$I$9,$H86)+SUMIFS(N$3:N$9,$I$3:$I$9,$F86)</f>
        <v>0</v>
      </c>
      <c r="O86" s="598">
        <f t="shared" si="161"/>
        <v>0</v>
      </c>
      <c r="P86" s="598"/>
      <c r="Q86" s="598"/>
      <c r="R86" s="598"/>
      <c r="S86" s="598">
        <f t="shared" si="151"/>
        <v>25</v>
      </c>
      <c r="T86" s="551"/>
      <c r="U86" s="551"/>
      <c r="V86" s="551"/>
      <c r="W86" s="551"/>
      <c r="X86" s="551"/>
      <c r="Y86" s="551"/>
      <c r="Z86" s="551"/>
      <c r="AA86" s="551"/>
    </row>
    <row r="87" hidden="1">
      <c r="A87" s="593">
        <f t="shared" si="145"/>
        <v>2026</v>
      </c>
      <c r="B87" s="613">
        <v>46089.0</v>
      </c>
      <c r="C87" s="594" t="str">
        <f t="shared" si="146"/>
        <v>March</v>
      </c>
      <c r="D87" s="593" t="str">
        <f t="shared" si="147"/>
        <v>Sunday</v>
      </c>
      <c r="E87" s="595"/>
      <c r="F87" s="596"/>
      <c r="G87" s="596"/>
      <c r="H87" s="596"/>
      <c r="I87" s="597">
        <f t="shared" si="148"/>
        <v>0</v>
      </c>
      <c r="J87" s="598">
        <f t="shared" ref="J87:L87" si="162">SUMIFS(J$3:J$9,$I$3:$I$9,$G87)+SUMIFS(J$3:J$9,$I$3:$I$9,$H87)+SUMIFS(J$3:J$9,$I$3:$I$9,$F87)</f>
        <v>0</v>
      </c>
      <c r="K87" s="598">
        <f t="shared" si="162"/>
        <v>0</v>
      </c>
      <c r="L87" s="598">
        <f t="shared" si="162"/>
        <v>0</v>
      </c>
      <c r="M87" s="598"/>
      <c r="N87" s="598">
        <f t="shared" ref="N87:O87" si="163">SUMIFS(N$3:N$9,$I$3:$I$9,$G87)+SUMIFS(N$3:N$9,$I$3:$I$9,$H87)+SUMIFS(N$3:N$9,$I$3:$I$9,$F87)</f>
        <v>0</v>
      </c>
      <c r="O87" s="598">
        <f t="shared" si="163"/>
        <v>0</v>
      </c>
      <c r="P87" s="598"/>
      <c r="Q87" s="598"/>
      <c r="R87" s="598"/>
      <c r="S87" s="598">
        <f t="shared" si="151"/>
        <v>0</v>
      </c>
      <c r="T87" s="551"/>
      <c r="U87" s="551"/>
      <c r="V87" s="551"/>
      <c r="W87" s="551"/>
      <c r="X87" s="551"/>
      <c r="Y87" s="551"/>
      <c r="Z87" s="551"/>
      <c r="AA87" s="551"/>
    </row>
    <row r="88" hidden="1">
      <c r="A88" s="593">
        <f t="shared" si="145"/>
        <v>2026</v>
      </c>
      <c r="B88" s="613">
        <v>46090.0</v>
      </c>
      <c r="C88" s="594" t="str">
        <f t="shared" si="146"/>
        <v>March</v>
      </c>
      <c r="D88" s="593" t="str">
        <f t="shared" si="147"/>
        <v>Monday</v>
      </c>
      <c r="E88" s="576"/>
      <c r="F88" s="596" t="s">
        <v>1461</v>
      </c>
      <c r="G88" s="596"/>
      <c r="H88" s="596"/>
      <c r="I88" s="597">
        <f t="shared" si="148"/>
        <v>1</v>
      </c>
      <c r="J88" s="598">
        <f t="shared" ref="J88:L88" si="164">SUMIFS(J$3:J$9,$I$3:$I$9,$G88)+SUMIFS(J$3:J$9,$I$3:$I$9,$H88)+SUMIFS(J$3:J$9,$I$3:$I$9,$F88)</f>
        <v>25</v>
      </c>
      <c r="K88" s="598">
        <f t="shared" si="164"/>
        <v>0</v>
      </c>
      <c r="L88" s="598">
        <f t="shared" si="164"/>
        <v>0</v>
      </c>
      <c r="M88" s="598"/>
      <c r="N88" s="598">
        <f t="shared" ref="N88:O88" si="165">SUMIFS(N$3:N$9,$I$3:$I$9,$G88)+SUMIFS(N$3:N$9,$I$3:$I$9,$H88)+SUMIFS(N$3:N$9,$I$3:$I$9,$F88)</f>
        <v>0</v>
      </c>
      <c r="O88" s="598">
        <f t="shared" si="165"/>
        <v>0</v>
      </c>
      <c r="P88" s="598"/>
      <c r="Q88" s="598"/>
      <c r="R88" s="598"/>
      <c r="S88" s="598">
        <f t="shared" si="151"/>
        <v>25</v>
      </c>
      <c r="T88" s="551"/>
      <c r="U88" s="551"/>
      <c r="V88" s="551"/>
      <c r="W88" s="551"/>
      <c r="X88" s="551"/>
      <c r="Y88" s="551"/>
      <c r="Z88" s="551"/>
      <c r="AA88" s="551"/>
    </row>
    <row r="89" hidden="1">
      <c r="A89" s="593">
        <f t="shared" si="145"/>
        <v>2026</v>
      </c>
      <c r="B89" s="613">
        <v>46091.0</v>
      </c>
      <c r="C89" s="594" t="str">
        <f t="shared" si="146"/>
        <v>March</v>
      </c>
      <c r="D89" s="593" t="str">
        <f t="shared" si="147"/>
        <v>Tuesday</v>
      </c>
      <c r="E89" s="595"/>
      <c r="F89" s="596" t="s">
        <v>1461</v>
      </c>
      <c r="G89" s="596"/>
      <c r="H89" s="596"/>
      <c r="I89" s="597">
        <f t="shared" si="148"/>
        <v>1</v>
      </c>
      <c r="J89" s="598">
        <f t="shared" ref="J89:L89" si="166">SUMIFS(J$3:J$9,$I$3:$I$9,$G89)+SUMIFS(J$3:J$9,$I$3:$I$9,$H89)+SUMIFS(J$3:J$9,$I$3:$I$9,$F89)</f>
        <v>25</v>
      </c>
      <c r="K89" s="598">
        <f t="shared" si="166"/>
        <v>0</v>
      </c>
      <c r="L89" s="598">
        <f t="shared" si="166"/>
        <v>0</v>
      </c>
      <c r="M89" s="598"/>
      <c r="N89" s="598">
        <f t="shared" ref="N89:O89" si="167">SUMIFS(N$3:N$9,$I$3:$I$9,$G89)+SUMIFS(N$3:N$9,$I$3:$I$9,$H89)+SUMIFS(N$3:N$9,$I$3:$I$9,$F89)</f>
        <v>0</v>
      </c>
      <c r="O89" s="598">
        <f t="shared" si="167"/>
        <v>0</v>
      </c>
      <c r="P89" s="598"/>
      <c r="Q89" s="598"/>
      <c r="R89" s="598"/>
      <c r="S89" s="598">
        <f t="shared" si="151"/>
        <v>25</v>
      </c>
      <c r="T89" s="551"/>
      <c r="U89" s="551"/>
      <c r="V89" s="551"/>
      <c r="W89" s="551"/>
      <c r="X89" s="551"/>
      <c r="Y89" s="551"/>
      <c r="Z89" s="551"/>
      <c r="AA89" s="551"/>
    </row>
    <row r="90" hidden="1">
      <c r="A90" s="593">
        <f t="shared" si="145"/>
        <v>2026</v>
      </c>
      <c r="B90" s="613">
        <v>46092.0</v>
      </c>
      <c r="C90" s="594" t="str">
        <f t="shared" si="146"/>
        <v>March</v>
      </c>
      <c r="D90" s="593" t="str">
        <f t="shared" si="147"/>
        <v>Wednesday</v>
      </c>
      <c r="E90" s="595"/>
      <c r="F90" s="596" t="s">
        <v>1461</v>
      </c>
      <c r="G90" s="596"/>
      <c r="H90" s="596"/>
      <c r="I90" s="597">
        <f t="shared" si="148"/>
        <v>1</v>
      </c>
      <c r="J90" s="598">
        <f t="shared" ref="J90:L90" si="168">SUMIFS(J$3:J$9,$I$3:$I$9,$G90)+SUMIFS(J$3:J$9,$I$3:$I$9,$H90)+SUMIFS(J$3:J$9,$I$3:$I$9,$F90)</f>
        <v>25</v>
      </c>
      <c r="K90" s="598">
        <f t="shared" si="168"/>
        <v>0</v>
      </c>
      <c r="L90" s="598">
        <f t="shared" si="168"/>
        <v>0</v>
      </c>
      <c r="M90" s="598"/>
      <c r="N90" s="598">
        <f t="shared" ref="N90:O90" si="169">SUMIFS(N$3:N$9,$I$3:$I$9,$G90)+SUMIFS(N$3:N$9,$I$3:$I$9,$H90)+SUMIFS(N$3:N$9,$I$3:$I$9,$F90)</f>
        <v>0</v>
      </c>
      <c r="O90" s="598">
        <f t="shared" si="169"/>
        <v>0</v>
      </c>
      <c r="P90" s="598"/>
      <c r="Q90" s="598"/>
      <c r="R90" s="598"/>
      <c r="S90" s="598">
        <f t="shared" si="151"/>
        <v>25</v>
      </c>
      <c r="T90" s="551"/>
      <c r="U90" s="551"/>
      <c r="V90" s="551"/>
      <c r="W90" s="551"/>
      <c r="X90" s="551"/>
      <c r="Y90" s="551"/>
      <c r="Z90" s="551"/>
      <c r="AA90" s="551"/>
    </row>
    <row r="91" hidden="1">
      <c r="A91" s="593">
        <f t="shared" si="145"/>
        <v>2026</v>
      </c>
      <c r="B91" s="613">
        <v>46093.0</v>
      </c>
      <c r="C91" s="594" t="str">
        <f t="shared" si="146"/>
        <v>March</v>
      </c>
      <c r="D91" s="593" t="str">
        <f t="shared" si="147"/>
        <v>Thursday</v>
      </c>
      <c r="E91" s="595"/>
      <c r="F91" s="596" t="s">
        <v>1461</v>
      </c>
      <c r="G91" s="596"/>
      <c r="H91" s="596"/>
      <c r="I91" s="597">
        <f t="shared" si="148"/>
        <v>1</v>
      </c>
      <c r="J91" s="598">
        <f t="shared" ref="J91:L91" si="170">SUMIFS(J$3:J$9,$I$3:$I$9,$G91)+SUMIFS(J$3:J$9,$I$3:$I$9,$H91)+SUMIFS(J$3:J$9,$I$3:$I$9,$F91)</f>
        <v>25</v>
      </c>
      <c r="K91" s="598">
        <f t="shared" si="170"/>
        <v>0</v>
      </c>
      <c r="L91" s="598">
        <f t="shared" si="170"/>
        <v>0</v>
      </c>
      <c r="M91" s="598"/>
      <c r="N91" s="598">
        <f t="shared" ref="N91:O91" si="171">SUMIFS(N$3:N$9,$I$3:$I$9,$G91)+SUMIFS(N$3:N$9,$I$3:$I$9,$H91)+SUMIFS(N$3:N$9,$I$3:$I$9,$F91)</f>
        <v>0</v>
      </c>
      <c r="O91" s="598">
        <f t="shared" si="171"/>
        <v>0</v>
      </c>
      <c r="P91" s="598"/>
      <c r="Q91" s="598"/>
      <c r="R91" s="598"/>
      <c r="S91" s="598">
        <f t="shared" si="151"/>
        <v>25</v>
      </c>
      <c r="T91" s="551"/>
      <c r="U91" s="551"/>
      <c r="V91" s="551"/>
      <c r="W91" s="551"/>
      <c r="X91" s="551"/>
      <c r="Y91" s="551"/>
      <c r="Z91" s="551"/>
      <c r="AA91" s="551"/>
    </row>
    <row r="92" hidden="1">
      <c r="A92" s="593">
        <f t="shared" si="145"/>
        <v>2026</v>
      </c>
      <c r="B92" s="613">
        <v>46094.0</v>
      </c>
      <c r="C92" s="594" t="str">
        <f t="shared" si="146"/>
        <v>March</v>
      </c>
      <c r="D92" s="593" t="str">
        <f t="shared" si="147"/>
        <v>Friday</v>
      </c>
      <c r="E92" s="595"/>
      <c r="F92" s="596" t="s">
        <v>1461</v>
      </c>
      <c r="G92" s="596"/>
      <c r="H92" s="596"/>
      <c r="I92" s="597">
        <f t="shared" si="148"/>
        <v>1</v>
      </c>
      <c r="J92" s="598">
        <f t="shared" ref="J92:L92" si="172">SUMIFS(J$3:J$9,$I$3:$I$9,$G92)+SUMIFS(J$3:J$9,$I$3:$I$9,$H92)+SUMIFS(J$3:J$9,$I$3:$I$9,$F92)</f>
        <v>25</v>
      </c>
      <c r="K92" s="598">
        <f t="shared" si="172"/>
        <v>0</v>
      </c>
      <c r="L92" s="598">
        <f t="shared" si="172"/>
        <v>0</v>
      </c>
      <c r="M92" s="598"/>
      <c r="N92" s="598">
        <f t="shared" ref="N92:O92" si="173">SUMIFS(N$3:N$9,$I$3:$I$9,$G92)+SUMIFS(N$3:N$9,$I$3:$I$9,$H92)+SUMIFS(N$3:N$9,$I$3:$I$9,$F92)</f>
        <v>0</v>
      </c>
      <c r="O92" s="598">
        <f t="shared" si="173"/>
        <v>0</v>
      </c>
      <c r="P92" s="598"/>
      <c r="Q92" s="598"/>
      <c r="R92" s="598"/>
      <c r="S92" s="598">
        <f t="shared" si="151"/>
        <v>25</v>
      </c>
      <c r="T92" s="551"/>
      <c r="U92" s="551"/>
      <c r="V92" s="551"/>
      <c r="W92" s="551"/>
      <c r="X92" s="551"/>
      <c r="Y92" s="551"/>
      <c r="Z92" s="551"/>
      <c r="AA92" s="551"/>
    </row>
    <row r="93" hidden="1">
      <c r="A93" s="593">
        <f t="shared" si="145"/>
        <v>2026</v>
      </c>
      <c r="B93" s="613">
        <v>46095.0</v>
      </c>
      <c r="C93" s="594" t="str">
        <f t="shared" si="146"/>
        <v>March</v>
      </c>
      <c r="D93" s="593" t="str">
        <f t="shared" si="147"/>
        <v>Saturday</v>
      </c>
      <c r="E93" s="595"/>
      <c r="F93" s="596" t="s">
        <v>1461</v>
      </c>
      <c r="G93" s="596"/>
      <c r="H93" s="596"/>
      <c r="I93" s="597">
        <f t="shared" si="148"/>
        <v>1</v>
      </c>
      <c r="J93" s="598">
        <f t="shared" ref="J93:L93" si="174">SUMIFS(J$3:J$9,$I$3:$I$9,$G93)+SUMIFS(J$3:J$9,$I$3:$I$9,$H93)+SUMIFS(J$3:J$9,$I$3:$I$9,$F93)</f>
        <v>25</v>
      </c>
      <c r="K93" s="598">
        <f t="shared" si="174"/>
        <v>0</v>
      </c>
      <c r="L93" s="598">
        <f t="shared" si="174"/>
        <v>0</v>
      </c>
      <c r="M93" s="598"/>
      <c r="N93" s="598">
        <f t="shared" ref="N93:O93" si="175">SUMIFS(N$3:N$9,$I$3:$I$9,$G93)+SUMIFS(N$3:N$9,$I$3:$I$9,$H93)+SUMIFS(N$3:N$9,$I$3:$I$9,$F93)</f>
        <v>0</v>
      </c>
      <c r="O93" s="598">
        <f t="shared" si="175"/>
        <v>0</v>
      </c>
      <c r="P93" s="598"/>
      <c r="Q93" s="598"/>
      <c r="R93" s="598"/>
      <c r="S93" s="598">
        <f t="shared" si="151"/>
        <v>25</v>
      </c>
      <c r="T93" s="551"/>
      <c r="U93" s="551"/>
      <c r="V93" s="551"/>
      <c r="W93" s="551"/>
      <c r="X93" s="551"/>
      <c r="Y93" s="551"/>
      <c r="Z93" s="551"/>
      <c r="AA93" s="551"/>
    </row>
    <row r="94" hidden="1">
      <c r="A94" s="593">
        <f t="shared" si="145"/>
        <v>2026</v>
      </c>
      <c r="B94" s="613">
        <v>46096.0</v>
      </c>
      <c r="C94" s="594" t="str">
        <f t="shared" si="146"/>
        <v>March</v>
      </c>
      <c r="D94" s="593" t="str">
        <f t="shared" si="147"/>
        <v>Sunday</v>
      </c>
      <c r="E94" s="595"/>
      <c r="F94" s="596"/>
      <c r="G94" s="596"/>
      <c r="H94" s="596"/>
      <c r="I94" s="597">
        <f t="shared" si="148"/>
        <v>0</v>
      </c>
      <c r="J94" s="598">
        <f t="shared" ref="J94:L94" si="176">SUMIFS(J$3:J$9,$I$3:$I$9,$G94)+SUMIFS(J$3:J$9,$I$3:$I$9,$H94)+SUMIFS(J$3:J$9,$I$3:$I$9,$F94)</f>
        <v>0</v>
      </c>
      <c r="K94" s="598">
        <f t="shared" si="176"/>
        <v>0</v>
      </c>
      <c r="L94" s="598">
        <f t="shared" si="176"/>
        <v>0</v>
      </c>
      <c r="M94" s="598"/>
      <c r="N94" s="598">
        <f t="shared" ref="N94:O94" si="177">SUMIFS(N$3:N$9,$I$3:$I$9,$G94)+SUMIFS(N$3:N$9,$I$3:$I$9,$H94)+SUMIFS(N$3:N$9,$I$3:$I$9,$F94)</f>
        <v>0</v>
      </c>
      <c r="O94" s="598">
        <f t="shared" si="177"/>
        <v>0</v>
      </c>
      <c r="P94" s="598"/>
      <c r="Q94" s="598"/>
      <c r="R94" s="598"/>
      <c r="S94" s="598">
        <f t="shared" si="151"/>
        <v>0</v>
      </c>
      <c r="T94" s="551"/>
      <c r="U94" s="551"/>
      <c r="V94" s="551"/>
      <c r="W94" s="551"/>
      <c r="X94" s="551"/>
      <c r="Y94" s="551"/>
      <c r="Z94" s="551"/>
      <c r="AA94" s="551"/>
    </row>
    <row r="95" hidden="1">
      <c r="A95" s="593">
        <f t="shared" si="145"/>
        <v>2026</v>
      </c>
      <c r="B95" s="613">
        <v>46097.0</v>
      </c>
      <c r="C95" s="594" t="str">
        <f t="shared" si="146"/>
        <v>March</v>
      </c>
      <c r="D95" s="593" t="str">
        <f t="shared" si="147"/>
        <v>Monday</v>
      </c>
      <c r="E95" s="595"/>
      <c r="F95" s="596" t="s">
        <v>1461</v>
      </c>
      <c r="G95" s="596"/>
      <c r="H95" s="596"/>
      <c r="I95" s="597">
        <f t="shared" si="148"/>
        <v>1</v>
      </c>
      <c r="J95" s="598">
        <f t="shared" ref="J95:L95" si="178">SUMIFS(J$3:J$9,$I$3:$I$9,$G95)+SUMIFS(J$3:J$9,$I$3:$I$9,$H95)+SUMIFS(J$3:J$9,$I$3:$I$9,$F95)</f>
        <v>25</v>
      </c>
      <c r="K95" s="598">
        <f t="shared" si="178"/>
        <v>0</v>
      </c>
      <c r="L95" s="598">
        <f t="shared" si="178"/>
        <v>0</v>
      </c>
      <c r="M95" s="598"/>
      <c r="N95" s="598">
        <f t="shared" ref="N95:O95" si="179">SUMIFS(N$3:N$9,$I$3:$I$9,$G95)+SUMIFS(N$3:N$9,$I$3:$I$9,$H95)+SUMIFS(N$3:N$9,$I$3:$I$9,$F95)</f>
        <v>0</v>
      </c>
      <c r="O95" s="598">
        <f t="shared" si="179"/>
        <v>0</v>
      </c>
      <c r="P95" s="598"/>
      <c r="Q95" s="598"/>
      <c r="R95" s="598"/>
      <c r="S95" s="598">
        <f t="shared" si="151"/>
        <v>25</v>
      </c>
      <c r="T95" s="551"/>
      <c r="U95" s="551"/>
      <c r="V95" s="551"/>
      <c r="W95" s="551"/>
      <c r="X95" s="551"/>
      <c r="Y95" s="551"/>
      <c r="Z95" s="551"/>
      <c r="AA95" s="551"/>
    </row>
    <row r="96" hidden="1">
      <c r="A96" s="593">
        <f t="shared" si="145"/>
        <v>2026</v>
      </c>
      <c r="B96" s="613">
        <v>46098.0</v>
      </c>
      <c r="C96" s="594" t="str">
        <f t="shared" si="146"/>
        <v>March</v>
      </c>
      <c r="D96" s="593" t="str">
        <f t="shared" si="147"/>
        <v>Tuesday</v>
      </c>
      <c r="E96" s="595"/>
      <c r="F96" s="596" t="s">
        <v>1461</v>
      </c>
      <c r="G96" s="596"/>
      <c r="H96" s="596"/>
      <c r="I96" s="597">
        <f t="shared" si="148"/>
        <v>1</v>
      </c>
      <c r="J96" s="598">
        <f t="shared" ref="J96:L96" si="180">SUMIFS(J$3:J$9,$I$3:$I$9,$G96)+SUMIFS(J$3:J$9,$I$3:$I$9,$H96)+SUMIFS(J$3:J$9,$I$3:$I$9,$F96)</f>
        <v>25</v>
      </c>
      <c r="K96" s="598">
        <f t="shared" si="180"/>
        <v>0</v>
      </c>
      <c r="L96" s="598">
        <f t="shared" si="180"/>
        <v>0</v>
      </c>
      <c r="M96" s="598"/>
      <c r="N96" s="598">
        <f t="shared" ref="N96:O96" si="181">SUMIFS(N$3:N$9,$I$3:$I$9,$G96)+SUMIFS(N$3:N$9,$I$3:$I$9,$H96)+SUMIFS(N$3:N$9,$I$3:$I$9,$F96)</f>
        <v>0</v>
      </c>
      <c r="O96" s="598">
        <f t="shared" si="181"/>
        <v>0</v>
      </c>
      <c r="P96" s="598"/>
      <c r="Q96" s="598"/>
      <c r="R96" s="598"/>
      <c r="S96" s="598">
        <f t="shared" si="151"/>
        <v>25</v>
      </c>
      <c r="T96" s="551"/>
      <c r="U96" s="551"/>
      <c r="V96" s="551"/>
      <c r="W96" s="551"/>
      <c r="X96" s="551"/>
      <c r="Y96" s="551"/>
      <c r="Z96" s="551"/>
      <c r="AA96" s="551"/>
    </row>
    <row r="97" hidden="1">
      <c r="A97" s="593">
        <f t="shared" si="145"/>
        <v>2026</v>
      </c>
      <c r="B97" s="613">
        <v>46099.0</v>
      </c>
      <c r="C97" s="594" t="str">
        <f t="shared" si="146"/>
        <v>March</v>
      </c>
      <c r="D97" s="593" t="str">
        <f t="shared" si="147"/>
        <v>Wednesday</v>
      </c>
      <c r="E97" s="595"/>
      <c r="F97" s="596" t="s">
        <v>1461</v>
      </c>
      <c r="G97" s="596"/>
      <c r="H97" s="596"/>
      <c r="I97" s="597">
        <f t="shared" si="148"/>
        <v>1</v>
      </c>
      <c r="J97" s="598">
        <f t="shared" ref="J97:L97" si="182">SUMIFS(J$3:J$9,$I$3:$I$9,$G97)+SUMIFS(J$3:J$9,$I$3:$I$9,$H97)+SUMIFS(J$3:J$9,$I$3:$I$9,$F97)</f>
        <v>25</v>
      </c>
      <c r="K97" s="598">
        <f t="shared" si="182"/>
        <v>0</v>
      </c>
      <c r="L97" s="598">
        <f t="shared" si="182"/>
        <v>0</v>
      </c>
      <c r="M97" s="598"/>
      <c r="N97" s="598">
        <f t="shared" ref="N97:O97" si="183">SUMIFS(N$3:N$9,$I$3:$I$9,$G97)+SUMIFS(N$3:N$9,$I$3:$I$9,$H97)+SUMIFS(N$3:N$9,$I$3:$I$9,$F97)</f>
        <v>0</v>
      </c>
      <c r="O97" s="598">
        <f t="shared" si="183"/>
        <v>0</v>
      </c>
      <c r="P97" s="598"/>
      <c r="Q97" s="598"/>
      <c r="R97" s="598"/>
      <c r="S97" s="598">
        <f t="shared" si="151"/>
        <v>25</v>
      </c>
      <c r="T97" s="551"/>
      <c r="U97" s="551"/>
      <c r="V97" s="551"/>
      <c r="W97" s="551"/>
      <c r="X97" s="551"/>
      <c r="Y97" s="551"/>
      <c r="Z97" s="551"/>
      <c r="AA97" s="551"/>
    </row>
    <row r="98" hidden="1">
      <c r="A98" s="593">
        <f t="shared" si="145"/>
        <v>2026</v>
      </c>
      <c r="B98" s="594">
        <v>46100.0</v>
      </c>
      <c r="C98" s="594" t="str">
        <f t="shared" si="146"/>
        <v>March</v>
      </c>
      <c r="D98" s="593" t="str">
        <f t="shared" si="147"/>
        <v>Thursday</v>
      </c>
      <c r="E98" s="595"/>
      <c r="F98" s="596" t="s">
        <v>1461</v>
      </c>
      <c r="G98" s="596"/>
      <c r="H98" s="596"/>
      <c r="I98" s="597">
        <f t="shared" si="148"/>
        <v>1</v>
      </c>
      <c r="J98" s="598">
        <f t="shared" ref="J98:L98" si="184">SUMIFS(J$3:J$9,$I$3:$I$9,$G98)+SUMIFS(J$3:J$9,$I$3:$I$9,$H98)+SUMIFS(J$3:J$9,$I$3:$I$9,$F98)</f>
        <v>25</v>
      </c>
      <c r="K98" s="598">
        <f t="shared" si="184"/>
        <v>0</v>
      </c>
      <c r="L98" s="598">
        <f t="shared" si="184"/>
        <v>0</v>
      </c>
      <c r="M98" s="598"/>
      <c r="N98" s="598">
        <f t="shared" ref="N98:O98" si="185">SUMIFS(N$3:N$9,$I$3:$I$9,$G98)+SUMIFS(N$3:N$9,$I$3:$I$9,$H98)+SUMIFS(N$3:N$9,$I$3:$I$9,$F98)</f>
        <v>0</v>
      </c>
      <c r="O98" s="598">
        <f t="shared" si="185"/>
        <v>0</v>
      </c>
      <c r="P98" s="598"/>
      <c r="Q98" s="598"/>
      <c r="R98" s="598"/>
      <c r="S98" s="598">
        <f t="shared" si="151"/>
        <v>25</v>
      </c>
      <c r="T98" s="551"/>
      <c r="U98" s="551"/>
      <c r="V98" s="551"/>
      <c r="W98" s="551"/>
      <c r="X98" s="551"/>
      <c r="Y98" s="551"/>
      <c r="Z98" s="551"/>
      <c r="AA98" s="551"/>
    </row>
    <row r="99" hidden="1">
      <c r="A99" s="593">
        <f t="shared" si="145"/>
        <v>2026</v>
      </c>
      <c r="B99" s="594">
        <v>46101.0</v>
      </c>
      <c r="C99" s="594" t="str">
        <f t="shared" si="146"/>
        <v>March</v>
      </c>
      <c r="D99" s="593" t="str">
        <f t="shared" si="147"/>
        <v>Friday</v>
      </c>
      <c r="E99" s="595"/>
      <c r="F99" s="596" t="s">
        <v>1461</v>
      </c>
      <c r="G99" s="596"/>
      <c r="H99" s="596"/>
      <c r="I99" s="597">
        <f t="shared" si="148"/>
        <v>1</v>
      </c>
      <c r="J99" s="598">
        <f t="shared" ref="J99:L99" si="186">SUMIFS(J$3:J$9,$I$3:$I$9,$G99)+SUMIFS(J$3:J$9,$I$3:$I$9,$H99)+SUMIFS(J$3:J$9,$I$3:$I$9,$F99)</f>
        <v>25</v>
      </c>
      <c r="K99" s="598">
        <f t="shared" si="186"/>
        <v>0</v>
      </c>
      <c r="L99" s="598">
        <f t="shared" si="186"/>
        <v>0</v>
      </c>
      <c r="M99" s="598"/>
      <c r="N99" s="598">
        <f t="shared" ref="N99:O99" si="187">SUMIFS(N$3:N$9,$I$3:$I$9,$G99)+SUMIFS(N$3:N$9,$I$3:$I$9,$H99)+SUMIFS(N$3:N$9,$I$3:$I$9,$F99)</f>
        <v>0</v>
      </c>
      <c r="O99" s="598">
        <f t="shared" si="187"/>
        <v>0</v>
      </c>
      <c r="P99" s="598"/>
      <c r="Q99" s="598"/>
      <c r="R99" s="598"/>
      <c r="S99" s="598">
        <f t="shared" si="151"/>
        <v>25</v>
      </c>
      <c r="T99" s="551"/>
      <c r="U99" s="551"/>
      <c r="V99" s="551"/>
      <c r="W99" s="551"/>
      <c r="X99" s="551"/>
      <c r="Y99" s="551"/>
      <c r="Z99" s="551"/>
      <c r="AA99" s="551"/>
    </row>
    <row r="100" hidden="1">
      <c r="A100" s="593">
        <f t="shared" si="145"/>
        <v>2026</v>
      </c>
      <c r="B100" s="594">
        <v>46102.0</v>
      </c>
      <c r="C100" s="594" t="str">
        <f t="shared" si="146"/>
        <v>March</v>
      </c>
      <c r="D100" s="593" t="str">
        <f t="shared" si="147"/>
        <v>Saturday</v>
      </c>
      <c r="E100" s="614" t="s">
        <v>1489</v>
      </c>
      <c r="F100" s="596" t="s">
        <v>1461</v>
      </c>
      <c r="G100" s="596"/>
      <c r="H100" s="596"/>
      <c r="I100" s="597">
        <f t="shared" si="148"/>
        <v>1</v>
      </c>
      <c r="J100" s="598">
        <f t="shared" ref="J100:L100" si="188">SUMIFS(J$3:J$9,$I$3:$I$9,$G100)+SUMIFS(J$3:J$9,$I$3:$I$9,$H100)+SUMIFS(J$3:J$9,$I$3:$I$9,$F100)</f>
        <v>25</v>
      </c>
      <c r="K100" s="598">
        <f t="shared" si="188"/>
        <v>0</v>
      </c>
      <c r="L100" s="598">
        <f t="shared" si="188"/>
        <v>0</v>
      </c>
      <c r="M100" s="598"/>
      <c r="N100" s="598">
        <f t="shared" ref="N100:O100" si="189">SUMIFS(N$3:N$9,$I$3:$I$9,$G100)+SUMIFS(N$3:N$9,$I$3:$I$9,$H100)+SUMIFS(N$3:N$9,$I$3:$I$9,$F100)</f>
        <v>0</v>
      </c>
      <c r="O100" s="598">
        <f t="shared" si="189"/>
        <v>0</v>
      </c>
      <c r="P100" s="598"/>
      <c r="Q100" s="598"/>
      <c r="R100" s="598"/>
      <c r="S100" s="598">
        <f t="shared" si="151"/>
        <v>25</v>
      </c>
      <c r="T100" s="551"/>
      <c r="U100" s="551"/>
      <c r="V100" s="551"/>
      <c r="W100" s="551"/>
      <c r="X100" s="551"/>
      <c r="Y100" s="551"/>
      <c r="Z100" s="551"/>
      <c r="AA100" s="551"/>
    </row>
    <row r="101" hidden="1">
      <c r="A101" s="593">
        <f t="shared" si="145"/>
        <v>2026</v>
      </c>
      <c r="B101" s="594">
        <v>46103.0</v>
      </c>
      <c r="C101" s="594" t="str">
        <f t="shared" si="146"/>
        <v>March</v>
      </c>
      <c r="D101" s="593" t="str">
        <f t="shared" si="147"/>
        <v>Sunday</v>
      </c>
      <c r="E101" s="595"/>
      <c r="F101" s="596"/>
      <c r="G101" s="596"/>
      <c r="H101" s="596"/>
      <c r="I101" s="597">
        <f t="shared" si="148"/>
        <v>0</v>
      </c>
      <c r="J101" s="598">
        <f t="shared" ref="J101:L101" si="190">SUMIFS(J$3:J$9,$I$3:$I$9,$G101)+SUMIFS(J$3:J$9,$I$3:$I$9,$H101)+SUMIFS(J$3:J$9,$I$3:$I$9,$F101)</f>
        <v>0</v>
      </c>
      <c r="K101" s="598">
        <f t="shared" si="190"/>
        <v>0</v>
      </c>
      <c r="L101" s="598">
        <f t="shared" si="190"/>
        <v>0</v>
      </c>
      <c r="M101" s="598"/>
      <c r="N101" s="598">
        <f t="shared" ref="N101:O101" si="191">SUMIFS(N$3:N$9,$I$3:$I$9,$G101)+SUMIFS(N$3:N$9,$I$3:$I$9,$H101)+SUMIFS(N$3:N$9,$I$3:$I$9,$F101)</f>
        <v>0</v>
      </c>
      <c r="O101" s="598">
        <f t="shared" si="191"/>
        <v>0</v>
      </c>
      <c r="P101" s="598"/>
      <c r="Q101" s="598"/>
      <c r="R101" s="598"/>
      <c r="S101" s="598">
        <f t="shared" si="151"/>
        <v>0</v>
      </c>
      <c r="T101" s="551"/>
      <c r="U101" s="551"/>
      <c r="V101" s="551"/>
      <c r="W101" s="551"/>
      <c r="X101" s="551"/>
      <c r="Y101" s="551"/>
      <c r="Z101" s="551"/>
      <c r="AA101" s="551"/>
    </row>
    <row r="102" hidden="1">
      <c r="A102" s="593">
        <f t="shared" si="145"/>
        <v>2026</v>
      </c>
      <c r="B102" s="615">
        <v>46104.0</v>
      </c>
      <c r="C102" s="615" t="str">
        <f t="shared" si="146"/>
        <v>March</v>
      </c>
      <c r="D102" s="616" t="str">
        <f t="shared" si="147"/>
        <v>Monday</v>
      </c>
      <c r="E102" s="599" t="s">
        <v>1490</v>
      </c>
      <c r="F102" s="617" t="s">
        <v>1461</v>
      </c>
      <c r="G102" s="617" t="s">
        <v>1461</v>
      </c>
      <c r="H102" s="596"/>
      <c r="I102" s="597">
        <f t="shared" si="148"/>
        <v>2</v>
      </c>
      <c r="J102" s="598">
        <f t="shared" ref="J102:L102" si="192">SUMIFS(J$3:J$9,$I$3:$I$9,$G102)+SUMIFS(J$3:J$9,$I$3:$I$9,$H102)+SUMIFS(J$3:J$9,$I$3:$I$9,$F102)</f>
        <v>50</v>
      </c>
      <c r="K102" s="598">
        <f t="shared" si="192"/>
        <v>0</v>
      </c>
      <c r="L102" s="598">
        <f t="shared" si="192"/>
        <v>0</v>
      </c>
      <c r="M102" s="598"/>
      <c r="N102" s="598">
        <f t="shared" ref="N102:O102" si="193">SUMIFS(N$3:N$9,$I$3:$I$9,$G102)+SUMIFS(N$3:N$9,$I$3:$I$9,$H102)+SUMIFS(N$3:N$9,$I$3:$I$9,$F102)</f>
        <v>0</v>
      </c>
      <c r="O102" s="598">
        <f t="shared" si="193"/>
        <v>0</v>
      </c>
      <c r="P102" s="598"/>
      <c r="Q102" s="598"/>
      <c r="R102" s="598"/>
      <c r="S102" s="598">
        <f t="shared" si="151"/>
        <v>50</v>
      </c>
      <c r="T102" s="551"/>
      <c r="U102" s="551"/>
      <c r="V102" s="551"/>
      <c r="W102" s="551"/>
      <c r="X102" s="551"/>
      <c r="Y102" s="551"/>
      <c r="Z102" s="551"/>
      <c r="AA102" s="551"/>
    </row>
    <row r="103" hidden="1">
      <c r="A103" s="593">
        <f t="shared" si="145"/>
        <v>2026</v>
      </c>
      <c r="B103" s="594">
        <v>46105.0</v>
      </c>
      <c r="C103" s="594" t="str">
        <f t="shared" si="146"/>
        <v>March</v>
      </c>
      <c r="D103" s="593" t="str">
        <f t="shared" si="147"/>
        <v>Tuesday</v>
      </c>
      <c r="E103" s="595"/>
      <c r="F103" s="596" t="s">
        <v>1461</v>
      </c>
      <c r="G103" s="596" t="s">
        <v>1461</v>
      </c>
      <c r="H103" s="596"/>
      <c r="I103" s="597">
        <f t="shared" si="148"/>
        <v>2</v>
      </c>
      <c r="J103" s="598">
        <f t="shared" ref="J103:L103" si="194">SUMIFS(J$3:J$9,$I$3:$I$9,$G103)+SUMIFS(J$3:J$9,$I$3:$I$9,$H103)+SUMIFS(J$3:J$9,$I$3:$I$9,$F103)</f>
        <v>50</v>
      </c>
      <c r="K103" s="598">
        <f t="shared" si="194"/>
        <v>0</v>
      </c>
      <c r="L103" s="598">
        <f t="shared" si="194"/>
        <v>0</v>
      </c>
      <c r="M103" s="598"/>
      <c r="N103" s="598">
        <f t="shared" ref="N103:O103" si="195">SUMIFS(N$3:N$9,$I$3:$I$9,$G103)+SUMIFS(N$3:N$9,$I$3:$I$9,$H103)+SUMIFS(N$3:N$9,$I$3:$I$9,$F103)</f>
        <v>0</v>
      </c>
      <c r="O103" s="598">
        <f t="shared" si="195"/>
        <v>0</v>
      </c>
      <c r="P103" s="598"/>
      <c r="Q103" s="598"/>
      <c r="R103" s="598"/>
      <c r="S103" s="598">
        <f t="shared" si="151"/>
        <v>50</v>
      </c>
      <c r="T103" s="551"/>
      <c r="U103" s="551"/>
      <c r="V103" s="551"/>
      <c r="W103" s="551"/>
      <c r="X103" s="551"/>
      <c r="Y103" s="551"/>
      <c r="Z103" s="551"/>
      <c r="AA103" s="551"/>
    </row>
    <row r="104" hidden="1">
      <c r="A104" s="593">
        <f t="shared" si="145"/>
        <v>2026</v>
      </c>
      <c r="B104" s="594">
        <v>46106.0</v>
      </c>
      <c r="C104" s="594" t="str">
        <f t="shared" si="146"/>
        <v>March</v>
      </c>
      <c r="D104" s="593" t="str">
        <f t="shared" si="147"/>
        <v>Wednesday</v>
      </c>
      <c r="E104" s="595"/>
      <c r="F104" s="596" t="s">
        <v>1461</v>
      </c>
      <c r="G104" s="596" t="s">
        <v>1461</v>
      </c>
      <c r="H104" s="596"/>
      <c r="I104" s="597">
        <f t="shared" si="148"/>
        <v>2</v>
      </c>
      <c r="J104" s="598">
        <f t="shared" ref="J104:L104" si="196">SUMIFS(J$3:J$9,$I$3:$I$9,$G104)+SUMIFS(J$3:J$9,$I$3:$I$9,$H104)+SUMIFS(J$3:J$9,$I$3:$I$9,$F104)</f>
        <v>50</v>
      </c>
      <c r="K104" s="598">
        <f t="shared" si="196"/>
        <v>0</v>
      </c>
      <c r="L104" s="598">
        <f t="shared" si="196"/>
        <v>0</v>
      </c>
      <c r="M104" s="598"/>
      <c r="N104" s="598">
        <f t="shared" ref="N104:O104" si="197">SUMIFS(N$3:N$9,$I$3:$I$9,$G104)+SUMIFS(N$3:N$9,$I$3:$I$9,$H104)+SUMIFS(N$3:N$9,$I$3:$I$9,$F104)</f>
        <v>0</v>
      </c>
      <c r="O104" s="598">
        <f t="shared" si="197"/>
        <v>0</v>
      </c>
      <c r="P104" s="598"/>
      <c r="Q104" s="598"/>
      <c r="R104" s="598"/>
      <c r="S104" s="598">
        <f t="shared" si="151"/>
        <v>50</v>
      </c>
      <c r="T104" s="551"/>
      <c r="U104" s="551"/>
      <c r="V104" s="551"/>
      <c r="W104" s="551"/>
      <c r="X104" s="551"/>
      <c r="Y104" s="551"/>
      <c r="Z104" s="551"/>
      <c r="AA104" s="551"/>
    </row>
    <row r="105" hidden="1">
      <c r="A105" s="593">
        <f t="shared" si="145"/>
        <v>2026</v>
      </c>
      <c r="B105" s="594">
        <v>46107.0</v>
      </c>
      <c r="C105" s="594" t="str">
        <f t="shared" si="146"/>
        <v>March</v>
      </c>
      <c r="D105" s="593" t="str">
        <f t="shared" si="147"/>
        <v>Thursday</v>
      </c>
      <c r="E105" s="595"/>
      <c r="F105" s="596" t="s">
        <v>1461</v>
      </c>
      <c r="G105" s="596" t="s">
        <v>1461</v>
      </c>
      <c r="H105" s="596"/>
      <c r="I105" s="597">
        <f t="shared" si="148"/>
        <v>2</v>
      </c>
      <c r="J105" s="598">
        <f t="shared" ref="J105:L105" si="198">SUMIFS(J$3:J$9,$I$3:$I$9,$G105)+SUMIFS(J$3:J$9,$I$3:$I$9,$H105)+SUMIFS(J$3:J$9,$I$3:$I$9,$F105)</f>
        <v>50</v>
      </c>
      <c r="K105" s="598">
        <f t="shared" si="198"/>
        <v>0</v>
      </c>
      <c r="L105" s="598">
        <f t="shared" si="198"/>
        <v>0</v>
      </c>
      <c r="M105" s="598"/>
      <c r="N105" s="598">
        <f t="shared" ref="N105:O105" si="199">SUMIFS(N$3:N$9,$I$3:$I$9,$G105)+SUMIFS(N$3:N$9,$I$3:$I$9,$H105)+SUMIFS(N$3:N$9,$I$3:$I$9,$F105)</f>
        <v>0</v>
      </c>
      <c r="O105" s="598">
        <f t="shared" si="199"/>
        <v>0</v>
      </c>
      <c r="P105" s="598"/>
      <c r="Q105" s="598"/>
      <c r="R105" s="598"/>
      <c r="S105" s="598">
        <f t="shared" si="151"/>
        <v>50</v>
      </c>
      <c r="T105" s="551"/>
      <c r="U105" s="551"/>
      <c r="V105" s="551"/>
      <c r="W105" s="551"/>
      <c r="X105" s="551"/>
      <c r="Y105" s="551"/>
      <c r="Z105" s="551"/>
      <c r="AA105" s="551"/>
    </row>
    <row r="106" hidden="1">
      <c r="A106" s="593">
        <f t="shared" si="145"/>
        <v>2026</v>
      </c>
      <c r="B106" s="594">
        <v>46108.0</v>
      </c>
      <c r="C106" s="594" t="str">
        <f t="shared" si="146"/>
        <v>March</v>
      </c>
      <c r="D106" s="593" t="str">
        <f t="shared" si="147"/>
        <v>Friday</v>
      </c>
      <c r="E106" s="595"/>
      <c r="F106" s="596" t="s">
        <v>1461</v>
      </c>
      <c r="G106" s="596" t="s">
        <v>1461</v>
      </c>
      <c r="H106" s="596"/>
      <c r="I106" s="597">
        <f t="shared" si="148"/>
        <v>2</v>
      </c>
      <c r="J106" s="598">
        <f t="shared" ref="J106:L106" si="200">SUMIFS(J$3:J$9,$I$3:$I$9,$G106)+SUMIFS(J$3:J$9,$I$3:$I$9,$H106)+SUMIFS(J$3:J$9,$I$3:$I$9,$F106)</f>
        <v>50</v>
      </c>
      <c r="K106" s="598">
        <f t="shared" si="200"/>
        <v>0</v>
      </c>
      <c r="L106" s="598">
        <f t="shared" si="200"/>
        <v>0</v>
      </c>
      <c r="M106" s="598"/>
      <c r="N106" s="598">
        <f t="shared" ref="N106:O106" si="201">SUMIFS(N$3:N$9,$I$3:$I$9,$G106)+SUMIFS(N$3:N$9,$I$3:$I$9,$H106)+SUMIFS(N$3:N$9,$I$3:$I$9,$F106)</f>
        <v>0</v>
      </c>
      <c r="O106" s="598">
        <f t="shared" si="201"/>
        <v>0</v>
      </c>
      <c r="P106" s="598"/>
      <c r="Q106" s="598"/>
      <c r="R106" s="598"/>
      <c r="S106" s="598">
        <f t="shared" si="151"/>
        <v>50</v>
      </c>
      <c r="T106" s="551"/>
      <c r="U106" s="551"/>
      <c r="V106" s="551"/>
      <c r="W106" s="551"/>
      <c r="X106" s="551"/>
      <c r="Y106" s="551"/>
      <c r="Z106" s="551"/>
      <c r="AA106" s="551"/>
    </row>
    <row r="107" hidden="1">
      <c r="A107" s="593">
        <f t="shared" si="145"/>
        <v>2026</v>
      </c>
      <c r="B107" s="594">
        <v>46109.0</v>
      </c>
      <c r="C107" s="594" t="str">
        <f t="shared" si="146"/>
        <v>March</v>
      </c>
      <c r="D107" s="593" t="str">
        <f t="shared" si="147"/>
        <v>Saturday</v>
      </c>
      <c r="E107" s="595"/>
      <c r="F107" s="596" t="s">
        <v>1461</v>
      </c>
      <c r="G107" s="596" t="s">
        <v>1461</v>
      </c>
      <c r="H107" s="596"/>
      <c r="I107" s="597">
        <f t="shared" si="148"/>
        <v>2</v>
      </c>
      <c r="J107" s="598">
        <f t="shared" ref="J107:L107" si="202">SUMIFS(J$3:J$9,$I$3:$I$9,$G107)+SUMIFS(J$3:J$9,$I$3:$I$9,$H107)+SUMIFS(J$3:J$9,$I$3:$I$9,$F107)</f>
        <v>50</v>
      </c>
      <c r="K107" s="598">
        <f t="shared" si="202"/>
        <v>0</v>
      </c>
      <c r="L107" s="598">
        <f t="shared" si="202"/>
        <v>0</v>
      </c>
      <c r="M107" s="598"/>
      <c r="N107" s="598">
        <f t="shared" ref="N107:O107" si="203">SUMIFS(N$3:N$9,$I$3:$I$9,$G107)+SUMIFS(N$3:N$9,$I$3:$I$9,$H107)+SUMIFS(N$3:N$9,$I$3:$I$9,$F107)</f>
        <v>0</v>
      </c>
      <c r="O107" s="598">
        <f t="shared" si="203"/>
        <v>0</v>
      </c>
      <c r="P107" s="598"/>
      <c r="Q107" s="598"/>
      <c r="R107" s="598"/>
      <c r="S107" s="598">
        <f t="shared" si="151"/>
        <v>50</v>
      </c>
      <c r="T107" s="551"/>
      <c r="U107" s="551"/>
      <c r="V107" s="551"/>
      <c r="W107" s="551"/>
      <c r="X107" s="551"/>
      <c r="Y107" s="551"/>
      <c r="Z107" s="551"/>
      <c r="AA107" s="551"/>
    </row>
    <row r="108" hidden="1">
      <c r="A108" s="593">
        <f t="shared" si="145"/>
        <v>2026</v>
      </c>
      <c r="B108" s="594">
        <v>46110.0</v>
      </c>
      <c r="C108" s="594" t="str">
        <f t="shared" si="146"/>
        <v>March</v>
      </c>
      <c r="D108" s="593" t="str">
        <f t="shared" si="147"/>
        <v>Sunday</v>
      </c>
      <c r="E108" s="595"/>
      <c r="F108" s="596"/>
      <c r="G108" s="596"/>
      <c r="H108" s="596"/>
      <c r="I108" s="597">
        <f t="shared" si="148"/>
        <v>0</v>
      </c>
      <c r="J108" s="598">
        <f t="shared" ref="J108:L108" si="204">SUMIFS(J$3:J$9,$I$3:$I$9,$G108)+SUMIFS(J$3:J$9,$I$3:$I$9,$H108)+SUMIFS(J$3:J$9,$I$3:$I$9,$F108)</f>
        <v>0</v>
      </c>
      <c r="K108" s="598">
        <f t="shared" si="204"/>
        <v>0</v>
      </c>
      <c r="L108" s="598">
        <f t="shared" si="204"/>
        <v>0</v>
      </c>
      <c r="M108" s="598"/>
      <c r="N108" s="598">
        <f t="shared" ref="N108:O108" si="205">SUMIFS(N$3:N$9,$I$3:$I$9,$G108)+SUMIFS(N$3:N$9,$I$3:$I$9,$H108)+SUMIFS(N$3:N$9,$I$3:$I$9,$F108)</f>
        <v>0</v>
      </c>
      <c r="O108" s="598">
        <f t="shared" si="205"/>
        <v>0</v>
      </c>
      <c r="P108" s="598"/>
      <c r="Q108" s="598"/>
      <c r="R108" s="598"/>
      <c r="S108" s="598">
        <f t="shared" si="151"/>
        <v>0</v>
      </c>
      <c r="T108" s="551"/>
      <c r="U108" s="551"/>
      <c r="V108" s="551"/>
      <c r="W108" s="551"/>
      <c r="X108" s="551"/>
      <c r="Y108" s="551"/>
      <c r="Z108" s="551"/>
      <c r="AA108" s="551"/>
    </row>
    <row r="109" hidden="1">
      <c r="A109" s="593">
        <f t="shared" si="145"/>
        <v>2026</v>
      </c>
      <c r="B109" s="594">
        <v>46111.0</v>
      </c>
      <c r="C109" s="594" t="str">
        <f t="shared" si="146"/>
        <v>March</v>
      </c>
      <c r="D109" s="593" t="str">
        <f t="shared" si="147"/>
        <v>Monday</v>
      </c>
      <c r="E109" s="614" t="s">
        <v>1419</v>
      </c>
      <c r="F109" s="596" t="s">
        <v>1461</v>
      </c>
      <c r="G109" s="596"/>
      <c r="H109" s="596"/>
      <c r="I109" s="597">
        <f t="shared" si="148"/>
        <v>1</v>
      </c>
      <c r="J109" s="598">
        <f t="shared" ref="J109:L109" si="206">SUMIFS(J$3:J$9,$I$3:$I$9,$G109)+SUMIFS(J$3:J$9,$I$3:$I$9,$H109)+SUMIFS(J$3:J$9,$I$3:$I$9,$F109)</f>
        <v>25</v>
      </c>
      <c r="K109" s="598">
        <f t="shared" si="206"/>
        <v>0</v>
      </c>
      <c r="L109" s="598">
        <f t="shared" si="206"/>
        <v>0</v>
      </c>
      <c r="M109" s="598"/>
      <c r="N109" s="598">
        <f t="shared" ref="N109:O109" si="207">SUMIFS(N$3:N$9,$I$3:$I$9,$G109)+SUMIFS(N$3:N$9,$I$3:$I$9,$H109)+SUMIFS(N$3:N$9,$I$3:$I$9,$F109)</f>
        <v>0</v>
      </c>
      <c r="O109" s="598">
        <f t="shared" si="207"/>
        <v>0</v>
      </c>
      <c r="P109" s="598"/>
      <c r="Q109" s="598"/>
      <c r="R109" s="598"/>
      <c r="S109" s="598">
        <f t="shared" si="151"/>
        <v>25</v>
      </c>
      <c r="T109" s="551"/>
      <c r="U109" s="551"/>
      <c r="V109" s="551"/>
      <c r="W109" s="551"/>
      <c r="X109" s="551"/>
      <c r="Y109" s="551"/>
      <c r="Z109" s="551"/>
      <c r="AA109" s="551"/>
    </row>
    <row r="110" hidden="1">
      <c r="A110" s="593" t="str">
        <f t="shared" si="145"/>
        <v/>
      </c>
      <c r="B110" s="594"/>
      <c r="C110" s="594" t="str">
        <f t="shared" si="146"/>
        <v/>
      </c>
      <c r="D110" s="593" t="str">
        <f t="shared" si="147"/>
        <v/>
      </c>
      <c r="E110" s="595"/>
      <c r="F110" s="596"/>
      <c r="G110" s="596"/>
      <c r="H110" s="596"/>
      <c r="I110" s="597">
        <f t="shared" si="148"/>
        <v>0</v>
      </c>
      <c r="J110" s="598"/>
      <c r="K110" s="598">
        <f t="shared" ref="K110:L110" si="208">SUMIFS(K$3:K$9,$I$3:$I$9,$G110)+SUMIFS(K$3:K$9,$I$3:$I$9,$H110)+SUMIFS(K$3:K$9,$I$3:$I$9,$F110)</f>
        <v>0</v>
      </c>
      <c r="L110" s="598">
        <f t="shared" si="208"/>
        <v>0</v>
      </c>
      <c r="M110" s="598"/>
      <c r="N110" s="598">
        <f t="shared" ref="N110:O110" si="209">SUMIFS(N$3:N$9,$I$3:$I$9,$G110)+SUMIFS(N$3:N$9,$I$3:$I$9,$H110)+SUMIFS(N$3:N$9,$I$3:$I$9,$F110)</f>
        <v>0</v>
      </c>
      <c r="O110" s="598">
        <f t="shared" si="209"/>
        <v>0</v>
      </c>
      <c r="P110" s="598"/>
      <c r="Q110" s="598"/>
      <c r="R110" s="598"/>
      <c r="S110" s="598">
        <f t="shared" si="151"/>
        <v>0</v>
      </c>
      <c r="T110" s="551"/>
      <c r="U110" s="551"/>
      <c r="V110" s="551"/>
      <c r="W110" s="551"/>
      <c r="X110" s="551"/>
      <c r="Y110" s="551"/>
      <c r="Z110" s="551"/>
      <c r="AA110" s="551"/>
    </row>
    <row r="111" hidden="1">
      <c r="A111" s="600">
        <f>A80</f>
        <v>2026</v>
      </c>
      <c r="B111" s="600" t="str">
        <f>CONCATENATE(A111," ",C111)</f>
        <v>2026 March</v>
      </c>
      <c r="C111" s="601" t="str">
        <f>C80</f>
        <v>March</v>
      </c>
      <c r="D111" s="600"/>
      <c r="E111" s="602"/>
      <c r="F111" s="603"/>
      <c r="G111" s="603"/>
      <c r="H111" s="603"/>
      <c r="I111" s="604">
        <f t="shared" ref="I111:L111" si="210">SUM(I80:I110)</f>
        <v>31</v>
      </c>
      <c r="J111" s="605">
        <f t="shared" si="210"/>
        <v>775</v>
      </c>
      <c r="K111" s="605">
        <f t="shared" si="210"/>
        <v>0</v>
      </c>
      <c r="L111" s="605">
        <f t="shared" si="210"/>
        <v>0</v>
      </c>
      <c r="M111" s="605"/>
      <c r="N111" s="605">
        <f t="shared" ref="N111:S111" si="211">SUM(N80:N110)</f>
        <v>0</v>
      </c>
      <c r="O111" s="605">
        <f t="shared" si="211"/>
        <v>0</v>
      </c>
      <c r="P111" s="605">
        <f t="shared" si="211"/>
        <v>0</v>
      </c>
      <c r="Q111" s="605">
        <f t="shared" si="211"/>
        <v>0</v>
      </c>
      <c r="R111" s="605">
        <f t="shared" si="211"/>
        <v>0</v>
      </c>
      <c r="S111" s="605">
        <f t="shared" si="211"/>
        <v>775</v>
      </c>
      <c r="T111" s="551"/>
      <c r="U111" s="551"/>
      <c r="V111" s="551"/>
      <c r="W111" s="551"/>
      <c r="X111" s="551"/>
      <c r="Y111" s="551"/>
      <c r="Z111" s="551"/>
      <c r="AA111" s="551"/>
    </row>
    <row r="112" hidden="1">
      <c r="A112" s="574"/>
      <c r="B112" s="575"/>
      <c r="C112" s="575"/>
      <c r="D112" s="575"/>
      <c r="E112" s="576"/>
      <c r="F112" s="547"/>
      <c r="G112" s="547"/>
      <c r="H112" s="547"/>
      <c r="I112" s="573"/>
      <c r="J112" s="550"/>
      <c r="K112" s="550"/>
      <c r="L112" s="550"/>
      <c r="M112" s="550"/>
      <c r="N112" s="550"/>
      <c r="O112" s="550"/>
      <c r="P112" s="550"/>
      <c r="Q112" s="550"/>
      <c r="R112" s="550"/>
      <c r="S112" s="550"/>
      <c r="T112" s="551"/>
      <c r="U112" s="551"/>
      <c r="V112" s="551"/>
      <c r="W112" s="551"/>
      <c r="X112" s="551"/>
      <c r="Y112" s="551"/>
      <c r="Z112" s="551"/>
      <c r="AA112" s="551"/>
    </row>
    <row r="113" hidden="1">
      <c r="A113" s="577">
        <f t="shared" ref="A113:A143" si="214">IF(B113="","",YEAR(B113))</f>
        <v>2026</v>
      </c>
      <c r="B113" s="618">
        <v>46112.0</v>
      </c>
      <c r="C113" s="618" t="str">
        <f t="shared" ref="C113:C143" si="215">IF(B113="", "", TEXT(DATE(A113, MONTH(B113), 1), "MMMM"))</f>
        <v>March</v>
      </c>
      <c r="D113" s="619" t="str">
        <f t="shared" ref="D113:D143" si="216">IF(B113="","",TEXT(B113, "dddd"))</f>
        <v>Tuesday</v>
      </c>
      <c r="E113" s="620" t="s">
        <v>1491</v>
      </c>
      <c r="F113" s="608" t="s">
        <v>1461</v>
      </c>
      <c r="G113" s="608"/>
      <c r="H113" s="608"/>
      <c r="I113" s="548">
        <f t="shared" ref="I113:I143" si="217">COUNTIF(F113:H113,"&lt;&gt;")</f>
        <v>1</v>
      </c>
      <c r="J113" s="609">
        <f t="shared" ref="J113:L113" si="212">SUMIFS(J$3:J$9,$I$3:$I$9,$G113)+SUMIFS(J$3:J$9,$I$3:$I$9,$H113)+SUMIFS(J$3:J$9,$I$3:$I$9,$F113)</f>
        <v>25</v>
      </c>
      <c r="K113" s="609">
        <f t="shared" si="212"/>
        <v>0</v>
      </c>
      <c r="L113" s="609">
        <f t="shared" si="212"/>
        <v>0</v>
      </c>
      <c r="M113" s="609"/>
      <c r="N113" s="609">
        <f t="shared" ref="N113:O113" si="213">SUMIFS(N$3:N$9,$I$3:$I$9,$G113)+SUMIFS(N$3:N$9,$I$3:$I$9,$H113)+SUMIFS(N$3:N$9,$I$3:$I$9,$F113)</f>
        <v>0</v>
      </c>
      <c r="O113" s="609">
        <f t="shared" si="213"/>
        <v>0</v>
      </c>
      <c r="P113" s="609"/>
      <c r="Q113" s="609"/>
      <c r="R113" s="609"/>
      <c r="S113" s="609">
        <f t="shared" ref="S113:S143" si="220">SUM(J113:R113)</f>
        <v>25</v>
      </c>
      <c r="T113" s="551"/>
      <c r="U113" s="551"/>
      <c r="V113" s="551"/>
      <c r="W113" s="551"/>
      <c r="X113" s="551"/>
      <c r="Y113" s="551"/>
      <c r="Z113" s="551"/>
      <c r="AA113" s="551"/>
    </row>
    <row r="114" hidden="1">
      <c r="A114" s="593">
        <f t="shared" si="214"/>
        <v>2026</v>
      </c>
      <c r="B114" s="613">
        <v>46113.0</v>
      </c>
      <c r="C114" s="594" t="str">
        <f t="shared" si="215"/>
        <v>April</v>
      </c>
      <c r="D114" s="593" t="str">
        <f t="shared" si="216"/>
        <v>Wednesday</v>
      </c>
      <c r="E114" s="595"/>
      <c r="F114" s="596" t="s">
        <v>1461</v>
      </c>
      <c r="G114" s="596"/>
      <c r="H114" s="596"/>
      <c r="I114" s="597">
        <f t="shared" si="217"/>
        <v>1</v>
      </c>
      <c r="J114" s="598">
        <f t="shared" ref="J114:L114" si="218">SUMIFS(J$3:J$9,$I$3:$I$9,$G114)+SUMIFS(J$3:J$9,$I$3:$I$9,$H114)+SUMIFS(J$3:J$9,$I$3:$I$9,$F114)</f>
        <v>25</v>
      </c>
      <c r="K114" s="598">
        <f t="shared" si="218"/>
        <v>0</v>
      </c>
      <c r="L114" s="598">
        <f t="shared" si="218"/>
        <v>0</v>
      </c>
      <c r="M114" s="598"/>
      <c r="N114" s="598">
        <f t="shared" ref="N114:O114" si="219">SUMIFS(N$3:N$9,$I$3:$I$9,$G114)+SUMIFS(N$3:N$9,$I$3:$I$9,$H114)+SUMIFS(N$3:N$9,$I$3:$I$9,$F114)</f>
        <v>0</v>
      </c>
      <c r="O114" s="598">
        <f t="shared" si="219"/>
        <v>0</v>
      </c>
      <c r="P114" s="598"/>
      <c r="Q114" s="598"/>
      <c r="R114" s="598"/>
      <c r="S114" s="598">
        <f t="shared" si="220"/>
        <v>25</v>
      </c>
      <c r="T114" s="551"/>
      <c r="U114" s="551"/>
      <c r="V114" s="551"/>
      <c r="W114" s="551"/>
      <c r="X114" s="551"/>
      <c r="Y114" s="551"/>
      <c r="Z114" s="551"/>
      <c r="AA114" s="551"/>
    </row>
    <row r="115" hidden="1">
      <c r="A115" s="593">
        <f t="shared" si="214"/>
        <v>2026</v>
      </c>
      <c r="B115" s="613">
        <v>46114.0</v>
      </c>
      <c r="C115" s="594" t="str">
        <f t="shared" si="215"/>
        <v>April</v>
      </c>
      <c r="D115" s="593" t="str">
        <f t="shared" si="216"/>
        <v>Thursday</v>
      </c>
      <c r="E115" s="614" t="s">
        <v>1492</v>
      </c>
      <c r="F115" s="596"/>
      <c r="G115" s="596"/>
      <c r="H115" s="596"/>
      <c r="I115" s="597">
        <f t="shared" si="217"/>
        <v>0</v>
      </c>
      <c r="J115" s="598">
        <f t="shared" ref="J115:L115" si="221">SUMIFS(J$3:J$9,$I$3:$I$9,$G115)+SUMIFS(J$3:J$9,$I$3:$I$9,$H115)+SUMIFS(J$3:J$9,$I$3:$I$9,$F115)</f>
        <v>0</v>
      </c>
      <c r="K115" s="598">
        <f t="shared" si="221"/>
        <v>0</v>
      </c>
      <c r="L115" s="598">
        <f t="shared" si="221"/>
        <v>0</v>
      </c>
      <c r="M115" s="598"/>
      <c r="N115" s="598">
        <f t="shared" ref="N115:O115" si="222">SUMIFS(N$3:N$9,$I$3:$I$9,$G115)+SUMIFS(N$3:N$9,$I$3:$I$9,$H115)+SUMIFS(N$3:N$9,$I$3:$I$9,$F115)</f>
        <v>0</v>
      </c>
      <c r="O115" s="598">
        <f t="shared" si="222"/>
        <v>0</v>
      </c>
      <c r="P115" s="598"/>
      <c r="Q115" s="598"/>
      <c r="R115" s="598"/>
      <c r="S115" s="598">
        <f t="shared" si="220"/>
        <v>0</v>
      </c>
      <c r="T115" s="551"/>
      <c r="U115" s="551"/>
      <c r="V115" s="551"/>
      <c r="W115" s="551"/>
      <c r="X115" s="551"/>
      <c r="Y115" s="551"/>
      <c r="Z115" s="551"/>
      <c r="AA115" s="551"/>
    </row>
    <row r="116" hidden="1">
      <c r="A116" s="593">
        <f t="shared" si="214"/>
        <v>2026</v>
      </c>
      <c r="B116" s="613">
        <v>46115.0</v>
      </c>
      <c r="C116" s="594" t="str">
        <f t="shared" si="215"/>
        <v>April</v>
      </c>
      <c r="D116" s="593" t="str">
        <f t="shared" si="216"/>
        <v>Friday</v>
      </c>
      <c r="E116" s="614" t="s">
        <v>1493</v>
      </c>
      <c r="F116" s="596"/>
      <c r="G116" s="596"/>
      <c r="H116" s="596"/>
      <c r="I116" s="597">
        <f t="shared" si="217"/>
        <v>0</v>
      </c>
      <c r="J116" s="598">
        <f t="shared" ref="J116:L116" si="223">SUMIFS(J$3:J$9,$I$3:$I$9,$G116)+SUMIFS(J$3:J$9,$I$3:$I$9,$H116)+SUMIFS(J$3:J$9,$I$3:$I$9,$F116)</f>
        <v>0</v>
      </c>
      <c r="K116" s="598">
        <f t="shared" si="223"/>
        <v>0</v>
      </c>
      <c r="L116" s="598">
        <f t="shared" si="223"/>
        <v>0</v>
      </c>
      <c r="M116" s="598"/>
      <c r="N116" s="598">
        <f t="shared" ref="N116:O116" si="224">SUMIFS(N$3:N$9,$I$3:$I$9,$G116)+SUMIFS(N$3:N$9,$I$3:$I$9,$H116)+SUMIFS(N$3:N$9,$I$3:$I$9,$F116)</f>
        <v>0</v>
      </c>
      <c r="O116" s="598">
        <f t="shared" si="224"/>
        <v>0</v>
      </c>
      <c r="P116" s="598"/>
      <c r="Q116" s="598"/>
      <c r="R116" s="598"/>
      <c r="S116" s="598">
        <f t="shared" si="220"/>
        <v>0</v>
      </c>
      <c r="T116" s="551"/>
      <c r="U116" s="551"/>
      <c r="V116" s="551"/>
      <c r="W116" s="551"/>
      <c r="X116" s="551"/>
      <c r="Y116" s="551"/>
      <c r="Z116" s="551"/>
      <c r="AA116" s="551"/>
    </row>
    <row r="117" hidden="1">
      <c r="A117" s="593">
        <f t="shared" si="214"/>
        <v>2026</v>
      </c>
      <c r="B117" s="613">
        <v>46116.0</v>
      </c>
      <c r="C117" s="594" t="str">
        <f t="shared" si="215"/>
        <v>April</v>
      </c>
      <c r="D117" s="593" t="str">
        <f t="shared" si="216"/>
        <v>Saturday</v>
      </c>
      <c r="E117" s="614" t="s">
        <v>1494</v>
      </c>
      <c r="F117" s="596"/>
      <c r="G117" s="596"/>
      <c r="H117" s="596"/>
      <c r="I117" s="597">
        <f t="shared" si="217"/>
        <v>0</v>
      </c>
      <c r="J117" s="598">
        <f t="shared" ref="J117:L117" si="225">SUMIFS(J$3:J$9,$I$3:$I$9,$G117)+SUMIFS(J$3:J$9,$I$3:$I$9,$H117)+SUMIFS(J$3:J$9,$I$3:$I$9,$F117)</f>
        <v>0</v>
      </c>
      <c r="K117" s="598">
        <f t="shared" si="225"/>
        <v>0</v>
      </c>
      <c r="L117" s="598">
        <f t="shared" si="225"/>
        <v>0</v>
      </c>
      <c r="M117" s="598"/>
      <c r="N117" s="598">
        <f t="shared" ref="N117:O117" si="226">SUMIFS(N$3:N$9,$I$3:$I$9,$G117)+SUMIFS(N$3:N$9,$I$3:$I$9,$H117)+SUMIFS(N$3:N$9,$I$3:$I$9,$F117)</f>
        <v>0</v>
      </c>
      <c r="O117" s="598">
        <f t="shared" si="226"/>
        <v>0</v>
      </c>
      <c r="P117" s="598"/>
      <c r="Q117" s="598"/>
      <c r="R117" s="598"/>
      <c r="S117" s="598">
        <f t="shared" si="220"/>
        <v>0</v>
      </c>
      <c r="T117" s="551"/>
      <c r="U117" s="551"/>
      <c r="V117" s="551"/>
      <c r="W117" s="551"/>
      <c r="X117" s="551"/>
      <c r="Y117" s="551"/>
      <c r="Z117" s="551"/>
      <c r="AA117" s="551"/>
    </row>
    <row r="118" hidden="1">
      <c r="A118" s="593">
        <f t="shared" si="214"/>
        <v>2026</v>
      </c>
      <c r="B118" s="613">
        <v>46117.0</v>
      </c>
      <c r="C118" s="594" t="str">
        <f t="shared" si="215"/>
        <v>April</v>
      </c>
      <c r="D118" s="593" t="str">
        <f t="shared" si="216"/>
        <v>Sunday</v>
      </c>
      <c r="E118" s="614" t="s">
        <v>1495</v>
      </c>
      <c r="F118" s="596"/>
      <c r="G118" s="596"/>
      <c r="H118" s="596"/>
      <c r="I118" s="597">
        <f t="shared" si="217"/>
        <v>0</v>
      </c>
      <c r="J118" s="598">
        <f t="shared" ref="J118:L118" si="227">SUMIFS(J$3:J$9,$I$3:$I$9,$G118)+SUMIFS(J$3:J$9,$I$3:$I$9,$H118)+SUMIFS(J$3:J$9,$I$3:$I$9,$F118)</f>
        <v>0</v>
      </c>
      <c r="K118" s="598">
        <f t="shared" si="227"/>
        <v>0</v>
      </c>
      <c r="L118" s="598">
        <f t="shared" si="227"/>
        <v>0</v>
      </c>
      <c r="M118" s="598"/>
      <c r="N118" s="598">
        <f t="shared" ref="N118:O118" si="228">SUMIFS(N$3:N$9,$I$3:$I$9,$G118)+SUMIFS(N$3:N$9,$I$3:$I$9,$H118)+SUMIFS(N$3:N$9,$I$3:$I$9,$F118)</f>
        <v>0</v>
      </c>
      <c r="O118" s="598">
        <f t="shared" si="228"/>
        <v>0</v>
      </c>
      <c r="P118" s="598"/>
      <c r="Q118" s="598"/>
      <c r="R118" s="598"/>
      <c r="S118" s="598">
        <f t="shared" si="220"/>
        <v>0</v>
      </c>
      <c r="T118" s="551"/>
      <c r="U118" s="551"/>
      <c r="V118" s="551"/>
      <c r="W118" s="551"/>
      <c r="X118" s="551"/>
      <c r="Y118" s="551"/>
      <c r="Z118" s="551"/>
      <c r="AA118" s="551"/>
    </row>
    <row r="119" hidden="1">
      <c r="A119" s="593">
        <f t="shared" si="214"/>
        <v>2026</v>
      </c>
      <c r="B119" s="613">
        <v>46118.0</v>
      </c>
      <c r="C119" s="594" t="str">
        <f t="shared" si="215"/>
        <v>April</v>
      </c>
      <c r="D119" s="593" t="str">
        <f t="shared" si="216"/>
        <v>Monday</v>
      </c>
      <c r="E119" s="595"/>
      <c r="F119" s="596" t="s">
        <v>1461</v>
      </c>
      <c r="G119" s="596"/>
      <c r="H119" s="596"/>
      <c r="I119" s="597">
        <f t="shared" si="217"/>
        <v>1</v>
      </c>
      <c r="J119" s="598">
        <f t="shared" ref="J119:L119" si="229">SUMIFS(J$3:J$9,$I$3:$I$9,$G119)+SUMIFS(J$3:J$9,$I$3:$I$9,$H119)+SUMIFS(J$3:J$9,$I$3:$I$9,$F119)</f>
        <v>25</v>
      </c>
      <c r="K119" s="598">
        <f t="shared" si="229"/>
        <v>0</v>
      </c>
      <c r="L119" s="598">
        <f t="shared" si="229"/>
        <v>0</v>
      </c>
      <c r="M119" s="598"/>
      <c r="N119" s="598">
        <f t="shared" ref="N119:O119" si="230">SUMIFS(N$3:N$9,$I$3:$I$9,$G119)+SUMIFS(N$3:N$9,$I$3:$I$9,$H119)+SUMIFS(N$3:N$9,$I$3:$I$9,$F119)</f>
        <v>0</v>
      </c>
      <c r="O119" s="598">
        <f t="shared" si="230"/>
        <v>0</v>
      </c>
      <c r="P119" s="598"/>
      <c r="Q119" s="598"/>
      <c r="R119" s="598"/>
      <c r="S119" s="598">
        <f t="shared" si="220"/>
        <v>25</v>
      </c>
      <c r="T119" s="551"/>
      <c r="U119" s="551"/>
      <c r="V119" s="551"/>
      <c r="W119" s="551"/>
      <c r="X119" s="551"/>
      <c r="Y119" s="551"/>
      <c r="Z119" s="551"/>
      <c r="AA119" s="551"/>
    </row>
    <row r="120" hidden="1">
      <c r="A120" s="593">
        <f t="shared" si="214"/>
        <v>2026</v>
      </c>
      <c r="B120" s="621">
        <v>46119.0</v>
      </c>
      <c r="C120" s="594" t="str">
        <f t="shared" si="215"/>
        <v>April</v>
      </c>
      <c r="D120" s="593" t="str">
        <f t="shared" si="216"/>
        <v>Tuesday</v>
      </c>
      <c r="E120" s="595"/>
      <c r="F120" s="596" t="s">
        <v>1461</v>
      </c>
      <c r="G120" s="596"/>
      <c r="H120" s="596"/>
      <c r="I120" s="597">
        <f t="shared" si="217"/>
        <v>1</v>
      </c>
      <c r="J120" s="598">
        <f t="shared" ref="J120:L120" si="231">SUMIFS(J$3:J$9,$I$3:$I$9,$G120)+SUMIFS(J$3:J$9,$I$3:$I$9,$H120)+SUMIFS(J$3:J$9,$I$3:$I$9,$F120)</f>
        <v>25</v>
      </c>
      <c r="K120" s="598">
        <f t="shared" si="231"/>
        <v>0</v>
      </c>
      <c r="L120" s="598">
        <f t="shared" si="231"/>
        <v>0</v>
      </c>
      <c r="M120" s="598"/>
      <c r="N120" s="598">
        <f t="shared" ref="N120:O120" si="232">SUMIFS(N$3:N$9,$I$3:$I$9,$G120)+SUMIFS(N$3:N$9,$I$3:$I$9,$H120)+SUMIFS(N$3:N$9,$I$3:$I$9,$F120)</f>
        <v>0</v>
      </c>
      <c r="O120" s="598">
        <f t="shared" si="232"/>
        <v>0</v>
      </c>
      <c r="P120" s="598"/>
      <c r="Q120" s="598"/>
      <c r="R120" s="598"/>
      <c r="S120" s="598">
        <f t="shared" si="220"/>
        <v>25</v>
      </c>
      <c r="T120" s="551"/>
      <c r="U120" s="551"/>
      <c r="V120" s="551"/>
      <c r="W120" s="551"/>
      <c r="X120" s="551"/>
      <c r="Y120" s="551"/>
      <c r="Z120" s="551"/>
      <c r="AA120" s="551"/>
    </row>
    <row r="121" hidden="1">
      <c r="A121" s="593">
        <f t="shared" si="214"/>
        <v>2026</v>
      </c>
      <c r="B121" s="621">
        <v>46120.0</v>
      </c>
      <c r="C121" s="594" t="str">
        <f t="shared" si="215"/>
        <v>April</v>
      </c>
      <c r="D121" s="593" t="str">
        <f t="shared" si="216"/>
        <v>Wednesday</v>
      </c>
      <c r="E121" s="576"/>
      <c r="F121" s="596" t="s">
        <v>1461</v>
      </c>
      <c r="G121" s="596"/>
      <c r="H121" s="596"/>
      <c r="I121" s="597">
        <f t="shared" si="217"/>
        <v>1</v>
      </c>
      <c r="J121" s="598">
        <f t="shared" ref="J121:L121" si="233">SUMIFS(J$3:J$9,$I$3:$I$9,$G121)+SUMIFS(J$3:J$9,$I$3:$I$9,$H121)+SUMIFS(J$3:J$9,$I$3:$I$9,$F121)</f>
        <v>25</v>
      </c>
      <c r="K121" s="598">
        <f t="shared" si="233"/>
        <v>0</v>
      </c>
      <c r="L121" s="598">
        <f t="shared" si="233"/>
        <v>0</v>
      </c>
      <c r="M121" s="598"/>
      <c r="N121" s="598">
        <f t="shared" ref="N121:O121" si="234">SUMIFS(N$3:N$9,$I$3:$I$9,$G121)+SUMIFS(N$3:N$9,$I$3:$I$9,$H121)+SUMIFS(N$3:N$9,$I$3:$I$9,$F121)</f>
        <v>0</v>
      </c>
      <c r="O121" s="598">
        <f t="shared" si="234"/>
        <v>0</v>
      </c>
      <c r="P121" s="598"/>
      <c r="Q121" s="598"/>
      <c r="R121" s="598"/>
      <c r="S121" s="598">
        <f t="shared" si="220"/>
        <v>25</v>
      </c>
      <c r="T121" s="551"/>
      <c r="U121" s="551"/>
      <c r="V121" s="551"/>
      <c r="W121" s="551"/>
      <c r="X121" s="551"/>
      <c r="Y121" s="551"/>
      <c r="Z121" s="551"/>
      <c r="AA121" s="551"/>
    </row>
    <row r="122" hidden="1">
      <c r="A122" s="593">
        <f t="shared" si="214"/>
        <v>2026</v>
      </c>
      <c r="B122" s="621">
        <v>46121.0</v>
      </c>
      <c r="C122" s="594" t="str">
        <f t="shared" si="215"/>
        <v>April</v>
      </c>
      <c r="D122" s="593" t="str">
        <f t="shared" si="216"/>
        <v>Thursday</v>
      </c>
      <c r="E122" s="614" t="s">
        <v>1496</v>
      </c>
      <c r="F122" s="596" t="s">
        <v>1461</v>
      </c>
      <c r="G122" s="596"/>
      <c r="H122" s="596"/>
      <c r="I122" s="597">
        <f t="shared" si="217"/>
        <v>1</v>
      </c>
      <c r="J122" s="598">
        <f t="shared" ref="J122:L122" si="235">SUMIFS(J$3:J$9,$I$3:$I$9,$G122)+SUMIFS(J$3:J$9,$I$3:$I$9,$H122)+SUMIFS(J$3:J$9,$I$3:$I$9,$F122)</f>
        <v>25</v>
      </c>
      <c r="K122" s="598">
        <f t="shared" si="235"/>
        <v>0</v>
      </c>
      <c r="L122" s="598">
        <f t="shared" si="235"/>
        <v>0</v>
      </c>
      <c r="M122" s="598"/>
      <c r="N122" s="598">
        <f t="shared" ref="N122:O122" si="236">SUMIFS(N$3:N$9,$I$3:$I$9,$G122)+SUMIFS(N$3:N$9,$I$3:$I$9,$H122)+SUMIFS(N$3:N$9,$I$3:$I$9,$F122)</f>
        <v>0</v>
      </c>
      <c r="O122" s="598">
        <f t="shared" si="236"/>
        <v>0</v>
      </c>
      <c r="P122" s="598"/>
      <c r="Q122" s="598"/>
      <c r="R122" s="598"/>
      <c r="S122" s="598">
        <f t="shared" si="220"/>
        <v>25</v>
      </c>
      <c r="T122" s="551"/>
      <c r="U122" s="551"/>
      <c r="V122" s="551"/>
      <c r="W122" s="551"/>
      <c r="X122" s="551"/>
      <c r="Y122" s="551"/>
      <c r="Z122" s="551"/>
      <c r="AA122" s="551"/>
    </row>
    <row r="123" hidden="1">
      <c r="A123" s="593">
        <f t="shared" si="214"/>
        <v>2026</v>
      </c>
      <c r="B123" s="621">
        <v>46122.0</v>
      </c>
      <c r="C123" s="594" t="str">
        <f t="shared" si="215"/>
        <v>April</v>
      </c>
      <c r="D123" s="593" t="str">
        <f t="shared" si="216"/>
        <v>Friday</v>
      </c>
      <c r="E123" s="595"/>
      <c r="F123" s="596" t="s">
        <v>1461</v>
      </c>
      <c r="G123" s="596"/>
      <c r="H123" s="596"/>
      <c r="I123" s="597">
        <f t="shared" si="217"/>
        <v>1</v>
      </c>
      <c r="J123" s="598">
        <f t="shared" ref="J123:L123" si="237">SUMIFS(J$3:J$9,$I$3:$I$9,$G123)+SUMIFS(J$3:J$9,$I$3:$I$9,$H123)+SUMIFS(J$3:J$9,$I$3:$I$9,$F123)</f>
        <v>25</v>
      </c>
      <c r="K123" s="598">
        <f t="shared" si="237"/>
        <v>0</v>
      </c>
      <c r="L123" s="598">
        <f t="shared" si="237"/>
        <v>0</v>
      </c>
      <c r="M123" s="598"/>
      <c r="N123" s="598">
        <f t="shared" ref="N123:O123" si="238">SUMIFS(N$3:N$9,$I$3:$I$9,$G123)+SUMIFS(N$3:N$9,$I$3:$I$9,$H123)+SUMIFS(N$3:N$9,$I$3:$I$9,$F123)</f>
        <v>0</v>
      </c>
      <c r="O123" s="598">
        <f t="shared" si="238"/>
        <v>0</v>
      </c>
      <c r="P123" s="598"/>
      <c r="Q123" s="598"/>
      <c r="R123" s="598"/>
      <c r="S123" s="598">
        <f t="shared" si="220"/>
        <v>25</v>
      </c>
      <c r="T123" s="551"/>
      <c r="U123" s="551"/>
      <c r="V123" s="551"/>
      <c r="W123" s="551"/>
      <c r="X123" s="551"/>
      <c r="Y123" s="551"/>
      <c r="Z123" s="551"/>
      <c r="AA123" s="551"/>
    </row>
    <row r="124" hidden="1">
      <c r="A124" s="593">
        <f t="shared" si="214"/>
        <v>2026</v>
      </c>
      <c r="B124" s="621">
        <v>46123.0</v>
      </c>
      <c r="C124" s="594" t="str">
        <f t="shared" si="215"/>
        <v>April</v>
      </c>
      <c r="D124" s="593" t="str">
        <f t="shared" si="216"/>
        <v>Saturday</v>
      </c>
      <c r="E124" s="595"/>
      <c r="F124" s="596"/>
      <c r="G124" s="596"/>
      <c r="H124" s="596"/>
      <c r="I124" s="597">
        <f t="shared" si="217"/>
        <v>0</v>
      </c>
      <c r="J124" s="598">
        <f t="shared" ref="J124:L124" si="239">SUMIFS(J$3:J$9,$I$3:$I$9,$G124)+SUMIFS(J$3:J$9,$I$3:$I$9,$H124)+SUMIFS(J$3:J$9,$I$3:$I$9,$F124)</f>
        <v>0</v>
      </c>
      <c r="K124" s="598">
        <f t="shared" si="239"/>
        <v>0</v>
      </c>
      <c r="L124" s="598">
        <f t="shared" si="239"/>
        <v>0</v>
      </c>
      <c r="M124" s="598"/>
      <c r="N124" s="598">
        <f t="shared" ref="N124:O124" si="240">SUMIFS(N$3:N$9,$I$3:$I$9,$G124)+SUMIFS(N$3:N$9,$I$3:$I$9,$H124)+SUMIFS(N$3:N$9,$I$3:$I$9,$F124)</f>
        <v>0</v>
      </c>
      <c r="O124" s="598">
        <f t="shared" si="240"/>
        <v>0</v>
      </c>
      <c r="P124" s="598"/>
      <c r="Q124" s="598"/>
      <c r="R124" s="598"/>
      <c r="S124" s="598">
        <f t="shared" si="220"/>
        <v>0</v>
      </c>
      <c r="T124" s="551"/>
      <c r="U124" s="551"/>
      <c r="V124" s="551"/>
      <c r="W124" s="551"/>
      <c r="X124" s="551"/>
      <c r="Y124" s="551"/>
      <c r="Z124" s="551"/>
      <c r="AA124" s="551"/>
    </row>
    <row r="125" hidden="1">
      <c r="A125" s="593">
        <f t="shared" si="214"/>
        <v>2026</v>
      </c>
      <c r="B125" s="621">
        <v>46124.0</v>
      </c>
      <c r="C125" s="594" t="str">
        <f t="shared" si="215"/>
        <v>April</v>
      </c>
      <c r="D125" s="593" t="str">
        <f t="shared" si="216"/>
        <v>Sunday</v>
      </c>
      <c r="E125" s="595"/>
      <c r="F125" s="596"/>
      <c r="G125" s="596"/>
      <c r="H125" s="596"/>
      <c r="I125" s="597">
        <f t="shared" si="217"/>
        <v>0</v>
      </c>
      <c r="J125" s="598">
        <f t="shared" ref="J125:L125" si="241">SUMIFS(J$3:J$9,$I$3:$I$9,$G125)+SUMIFS(J$3:J$9,$I$3:$I$9,$H125)+SUMIFS(J$3:J$9,$I$3:$I$9,$F125)</f>
        <v>0</v>
      </c>
      <c r="K125" s="598">
        <f t="shared" si="241"/>
        <v>0</v>
      </c>
      <c r="L125" s="598">
        <f t="shared" si="241"/>
        <v>0</v>
      </c>
      <c r="M125" s="598"/>
      <c r="N125" s="598">
        <f t="shared" ref="N125:O125" si="242">SUMIFS(N$3:N$9,$I$3:$I$9,$G125)+SUMIFS(N$3:N$9,$I$3:$I$9,$H125)+SUMIFS(N$3:N$9,$I$3:$I$9,$F125)</f>
        <v>0</v>
      </c>
      <c r="O125" s="598">
        <f t="shared" si="242"/>
        <v>0</v>
      </c>
      <c r="P125" s="598"/>
      <c r="Q125" s="598"/>
      <c r="R125" s="598"/>
      <c r="S125" s="598">
        <f t="shared" si="220"/>
        <v>0</v>
      </c>
      <c r="T125" s="551"/>
      <c r="U125" s="551"/>
      <c r="V125" s="551"/>
      <c r="W125" s="551"/>
      <c r="X125" s="551"/>
      <c r="Y125" s="551"/>
      <c r="Z125" s="551"/>
      <c r="AA125" s="551"/>
    </row>
    <row r="126" hidden="1">
      <c r="A126" s="593">
        <f t="shared" si="214"/>
        <v>2026</v>
      </c>
      <c r="B126" s="621">
        <v>46125.0</v>
      </c>
      <c r="C126" s="594" t="str">
        <f t="shared" si="215"/>
        <v>April</v>
      </c>
      <c r="D126" s="593" t="str">
        <f t="shared" si="216"/>
        <v>Monday</v>
      </c>
      <c r="E126" s="595"/>
      <c r="F126" s="596" t="s">
        <v>1461</v>
      </c>
      <c r="G126" s="596"/>
      <c r="H126" s="596"/>
      <c r="I126" s="597">
        <f t="shared" si="217"/>
        <v>1</v>
      </c>
      <c r="J126" s="598">
        <f t="shared" ref="J126:L126" si="243">SUMIFS(J$3:J$9,$I$3:$I$9,$G126)+SUMIFS(J$3:J$9,$I$3:$I$9,$H126)+SUMIFS(J$3:J$9,$I$3:$I$9,$F126)</f>
        <v>25</v>
      </c>
      <c r="K126" s="598">
        <f t="shared" si="243"/>
        <v>0</v>
      </c>
      <c r="L126" s="598">
        <f t="shared" si="243"/>
        <v>0</v>
      </c>
      <c r="M126" s="598"/>
      <c r="N126" s="598">
        <f t="shared" ref="N126:O126" si="244">SUMIFS(N$3:N$9,$I$3:$I$9,$G126)+SUMIFS(N$3:N$9,$I$3:$I$9,$H126)+SUMIFS(N$3:N$9,$I$3:$I$9,$F126)</f>
        <v>0</v>
      </c>
      <c r="O126" s="598">
        <f t="shared" si="244"/>
        <v>0</v>
      </c>
      <c r="P126" s="598"/>
      <c r="Q126" s="598"/>
      <c r="R126" s="598"/>
      <c r="S126" s="598">
        <f t="shared" si="220"/>
        <v>25</v>
      </c>
      <c r="T126" s="551"/>
      <c r="U126" s="551"/>
      <c r="V126" s="551"/>
      <c r="W126" s="551"/>
      <c r="X126" s="551"/>
      <c r="Y126" s="551"/>
      <c r="Z126" s="551"/>
      <c r="AA126" s="551"/>
    </row>
    <row r="127" hidden="1">
      <c r="A127" s="593">
        <f t="shared" si="214"/>
        <v>2026</v>
      </c>
      <c r="B127" s="621">
        <v>46126.0</v>
      </c>
      <c r="C127" s="594" t="str">
        <f t="shared" si="215"/>
        <v>April</v>
      </c>
      <c r="D127" s="593" t="str">
        <f t="shared" si="216"/>
        <v>Tuesday</v>
      </c>
      <c r="E127" s="595"/>
      <c r="F127" s="596" t="s">
        <v>1461</v>
      </c>
      <c r="G127" s="596"/>
      <c r="H127" s="596"/>
      <c r="I127" s="597">
        <f t="shared" si="217"/>
        <v>1</v>
      </c>
      <c r="J127" s="598">
        <f t="shared" ref="J127:L127" si="245">SUMIFS(J$3:J$9,$I$3:$I$9,$G127)+SUMIFS(J$3:J$9,$I$3:$I$9,$H127)+SUMIFS(J$3:J$9,$I$3:$I$9,$F127)</f>
        <v>25</v>
      </c>
      <c r="K127" s="598">
        <f t="shared" si="245"/>
        <v>0</v>
      </c>
      <c r="L127" s="598">
        <f t="shared" si="245"/>
        <v>0</v>
      </c>
      <c r="M127" s="598"/>
      <c r="N127" s="598">
        <f t="shared" ref="N127:O127" si="246">SUMIFS(N$3:N$9,$I$3:$I$9,$G127)+SUMIFS(N$3:N$9,$I$3:$I$9,$H127)+SUMIFS(N$3:N$9,$I$3:$I$9,$F127)</f>
        <v>0</v>
      </c>
      <c r="O127" s="598">
        <f t="shared" si="246"/>
        <v>0</v>
      </c>
      <c r="P127" s="598"/>
      <c r="Q127" s="598"/>
      <c r="R127" s="598"/>
      <c r="S127" s="598">
        <f t="shared" si="220"/>
        <v>25</v>
      </c>
      <c r="T127" s="551"/>
      <c r="U127" s="551"/>
      <c r="V127" s="551"/>
      <c r="W127" s="551"/>
      <c r="X127" s="551"/>
      <c r="Y127" s="551"/>
      <c r="Z127" s="551"/>
      <c r="AA127" s="551"/>
    </row>
    <row r="128" hidden="1">
      <c r="A128" s="593">
        <f t="shared" si="214"/>
        <v>2026</v>
      </c>
      <c r="B128" s="621">
        <v>46127.0</v>
      </c>
      <c r="C128" s="594" t="str">
        <f t="shared" si="215"/>
        <v>April</v>
      </c>
      <c r="D128" s="593" t="str">
        <f t="shared" si="216"/>
        <v>Wednesday</v>
      </c>
      <c r="E128" s="595"/>
      <c r="F128" s="596" t="s">
        <v>1461</v>
      </c>
      <c r="G128" s="596"/>
      <c r="H128" s="596"/>
      <c r="I128" s="597">
        <f t="shared" si="217"/>
        <v>1</v>
      </c>
      <c r="J128" s="598">
        <f t="shared" ref="J128:L128" si="247">SUMIFS(J$3:J$9,$I$3:$I$9,$G128)+SUMIFS(J$3:J$9,$I$3:$I$9,$H128)+SUMIFS(J$3:J$9,$I$3:$I$9,$F128)</f>
        <v>25</v>
      </c>
      <c r="K128" s="598">
        <f t="shared" si="247"/>
        <v>0</v>
      </c>
      <c r="L128" s="598">
        <f t="shared" si="247"/>
        <v>0</v>
      </c>
      <c r="M128" s="598"/>
      <c r="N128" s="598">
        <f t="shared" ref="N128:O128" si="248">SUMIFS(N$3:N$9,$I$3:$I$9,$G128)+SUMIFS(N$3:N$9,$I$3:$I$9,$H128)+SUMIFS(N$3:N$9,$I$3:$I$9,$F128)</f>
        <v>0</v>
      </c>
      <c r="O128" s="598">
        <f t="shared" si="248"/>
        <v>0</v>
      </c>
      <c r="P128" s="598"/>
      <c r="Q128" s="598"/>
      <c r="R128" s="598"/>
      <c r="S128" s="598">
        <f t="shared" si="220"/>
        <v>25</v>
      </c>
      <c r="T128" s="551"/>
      <c r="U128" s="551"/>
      <c r="V128" s="551"/>
      <c r="W128" s="551"/>
      <c r="X128" s="551"/>
      <c r="Y128" s="551"/>
      <c r="Z128" s="551"/>
      <c r="AA128" s="551"/>
    </row>
    <row r="129" hidden="1">
      <c r="A129" s="593">
        <f t="shared" si="214"/>
        <v>2026</v>
      </c>
      <c r="B129" s="621">
        <v>46128.0</v>
      </c>
      <c r="C129" s="622" t="str">
        <f t="shared" si="215"/>
        <v>April</v>
      </c>
      <c r="D129" s="623" t="str">
        <f t="shared" si="216"/>
        <v>Thursday</v>
      </c>
      <c r="E129" s="624" t="s">
        <v>1497</v>
      </c>
      <c r="F129" s="596" t="s">
        <v>1461</v>
      </c>
      <c r="G129" s="596"/>
      <c r="H129" s="596"/>
      <c r="I129" s="597">
        <f t="shared" si="217"/>
        <v>1</v>
      </c>
      <c r="J129" s="598">
        <f t="shared" ref="J129:L129" si="249">SUMIFS(J$3:J$9,$I$3:$I$9,$G129)+SUMIFS(J$3:J$9,$I$3:$I$9,$H129)+SUMIFS(J$3:J$9,$I$3:$I$9,$F129)</f>
        <v>25</v>
      </c>
      <c r="K129" s="598">
        <f t="shared" si="249"/>
        <v>0</v>
      </c>
      <c r="L129" s="598">
        <f t="shared" si="249"/>
        <v>0</v>
      </c>
      <c r="M129" s="598"/>
      <c r="N129" s="598">
        <f t="shared" ref="N129:O129" si="250">SUMIFS(N$3:N$9,$I$3:$I$9,$G129)+SUMIFS(N$3:N$9,$I$3:$I$9,$H129)+SUMIFS(N$3:N$9,$I$3:$I$9,$F129)</f>
        <v>0</v>
      </c>
      <c r="O129" s="598">
        <f t="shared" si="250"/>
        <v>0</v>
      </c>
      <c r="P129" s="598"/>
      <c r="Q129" s="598"/>
      <c r="R129" s="598"/>
      <c r="S129" s="598">
        <f t="shared" si="220"/>
        <v>25</v>
      </c>
      <c r="T129" s="551"/>
      <c r="U129" s="551"/>
      <c r="V129" s="551"/>
      <c r="W129" s="551"/>
      <c r="X129" s="551"/>
      <c r="Y129" s="551"/>
      <c r="Z129" s="551"/>
      <c r="AA129" s="551"/>
    </row>
    <row r="130" hidden="1">
      <c r="A130" s="593">
        <f t="shared" si="214"/>
        <v>2026</v>
      </c>
      <c r="B130" s="621">
        <v>46129.0</v>
      </c>
      <c r="C130" s="594" t="str">
        <f t="shared" si="215"/>
        <v>April</v>
      </c>
      <c r="D130" s="593" t="str">
        <f t="shared" si="216"/>
        <v>Friday</v>
      </c>
      <c r="E130" s="595"/>
      <c r="F130" s="596" t="s">
        <v>1461</v>
      </c>
      <c r="G130" s="596"/>
      <c r="H130" s="596"/>
      <c r="I130" s="597">
        <f t="shared" si="217"/>
        <v>1</v>
      </c>
      <c r="J130" s="598">
        <f t="shared" ref="J130:L130" si="251">SUMIFS(J$3:J$9,$I$3:$I$9,$G130)+SUMIFS(J$3:J$9,$I$3:$I$9,$H130)+SUMIFS(J$3:J$9,$I$3:$I$9,$F130)</f>
        <v>25</v>
      </c>
      <c r="K130" s="598">
        <f t="shared" si="251"/>
        <v>0</v>
      </c>
      <c r="L130" s="598">
        <f t="shared" si="251"/>
        <v>0</v>
      </c>
      <c r="M130" s="598"/>
      <c r="N130" s="598">
        <f t="shared" ref="N130:O130" si="252">SUMIFS(N$3:N$9,$I$3:$I$9,$G130)+SUMIFS(N$3:N$9,$I$3:$I$9,$H130)+SUMIFS(N$3:N$9,$I$3:$I$9,$F130)</f>
        <v>0</v>
      </c>
      <c r="O130" s="598">
        <f t="shared" si="252"/>
        <v>0</v>
      </c>
      <c r="P130" s="598"/>
      <c r="Q130" s="598"/>
      <c r="R130" s="598"/>
      <c r="S130" s="598">
        <f t="shared" si="220"/>
        <v>25</v>
      </c>
      <c r="T130" s="551"/>
      <c r="U130" s="551"/>
      <c r="V130" s="551"/>
      <c r="W130" s="551"/>
      <c r="X130" s="551"/>
      <c r="Y130" s="551"/>
      <c r="Z130" s="551"/>
      <c r="AA130" s="551"/>
    </row>
    <row r="131" hidden="1">
      <c r="A131" s="593">
        <f t="shared" si="214"/>
        <v>2026</v>
      </c>
      <c r="B131" s="594">
        <v>46130.0</v>
      </c>
      <c r="C131" s="594" t="str">
        <f t="shared" si="215"/>
        <v>April</v>
      </c>
      <c r="D131" s="593" t="str">
        <f t="shared" si="216"/>
        <v>Saturday</v>
      </c>
      <c r="E131" s="595"/>
      <c r="F131" s="596" t="s">
        <v>1461</v>
      </c>
      <c r="G131" s="596"/>
      <c r="H131" s="596"/>
      <c r="I131" s="597">
        <f t="shared" si="217"/>
        <v>1</v>
      </c>
      <c r="J131" s="598">
        <f t="shared" ref="J131:L131" si="253">SUMIFS(J$3:J$9,$I$3:$I$9,$G131)+SUMIFS(J$3:J$9,$I$3:$I$9,$H131)+SUMIFS(J$3:J$9,$I$3:$I$9,$F131)</f>
        <v>25</v>
      </c>
      <c r="K131" s="598">
        <f t="shared" si="253"/>
        <v>0</v>
      </c>
      <c r="L131" s="598">
        <f t="shared" si="253"/>
        <v>0</v>
      </c>
      <c r="M131" s="598"/>
      <c r="N131" s="598">
        <f t="shared" ref="N131:O131" si="254">SUMIFS(N$3:N$9,$I$3:$I$9,$G131)+SUMIFS(N$3:N$9,$I$3:$I$9,$H131)+SUMIFS(N$3:N$9,$I$3:$I$9,$F131)</f>
        <v>0</v>
      </c>
      <c r="O131" s="598">
        <f t="shared" si="254"/>
        <v>0</v>
      </c>
      <c r="P131" s="598"/>
      <c r="Q131" s="598"/>
      <c r="R131" s="598"/>
      <c r="S131" s="598">
        <f t="shared" si="220"/>
        <v>25</v>
      </c>
      <c r="T131" s="551"/>
      <c r="U131" s="551"/>
      <c r="V131" s="551"/>
      <c r="W131" s="551"/>
      <c r="X131" s="551"/>
      <c r="Y131" s="551"/>
      <c r="Z131" s="551"/>
      <c r="AA131" s="551"/>
    </row>
    <row r="132" hidden="1">
      <c r="A132" s="593">
        <f t="shared" si="214"/>
        <v>2026</v>
      </c>
      <c r="B132" s="594">
        <v>46131.0</v>
      </c>
      <c r="C132" s="594" t="str">
        <f t="shared" si="215"/>
        <v>April</v>
      </c>
      <c r="D132" s="593" t="str">
        <f t="shared" si="216"/>
        <v>Sunday</v>
      </c>
      <c r="E132" s="595"/>
      <c r="F132" s="596"/>
      <c r="G132" s="596"/>
      <c r="H132" s="596"/>
      <c r="I132" s="597">
        <f t="shared" si="217"/>
        <v>0</v>
      </c>
      <c r="J132" s="598">
        <f t="shared" ref="J132:L132" si="255">SUMIFS(J$3:J$9,$I$3:$I$9,$G132)+SUMIFS(J$3:J$9,$I$3:$I$9,$H132)+SUMIFS(J$3:J$9,$I$3:$I$9,$F132)</f>
        <v>0</v>
      </c>
      <c r="K132" s="598">
        <f t="shared" si="255"/>
        <v>0</v>
      </c>
      <c r="L132" s="598">
        <f t="shared" si="255"/>
        <v>0</v>
      </c>
      <c r="M132" s="598"/>
      <c r="N132" s="598">
        <f t="shared" ref="N132:O132" si="256">SUMIFS(N$3:N$9,$I$3:$I$9,$G132)+SUMIFS(N$3:N$9,$I$3:$I$9,$H132)+SUMIFS(N$3:N$9,$I$3:$I$9,$F132)</f>
        <v>0</v>
      </c>
      <c r="O132" s="598">
        <f t="shared" si="256"/>
        <v>0</v>
      </c>
      <c r="P132" s="598"/>
      <c r="Q132" s="598"/>
      <c r="R132" s="598"/>
      <c r="S132" s="598">
        <f t="shared" si="220"/>
        <v>0</v>
      </c>
      <c r="T132" s="551"/>
      <c r="U132" s="551"/>
      <c r="V132" s="551"/>
      <c r="W132" s="551"/>
      <c r="X132" s="551"/>
      <c r="Y132" s="551"/>
      <c r="Z132" s="551"/>
      <c r="AA132" s="551"/>
    </row>
    <row r="133" hidden="1">
      <c r="A133" s="593">
        <f t="shared" si="214"/>
        <v>2026</v>
      </c>
      <c r="B133" s="594">
        <v>46132.0</v>
      </c>
      <c r="C133" s="594" t="str">
        <f t="shared" si="215"/>
        <v>April</v>
      </c>
      <c r="D133" s="593" t="str">
        <f t="shared" si="216"/>
        <v>Monday</v>
      </c>
      <c r="E133" s="595"/>
      <c r="F133" s="596" t="s">
        <v>1461</v>
      </c>
      <c r="G133" s="596"/>
      <c r="H133" s="596"/>
      <c r="I133" s="597">
        <f t="shared" si="217"/>
        <v>1</v>
      </c>
      <c r="J133" s="598">
        <f t="shared" ref="J133:L133" si="257">SUMIFS(J$3:J$9,$I$3:$I$9,$G133)+SUMIFS(J$3:J$9,$I$3:$I$9,$H133)+SUMIFS(J$3:J$9,$I$3:$I$9,$F133)</f>
        <v>25</v>
      </c>
      <c r="K133" s="598">
        <f t="shared" si="257"/>
        <v>0</v>
      </c>
      <c r="L133" s="598">
        <f t="shared" si="257"/>
        <v>0</v>
      </c>
      <c r="M133" s="598"/>
      <c r="N133" s="598">
        <f t="shared" ref="N133:O133" si="258">SUMIFS(N$3:N$9,$I$3:$I$9,$G133)+SUMIFS(N$3:N$9,$I$3:$I$9,$H133)+SUMIFS(N$3:N$9,$I$3:$I$9,$F133)</f>
        <v>0</v>
      </c>
      <c r="O133" s="598">
        <f t="shared" si="258"/>
        <v>0</v>
      </c>
      <c r="P133" s="598"/>
      <c r="Q133" s="598"/>
      <c r="R133" s="598"/>
      <c r="S133" s="598">
        <f t="shared" si="220"/>
        <v>25</v>
      </c>
      <c r="T133" s="551"/>
      <c r="U133" s="551"/>
      <c r="V133" s="551"/>
      <c r="W133" s="551"/>
      <c r="X133" s="551"/>
      <c r="Y133" s="551"/>
      <c r="Z133" s="551"/>
      <c r="AA133" s="551"/>
    </row>
    <row r="134" hidden="1">
      <c r="A134" s="593">
        <f t="shared" si="214"/>
        <v>2026</v>
      </c>
      <c r="B134" s="594">
        <v>46133.0</v>
      </c>
      <c r="C134" s="594" t="str">
        <f t="shared" si="215"/>
        <v>April</v>
      </c>
      <c r="D134" s="593" t="str">
        <f t="shared" si="216"/>
        <v>Tuesday</v>
      </c>
      <c r="E134" s="595"/>
      <c r="F134" s="596" t="s">
        <v>1461</v>
      </c>
      <c r="G134" s="596"/>
      <c r="H134" s="596"/>
      <c r="I134" s="597">
        <f t="shared" si="217"/>
        <v>1</v>
      </c>
      <c r="J134" s="598">
        <f t="shared" ref="J134:L134" si="259">SUMIFS(J$3:J$9,$I$3:$I$9,$G134)+SUMIFS(J$3:J$9,$I$3:$I$9,$H134)+SUMIFS(J$3:J$9,$I$3:$I$9,$F134)</f>
        <v>25</v>
      </c>
      <c r="K134" s="598">
        <f t="shared" si="259"/>
        <v>0</v>
      </c>
      <c r="L134" s="598">
        <f t="shared" si="259"/>
        <v>0</v>
      </c>
      <c r="M134" s="598"/>
      <c r="N134" s="598">
        <f t="shared" ref="N134:O134" si="260">SUMIFS(N$3:N$9,$I$3:$I$9,$G134)+SUMIFS(N$3:N$9,$I$3:$I$9,$H134)+SUMIFS(N$3:N$9,$I$3:$I$9,$F134)</f>
        <v>0</v>
      </c>
      <c r="O134" s="598">
        <f t="shared" si="260"/>
        <v>0</v>
      </c>
      <c r="P134" s="598"/>
      <c r="Q134" s="598"/>
      <c r="R134" s="598"/>
      <c r="S134" s="598">
        <f t="shared" si="220"/>
        <v>25</v>
      </c>
      <c r="T134" s="551"/>
      <c r="U134" s="551"/>
      <c r="V134" s="551"/>
      <c r="W134" s="551"/>
      <c r="X134" s="551"/>
      <c r="Y134" s="551"/>
      <c r="Z134" s="551"/>
      <c r="AA134" s="551"/>
    </row>
    <row r="135" hidden="1">
      <c r="A135" s="593">
        <f t="shared" si="214"/>
        <v>2026</v>
      </c>
      <c r="B135" s="594">
        <v>46134.0</v>
      </c>
      <c r="C135" s="594" t="str">
        <f t="shared" si="215"/>
        <v>April</v>
      </c>
      <c r="D135" s="593" t="str">
        <f t="shared" si="216"/>
        <v>Wednesday</v>
      </c>
      <c r="E135" s="595"/>
      <c r="F135" s="596" t="s">
        <v>1461</v>
      </c>
      <c r="G135" s="596"/>
      <c r="H135" s="596"/>
      <c r="I135" s="597">
        <f t="shared" si="217"/>
        <v>1</v>
      </c>
      <c r="J135" s="598">
        <f t="shared" ref="J135:L135" si="261">SUMIFS(J$3:J$9,$I$3:$I$9,$G135)+SUMIFS(J$3:J$9,$I$3:$I$9,$H135)+SUMIFS(J$3:J$9,$I$3:$I$9,$F135)</f>
        <v>25</v>
      </c>
      <c r="K135" s="598">
        <f t="shared" si="261"/>
        <v>0</v>
      </c>
      <c r="L135" s="598">
        <f t="shared" si="261"/>
        <v>0</v>
      </c>
      <c r="M135" s="598"/>
      <c r="N135" s="598">
        <f t="shared" ref="N135:O135" si="262">SUMIFS(N$3:N$9,$I$3:$I$9,$G135)+SUMIFS(N$3:N$9,$I$3:$I$9,$H135)+SUMIFS(N$3:N$9,$I$3:$I$9,$F135)</f>
        <v>0</v>
      </c>
      <c r="O135" s="598">
        <f t="shared" si="262"/>
        <v>0</v>
      </c>
      <c r="P135" s="598"/>
      <c r="Q135" s="598"/>
      <c r="R135" s="598"/>
      <c r="S135" s="598">
        <f t="shared" si="220"/>
        <v>25</v>
      </c>
      <c r="T135" s="551"/>
      <c r="U135" s="551"/>
      <c r="V135" s="551"/>
      <c r="W135" s="551"/>
      <c r="X135" s="551"/>
      <c r="Y135" s="551"/>
      <c r="Z135" s="551"/>
      <c r="AA135" s="551"/>
    </row>
    <row r="136" hidden="1">
      <c r="A136" s="593">
        <f t="shared" si="214"/>
        <v>2026</v>
      </c>
      <c r="B136" s="594">
        <v>46135.0</v>
      </c>
      <c r="C136" s="594" t="str">
        <f t="shared" si="215"/>
        <v>April</v>
      </c>
      <c r="D136" s="593" t="str">
        <f t="shared" si="216"/>
        <v>Thursday</v>
      </c>
      <c r="E136" s="595"/>
      <c r="F136" s="596" t="s">
        <v>1461</v>
      </c>
      <c r="G136" s="596"/>
      <c r="H136" s="596"/>
      <c r="I136" s="597">
        <f t="shared" si="217"/>
        <v>1</v>
      </c>
      <c r="J136" s="598">
        <f t="shared" ref="J136:L136" si="263">SUMIFS(J$3:J$9,$I$3:$I$9,$G136)+SUMIFS(J$3:J$9,$I$3:$I$9,$H136)+SUMIFS(J$3:J$9,$I$3:$I$9,$F136)</f>
        <v>25</v>
      </c>
      <c r="K136" s="598">
        <f t="shared" si="263"/>
        <v>0</v>
      </c>
      <c r="L136" s="598">
        <f t="shared" si="263"/>
        <v>0</v>
      </c>
      <c r="M136" s="598"/>
      <c r="N136" s="598">
        <f t="shared" ref="N136:O136" si="264">SUMIFS(N$3:N$9,$I$3:$I$9,$G136)+SUMIFS(N$3:N$9,$I$3:$I$9,$H136)+SUMIFS(N$3:N$9,$I$3:$I$9,$F136)</f>
        <v>0</v>
      </c>
      <c r="O136" s="598">
        <f t="shared" si="264"/>
        <v>0</v>
      </c>
      <c r="P136" s="598"/>
      <c r="Q136" s="598"/>
      <c r="R136" s="598"/>
      <c r="S136" s="598">
        <f t="shared" si="220"/>
        <v>25</v>
      </c>
      <c r="T136" s="551"/>
      <c r="U136" s="551"/>
      <c r="V136" s="551"/>
      <c r="W136" s="551"/>
      <c r="X136" s="551"/>
      <c r="Y136" s="551"/>
      <c r="Z136" s="551"/>
      <c r="AA136" s="551"/>
    </row>
    <row r="137" hidden="1">
      <c r="A137" s="593">
        <f t="shared" si="214"/>
        <v>2026</v>
      </c>
      <c r="B137" s="594">
        <v>46136.0</v>
      </c>
      <c r="C137" s="594" t="str">
        <f t="shared" si="215"/>
        <v>April</v>
      </c>
      <c r="D137" s="593" t="str">
        <f t="shared" si="216"/>
        <v>Friday</v>
      </c>
      <c r="E137" s="595"/>
      <c r="F137" s="596" t="s">
        <v>1461</v>
      </c>
      <c r="G137" s="596"/>
      <c r="H137" s="596"/>
      <c r="I137" s="597">
        <f t="shared" si="217"/>
        <v>1</v>
      </c>
      <c r="J137" s="598">
        <f t="shared" ref="J137:L137" si="265">SUMIFS(J$3:J$9,$I$3:$I$9,$G137)+SUMIFS(J$3:J$9,$I$3:$I$9,$H137)+SUMIFS(J$3:J$9,$I$3:$I$9,$F137)</f>
        <v>25</v>
      </c>
      <c r="K137" s="598">
        <f t="shared" si="265"/>
        <v>0</v>
      </c>
      <c r="L137" s="598">
        <f t="shared" si="265"/>
        <v>0</v>
      </c>
      <c r="M137" s="598"/>
      <c r="N137" s="598">
        <f t="shared" ref="N137:O137" si="266">SUMIFS(N$3:N$9,$I$3:$I$9,$G137)+SUMIFS(N$3:N$9,$I$3:$I$9,$H137)+SUMIFS(N$3:N$9,$I$3:$I$9,$F137)</f>
        <v>0</v>
      </c>
      <c r="O137" s="598">
        <f t="shared" si="266"/>
        <v>0</v>
      </c>
      <c r="P137" s="598"/>
      <c r="Q137" s="598"/>
      <c r="R137" s="598"/>
      <c r="S137" s="598">
        <f t="shared" si="220"/>
        <v>25</v>
      </c>
      <c r="T137" s="551"/>
      <c r="U137" s="551"/>
      <c r="V137" s="551"/>
      <c r="W137" s="551"/>
      <c r="X137" s="551"/>
      <c r="Y137" s="551"/>
      <c r="Z137" s="551"/>
      <c r="AA137" s="551"/>
    </row>
    <row r="138" hidden="1">
      <c r="A138" s="593">
        <f t="shared" si="214"/>
        <v>2026</v>
      </c>
      <c r="B138" s="594">
        <v>46137.0</v>
      </c>
      <c r="C138" s="594" t="str">
        <f t="shared" si="215"/>
        <v>April</v>
      </c>
      <c r="D138" s="593" t="str">
        <f t="shared" si="216"/>
        <v>Saturday</v>
      </c>
      <c r="E138" s="625"/>
      <c r="F138" s="596" t="s">
        <v>1461</v>
      </c>
      <c r="G138" s="596"/>
      <c r="H138" s="596"/>
      <c r="I138" s="597">
        <f t="shared" si="217"/>
        <v>1</v>
      </c>
      <c r="J138" s="598">
        <f t="shared" ref="J138:L138" si="267">SUMIFS(J$3:J$9,$I$3:$I$9,$G138)+SUMIFS(J$3:J$9,$I$3:$I$9,$H138)+SUMIFS(J$3:J$9,$I$3:$I$9,$F138)</f>
        <v>25</v>
      </c>
      <c r="K138" s="598">
        <f t="shared" si="267"/>
        <v>0</v>
      </c>
      <c r="L138" s="598">
        <f t="shared" si="267"/>
        <v>0</v>
      </c>
      <c r="M138" s="598"/>
      <c r="N138" s="598">
        <f t="shared" ref="N138:O138" si="268">SUMIFS(N$3:N$9,$I$3:$I$9,$G138)+SUMIFS(N$3:N$9,$I$3:$I$9,$H138)+SUMIFS(N$3:N$9,$I$3:$I$9,$F138)</f>
        <v>0</v>
      </c>
      <c r="O138" s="598">
        <f t="shared" si="268"/>
        <v>0</v>
      </c>
      <c r="P138" s="598"/>
      <c r="Q138" s="598"/>
      <c r="R138" s="598"/>
      <c r="S138" s="598">
        <f t="shared" si="220"/>
        <v>25</v>
      </c>
      <c r="T138" s="551"/>
      <c r="U138" s="551"/>
      <c r="V138" s="551"/>
      <c r="W138" s="551"/>
      <c r="X138" s="551"/>
      <c r="Y138" s="551"/>
      <c r="Z138" s="551"/>
      <c r="AA138" s="551"/>
    </row>
    <row r="139" hidden="1">
      <c r="A139" s="593">
        <f t="shared" si="214"/>
        <v>2026</v>
      </c>
      <c r="B139" s="594">
        <v>46138.0</v>
      </c>
      <c r="C139" s="594" t="str">
        <f t="shared" si="215"/>
        <v>April</v>
      </c>
      <c r="D139" s="593" t="str">
        <f t="shared" si="216"/>
        <v>Sunday</v>
      </c>
      <c r="E139" s="595"/>
      <c r="F139" s="596"/>
      <c r="G139" s="596"/>
      <c r="H139" s="596"/>
      <c r="I139" s="597">
        <f t="shared" si="217"/>
        <v>0</v>
      </c>
      <c r="J139" s="598">
        <f t="shared" ref="J139:L139" si="269">SUMIFS(J$3:J$9,$I$3:$I$9,$G139)+SUMIFS(J$3:J$9,$I$3:$I$9,$H139)+SUMIFS(J$3:J$9,$I$3:$I$9,$F139)</f>
        <v>0</v>
      </c>
      <c r="K139" s="598">
        <f t="shared" si="269"/>
        <v>0</v>
      </c>
      <c r="L139" s="598">
        <f t="shared" si="269"/>
        <v>0</v>
      </c>
      <c r="M139" s="598"/>
      <c r="N139" s="598">
        <f t="shared" ref="N139:O139" si="270">SUMIFS(N$3:N$9,$I$3:$I$9,$G139)+SUMIFS(N$3:N$9,$I$3:$I$9,$H139)+SUMIFS(N$3:N$9,$I$3:$I$9,$F139)</f>
        <v>0</v>
      </c>
      <c r="O139" s="598">
        <f t="shared" si="270"/>
        <v>0</v>
      </c>
      <c r="P139" s="598"/>
      <c r="Q139" s="598"/>
      <c r="R139" s="598"/>
      <c r="S139" s="598">
        <f t="shared" si="220"/>
        <v>0</v>
      </c>
      <c r="T139" s="551"/>
      <c r="U139" s="551"/>
      <c r="V139" s="551"/>
      <c r="W139" s="551"/>
      <c r="X139" s="551"/>
      <c r="Y139" s="551"/>
      <c r="Z139" s="551"/>
      <c r="AA139" s="551"/>
    </row>
    <row r="140" hidden="1">
      <c r="A140" s="593">
        <f t="shared" si="214"/>
        <v>2026</v>
      </c>
      <c r="B140" s="594">
        <v>46139.0</v>
      </c>
      <c r="C140" s="594" t="str">
        <f t="shared" si="215"/>
        <v>April</v>
      </c>
      <c r="D140" s="593" t="str">
        <f t="shared" si="216"/>
        <v>Monday</v>
      </c>
      <c r="E140" s="595"/>
      <c r="F140" s="596" t="s">
        <v>1461</v>
      </c>
      <c r="G140" s="596"/>
      <c r="H140" s="596"/>
      <c r="I140" s="597">
        <f t="shared" si="217"/>
        <v>1</v>
      </c>
      <c r="J140" s="598">
        <f t="shared" ref="J140:L140" si="271">SUMIFS(J$3:J$9,$I$3:$I$9,$G140)+SUMIFS(J$3:J$9,$I$3:$I$9,$H140)+SUMIFS(J$3:J$9,$I$3:$I$9,$F140)</f>
        <v>25</v>
      </c>
      <c r="K140" s="598">
        <f t="shared" si="271"/>
        <v>0</v>
      </c>
      <c r="L140" s="598">
        <f t="shared" si="271"/>
        <v>0</v>
      </c>
      <c r="M140" s="598"/>
      <c r="N140" s="598">
        <f t="shared" ref="N140:O140" si="272">SUMIFS(N$3:N$9,$I$3:$I$9,$G140)+SUMIFS(N$3:N$9,$I$3:$I$9,$H140)+SUMIFS(N$3:N$9,$I$3:$I$9,$F140)</f>
        <v>0</v>
      </c>
      <c r="O140" s="598">
        <f t="shared" si="272"/>
        <v>0</v>
      </c>
      <c r="P140" s="598"/>
      <c r="Q140" s="598"/>
      <c r="R140" s="598"/>
      <c r="S140" s="598">
        <f t="shared" si="220"/>
        <v>25</v>
      </c>
      <c r="T140" s="551"/>
      <c r="U140" s="551"/>
      <c r="V140" s="551"/>
      <c r="W140" s="551"/>
      <c r="X140" s="551"/>
      <c r="Y140" s="551"/>
      <c r="Z140" s="551"/>
      <c r="AA140" s="551"/>
    </row>
    <row r="141" hidden="1">
      <c r="A141" s="593">
        <f t="shared" si="214"/>
        <v>2026</v>
      </c>
      <c r="B141" s="594">
        <v>46140.0</v>
      </c>
      <c r="C141" s="594" t="str">
        <f t="shared" si="215"/>
        <v>April</v>
      </c>
      <c r="D141" s="593" t="str">
        <f t="shared" si="216"/>
        <v>Tuesday</v>
      </c>
      <c r="E141" s="595"/>
      <c r="F141" s="596" t="s">
        <v>1461</v>
      </c>
      <c r="G141" s="596"/>
      <c r="H141" s="596"/>
      <c r="I141" s="597">
        <f t="shared" si="217"/>
        <v>1</v>
      </c>
      <c r="J141" s="598">
        <f t="shared" ref="J141:L141" si="273">SUMIFS(J$3:J$9,$I$3:$I$9,$G141)+SUMIFS(J$3:J$9,$I$3:$I$9,$H141)+SUMIFS(J$3:J$9,$I$3:$I$9,$F141)</f>
        <v>25</v>
      </c>
      <c r="K141" s="598">
        <f t="shared" si="273"/>
        <v>0</v>
      </c>
      <c r="L141" s="598">
        <f t="shared" si="273"/>
        <v>0</v>
      </c>
      <c r="M141" s="598"/>
      <c r="N141" s="598">
        <f t="shared" ref="N141:O141" si="274">SUMIFS(N$3:N$9,$I$3:$I$9,$G141)+SUMIFS(N$3:N$9,$I$3:$I$9,$H141)+SUMIFS(N$3:N$9,$I$3:$I$9,$F141)</f>
        <v>0</v>
      </c>
      <c r="O141" s="598">
        <f t="shared" si="274"/>
        <v>0</v>
      </c>
      <c r="P141" s="598"/>
      <c r="Q141" s="598"/>
      <c r="R141" s="598"/>
      <c r="S141" s="598">
        <f t="shared" si="220"/>
        <v>25</v>
      </c>
      <c r="T141" s="551"/>
      <c r="U141" s="551"/>
      <c r="V141" s="551"/>
      <c r="W141" s="551"/>
      <c r="X141" s="551"/>
      <c r="Y141" s="551"/>
      <c r="Z141" s="551"/>
      <c r="AA141" s="551"/>
    </row>
    <row r="142" hidden="1">
      <c r="A142" s="593">
        <f t="shared" si="214"/>
        <v>2026</v>
      </c>
      <c r="B142" s="594">
        <v>46141.0</v>
      </c>
      <c r="C142" s="594" t="str">
        <f t="shared" si="215"/>
        <v>April</v>
      </c>
      <c r="D142" s="593" t="str">
        <f t="shared" si="216"/>
        <v>Wednesday</v>
      </c>
      <c r="E142" s="595"/>
      <c r="F142" s="596" t="s">
        <v>1461</v>
      </c>
      <c r="G142" s="596"/>
      <c r="H142" s="596"/>
      <c r="I142" s="597">
        <f t="shared" si="217"/>
        <v>1</v>
      </c>
      <c r="J142" s="598">
        <f t="shared" ref="J142:L142" si="275">SUMIFS(J$3:J$9,$I$3:$I$9,$G142)+SUMIFS(J$3:J$9,$I$3:$I$9,$H142)+SUMIFS(J$3:J$9,$I$3:$I$9,$F142)</f>
        <v>25</v>
      </c>
      <c r="K142" s="598">
        <f t="shared" si="275"/>
        <v>0</v>
      </c>
      <c r="L142" s="598">
        <f t="shared" si="275"/>
        <v>0</v>
      </c>
      <c r="M142" s="598"/>
      <c r="N142" s="598">
        <f t="shared" ref="N142:O142" si="276">SUMIFS(N$3:N$9,$I$3:$I$9,$G142)+SUMIFS(N$3:N$9,$I$3:$I$9,$H142)+SUMIFS(N$3:N$9,$I$3:$I$9,$F142)</f>
        <v>0</v>
      </c>
      <c r="O142" s="598">
        <f t="shared" si="276"/>
        <v>0</v>
      </c>
      <c r="P142" s="598"/>
      <c r="Q142" s="598"/>
      <c r="R142" s="598"/>
      <c r="S142" s="598">
        <f t="shared" si="220"/>
        <v>25</v>
      </c>
      <c r="T142" s="551"/>
      <c r="U142" s="551"/>
      <c r="V142" s="551"/>
      <c r="W142" s="551"/>
      <c r="X142" s="551"/>
      <c r="Y142" s="551"/>
      <c r="Z142" s="551"/>
      <c r="AA142" s="551"/>
    </row>
    <row r="143" hidden="1">
      <c r="A143" s="593">
        <f t="shared" si="214"/>
        <v>2026</v>
      </c>
      <c r="B143" s="594">
        <v>46142.0</v>
      </c>
      <c r="C143" s="594" t="str">
        <f t="shared" si="215"/>
        <v>April</v>
      </c>
      <c r="D143" s="593" t="str">
        <f t="shared" si="216"/>
        <v>Thursday</v>
      </c>
      <c r="E143" s="595" t="s">
        <v>1498</v>
      </c>
      <c r="F143" s="596" t="s">
        <v>1461</v>
      </c>
      <c r="G143" s="596"/>
      <c r="H143" s="596"/>
      <c r="I143" s="597">
        <f t="shared" si="217"/>
        <v>1</v>
      </c>
      <c r="J143" s="598">
        <f t="shared" ref="J143:L143" si="277">SUMIFS(J$3:J$9,$I$3:$I$9,$G143)+SUMIFS(J$3:J$9,$I$3:$I$9,$H143)+SUMIFS(J$3:J$9,$I$3:$I$9,$F143)</f>
        <v>25</v>
      </c>
      <c r="K143" s="598">
        <f t="shared" si="277"/>
        <v>0</v>
      </c>
      <c r="L143" s="598">
        <f t="shared" si="277"/>
        <v>0</v>
      </c>
      <c r="M143" s="598"/>
      <c r="N143" s="598">
        <f t="shared" ref="N143:O143" si="278">SUMIFS(N$3:N$9,$I$3:$I$9,$G143)+SUMIFS(N$3:N$9,$I$3:$I$9,$H143)+SUMIFS(N$3:N$9,$I$3:$I$9,$F143)</f>
        <v>0</v>
      </c>
      <c r="O143" s="598">
        <f t="shared" si="278"/>
        <v>0</v>
      </c>
      <c r="P143" s="598"/>
      <c r="Q143" s="598"/>
      <c r="R143" s="598"/>
      <c r="S143" s="598">
        <f t="shared" si="220"/>
        <v>25</v>
      </c>
      <c r="T143" s="551"/>
      <c r="U143" s="551"/>
      <c r="V143" s="551"/>
      <c r="W143" s="551"/>
      <c r="X143" s="551"/>
      <c r="Y143" s="551"/>
      <c r="Z143" s="551"/>
      <c r="AA143" s="551"/>
    </row>
    <row r="144" hidden="1">
      <c r="A144" s="600">
        <f>A113</f>
        <v>2026</v>
      </c>
      <c r="B144" s="600" t="str">
        <f>CONCATENATE(A144," ",C144)</f>
        <v>2026 April</v>
      </c>
      <c r="C144" s="601" t="str">
        <f>C114</f>
        <v>April</v>
      </c>
      <c r="D144" s="600"/>
      <c r="E144" s="602"/>
      <c r="F144" s="603"/>
      <c r="G144" s="603"/>
      <c r="H144" s="603"/>
      <c r="I144" s="604">
        <f t="shared" ref="I144:L144" si="279">SUM(I113:I143)</f>
        <v>23</v>
      </c>
      <c r="J144" s="605">
        <f t="shared" si="279"/>
        <v>575</v>
      </c>
      <c r="K144" s="605">
        <f t="shared" si="279"/>
        <v>0</v>
      </c>
      <c r="L144" s="605">
        <f t="shared" si="279"/>
        <v>0</v>
      </c>
      <c r="M144" s="605"/>
      <c r="N144" s="605">
        <f t="shared" ref="N144:S144" si="280">SUM(N113:N143)</f>
        <v>0</v>
      </c>
      <c r="O144" s="605">
        <f t="shared" si="280"/>
        <v>0</v>
      </c>
      <c r="P144" s="605">
        <f t="shared" si="280"/>
        <v>0</v>
      </c>
      <c r="Q144" s="605">
        <f t="shared" si="280"/>
        <v>0</v>
      </c>
      <c r="R144" s="605">
        <f t="shared" si="280"/>
        <v>0</v>
      </c>
      <c r="S144" s="605">
        <f t="shared" si="280"/>
        <v>575</v>
      </c>
      <c r="T144" s="551"/>
      <c r="U144" s="551"/>
      <c r="V144" s="551"/>
      <c r="W144" s="551"/>
      <c r="X144" s="551"/>
      <c r="Y144" s="551"/>
      <c r="Z144" s="551"/>
      <c r="AA144" s="551"/>
    </row>
    <row r="145" hidden="1">
      <c r="A145" s="574"/>
      <c r="B145" s="575"/>
      <c r="C145" s="575"/>
      <c r="D145" s="575"/>
      <c r="E145" s="576"/>
      <c r="F145" s="547"/>
      <c r="G145" s="547"/>
      <c r="H145" s="547"/>
      <c r="I145" s="573"/>
      <c r="J145" s="550"/>
      <c r="K145" s="550"/>
      <c r="L145" s="550"/>
      <c r="M145" s="550"/>
      <c r="N145" s="550"/>
      <c r="O145" s="550"/>
      <c r="P145" s="550"/>
      <c r="Q145" s="550"/>
      <c r="R145" s="550"/>
      <c r="S145" s="550"/>
      <c r="T145" s="551"/>
      <c r="U145" s="551"/>
      <c r="V145" s="551"/>
      <c r="W145" s="551"/>
      <c r="X145" s="551"/>
      <c r="Y145" s="551"/>
      <c r="Z145" s="551"/>
      <c r="AA145" s="551"/>
    </row>
    <row r="146" hidden="1">
      <c r="A146" s="577">
        <f t="shared" ref="A146:A176" si="283">IF(B146="","",YEAR(B146))</f>
        <v>2026</v>
      </c>
      <c r="B146" s="626">
        <v>46143.0</v>
      </c>
      <c r="C146" s="606" t="str">
        <f t="shared" ref="C146:C176" si="284">IF(B146="", "", TEXT(DATE(A146, MONTH(B146), 1), "MMMM"))</f>
        <v>May</v>
      </c>
      <c r="D146" s="577" t="str">
        <f t="shared" ref="D146:D176" si="285">IF(B146="","",TEXT(B146, "dddd"))</f>
        <v>Friday</v>
      </c>
      <c r="E146" s="627" t="s">
        <v>1499</v>
      </c>
      <c r="F146" s="608"/>
      <c r="G146" s="608"/>
      <c r="H146" s="608"/>
      <c r="I146" s="548">
        <f t="shared" ref="I146:I176" si="286">COUNTIF(F146:H146,"&lt;&gt;")</f>
        <v>0</v>
      </c>
      <c r="J146" s="609">
        <f t="shared" ref="J146:L146" si="281">SUMIFS(J$3:J$9,$I$3:$I$9,$G146)+SUMIFS(J$3:J$9,$I$3:$I$9,$H146)+SUMIFS(J$3:J$9,$I$3:$I$9,$F146)</f>
        <v>0</v>
      </c>
      <c r="K146" s="609">
        <f t="shared" si="281"/>
        <v>0</v>
      </c>
      <c r="L146" s="609">
        <f t="shared" si="281"/>
        <v>0</v>
      </c>
      <c r="M146" s="609"/>
      <c r="N146" s="609">
        <f t="shared" ref="N146:O146" si="282">SUMIFS(N$3:N$9,$I$3:$I$9,$G146)+SUMIFS(N$3:N$9,$I$3:$I$9,$H146)+SUMIFS(N$3:N$9,$I$3:$I$9,$F146)</f>
        <v>0</v>
      </c>
      <c r="O146" s="609">
        <f t="shared" si="282"/>
        <v>0</v>
      </c>
      <c r="P146" s="609"/>
      <c r="Q146" s="609"/>
      <c r="R146" s="609"/>
      <c r="S146" s="609">
        <f t="shared" ref="S146:S176" si="289">SUM(J146:R146)</f>
        <v>0</v>
      </c>
      <c r="T146" s="551"/>
      <c r="U146" s="551"/>
      <c r="V146" s="551"/>
      <c r="W146" s="551"/>
      <c r="X146" s="551"/>
      <c r="Y146" s="551"/>
      <c r="Z146" s="551"/>
      <c r="AA146" s="551"/>
    </row>
    <row r="147" hidden="1">
      <c r="A147" s="593">
        <f t="shared" si="283"/>
        <v>2026</v>
      </c>
      <c r="B147" s="628">
        <v>46144.0</v>
      </c>
      <c r="C147" s="594" t="str">
        <f t="shared" si="284"/>
        <v>May</v>
      </c>
      <c r="D147" s="593" t="str">
        <f t="shared" si="285"/>
        <v>Saturday</v>
      </c>
      <c r="E147" s="595"/>
      <c r="F147" s="596" t="s">
        <v>1461</v>
      </c>
      <c r="G147" s="596"/>
      <c r="H147" s="596"/>
      <c r="I147" s="597">
        <f t="shared" si="286"/>
        <v>1</v>
      </c>
      <c r="J147" s="598">
        <f t="shared" ref="J147:L147" si="287">SUMIFS(J$3:J$9,$I$3:$I$9,$G147)+SUMIFS(J$3:J$9,$I$3:$I$9,$H147)+SUMIFS(J$3:J$9,$I$3:$I$9,$F147)</f>
        <v>25</v>
      </c>
      <c r="K147" s="598">
        <f t="shared" si="287"/>
        <v>0</v>
      </c>
      <c r="L147" s="598">
        <f t="shared" si="287"/>
        <v>0</v>
      </c>
      <c r="M147" s="598"/>
      <c r="N147" s="598">
        <f t="shared" ref="N147:O147" si="288">SUMIFS(N$3:N$9,$I$3:$I$9,$G147)+SUMIFS(N$3:N$9,$I$3:$I$9,$H147)+SUMIFS(N$3:N$9,$I$3:$I$9,$F147)</f>
        <v>0</v>
      </c>
      <c r="O147" s="598">
        <f t="shared" si="288"/>
        <v>0</v>
      </c>
      <c r="P147" s="598"/>
      <c r="Q147" s="598"/>
      <c r="R147" s="598"/>
      <c r="S147" s="598">
        <f t="shared" si="289"/>
        <v>25</v>
      </c>
      <c r="T147" s="551"/>
      <c r="U147" s="551"/>
      <c r="V147" s="551"/>
      <c r="W147" s="551"/>
      <c r="X147" s="551"/>
      <c r="Y147" s="551"/>
      <c r="Z147" s="551"/>
      <c r="AA147" s="551"/>
    </row>
    <row r="148" hidden="1">
      <c r="A148" s="593">
        <f t="shared" si="283"/>
        <v>2026</v>
      </c>
      <c r="B148" s="628">
        <v>46145.0</v>
      </c>
      <c r="C148" s="594" t="str">
        <f t="shared" si="284"/>
        <v>May</v>
      </c>
      <c r="D148" s="593" t="str">
        <f t="shared" si="285"/>
        <v>Sunday</v>
      </c>
      <c r="E148" s="595"/>
      <c r="F148" s="596"/>
      <c r="G148" s="596"/>
      <c r="H148" s="596"/>
      <c r="I148" s="597">
        <f t="shared" si="286"/>
        <v>0</v>
      </c>
      <c r="J148" s="598">
        <f t="shared" ref="J148:L148" si="290">SUMIFS(J$3:J$9,$I$3:$I$9,$G148)+SUMIFS(J$3:J$9,$I$3:$I$9,$H148)+SUMIFS(J$3:J$9,$I$3:$I$9,$F148)</f>
        <v>0</v>
      </c>
      <c r="K148" s="598">
        <f t="shared" si="290"/>
        <v>0</v>
      </c>
      <c r="L148" s="598">
        <f t="shared" si="290"/>
        <v>0</v>
      </c>
      <c r="M148" s="598"/>
      <c r="N148" s="598">
        <f t="shared" ref="N148:O148" si="291">SUMIFS(N$3:N$9,$I$3:$I$9,$G148)+SUMIFS(N$3:N$9,$I$3:$I$9,$H148)+SUMIFS(N$3:N$9,$I$3:$I$9,$F148)</f>
        <v>0</v>
      </c>
      <c r="O148" s="598">
        <f t="shared" si="291"/>
        <v>0</v>
      </c>
      <c r="P148" s="598"/>
      <c r="Q148" s="598"/>
      <c r="R148" s="598"/>
      <c r="S148" s="598">
        <f t="shared" si="289"/>
        <v>0</v>
      </c>
      <c r="T148" s="551"/>
      <c r="U148" s="551"/>
      <c r="V148" s="551"/>
      <c r="W148" s="551"/>
      <c r="X148" s="551"/>
      <c r="Y148" s="551"/>
      <c r="Z148" s="551"/>
      <c r="AA148" s="551"/>
    </row>
    <row r="149" hidden="1">
      <c r="A149" s="593">
        <f t="shared" si="283"/>
        <v>2026</v>
      </c>
      <c r="B149" s="628">
        <v>46146.0</v>
      </c>
      <c r="C149" s="594" t="str">
        <f t="shared" si="284"/>
        <v>May</v>
      </c>
      <c r="D149" s="593" t="str">
        <f t="shared" si="285"/>
        <v>Monday</v>
      </c>
      <c r="E149" s="595"/>
      <c r="F149" s="596" t="s">
        <v>1461</v>
      </c>
      <c r="G149" s="596"/>
      <c r="H149" s="596"/>
      <c r="I149" s="597">
        <f t="shared" si="286"/>
        <v>1</v>
      </c>
      <c r="J149" s="598">
        <f t="shared" ref="J149:L149" si="292">SUMIFS(J$3:J$9,$I$3:$I$9,$G149)+SUMIFS(J$3:J$9,$I$3:$I$9,$H149)+SUMIFS(J$3:J$9,$I$3:$I$9,$F149)</f>
        <v>25</v>
      </c>
      <c r="K149" s="598">
        <f t="shared" si="292"/>
        <v>0</v>
      </c>
      <c r="L149" s="598">
        <f t="shared" si="292"/>
        <v>0</v>
      </c>
      <c r="M149" s="598"/>
      <c r="N149" s="598">
        <f t="shared" ref="N149:O149" si="293">SUMIFS(N$3:N$9,$I$3:$I$9,$G149)+SUMIFS(N$3:N$9,$I$3:$I$9,$H149)+SUMIFS(N$3:N$9,$I$3:$I$9,$F149)</f>
        <v>0</v>
      </c>
      <c r="O149" s="598">
        <f t="shared" si="293"/>
        <v>0</v>
      </c>
      <c r="P149" s="598"/>
      <c r="Q149" s="598"/>
      <c r="R149" s="598"/>
      <c r="S149" s="598">
        <f t="shared" si="289"/>
        <v>25</v>
      </c>
      <c r="T149" s="551"/>
      <c r="U149" s="551"/>
      <c r="V149" s="551"/>
      <c r="W149" s="551"/>
      <c r="X149" s="551"/>
      <c r="Y149" s="551"/>
      <c r="Z149" s="551"/>
      <c r="AA149" s="551"/>
    </row>
    <row r="150" hidden="1">
      <c r="A150" s="593">
        <f t="shared" si="283"/>
        <v>2026</v>
      </c>
      <c r="B150" s="628">
        <v>46147.0</v>
      </c>
      <c r="C150" s="594" t="str">
        <f t="shared" si="284"/>
        <v>May</v>
      </c>
      <c r="D150" s="593" t="str">
        <f t="shared" si="285"/>
        <v>Tuesday</v>
      </c>
      <c r="E150" s="595"/>
      <c r="F150" s="596" t="s">
        <v>1461</v>
      </c>
      <c r="G150" s="596"/>
      <c r="H150" s="596"/>
      <c r="I150" s="597">
        <f t="shared" si="286"/>
        <v>1</v>
      </c>
      <c r="J150" s="598">
        <f t="shared" ref="J150:L150" si="294">SUMIFS(J$3:J$9,$I$3:$I$9,$G150)+SUMIFS(J$3:J$9,$I$3:$I$9,$H150)+SUMIFS(J$3:J$9,$I$3:$I$9,$F150)</f>
        <v>25</v>
      </c>
      <c r="K150" s="598">
        <f t="shared" si="294"/>
        <v>0</v>
      </c>
      <c r="L150" s="598">
        <f t="shared" si="294"/>
        <v>0</v>
      </c>
      <c r="M150" s="598"/>
      <c r="N150" s="598">
        <f t="shared" ref="N150:O150" si="295">SUMIFS(N$3:N$9,$I$3:$I$9,$G150)+SUMIFS(N$3:N$9,$I$3:$I$9,$H150)+SUMIFS(N$3:N$9,$I$3:$I$9,$F150)</f>
        <v>0</v>
      </c>
      <c r="O150" s="598">
        <f t="shared" si="295"/>
        <v>0</v>
      </c>
      <c r="P150" s="598"/>
      <c r="Q150" s="598"/>
      <c r="R150" s="598"/>
      <c r="S150" s="598">
        <f t="shared" si="289"/>
        <v>25</v>
      </c>
      <c r="T150" s="551"/>
      <c r="U150" s="551"/>
      <c r="V150" s="551"/>
      <c r="W150" s="551"/>
      <c r="X150" s="551"/>
      <c r="Y150" s="551"/>
      <c r="Z150" s="551"/>
      <c r="AA150" s="551"/>
    </row>
    <row r="151" hidden="1">
      <c r="A151" s="593">
        <f t="shared" si="283"/>
        <v>2026</v>
      </c>
      <c r="B151" s="628">
        <v>46148.0</v>
      </c>
      <c r="C151" s="594" t="str">
        <f t="shared" si="284"/>
        <v>May</v>
      </c>
      <c r="D151" s="593" t="str">
        <f t="shared" si="285"/>
        <v>Wednesday</v>
      </c>
      <c r="E151" s="595"/>
      <c r="F151" s="596" t="s">
        <v>1461</v>
      </c>
      <c r="G151" s="596"/>
      <c r="H151" s="596"/>
      <c r="I151" s="597">
        <f t="shared" si="286"/>
        <v>1</v>
      </c>
      <c r="J151" s="598">
        <f t="shared" ref="J151:L151" si="296">SUMIFS(J$3:J$9,$I$3:$I$9,$G151)+SUMIFS(J$3:J$9,$I$3:$I$9,$H151)+SUMIFS(J$3:J$9,$I$3:$I$9,$F151)</f>
        <v>25</v>
      </c>
      <c r="K151" s="598">
        <f t="shared" si="296"/>
        <v>0</v>
      </c>
      <c r="L151" s="598">
        <f t="shared" si="296"/>
        <v>0</v>
      </c>
      <c r="M151" s="598"/>
      <c r="N151" s="598">
        <f t="shared" ref="N151:O151" si="297">SUMIFS(N$3:N$9,$I$3:$I$9,$G151)+SUMIFS(N$3:N$9,$I$3:$I$9,$H151)+SUMIFS(N$3:N$9,$I$3:$I$9,$F151)</f>
        <v>0</v>
      </c>
      <c r="O151" s="598">
        <f t="shared" si="297"/>
        <v>0</v>
      </c>
      <c r="P151" s="598"/>
      <c r="Q151" s="598"/>
      <c r="R151" s="598"/>
      <c r="S151" s="598">
        <f t="shared" si="289"/>
        <v>25</v>
      </c>
      <c r="T151" s="551"/>
      <c r="U151" s="551"/>
      <c r="V151" s="551"/>
      <c r="W151" s="551"/>
      <c r="X151" s="551"/>
      <c r="Y151" s="551"/>
      <c r="Z151" s="551"/>
      <c r="AA151" s="551"/>
    </row>
    <row r="152" hidden="1">
      <c r="A152" s="593">
        <f t="shared" si="283"/>
        <v>2026</v>
      </c>
      <c r="B152" s="628">
        <v>46149.0</v>
      </c>
      <c r="C152" s="594" t="str">
        <f t="shared" si="284"/>
        <v>May</v>
      </c>
      <c r="D152" s="593" t="str">
        <f t="shared" si="285"/>
        <v>Thursday</v>
      </c>
      <c r="E152" s="595"/>
      <c r="F152" s="596" t="s">
        <v>1461</v>
      </c>
      <c r="G152" s="596"/>
      <c r="H152" s="596"/>
      <c r="I152" s="597">
        <f t="shared" si="286"/>
        <v>1</v>
      </c>
      <c r="J152" s="598">
        <f t="shared" ref="J152:L152" si="298">SUMIFS(J$3:J$9,$I$3:$I$9,$G152)+SUMIFS(J$3:J$9,$I$3:$I$9,$H152)+SUMIFS(J$3:J$9,$I$3:$I$9,$F152)</f>
        <v>25</v>
      </c>
      <c r="K152" s="598">
        <f t="shared" si="298"/>
        <v>0</v>
      </c>
      <c r="L152" s="598">
        <f t="shared" si="298"/>
        <v>0</v>
      </c>
      <c r="M152" s="598"/>
      <c r="N152" s="598">
        <f t="shared" ref="N152:O152" si="299">SUMIFS(N$3:N$9,$I$3:$I$9,$G152)+SUMIFS(N$3:N$9,$I$3:$I$9,$H152)+SUMIFS(N$3:N$9,$I$3:$I$9,$F152)</f>
        <v>0</v>
      </c>
      <c r="O152" s="598">
        <f t="shared" si="299"/>
        <v>0</v>
      </c>
      <c r="P152" s="598"/>
      <c r="Q152" s="598"/>
      <c r="R152" s="598"/>
      <c r="S152" s="598">
        <f t="shared" si="289"/>
        <v>25</v>
      </c>
      <c r="T152" s="551"/>
      <c r="U152" s="551"/>
      <c r="V152" s="551"/>
      <c r="W152" s="551"/>
      <c r="X152" s="551"/>
      <c r="Y152" s="551"/>
      <c r="Z152" s="551"/>
      <c r="AA152" s="551"/>
    </row>
    <row r="153" hidden="1">
      <c r="A153" s="593">
        <f t="shared" si="283"/>
        <v>2026</v>
      </c>
      <c r="B153" s="628">
        <v>46150.0</v>
      </c>
      <c r="C153" s="594" t="str">
        <f t="shared" si="284"/>
        <v>May</v>
      </c>
      <c r="D153" s="593" t="str">
        <f t="shared" si="285"/>
        <v>Friday</v>
      </c>
      <c r="E153" s="595"/>
      <c r="F153" s="596" t="s">
        <v>1461</v>
      </c>
      <c r="G153" s="596"/>
      <c r="H153" s="596"/>
      <c r="I153" s="597">
        <f t="shared" si="286"/>
        <v>1</v>
      </c>
      <c r="J153" s="598">
        <f t="shared" ref="J153:L153" si="300">SUMIFS(J$3:J$9,$I$3:$I$9,$G153)+SUMIFS(J$3:J$9,$I$3:$I$9,$H153)+SUMIFS(J$3:J$9,$I$3:$I$9,$F153)</f>
        <v>25</v>
      </c>
      <c r="K153" s="598">
        <f t="shared" si="300"/>
        <v>0</v>
      </c>
      <c r="L153" s="598">
        <f t="shared" si="300"/>
        <v>0</v>
      </c>
      <c r="M153" s="598"/>
      <c r="N153" s="598">
        <f t="shared" ref="N153:O153" si="301">SUMIFS(N$3:N$9,$I$3:$I$9,$G153)+SUMIFS(N$3:N$9,$I$3:$I$9,$H153)+SUMIFS(N$3:N$9,$I$3:$I$9,$F153)</f>
        <v>0</v>
      </c>
      <c r="O153" s="598">
        <f t="shared" si="301"/>
        <v>0</v>
      </c>
      <c r="P153" s="598"/>
      <c r="Q153" s="598"/>
      <c r="R153" s="598"/>
      <c r="S153" s="598">
        <f t="shared" si="289"/>
        <v>25</v>
      </c>
      <c r="T153" s="551"/>
      <c r="U153" s="551"/>
      <c r="V153" s="551"/>
      <c r="W153" s="551"/>
      <c r="X153" s="551"/>
      <c r="Y153" s="551"/>
      <c r="Z153" s="551"/>
      <c r="AA153" s="551"/>
    </row>
    <row r="154" hidden="1">
      <c r="A154" s="593">
        <f t="shared" si="283"/>
        <v>2026</v>
      </c>
      <c r="B154" s="628">
        <v>46151.0</v>
      </c>
      <c r="C154" s="594" t="str">
        <f t="shared" si="284"/>
        <v>May</v>
      </c>
      <c r="D154" s="593" t="str">
        <f t="shared" si="285"/>
        <v>Saturday</v>
      </c>
      <c r="E154" s="625"/>
      <c r="F154" s="596" t="s">
        <v>1461</v>
      </c>
      <c r="G154" s="596"/>
      <c r="H154" s="596"/>
      <c r="I154" s="597">
        <f t="shared" si="286"/>
        <v>1</v>
      </c>
      <c r="J154" s="598">
        <f t="shared" ref="J154:L154" si="302">SUMIFS(J$3:J$9,$I$3:$I$9,$G154)+SUMIFS(J$3:J$9,$I$3:$I$9,$H154)+SUMIFS(J$3:J$9,$I$3:$I$9,$F154)</f>
        <v>25</v>
      </c>
      <c r="K154" s="598">
        <f t="shared" si="302"/>
        <v>0</v>
      </c>
      <c r="L154" s="598">
        <f t="shared" si="302"/>
        <v>0</v>
      </c>
      <c r="M154" s="598"/>
      <c r="N154" s="598">
        <f t="shared" ref="N154:O154" si="303">SUMIFS(N$3:N$9,$I$3:$I$9,$G154)+SUMIFS(N$3:N$9,$I$3:$I$9,$H154)+SUMIFS(N$3:N$9,$I$3:$I$9,$F154)</f>
        <v>0</v>
      </c>
      <c r="O154" s="598">
        <f t="shared" si="303"/>
        <v>0</v>
      </c>
      <c r="P154" s="598"/>
      <c r="Q154" s="598"/>
      <c r="R154" s="598"/>
      <c r="S154" s="598">
        <f t="shared" si="289"/>
        <v>25</v>
      </c>
      <c r="T154" s="551"/>
      <c r="U154" s="551"/>
      <c r="V154" s="551"/>
      <c r="W154" s="551"/>
      <c r="X154" s="551"/>
      <c r="Y154" s="551"/>
      <c r="Z154" s="551"/>
      <c r="AA154" s="551"/>
    </row>
    <row r="155" hidden="1">
      <c r="A155" s="593">
        <f t="shared" si="283"/>
        <v>2026</v>
      </c>
      <c r="B155" s="628">
        <v>46152.0</v>
      </c>
      <c r="C155" s="594" t="str">
        <f t="shared" si="284"/>
        <v>May</v>
      </c>
      <c r="D155" s="593" t="str">
        <f t="shared" si="285"/>
        <v>Sunday</v>
      </c>
      <c r="E155" s="595"/>
      <c r="F155" s="596"/>
      <c r="G155" s="596"/>
      <c r="H155" s="596"/>
      <c r="I155" s="597">
        <f t="shared" si="286"/>
        <v>0</v>
      </c>
      <c r="J155" s="598">
        <f t="shared" ref="J155:L155" si="304">SUMIFS(J$3:J$9,$I$3:$I$9,$G155)+SUMIFS(J$3:J$9,$I$3:$I$9,$H155)+SUMIFS(J$3:J$9,$I$3:$I$9,$F155)</f>
        <v>0</v>
      </c>
      <c r="K155" s="598">
        <f t="shared" si="304"/>
        <v>0</v>
      </c>
      <c r="L155" s="598">
        <f t="shared" si="304"/>
        <v>0</v>
      </c>
      <c r="M155" s="598"/>
      <c r="N155" s="598">
        <f t="shared" ref="N155:O155" si="305">SUMIFS(N$3:N$9,$I$3:$I$9,$G155)+SUMIFS(N$3:N$9,$I$3:$I$9,$H155)+SUMIFS(N$3:N$9,$I$3:$I$9,$F155)</f>
        <v>0</v>
      </c>
      <c r="O155" s="598">
        <f t="shared" si="305"/>
        <v>0</v>
      </c>
      <c r="P155" s="598"/>
      <c r="Q155" s="598"/>
      <c r="R155" s="598"/>
      <c r="S155" s="598">
        <f t="shared" si="289"/>
        <v>0</v>
      </c>
      <c r="T155" s="551"/>
      <c r="U155" s="551"/>
      <c r="V155" s="551"/>
      <c r="W155" s="551"/>
      <c r="X155" s="551"/>
      <c r="Y155" s="551"/>
      <c r="Z155" s="551"/>
      <c r="AA155" s="551"/>
    </row>
    <row r="156" hidden="1">
      <c r="A156" s="593">
        <f t="shared" si="283"/>
        <v>2026</v>
      </c>
      <c r="B156" s="628">
        <v>46153.0</v>
      </c>
      <c r="C156" s="594" t="str">
        <f t="shared" si="284"/>
        <v>May</v>
      </c>
      <c r="D156" s="593" t="str">
        <f t="shared" si="285"/>
        <v>Monday</v>
      </c>
      <c r="E156" s="595" t="s">
        <v>1500</v>
      </c>
      <c r="F156" s="596" t="s">
        <v>1466</v>
      </c>
      <c r="G156" s="596"/>
      <c r="H156" s="596"/>
      <c r="I156" s="597">
        <f t="shared" si="286"/>
        <v>1</v>
      </c>
      <c r="J156" s="598">
        <f t="shared" ref="J156:L156" si="306">SUMIFS(J$3:J$9,$I$3:$I$9,$G156)+SUMIFS(J$3:J$9,$I$3:$I$9,$H156)+SUMIFS(J$3:J$9,$I$3:$I$9,$F156)</f>
        <v>20</v>
      </c>
      <c r="K156" s="598">
        <f t="shared" si="306"/>
        <v>6</v>
      </c>
      <c r="L156" s="598">
        <f t="shared" si="306"/>
        <v>0</v>
      </c>
      <c r="M156" s="598"/>
      <c r="N156" s="598">
        <f t="shared" ref="N156:O156" si="307">SUMIFS(N$3:N$9,$I$3:$I$9,$G156)+SUMIFS(N$3:N$9,$I$3:$I$9,$H156)+SUMIFS(N$3:N$9,$I$3:$I$9,$F156)</f>
        <v>0</v>
      </c>
      <c r="O156" s="598">
        <f t="shared" si="307"/>
        <v>0</v>
      </c>
      <c r="P156" s="598"/>
      <c r="Q156" s="598"/>
      <c r="R156" s="598"/>
      <c r="S156" s="598">
        <f t="shared" si="289"/>
        <v>26</v>
      </c>
      <c r="T156" s="551"/>
      <c r="U156" s="551"/>
      <c r="V156" s="551"/>
      <c r="W156" s="551"/>
      <c r="X156" s="551"/>
      <c r="Y156" s="551"/>
      <c r="Z156" s="551"/>
      <c r="AA156" s="551"/>
    </row>
    <row r="157" hidden="1">
      <c r="A157" s="593">
        <f t="shared" si="283"/>
        <v>2026</v>
      </c>
      <c r="B157" s="628">
        <v>46154.0</v>
      </c>
      <c r="C157" s="594" t="str">
        <f t="shared" si="284"/>
        <v>May</v>
      </c>
      <c r="D157" s="593" t="str">
        <f t="shared" si="285"/>
        <v>Tuesday</v>
      </c>
      <c r="E157" s="595"/>
      <c r="F157" s="596" t="s">
        <v>1466</v>
      </c>
      <c r="G157" s="596"/>
      <c r="H157" s="596"/>
      <c r="I157" s="597">
        <f t="shared" si="286"/>
        <v>1</v>
      </c>
      <c r="J157" s="598">
        <f t="shared" ref="J157:L157" si="308">SUMIFS(J$3:J$9,$I$3:$I$9,$G157)+SUMIFS(J$3:J$9,$I$3:$I$9,$H157)+SUMIFS(J$3:J$9,$I$3:$I$9,$F157)</f>
        <v>20</v>
      </c>
      <c r="K157" s="598">
        <f t="shared" si="308"/>
        <v>6</v>
      </c>
      <c r="L157" s="598">
        <f t="shared" si="308"/>
        <v>0</v>
      </c>
      <c r="M157" s="598"/>
      <c r="N157" s="598">
        <f t="shared" ref="N157:O157" si="309">SUMIFS(N$3:N$9,$I$3:$I$9,$G157)+SUMIFS(N$3:N$9,$I$3:$I$9,$H157)+SUMIFS(N$3:N$9,$I$3:$I$9,$F157)</f>
        <v>0</v>
      </c>
      <c r="O157" s="598">
        <f t="shared" si="309"/>
        <v>0</v>
      </c>
      <c r="P157" s="598"/>
      <c r="Q157" s="598"/>
      <c r="R157" s="598"/>
      <c r="S157" s="598">
        <f t="shared" si="289"/>
        <v>26</v>
      </c>
      <c r="T157" s="551"/>
      <c r="U157" s="551"/>
      <c r="V157" s="551"/>
      <c r="W157" s="551"/>
      <c r="X157" s="551"/>
      <c r="Y157" s="551"/>
      <c r="Z157" s="551"/>
      <c r="AA157" s="551"/>
    </row>
    <row r="158" hidden="1">
      <c r="A158" s="593">
        <f t="shared" si="283"/>
        <v>2026</v>
      </c>
      <c r="B158" s="629">
        <v>46155.0</v>
      </c>
      <c r="C158" s="594" t="str">
        <f t="shared" si="284"/>
        <v>May</v>
      </c>
      <c r="D158" s="593" t="str">
        <f t="shared" si="285"/>
        <v>Wednesday</v>
      </c>
      <c r="E158" s="595"/>
      <c r="F158" s="596" t="s">
        <v>1466</v>
      </c>
      <c r="G158" s="596"/>
      <c r="H158" s="596"/>
      <c r="I158" s="597">
        <f t="shared" si="286"/>
        <v>1</v>
      </c>
      <c r="J158" s="598">
        <f t="shared" ref="J158:L158" si="310">SUMIFS(J$3:J$9,$I$3:$I$9,$G158)+SUMIFS(J$3:J$9,$I$3:$I$9,$H158)+SUMIFS(J$3:J$9,$I$3:$I$9,$F158)</f>
        <v>20</v>
      </c>
      <c r="K158" s="598">
        <f t="shared" si="310"/>
        <v>6</v>
      </c>
      <c r="L158" s="598">
        <f t="shared" si="310"/>
        <v>0</v>
      </c>
      <c r="M158" s="598"/>
      <c r="N158" s="598">
        <f t="shared" ref="N158:O158" si="311">SUMIFS(N$3:N$9,$I$3:$I$9,$G158)+SUMIFS(N$3:N$9,$I$3:$I$9,$H158)+SUMIFS(N$3:N$9,$I$3:$I$9,$F158)</f>
        <v>0</v>
      </c>
      <c r="O158" s="598">
        <f t="shared" si="311"/>
        <v>0</v>
      </c>
      <c r="P158" s="598"/>
      <c r="Q158" s="598"/>
      <c r="R158" s="598"/>
      <c r="S158" s="598">
        <f t="shared" si="289"/>
        <v>26</v>
      </c>
      <c r="T158" s="551"/>
      <c r="U158" s="551"/>
      <c r="V158" s="551"/>
      <c r="W158" s="551"/>
      <c r="X158" s="551"/>
      <c r="Y158" s="551"/>
      <c r="Z158" s="551"/>
      <c r="AA158" s="551"/>
    </row>
    <row r="159" hidden="1">
      <c r="A159" s="593">
        <f t="shared" si="283"/>
        <v>2026</v>
      </c>
      <c r="B159" s="630">
        <v>46156.0</v>
      </c>
      <c r="C159" s="594" t="str">
        <f t="shared" si="284"/>
        <v>May</v>
      </c>
      <c r="D159" s="593" t="str">
        <f t="shared" si="285"/>
        <v>Thursday</v>
      </c>
      <c r="E159" s="595"/>
      <c r="F159" s="596" t="s">
        <v>1466</v>
      </c>
      <c r="G159" s="596"/>
      <c r="H159" s="596"/>
      <c r="I159" s="597">
        <f t="shared" si="286"/>
        <v>1</v>
      </c>
      <c r="J159" s="598">
        <f t="shared" ref="J159:L159" si="312">SUMIFS(J$3:J$9,$I$3:$I$9,$G159)+SUMIFS(J$3:J$9,$I$3:$I$9,$H159)+SUMIFS(J$3:J$9,$I$3:$I$9,$F159)</f>
        <v>20</v>
      </c>
      <c r="K159" s="598">
        <f t="shared" si="312"/>
        <v>6</v>
      </c>
      <c r="L159" s="598">
        <f t="shared" si="312"/>
        <v>0</v>
      </c>
      <c r="M159" s="598"/>
      <c r="N159" s="598">
        <f t="shared" ref="N159:O159" si="313">SUMIFS(N$3:N$9,$I$3:$I$9,$G159)+SUMIFS(N$3:N$9,$I$3:$I$9,$H159)+SUMIFS(N$3:N$9,$I$3:$I$9,$F159)</f>
        <v>0</v>
      </c>
      <c r="O159" s="598">
        <f t="shared" si="313"/>
        <v>0</v>
      </c>
      <c r="P159" s="598"/>
      <c r="Q159" s="598"/>
      <c r="R159" s="598"/>
      <c r="S159" s="598">
        <f t="shared" si="289"/>
        <v>26</v>
      </c>
      <c r="T159" s="551"/>
      <c r="U159" s="551"/>
      <c r="V159" s="551"/>
      <c r="W159" s="551"/>
      <c r="X159" s="551"/>
      <c r="Y159" s="551"/>
      <c r="Z159" s="551"/>
      <c r="AA159" s="551"/>
    </row>
    <row r="160" hidden="1">
      <c r="A160" s="593">
        <f t="shared" si="283"/>
        <v>2026</v>
      </c>
      <c r="B160" s="630">
        <v>46157.0</v>
      </c>
      <c r="C160" s="594" t="str">
        <f t="shared" si="284"/>
        <v>May</v>
      </c>
      <c r="D160" s="593" t="str">
        <f t="shared" si="285"/>
        <v>Friday</v>
      </c>
      <c r="E160" s="595"/>
      <c r="F160" s="596" t="s">
        <v>1466</v>
      </c>
      <c r="G160" s="596"/>
      <c r="H160" s="596"/>
      <c r="I160" s="597">
        <f t="shared" si="286"/>
        <v>1</v>
      </c>
      <c r="J160" s="598">
        <f t="shared" ref="J160:L160" si="314">SUMIFS(J$3:J$9,$I$3:$I$9,$G160)+SUMIFS(J$3:J$9,$I$3:$I$9,$H160)+SUMIFS(J$3:J$9,$I$3:$I$9,$F160)</f>
        <v>20</v>
      </c>
      <c r="K160" s="598">
        <f t="shared" si="314"/>
        <v>6</v>
      </c>
      <c r="L160" s="598">
        <f t="shared" si="314"/>
        <v>0</v>
      </c>
      <c r="M160" s="598"/>
      <c r="N160" s="598">
        <f t="shared" ref="N160:O160" si="315">SUMIFS(N$3:N$9,$I$3:$I$9,$G160)+SUMIFS(N$3:N$9,$I$3:$I$9,$H160)+SUMIFS(N$3:N$9,$I$3:$I$9,$F160)</f>
        <v>0</v>
      </c>
      <c r="O160" s="598">
        <f t="shared" si="315"/>
        <v>0</v>
      </c>
      <c r="P160" s="598"/>
      <c r="Q160" s="598"/>
      <c r="R160" s="598"/>
      <c r="S160" s="598">
        <f t="shared" si="289"/>
        <v>26</v>
      </c>
      <c r="T160" s="551"/>
      <c r="U160" s="551"/>
      <c r="V160" s="551"/>
      <c r="W160" s="551"/>
      <c r="X160" s="551"/>
      <c r="Y160" s="551"/>
      <c r="Z160" s="551"/>
      <c r="AA160" s="551"/>
    </row>
    <row r="161" hidden="1">
      <c r="A161" s="593">
        <f t="shared" si="283"/>
        <v>2026</v>
      </c>
      <c r="B161" s="630">
        <v>46158.0</v>
      </c>
      <c r="C161" s="594" t="str">
        <f t="shared" si="284"/>
        <v>May</v>
      </c>
      <c r="D161" s="593" t="str">
        <f t="shared" si="285"/>
        <v>Saturday</v>
      </c>
      <c r="E161" s="631" t="s">
        <v>1501</v>
      </c>
      <c r="F161" s="596"/>
      <c r="G161" s="596"/>
      <c r="H161" s="596"/>
      <c r="I161" s="597">
        <f t="shared" si="286"/>
        <v>0</v>
      </c>
      <c r="J161" s="598">
        <f t="shared" ref="J161:L161" si="316">SUMIFS(J$3:J$9,$I$3:$I$9,$G161)+SUMIFS(J$3:J$9,$I$3:$I$9,$H161)+SUMIFS(J$3:J$9,$I$3:$I$9,$F161)</f>
        <v>0</v>
      </c>
      <c r="K161" s="598">
        <f t="shared" si="316"/>
        <v>0</v>
      </c>
      <c r="L161" s="598">
        <f t="shared" si="316"/>
        <v>0</v>
      </c>
      <c r="M161" s="598"/>
      <c r="N161" s="598">
        <f t="shared" ref="N161:O161" si="317">SUMIFS(N$3:N$9,$I$3:$I$9,$G161)+SUMIFS(N$3:N$9,$I$3:$I$9,$H161)+SUMIFS(N$3:N$9,$I$3:$I$9,$F161)</f>
        <v>0</v>
      </c>
      <c r="O161" s="598">
        <f t="shared" si="317"/>
        <v>0</v>
      </c>
      <c r="P161" s="598"/>
      <c r="Q161" s="598"/>
      <c r="R161" s="598"/>
      <c r="S161" s="598">
        <f t="shared" si="289"/>
        <v>0</v>
      </c>
      <c r="T161" s="551"/>
      <c r="U161" s="551"/>
      <c r="V161" s="551"/>
      <c r="W161" s="551"/>
      <c r="X161" s="551"/>
      <c r="Y161" s="551"/>
      <c r="Z161" s="551"/>
      <c r="AA161" s="551"/>
    </row>
    <row r="162" hidden="1">
      <c r="A162" s="593">
        <f t="shared" si="283"/>
        <v>2026</v>
      </c>
      <c r="B162" s="630">
        <v>46159.0</v>
      </c>
      <c r="C162" s="594" t="str">
        <f t="shared" si="284"/>
        <v>May</v>
      </c>
      <c r="D162" s="593" t="str">
        <f t="shared" si="285"/>
        <v>Sunday</v>
      </c>
      <c r="E162" s="595"/>
      <c r="F162" s="596"/>
      <c r="G162" s="596"/>
      <c r="H162" s="596"/>
      <c r="I162" s="597">
        <f t="shared" si="286"/>
        <v>0</v>
      </c>
      <c r="J162" s="598">
        <f t="shared" ref="J162:L162" si="318">SUMIFS(J$3:J$9,$I$3:$I$9,$G162)+SUMIFS(J$3:J$9,$I$3:$I$9,$H162)+SUMIFS(J$3:J$9,$I$3:$I$9,$F162)</f>
        <v>0</v>
      </c>
      <c r="K162" s="598">
        <f t="shared" si="318"/>
        <v>0</v>
      </c>
      <c r="L162" s="598">
        <f t="shared" si="318"/>
        <v>0</v>
      </c>
      <c r="M162" s="598"/>
      <c r="N162" s="598">
        <f t="shared" ref="N162:O162" si="319">SUMIFS(N$3:N$9,$I$3:$I$9,$G162)+SUMIFS(N$3:N$9,$I$3:$I$9,$H162)+SUMIFS(N$3:N$9,$I$3:$I$9,$F162)</f>
        <v>0</v>
      </c>
      <c r="O162" s="598">
        <f t="shared" si="319"/>
        <v>0</v>
      </c>
      <c r="P162" s="598"/>
      <c r="Q162" s="598"/>
      <c r="R162" s="598"/>
      <c r="S162" s="598">
        <f t="shared" si="289"/>
        <v>0</v>
      </c>
      <c r="T162" s="551"/>
      <c r="U162" s="551"/>
      <c r="V162" s="551"/>
      <c r="W162" s="551"/>
      <c r="X162" s="551"/>
      <c r="Y162" s="551"/>
      <c r="Z162" s="551"/>
      <c r="AA162" s="551"/>
    </row>
    <row r="163" hidden="1">
      <c r="A163" s="593">
        <f t="shared" si="283"/>
        <v>2026</v>
      </c>
      <c r="B163" s="630">
        <v>46160.0</v>
      </c>
      <c r="C163" s="594" t="str">
        <f t="shared" si="284"/>
        <v>May</v>
      </c>
      <c r="D163" s="593" t="str">
        <f t="shared" si="285"/>
        <v>Monday</v>
      </c>
      <c r="E163" s="595"/>
      <c r="F163" s="596" t="s">
        <v>1466</v>
      </c>
      <c r="G163" s="596"/>
      <c r="H163" s="596"/>
      <c r="I163" s="597">
        <f t="shared" si="286"/>
        <v>1</v>
      </c>
      <c r="J163" s="598">
        <f t="shared" ref="J163:L163" si="320">SUMIFS(J$3:J$9,$I$3:$I$9,$G163)+SUMIFS(J$3:J$9,$I$3:$I$9,$H163)+SUMIFS(J$3:J$9,$I$3:$I$9,$F163)</f>
        <v>20</v>
      </c>
      <c r="K163" s="598">
        <f t="shared" si="320"/>
        <v>6</v>
      </c>
      <c r="L163" s="598">
        <f t="shared" si="320"/>
        <v>0</v>
      </c>
      <c r="M163" s="598"/>
      <c r="N163" s="598">
        <f t="shared" ref="N163:O163" si="321">SUMIFS(N$3:N$9,$I$3:$I$9,$G163)+SUMIFS(N$3:N$9,$I$3:$I$9,$H163)+SUMIFS(N$3:N$9,$I$3:$I$9,$F163)</f>
        <v>0</v>
      </c>
      <c r="O163" s="598">
        <f t="shared" si="321"/>
        <v>0</v>
      </c>
      <c r="P163" s="598"/>
      <c r="Q163" s="598"/>
      <c r="R163" s="598"/>
      <c r="S163" s="598">
        <f t="shared" si="289"/>
        <v>26</v>
      </c>
      <c r="T163" s="551"/>
      <c r="U163" s="551"/>
      <c r="V163" s="551"/>
      <c r="W163" s="551"/>
      <c r="X163" s="551"/>
      <c r="Y163" s="551"/>
      <c r="Z163" s="551"/>
      <c r="AA163" s="551"/>
    </row>
    <row r="164" hidden="1">
      <c r="A164" s="593">
        <f t="shared" si="283"/>
        <v>2026</v>
      </c>
      <c r="B164" s="630">
        <v>46161.0</v>
      </c>
      <c r="C164" s="594" t="str">
        <f t="shared" si="284"/>
        <v>May</v>
      </c>
      <c r="D164" s="593" t="str">
        <f t="shared" si="285"/>
        <v>Tuesday</v>
      </c>
      <c r="E164" s="595"/>
      <c r="F164" s="596" t="s">
        <v>1466</v>
      </c>
      <c r="G164" s="596"/>
      <c r="H164" s="596"/>
      <c r="I164" s="597">
        <f t="shared" si="286"/>
        <v>1</v>
      </c>
      <c r="J164" s="598">
        <f t="shared" ref="J164:L164" si="322">SUMIFS(J$3:J$9,$I$3:$I$9,$G164)+SUMIFS(J$3:J$9,$I$3:$I$9,$H164)+SUMIFS(J$3:J$9,$I$3:$I$9,$F164)</f>
        <v>20</v>
      </c>
      <c r="K164" s="598">
        <f t="shared" si="322"/>
        <v>6</v>
      </c>
      <c r="L164" s="598">
        <f t="shared" si="322"/>
        <v>0</v>
      </c>
      <c r="M164" s="598"/>
      <c r="N164" s="598">
        <f t="shared" ref="N164:O164" si="323">SUMIFS(N$3:N$9,$I$3:$I$9,$G164)+SUMIFS(N$3:N$9,$I$3:$I$9,$H164)+SUMIFS(N$3:N$9,$I$3:$I$9,$F164)</f>
        <v>0</v>
      </c>
      <c r="O164" s="598">
        <f t="shared" si="323"/>
        <v>0</v>
      </c>
      <c r="P164" s="598"/>
      <c r="Q164" s="598"/>
      <c r="R164" s="598"/>
      <c r="S164" s="598">
        <f t="shared" si="289"/>
        <v>26</v>
      </c>
      <c r="T164" s="551"/>
      <c r="U164" s="551"/>
      <c r="V164" s="551"/>
      <c r="W164" s="551"/>
      <c r="X164" s="551"/>
      <c r="Y164" s="551"/>
      <c r="Z164" s="551"/>
      <c r="AA164" s="551"/>
    </row>
    <row r="165" hidden="1">
      <c r="A165" s="593">
        <f t="shared" si="283"/>
        <v>2026</v>
      </c>
      <c r="B165" s="630">
        <v>46162.0</v>
      </c>
      <c r="C165" s="594" t="str">
        <f t="shared" si="284"/>
        <v>May</v>
      </c>
      <c r="D165" s="593" t="str">
        <f t="shared" si="285"/>
        <v>Wednesday</v>
      </c>
      <c r="E165" s="595"/>
      <c r="F165" s="596" t="s">
        <v>1466</v>
      </c>
      <c r="G165" s="596"/>
      <c r="H165" s="596"/>
      <c r="I165" s="597">
        <f t="shared" si="286"/>
        <v>1</v>
      </c>
      <c r="J165" s="598">
        <f t="shared" ref="J165:L165" si="324">SUMIFS(J$3:J$9,$I$3:$I$9,$G165)+SUMIFS(J$3:J$9,$I$3:$I$9,$H165)+SUMIFS(J$3:J$9,$I$3:$I$9,$F165)</f>
        <v>20</v>
      </c>
      <c r="K165" s="598">
        <f t="shared" si="324"/>
        <v>6</v>
      </c>
      <c r="L165" s="598">
        <f t="shared" si="324"/>
        <v>0</v>
      </c>
      <c r="M165" s="598"/>
      <c r="N165" s="598">
        <f t="shared" ref="N165:O165" si="325">SUMIFS(N$3:N$9,$I$3:$I$9,$G165)+SUMIFS(N$3:N$9,$I$3:$I$9,$H165)+SUMIFS(N$3:N$9,$I$3:$I$9,$F165)</f>
        <v>0</v>
      </c>
      <c r="O165" s="598">
        <f t="shared" si="325"/>
        <v>0</v>
      </c>
      <c r="P165" s="598"/>
      <c r="Q165" s="598"/>
      <c r="R165" s="598"/>
      <c r="S165" s="598">
        <f t="shared" si="289"/>
        <v>26</v>
      </c>
      <c r="T165" s="551"/>
      <c r="U165" s="551"/>
      <c r="V165" s="551"/>
      <c r="W165" s="551"/>
      <c r="X165" s="551"/>
      <c r="Y165" s="551"/>
      <c r="Z165" s="551"/>
      <c r="AA165" s="551"/>
    </row>
    <row r="166" hidden="1">
      <c r="A166" s="593">
        <f t="shared" si="283"/>
        <v>2026</v>
      </c>
      <c r="B166" s="630">
        <v>46163.0</v>
      </c>
      <c r="C166" s="594" t="str">
        <f t="shared" si="284"/>
        <v>May</v>
      </c>
      <c r="D166" s="593" t="str">
        <f t="shared" si="285"/>
        <v>Thursday</v>
      </c>
      <c r="E166" s="595"/>
      <c r="F166" s="596" t="s">
        <v>1466</v>
      </c>
      <c r="G166" s="596"/>
      <c r="H166" s="596"/>
      <c r="I166" s="597">
        <f t="shared" si="286"/>
        <v>1</v>
      </c>
      <c r="J166" s="598">
        <f t="shared" ref="J166:L166" si="326">SUMIFS(J$3:J$9,$I$3:$I$9,$G166)+SUMIFS(J$3:J$9,$I$3:$I$9,$H166)+SUMIFS(J$3:J$9,$I$3:$I$9,$F166)</f>
        <v>20</v>
      </c>
      <c r="K166" s="598">
        <f t="shared" si="326"/>
        <v>6</v>
      </c>
      <c r="L166" s="598">
        <f t="shared" si="326"/>
        <v>0</v>
      </c>
      <c r="M166" s="598"/>
      <c r="N166" s="598">
        <f t="shared" ref="N166:O166" si="327">SUMIFS(N$3:N$9,$I$3:$I$9,$G166)+SUMIFS(N$3:N$9,$I$3:$I$9,$H166)+SUMIFS(N$3:N$9,$I$3:$I$9,$F166)</f>
        <v>0</v>
      </c>
      <c r="O166" s="598">
        <f t="shared" si="327"/>
        <v>0</v>
      </c>
      <c r="P166" s="598"/>
      <c r="Q166" s="598"/>
      <c r="R166" s="598"/>
      <c r="S166" s="598">
        <f t="shared" si="289"/>
        <v>26</v>
      </c>
      <c r="T166" s="551"/>
      <c r="U166" s="551"/>
      <c r="V166" s="551"/>
      <c r="W166" s="551"/>
      <c r="X166" s="551"/>
      <c r="Y166" s="551"/>
      <c r="Z166" s="551"/>
      <c r="AA166" s="551"/>
    </row>
    <row r="167" hidden="1">
      <c r="A167" s="593">
        <f t="shared" si="283"/>
        <v>2026</v>
      </c>
      <c r="B167" s="629">
        <v>46164.0</v>
      </c>
      <c r="C167" s="594" t="str">
        <f t="shared" si="284"/>
        <v>May</v>
      </c>
      <c r="D167" s="593" t="str">
        <f t="shared" si="285"/>
        <v>Friday</v>
      </c>
      <c r="E167" s="595"/>
      <c r="F167" s="596" t="s">
        <v>1466</v>
      </c>
      <c r="G167" s="596"/>
      <c r="H167" s="596"/>
      <c r="I167" s="597">
        <f t="shared" si="286"/>
        <v>1</v>
      </c>
      <c r="J167" s="598">
        <f t="shared" ref="J167:L167" si="328">SUMIFS(J$3:J$9,$I$3:$I$9,$G167)+SUMIFS(J$3:J$9,$I$3:$I$9,$H167)+SUMIFS(J$3:J$9,$I$3:$I$9,$F167)</f>
        <v>20</v>
      </c>
      <c r="K167" s="598">
        <f t="shared" si="328"/>
        <v>6</v>
      </c>
      <c r="L167" s="598">
        <f t="shared" si="328"/>
        <v>0</v>
      </c>
      <c r="M167" s="598"/>
      <c r="N167" s="598">
        <f t="shared" ref="N167:O167" si="329">SUMIFS(N$3:N$9,$I$3:$I$9,$G167)+SUMIFS(N$3:N$9,$I$3:$I$9,$H167)+SUMIFS(N$3:N$9,$I$3:$I$9,$F167)</f>
        <v>0</v>
      </c>
      <c r="O167" s="598">
        <f t="shared" si="329"/>
        <v>0</v>
      </c>
      <c r="P167" s="598"/>
      <c r="Q167" s="598"/>
      <c r="R167" s="598"/>
      <c r="S167" s="598">
        <f t="shared" si="289"/>
        <v>26</v>
      </c>
      <c r="T167" s="551"/>
      <c r="U167" s="551"/>
      <c r="V167" s="551"/>
      <c r="W167" s="551"/>
      <c r="X167" s="551"/>
      <c r="Y167" s="551"/>
      <c r="Z167" s="551"/>
      <c r="AA167" s="551"/>
    </row>
    <row r="168" hidden="1">
      <c r="A168" s="593">
        <f t="shared" si="283"/>
        <v>2026</v>
      </c>
      <c r="B168" s="629">
        <v>46165.0</v>
      </c>
      <c r="C168" s="594" t="str">
        <f t="shared" si="284"/>
        <v>May</v>
      </c>
      <c r="D168" s="593" t="str">
        <f t="shared" si="285"/>
        <v>Saturday</v>
      </c>
      <c r="E168" s="595" t="s">
        <v>1502</v>
      </c>
      <c r="F168" s="596" t="s">
        <v>1466</v>
      </c>
      <c r="G168" s="596"/>
      <c r="H168" s="596"/>
      <c r="I168" s="597">
        <f t="shared" si="286"/>
        <v>1</v>
      </c>
      <c r="J168" s="598">
        <f t="shared" ref="J168:L168" si="330">SUMIFS(J$3:J$9,$I$3:$I$9,$G168)+SUMIFS(J$3:J$9,$I$3:$I$9,$H168)+SUMIFS(J$3:J$9,$I$3:$I$9,$F168)</f>
        <v>20</v>
      </c>
      <c r="K168" s="598">
        <f t="shared" si="330"/>
        <v>6</v>
      </c>
      <c r="L168" s="598">
        <f t="shared" si="330"/>
        <v>0</v>
      </c>
      <c r="M168" s="598"/>
      <c r="N168" s="598">
        <f t="shared" ref="N168:O168" si="331">SUMIFS(N$3:N$9,$I$3:$I$9,$G168)+SUMIFS(N$3:N$9,$I$3:$I$9,$H168)+SUMIFS(N$3:N$9,$I$3:$I$9,$F168)</f>
        <v>0</v>
      </c>
      <c r="O168" s="598">
        <f t="shared" si="331"/>
        <v>0</v>
      </c>
      <c r="P168" s="598"/>
      <c r="Q168" s="598"/>
      <c r="R168" s="598"/>
      <c r="S168" s="598">
        <f t="shared" si="289"/>
        <v>26</v>
      </c>
      <c r="T168" s="551"/>
      <c r="U168" s="551"/>
      <c r="V168" s="551"/>
      <c r="W168" s="551"/>
      <c r="X168" s="551"/>
      <c r="Y168" s="551"/>
      <c r="Z168" s="551"/>
      <c r="AA168" s="551"/>
    </row>
    <row r="169" hidden="1">
      <c r="A169" s="593">
        <f t="shared" si="283"/>
        <v>2026</v>
      </c>
      <c r="B169" s="629">
        <v>46166.0</v>
      </c>
      <c r="C169" s="594" t="str">
        <f t="shared" si="284"/>
        <v>May</v>
      </c>
      <c r="D169" s="593" t="str">
        <f t="shared" si="285"/>
        <v>Sunday</v>
      </c>
      <c r="E169" s="595"/>
      <c r="F169" s="596"/>
      <c r="G169" s="596"/>
      <c r="H169" s="596"/>
      <c r="I169" s="597">
        <f t="shared" si="286"/>
        <v>0</v>
      </c>
      <c r="J169" s="598">
        <f t="shared" ref="J169:L169" si="332">SUMIFS(J$3:J$9,$I$3:$I$9,$G169)+SUMIFS(J$3:J$9,$I$3:$I$9,$H169)+SUMIFS(J$3:J$9,$I$3:$I$9,$F169)</f>
        <v>0</v>
      </c>
      <c r="K169" s="598">
        <f t="shared" si="332"/>
        <v>0</v>
      </c>
      <c r="L169" s="598">
        <f t="shared" si="332"/>
        <v>0</v>
      </c>
      <c r="M169" s="598"/>
      <c r="N169" s="598">
        <f t="shared" ref="N169:O169" si="333">SUMIFS(N$3:N$9,$I$3:$I$9,$G169)+SUMIFS(N$3:N$9,$I$3:$I$9,$H169)+SUMIFS(N$3:N$9,$I$3:$I$9,$F169)</f>
        <v>0</v>
      </c>
      <c r="O169" s="598">
        <f t="shared" si="333"/>
        <v>0</v>
      </c>
      <c r="P169" s="598"/>
      <c r="Q169" s="598"/>
      <c r="R169" s="598"/>
      <c r="S169" s="598">
        <f t="shared" si="289"/>
        <v>0</v>
      </c>
      <c r="T169" s="551"/>
      <c r="U169" s="551"/>
      <c r="V169" s="551"/>
      <c r="W169" s="551"/>
      <c r="X169" s="551"/>
      <c r="Y169" s="551"/>
      <c r="Z169" s="551"/>
      <c r="AA169" s="551"/>
    </row>
    <row r="170" hidden="1">
      <c r="A170" s="593">
        <f t="shared" si="283"/>
        <v>2026</v>
      </c>
      <c r="B170" s="629">
        <v>46167.0</v>
      </c>
      <c r="C170" s="594" t="str">
        <f t="shared" si="284"/>
        <v>May</v>
      </c>
      <c r="D170" s="593" t="str">
        <f t="shared" si="285"/>
        <v>Monday</v>
      </c>
      <c r="E170" s="595"/>
      <c r="F170" s="596" t="s">
        <v>1461</v>
      </c>
      <c r="G170" s="596" t="s">
        <v>1461</v>
      </c>
      <c r="H170" s="596"/>
      <c r="I170" s="597">
        <f t="shared" si="286"/>
        <v>2</v>
      </c>
      <c r="J170" s="598">
        <f t="shared" ref="J170:L170" si="334">SUMIFS(J$3:J$9,$I$3:$I$9,$G170)+SUMIFS(J$3:J$9,$I$3:$I$9,$H170)+SUMIFS(J$3:J$9,$I$3:$I$9,$F170)</f>
        <v>50</v>
      </c>
      <c r="K170" s="598">
        <f t="shared" si="334"/>
        <v>0</v>
      </c>
      <c r="L170" s="598">
        <f t="shared" si="334"/>
        <v>0</v>
      </c>
      <c r="M170" s="598"/>
      <c r="N170" s="598">
        <f t="shared" ref="N170:O170" si="335">SUMIFS(N$3:N$9,$I$3:$I$9,$G170)+SUMIFS(N$3:N$9,$I$3:$I$9,$H170)+SUMIFS(N$3:N$9,$I$3:$I$9,$F170)</f>
        <v>0</v>
      </c>
      <c r="O170" s="598">
        <f t="shared" si="335"/>
        <v>0</v>
      </c>
      <c r="P170" s="598"/>
      <c r="Q170" s="598"/>
      <c r="R170" s="598"/>
      <c r="S170" s="598">
        <f t="shared" si="289"/>
        <v>50</v>
      </c>
      <c r="T170" s="551"/>
      <c r="U170" s="551"/>
      <c r="V170" s="551"/>
      <c r="W170" s="551"/>
      <c r="X170" s="551"/>
      <c r="Y170" s="551"/>
      <c r="Z170" s="551"/>
      <c r="AA170" s="551"/>
    </row>
    <row r="171" hidden="1">
      <c r="A171" s="593">
        <f t="shared" si="283"/>
        <v>2026</v>
      </c>
      <c r="B171" s="629">
        <v>46168.0</v>
      </c>
      <c r="C171" s="594" t="str">
        <f t="shared" si="284"/>
        <v>May</v>
      </c>
      <c r="D171" s="593" t="str">
        <f t="shared" si="285"/>
        <v>Tuesday</v>
      </c>
      <c r="E171" s="595"/>
      <c r="F171" s="596" t="s">
        <v>1461</v>
      </c>
      <c r="G171" s="596" t="s">
        <v>1461</v>
      </c>
      <c r="H171" s="596"/>
      <c r="I171" s="597">
        <f t="shared" si="286"/>
        <v>2</v>
      </c>
      <c r="J171" s="598">
        <f t="shared" ref="J171:L171" si="336">SUMIFS(J$3:J$9,$I$3:$I$9,$G171)+SUMIFS(J$3:J$9,$I$3:$I$9,$H171)+SUMIFS(J$3:J$9,$I$3:$I$9,$F171)</f>
        <v>50</v>
      </c>
      <c r="K171" s="598">
        <f t="shared" si="336"/>
        <v>0</v>
      </c>
      <c r="L171" s="598">
        <f t="shared" si="336"/>
        <v>0</v>
      </c>
      <c r="M171" s="598"/>
      <c r="N171" s="598">
        <f t="shared" ref="N171:O171" si="337">SUMIFS(N$3:N$9,$I$3:$I$9,$G171)+SUMIFS(N$3:N$9,$I$3:$I$9,$H171)+SUMIFS(N$3:N$9,$I$3:$I$9,$F171)</f>
        <v>0</v>
      </c>
      <c r="O171" s="598">
        <f t="shared" si="337"/>
        <v>0</v>
      </c>
      <c r="P171" s="598"/>
      <c r="Q171" s="598"/>
      <c r="R171" s="598"/>
      <c r="S171" s="598">
        <f t="shared" si="289"/>
        <v>50</v>
      </c>
      <c r="T171" s="551"/>
      <c r="U171" s="551"/>
      <c r="V171" s="551"/>
      <c r="W171" s="551"/>
      <c r="X171" s="551"/>
      <c r="Y171" s="551"/>
      <c r="Z171" s="551"/>
      <c r="AA171" s="551"/>
    </row>
    <row r="172" hidden="1">
      <c r="A172" s="593">
        <f t="shared" si="283"/>
        <v>2026</v>
      </c>
      <c r="B172" s="629">
        <v>46169.0</v>
      </c>
      <c r="C172" s="594" t="str">
        <f t="shared" si="284"/>
        <v>May</v>
      </c>
      <c r="D172" s="593" t="str">
        <f t="shared" si="285"/>
        <v>Wednesday</v>
      </c>
      <c r="E172" s="595"/>
      <c r="F172" s="596" t="s">
        <v>1461</v>
      </c>
      <c r="G172" s="596" t="s">
        <v>1461</v>
      </c>
      <c r="H172" s="596"/>
      <c r="I172" s="597">
        <f t="shared" si="286"/>
        <v>2</v>
      </c>
      <c r="J172" s="598">
        <f t="shared" ref="J172:L172" si="338">SUMIFS(J$3:J$9,$I$3:$I$9,$G172)+SUMIFS(J$3:J$9,$I$3:$I$9,$H172)+SUMIFS(J$3:J$9,$I$3:$I$9,$F172)</f>
        <v>50</v>
      </c>
      <c r="K172" s="598">
        <f t="shared" si="338"/>
        <v>0</v>
      </c>
      <c r="L172" s="598">
        <f t="shared" si="338"/>
        <v>0</v>
      </c>
      <c r="M172" s="598"/>
      <c r="N172" s="598">
        <f t="shared" ref="N172:O172" si="339">SUMIFS(N$3:N$9,$I$3:$I$9,$G172)+SUMIFS(N$3:N$9,$I$3:$I$9,$H172)+SUMIFS(N$3:N$9,$I$3:$I$9,$F172)</f>
        <v>0</v>
      </c>
      <c r="O172" s="598">
        <f t="shared" si="339"/>
        <v>0</v>
      </c>
      <c r="P172" s="598"/>
      <c r="Q172" s="598"/>
      <c r="R172" s="598"/>
      <c r="S172" s="598">
        <f t="shared" si="289"/>
        <v>50</v>
      </c>
      <c r="T172" s="551"/>
      <c r="U172" s="551"/>
      <c r="V172" s="551"/>
      <c r="W172" s="551"/>
      <c r="X172" s="551"/>
      <c r="Y172" s="551"/>
      <c r="Z172" s="551"/>
      <c r="AA172" s="551"/>
    </row>
    <row r="173" hidden="1">
      <c r="A173" s="593">
        <f t="shared" si="283"/>
        <v>2026</v>
      </c>
      <c r="B173" s="629">
        <v>46170.0</v>
      </c>
      <c r="C173" s="594" t="str">
        <f t="shared" si="284"/>
        <v>May</v>
      </c>
      <c r="D173" s="593" t="str">
        <f t="shared" si="285"/>
        <v>Thursday</v>
      </c>
      <c r="E173" s="595"/>
      <c r="F173" s="596" t="s">
        <v>1461</v>
      </c>
      <c r="G173" s="596" t="s">
        <v>1461</v>
      </c>
      <c r="H173" s="596"/>
      <c r="I173" s="597">
        <f t="shared" si="286"/>
        <v>2</v>
      </c>
      <c r="J173" s="598">
        <f t="shared" ref="J173:L173" si="340">SUMIFS(J$3:J$9,$I$3:$I$9,$G173)+SUMIFS(J$3:J$9,$I$3:$I$9,$H173)+SUMIFS(J$3:J$9,$I$3:$I$9,$F173)</f>
        <v>50</v>
      </c>
      <c r="K173" s="598">
        <f t="shared" si="340"/>
        <v>0</v>
      </c>
      <c r="L173" s="598">
        <f t="shared" si="340"/>
        <v>0</v>
      </c>
      <c r="M173" s="598"/>
      <c r="N173" s="598">
        <f t="shared" ref="N173:O173" si="341">SUMIFS(N$3:N$9,$I$3:$I$9,$G173)+SUMIFS(N$3:N$9,$I$3:$I$9,$H173)+SUMIFS(N$3:N$9,$I$3:$I$9,$F173)</f>
        <v>0</v>
      </c>
      <c r="O173" s="598">
        <f t="shared" si="341"/>
        <v>0</v>
      </c>
      <c r="P173" s="598"/>
      <c r="Q173" s="598"/>
      <c r="R173" s="598"/>
      <c r="S173" s="598">
        <f t="shared" si="289"/>
        <v>50</v>
      </c>
      <c r="T173" s="551"/>
      <c r="U173" s="551"/>
      <c r="V173" s="551"/>
      <c r="W173" s="551"/>
      <c r="X173" s="551"/>
      <c r="Y173" s="551"/>
      <c r="Z173" s="551"/>
      <c r="AA173" s="551"/>
    </row>
    <row r="174" hidden="1">
      <c r="A174" s="593">
        <f t="shared" si="283"/>
        <v>2026</v>
      </c>
      <c r="B174" s="629">
        <v>46171.0</v>
      </c>
      <c r="C174" s="594" t="str">
        <f t="shared" si="284"/>
        <v>May</v>
      </c>
      <c r="D174" s="593" t="str">
        <f t="shared" si="285"/>
        <v>Friday</v>
      </c>
      <c r="E174" s="595" t="s">
        <v>1498</v>
      </c>
      <c r="F174" s="596" t="s">
        <v>1461</v>
      </c>
      <c r="G174" s="596"/>
      <c r="H174" s="596"/>
      <c r="I174" s="597">
        <f t="shared" si="286"/>
        <v>1</v>
      </c>
      <c r="J174" s="598">
        <f t="shared" ref="J174:L174" si="342">SUMIFS(J$3:J$9,$I$3:$I$9,$G174)+SUMIFS(J$3:J$9,$I$3:$I$9,$H174)+SUMIFS(J$3:J$9,$I$3:$I$9,$F174)</f>
        <v>25</v>
      </c>
      <c r="K174" s="598">
        <f t="shared" si="342"/>
        <v>0</v>
      </c>
      <c r="L174" s="598">
        <f t="shared" si="342"/>
        <v>0</v>
      </c>
      <c r="M174" s="598"/>
      <c r="N174" s="598">
        <f t="shared" ref="N174:O174" si="343">SUMIFS(N$3:N$9,$I$3:$I$9,$G174)+SUMIFS(N$3:N$9,$I$3:$I$9,$H174)+SUMIFS(N$3:N$9,$I$3:$I$9,$F174)</f>
        <v>0</v>
      </c>
      <c r="O174" s="598">
        <f t="shared" si="343"/>
        <v>0</v>
      </c>
      <c r="P174" s="598"/>
      <c r="Q174" s="598"/>
      <c r="R174" s="598"/>
      <c r="S174" s="598">
        <f t="shared" si="289"/>
        <v>25</v>
      </c>
      <c r="T174" s="551"/>
      <c r="U174" s="551"/>
      <c r="V174" s="551"/>
      <c r="W174" s="551"/>
      <c r="X174" s="551"/>
      <c r="Y174" s="551"/>
      <c r="Z174" s="551"/>
      <c r="AA174" s="551"/>
    </row>
    <row r="175" hidden="1">
      <c r="A175" s="593">
        <f t="shared" si="283"/>
        <v>2026</v>
      </c>
      <c r="B175" s="629">
        <v>46172.0</v>
      </c>
      <c r="C175" s="594" t="str">
        <f t="shared" si="284"/>
        <v>May</v>
      </c>
      <c r="D175" s="593" t="str">
        <f t="shared" si="285"/>
        <v>Saturday</v>
      </c>
      <c r="E175" s="631" t="s">
        <v>1503</v>
      </c>
      <c r="F175" s="596"/>
      <c r="G175" s="596"/>
      <c r="H175" s="596"/>
      <c r="I175" s="597">
        <f t="shared" si="286"/>
        <v>0</v>
      </c>
      <c r="J175" s="598">
        <f t="shared" ref="J175:L175" si="344">SUMIFS(J$3:J$9,$I$3:$I$9,$G175)+SUMIFS(J$3:J$9,$I$3:$I$9,$H175)+SUMIFS(J$3:J$9,$I$3:$I$9,$F175)</f>
        <v>0</v>
      </c>
      <c r="K175" s="598">
        <f t="shared" si="344"/>
        <v>0</v>
      </c>
      <c r="L175" s="598">
        <f t="shared" si="344"/>
        <v>0</v>
      </c>
      <c r="M175" s="598"/>
      <c r="N175" s="598">
        <f t="shared" ref="N175:O175" si="345">SUMIFS(N$3:N$9,$I$3:$I$9,$G175)+SUMIFS(N$3:N$9,$I$3:$I$9,$H175)+SUMIFS(N$3:N$9,$I$3:$I$9,$F175)</f>
        <v>0</v>
      </c>
      <c r="O175" s="598">
        <f t="shared" si="345"/>
        <v>0</v>
      </c>
      <c r="P175" s="598"/>
      <c r="Q175" s="598"/>
      <c r="R175" s="598"/>
      <c r="S175" s="598">
        <f t="shared" si="289"/>
        <v>0</v>
      </c>
      <c r="T175" s="551"/>
      <c r="U175" s="551"/>
      <c r="V175" s="551"/>
      <c r="W175" s="551"/>
      <c r="X175" s="551"/>
      <c r="Y175" s="551"/>
      <c r="Z175" s="551"/>
      <c r="AA175" s="551"/>
    </row>
    <row r="176" hidden="1">
      <c r="A176" s="593">
        <f t="shared" si="283"/>
        <v>2026</v>
      </c>
      <c r="B176" s="629">
        <v>46173.0</v>
      </c>
      <c r="C176" s="594" t="str">
        <f t="shared" si="284"/>
        <v>May</v>
      </c>
      <c r="D176" s="593" t="str">
        <f t="shared" si="285"/>
        <v>Sunday</v>
      </c>
      <c r="E176" s="595"/>
      <c r="F176" s="596"/>
      <c r="G176" s="596"/>
      <c r="H176" s="596"/>
      <c r="I176" s="597">
        <f t="shared" si="286"/>
        <v>0</v>
      </c>
      <c r="J176" s="598">
        <f t="shared" ref="J176:L176" si="346">SUMIFS(J$3:J$9,$I$3:$I$9,$G176)+SUMIFS(J$3:J$9,$I$3:$I$9,$H176)+SUMIFS(J$3:J$9,$I$3:$I$9,$F176)</f>
        <v>0</v>
      </c>
      <c r="K176" s="598">
        <f t="shared" si="346"/>
        <v>0</v>
      </c>
      <c r="L176" s="598">
        <f t="shared" si="346"/>
        <v>0</v>
      </c>
      <c r="M176" s="598"/>
      <c r="N176" s="598">
        <f t="shared" ref="N176:O176" si="347">SUMIFS(N$3:N$9,$I$3:$I$9,$G176)+SUMIFS(N$3:N$9,$I$3:$I$9,$H176)+SUMIFS(N$3:N$9,$I$3:$I$9,$F176)</f>
        <v>0</v>
      </c>
      <c r="O176" s="598">
        <f t="shared" si="347"/>
        <v>0</v>
      </c>
      <c r="P176" s="598"/>
      <c r="Q176" s="598"/>
      <c r="R176" s="598"/>
      <c r="S176" s="598">
        <f t="shared" si="289"/>
        <v>0</v>
      </c>
      <c r="T176" s="551"/>
      <c r="U176" s="551"/>
      <c r="V176" s="551"/>
      <c r="W176" s="551"/>
      <c r="X176" s="551"/>
      <c r="Y176" s="551"/>
      <c r="Z176" s="551"/>
      <c r="AA176" s="551"/>
    </row>
    <row r="177" hidden="1">
      <c r="A177" s="600">
        <f>A146</f>
        <v>2026</v>
      </c>
      <c r="B177" s="600" t="str">
        <f>CONCATENATE(A177," ",C177)</f>
        <v>2026 May</v>
      </c>
      <c r="C177" s="601" t="str">
        <f>C146</f>
        <v>May</v>
      </c>
      <c r="D177" s="600"/>
      <c r="E177" s="602"/>
      <c r="F177" s="603"/>
      <c r="G177" s="603"/>
      <c r="H177" s="603"/>
      <c r="I177" s="604">
        <f t="shared" ref="I177:L177" si="348">SUM(I146:I176)</f>
        <v>27</v>
      </c>
      <c r="J177" s="605">
        <f t="shared" si="348"/>
        <v>620</v>
      </c>
      <c r="K177" s="605">
        <f t="shared" si="348"/>
        <v>66</v>
      </c>
      <c r="L177" s="605">
        <f t="shared" si="348"/>
        <v>0</v>
      </c>
      <c r="M177" s="605"/>
      <c r="N177" s="605">
        <f t="shared" ref="N177:S177" si="349">SUM(N146:N176)</f>
        <v>0</v>
      </c>
      <c r="O177" s="605">
        <f t="shared" si="349"/>
        <v>0</v>
      </c>
      <c r="P177" s="605">
        <f t="shared" si="349"/>
        <v>0</v>
      </c>
      <c r="Q177" s="605">
        <f t="shared" si="349"/>
        <v>0</v>
      </c>
      <c r="R177" s="605">
        <f t="shared" si="349"/>
        <v>0</v>
      </c>
      <c r="S177" s="605">
        <f t="shared" si="349"/>
        <v>686</v>
      </c>
      <c r="T177" s="551"/>
      <c r="U177" s="551"/>
      <c r="V177" s="551"/>
      <c r="W177" s="551"/>
      <c r="X177" s="551"/>
      <c r="Y177" s="551"/>
      <c r="Z177" s="551"/>
      <c r="AA177" s="551"/>
    </row>
    <row r="178" hidden="1">
      <c r="A178" s="574"/>
      <c r="B178" s="575"/>
      <c r="C178" s="575"/>
      <c r="D178" s="575"/>
      <c r="E178" s="576"/>
      <c r="F178" s="547"/>
      <c r="G178" s="547"/>
      <c r="H178" s="547"/>
      <c r="I178" s="573"/>
      <c r="J178" s="550"/>
      <c r="K178" s="550"/>
      <c r="L178" s="550"/>
      <c r="M178" s="550"/>
      <c r="N178" s="550"/>
      <c r="O178" s="550"/>
      <c r="P178" s="550"/>
      <c r="Q178" s="550"/>
      <c r="R178" s="550"/>
      <c r="S178" s="550"/>
      <c r="T178" s="551"/>
      <c r="U178" s="551"/>
      <c r="V178" s="551"/>
      <c r="W178" s="551"/>
      <c r="X178" s="551"/>
      <c r="Y178" s="551"/>
      <c r="Z178" s="551"/>
      <c r="AA178" s="551"/>
    </row>
    <row r="179" hidden="1">
      <c r="A179" s="577">
        <f t="shared" ref="A179:A209" si="351">IF(B179="","",YEAR(B179))</f>
        <v>2026</v>
      </c>
      <c r="B179" s="632">
        <v>46174.0</v>
      </c>
      <c r="C179" s="606" t="str">
        <f t="shared" ref="C179:C209" si="352">IF(B179="", "", TEXT(DATE(A179, MONTH(B179), 1), "MMMM"))</f>
        <v>June</v>
      </c>
      <c r="D179" s="577" t="str">
        <f t="shared" ref="D179:D209" si="353">IF(B179="","",TEXT(B179, "dddd"))</f>
        <v>Monday</v>
      </c>
      <c r="E179" s="633" t="s">
        <v>1504</v>
      </c>
      <c r="F179" s="596" t="s">
        <v>1461</v>
      </c>
      <c r="G179" s="596"/>
      <c r="H179" s="608"/>
      <c r="I179" s="548">
        <f t="shared" ref="I179:I209" si="354">COUNTIF(F179:H179,"&lt;&gt;")</f>
        <v>1</v>
      </c>
      <c r="J179" s="609">
        <f t="shared" ref="J179:O179" si="350">SUMIFS(J$3:J$9,$I$3:$I$9,$G179)+SUMIFS(J$3:J$9,$I$3:$I$9,$H179)+SUMIFS(J$3:J$9,$I$3:$I$9,$F179)</f>
        <v>25</v>
      </c>
      <c r="K179" s="609">
        <f t="shared" si="350"/>
        <v>0</v>
      </c>
      <c r="L179" s="609">
        <f t="shared" si="350"/>
        <v>0</v>
      </c>
      <c r="M179" s="609">
        <f t="shared" si="350"/>
        <v>0</v>
      </c>
      <c r="N179" s="609">
        <f t="shared" si="350"/>
        <v>0</v>
      </c>
      <c r="O179" s="609">
        <f t="shared" si="350"/>
        <v>0</v>
      </c>
      <c r="P179" s="609"/>
      <c r="Q179" s="609"/>
      <c r="R179" s="609"/>
      <c r="S179" s="609">
        <f t="shared" ref="S179:S209" si="356">SUM(J179:R179)</f>
        <v>25</v>
      </c>
      <c r="T179" s="551"/>
      <c r="U179" s="551"/>
      <c r="V179" s="551"/>
      <c r="W179" s="551"/>
      <c r="X179" s="551"/>
      <c r="Y179" s="551"/>
      <c r="Z179" s="551"/>
      <c r="AA179" s="551"/>
    </row>
    <row r="180" hidden="1">
      <c r="A180" s="593">
        <f t="shared" si="351"/>
        <v>2026</v>
      </c>
      <c r="B180" s="629">
        <v>46175.0</v>
      </c>
      <c r="C180" s="594" t="str">
        <f t="shared" si="352"/>
        <v>June</v>
      </c>
      <c r="D180" s="593" t="str">
        <f t="shared" si="353"/>
        <v>Tuesday</v>
      </c>
      <c r="E180" s="634" t="s">
        <v>1504</v>
      </c>
      <c r="F180" s="596" t="s">
        <v>1461</v>
      </c>
      <c r="G180" s="596"/>
      <c r="H180" s="596"/>
      <c r="I180" s="597">
        <f t="shared" si="354"/>
        <v>1</v>
      </c>
      <c r="J180" s="598">
        <f t="shared" ref="J180:O180" si="355">SUMIFS(J$3:J$9,$I$3:$I$9,$G180)+SUMIFS(J$3:J$9,$I$3:$I$9,$H180)+SUMIFS(J$3:J$9,$I$3:$I$9,$F180)</f>
        <v>25</v>
      </c>
      <c r="K180" s="598">
        <f t="shared" si="355"/>
        <v>0</v>
      </c>
      <c r="L180" s="598">
        <f t="shared" si="355"/>
        <v>0</v>
      </c>
      <c r="M180" s="598">
        <f t="shared" si="355"/>
        <v>0</v>
      </c>
      <c r="N180" s="598">
        <f t="shared" si="355"/>
        <v>0</v>
      </c>
      <c r="O180" s="598">
        <f t="shared" si="355"/>
        <v>0</v>
      </c>
      <c r="P180" s="598"/>
      <c r="Q180" s="598"/>
      <c r="R180" s="598"/>
      <c r="S180" s="598">
        <f t="shared" si="356"/>
        <v>25</v>
      </c>
      <c r="T180" s="551"/>
      <c r="U180" s="551"/>
      <c r="V180" s="551"/>
      <c r="W180" s="551"/>
      <c r="X180" s="551"/>
      <c r="Y180" s="551"/>
      <c r="Z180" s="551"/>
      <c r="AA180" s="551"/>
    </row>
    <row r="181" hidden="1">
      <c r="A181" s="593">
        <f t="shared" si="351"/>
        <v>2026</v>
      </c>
      <c r="B181" s="629">
        <v>46176.0</v>
      </c>
      <c r="C181" s="594" t="str">
        <f t="shared" si="352"/>
        <v>June</v>
      </c>
      <c r="D181" s="593" t="str">
        <f t="shared" si="353"/>
        <v>Wednesday</v>
      </c>
      <c r="E181" s="634" t="s">
        <v>1504</v>
      </c>
      <c r="F181" s="596" t="s">
        <v>1461</v>
      </c>
      <c r="G181" s="596"/>
      <c r="H181" s="596"/>
      <c r="I181" s="597">
        <f t="shared" si="354"/>
        <v>1</v>
      </c>
      <c r="J181" s="598">
        <f t="shared" ref="J181:O181" si="357">SUMIFS(J$3:J$9,$I$3:$I$9,$G181)+SUMIFS(J$3:J$9,$I$3:$I$9,$H181)+SUMIFS(J$3:J$9,$I$3:$I$9,$F181)</f>
        <v>25</v>
      </c>
      <c r="K181" s="598">
        <f t="shared" si="357"/>
        <v>0</v>
      </c>
      <c r="L181" s="598">
        <f t="shared" si="357"/>
        <v>0</v>
      </c>
      <c r="M181" s="598">
        <f t="shared" si="357"/>
        <v>0</v>
      </c>
      <c r="N181" s="598">
        <f t="shared" si="357"/>
        <v>0</v>
      </c>
      <c r="O181" s="598">
        <f t="shared" si="357"/>
        <v>0</v>
      </c>
      <c r="P181" s="598"/>
      <c r="Q181" s="598"/>
      <c r="R181" s="598"/>
      <c r="S181" s="598">
        <f t="shared" si="356"/>
        <v>25</v>
      </c>
      <c r="T181" s="551"/>
      <c r="U181" s="551"/>
      <c r="V181" s="551"/>
      <c r="W181" s="551"/>
      <c r="X181" s="551"/>
      <c r="Y181" s="551"/>
      <c r="Z181" s="551"/>
      <c r="AA181" s="551"/>
    </row>
    <row r="182" hidden="1">
      <c r="A182" s="593">
        <f t="shared" si="351"/>
        <v>2026</v>
      </c>
      <c r="B182" s="629">
        <v>46177.0</v>
      </c>
      <c r="C182" s="594" t="str">
        <f t="shared" si="352"/>
        <v>June</v>
      </c>
      <c r="D182" s="593" t="str">
        <f t="shared" si="353"/>
        <v>Thursday</v>
      </c>
      <c r="E182" s="634" t="s">
        <v>1504</v>
      </c>
      <c r="F182" s="596" t="s">
        <v>1461</v>
      </c>
      <c r="G182" s="596"/>
      <c r="H182" s="596"/>
      <c r="I182" s="597">
        <f t="shared" si="354"/>
        <v>1</v>
      </c>
      <c r="J182" s="598">
        <f t="shared" ref="J182:O182" si="358">SUMIFS(J$3:J$9,$I$3:$I$9,$G182)+SUMIFS(J$3:J$9,$I$3:$I$9,$H182)+SUMIFS(J$3:J$9,$I$3:$I$9,$F182)</f>
        <v>25</v>
      </c>
      <c r="K182" s="598">
        <f t="shared" si="358"/>
        <v>0</v>
      </c>
      <c r="L182" s="598">
        <f t="shared" si="358"/>
        <v>0</v>
      </c>
      <c r="M182" s="598">
        <f t="shared" si="358"/>
        <v>0</v>
      </c>
      <c r="N182" s="598">
        <f t="shared" si="358"/>
        <v>0</v>
      </c>
      <c r="O182" s="598">
        <f t="shared" si="358"/>
        <v>0</v>
      </c>
      <c r="P182" s="598"/>
      <c r="Q182" s="598"/>
      <c r="R182" s="598"/>
      <c r="S182" s="598">
        <f t="shared" si="356"/>
        <v>25</v>
      </c>
      <c r="T182" s="551"/>
      <c r="U182" s="551"/>
      <c r="V182" s="551"/>
      <c r="W182" s="551"/>
      <c r="X182" s="551"/>
      <c r="Y182" s="551"/>
      <c r="Z182" s="551"/>
      <c r="AA182" s="551"/>
    </row>
    <row r="183" hidden="1">
      <c r="A183" s="593">
        <f t="shared" si="351"/>
        <v>2026</v>
      </c>
      <c r="B183" s="629">
        <v>46178.0</v>
      </c>
      <c r="C183" s="594" t="str">
        <f t="shared" si="352"/>
        <v>June</v>
      </c>
      <c r="D183" s="593" t="str">
        <f t="shared" si="353"/>
        <v>Friday</v>
      </c>
      <c r="E183" s="634" t="s">
        <v>1504</v>
      </c>
      <c r="F183" s="596" t="s">
        <v>1461</v>
      </c>
      <c r="G183" s="596"/>
      <c r="H183" s="596"/>
      <c r="I183" s="597">
        <f t="shared" si="354"/>
        <v>1</v>
      </c>
      <c r="J183" s="598">
        <f t="shared" ref="J183:O183" si="359">SUMIFS(J$3:J$9,$I$3:$I$9,$G183)+SUMIFS(J$3:J$9,$I$3:$I$9,$H183)+SUMIFS(J$3:J$9,$I$3:$I$9,$F183)</f>
        <v>25</v>
      </c>
      <c r="K183" s="598">
        <f t="shared" si="359"/>
        <v>0</v>
      </c>
      <c r="L183" s="598">
        <f t="shared" si="359"/>
        <v>0</v>
      </c>
      <c r="M183" s="598">
        <f t="shared" si="359"/>
        <v>0</v>
      </c>
      <c r="N183" s="598">
        <f t="shared" si="359"/>
        <v>0</v>
      </c>
      <c r="O183" s="598">
        <f t="shared" si="359"/>
        <v>0</v>
      </c>
      <c r="P183" s="598"/>
      <c r="Q183" s="598"/>
      <c r="R183" s="598"/>
      <c r="S183" s="598">
        <f t="shared" si="356"/>
        <v>25</v>
      </c>
      <c r="T183" s="551"/>
      <c r="U183" s="551"/>
      <c r="V183" s="551"/>
      <c r="W183" s="551"/>
      <c r="X183" s="551"/>
      <c r="Y183" s="551"/>
      <c r="Z183" s="551"/>
      <c r="AA183" s="551"/>
    </row>
    <row r="184" hidden="1">
      <c r="A184" s="593">
        <f t="shared" si="351"/>
        <v>2026</v>
      </c>
      <c r="B184" s="629">
        <v>46179.0</v>
      </c>
      <c r="C184" s="594" t="str">
        <f t="shared" si="352"/>
        <v>June</v>
      </c>
      <c r="D184" s="593" t="str">
        <f t="shared" si="353"/>
        <v>Saturday</v>
      </c>
      <c r="E184" s="631" t="s">
        <v>1503</v>
      </c>
      <c r="F184" s="596"/>
      <c r="G184" s="596"/>
      <c r="H184" s="596"/>
      <c r="I184" s="597">
        <f t="shared" si="354"/>
        <v>0</v>
      </c>
      <c r="J184" s="598">
        <f t="shared" ref="J184:O184" si="360">SUMIFS(J$3:J$9,$I$3:$I$9,$G184)+SUMIFS(J$3:J$9,$I$3:$I$9,$H184)+SUMIFS(J$3:J$9,$I$3:$I$9,$F184)</f>
        <v>0</v>
      </c>
      <c r="K184" s="598">
        <f t="shared" si="360"/>
        <v>0</v>
      </c>
      <c r="L184" s="598">
        <f t="shared" si="360"/>
        <v>0</v>
      </c>
      <c r="M184" s="598">
        <f t="shared" si="360"/>
        <v>0</v>
      </c>
      <c r="N184" s="598">
        <f t="shared" si="360"/>
        <v>0</v>
      </c>
      <c r="O184" s="598">
        <f t="shared" si="360"/>
        <v>0</v>
      </c>
      <c r="P184" s="598"/>
      <c r="Q184" s="598"/>
      <c r="R184" s="598"/>
      <c r="S184" s="598">
        <f t="shared" si="356"/>
        <v>0</v>
      </c>
      <c r="T184" s="551"/>
      <c r="U184" s="551"/>
      <c r="V184" s="551"/>
      <c r="W184" s="551"/>
      <c r="X184" s="551"/>
      <c r="Y184" s="551"/>
      <c r="Z184" s="551"/>
      <c r="AA184" s="551"/>
    </row>
    <row r="185" hidden="1">
      <c r="A185" s="593">
        <f t="shared" si="351"/>
        <v>2026</v>
      </c>
      <c r="B185" s="629">
        <v>46180.0</v>
      </c>
      <c r="C185" s="594" t="str">
        <f t="shared" si="352"/>
        <v>June</v>
      </c>
      <c r="D185" s="593" t="str">
        <f t="shared" si="353"/>
        <v>Sunday</v>
      </c>
      <c r="E185" s="595"/>
      <c r="F185" s="596"/>
      <c r="G185" s="596"/>
      <c r="H185" s="596"/>
      <c r="I185" s="597">
        <f t="shared" si="354"/>
        <v>0</v>
      </c>
      <c r="J185" s="598">
        <f t="shared" ref="J185:O185" si="361">SUMIFS(J$3:J$9,$I$3:$I$9,$G185)+SUMIFS(J$3:J$9,$I$3:$I$9,$H185)+SUMIFS(J$3:J$9,$I$3:$I$9,$F185)</f>
        <v>0</v>
      </c>
      <c r="K185" s="598">
        <f t="shared" si="361"/>
        <v>0</v>
      </c>
      <c r="L185" s="598">
        <f t="shared" si="361"/>
        <v>0</v>
      </c>
      <c r="M185" s="598">
        <f t="shared" si="361"/>
        <v>0</v>
      </c>
      <c r="N185" s="598">
        <f t="shared" si="361"/>
        <v>0</v>
      </c>
      <c r="O185" s="598">
        <f t="shared" si="361"/>
        <v>0</v>
      </c>
      <c r="P185" s="598"/>
      <c r="Q185" s="598"/>
      <c r="R185" s="598"/>
      <c r="S185" s="598">
        <f t="shared" si="356"/>
        <v>0</v>
      </c>
      <c r="T185" s="551"/>
      <c r="U185" s="551"/>
      <c r="V185" s="551"/>
      <c r="W185" s="551"/>
      <c r="X185" s="551"/>
      <c r="Y185" s="551"/>
      <c r="Z185" s="551"/>
      <c r="AA185" s="551"/>
    </row>
    <row r="186" hidden="1">
      <c r="A186" s="593">
        <f t="shared" si="351"/>
        <v>2026</v>
      </c>
      <c r="B186" s="629">
        <v>46181.0</v>
      </c>
      <c r="C186" s="594" t="str">
        <f t="shared" si="352"/>
        <v>June</v>
      </c>
      <c r="D186" s="593" t="str">
        <f t="shared" si="353"/>
        <v>Monday</v>
      </c>
      <c r="E186" s="634" t="s">
        <v>1505</v>
      </c>
      <c r="F186" s="596"/>
      <c r="G186" s="596"/>
      <c r="H186" s="596"/>
      <c r="I186" s="597">
        <f t="shared" si="354"/>
        <v>0</v>
      </c>
      <c r="J186" s="598">
        <f t="shared" ref="J186:O186" si="362">SUMIFS(J$3:J$9,$I$3:$I$9,$G186)+SUMIFS(J$3:J$9,$I$3:$I$9,$H186)+SUMIFS(J$3:J$9,$I$3:$I$9,$F186)</f>
        <v>0</v>
      </c>
      <c r="K186" s="598">
        <f t="shared" si="362"/>
        <v>0</v>
      </c>
      <c r="L186" s="598">
        <f t="shared" si="362"/>
        <v>0</v>
      </c>
      <c r="M186" s="598">
        <f t="shared" si="362"/>
        <v>0</v>
      </c>
      <c r="N186" s="598">
        <f t="shared" si="362"/>
        <v>0</v>
      </c>
      <c r="O186" s="598">
        <f t="shared" si="362"/>
        <v>0</v>
      </c>
      <c r="P186" s="598"/>
      <c r="Q186" s="598"/>
      <c r="R186" s="598"/>
      <c r="S186" s="598">
        <f t="shared" si="356"/>
        <v>0</v>
      </c>
      <c r="T186" s="551"/>
      <c r="U186" s="551"/>
      <c r="V186" s="551"/>
      <c r="W186" s="551"/>
      <c r="X186" s="551"/>
      <c r="Y186" s="551"/>
      <c r="Z186" s="551"/>
      <c r="AA186" s="551"/>
    </row>
    <row r="187" hidden="1">
      <c r="A187" s="593">
        <f t="shared" si="351"/>
        <v>2026</v>
      </c>
      <c r="B187" s="629">
        <v>46182.0</v>
      </c>
      <c r="C187" s="594" t="str">
        <f t="shared" si="352"/>
        <v>June</v>
      </c>
      <c r="D187" s="593" t="str">
        <f t="shared" si="353"/>
        <v>Tuesday</v>
      </c>
      <c r="E187" s="634" t="s">
        <v>1506</v>
      </c>
      <c r="F187" s="596" t="s">
        <v>1461</v>
      </c>
      <c r="G187" s="596" t="s">
        <v>1461</v>
      </c>
      <c r="H187" s="596"/>
      <c r="I187" s="597">
        <f t="shared" si="354"/>
        <v>2</v>
      </c>
      <c r="J187" s="598">
        <f t="shared" ref="J187:O187" si="363">SUMIFS(J$3:J$9,$I$3:$I$9,$G187)+SUMIFS(J$3:J$9,$I$3:$I$9,$H187)+SUMIFS(J$3:J$9,$I$3:$I$9,$F187)</f>
        <v>50</v>
      </c>
      <c r="K187" s="598">
        <f t="shared" si="363"/>
        <v>0</v>
      </c>
      <c r="L187" s="598">
        <f t="shared" si="363"/>
        <v>0</v>
      </c>
      <c r="M187" s="598">
        <f t="shared" si="363"/>
        <v>0</v>
      </c>
      <c r="N187" s="598">
        <f t="shared" si="363"/>
        <v>0</v>
      </c>
      <c r="O187" s="598">
        <f t="shared" si="363"/>
        <v>0</v>
      </c>
      <c r="P187" s="598"/>
      <c r="Q187" s="598"/>
      <c r="R187" s="598"/>
      <c r="S187" s="598">
        <f t="shared" si="356"/>
        <v>50</v>
      </c>
      <c r="T187" s="551"/>
      <c r="U187" s="551"/>
      <c r="V187" s="551"/>
      <c r="W187" s="551"/>
      <c r="X187" s="551"/>
      <c r="Y187" s="551"/>
      <c r="Z187" s="551"/>
      <c r="AA187" s="551"/>
    </row>
    <row r="188" hidden="1">
      <c r="A188" s="593">
        <f t="shared" si="351"/>
        <v>2026</v>
      </c>
      <c r="B188" s="629">
        <v>46183.0</v>
      </c>
      <c r="C188" s="594" t="str">
        <f t="shared" si="352"/>
        <v>June</v>
      </c>
      <c r="D188" s="593" t="str">
        <f t="shared" si="353"/>
        <v>Wednesday</v>
      </c>
      <c r="E188" s="634" t="s">
        <v>1506</v>
      </c>
      <c r="F188" s="596" t="s">
        <v>1461</v>
      </c>
      <c r="G188" s="596" t="s">
        <v>1461</v>
      </c>
      <c r="H188" s="596"/>
      <c r="I188" s="597">
        <f t="shared" si="354"/>
        <v>2</v>
      </c>
      <c r="J188" s="598">
        <f t="shared" ref="J188:O188" si="364">SUMIFS(J$3:J$9,$I$3:$I$9,$G188)+SUMIFS(J$3:J$9,$I$3:$I$9,$H188)+SUMIFS(J$3:J$9,$I$3:$I$9,$F188)</f>
        <v>50</v>
      </c>
      <c r="K188" s="598">
        <f t="shared" si="364"/>
        <v>0</v>
      </c>
      <c r="L188" s="598">
        <f t="shared" si="364"/>
        <v>0</v>
      </c>
      <c r="M188" s="598">
        <f t="shared" si="364"/>
        <v>0</v>
      </c>
      <c r="N188" s="598">
        <f t="shared" si="364"/>
        <v>0</v>
      </c>
      <c r="O188" s="598">
        <f t="shared" si="364"/>
        <v>0</v>
      </c>
      <c r="P188" s="598"/>
      <c r="Q188" s="598"/>
      <c r="R188" s="598"/>
      <c r="S188" s="598">
        <f t="shared" si="356"/>
        <v>50</v>
      </c>
      <c r="T188" s="551"/>
      <c r="U188" s="551"/>
      <c r="V188" s="551"/>
      <c r="W188" s="551"/>
      <c r="X188" s="551"/>
      <c r="Y188" s="551"/>
      <c r="Z188" s="551"/>
      <c r="AA188" s="551"/>
    </row>
    <row r="189" hidden="1">
      <c r="A189" s="593">
        <f t="shared" si="351"/>
        <v>2026</v>
      </c>
      <c r="B189" s="629">
        <v>46184.0</v>
      </c>
      <c r="C189" s="594" t="str">
        <f t="shared" si="352"/>
        <v>June</v>
      </c>
      <c r="D189" s="593" t="str">
        <f t="shared" si="353"/>
        <v>Thursday</v>
      </c>
      <c r="E189" s="634" t="s">
        <v>1506</v>
      </c>
      <c r="F189" s="596" t="s">
        <v>1461</v>
      </c>
      <c r="G189" s="596" t="s">
        <v>1461</v>
      </c>
      <c r="H189" s="596"/>
      <c r="I189" s="597">
        <f t="shared" si="354"/>
        <v>2</v>
      </c>
      <c r="J189" s="598">
        <f t="shared" ref="J189:O189" si="365">SUMIFS(J$3:J$9,$I$3:$I$9,$G189)+SUMIFS(J$3:J$9,$I$3:$I$9,$H189)+SUMIFS(J$3:J$9,$I$3:$I$9,$F189)</f>
        <v>50</v>
      </c>
      <c r="K189" s="598">
        <f t="shared" si="365"/>
        <v>0</v>
      </c>
      <c r="L189" s="598">
        <f t="shared" si="365"/>
        <v>0</v>
      </c>
      <c r="M189" s="598">
        <f t="shared" si="365"/>
        <v>0</v>
      </c>
      <c r="N189" s="598">
        <f t="shared" si="365"/>
        <v>0</v>
      </c>
      <c r="O189" s="598">
        <f t="shared" si="365"/>
        <v>0</v>
      </c>
      <c r="P189" s="598"/>
      <c r="Q189" s="598"/>
      <c r="R189" s="598"/>
      <c r="S189" s="598">
        <f t="shared" si="356"/>
        <v>50</v>
      </c>
      <c r="T189" s="551"/>
      <c r="U189" s="551"/>
      <c r="V189" s="551"/>
      <c r="W189" s="551"/>
      <c r="X189" s="551"/>
      <c r="Y189" s="551"/>
      <c r="Z189" s="551"/>
      <c r="AA189" s="551"/>
    </row>
    <row r="190" hidden="1">
      <c r="A190" s="593">
        <f t="shared" si="351"/>
        <v>2026</v>
      </c>
      <c r="B190" s="629">
        <v>46185.0</v>
      </c>
      <c r="C190" s="594" t="str">
        <f t="shared" si="352"/>
        <v>June</v>
      </c>
      <c r="D190" s="635" t="str">
        <f t="shared" si="353"/>
        <v>Friday</v>
      </c>
      <c r="E190" s="636" t="s">
        <v>1507</v>
      </c>
      <c r="F190" s="596" t="s">
        <v>1461</v>
      </c>
      <c r="G190" s="596" t="s">
        <v>1461</v>
      </c>
      <c r="H190" s="596"/>
      <c r="I190" s="597">
        <f t="shared" si="354"/>
        <v>2</v>
      </c>
      <c r="J190" s="598">
        <f t="shared" ref="J190:O190" si="366">SUMIFS(J$3:J$9,$I$3:$I$9,$G190)+SUMIFS(J$3:J$9,$I$3:$I$9,$H190)+SUMIFS(J$3:J$9,$I$3:$I$9,$F190)</f>
        <v>50</v>
      </c>
      <c r="K190" s="598">
        <f t="shared" si="366"/>
        <v>0</v>
      </c>
      <c r="L190" s="598">
        <f t="shared" si="366"/>
        <v>0</v>
      </c>
      <c r="M190" s="598">
        <f t="shared" si="366"/>
        <v>0</v>
      </c>
      <c r="N190" s="598">
        <f t="shared" si="366"/>
        <v>0</v>
      </c>
      <c r="O190" s="598">
        <f t="shared" si="366"/>
        <v>0</v>
      </c>
      <c r="P190" s="598"/>
      <c r="Q190" s="598"/>
      <c r="R190" s="598"/>
      <c r="S190" s="598">
        <f t="shared" si="356"/>
        <v>50</v>
      </c>
      <c r="T190" s="551"/>
      <c r="U190" s="551"/>
      <c r="V190" s="551"/>
      <c r="W190" s="551"/>
      <c r="X190" s="551"/>
      <c r="Y190" s="551"/>
      <c r="Z190" s="551"/>
      <c r="AA190" s="551"/>
    </row>
    <row r="191" hidden="1">
      <c r="A191" s="593">
        <f t="shared" si="351"/>
        <v>2026</v>
      </c>
      <c r="B191" s="629">
        <v>46186.0</v>
      </c>
      <c r="C191" s="594" t="str">
        <f t="shared" si="352"/>
        <v>June</v>
      </c>
      <c r="D191" s="593" t="str">
        <f t="shared" si="353"/>
        <v>Saturday</v>
      </c>
      <c r="E191" s="637" t="s">
        <v>1508</v>
      </c>
      <c r="F191" s="596"/>
      <c r="G191" s="596"/>
      <c r="H191" s="596"/>
      <c r="I191" s="597">
        <f t="shared" si="354"/>
        <v>0</v>
      </c>
      <c r="J191" s="598">
        <f t="shared" ref="J191:O191" si="367">SUMIFS(J$3:J$9,$I$3:$I$9,$G191)+SUMIFS(J$3:J$9,$I$3:$I$9,$H191)+SUMIFS(J$3:J$9,$I$3:$I$9,$F191)</f>
        <v>0</v>
      </c>
      <c r="K191" s="598">
        <f t="shared" si="367"/>
        <v>0</v>
      </c>
      <c r="L191" s="598">
        <f t="shared" si="367"/>
        <v>0</v>
      </c>
      <c r="M191" s="598">
        <f t="shared" si="367"/>
        <v>0</v>
      </c>
      <c r="N191" s="598">
        <f t="shared" si="367"/>
        <v>0</v>
      </c>
      <c r="O191" s="598">
        <f t="shared" si="367"/>
        <v>0</v>
      </c>
      <c r="P191" s="598"/>
      <c r="Q191" s="598"/>
      <c r="R191" s="598"/>
      <c r="S191" s="598">
        <f t="shared" si="356"/>
        <v>0</v>
      </c>
      <c r="T191" s="551"/>
      <c r="U191" s="551"/>
      <c r="V191" s="551"/>
      <c r="W191" s="551"/>
      <c r="X191" s="551"/>
      <c r="Y191" s="551"/>
      <c r="Z191" s="551"/>
      <c r="AA191" s="551"/>
    </row>
    <row r="192" hidden="1">
      <c r="A192" s="593">
        <f t="shared" si="351"/>
        <v>2026</v>
      </c>
      <c r="B192" s="594">
        <v>46187.0</v>
      </c>
      <c r="C192" s="594" t="str">
        <f t="shared" si="352"/>
        <v>June</v>
      </c>
      <c r="D192" s="593" t="str">
        <f t="shared" si="353"/>
        <v>Sunday</v>
      </c>
      <c r="E192" s="595"/>
      <c r="F192" s="596"/>
      <c r="G192" s="596"/>
      <c r="H192" s="596"/>
      <c r="I192" s="597">
        <f t="shared" si="354"/>
        <v>0</v>
      </c>
      <c r="J192" s="598">
        <f t="shared" ref="J192:O192" si="368">SUMIFS(J$3:J$9,$I$3:$I$9,$G192)+SUMIFS(J$3:J$9,$I$3:$I$9,$H192)+SUMIFS(J$3:J$9,$I$3:$I$9,$F192)</f>
        <v>0</v>
      </c>
      <c r="K192" s="598">
        <f t="shared" si="368"/>
        <v>0</v>
      </c>
      <c r="L192" s="598">
        <f t="shared" si="368"/>
        <v>0</v>
      </c>
      <c r="M192" s="598">
        <f t="shared" si="368"/>
        <v>0</v>
      </c>
      <c r="N192" s="598">
        <f t="shared" si="368"/>
        <v>0</v>
      </c>
      <c r="O192" s="598">
        <f t="shared" si="368"/>
        <v>0</v>
      </c>
      <c r="P192" s="598"/>
      <c r="Q192" s="598"/>
      <c r="R192" s="598"/>
      <c r="S192" s="598">
        <f t="shared" si="356"/>
        <v>0</v>
      </c>
      <c r="T192" s="551"/>
      <c r="U192" s="551"/>
      <c r="V192" s="551"/>
      <c r="W192" s="551"/>
      <c r="X192" s="551"/>
      <c r="Y192" s="551"/>
      <c r="Z192" s="551"/>
      <c r="AA192" s="551"/>
    </row>
    <row r="193">
      <c r="A193" s="593">
        <f t="shared" si="351"/>
        <v>2026</v>
      </c>
      <c r="B193" s="629">
        <v>46188.0</v>
      </c>
      <c r="C193" s="594" t="str">
        <f t="shared" si="352"/>
        <v>June</v>
      </c>
      <c r="D193" s="593" t="str">
        <f t="shared" si="353"/>
        <v>Monday</v>
      </c>
      <c r="E193" s="634" t="s">
        <v>1504</v>
      </c>
      <c r="F193" s="596" t="s">
        <v>1461</v>
      </c>
      <c r="G193" s="596"/>
      <c r="H193" s="596"/>
      <c r="I193" s="597">
        <f t="shared" si="354"/>
        <v>1</v>
      </c>
      <c r="J193" s="598">
        <f t="shared" ref="J193:O193" si="369">SUMIFS(J$3:J$9,$I$3:$I$9,$G193)+SUMIFS(J$3:J$9,$I$3:$I$9,$H193)+SUMIFS(J$3:J$9,$I$3:$I$9,$F193)</f>
        <v>25</v>
      </c>
      <c r="K193" s="598">
        <f t="shared" si="369"/>
        <v>0</v>
      </c>
      <c r="L193" s="598">
        <f t="shared" si="369"/>
        <v>0</v>
      </c>
      <c r="M193" s="598">
        <f t="shared" si="369"/>
        <v>0</v>
      </c>
      <c r="N193" s="598">
        <f t="shared" si="369"/>
        <v>0</v>
      </c>
      <c r="O193" s="598">
        <f t="shared" si="369"/>
        <v>0</v>
      </c>
      <c r="P193" s="598"/>
      <c r="Q193" s="598"/>
      <c r="R193" s="598"/>
      <c r="S193" s="598">
        <f t="shared" si="356"/>
        <v>25</v>
      </c>
      <c r="T193" s="551"/>
      <c r="U193" s="551"/>
      <c r="V193" s="551"/>
      <c r="W193" s="551"/>
      <c r="X193" s="551"/>
      <c r="Y193" s="551"/>
      <c r="Z193" s="551"/>
      <c r="AA193" s="551"/>
    </row>
    <row r="194">
      <c r="A194" s="593">
        <f t="shared" si="351"/>
        <v>2026</v>
      </c>
      <c r="B194" s="629">
        <v>46189.0</v>
      </c>
      <c r="C194" s="594" t="str">
        <f t="shared" si="352"/>
        <v>June</v>
      </c>
      <c r="D194" s="593" t="str">
        <f t="shared" si="353"/>
        <v>Tuesday</v>
      </c>
      <c r="E194" s="634" t="s">
        <v>1504</v>
      </c>
      <c r="F194" s="596" t="s">
        <v>1461</v>
      </c>
      <c r="G194" s="596"/>
      <c r="H194" s="596"/>
      <c r="I194" s="597">
        <f t="shared" si="354"/>
        <v>1</v>
      </c>
      <c r="J194" s="598">
        <f t="shared" ref="J194:O194" si="370">SUMIFS(J$3:J$9,$I$3:$I$9,$G194)+SUMIFS(J$3:J$9,$I$3:$I$9,$H194)+SUMIFS(J$3:J$9,$I$3:$I$9,$F194)</f>
        <v>25</v>
      </c>
      <c r="K194" s="598">
        <f t="shared" si="370"/>
        <v>0</v>
      </c>
      <c r="L194" s="598">
        <f t="shared" si="370"/>
        <v>0</v>
      </c>
      <c r="M194" s="598">
        <f t="shared" si="370"/>
        <v>0</v>
      </c>
      <c r="N194" s="598">
        <f t="shared" si="370"/>
        <v>0</v>
      </c>
      <c r="O194" s="598">
        <f t="shared" si="370"/>
        <v>0</v>
      </c>
      <c r="P194" s="598"/>
      <c r="Q194" s="598"/>
      <c r="R194" s="598"/>
      <c r="S194" s="598">
        <f t="shared" si="356"/>
        <v>25</v>
      </c>
      <c r="T194" s="551"/>
      <c r="U194" s="551"/>
      <c r="V194" s="551"/>
      <c r="W194" s="551"/>
      <c r="X194" s="551"/>
      <c r="Y194" s="551"/>
      <c r="Z194" s="551"/>
      <c r="AA194" s="551"/>
    </row>
    <row r="195">
      <c r="A195" s="593">
        <f t="shared" si="351"/>
        <v>2026</v>
      </c>
      <c r="B195" s="629">
        <v>46190.0</v>
      </c>
      <c r="C195" s="594" t="str">
        <f t="shared" si="352"/>
        <v>June</v>
      </c>
      <c r="D195" s="593" t="str">
        <f t="shared" si="353"/>
        <v>Wednesday</v>
      </c>
      <c r="E195" s="634" t="s">
        <v>1504</v>
      </c>
      <c r="F195" s="596" t="s">
        <v>1461</v>
      </c>
      <c r="G195" s="596"/>
      <c r="H195" s="596"/>
      <c r="I195" s="597">
        <f t="shared" si="354"/>
        <v>1</v>
      </c>
      <c r="J195" s="598">
        <f t="shared" ref="J195:O195" si="371">SUMIFS(J$3:J$9,$I$3:$I$9,$G195)+SUMIFS(J$3:J$9,$I$3:$I$9,$H195)+SUMIFS(J$3:J$9,$I$3:$I$9,$F195)</f>
        <v>25</v>
      </c>
      <c r="K195" s="598">
        <f t="shared" si="371"/>
        <v>0</v>
      </c>
      <c r="L195" s="598">
        <f t="shared" si="371"/>
        <v>0</v>
      </c>
      <c r="M195" s="598">
        <f t="shared" si="371"/>
        <v>0</v>
      </c>
      <c r="N195" s="598">
        <f t="shared" si="371"/>
        <v>0</v>
      </c>
      <c r="O195" s="598">
        <f t="shared" si="371"/>
        <v>0</v>
      </c>
      <c r="P195" s="598"/>
      <c r="Q195" s="598"/>
      <c r="R195" s="598"/>
      <c r="S195" s="598">
        <f t="shared" si="356"/>
        <v>25</v>
      </c>
      <c r="T195" s="551"/>
      <c r="U195" s="551"/>
      <c r="V195" s="551"/>
      <c r="W195" s="551"/>
      <c r="X195" s="551"/>
      <c r="Y195" s="551"/>
      <c r="Z195" s="551"/>
      <c r="AA195" s="551"/>
    </row>
    <row r="196">
      <c r="A196" s="593">
        <f t="shared" si="351"/>
        <v>2026</v>
      </c>
      <c r="B196" s="629">
        <v>46191.0</v>
      </c>
      <c r="C196" s="594" t="str">
        <f t="shared" si="352"/>
        <v>June</v>
      </c>
      <c r="D196" s="593" t="str">
        <f t="shared" si="353"/>
        <v>Thursday</v>
      </c>
      <c r="E196" s="634" t="s">
        <v>1504</v>
      </c>
      <c r="F196" s="596" t="s">
        <v>1461</v>
      </c>
      <c r="G196" s="596"/>
      <c r="H196" s="596"/>
      <c r="I196" s="597">
        <f t="shared" si="354"/>
        <v>1</v>
      </c>
      <c r="J196" s="598">
        <f t="shared" ref="J196:O196" si="372">SUMIFS(J$3:J$9,$I$3:$I$9,$G196)+SUMIFS(J$3:J$9,$I$3:$I$9,$H196)+SUMIFS(J$3:J$9,$I$3:$I$9,$F196)</f>
        <v>25</v>
      </c>
      <c r="K196" s="598">
        <f t="shared" si="372"/>
        <v>0</v>
      </c>
      <c r="L196" s="598">
        <f t="shared" si="372"/>
        <v>0</v>
      </c>
      <c r="M196" s="598">
        <f t="shared" si="372"/>
        <v>0</v>
      </c>
      <c r="N196" s="598">
        <f t="shared" si="372"/>
        <v>0</v>
      </c>
      <c r="O196" s="598">
        <f t="shared" si="372"/>
        <v>0</v>
      </c>
      <c r="P196" s="598"/>
      <c r="Q196" s="598"/>
      <c r="R196" s="598"/>
      <c r="S196" s="598">
        <f t="shared" si="356"/>
        <v>25</v>
      </c>
      <c r="T196" s="551"/>
      <c r="U196" s="551"/>
      <c r="V196" s="551"/>
      <c r="W196" s="551"/>
      <c r="X196" s="551"/>
      <c r="Y196" s="551"/>
      <c r="Z196" s="551"/>
      <c r="AA196" s="551"/>
    </row>
    <row r="197">
      <c r="A197" s="593">
        <f t="shared" si="351"/>
        <v>2026</v>
      </c>
      <c r="B197" s="629">
        <v>46192.0</v>
      </c>
      <c r="C197" s="594" t="str">
        <f t="shared" si="352"/>
        <v>June</v>
      </c>
      <c r="D197" s="593" t="str">
        <f t="shared" si="353"/>
        <v>Friday</v>
      </c>
      <c r="E197" s="634" t="s">
        <v>1504</v>
      </c>
      <c r="F197" s="596" t="s">
        <v>1461</v>
      </c>
      <c r="G197" s="596"/>
      <c r="H197" s="596"/>
      <c r="I197" s="597">
        <f t="shared" si="354"/>
        <v>1</v>
      </c>
      <c r="J197" s="598">
        <f t="shared" ref="J197:O197" si="373">SUMIFS(J$3:J$9,$I$3:$I$9,$G197)+SUMIFS(J$3:J$9,$I$3:$I$9,$H197)+SUMIFS(J$3:J$9,$I$3:$I$9,$F197)</f>
        <v>25</v>
      </c>
      <c r="K197" s="598">
        <f t="shared" si="373"/>
        <v>0</v>
      </c>
      <c r="L197" s="598">
        <f t="shared" si="373"/>
        <v>0</v>
      </c>
      <c r="M197" s="598">
        <f t="shared" si="373"/>
        <v>0</v>
      </c>
      <c r="N197" s="598">
        <f t="shared" si="373"/>
        <v>0</v>
      </c>
      <c r="O197" s="598">
        <f t="shared" si="373"/>
        <v>0</v>
      </c>
      <c r="P197" s="598"/>
      <c r="Q197" s="598"/>
      <c r="R197" s="598"/>
      <c r="S197" s="598">
        <f t="shared" si="356"/>
        <v>25</v>
      </c>
      <c r="T197" s="551"/>
      <c r="U197" s="551"/>
      <c r="V197" s="551"/>
      <c r="W197" s="551"/>
      <c r="X197" s="551"/>
      <c r="Y197" s="551"/>
      <c r="Z197" s="551"/>
      <c r="AA197" s="551"/>
    </row>
    <row r="198">
      <c r="A198" s="593">
        <f t="shared" si="351"/>
        <v>2026</v>
      </c>
      <c r="B198" s="629">
        <v>46193.0</v>
      </c>
      <c r="C198" s="594" t="str">
        <f t="shared" si="352"/>
        <v>June</v>
      </c>
      <c r="D198" s="593" t="str">
        <f t="shared" si="353"/>
        <v>Saturday</v>
      </c>
      <c r="E198" s="634" t="s">
        <v>1504</v>
      </c>
      <c r="F198" s="596" t="s">
        <v>1461</v>
      </c>
      <c r="G198" s="596"/>
      <c r="H198" s="596"/>
      <c r="I198" s="597">
        <f t="shared" si="354"/>
        <v>1</v>
      </c>
      <c r="J198" s="598">
        <f t="shared" ref="J198:O198" si="374">SUMIFS(J$3:J$9,$I$3:$I$9,$G198)+SUMIFS(J$3:J$9,$I$3:$I$9,$H198)+SUMIFS(J$3:J$9,$I$3:$I$9,$F198)</f>
        <v>25</v>
      </c>
      <c r="K198" s="598">
        <f t="shared" si="374"/>
        <v>0</v>
      </c>
      <c r="L198" s="598">
        <f t="shared" si="374"/>
        <v>0</v>
      </c>
      <c r="M198" s="598">
        <f t="shared" si="374"/>
        <v>0</v>
      </c>
      <c r="N198" s="598">
        <f t="shared" si="374"/>
        <v>0</v>
      </c>
      <c r="O198" s="598">
        <f t="shared" si="374"/>
        <v>0</v>
      </c>
      <c r="P198" s="598"/>
      <c r="Q198" s="598"/>
      <c r="R198" s="598"/>
      <c r="S198" s="598">
        <f t="shared" si="356"/>
        <v>25</v>
      </c>
      <c r="T198" s="551"/>
      <c r="U198" s="551"/>
      <c r="V198" s="551"/>
      <c r="W198" s="551"/>
      <c r="X198" s="551"/>
      <c r="Y198" s="551"/>
      <c r="Z198" s="551"/>
      <c r="AA198" s="551"/>
    </row>
    <row r="199">
      <c r="A199" s="593">
        <f t="shared" si="351"/>
        <v>2026</v>
      </c>
      <c r="B199" s="629">
        <v>46194.0</v>
      </c>
      <c r="C199" s="594" t="str">
        <f t="shared" si="352"/>
        <v>June</v>
      </c>
      <c r="D199" s="593" t="str">
        <f t="shared" si="353"/>
        <v>Sunday</v>
      </c>
      <c r="E199" s="595"/>
      <c r="F199" s="596"/>
      <c r="G199" s="596"/>
      <c r="H199" s="596"/>
      <c r="I199" s="597">
        <f t="shared" si="354"/>
        <v>0</v>
      </c>
      <c r="J199" s="598">
        <f t="shared" ref="J199:O199" si="375">SUMIFS(J$3:J$9,$I$3:$I$9,$G199)+SUMIFS(J$3:J$9,$I$3:$I$9,$H199)+SUMIFS(J$3:J$9,$I$3:$I$9,$F199)</f>
        <v>0</v>
      </c>
      <c r="K199" s="598">
        <f t="shared" si="375"/>
        <v>0</v>
      </c>
      <c r="L199" s="598">
        <f t="shared" si="375"/>
        <v>0</v>
      </c>
      <c r="M199" s="598">
        <f t="shared" si="375"/>
        <v>0</v>
      </c>
      <c r="N199" s="598">
        <f t="shared" si="375"/>
        <v>0</v>
      </c>
      <c r="O199" s="598">
        <f t="shared" si="375"/>
        <v>0</v>
      </c>
      <c r="P199" s="598"/>
      <c r="Q199" s="598"/>
      <c r="R199" s="598"/>
      <c r="S199" s="598">
        <f t="shared" si="356"/>
        <v>0</v>
      </c>
      <c r="T199" s="551"/>
      <c r="U199" s="551"/>
      <c r="V199" s="551"/>
      <c r="W199" s="551"/>
      <c r="X199" s="551"/>
      <c r="Y199" s="551"/>
      <c r="Z199" s="551"/>
      <c r="AA199" s="551"/>
    </row>
    <row r="200">
      <c r="A200" s="593">
        <f t="shared" si="351"/>
        <v>2026</v>
      </c>
      <c r="B200" s="629">
        <v>46195.0</v>
      </c>
      <c r="C200" s="594" t="str">
        <f t="shared" si="352"/>
        <v>June</v>
      </c>
      <c r="D200" s="593" t="str">
        <f t="shared" si="353"/>
        <v>Monday</v>
      </c>
      <c r="E200" s="638" t="s">
        <v>1509</v>
      </c>
      <c r="F200" s="639" t="s">
        <v>1469</v>
      </c>
      <c r="G200" s="639"/>
      <c r="H200" s="596"/>
      <c r="I200" s="597">
        <f t="shared" si="354"/>
        <v>1</v>
      </c>
      <c r="J200" s="598">
        <f t="shared" ref="J200:O200" si="376">SUMIFS(J$3:J$9,$I$3:$I$9,$G200)+SUMIFS(J$3:J$9,$I$3:$I$9,$H200)+SUMIFS(J$3:J$9,$I$3:$I$9,$F200)</f>
        <v>21</v>
      </c>
      <c r="K200" s="598">
        <f t="shared" si="376"/>
        <v>0</v>
      </c>
      <c r="L200" s="598">
        <f t="shared" si="376"/>
        <v>0</v>
      </c>
      <c r="M200" s="598">
        <f t="shared" si="376"/>
        <v>3</v>
      </c>
      <c r="N200" s="598">
        <f t="shared" si="376"/>
        <v>0</v>
      </c>
      <c r="O200" s="598">
        <f t="shared" si="376"/>
        <v>0</v>
      </c>
      <c r="P200" s="598"/>
      <c r="Q200" s="598"/>
      <c r="R200" s="598"/>
      <c r="S200" s="598">
        <f t="shared" si="356"/>
        <v>24</v>
      </c>
      <c r="T200" s="551"/>
      <c r="U200" s="551"/>
      <c r="V200" s="551"/>
      <c r="W200" s="551"/>
      <c r="X200" s="551"/>
      <c r="Y200" s="551"/>
      <c r="Z200" s="551"/>
      <c r="AA200" s="551"/>
    </row>
    <row r="201">
      <c r="A201" s="593">
        <f t="shared" si="351"/>
        <v>2026</v>
      </c>
      <c r="B201" s="629">
        <v>46196.0</v>
      </c>
      <c r="C201" s="594" t="str">
        <f t="shared" si="352"/>
        <v>June</v>
      </c>
      <c r="D201" s="593" t="str">
        <f t="shared" si="353"/>
        <v>Tuesday</v>
      </c>
      <c r="E201" s="640" t="s">
        <v>1504</v>
      </c>
      <c r="F201" s="639" t="s">
        <v>1469</v>
      </c>
      <c r="G201" s="639"/>
      <c r="H201" s="596"/>
      <c r="I201" s="597">
        <f t="shared" si="354"/>
        <v>1</v>
      </c>
      <c r="J201" s="598">
        <f t="shared" ref="J201:O201" si="377">SUMIFS(J$3:J$9,$I$3:$I$9,$G201)+SUMIFS(J$3:J$9,$I$3:$I$9,$H201)+SUMIFS(J$3:J$9,$I$3:$I$9,$F201)</f>
        <v>21</v>
      </c>
      <c r="K201" s="598">
        <f t="shared" si="377"/>
        <v>0</v>
      </c>
      <c r="L201" s="598">
        <f t="shared" si="377"/>
        <v>0</v>
      </c>
      <c r="M201" s="598">
        <f t="shared" si="377"/>
        <v>3</v>
      </c>
      <c r="N201" s="598">
        <f t="shared" si="377"/>
        <v>0</v>
      </c>
      <c r="O201" s="598">
        <f t="shared" si="377"/>
        <v>0</v>
      </c>
      <c r="P201" s="598"/>
      <c r="Q201" s="598"/>
      <c r="R201" s="598"/>
      <c r="S201" s="598">
        <f t="shared" si="356"/>
        <v>24</v>
      </c>
      <c r="T201" s="551"/>
      <c r="U201" s="551"/>
      <c r="V201" s="551"/>
      <c r="W201" s="551"/>
      <c r="X201" s="551"/>
      <c r="Y201" s="551"/>
      <c r="Z201" s="551"/>
      <c r="AA201" s="551"/>
    </row>
    <row r="202">
      <c r="A202" s="593">
        <f t="shared" si="351"/>
        <v>2026</v>
      </c>
      <c r="B202" s="629">
        <v>46197.0</v>
      </c>
      <c r="C202" s="594" t="str">
        <f t="shared" si="352"/>
        <v>June</v>
      </c>
      <c r="D202" s="593" t="str">
        <f t="shared" si="353"/>
        <v>Wednesday</v>
      </c>
      <c r="E202" s="640" t="s">
        <v>1510</v>
      </c>
      <c r="F202" s="639" t="s">
        <v>1469</v>
      </c>
      <c r="G202" s="639"/>
      <c r="H202" s="596"/>
      <c r="I202" s="597">
        <f t="shared" si="354"/>
        <v>1</v>
      </c>
      <c r="J202" s="598">
        <f t="shared" ref="J202:L202" si="378">SUMIFS(J$3:J$9,$I$3:$I$9,$G202)+SUMIFS(J$3:J$9,$I$3:$I$9,$H202)+SUMIFS(J$3:J$9,$I$3:$I$9,$F202)</f>
        <v>21</v>
      </c>
      <c r="K202" s="598">
        <f t="shared" si="378"/>
        <v>0</v>
      </c>
      <c r="L202" s="598">
        <f t="shared" si="378"/>
        <v>0</v>
      </c>
      <c r="M202" s="641">
        <v>5.0</v>
      </c>
      <c r="N202" s="598">
        <f t="shared" ref="N202:O202" si="379">SUMIFS(N$3:N$9,$I$3:$I$9,$G202)+SUMIFS(N$3:N$9,$I$3:$I$9,$H202)+SUMIFS(N$3:N$9,$I$3:$I$9,$F202)</f>
        <v>0</v>
      </c>
      <c r="O202" s="598">
        <f t="shared" si="379"/>
        <v>0</v>
      </c>
      <c r="P202" s="598"/>
      <c r="Q202" s="598"/>
      <c r="R202" s="598"/>
      <c r="S202" s="598">
        <f t="shared" si="356"/>
        <v>26</v>
      </c>
      <c r="T202" s="551"/>
      <c r="U202" s="551"/>
      <c r="V202" s="551"/>
      <c r="W202" s="551"/>
      <c r="X202" s="551"/>
      <c r="Y202" s="551"/>
      <c r="Z202" s="551"/>
      <c r="AA202" s="551"/>
    </row>
    <row r="203">
      <c r="A203" s="593">
        <f t="shared" si="351"/>
        <v>2026</v>
      </c>
      <c r="B203" s="629">
        <v>46198.0</v>
      </c>
      <c r="C203" s="594" t="str">
        <f t="shared" si="352"/>
        <v>June</v>
      </c>
      <c r="D203" s="593" t="str">
        <f t="shared" si="353"/>
        <v>Thursday</v>
      </c>
      <c r="E203" s="640" t="s">
        <v>1510</v>
      </c>
      <c r="F203" s="639" t="s">
        <v>1469</v>
      </c>
      <c r="G203" s="639"/>
      <c r="H203" s="596"/>
      <c r="I203" s="597">
        <f t="shared" si="354"/>
        <v>1</v>
      </c>
      <c r="J203" s="598">
        <f t="shared" ref="J203:L203" si="380">SUMIFS(J$3:J$9,$I$3:$I$9,$G203)+SUMIFS(J$3:J$9,$I$3:$I$9,$H203)+SUMIFS(J$3:J$9,$I$3:$I$9,$F203)</f>
        <v>21</v>
      </c>
      <c r="K203" s="598">
        <f t="shared" si="380"/>
        <v>0</v>
      </c>
      <c r="L203" s="598">
        <f t="shared" si="380"/>
        <v>0</v>
      </c>
      <c r="M203" s="641">
        <v>5.0</v>
      </c>
      <c r="N203" s="598">
        <f t="shared" ref="N203:O203" si="381">SUMIFS(N$3:N$9,$I$3:$I$9,$G203)+SUMIFS(N$3:N$9,$I$3:$I$9,$H203)+SUMIFS(N$3:N$9,$I$3:$I$9,$F203)</f>
        <v>0</v>
      </c>
      <c r="O203" s="598">
        <f t="shared" si="381"/>
        <v>0</v>
      </c>
      <c r="P203" s="598"/>
      <c r="Q203" s="598"/>
      <c r="R203" s="598"/>
      <c r="S203" s="598">
        <f t="shared" si="356"/>
        <v>26</v>
      </c>
      <c r="T203" s="551"/>
      <c r="U203" s="551"/>
      <c r="V203" s="551"/>
      <c r="W203" s="551"/>
      <c r="X203" s="551"/>
      <c r="Y203" s="551"/>
      <c r="Z203" s="551"/>
      <c r="AA203" s="551"/>
    </row>
    <row r="204">
      <c r="A204" s="593">
        <f t="shared" si="351"/>
        <v>2026</v>
      </c>
      <c r="B204" s="629">
        <v>46199.0</v>
      </c>
      <c r="C204" s="594" t="str">
        <f t="shared" si="352"/>
        <v>June</v>
      </c>
      <c r="D204" s="593" t="str">
        <f t="shared" si="353"/>
        <v>Friday</v>
      </c>
      <c r="E204" s="640" t="s">
        <v>1510</v>
      </c>
      <c r="F204" s="639" t="s">
        <v>1469</v>
      </c>
      <c r="G204" s="639"/>
      <c r="H204" s="596"/>
      <c r="I204" s="597">
        <f t="shared" si="354"/>
        <v>1</v>
      </c>
      <c r="J204" s="598">
        <f t="shared" ref="J204:L204" si="382">SUMIFS(J$3:J$9,$I$3:$I$9,$G204)+SUMIFS(J$3:J$9,$I$3:$I$9,$H204)+SUMIFS(J$3:J$9,$I$3:$I$9,$F204)</f>
        <v>21</v>
      </c>
      <c r="K204" s="598">
        <f t="shared" si="382"/>
        <v>0</v>
      </c>
      <c r="L204" s="598">
        <f t="shared" si="382"/>
        <v>0</v>
      </c>
      <c r="M204" s="641">
        <v>5.0</v>
      </c>
      <c r="N204" s="598">
        <f t="shared" ref="N204:O204" si="383">SUMIFS(N$3:N$9,$I$3:$I$9,$G204)+SUMIFS(N$3:N$9,$I$3:$I$9,$H204)+SUMIFS(N$3:N$9,$I$3:$I$9,$F204)</f>
        <v>0</v>
      </c>
      <c r="O204" s="598">
        <f t="shared" si="383"/>
        <v>0</v>
      </c>
      <c r="P204" s="598"/>
      <c r="Q204" s="598"/>
      <c r="R204" s="598"/>
      <c r="S204" s="598">
        <f t="shared" si="356"/>
        <v>26</v>
      </c>
      <c r="T204" s="551"/>
      <c r="U204" s="551"/>
      <c r="V204" s="551"/>
      <c r="W204" s="551"/>
      <c r="X204" s="551"/>
      <c r="Y204" s="551"/>
      <c r="Z204" s="551"/>
      <c r="AA204" s="551"/>
    </row>
    <row r="205">
      <c r="A205" s="593">
        <f t="shared" si="351"/>
        <v>2026</v>
      </c>
      <c r="B205" s="629">
        <v>46200.0</v>
      </c>
      <c r="C205" s="594" t="str">
        <f t="shared" si="352"/>
        <v>June</v>
      </c>
      <c r="D205" s="593" t="str">
        <f t="shared" si="353"/>
        <v>Saturday</v>
      </c>
      <c r="E205" s="638" t="s">
        <v>1511</v>
      </c>
      <c r="F205" s="639" t="s">
        <v>1469</v>
      </c>
      <c r="G205" s="639"/>
      <c r="H205" s="596"/>
      <c r="I205" s="597">
        <f t="shared" si="354"/>
        <v>1</v>
      </c>
      <c r="J205" s="598">
        <f t="shared" ref="J205:L205" si="384">SUMIFS(J$3:J$9,$I$3:$I$9,$G205)+SUMIFS(J$3:J$9,$I$3:$I$9,$H205)+SUMIFS(J$3:J$9,$I$3:$I$9,$F205)</f>
        <v>21</v>
      </c>
      <c r="K205" s="598">
        <f t="shared" si="384"/>
        <v>0</v>
      </c>
      <c r="L205" s="598">
        <f t="shared" si="384"/>
        <v>0</v>
      </c>
      <c r="M205" s="641">
        <v>5.0</v>
      </c>
      <c r="N205" s="598">
        <f t="shared" ref="N205:O205" si="385">SUMIFS(N$3:N$9,$I$3:$I$9,$G205)+SUMIFS(N$3:N$9,$I$3:$I$9,$H205)+SUMIFS(N$3:N$9,$I$3:$I$9,$F205)</f>
        <v>0</v>
      </c>
      <c r="O205" s="598">
        <f t="shared" si="385"/>
        <v>0</v>
      </c>
      <c r="P205" s="598"/>
      <c r="Q205" s="598"/>
      <c r="R205" s="598"/>
      <c r="S205" s="598">
        <f t="shared" si="356"/>
        <v>26</v>
      </c>
      <c r="T205" s="551"/>
      <c r="U205" s="551"/>
      <c r="V205" s="551"/>
      <c r="W205" s="551"/>
      <c r="X205" s="551"/>
      <c r="Y205" s="551"/>
      <c r="Z205" s="551"/>
      <c r="AA205" s="551"/>
    </row>
    <row r="206">
      <c r="A206" s="593">
        <f t="shared" si="351"/>
        <v>2026</v>
      </c>
      <c r="B206" s="629">
        <v>46201.0</v>
      </c>
      <c r="C206" s="594" t="str">
        <f t="shared" si="352"/>
        <v>June</v>
      </c>
      <c r="D206" s="593" t="str">
        <f t="shared" si="353"/>
        <v>Sunday</v>
      </c>
      <c r="E206" s="595"/>
      <c r="F206" s="596"/>
      <c r="G206" s="596"/>
      <c r="H206" s="596"/>
      <c r="I206" s="597">
        <f t="shared" si="354"/>
        <v>0</v>
      </c>
      <c r="J206" s="598">
        <f t="shared" ref="J206:O206" si="386">SUMIFS(J$3:J$9,$I$3:$I$9,$G206)+SUMIFS(J$3:J$9,$I$3:$I$9,$H206)+SUMIFS(J$3:J$9,$I$3:$I$9,$F206)</f>
        <v>0</v>
      </c>
      <c r="K206" s="598">
        <f t="shared" si="386"/>
        <v>0</v>
      </c>
      <c r="L206" s="598">
        <f t="shared" si="386"/>
        <v>0</v>
      </c>
      <c r="M206" s="598">
        <f t="shared" si="386"/>
        <v>0</v>
      </c>
      <c r="N206" s="598">
        <f t="shared" si="386"/>
        <v>0</v>
      </c>
      <c r="O206" s="598">
        <f t="shared" si="386"/>
        <v>0</v>
      </c>
      <c r="P206" s="598"/>
      <c r="Q206" s="598"/>
      <c r="R206" s="598"/>
      <c r="S206" s="598">
        <f t="shared" si="356"/>
        <v>0</v>
      </c>
      <c r="T206" s="551"/>
      <c r="U206" s="551"/>
      <c r="V206" s="551"/>
      <c r="W206" s="551"/>
      <c r="X206" s="551"/>
      <c r="Y206" s="551"/>
      <c r="Z206" s="551"/>
      <c r="AA206" s="551"/>
    </row>
    <row r="207">
      <c r="A207" s="593">
        <f t="shared" si="351"/>
        <v>2026</v>
      </c>
      <c r="B207" s="629">
        <v>46202.0</v>
      </c>
      <c r="C207" s="594" t="str">
        <f t="shared" si="352"/>
        <v>June</v>
      </c>
      <c r="D207" s="593" t="str">
        <f t="shared" si="353"/>
        <v>Monday</v>
      </c>
      <c r="E207" s="640" t="s">
        <v>1510</v>
      </c>
      <c r="F207" s="639" t="s">
        <v>1469</v>
      </c>
      <c r="G207" s="596"/>
      <c r="H207" s="596"/>
      <c r="I207" s="597">
        <f t="shared" si="354"/>
        <v>1</v>
      </c>
      <c r="J207" s="598">
        <f t="shared" ref="J207:L207" si="387">SUMIFS(J$3:J$9,$I$3:$I$9,$G207)+SUMIFS(J$3:J$9,$I$3:$I$9,$H207)+SUMIFS(J$3:J$9,$I$3:$I$9,$F207)</f>
        <v>21</v>
      </c>
      <c r="K207" s="598">
        <f t="shared" si="387"/>
        <v>0</v>
      </c>
      <c r="L207" s="598">
        <f t="shared" si="387"/>
        <v>0</v>
      </c>
      <c r="M207" s="641">
        <v>5.0</v>
      </c>
      <c r="N207" s="598">
        <f t="shared" ref="N207:O207" si="388">SUMIFS(N$3:N$9,$I$3:$I$9,$G207)+SUMIFS(N$3:N$9,$I$3:$I$9,$H207)+SUMIFS(N$3:N$9,$I$3:$I$9,$F207)</f>
        <v>0</v>
      </c>
      <c r="O207" s="598">
        <f t="shared" si="388"/>
        <v>0</v>
      </c>
      <c r="P207" s="598"/>
      <c r="Q207" s="598"/>
      <c r="R207" s="598"/>
      <c r="S207" s="598">
        <f t="shared" si="356"/>
        <v>26</v>
      </c>
      <c r="T207" s="551"/>
      <c r="U207" s="551"/>
      <c r="V207" s="551"/>
      <c r="W207" s="551"/>
      <c r="X207" s="551"/>
      <c r="Y207" s="551"/>
      <c r="Z207" s="551"/>
      <c r="AA207" s="551"/>
    </row>
    <row r="208">
      <c r="A208" s="593">
        <f t="shared" si="351"/>
        <v>2026</v>
      </c>
      <c r="B208" s="629">
        <v>46203.0</v>
      </c>
      <c r="C208" s="594" t="str">
        <f t="shared" si="352"/>
        <v>June</v>
      </c>
      <c r="D208" s="593" t="str">
        <f t="shared" si="353"/>
        <v>Tuesday</v>
      </c>
      <c r="E208" s="642" t="s">
        <v>1512</v>
      </c>
      <c r="F208" s="639" t="s">
        <v>1469</v>
      </c>
      <c r="G208" s="596"/>
      <c r="H208" s="596"/>
      <c r="I208" s="597">
        <f t="shared" si="354"/>
        <v>1</v>
      </c>
      <c r="J208" s="598">
        <f t="shared" ref="J208:L208" si="389">SUMIFS(J$3:J$9,$I$3:$I$9,$G208)+SUMIFS(J$3:J$9,$I$3:$I$9,$H208)+SUMIFS(J$3:J$9,$I$3:$I$9,$F208)</f>
        <v>21</v>
      </c>
      <c r="K208" s="598">
        <f t="shared" si="389"/>
        <v>0</v>
      </c>
      <c r="L208" s="598">
        <f t="shared" si="389"/>
        <v>0</v>
      </c>
      <c r="M208" s="641">
        <v>5.0</v>
      </c>
      <c r="N208" s="598">
        <f t="shared" ref="N208:O208" si="390">SUMIFS(N$3:N$9,$I$3:$I$9,$G208)+SUMIFS(N$3:N$9,$I$3:$I$9,$H208)+SUMIFS(N$3:N$9,$I$3:$I$9,$F208)</f>
        <v>0</v>
      </c>
      <c r="O208" s="598">
        <f t="shared" si="390"/>
        <v>0</v>
      </c>
      <c r="P208" s="598"/>
      <c r="Q208" s="598"/>
      <c r="R208" s="598"/>
      <c r="S208" s="598">
        <f t="shared" si="356"/>
        <v>26</v>
      </c>
      <c r="T208" s="551"/>
      <c r="U208" s="551"/>
      <c r="V208" s="551"/>
      <c r="W208" s="551"/>
      <c r="X208" s="551"/>
      <c r="Y208" s="551"/>
      <c r="Z208" s="551"/>
      <c r="AA208" s="551"/>
    </row>
    <row r="209">
      <c r="A209" s="593" t="str">
        <f t="shared" si="351"/>
        <v/>
      </c>
      <c r="B209" s="594"/>
      <c r="C209" s="594" t="str">
        <f t="shared" si="352"/>
        <v/>
      </c>
      <c r="D209" s="593" t="str">
        <f t="shared" si="353"/>
        <v/>
      </c>
      <c r="E209" s="595"/>
      <c r="F209" s="596"/>
      <c r="G209" s="596"/>
      <c r="H209" s="596"/>
      <c r="I209" s="597">
        <f t="shared" si="354"/>
        <v>0</v>
      </c>
      <c r="J209" s="598">
        <f t="shared" ref="J209:O209" si="391">SUMIFS(J$3:J$9,$I$3:$I$9,$G209)+SUMIFS(J$3:J$9,$I$3:$I$9,$H209)+SUMIFS(J$3:J$9,$I$3:$I$9,$F209)</f>
        <v>0</v>
      </c>
      <c r="K209" s="598">
        <f t="shared" si="391"/>
        <v>0</v>
      </c>
      <c r="L209" s="598">
        <f t="shared" si="391"/>
        <v>0</v>
      </c>
      <c r="M209" s="598">
        <f t="shared" si="391"/>
        <v>0</v>
      </c>
      <c r="N209" s="598">
        <f t="shared" si="391"/>
        <v>0</v>
      </c>
      <c r="O209" s="598">
        <f t="shared" si="391"/>
        <v>0</v>
      </c>
      <c r="P209" s="598"/>
      <c r="Q209" s="598"/>
      <c r="R209" s="598"/>
      <c r="S209" s="598">
        <f t="shared" si="356"/>
        <v>0</v>
      </c>
      <c r="T209" s="551"/>
      <c r="U209" s="551"/>
      <c r="V209" s="551"/>
      <c r="W209" s="551"/>
      <c r="X209" s="551"/>
      <c r="Y209" s="551"/>
      <c r="Z209" s="551"/>
      <c r="AA209" s="551"/>
    </row>
    <row r="210">
      <c r="A210" s="600">
        <f>A179</f>
        <v>2026</v>
      </c>
      <c r="B210" s="600" t="str">
        <f>CONCATENATE(A210," ",C210)</f>
        <v>2026 June</v>
      </c>
      <c r="C210" s="601" t="str">
        <f>C179</f>
        <v>June</v>
      </c>
      <c r="D210" s="600"/>
      <c r="E210" s="602"/>
      <c r="F210" s="603"/>
      <c r="G210" s="603"/>
      <c r="H210" s="603"/>
      <c r="I210" s="604">
        <f t="shared" ref="I210:S210" si="392">SUM(I179:I209)</f>
        <v>27</v>
      </c>
      <c r="J210" s="605">
        <f t="shared" si="392"/>
        <v>643</v>
      </c>
      <c r="K210" s="605">
        <f t="shared" si="392"/>
        <v>0</v>
      </c>
      <c r="L210" s="605">
        <f t="shared" si="392"/>
        <v>0</v>
      </c>
      <c r="M210" s="605">
        <f t="shared" si="392"/>
        <v>36</v>
      </c>
      <c r="N210" s="605">
        <f t="shared" si="392"/>
        <v>0</v>
      </c>
      <c r="O210" s="605">
        <f t="shared" si="392"/>
        <v>0</v>
      </c>
      <c r="P210" s="605">
        <f t="shared" si="392"/>
        <v>0</v>
      </c>
      <c r="Q210" s="605">
        <f t="shared" si="392"/>
        <v>0</v>
      </c>
      <c r="R210" s="605">
        <f t="shared" si="392"/>
        <v>0</v>
      </c>
      <c r="S210" s="605">
        <f t="shared" si="392"/>
        <v>679</v>
      </c>
      <c r="T210" s="551"/>
      <c r="U210" s="551"/>
      <c r="V210" s="551"/>
      <c r="W210" s="551"/>
      <c r="X210" s="551"/>
      <c r="Y210" s="551"/>
      <c r="Z210" s="551"/>
      <c r="AA210" s="551"/>
    </row>
    <row r="211">
      <c r="A211" s="574"/>
      <c r="B211" s="575"/>
      <c r="C211" s="575"/>
      <c r="D211" s="575"/>
      <c r="E211" s="576"/>
      <c r="F211" s="547"/>
      <c r="G211" s="547"/>
      <c r="H211" s="547"/>
      <c r="I211" s="573"/>
      <c r="J211" s="550"/>
      <c r="K211" s="550"/>
      <c r="L211" s="550"/>
      <c r="M211" s="550"/>
      <c r="N211" s="550"/>
      <c r="O211" s="550"/>
      <c r="P211" s="550"/>
      <c r="Q211" s="550"/>
      <c r="R211" s="550"/>
      <c r="S211" s="550"/>
      <c r="T211" s="551"/>
      <c r="U211" s="551"/>
      <c r="V211" s="551"/>
      <c r="W211" s="551"/>
      <c r="X211" s="551"/>
      <c r="Y211" s="551"/>
      <c r="Z211" s="551"/>
      <c r="AA211" s="551"/>
    </row>
    <row r="212">
      <c r="A212" s="577">
        <f t="shared" ref="A212:A242" si="395">IF(B212="","",YEAR(B212))</f>
        <v>2026</v>
      </c>
      <c r="B212" s="643">
        <v>46204.0</v>
      </c>
      <c r="C212" s="606" t="str">
        <f t="shared" ref="C212:C242" si="396">IF(B212="", "", TEXT(DATE(A212, MONTH(B212), 1), "MMMM"))</f>
        <v>July</v>
      </c>
      <c r="D212" s="577" t="str">
        <f t="shared" ref="D212:D242" si="397">IF(B212="","",TEXT(B212, "dddd"))</f>
        <v>Wednesday</v>
      </c>
      <c r="E212" s="640" t="s">
        <v>1510</v>
      </c>
      <c r="F212" s="639" t="s">
        <v>1469</v>
      </c>
      <c r="G212" s="596"/>
      <c r="H212" s="608"/>
      <c r="I212" s="548">
        <f t="shared" ref="I212:I242" si="398">COUNTIF(F212:H212,"&lt;&gt;")</f>
        <v>1</v>
      </c>
      <c r="J212" s="609">
        <f t="shared" ref="J212:L212" si="393">SUMIFS(J$3:J$9,$I$3:$I$9,$G212)+SUMIFS(J$3:J$9,$I$3:$I$9,$H212)+SUMIFS(J$3:J$9,$I$3:$I$9,$F212)</f>
        <v>21</v>
      </c>
      <c r="K212" s="609">
        <f t="shared" si="393"/>
        <v>0</v>
      </c>
      <c r="L212" s="609">
        <f t="shared" si="393"/>
        <v>0</v>
      </c>
      <c r="M212" s="644">
        <v>5.0</v>
      </c>
      <c r="N212" s="609">
        <f t="shared" ref="N212:O212" si="394">SUMIFS(N$3:N$9,$I$3:$I$9,$G212)+SUMIFS(N$3:N$9,$I$3:$I$9,$H212)+SUMIFS(N$3:N$9,$I$3:$I$9,$F212)</f>
        <v>0</v>
      </c>
      <c r="O212" s="609">
        <f t="shared" si="394"/>
        <v>0</v>
      </c>
      <c r="P212" s="609"/>
      <c r="Q212" s="609"/>
      <c r="R212" s="609"/>
      <c r="S212" s="609">
        <f t="shared" ref="S212:S242" si="401">SUM(J212:R212)</f>
        <v>26</v>
      </c>
      <c r="T212" s="551"/>
      <c r="U212" s="551"/>
      <c r="V212" s="551"/>
      <c r="W212" s="551"/>
      <c r="X212" s="551"/>
      <c r="Y212" s="551"/>
      <c r="Z212" s="551"/>
      <c r="AA212" s="551"/>
    </row>
    <row r="213">
      <c r="A213" s="593">
        <f t="shared" si="395"/>
        <v>2026</v>
      </c>
      <c r="B213" s="645">
        <v>46205.0</v>
      </c>
      <c r="C213" s="594" t="str">
        <f t="shared" si="396"/>
        <v>July</v>
      </c>
      <c r="D213" s="593" t="str">
        <f t="shared" si="397"/>
        <v>Thursday</v>
      </c>
      <c r="E213" s="640" t="s">
        <v>1510</v>
      </c>
      <c r="F213" s="639" t="s">
        <v>1469</v>
      </c>
      <c r="G213" s="596"/>
      <c r="H213" s="596"/>
      <c r="I213" s="597">
        <f t="shared" si="398"/>
        <v>1</v>
      </c>
      <c r="J213" s="598">
        <f t="shared" ref="J213:L213" si="399">SUMIFS(J$3:J$9,$I$3:$I$9,$G213)+SUMIFS(J$3:J$9,$I$3:$I$9,$H213)+SUMIFS(J$3:J$9,$I$3:$I$9,$F213)</f>
        <v>21</v>
      </c>
      <c r="K213" s="598">
        <f t="shared" si="399"/>
        <v>0</v>
      </c>
      <c r="L213" s="598">
        <f t="shared" si="399"/>
        <v>0</v>
      </c>
      <c r="M213" s="641">
        <v>5.0</v>
      </c>
      <c r="N213" s="598">
        <f t="shared" ref="N213:O213" si="400">SUMIFS(N$3:N$9,$I$3:$I$9,$G213)+SUMIFS(N$3:N$9,$I$3:$I$9,$H213)+SUMIFS(N$3:N$9,$I$3:$I$9,$F213)</f>
        <v>0</v>
      </c>
      <c r="O213" s="598">
        <f t="shared" si="400"/>
        <v>0</v>
      </c>
      <c r="P213" s="598"/>
      <c r="Q213" s="598"/>
      <c r="R213" s="598"/>
      <c r="S213" s="598">
        <f t="shared" si="401"/>
        <v>26</v>
      </c>
      <c r="T213" s="551"/>
      <c r="U213" s="551"/>
      <c r="V213" s="551"/>
      <c r="W213" s="551"/>
      <c r="X213" s="551"/>
      <c r="Y213" s="551"/>
      <c r="Z213" s="551"/>
      <c r="AA213" s="551"/>
    </row>
    <row r="214">
      <c r="A214" s="593">
        <f t="shared" si="395"/>
        <v>2026</v>
      </c>
      <c r="B214" s="645">
        <v>46206.0</v>
      </c>
      <c r="C214" s="594" t="str">
        <f t="shared" si="396"/>
        <v>July</v>
      </c>
      <c r="D214" s="593" t="str">
        <f t="shared" si="397"/>
        <v>Friday</v>
      </c>
      <c r="E214" s="638" t="s">
        <v>1513</v>
      </c>
      <c r="F214" s="639" t="s">
        <v>1469</v>
      </c>
      <c r="G214" s="596"/>
      <c r="H214" s="596"/>
      <c r="I214" s="597">
        <f t="shared" si="398"/>
        <v>1</v>
      </c>
      <c r="J214" s="598">
        <f t="shared" ref="J214:L214" si="402">SUMIFS(J$3:J$9,$I$3:$I$9,$G214)+SUMIFS(J$3:J$9,$I$3:$I$9,$H214)+SUMIFS(J$3:J$9,$I$3:$I$9,$F214)</f>
        <v>21</v>
      </c>
      <c r="K214" s="598">
        <f t="shared" si="402"/>
        <v>0</v>
      </c>
      <c r="L214" s="598">
        <f t="shared" si="402"/>
        <v>0</v>
      </c>
      <c r="M214" s="641">
        <v>5.0</v>
      </c>
      <c r="N214" s="598">
        <f t="shared" ref="N214:O214" si="403">SUMIFS(N$3:N$9,$I$3:$I$9,$G214)+SUMIFS(N$3:N$9,$I$3:$I$9,$H214)+SUMIFS(N$3:N$9,$I$3:$I$9,$F214)</f>
        <v>0</v>
      </c>
      <c r="O214" s="598">
        <f t="shared" si="403"/>
        <v>0</v>
      </c>
      <c r="P214" s="598"/>
      <c r="Q214" s="598"/>
      <c r="R214" s="598"/>
      <c r="S214" s="598">
        <f t="shared" si="401"/>
        <v>26</v>
      </c>
      <c r="T214" s="551"/>
      <c r="U214" s="551"/>
      <c r="V214" s="551"/>
      <c r="W214" s="551"/>
      <c r="X214" s="551"/>
      <c r="Y214" s="551"/>
      <c r="Z214" s="551"/>
      <c r="AA214" s="551"/>
    </row>
    <row r="215">
      <c r="A215" s="593">
        <f t="shared" si="395"/>
        <v>2026</v>
      </c>
      <c r="B215" s="645">
        <v>46207.0</v>
      </c>
      <c r="C215" s="594" t="str">
        <f t="shared" si="396"/>
        <v>July</v>
      </c>
      <c r="D215" s="593" t="str">
        <f t="shared" si="397"/>
        <v>Saturday</v>
      </c>
      <c r="E215" s="646" t="s">
        <v>1514</v>
      </c>
      <c r="F215" s="639" t="s">
        <v>1469</v>
      </c>
      <c r="G215" s="596"/>
      <c r="H215" s="596"/>
      <c r="I215" s="597">
        <f t="shared" si="398"/>
        <v>1</v>
      </c>
      <c r="J215" s="598">
        <f t="shared" ref="J215:L215" si="404">SUMIFS(J$3:J$9,$I$3:$I$9,$G215)+SUMIFS(J$3:J$9,$I$3:$I$9,$H215)+SUMIFS(J$3:J$9,$I$3:$I$9,$F215)</f>
        <v>21</v>
      </c>
      <c r="K215" s="598">
        <f t="shared" si="404"/>
        <v>0</v>
      </c>
      <c r="L215" s="598">
        <f t="shared" si="404"/>
        <v>0</v>
      </c>
      <c r="M215" s="641">
        <v>5.0</v>
      </c>
      <c r="N215" s="598">
        <f t="shared" ref="N215:O215" si="405">SUMIFS(N$3:N$9,$I$3:$I$9,$G215)+SUMIFS(N$3:N$9,$I$3:$I$9,$H215)+SUMIFS(N$3:N$9,$I$3:$I$9,$F215)</f>
        <v>0</v>
      </c>
      <c r="O215" s="598">
        <f t="shared" si="405"/>
        <v>0</v>
      </c>
      <c r="P215" s="598"/>
      <c r="Q215" s="598"/>
      <c r="R215" s="598"/>
      <c r="S215" s="598">
        <f t="shared" si="401"/>
        <v>26</v>
      </c>
      <c r="T215" s="551"/>
      <c r="U215" s="551"/>
      <c r="V215" s="551"/>
      <c r="W215" s="551"/>
      <c r="X215" s="551"/>
      <c r="Y215" s="551"/>
      <c r="Z215" s="551"/>
      <c r="AA215" s="551"/>
    </row>
    <row r="216">
      <c r="A216" s="593">
        <f t="shared" si="395"/>
        <v>2026</v>
      </c>
      <c r="B216" s="645">
        <v>46208.0</v>
      </c>
      <c r="C216" s="594" t="str">
        <f t="shared" si="396"/>
        <v>July</v>
      </c>
      <c r="D216" s="593" t="str">
        <f t="shared" si="397"/>
        <v>Sunday</v>
      </c>
      <c r="E216" s="634"/>
      <c r="F216" s="596"/>
      <c r="G216" s="596"/>
      <c r="H216" s="596"/>
      <c r="I216" s="597">
        <f t="shared" si="398"/>
        <v>0</v>
      </c>
      <c r="J216" s="598">
        <f t="shared" ref="J216:O216" si="406">SUMIFS(J$3:J$9,$I$3:$I$9,$G216)+SUMIFS(J$3:J$9,$I$3:$I$9,$H216)+SUMIFS(J$3:J$9,$I$3:$I$9,$F216)</f>
        <v>0</v>
      </c>
      <c r="K216" s="598">
        <f t="shared" si="406"/>
        <v>0</v>
      </c>
      <c r="L216" s="598">
        <f t="shared" si="406"/>
        <v>0</v>
      </c>
      <c r="M216" s="598">
        <f t="shared" si="406"/>
        <v>0</v>
      </c>
      <c r="N216" s="598">
        <f t="shared" si="406"/>
        <v>0</v>
      </c>
      <c r="O216" s="598">
        <f t="shared" si="406"/>
        <v>0</v>
      </c>
      <c r="P216" s="598"/>
      <c r="Q216" s="598"/>
      <c r="R216" s="598"/>
      <c r="S216" s="598">
        <f t="shared" si="401"/>
        <v>0</v>
      </c>
      <c r="T216" s="551"/>
      <c r="U216" s="551"/>
      <c r="V216" s="551"/>
      <c r="W216" s="551"/>
      <c r="X216" s="551"/>
      <c r="Y216" s="551"/>
      <c r="Z216" s="551"/>
      <c r="AA216" s="551"/>
    </row>
    <row r="217">
      <c r="A217" s="593">
        <f t="shared" si="395"/>
        <v>2026</v>
      </c>
      <c r="B217" s="645">
        <v>46209.0</v>
      </c>
      <c r="C217" s="594" t="str">
        <f t="shared" si="396"/>
        <v>July</v>
      </c>
      <c r="D217" s="593" t="str">
        <f t="shared" si="397"/>
        <v>Monday</v>
      </c>
      <c r="E217" s="647" t="s">
        <v>1515</v>
      </c>
      <c r="F217" s="639" t="s">
        <v>1469</v>
      </c>
      <c r="G217" s="648"/>
      <c r="H217" s="596"/>
      <c r="I217" s="597">
        <f t="shared" si="398"/>
        <v>1</v>
      </c>
      <c r="J217" s="598">
        <f t="shared" ref="J217:L217" si="407">SUMIFS(J$3:J$9,$I$3:$I$9,$G217)+SUMIFS(J$3:J$9,$I$3:$I$9,$H217)+SUMIFS(J$3:J$9,$I$3:$I$9,$F217)</f>
        <v>21</v>
      </c>
      <c r="K217" s="598">
        <f t="shared" si="407"/>
        <v>0</v>
      </c>
      <c r="L217" s="598">
        <f t="shared" si="407"/>
        <v>0</v>
      </c>
      <c r="M217" s="641">
        <v>5.0</v>
      </c>
      <c r="N217" s="598">
        <f t="shared" ref="N217:O217" si="408">SUMIFS(N$3:N$9,$I$3:$I$9,$G217)+SUMIFS(N$3:N$9,$I$3:$I$9,$H217)+SUMIFS(N$3:N$9,$I$3:$I$9,$F217)</f>
        <v>0</v>
      </c>
      <c r="O217" s="598">
        <f t="shared" si="408"/>
        <v>0</v>
      </c>
      <c r="P217" s="598"/>
      <c r="Q217" s="598"/>
      <c r="R217" s="598"/>
      <c r="S217" s="598">
        <f t="shared" si="401"/>
        <v>26</v>
      </c>
      <c r="T217" s="551"/>
      <c r="U217" s="551"/>
      <c r="V217" s="551"/>
      <c r="W217" s="551"/>
      <c r="X217" s="551"/>
      <c r="Y217" s="551"/>
      <c r="Z217" s="551"/>
      <c r="AA217" s="551"/>
    </row>
    <row r="218">
      <c r="A218" s="593">
        <f t="shared" si="395"/>
        <v>2026</v>
      </c>
      <c r="B218" s="645">
        <v>46210.0</v>
      </c>
      <c r="C218" s="594" t="str">
        <f t="shared" si="396"/>
        <v>July</v>
      </c>
      <c r="D218" s="593" t="str">
        <f t="shared" si="397"/>
        <v>Tuesday</v>
      </c>
      <c r="E218" s="647" t="s">
        <v>1515</v>
      </c>
      <c r="F218" s="639" t="s">
        <v>1469</v>
      </c>
      <c r="G218" s="648"/>
      <c r="H218" s="596"/>
      <c r="I218" s="597">
        <f t="shared" si="398"/>
        <v>1</v>
      </c>
      <c r="J218" s="598">
        <f t="shared" ref="J218:L218" si="409">SUMIFS(J$3:J$9,$I$3:$I$9,$G218)+SUMIFS(J$3:J$9,$I$3:$I$9,$H218)+SUMIFS(J$3:J$9,$I$3:$I$9,$F218)</f>
        <v>21</v>
      </c>
      <c r="K218" s="598">
        <f t="shared" si="409"/>
        <v>0</v>
      </c>
      <c r="L218" s="598">
        <f t="shared" si="409"/>
        <v>0</v>
      </c>
      <c r="M218" s="641">
        <v>5.0</v>
      </c>
      <c r="N218" s="598">
        <f t="shared" ref="N218:O218" si="410">SUMIFS(N$3:N$9,$I$3:$I$9,$G218)+SUMIFS(N$3:N$9,$I$3:$I$9,$H218)+SUMIFS(N$3:N$9,$I$3:$I$9,$F218)</f>
        <v>0</v>
      </c>
      <c r="O218" s="598">
        <f t="shared" si="410"/>
        <v>0</v>
      </c>
      <c r="P218" s="598"/>
      <c r="Q218" s="598"/>
      <c r="R218" s="598"/>
      <c r="S218" s="598">
        <f t="shared" si="401"/>
        <v>26</v>
      </c>
      <c r="T218" s="551"/>
      <c r="U218" s="551"/>
      <c r="V218" s="551"/>
      <c r="W218" s="551"/>
      <c r="X218" s="551"/>
      <c r="Y218" s="551"/>
      <c r="Z218" s="551"/>
      <c r="AA218" s="551"/>
    </row>
    <row r="219">
      <c r="A219" s="593">
        <f t="shared" si="395"/>
        <v>2026</v>
      </c>
      <c r="B219" s="645">
        <v>46211.0</v>
      </c>
      <c r="C219" s="594" t="str">
        <f t="shared" si="396"/>
        <v>July</v>
      </c>
      <c r="D219" s="593" t="str">
        <f t="shared" si="397"/>
        <v>Wednesday</v>
      </c>
      <c r="E219" s="647" t="s">
        <v>1515</v>
      </c>
      <c r="F219" s="639" t="s">
        <v>1469</v>
      </c>
      <c r="G219" s="648"/>
      <c r="H219" s="596"/>
      <c r="I219" s="597">
        <f t="shared" si="398"/>
        <v>1</v>
      </c>
      <c r="J219" s="598">
        <f t="shared" ref="J219:L219" si="411">SUMIFS(J$3:J$9,$I$3:$I$9,$G219)+SUMIFS(J$3:J$9,$I$3:$I$9,$H219)+SUMIFS(J$3:J$9,$I$3:$I$9,$F219)</f>
        <v>21</v>
      </c>
      <c r="K219" s="598">
        <f t="shared" si="411"/>
        <v>0</v>
      </c>
      <c r="L219" s="598">
        <f t="shared" si="411"/>
        <v>0</v>
      </c>
      <c r="M219" s="641">
        <v>5.0</v>
      </c>
      <c r="N219" s="598">
        <f t="shared" ref="N219:O219" si="412">SUMIFS(N$3:N$9,$I$3:$I$9,$G219)+SUMIFS(N$3:N$9,$I$3:$I$9,$H219)+SUMIFS(N$3:N$9,$I$3:$I$9,$F219)</f>
        <v>0</v>
      </c>
      <c r="O219" s="598">
        <f t="shared" si="412"/>
        <v>0</v>
      </c>
      <c r="P219" s="598"/>
      <c r="Q219" s="598"/>
      <c r="R219" s="598"/>
      <c r="S219" s="598">
        <f t="shared" si="401"/>
        <v>26</v>
      </c>
      <c r="T219" s="551"/>
      <c r="U219" s="551"/>
      <c r="V219" s="551"/>
      <c r="W219" s="551"/>
      <c r="X219" s="551"/>
      <c r="Y219" s="551"/>
      <c r="Z219" s="551"/>
      <c r="AA219" s="551"/>
    </row>
    <row r="220">
      <c r="A220" s="593">
        <f t="shared" si="395"/>
        <v>2026</v>
      </c>
      <c r="B220" s="645">
        <v>46212.0</v>
      </c>
      <c r="C220" s="594" t="str">
        <f t="shared" si="396"/>
        <v>July</v>
      </c>
      <c r="D220" s="593" t="str">
        <f t="shared" si="397"/>
        <v>Thursday</v>
      </c>
      <c r="E220" s="646" t="s">
        <v>1516</v>
      </c>
      <c r="F220" s="639" t="s">
        <v>1469</v>
      </c>
      <c r="G220" s="648"/>
      <c r="H220" s="596"/>
      <c r="I220" s="597">
        <f t="shared" si="398"/>
        <v>1</v>
      </c>
      <c r="J220" s="598">
        <f t="shared" ref="J220:L220" si="413">SUMIFS(J$3:J$9,$I$3:$I$9,$G220)+SUMIFS(J$3:J$9,$I$3:$I$9,$H220)+SUMIFS(J$3:J$9,$I$3:$I$9,$F220)</f>
        <v>21</v>
      </c>
      <c r="K220" s="598">
        <f t="shared" si="413"/>
        <v>0</v>
      </c>
      <c r="L220" s="598">
        <f t="shared" si="413"/>
        <v>0</v>
      </c>
      <c r="M220" s="641">
        <v>5.0</v>
      </c>
      <c r="N220" s="598">
        <f t="shared" ref="N220:O220" si="414">SUMIFS(N$3:N$9,$I$3:$I$9,$G220)+SUMIFS(N$3:N$9,$I$3:$I$9,$H220)+SUMIFS(N$3:N$9,$I$3:$I$9,$F220)</f>
        <v>0</v>
      </c>
      <c r="O220" s="598">
        <f t="shared" si="414"/>
        <v>0</v>
      </c>
      <c r="P220" s="598"/>
      <c r="Q220" s="598"/>
      <c r="R220" s="598"/>
      <c r="S220" s="598">
        <f t="shared" si="401"/>
        <v>26</v>
      </c>
      <c r="T220" s="551"/>
      <c r="U220" s="551"/>
      <c r="V220" s="551"/>
      <c r="W220" s="551"/>
      <c r="X220" s="551"/>
      <c r="Y220" s="551"/>
      <c r="Z220" s="551"/>
      <c r="AA220" s="551"/>
    </row>
    <row r="221">
      <c r="A221" s="593">
        <f t="shared" si="395"/>
        <v>2026</v>
      </c>
      <c r="B221" s="645">
        <v>46213.0</v>
      </c>
      <c r="C221" s="594" t="str">
        <f t="shared" si="396"/>
        <v>July</v>
      </c>
      <c r="D221" s="593" t="str">
        <f t="shared" si="397"/>
        <v>Friday</v>
      </c>
      <c r="E221" s="647" t="s">
        <v>1515</v>
      </c>
      <c r="F221" s="639" t="s">
        <v>1469</v>
      </c>
      <c r="G221" s="648"/>
      <c r="H221" s="596"/>
      <c r="I221" s="597">
        <f t="shared" si="398"/>
        <v>1</v>
      </c>
      <c r="J221" s="598">
        <f t="shared" ref="J221:L221" si="415">SUMIFS(J$3:J$9,$I$3:$I$9,$G221)+SUMIFS(J$3:J$9,$I$3:$I$9,$H221)+SUMIFS(J$3:J$9,$I$3:$I$9,$F221)</f>
        <v>21</v>
      </c>
      <c r="K221" s="598">
        <f t="shared" si="415"/>
        <v>0</v>
      </c>
      <c r="L221" s="598">
        <f t="shared" si="415"/>
        <v>0</v>
      </c>
      <c r="M221" s="641">
        <v>5.0</v>
      </c>
      <c r="N221" s="598">
        <f t="shared" ref="N221:O221" si="416">SUMIFS(N$3:N$9,$I$3:$I$9,$G221)+SUMIFS(N$3:N$9,$I$3:$I$9,$H221)+SUMIFS(N$3:N$9,$I$3:$I$9,$F221)</f>
        <v>0</v>
      </c>
      <c r="O221" s="598">
        <f t="shared" si="416"/>
        <v>0</v>
      </c>
      <c r="P221" s="598"/>
      <c r="Q221" s="598"/>
      <c r="R221" s="598"/>
      <c r="S221" s="598">
        <f t="shared" si="401"/>
        <v>26</v>
      </c>
      <c r="T221" s="551"/>
      <c r="U221" s="551"/>
      <c r="V221" s="551"/>
      <c r="W221" s="551"/>
      <c r="X221" s="551"/>
      <c r="Y221" s="551"/>
      <c r="Z221" s="551"/>
      <c r="AA221" s="551"/>
    </row>
    <row r="222">
      <c r="A222" s="593">
        <f t="shared" si="395"/>
        <v>2026</v>
      </c>
      <c r="B222" s="645">
        <v>46214.0</v>
      </c>
      <c r="C222" s="594" t="str">
        <f t="shared" si="396"/>
        <v>July</v>
      </c>
      <c r="D222" s="593" t="str">
        <f t="shared" si="397"/>
        <v>Saturday</v>
      </c>
      <c r="E222" s="647" t="s">
        <v>1515</v>
      </c>
      <c r="F222" s="639" t="s">
        <v>1469</v>
      </c>
      <c r="G222" s="648"/>
      <c r="H222" s="596"/>
      <c r="I222" s="597">
        <f t="shared" si="398"/>
        <v>1</v>
      </c>
      <c r="J222" s="598">
        <f t="shared" ref="J222:L222" si="417">SUMIFS(J$3:J$9,$I$3:$I$9,$G222)+SUMIFS(J$3:J$9,$I$3:$I$9,$H222)+SUMIFS(J$3:J$9,$I$3:$I$9,$F222)</f>
        <v>21</v>
      </c>
      <c r="K222" s="598">
        <f t="shared" si="417"/>
        <v>0</v>
      </c>
      <c r="L222" s="598">
        <f t="shared" si="417"/>
        <v>0</v>
      </c>
      <c r="M222" s="641">
        <v>5.0</v>
      </c>
      <c r="N222" s="598">
        <f t="shared" ref="N222:O222" si="418">SUMIFS(N$3:N$9,$I$3:$I$9,$G222)+SUMIFS(N$3:N$9,$I$3:$I$9,$H222)+SUMIFS(N$3:N$9,$I$3:$I$9,$F222)</f>
        <v>0</v>
      </c>
      <c r="O222" s="598">
        <f t="shared" si="418"/>
        <v>0</v>
      </c>
      <c r="P222" s="598"/>
      <c r="Q222" s="598"/>
      <c r="R222" s="598"/>
      <c r="S222" s="598">
        <f t="shared" si="401"/>
        <v>26</v>
      </c>
      <c r="T222" s="551"/>
      <c r="U222" s="551"/>
      <c r="V222" s="551"/>
      <c r="W222" s="551"/>
      <c r="X222" s="551"/>
      <c r="Y222" s="551"/>
      <c r="Z222" s="551"/>
      <c r="AA222" s="551"/>
    </row>
    <row r="223">
      <c r="A223" s="593">
        <f t="shared" si="395"/>
        <v>2026</v>
      </c>
      <c r="B223" s="645">
        <v>46215.0</v>
      </c>
      <c r="C223" s="594" t="str">
        <f t="shared" si="396"/>
        <v>July</v>
      </c>
      <c r="D223" s="635" t="str">
        <f t="shared" si="397"/>
        <v>Sunday</v>
      </c>
      <c r="E223" s="634"/>
      <c r="F223" s="596"/>
      <c r="G223" s="596"/>
      <c r="H223" s="596"/>
      <c r="I223" s="597">
        <f t="shared" si="398"/>
        <v>0</v>
      </c>
      <c r="J223" s="598">
        <f t="shared" ref="J223:O223" si="419">SUMIFS(J$3:J$9,$I$3:$I$9,$G223)+SUMIFS(J$3:J$9,$I$3:$I$9,$H223)+SUMIFS(J$3:J$9,$I$3:$I$9,$F223)</f>
        <v>0</v>
      </c>
      <c r="K223" s="598">
        <f t="shared" si="419"/>
        <v>0</v>
      </c>
      <c r="L223" s="598">
        <f t="shared" si="419"/>
        <v>0</v>
      </c>
      <c r="M223" s="598">
        <f t="shared" si="419"/>
        <v>0</v>
      </c>
      <c r="N223" s="598">
        <f t="shared" si="419"/>
        <v>0</v>
      </c>
      <c r="O223" s="598">
        <f t="shared" si="419"/>
        <v>0</v>
      </c>
      <c r="P223" s="598"/>
      <c r="Q223" s="598"/>
      <c r="R223" s="598"/>
      <c r="S223" s="598">
        <f t="shared" si="401"/>
        <v>0</v>
      </c>
      <c r="T223" s="551"/>
      <c r="U223" s="551"/>
      <c r="V223" s="551"/>
      <c r="W223" s="551"/>
      <c r="X223" s="551"/>
      <c r="Y223" s="551"/>
      <c r="Z223" s="551"/>
      <c r="AA223" s="551"/>
    </row>
    <row r="224">
      <c r="A224" s="593">
        <f t="shared" si="395"/>
        <v>2026</v>
      </c>
      <c r="B224" s="645">
        <v>46216.0</v>
      </c>
      <c r="C224" s="594" t="str">
        <f t="shared" si="396"/>
        <v>July</v>
      </c>
      <c r="D224" s="593" t="str">
        <f t="shared" si="397"/>
        <v>Monday</v>
      </c>
      <c r="E224" s="647" t="s">
        <v>1515</v>
      </c>
      <c r="F224" s="639" t="s">
        <v>1469</v>
      </c>
      <c r="G224" s="596"/>
      <c r="H224" s="596"/>
      <c r="I224" s="597">
        <f t="shared" si="398"/>
        <v>1</v>
      </c>
      <c r="J224" s="598">
        <f t="shared" ref="J224:L224" si="420">SUMIFS(J$3:J$9,$I$3:$I$9,$G224)+SUMIFS(J$3:J$9,$I$3:$I$9,$H224)+SUMIFS(J$3:J$9,$I$3:$I$9,$F224)</f>
        <v>21</v>
      </c>
      <c r="K224" s="598">
        <f t="shared" si="420"/>
        <v>0</v>
      </c>
      <c r="L224" s="598">
        <f t="shared" si="420"/>
        <v>0</v>
      </c>
      <c r="M224" s="641">
        <v>5.0</v>
      </c>
      <c r="N224" s="598">
        <f t="shared" ref="N224:O224" si="421">SUMIFS(N$3:N$9,$I$3:$I$9,$G224)+SUMIFS(N$3:N$9,$I$3:$I$9,$H224)+SUMIFS(N$3:N$9,$I$3:$I$9,$F224)</f>
        <v>0</v>
      </c>
      <c r="O224" s="598">
        <f t="shared" si="421"/>
        <v>0</v>
      </c>
      <c r="P224" s="598"/>
      <c r="Q224" s="598"/>
      <c r="R224" s="598"/>
      <c r="S224" s="598">
        <f t="shared" si="401"/>
        <v>26</v>
      </c>
      <c r="T224" s="551"/>
      <c r="U224" s="551"/>
      <c r="V224" s="551"/>
      <c r="W224" s="551"/>
      <c r="X224" s="551"/>
      <c r="Y224" s="551"/>
      <c r="Z224" s="551"/>
      <c r="AA224" s="551"/>
    </row>
    <row r="225">
      <c r="A225" s="593">
        <f t="shared" si="395"/>
        <v>2026</v>
      </c>
      <c r="B225" s="645">
        <v>46217.0</v>
      </c>
      <c r="C225" s="594" t="str">
        <f t="shared" si="396"/>
        <v>July</v>
      </c>
      <c r="D225" s="593" t="str">
        <f t="shared" si="397"/>
        <v>Tuesday</v>
      </c>
      <c r="E225" s="646" t="s">
        <v>1517</v>
      </c>
      <c r="F225" s="639" t="s">
        <v>1469</v>
      </c>
      <c r="G225" s="596"/>
      <c r="H225" s="596"/>
      <c r="I225" s="597">
        <f t="shared" si="398"/>
        <v>1</v>
      </c>
      <c r="J225" s="598">
        <f t="shared" ref="J225:L225" si="422">SUMIFS(J$3:J$9,$I$3:$I$9,$G225)+SUMIFS(J$3:J$9,$I$3:$I$9,$H225)+SUMIFS(J$3:J$9,$I$3:$I$9,$F225)</f>
        <v>21</v>
      </c>
      <c r="K225" s="598">
        <f t="shared" si="422"/>
        <v>0</v>
      </c>
      <c r="L225" s="598">
        <f t="shared" si="422"/>
        <v>0</v>
      </c>
      <c r="M225" s="641">
        <v>5.0</v>
      </c>
      <c r="N225" s="598">
        <f t="shared" ref="N225:O225" si="423">SUMIFS(N$3:N$9,$I$3:$I$9,$G225)+SUMIFS(N$3:N$9,$I$3:$I$9,$H225)+SUMIFS(N$3:N$9,$I$3:$I$9,$F225)</f>
        <v>0</v>
      </c>
      <c r="O225" s="598">
        <f t="shared" si="423"/>
        <v>0</v>
      </c>
      <c r="P225" s="598"/>
      <c r="Q225" s="598"/>
      <c r="R225" s="598"/>
      <c r="S225" s="598">
        <f t="shared" si="401"/>
        <v>26</v>
      </c>
      <c r="T225" s="551"/>
      <c r="U225" s="551"/>
      <c r="V225" s="551"/>
      <c r="W225" s="551"/>
      <c r="X225" s="551"/>
      <c r="Y225" s="551"/>
      <c r="Z225" s="551"/>
      <c r="AA225" s="551"/>
    </row>
    <row r="226">
      <c r="A226" s="593">
        <f t="shared" si="395"/>
        <v>2026</v>
      </c>
      <c r="B226" s="645">
        <v>46218.0</v>
      </c>
      <c r="C226" s="594" t="str">
        <f t="shared" si="396"/>
        <v>July</v>
      </c>
      <c r="D226" s="593" t="str">
        <f t="shared" si="397"/>
        <v>Wednesday</v>
      </c>
      <c r="E226" s="649" t="s">
        <v>1518</v>
      </c>
      <c r="F226" s="639" t="s">
        <v>1461</v>
      </c>
      <c r="G226" s="596"/>
      <c r="H226" s="596"/>
      <c r="I226" s="597">
        <f t="shared" si="398"/>
        <v>1</v>
      </c>
      <c r="J226" s="598">
        <f t="shared" ref="J226:O226" si="424">SUMIFS(J$3:J$9,$I$3:$I$9,$G226)+SUMIFS(J$3:J$9,$I$3:$I$9,$H226)+SUMIFS(J$3:J$9,$I$3:$I$9,$F226)</f>
        <v>25</v>
      </c>
      <c r="K226" s="598">
        <f t="shared" si="424"/>
        <v>0</v>
      </c>
      <c r="L226" s="598">
        <f t="shared" si="424"/>
        <v>0</v>
      </c>
      <c r="M226" s="598">
        <f t="shared" si="424"/>
        <v>0</v>
      </c>
      <c r="N226" s="598">
        <f t="shared" si="424"/>
        <v>0</v>
      </c>
      <c r="O226" s="598">
        <f t="shared" si="424"/>
        <v>0</v>
      </c>
      <c r="P226" s="598"/>
      <c r="Q226" s="598"/>
      <c r="R226" s="598"/>
      <c r="S226" s="598">
        <f t="shared" si="401"/>
        <v>25</v>
      </c>
      <c r="T226" s="551"/>
      <c r="U226" s="551"/>
      <c r="V226" s="551"/>
      <c r="W226" s="551"/>
      <c r="X226" s="551"/>
      <c r="Y226" s="551"/>
      <c r="Z226" s="551"/>
      <c r="AA226" s="551"/>
    </row>
    <row r="227">
      <c r="A227" s="593">
        <f t="shared" si="395"/>
        <v>2026</v>
      </c>
      <c r="B227" s="645">
        <v>46219.0</v>
      </c>
      <c r="C227" s="594" t="str">
        <f t="shared" si="396"/>
        <v>July</v>
      </c>
      <c r="D227" s="593" t="str">
        <f t="shared" si="397"/>
        <v>Thursday</v>
      </c>
      <c r="E227" s="650" t="s">
        <v>1515</v>
      </c>
      <c r="F227" s="639" t="s">
        <v>1461</v>
      </c>
      <c r="G227" s="596"/>
      <c r="H227" s="596"/>
      <c r="I227" s="597">
        <f t="shared" si="398"/>
        <v>1</v>
      </c>
      <c r="J227" s="598">
        <f t="shared" ref="J227:O227" si="425">SUMIFS(J$3:J$9,$I$3:$I$9,$G227)+SUMIFS(J$3:J$9,$I$3:$I$9,$H227)+SUMIFS(J$3:J$9,$I$3:$I$9,$F227)</f>
        <v>25</v>
      </c>
      <c r="K227" s="598">
        <f t="shared" si="425"/>
        <v>0</v>
      </c>
      <c r="L227" s="598">
        <f t="shared" si="425"/>
        <v>0</v>
      </c>
      <c r="M227" s="598">
        <f t="shared" si="425"/>
        <v>0</v>
      </c>
      <c r="N227" s="598">
        <f t="shared" si="425"/>
        <v>0</v>
      </c>
      <c r="O227" s="598">
        <f t="shared" si="425"/>
        <v>0</v>
      </c>
      <c r="P227" s="598"/>
      <c r="Q227" s="598"/>
      <c r="R227" s="598"/>
      <c r="S227" s="598">
        <f t="shared" si="401"/>
        <v>25</v>
      </c>
      <c r="T227" s="551"/>
      <c r="U227" s="551"/>
      <c r="V227" s="551"/>
      <c r="W227" s="551"/>
      <c r="X227" s="551"/>
      <c r="Y227" s="551"/>
      <c r="Z227" s="551"/>
      <c r="AA227" s="551"/>
    </row>
    <row r="228">
      <c r="A228" s="593">
        <f t="shared" si="395"/>
        <v>2026</v>
      </c>
      <c r="B228" s="645">
        <v>46220.0</v>
      </c>
      <c r="C228" s="594" t="str">
        <f t="shared" si="396"/>
        <v>July</v>
      </c>
      <c r="D228" s="593" t="str">
        <f t="shared" si="397"/>
        <v>Friday</v>
      </c>
      <c r="E228" s="650" t="s">
        <v>1515</v>
      </c>
      <c r="F228" s="639" t="s">
        <v>1461</v>
      </c>
      <c r="G228" s="596"/>
      <c r="H228" s="596"/>
      <c r="I228" s="597">
        <f t="shared" si="398"/>
        <v>1</v>
      </c>
      <c r="J228" s="598">
        <f t="shared" ref="J228:O228" si="426">SUMIFS(J$3:J$9,$I$3:$I$9,$G228)+SUMIFS(J$3:J$9,$I$3:$I$9,$H228)+SUMIFS(J$3:J$9,$I$3:$I$9,$F228)</f>
        <v>25</v>
      </c>
      <c r="K228" s="598">
        <f t="shared" si="426"/>
        <v>0</v>
      </c>
      <c r="L228" s="598">
        <f t="shared" si="426"/>
        <v>0</v>
      </c>
      <c r="M228" s="598">
        <f t="shared" si="426"/>
        <v>0</v>
      </c>
      <c r="N228" s="598">
        <f t="shared" si="426"/>
        <v>0</v>
      </c>
      <c r="O228" s="598">
        <f t="shared" si="426"/>
        <v>0</v>
      </c>
      <c r="P228" s="598"/>
      <c r="Q228" s="598"/>
      <c r="R228" s="598"/>
      <c r="S228" s="598">
        <f t="shared" si="401"/>
        <v>25</v>
      </c>
      <c r="T228" s="551"/>
      <c r="U228" s="551"/>
      <c r="V228" s="551"/>
      <c r="W228" s="551"/>
      <c r="X228" s="551"/>
      <c r="Y228" s="551"/>
      <c r="Z228" s="551"/>
      <c r="AA228" s="551"/>
    </row>
    <row r="229">
      <c r="A229" s="593">
        <f t="shared" si="395"/>
        <v>2026</v>
      </c>
      <c r="B229" s="645">
        <v>46221.0</v>
      </c>
      <c r="C229" s="594" t="str">
        <f t="shared" si="396"/>
        <v>July</v>
      </c>
      <c r="D229" s="593" t="str">
        <f t="shared" si="397"/>
        <v>Saturday</v>
      </c>
      <c r="E229" s="650" t="s">
        <v>1515</v>
      </c>
      <c r="F229" s="639" t="s">
        <v>1461</v>
      </c>
      <c r="G229" s="596"/>
      <c r="H229" s="596"/>
      <c r="I229" s="597">
        <f t="shared" si="398"/>
        <v>1</v>
      </c>
      <c r="J229" s="598">
        <f t="shared" ref="J229:O229" si="427">SUMIFS(J$3:J$9,$I$3:$I$9,$G229)+SUMIFS(J$3:J$9,$I$3:$I$9,$H229)+SUMIFS(J$3:J$9,$I$3:$I$9,$F229)</f>
        <v>25</v>
      </c>
      <c r="K229" s="598">
        <f t="shared" si="427"/>
        <v>0</v>
      </c>
      <c r="L229" s="598">
        <f t="shared" si="427"/>
        <v>0</v>
      </c>
      <c r="M229" s="598">
        <f t="shared" si="427"/>
        <v>0</v>
      </c>
      <c r="N229" s="598">
        <f t="shared" si="427"/>
        <v>0</v>
      </c>
      <c r="O229" s="598">
        <f t="shared" si="427"/>
        <v>0</v>
      </c>
      <c r="P229" s="598"/>
      <c r="Q229" s="598"/>
      <c r="R229" s="598"/>
      <c r="S229" s="598">
        <f t="shared" si="401"/>
        <v>25</v>
      </c>
      <c r="T229" s="551"/>
      <c r="U229" s="551"/>
      <c r="V229" s="551"/>
      <c r="W229" s="551"/>
      <c r="X229" s="551"/>
      <c r="Y229" s="551"/>
      <c r="Z229" s="551"/>
      <c r="AA229" s="551"/>
    </row>
    <row r="230">
      <c r="A230" s="593">
        <f t="shared" si="395"/>
        <v>2026</v>
      </c>
      <c r="B230" s="645">
        <v>46222.0</v>
      </c>
      <c r="C230" s="594" t="str">
        <f t="shared" si="396"/>
        <v>July</v>
      </c>
      <c r="D230" s="593" t="str">
        <f t="shared" si="397"/>
        <v>Sunday</v>
      </c>
      <c r="E230" s="634"/>
      <c r="F230" s="596"/>
      <c r="G230" s="596"/>
      <c r="H230" s="596"/>
      <c r="I230" s="597">
        <f t="shared" si="398"/>
        <v>0</v>
      </c>
      <c r="J230" s="598">
        <f t="shared" ref="J230:O230" si="428">SUMIFS(J$3:J$9,$I$3:$I$9,$G230)+SUMIFS(J$3:J$9,$I$3:$I$9,$H230)+SUMIFS(J$3:J$9,$I$3:$I$9,$F230)</f>
        <v>0</v>
      </c>
      <c r="K230" s="598">
        <f t="shared" si="428"/>
        <v>0</v>
      </c>
      <c r="L230" s="598">
        <f t="shared" si="428"/>
        <v>0</v>
      </c>
      <c r="M230" s="598">
        <f t="shared" si="428"/>
        <v>0</v>
      </c>
      <c r="N230" s="598">
        <f t="shared" si="428"/>
        <v>0</v>
      </c>
      <c r="O230" s="598">
        <f t="shared" si="428"/>
        <v>0</v>
      </c>
      <c r="P230" s="598"/>
      <c r="Q230" s="598"/>
      <c r="R230" s="598"/>
      <c r="S230" s="598">
        <f t="shared" si="401"/>
        <v>0</v>
      </c>
      <c r="T230" s="551"/>
      <c r="U230" s="551"/>
      <c r="V230" s="551"/>
      <c r="W230" s="551"/>
      <c r="X230" s="551"/>
      <c r="Y230" s="551"/>
      <c r="Z230" s="551"/>
      <c r="AA230" s="551"/>
    </row>
    <row r="231">
      <c r="A231" s="593">
        <f t="shared" si="395"/>
        <v>2026</v>
      </c>
      <c r="B231" s="645">
        <v>46223.0</v>
      </c>
      <c r="C231" s="594" t="str">
        <f t="shared" si="396"/>
        <v>July</v>
      </c>
      <c r="D231" s="593" t="str">
        <f t="shared" si="397"/>
        <v>Monday</v>
      </c>
      <c r="E231" s="650" t="s">
        <v>1515</v>
      </c>
      <c r="F231" s="639" t="s">
        <v>1461</v>
      </c>
      <c r="G231" s="596"/>
      <c r="H231" s="596"/>
      <c r="I231" s="597">
        <f t="shared" si="398"/>
        <v>1</v>
      </c>
      <c r="J231" s="598">
        <f t="shared" ref="J231:O231" si="429">SUMIFS(J$3:J$9,$I$3:$I$9,$G231)+SUMIFS(J$3:J$9,$I$3:$I$9,$H231)+SUMIFS(J$3:J$9,$I$3:$I$9,$F231)</f>
        <v>25</v>
      </c>
      <c r="K231" s="598">
        <f t="shared" si="429"/>
        <v>0</v>
      </c>
      <c r="L231" s="598">
        <f t="shared" si="429"/>
        <v>0</v>
      </c>
      <c r="M231" s="598">
        <f t="shared" si="429"/>
        <v>0</v>
      </c>
      <c r="N231" s="598">
        <f t="shared" si="429"/>
        <v>0</v>
      </c>
      <c r="O231" s="598">
        <f t="shared" si="429"/>
        <v>0</v>
      </c>
      <c r="P231" s="598"/>
      <c r="Q231" s="598"/>
      <c r="R231" s="598"/>
      <c r="S231" s="598">
        <f t="shared" si="401"/>
        <v>25</v>
      </c>
      <c r="T231" s="551"/>
      <c r="U231" s="551"/>
      <c r="V231" s="551"/>
      <c r="W231" s="551"/>
      <c r="X231" s="551"/>
      <c r="Y231" s="551"/>
      <c r="Z231" s="551"/>
      <c r="AA231" s="551"/>
    </row>
    <row r="232">
      <c r="A232" s="593">
        <f t="shared" si="395"/>
        <v>2026</v>
      </c>
      <c r="B232" s="645">
        <v>46224.0</v>
      </c>
      <c r="C232" s="594" t="str">
        <f t="shared" si="396"/>
        <v>July</v>
      </c>
      <c r="D232" s="593" t="str">
        <f t="shared" si="397"/>
        <v>Tuesday</v>
      </c>
      <c r="E232" s="649" t="s">
        <v>1519</v>
      </c>
      <c r="F232" s="639" t="s">
        <v>1461</v>
      </c>
      <c r="G232" s="596"/>
      <c r="H232" s="596"/>
      <c r="I232" s="597">
        <f t="shared" si="398"/>
        <v>1</v>
      </c>
      <c r="J232" s="598">
        <f t="shared" ref="J232:O232" si="430">SUMIFS(J$3:J$9,$I$3:$I$9,$G232)+SUMIFS(J$3:J$9,$I$3:$I$9,$H232)+SUMIFS(J$3:J$9,$I$3:$I$9,$F232)</f>
        <v>25</v>
      </c>
      <c r="K232" s="598">
        <f t="shared" si="430"/>
        <v>0</v>
      </c>
      <c r="L232" s="598">
        <f t="shared" si="430"/>
        <v>0</v>
      </c>
      <c r="M232" s="598">
        <f t="shared" si="430"/>
        <v>0</v>
      </c>
      <c r="N232" s="598">
        <f t="shared" si="430"/>
        <v>0</v>
      </c>
      <c r="O232" s="598">
        <f t="shared" si="430"/>
        <v>0</v>
      </c>
      <c r="P232" s="598"/>
      <c r="Q232" s="598"/>
      <c r="R232" s="598"/>
      <c r="S232" s="598">
        <f t="shared" si="401"/>
        <v>25</v>
      </c>
      <c r="T232" s="551"/>
      <c r="U232" s="551"/>
      <c r="V232" s="551"/>
      <c r="W232" s="551"/>
      <c r="X232" s="551"/>
      <c r="Y232" s="551"/>
      <c r="Z232" s="551"/>
      <c r="AA232" s="551"/>
    </row>
    <row r="233">
      <c r="A233" s="593">
        <f t="shared" si="395"/>
        <v>2026</v>
      </c>
      <c r="B233" s="645">
        <v>46225.0</v>
      </c>
      <c r="C233" s="594" t="str">
        <f t="shared" si="396"/>
        <v>July</v>
      </c>
      <c r="D233" s="593" t="str">
        <f t="shared" si="397"/>
        <v>Wednesday</v>
      </c>
      <c r="E233" s="651" t="s">
        <v>1520</v>
      </c>
      <c r="F233" s="639" t="s">
        <v>1461</v>
      </c>
      <c r="G233" s="596"/>
      <c r="H233" s="596"/>
      <c r="I233" s="597">
        <f t="shared" si="398"/>
        <v>1</v>
      </c>
      <c r="J233" s="598">
        <f t="shared" ref="J233:O233" si="431">SUMIFS(J$3:J$9,$I$3:$I$9,$G233)+SUMIFS(J$3:J$9,$I$3:$I$9,$H233)+SUMIFS(J$3:J$9,$I$3:$I$9,$F233)</f>
        <v>25</v>
      </c>
      <c r="K233" s="598">
        <f t="shared" si="431"/>
        <v>0</v>
      </c>
      <c r="L233" s="598">
        <f t="shared" si="431"/>
        <v>0</v>
      </c>
      <c r="M233" s="598">
        <f t="shared" si="431"/>
        <v>0</v>
      </c>
      <c r="N233" s="598">
        <f t="shared" si="431"/>
        <v>0</v>
      </c>
      <c r="O233" s="598">
        <f t="shared" si="431"/>
        <v>0</v>
      </c>
      <c r="P233" s="598"/>
      <c r="Q233" s="598"/>
      <c r="R233" s="598"/>
      <c r="S233" s="598">
        <f t="shared" si="401"/>
        <v>25</v>
      </c>
      <c r="T233" s="551"/>
      <c r="U233" s="551"/>
      <c r="V233" s="551"/>
      <c r="W233" s="551"/>
      <c r="X233" s="551"/>
      <c r="Y233" s="551"/>
      <c r="Z233" s="551"/>
      <c r="AA233" s="551"/>
    </row>
    <row r="234">
      <c r="A234" s="593">
        <f t="shared" si="395"/>
        <v>2026</v>
      </c>
      <c r="B234" s="645">
        <v>46226.0</v>
      </c>
      <c r="C234" s="594" t="str">
        <f t="shared" si="396"/>
        <v>July</v>
      </c>
      <c r="D234" s="593" t="str">
        <f t="shared" si="397"/>
        <v>Thursday</v>
      </c>
      <c r="E234" s="652" t="s">
        <v>1515</v>
      </c>
      <c r="F234" s="639" t="s">
        <v>1461</v>
      </c>
      <c r="G234" s="596"/>
      <c r="H234" s="596"/>
      <c r="I234" s="597">
        <f t="shared" si="398"/>
        <v>1</v>
      </c>
      <c r="J234" s="598">
        <f t="shared" ref="J234:O234" si="432">SUMIFS(J$3:J$9,$I$3:$I$9,$G234)+SUMIFS(J$3:J$9,$I$3:$I$9,$H234)+SUMIFS(J$3:J$9,$I$3:$I$9,$F234)</f>
        <v>25</v>
      </c>
      <c r="K234" s="598">
        <f t="shared" si="432"/>
        <v>0</v>
      </c>
      <c r="L234" s="598">
        <f t="shared" si="432"/>
        <v>0</v>
      </c>
      <c r="M234" s="598">
        <f t="shared" si="432"/>
        <v>0</v>
      </c>
      <c r="N234" s="598">
        <f t="shared" si="432"/>
        <v>0</v>
      </c>
      <c r="O234" s="598">
        <f t="shared" si="432"/>
        <v>0</v>
      </c>
      <c r="P234" s="598"/>
      <c r="Q234" s="598"/>
      <c r="R234" s="598"/>
      <c r="S234" s="598">
        <f t="shared" si="401"/>
        <v>25</v>
      </c>
      <c r="T234" s="551"/>
      <c r="U234" s="551"/>
      <c r="V234" s="551"/>
      <c r="W234" s="551"/>
      <c r="X234" s="551"/>
      <c r="Y234" s="551"/>
      <c r="Z234" s="551"/>
      <c r="AA234" s="551"/>
    </row>
    <row r="235">
      <c r="A235" s="593">
        <f t="shared" si="395"/>
        <v>2026</v>
      </c>
      <c r="B235" s="645">
        <v>46227.0</v>
      </c>
      <c r="C235" s="594" t="str">
        <f t="shared" si="396"/>
        <v>July</v>
      </c>
      <c r="D235" s="593" t="str">
        <f t="shared" si="397"/>
        <v>Friday</v>
      </c>
      <c r="E235" s="652" t="s">
        <v>1515</v>
      </c>
      <c r="F235" s="639" t="s">
        <v>1461</v>
      </c>
      <c r="G235" s="596"/>
      <c r="H235" s="596"/>
      <c r="I235" s="597">
        <f t="shared" si="398"/>
        <v>1</v>
      </c>
      <c r="J235" s="598">
        <f t="shared" ref="J235:O235" si="433">SUMIFS(J$3:J$9,$I$3:$I$9,$G235)+SUMIFS(J$3:J$9,$I$3:$I$9,$H235)+SUMIFS(J$3:J$9,$I$3:$I$9,$F235)</f>
        <v>25</v>
      </c>
      <c r="K235" s="598">
        <f t="shared" si="433"/>
        <v>0</v>
      </c>
      <c r="L235" s="598">
        <f t="shared" si="433"/>
        <v>0</v>
      </c>
      <c r="M235" s="598">
        <f t="shared" si="433"/>
        <v>0</v>
      </c>
      <c r="N235" s="598">
        <f t="shared" si="433"/>
        <v>0</v>
      </c>
      <c r="O235" s="598">
        <f t="shared" si="433"/>
        <v>0</v>
      </c>
      <c r="P235" s="598"/>
      <c r="Q235" s="598"/>
      <c r="R235" s="598"/>
      <c r="S235" s="598">
        <f t="shared" si="401"/>
        <v>25</v>
      </c>
      <c r="T235" s="551"/>
      <c r="U235" s="551"/>
      <c r="V235" s="551"/>
      <c r="W235" s="551"/>
      <c r="X235" s="551"/>
      <c r="Y235" s="551"/>
      <c r="Z235" s="551"/>
      <c r="AA235" s="551"/>
    </row>
    <row r="236">
      <c r="A236" s="593">
        <f t="shared" si="395"/>
        <v>2026</v>
      </c>
      <c r="B236" s="645">
        <v>46228.0</v>
      </c>
      <c r="C236" s="594" t="str">
        <f t="shared" si="396"/>
        <v>July</v>
      </c>
      <c r="D236" s="593" t="str">
        <f t="shared" si="397"/>
        <v>Saturday</v>
      </c>
      <c r="E236" s="652" t="s">
        <v>1515</v>
      </c>
      <c r="F236" s="639" t="s">
        <v>1461</v>
      </c>
      <c r="G236" s="596"/>
      <c r="H236" s="596"/>
      <c r="I236" s="597">
        <f t="shared" si="398"/>
        <v>1</v>
      </c>
      <c r="J236" s="598">
        <f t="shared" ref="J236:O236" si="434">SUMIFS(J$3:J$9,$I$3:$I$9,$G236)+SUMIFS(J$3:J$9,$I$3:$I$9,$H236)+SUMIFS(J$3:J$9,$I$3:$I$9,$F236)</f>
        <v>25</v>
      </c>
      <c r="K236" s="598">
        <f t="shared" si="434"/>
        <v>0</v>
      </c>
      <c r="L236" s="598">
        <f t="shared" si="434"/>
        <v>0</v>
      </c>
      <c r="M236" s="598">
        <f t="shared" si="434"/>
        <v>0</v>
      </c>
      <c r="N236" s="598">
        <f t="shared" si="434"/>
        <v>0</v>
      </c>
      <c r="O236" s="598">
        <f t="shared" si="434"/>
        <v>0</v>
      </c>
      <c r="P236" s="598"/>
      <c r="Q236" s="598"/>
      <c r="R236" s="598"/>
      <c r="S236" s="598">
        <f t="shared" si="401"/>
        <v>25</v>
      </c>
      <c r="T236" s="551"/>
      <c r="U236" s="551"/>
      <c r="V236" s="551"/>
      <c r="W236" s="551"/>
      <c r="X236" s="551"/>
      <c r="Y236" s="551"/>
      <c r="Z236" s="551"/>
      <c r="AA236" s="551"/>
    </row>
    <row r="237">
      <c r="A237" s="593">
        <f t="shared" si="395"/>
        <v>2026</v>
      </c>
      <c r="B237" s="645">
        <v>46229.0</v>
      </c>
      <c r="C237" s="594" t="str">
        <f t="shared" si="396"/>
        <v>July</v>
      </c>
      <c r="D237" s="593" t="str">
        <f t="shared" si="397"/>
        <v>Sunday</v>
      </c>
      <c r="E237" s="634"/>
      <c r="F237" s="596"/>
      <c r="G237" s="596"/>
      <c r="H237" s="596"/>
      <c r="I237" s="597">
        <f t="shared" si="398"/>
        <v>0</v>
      </c>
      <c r="J237" s="598">
        <f t="shared" ref="J237:O237" si="435">SUMIFS(J$3:J$9,$I$3:$I$9,$G237)+SUMIFS(J$3:J$9,$I$3:$I$9,$H237)+SUMIFS(J$3:J$9,$I$3:$I$9,$F237)</f>
        <v>0</v>
      </c>
      <c r="K237" s="598">
        <f t="shared" si="435"/>
        <v>0</v>
      </c>
      <c r="L237" s="598">
        <f t="shared" si="435"/>
        <v>0</v>
      </c>
      <c r="M237" s="598">
        <f t="shared" si="435"/>
        <v>0</v>
      </c>
      <c r="N237" s="598">
        <f t="shared" si="435"/>
        <v>0</v>
      </c>
      <c r="O237" s="598">
        <f t="shared" si="435"/>
        <v>0</v>
      </c>
      <c r="P237" s="598"/>
      <c r="Q237" s="598"/>
      <c r="R237" s="598"/>
      <c r="S237" s="598">
        <f t="shared" si="401"/>
        <v>0</v>
      </c>
      <c r="T237" s="551"/>
      <c r="U237" s="551"/>
      <c r="V237" s="551"/>
      <c r="W237" s="551"/>
      <c r="X237" s="551"/>
      <c r="Y237" s="551"/>
      <c r="Z237" s="551"/>
      <c r="AA237" s="551"/>
    </row>
    <row r="238">
      <c r="A238" s="593">
        <f t="shared" si="395"/>
        <v>2026</v>
      </c>
      <c r="B238" s="645">
        <v>46230.0</v>
      </c>
      <c r="C238" s="594" t="str">
        <f t="shared" si="396"/>
        <v>July</v>
      </c>
      <c r="D238" s="593" t="str">
        <f t="shared" si="397"/>
        <v>Monday</v>
      </c>
      <c r="E238" s="652" t="s">
        <v>1515</v>
      </c>
      <c r="F238" s="639" t="s">
        <v>1461</v>
      </c>
      <c r="G238" s="596"/>
      <c r="H238" s="596"/>
      <c r="I238" s="597">
        <f t="shared" si="398"/>
        <v>1</v>
      </c>
      <c r="J238" s="598">
        <f t="shared" ref="J238:O238" si="436">SUMIFS(J$3:J$9,$I$3:$I$9,$G238)+SUMIFS(J$3:J$9,$I$3:$I$9,$H238)+SUMIFS(J$3:J$9,$I$3:$I$9,$F238)</f>
        <v>25</v>
      </c>
      <c r="K238" s="598">
        <f t="shared" si="436"/>
        <v>0</v>
      </c>
      <c r="L238" s="598">
        <f t="shared" si="436"/>
        <v>0</v>
      </c>
      <c r="M238" s="598">
        <f t="shared" si="436"/>
        <v>0</v>
      </c>
      <c r="N238" s="598">
        <f t="shared" si="436"/>
        <v>0</v>
      </c>
      <c r="O238" s="598">
        <f t="shared" si="436"/>
        <v>0</v>
      </c>
      <c r="P238" s="598"/>
      <c r="Q238" s="598"/>
      <c r="R238" s="598"/>
      <c r="S238" s="598">
        <f t="shared" si="401"/>
        <v>25</v>
      </c>
      <c r="T238" s="551"/>
      <c r="U238" s="551"/>
      <c r="V238" s="551"/>
      <c r="W238" s="551"/>
      <c r="X238" s="551"/>
      <c r="Y238" s="551"/>
      <c r="Z238" s="551"/>
      <c r="AA238" s="551"/>
    </row>
    <row r="239">
      <c r="A239" s="593">
        <f t="shared" si="395"/>
        <v>2026</v>
      </c>
      <c r="B239" s="645">
        <v>46231.0</v>
      </c>
      <c r="C239" s="594" t="str">
        <f t="shared" si="396"/>
        <v>July</v>
      </c>
      <c r="D239" s="593" t="str">
        <f t="shared" si="397"/>
        <v>Tuesday</v>
      </c>
      <c r="E239" s="651" t="s">
        <v>1521</v>
      </c>
      <c r="F239" s="639" t="s">
        <v>1461</v>
      </c>
      <c r="G239" s="596"/>
      <c r="H239" s="596"/>
      <c r="I239" s="597">
        <f t="shared" si="398"/>
        <v>1</v>
      </c>
      <c r="J239" s="598">
        <f t="shared" ref="J239:O239" si="437">SUMIFS(J$3:J$9,$I$3:$I$9,$G239)+SUMIFS(J$3:J$9,$I$3:$I$9,$H239)+SUMIFS(J$3:J$9,$I$3:$I$9,$F239)</f>
        <v>25</v>
      </c>
      <c r="K239" s="598">
        <f t="shared" si="437"/>
        <v>0</v>
      </c>
      <c r="L239" s="598">
        <f t="shared" si="437"/>
        <v>0</v>
      </c>
      <c r="M239" s="598">
        <f t="shared" si="437"/>
        <v>0</v>
      </c>
      <c r="N239" s="598">
        <f t="shared" si="437"/>
        <v>0</v>
      </c>
      <c r="O239" s="598">
        <f t="shared" si="437"/>
        <v>0</v>
      </c>
      <c r="P239" s="598"/>
      <c r="Q239" s="598"/>
      <c r="R239" s="598"/>
      <c r="S239" s="598">
        <f t="shared" si="401"/>
        <v>25</v>
      </c>
      <c r="T239" s="551"/>
      <c r="U239" s="551"/>
      <c r="V239" s="551"/>
      <c r="W239" s="551"/>
      <c r="X239" s="551"/>
      <c r="Y239" s="551"/>
      <c r="Z239" s="551"/>
      <c r="AA239" s="551"/>
    </row>
    <row r="240">
      <c r="A240" s="593">
        <f t="shared" si="395"/>
        <v>2026</v>
      </c>
      <c r="B240" s="645">
        <v>46232.0</v>
      </c>
      <c r="C240" s="594" t="str">
        <f t="shared" si="396"/>
        <v>July</v>
      </c>
      <c r="D240" s="593" t="str">
        <f t="shared" si="397"/>
        <v>Wednesday</v>
      </c>
      <c r="E240" s="634" t="s">
        <v>1504</v>
      </c>
      <c r="F240" s="639" t="s">
        <v>1461</v>
      </c>
      <c r="G240" s="596"/>
      <c r="H240" s="596"/>
      <c r="I240" s="597">
        <f t="shared" si="398"/>
        <v>1</v>
      </c>
      <c r="J240" s="598">
        <f t="shared" ref="J240:O240" si="438">SUMIFS(J$3:J$9,$I$3:$I$9,$G240)+SUMIFS(J$3:J$9,$I$3:$I$9,$H240)+SUMIFS(J$3:J$9,$I$3:$I$9,$F240)</f>
        <v>25</v>
      </c>
      <c r="K240" s="598">
        <f t="shared" si="438"/>
        <v>0</v>
      </c>
      <c r="L240" s="598">
        <f t="shared" si="438"/>
        <v>0</v>
      </c>
      <c r="M240" s="598">
        <f t="shared" si="438"/>
        <v>0</v>
      </c>
      <c r="N240" s="598">
        <f t="shared" si="438"/>
        <v>0</v>
      </c>
      <c r="O240" s="598">
        <f t="shared" si="438"/>
        <v>0</v>
      </c>
      <c r="P240" s="598"/>
      <c r="Q240" s="598"/>
      <c r="R240" s="598"/>
      <c r="S240" s="598">
        <f t="shared" si="401"/>
        <v>25</v>
      </c>
      <c r="T240" s="551"/>
      <c r="U240" s="551"/>
      <c r="V240" s="551"/>
      <c r="W240" s="551"/>
      <c r="X240" s="551"/>
      <c r="Y240" s="551"/>
      <c r="Z240" s="551"/>
      <c r="AA240" s="551"/>
    </row>
    <row r="241">
      <c r="A241" s="593">
        <f t="shared" si="395"/>
        <v>2026</v>
      </c>
      <c r="B241" s="645">
        <v>46233.0</v>
      </c>
      <c r="C241" s="594" t="str">
        <f t="shared" si="396"/>
        <v>July</v>
      </c>
      <c r="D241" s="593" t="str">
        <f t="shared" si="397"/>
        <v>Thursday</v>
      </c>
      <c r="E241" s="634" t="s">
        <v>1504</v>
      </c>
      <c r="F241" s="639" t="s">
        <v>1461</v>
      </c>
      <c r="G241" s="596"/>
      <c r="H241" s="596"/>
      <c r="I241" s="597">
        <f t="shared" si="398"/>
        <v>1</v>
      </c>
      <c r="J241" s="598">
        <f t="shared" ref="J241:O241" si="439">SUMIFS(J$3:J$9,$I$3:$I$9,$G241)+SUMIFS(J$3:J$9,$I$3:$I$9,$H241)+SUMIFS(J$3:J$9,$I$3:$I$9,$F241)</f>
        <v>25</v>
      </c>
      <c r="K241" s="598">
        <f t="shared" si="439"/>
        <v>0</v>
      </c>
      <c r="L241" s="598">
        <f t="shared" si="439"/>
        <v>0</v>
      </c>
      <c r="M241" s="598">
        <f t="shared" si="439"/>
        <v>0</v>
      </c>
      <c r="N241" s="598">
        <f t="shared" si="439"/>
        <v>0</v>
      </c>
      <c r="O241" s="598">
        <f t="shared" si="439"/>
        <v>0</v>
      </c>
      <c r="P241" s="598"/>
      <c r="Q241" s="598"/>
      <c r="R241" s="598"/>
      <c r="S241" s="598">
        <f t="shared" si="401"/>
        <v>25</v>
      </c>
      <c r="T241" s="551"/>
      <c r="U241" s="551"/>
      <c r="V241" s="551"/>
      <c r="W241" s="551"/>
      <c r="X241" s="551"/>
      <c r="Y241" s="551"/>
      <c r="Z241" s="551"/>
      <c r="AA241" s="551"/>
    </row>
    <row r="242">
      <c r="A242" s="593">
        <f t="shared" si="395"/>
        <v>2026</v>
      </c>
      <c r="B242" s="645">
        <v>46234.0</v>
      </c>
      <c r="C242" s="594" t="str">
        <f t="shared" si="396"/>
        <v>July</v>
      </c>
      <c r="D242" s="593" t="str">
        <f t="shared" si="397"/>
        <v>Friday</v>
      </c>
      <c r="E242" s="642" t="s">
        <v>1522</v>
      </c>
      <c r="F242" s="596" t="s">
        <v>1461</v>
      </c>
      <c r="G242" s="596"/>
      <c r="H242" s="596"/>
      <c r="I242" s="597">
        <f t="shared" si="398"/>
        <v>1</v>
      </c>
      <c r="J242" s="598">
        <f t="shared" ref="J242:O242" si="440">SUMIFS(J$3:J$9,$I$3:$I$9,$G242)+SUMIFS(J$3:J$9,$I$3:$I$9,$H242)+SUMIFS(J$3:J$9,$I$3:$I$9,$F242)</f>
        <v>25</v>
      </c>
      <c r="K242" s="598">
        <f t="shared" si="440"/>
        <v>0</v>
      </c>
      <c r="L242" s="598">
        <f t="shared" si="440"/>
        <v>0</v>
      </c>
      <c r="M242" s="598">
        <f t="shared" si="440"/>
        <v>0</v>
      </c>
      <c r="N242" s="598">
        <f t="shared" si="440"/>
        <v>0</v>
      </c>
      <c r="O242" s="598">
        <f t="shared" si="440"/>
        <v>0</v>
      </c>
      <c r="P242" s="598"/>
      <c r="Q242" s="598"/>
      <c r="R242" s="598"/>
      <c r="S242" s="598">
        <f t="shared" si="401"/>
        <v>25</v>
      </c>
      <c r="T242" s="551"/>
      <c r="U242" s="551"/>
      <c r="V242" s="551"/>
      <c r="W242" s="551"/>
      <c r="X242" s="551"/>
      <c r="Y242" s="551"/>
      <c r="Z242" s="551"/>
      <c r="AA242" s="551"/>
    </row>
    <row r="243">
      <c r="A243" s="600">
        <f>A212</f>
        <v>2026</v>
      </c>
      <c r="B243" s="600" t="str">
        <f>CONCATENATE(A243," ",C243)</f>
        <v>2026 July</v>
      </c>
      <c r="C243" s="601" t="str">
        <f>C212</f>
        <v>July</v>
      </c>
      <c r="D243" s="600"/>
      <c r="E243" s="602"/>
      <c r="F243" s="603"/>
      <c r="G243" s="603"/>
      <c r="H243" s="603"/>
      <c r="I243" s="604">
        <f t="shared" ref="I243:S243" si="441">SUM(I212:I242)</f>
        <v>27</v>
      </c>
      <c r="J243" s="605">
        <f t="shared" si="441"/>
        <v>627</v>
      </c>
      <c r="K243" s="605">
        <f t="shared" si="441"/>
        <v>0</v>
      </c>
      <c r="L243" s="605">
        <f t="shared" si="441"/>
        <v>0</v>
      </c>
      <c r="M243" s="605">
        <f t="shared" si="441"/>
        <v>60</v>
      </c>
      <c r="N243" s="605">
        <f t="shared" si="441"/>
        <v>0</v>
      </c>
      <c r="O243" s="605">
        <f t="shared" si="441"/>
        <v>0</v>
      </c>
      <c r="P243" s="605">
        <f t="shared" si="441"/>
        <v>0</v>
      </c>
      <c r="Q243" s="605">
        <f t="shared" si="441"/>
        <v>0</v>
      </c>
      <c r="R243" s="605">
        <f t="shared" si="441"/>
        <v>0</v>
      </c>
      <c r="S243" s="605">
        <f t="shared" si="441"/>
        <v>687</v>
      </c>
      <c r="T243" s="551"/>
      <c r="U243" s="551"/>
      <c r="V243" s="551"/>
      <c r="W243" s="551"/>
      <c r="X243" s="551"/>
      <c r="Y243" s="551"/>
      <c r="Z243" s="551"/>
      <c r="AA243" s="551"/>
    </row>
    <row r="244">
      <c r="A244" s="574"/>
      <c r="B244" s="575"/>
      <c r="C244" s="575"/>
      <c r="D244" s="575"/>
      <c r="E244" s="576"/>
      <c r="F244" s="547"/>
      <c r="G244" s="547"/>
      <c r="H244" s="547"/>
      <c r="I244" s="573"/>
      <c r="J244" s="550"/>
      <c r="K244" s="550"/>
      <c r="L244" s="550"/>
      <c r="M244" s="550"/>
      <c r="N244" s="550"/>
      <c r="O244" s="550"/>
      <c r="P244" s="550"/>
      <c r="Q244" s="550"/>
      <c r="R244" s="550"/>
      <c r="S244" s="550"/>
      <c r="T244" s="551"/>
      <c r="U244" s="551"/>
      <c r="V244" s="551"/>
      <c r="W244" s="551"/>
      <c r="X244" s="551"/>
      <c r="Y244" s="551"/>
      <c r="Z244" s="551"/>
      <c r="AA244" s="551"/>
    </row>
    <row r="245">
      <c r="A245" s="653">
        <f t="shared" ref="A245:A275" si="443">IF(B245="","",YEAR(B245))</f>
        <v>2026</v>
      </c>
      <c r="B245" s="654">
        <v>46235.0</v>
      </c>
      <c r="C245" s="655" t="str">
        <f t="shared" ref="C245:C275" si="444">IF(B245="", "", TEXT(DATE(A245, MONTH(B245), 1), "MMMM"))</f>
        <v>August</v>
      </c>
      <c r="D245" s="653" t="str">
        <f t="shared" ref="D245:D275" si="445">IF(B245="","",TEXT(B245, "dddd"))</f>
        <v>Saturday</v>
      </c>
      <c r="E245" s="634" t="s">
        <v>1504</v>
      </c>
      <c r="F245" s="639" t="s">
        <v>1461</v>
      </c>
      <c r="G245" s="656"/>
      <c r="H245" s="657"/>
      <c r="I245" s="658">
        <f t="shared" ref="I245:I275" si="446">COUNTIF(F245:H245,"&lt;&gt;")</f>
        <v>1</v>
      </c>
      <c r="J245" s="659">
        <f t="shared" ref="J245:O245" si="442">SUMIFS(J$3:J$9,$I$3:$I$9,$G245)+SUMIFS(J$3:J$9,$I$3:$I$9,$H245)+SUMIFS(J$3:J$9,$I$3:$I$9,$F245)</f>
        <v>25</v>
      </c>
      <c r="K245" s="659">
        <f t="shared" si="442"/>
        <v>0</v>
      </c>
      <c r="L245" s="659">
        <f t="shared" si="442"/>
        <v>0</v>
      </c>
      <c r="M245" s="609">
        <f t="shared" si="442"/>
        <v>0</v>
      </c>
      <c r="N245" s="659">
        <f t="shared" si="442"/>
        <v>0</v>
      </c>
      <c r="O245" s="659">
        <f t="shared" si="442"/>
        <v>0</v>
      </c>
      <c r="P245" s="660"/>
      <c r="Q245" s="660"/>
      <c r="R245" s="660"/>
      <c r="S245" s="659">
        <f t="shared" ref="S245:S275" si="448">SUM(J245:R245)</f>
        <v>25</v>
      </c>
      <c r="T245" s="661"/>
      <c r="U245" s="661"/>
      <c r="V245" s="661"/>
      <c r="W245" s="661"/>
      <c r="X245" s="661"/>
      <c r="Y245" s="661"/>
      <c r="Z245" s="661"/>
      <c r="AA245" s="661"/>
    </row>
    <row r="246">
      <c r="A246" s="662">
        <f t="shared" si="443"/>
        <v>2026</v>
      </c>
      <c r="B246" s="663">
        <v>46236.0</v>
      </c>
      <c r="C246" s="664" t="str">
        <f t="shared" si="444"/>
        <v>August</v>
      </c>
      <c r="D246" s="662" t="str">
        <f t="shared" si="445"/>
        <v>Sunday</v>
      </c>
      <c r="E246" s="665"/>
      <c r="F246" s="666"/>
      <c r="G246" s="656"/>
      <c r="H246" s="656"/>
      <c r="I246" s="667">
        <f t="shared" si="446"/>
        <v>0</v>
      </c>
      <c r="J246" s="668">
        <f t="shared" ref="J246:O246" si="447">SUMIFS(J$3:J$9,$I$3:$I$9,$G246)+SUMIFS(J$3:J$9,$I$3:$I$9,$H246)+SUMIFS(J$3:J$9,$I$3:$I$9,$F246)</f>
        <v>0</v>
      </c>
      <c r="K246" s="668">
        <f t="shared" si="447"/>
        <v>0</v>
      </c>
      <c r="L246" s="668">
        <f t="shared" si="447"/>
        <v>0</v>
      </c>
      <c r="M246" s="598">
        <f t="shared" si="447"/>
        <v>0</v>
      </c>
      <c r="N246" s="668">
        <f t="shared" si="447"/>
        <v>0</v>
      </c>
      <c r="O246" s="668">
        <f t="shared" si="447"/>
        <v>0</v>
      </c>
      <c r="P246" s="669"/>
      <c r="Q246" s="669"/>
      <c r="R246" s="669"/>
      <c r="S246" s="668">
        <f t="shared" si="448"/>
        <v>0</v>
      </c>
      <c r="T246" s="661"/>
      <c r="U246" s="661"/>
      <c r="V246" s="661"/>
      <c r="W246" s="661"/>
      <c r="X246" s="661"/>
      <c r="Y246" s="661"/>
      <c r="Z246" s="661"/>
      <c r="AA246" s="661"/>
    </row>
    <row r="247">
      <c r="A247" s="662">
        <f t="shared" si="443"/>
        <v>2026</v>
      </c>
      <c r="B247" s="663">
        <v>46237.0</v>
      </c>
      <c r="C247" s="664" t="str">
        <f t="shared" si="444"/>
        <v>August</v>
      </c>
      <c r="D247" s="662" t="str">
        <f t="shared" si="445"/>
        <v>Monday</v>
      </c>
      <c r="E247" s="634" t="s">
        <v>1504</v>
      </c>
      <c r="F247" s="639" t="s">
        <v>1461</v>
      </c>
      <c r="G247" s="656"/>
      <c r="H247" s="656"/>
      <c r="I247" s="667">
        <f t="shared" si="446"/>
        <v>1</v>
      </c>
      <c r="J247" s="668">
        <f t="shared" ref="J247:O247" si="449">SUMIFS(J$3:J$9,$I$3:$I$9,$G247)+SUMIFS(J$3:J$9,$I$3:$I$9,$H247)+SUMIFS(J$3:J$9,$I$3:$I$9,$F247)</f>
        <v>25</v>
      </c>
      <c r="K247" s="668">
        <f t="shared" si="449"/>
        <v>0</v>
      </c>
      <c r="L247" s="668">
        <f t="shared" si="449"/>
        <v>0</v>
      </c>
      <c r="M247" s="598">
        <f t="shared" si="449"/>
        <v>0</v>
      </c>
      <c r="N247" s="668">
        <f t="shared" si="449"/>
        <v>0</v>
      </c>
      <c r="O247" s="668">
        <f t="shared" si="449"/>
        <v>0</v>
      </c>
      <c r="P247" s="669"/>
      <c r="Q247" s="669"/>
      <c r="R247" s="669"/>
      <c r="S247" s="668">
        <f t="shared" si="448"/>
        <v>25</v>
      </c>
      <c r="T247" s="661"/>
      <c r="U247" s="661"/>
      <c r="V247" s="661"/>
      <c r="W247" s="661"/>
      <c r="X247" s="661"/>
      <c r="Y247" s="661"/>
      <c r="Z247" s="661"/>
      <c r="AA247" s="661"/>
    </row>
    <row r="248">
      <c r="A248" s="662">
        <f t="shared" si="443"/>
        <v>2026</v>
      </c>
      <c r="B248" s="663">
        <v>46238.0</v>
      </c>
      <c r="C248" s="664" t="str">
        <f t="shared" si="444"/>
        <v>August</v>
      </c>
      <c r="D248" s="662" t="str">
        <f t="shared" si="445"/>
        <v>Tuesday</v>
      </c>
      <c r="E248" s="634" t="s">
        <v>1504</v>
      </c>
      <c r="F248" s="639" t="s">
        <v>1461</v>
      </c>
      <c r="G248" s="656"/>
      <c r="H248" s="656"/>
      <c r="I248" s="667">
        <f t="shared" si="446"/>
        <v>1</v>
      </c>
      <c r="J248" s="668">
        <f t="shared" ref="J248:O248" si="450">SUMIFS(J$3:J$9,$I$3:$I$9,$G248)+SUMIFS(J$3:J$9,$I$3:$I$9,$H248)+SUMIFS(J$3:J$9,$I$3:$I$9,$F248)</f>
        <v>25</v>
      </c>
      <c r="K248" s="668">
        <f t="shared" si="450"/>
        <v>0</v>
      </c>
      <c r="L248" s="668">
        <f t="shared" si="450"/>
        <v>0</v>
      </c>
      <c r="M248" s="598">
        <f t="shared" si="450"/>
        <v>0</v>
      </c>
      <c r="N248" s="668">
        <f t="shared" si="450"/>
        <v>0</v>
      </c>
      <c r="O248" s="668">
        <f t="shared" si="450"/>
        <v>0</v>
      </c>
      <c r="P248" s="669"/>
      <c r="Q248" s="669"/>
      <c r="R248" s="669"/>
      <c r="S248" s="668">
        <f t="shared" si="448"/>
        <v>25</v>
      </c>
      <c r="T248" s="661"/>
      <c r="U248" s="661"/>
      <c r="V248" s="661"/>
      <c r="W248" s="661"/>
      <c r="X248" s="661"/>
      <c r="Y248" s="661"/>
      <c r="Z248" s="661"/>
      <c r="AA248" s="661"/>
    </row>
    <row r="249">
      <c r="A249" s="662">
        <f t="shared" si="443"/>
        <v>2026</v>
      </c>
      <c r="B249" s="663">
        <v>46239.0</v>
      </c>
      <c r="C249" s="664" t="str">
        <f t="shared" si="444"/>
        <v>August</v>
      </c>
      <c r="D249" s="662" t="str">
        <f t="shared" si="445"/>
        <v>Wednesday</v>
      </c>
      <c r="E249" s="634" t="s">
        <v>1504</v>
      </c>
      <c r="F249" s="639" t="s">
        <v>1461</v>
      </c>
      <c r="G249" s="656"/>
      <c r="H249" s="656"/>
      <c r="I249" s="667">
        <f t="shared" si="446"/>
        <v>1</v>
      </c>
      <c r="J249" s="668">
        <f t="shared" ref="J249:O249" si="451">SUMIFS(J$3:J$9,$I$3:$I$9,$G249)+SUMIFS(J$3:J$9,$I$3:$I$9,$H249)+SUMIFS(J$3:J$9,$I$3:$I$9,$F249)</f>
        <v>25</v>
      </c>
      <c r="K249" s="668">
        <f t="shared" si="451"/>
        <v>0</v>
      </c>
      <c r="L249" s="668">
        <f t="shared" si="451"/>
        <v>0</v>
      </c>
      <c r="M249" s="598">
        <f t="shared" si="451"/>
        <v>0</v>
      </c>
      <c r="N249" s="668">
        <f t="shared" si="451"/>
        <v>0</v>
      </c>
      <c r="O249" s="668">
        <f t="shared" si="451"/>
        <v>0</v>
      </c>
      <c r="P249" s="669"/>
      <c r="Q249" s="669"/>
      <c r="R249" s="669"/>
      <c r="S249" s="668">
        <f t="shared" si="448"/>
        <v>25</v>
      </c>
      <c r="T249" s="661"/>
      <c r="U249" s="661"/>
      <c r="V249" s="661"/>
      <c r="W249" s="661"/>
      <c r="X249" s="661"/>
      <c r="Y249" s="661"/>
      <c r="Z249" s="661"/>
      <c r="AA249" s="661"/>
    </row>
    <row r="250">
      <c r="A250" s="662">
        <f t="shared" si="443"/>
        <v>2026</v>
      </c>
      <c r="B250" s="663">
        <v>46240.0</v>
      </c>
      <c r="C250" s="664" t="str">
        <f t="shared" si="444"/>
        <v>August</v>
      </c>
      <c r="D250" s="662" t="str">
        <f t="shared" si="445"/>
        <v>Thursday</v>
      </c>
      <c r="E250" s="634" t="s">
        <v>1504</v>
      </c>
      <c r="F250" s="639" t="s">
        <v>1461</v>
      </c>
      <c r="G250" s="656"/>
      <c r="H250" s="656"/>
      <c r="I250" s="667">
        <f t="shared" si="446"/>
        <v>1</v>
      </c>
      <c r="J250" s="668">
        <f t="shared" ref="J250:O250" si="452">SUMIFS(J$3:J$9,$I$3:$I$9,$G250)+SUMIFS(J$3:J$9,$I$3:$I$9,$H250)+SUMIFS(J$3:J$9,$I$3:$I$9,$F250)</f>
        <v>25</v>
      </c>
      <c r="K250" s="668">
        <f t="shared" si="452"/>
        <v>0</v>
      </c>
      <c r="L250" s="668">
        <f t="shared" si="452"/>
        <v>0</v>
      </c>
      <c r="M250" s="598">
        <f t="shared" si="452"/>
        <v>0</v>
      </c>
      <c r="N250" s="668">
        <f t="shared" si="452"/>
        <v>0</v>
      </c>
      <c r="O250" s="668">
        <f t="shared" si="452"/>
        <v>0</v>
      </c>
      <c r="P250" s="669"/>
      <c r="Q250" s="669"/>
      <c r="R250" s="669"/>
      <c r="S250" s="668">
        <f t="shared" si="448"/>
        <v>25</v>
      </c>
      <c r="T250" s="661"/>
      <c r="U250" s="661"/>
      <c r="V250" s="661"/>
      <c r="W250" s="661"/>
      <c r="X250" s="661"/>
      <c r="Y250" s="661"/>
      <c r="Z250" s="661"/>
      <c r="AA250" s="661"/>
    </row>
    <row r="251">
      <c r="A251" s="662">
        <f t="shared" si="443"/>
        <v>2026</v>
      </c>
      <c r="B251" s="663">
        <v>46241.0</v>
      </c>
      <c r="C251" s="664" t="str">
        <f t="shared" si="444"/>
        <v>August</v>
      </c>
      <c r="D251" s="662" t="str">
        <f t="shared" si="445"/>
        <v>Friday</v>
      </c>
      <c r="E251" s="634" t="s">
        <v>1504</v>
      </c>
      <c r="F251" s="639" t="s">
        <v>1461</v>
      </c>
      <c r="G251" s="656"/>
      <c r="H251" s="656"/>
      <c r="I251" s="667">
        <f t="shared" si="446"/>
        <v>1</v>
      </c>
      <c r="J251" s="668">
        <f t="shared" ref="J251:O251" si="453">SUMIFS(J$3:J$9,$I$3:$I$9,$G251)+SUMIFS(J$3:J$9,$I$3:$I$9,$H251)+SUMIFS(J$3:J$9,$I$3:$I$9,$F251)</f>
        <v>25</v>
      </c>
      <c r="K251" s="668">
        <f t="shared" si="453"/>
        <v>0</v>
      </c>
      <c r="L251" s="668">
        <f t="shared" si="453"/>
        <v>0</v>
      </c>
      <c r="M251" s="598">
        <f t="shared" si="453"/>
        <v>0</v>
      </c>
      <c r="N251" s="668">
        <f t="shared" si="453"/>
        <v>0</v>
      </c>
      <c r="O251" s="668">
        <f t="shared" si="453"/>
        <v>0</v>
      </c>
      <c r="P251" s="669"/>
      <c r="Q251" s="669"/>
      <c r="R251" s="669"/>
      <c r="S251" s="668">
        <f t="shared" si="448"/>
        <v>25</v>
      </c>
      <c r="T251" s="661"/>
      <c r="U251" s="661"/>
      <c r="V251" s="661"/>
      <c r="W251" s="661"/>
      <c r="X251" s="661"/>
      <c r="Y251" s="661"/>
      <c r="Z251" s="661"/>
      <c r="AA251" s="661"/>
    </row>
    <row r="252">
      <c r="A252" s="662">
        <f t="shared" si="443"/>
        <v>2026</v>
      </c>
      <c r="B252" s="663">
        <v>46242.0</v>
      </c>
      <c r="C252" s="664" t="str">
        <f t="shared" si="444"/>
        <v>August</v>
      </c>
      <c r="D252" s="662" t="str">
        <f t="shared" si="445"/>
        <v>Saturday</v>
      </c>
      <c r="E252" s="634" t="s">
        <v>1504</v>
      </c>
      <c r="F252" s="639" t="s">
        <v>1461</v>
      </c>
      <c r="G252" s="656"/>
      <c r="H252" s="656"/>
      <c r="I252" s="667">
        <f t="shared" si="446"/>
        <v>1</v>
      </c>
      <c r="J252" s="668">
        <f t="shared" ref="J252:O252" si="454">SUMIFS(J$3:J$9,$I$3:$I$9,$G252)+SUMIFS(J$3:J$9,$I$3:$I$9,$H252)+SUMIFS(J$3:J$9,$I$3:$I$9,$F252)</f>
        <v>25</v>
      </c>
      <c r="K252" s="668">
        <f t="shared" si="454"/>
        <v>0</v>
      </c>
      <c r="L252" s="668">
        <f t="shared" si="454"/>
        <v>0</v>
      </c>
      <c r="M252" s="598">
        <f t="shared" si="454"/>
        <v>0</v>
      </c>
      <c r="N252" s="668">
        <f t="shared" si="454"/>
        <v>0</v>
      </c>
      <c r="O252" s="668">
        <f t="shared" si="454"/>
        <v>0</v>
      </c>
      <c r="P252" s="669"/>
      <c r="Q252" s="669"/>
      <c r="R252" s="669"/>
      <c r="S252" s="668">
        <f t="shared" si="448"/>
        <v>25</v>
      </c>
      <c r="T252" s="661"/>
      <c r="U252" s="661"/>
      <c r="V252" s="661"/>
      <c r="W252" s="661"/>
      <c r="X252" s="661"/>
      <c r="Y252" s="661"/>
      <c r="Z252" s="661"/>
      <c r="AA252" s="661"/>
    </row>
    <row r="253">
      <c r="A253" s="662">
        <f t="shared" si="443"/>
        <v>2026</v>
      </c>
      <c r="B253" s="663">
        <v>46243.0</v>
      </c>
      <c r="C253" s="664" t="str">
        <f t="shared" si="444"/>
        <v>August</v>
      </c>
      <c r="D253" s="662" t="str">
        <f t="shared" si="445"/>
        <v>Sunday</v>
      </c>
      <c r="E253" s="665"/>
      <c r="F253" s="666"/>
      <c r="G253" s="666"/>
      <c r="H253" s="656"/>
      <c r="I253" s="667">
        <f t="shared" si="446"/>
        <v>0</v>
      </c>
      <c r="J253" s="668">
        <f t="shared" ref="J253:O253" si="455">SUMIFS(J$3:J$9,$I$3:$I$9,$G253)+SUMIFS(J$3:J$9,$I$3:$I$9,$H253)+SUMIFS(J$3:J$9,$I$3:$I$9,$F253)</f>
        <v>0</v>
      </c>
      <c r="K253" s="668">
        <f t="shared" si="455"/>
        <v>0</v>
      </c>
      <c r="L253" s="668">
        <f t="shared" si="455"/>
        <v>0</v>
      </c>
      <c r="M253" s="598">
        <f t="shared" si="455"/>
        <v>0</v>
      </c>
      <c r="N253" s="668">
        <f t="shared" si="455"/>
        <v>0</v>
      </c>
      <c r="O253" s="668">
        <f t="shared" si="455"/>
        <v>0</v>
      </c>
      <c r="P253" s="669"/>
      <c r="Q253" s="669"/>
      <c r="R253" s="669"/>
      <c r="S253" s="668">
        <f t="shared" si="448"/>
        <v>0</v>
      </c>
      <c r="T253" s="661"/>
      <c r="U253" s="661"/>
      <c r="V253" s="661"/>
      <c r="W253" s="661"/>
      <c r="X253" s="661"/>
      <c r="Y253" s="661"/>
      <c r="Z253" s="661"/>
      <c r="AA253" s="661"/>
    </row>
    <row r="254">
      <c r="A254" s="662">
        <f t="shared" si="443"/>
        <v>2026</v>
      </c>
      <c r="B254" s="663">
        <v>46244.0</v>
      </c>
      <c r="C254" s="664" t="str">
        <f t="shared" si="444"/>
        <v>August</v>
      </c>
      <c r="D254" s="662" t="str">
        <f t="shared" si="445"/>
        <v>Monday</v>
      </c>
      <c r="E254" s="634" t="s">
        <v>1504</v>
      </c>
      <c r="F254" s="648" t="s">
        <v>1461</v>
      </c>
      <c r="G254" s="666"/>
      <c r="H254" s="656"/>
      <c r="I254" s="667">
        <f t="shared" si="446"/>
        <v>1</v>
      </c>
      <c r="J254" s="668">
        <f t="shared" ref="J254:O254" si="456">SUMIFS(J$3:J$9,$I$3:$I$9,$G254)+SUMIFS(J$3:J$9,$I$3:$I$9,$H254)+SUMIFS(J$3:J$9,$I$3:$I$9,$F254)</f>
        <v>25</v>
      </c>
      <c r="K254" s="668">
        <f t="shared" si="456"/>
        <v>0</v>
      </c>
      <c r="L254" s="668">
        <f t="shared" si="456"/>
        <v>0</v>
      </c>
      <c r="M254" s="598">
        <f t="shared" si="456"/>
        <v>0</v>
      </c>
      <c r="N254" s="668">
        <f t="shared" si="456"/>
        <v>0</v>
      </c>
      <c r="O254" s="668">
        <f t="shared" si="456"/>
        <v>0</v>
      </c>
      <c r="P254" s="669"/>
      <c r="Q254" s="669"/>
      <c r="R254" s="669"/>
      <c r="S254" s="668">
        <f t="shared" si="448"/>
        <v>25</v>
      </c>
      <c r="T254" s="661"/>
      <c r="U254" s="661"/>
      <c r="V254" s="661"/>
      <c r="W254" s="661"/>
      <c r="X254" s="661"/>
      <c r="Y254" s="661"/>
      <c r="Z254" s="661"/>
      <c r="AA254" s="661"/>
    </row>
    <row r="255">
      <c r="A255" s="662">
        <f t="shared" si="443"/>
        <v>2026</v>
      </c>
      <c r="B255" s="663">
        <v>46245.0</v>
      </c>
      <c r="C255" s="664" t="str">
        <f t="shared" si="444"/>
        <v>August</v>
      </c>
      <c r="D255" s="662" t="str">
        <f t="shared" si="445"/>
        <v>Tuesday</v>
      </c>
      <c r="E255" s="634" t="s">
        <v>1504</v>
      </c>
      <c r="F255" s="648" t="s">
        <v>1461</v>
      </c>
      <c r="G255" s="666"/>
      <c r="H255" s="656"/>
      <c r="I255" s="667">
        <f t="shared" si="446"/>
        <v>1</v>
      </c>
      <c r="J255" s="668">
        <f t="shared" ref="J255:O255" si="457">SUMIFS(J$3:J$9,$I$3:$I$9,$G255)+SUMIFS(J$3:J$9,$I$3:$I$9,$H255)+SUMIFS(J$3:J$9,$I$3:$I$9,$F255)</f>
        <v>25</v>
      </c>
      <c r="K255" s="668">
        <f t="shared" si="457"/>
        <v>0</v>
      </c>
      <c r="L255" s="668">
        <f t="shared" si="457"/>
        <v>0</v>
      </c>
      <c r="M255" s="598">
        <f t="shared" si="457"/>
        <v>0</v>
      </c>
      <c r="N255" s="668">
        <f t="shared" si="457"/>
        <v>0</v>
      </c>
      <c r="O255" s="668">
        <f t="shared" si="457"/>
        <v>0</v>
      </c>
      <c r="P255" s="669"/>
      <c r="Q255" s="669"/>
      <c r="R255" s="669"/>
      <c r="S255" s="668">
        <f t="shared" si="448"/>
        <v>25</v>
      </c>
      <c r="T255" s="661"/>
      <c r="U255" s="661"/>
      <c r="V255" s="661"/>
      <c r="W255" s="661"/>
      <c r="X255" s="661"/>
      <c r="Y255" s="661"/>
      <c r="Z255" s="661"/>
      <c r="AA255" s="661"/>
    </row>
    <row r="256">
      <c r="A256" s="662">
        <f t="shared" si="443"/>
        <v>2026</v>
      </c>
      <c r="B256" s="663">
        <v>46246.0</v>
      </c>
      <c r="C256" s="664" t="str">
        <f t="shared" si="444"/>
        <v>August</v>
      </c>
      <c r="D256" s="662" t="str">
        <f t="shared" si="445"/>
        <v>Wednesday</v>
      </c>
      <c r="E256" s="634" t="s">
        <v>1504</v>
      </c>
      <c r="F256" s="648" t="s">
        <v>1461</v>
      </c>
      <c r="G256" s="666"/>
      <c r="H256" s="656"/>
      <c r="I256" s="667">
        <f t="shared" si="446"/>
        <v>1</v>
      </c>
      <c r="J256" s="668">
        <f t="shared" ref="J256:O256" si="458">SUMIFS(J$3:J$9,$I$3:$I$9,$G256)+SUMIFS(J$3:J$9,$I$3:$I$9,$H256)+SUMIFS(J$3:J$9,$I$3:$I$9,$F256)</f>
        <v>25</v>
      </c>
      <c r="K256" s="668">
        <f t="shared" si="458"/>
        <v>0</v>
      </c>
      <c r="L256" s="668">
        <f t="shared" si="458"/>
        <v>0</v>
      </c>
      <c r="M256" s="598">
        <f t="shared" si="458"/>
        <v>0</v>
      </c>
      <c r="N256" s="668">
        <f t="shared" si="458"/>
        <v>0</v>
      </c>
      <c r="O256" s="668">
        <f t="shared" si="458"/>
        <v>0</v>
      </c>
      <c r="P256" s="669"/>
      <c r="Q256" s="669"/>
      <c r="R256" s="669"/>
      <c r="S256" s="668">
        <f t="shared" si="448"/>
        <v>25</v>
      </c>
      <c r="T256" s="661"/>
      <c r="U256" s="661"/>
      <c r="V256" s="661"/>
      <c r="W256" s="661"/>
      <c r="X256" s="661"/>
      <c r="Y256" s="661"/>
      <c r="Z256" s="661"/>
      <c r="AA256" s="661"/>
    </row>
    <row r="257">
      <c r="A257" s="662">
        <f t="shared" si="443"/>
        <v>2026</v>
      </c>
      <c r="B257" s="663">
        <v>46247.0</v>
      </c>
      <c r="C257" s="664" t="str">
        <f t="shared" si="444"/>
        <v>August</v>
      </c>
      <c r="D257" s="662" t="str">
        <f t="shared" si="445"/>
        <v>Thursday</v>
      </c>
      <c r="E257" s="634" t="s">
        <v>1504</v>
      </c>
      <c r="F257" s="648" t="s">
        <v>1461</v>
      </c>
      <c r="G257" s="656"/>
      <c r="H257" s="656"/>
      <c r="I257" s="667">
        <f t="shared" si="446"/>
        <v>1</v>
      </c>
      <c r="J257" s="668">
        <f t="shared" ref="J257:O257" si="459">SUMIFS(J$3:J$9,$I$3:$I$9,$G257)+SUMIFS(J$3:J$9,$I$3:$I$9,$H257)+SUMIFS(J$3:J$9,$I$3:$I$9,$F257)</f>
        <v>25</v>
      </c>
      <c r="K257" s="668">
        <f t="shared" si="459"/>
        <v>0</v>
      </c>
      <c r="L257" s="668">
        <f t="shared" si="459"/>
        <v>0</v>
      </c>
      <c r="M257" s="598">
        <f t="shared" si="459"/>
        <v>0</v>
      </c>
      <c r="N257" s="668">
        <f t="shared" si="459"/>
        <v>0</v>
      </c>
      <c r="O257" s="668">
        <f t="shared" si="459"/>
        <v>0</v>
      </c>
      <c r="P257" s="669"/>
      <c r="Q257" s="669"/>
      <c r="R257" s="669"/>
      <c r="S257" s="668">
        <f t="shared" si="448"/>
        <v>25</v>
      </c>
      <c r="T257" s="661"/>
      <c r="U257" s="661"/>
      <c r="V257" s="661"/>
      <c r="W257" s="661"/>
      <c r="X257" s="661"/>
      <c r="Y257" s="661"/>
      <c r="Z257" s="661"/>
      <c r="AA257" s="661"/>
    </row>
    <row r="258">
      <c r="A258" s="662">
        <f t="shared" si="443"/>
        <v>2026</v>
      </c>
      <c r="B258" s="663">
        <v>46248.0</v>
      </c>
      <c r="C258" s="664" t="str">
        <f t="shared" si="444"/>
        <v>August</v>
      </c>
      <c r="D258" s="662" t="str">
        <f t="shared" si="445"/>
        <v>Friday</v>
      </c>
      <c r="E258" s="634" t="s">
        <v>1504</v>
      </c>
      <c r="F258" s="648" t="s">
        <v>1461</v>
      </c>
      <c r="G258" s="656"/>
      <c r="H258" s="656"/>
      <c r="I258" s="667">
        <f t="shared" si="446"/>
        <v>1</v>
      </c>
      <c r="J258" s="668">
        <f t="shared" ref="J258:O258" si="460">SUMIFS(J$3:J$9,$I$3:$I$9,$G258)+SUMIFS(J$3:J$9,$I$3:$I$9,$H258)+SUMIFS(J$3:J$9,$I$3:$I$9,$F258)</f>
        <v>25</v>
      </c>
      <c r="K258" s="668">
        <f t="shared" si="460"/>
        <v>0</v>
      </c>
      <c r="L258" s="668">
        <f t="shared" si="460"/>
        <v>0</v>
      </c>
      <c r="M258" s="598">
        <f t="shared" si="460"/>
        <v>0</v>
      </c>
      <c r="N258" s="668">
        <f t="shared" si="460"/>
        <v>0</v>
      </c>
      <c r="O258" s="668">
        <f t="shared" si="460"/>
        <v>0</v>
      </c>
      <c r="P258" s="669"/>
      <c r="Q258" s="669"/>
      <c r="R258" s="669"/>
      <c r="S258" s="668">
        <f t="shared" si="448"/>
        <v>25</v>
      </c>
      <c r="T258" s="661"/>
      <c r="U258" s="661"/>
      <c r="V258" s="661"/>
      <c r="W258" s="661"/>
      <c r="X258" s="661"/>
      <c r="Y258" s="661"/>
      <c r="Z258" s="661"/>
      <c r="AA258" s="661"/>
    </row>
    <row r="259">
      <c r="A259" s="662">
        <f t="shared" si="443"/>
        <v>2026</v>
      </c>
      <c r="B259" s="663">
        <v>46249.0</v>
      </c>
      <c r="C259" s="664" t="str">
        <f t="shared" si="444"/>
        <v>August</v>
      </c>
      <c r="D259" s="662" t="str">
        <f t="shared" si="445"/>
        <v>Saturday</v>
      </c>
      <c r="E259" s="634" t="s">
        <v>1504</v>
      </c>
      <c r="F259" s="648" t="s">
        <v>1461</v>
      </c>
      <c r="G259" s="656"/>
      <c r="H259" s="656"/>
      <c r="I259" s="667">
        <f t="shared" si="446"/>
        <v>1</v>
      </c>
      <c r="J259" s="668">
        <f t="shared" ref="J259:O259" si="461">SUMIFS(J$3:J$9,$I$3:$I$9,$G259)+SUMIFS(J$3:J$9,$I$3:$I$9,$H259)+SUMIFS(J$3:J$9,$I$3:$I$9,$F259)</f>
        <v>25</v>
      </c>
      <c r="K259" s="668">
        <f t="shared" si="461"/>
        <v>0</v>
      </c>
      <c r="L259" s="668">
        <f t="shared" si="461"/>
        <v>0</v>
      </c>
      <c r="M259" s="598">
        <f t="shared" si="461"/>
        <v>0</v>
      </c>
      <c r="N259" s="668">
        <f t="shared" si="461"/>
        <v>0</v>
      </c>
      <c r="O259" s="668">
        <f t="shared" si="461"/>
        <v>0</v>
      </c>
      <c r="P259" s="669"/>
      <c r="Q259" s="669"/>
      <c r="R259" s="669"/>
      <c r="S259" s="668">
        <f t="shared" si="448"/>
        <v>25</v>
      </c>
      <c r="T259" s="661"/>
      <c r="U259" s="661"/>
      <c r="V259" s="661"/>
      <c r="W259" s="661"/>
      <c r="X259" s="661"/>
      <c r="Y259" s="661"/>
      <c r="Z259" s="661"/>
      <c r="AA259" s="661"/>
    </row>
    <row r="260">
      <c r="A260" s="662">
        <f t="shared" si="443"/>
        <v>2026</v>
      </c>
      <c r="B260" s="663">
        <v>46250.0</v>
      </c>
      <c r="C260" s="664" t="str">
        <f t="shared" si="444"/>
        <v>August</v>
      </c>
      <c r="D260" s="662" t="str">
        <f t="shared" si="445"/>
        <v>Sunday</v>
      </c>
      <c r="E260" s="665"/>
      <c r="F260" s="666"/>
      <c r="G260" s="656"/>
      <c r="H260" s="656"/>
      <c r="I260" s="667">
        <f t="shared" si="446"/>
        <v>0</v>
      </c>
      <c r="J260" s="668">
        <f t="shared" ref="J260:O260" si="462">SUMIFS(J$3:J$9,$I$3:$I$9,$G260)+SUMIFS(J$3:J$9,$I$3:$I$9,$H260)+SUMIFS(J$3:J$9,$I$3:$I$9,$F260)</f>
        <v>0</v>
      </c>
      <c r="K260" s="668">
        <f t="shared" si="462"/>
        <v>0</v>
      </c>
      <c r="L260" s="668">
        <f t="shared" si="462"/>
        <v>0</v>
      </c>
      <c r="M260" s="598">
        <f t="shared" si="462"/>
        <v>0</v>
      </c>
      <c r="N260" s="668">
        <f t="shared" si="462"/>
        <v>0</v>
      </c>
      <c r="O260" s="668">
        <f t="shared" si="462"/>
        <v>0</v>
      </c>
      <c r="P260" s="669"/>
      <c r="Q260" s="669"/>
      <c r="R260" s="669"/>
      <c r="S260" s="668">
        <f t="shared" si="448"/>
        <v>0</v>
      </c>
      <c r="T260" s="661"/>
      <c r="U260" s="661"/>
      <c r="V260" s="661"/>
      <c r="W260" s="661"/>
      <c r="X260" s="661"/>
      <c r="Y260" s="661"/>
      <c r="Z260" s="661"/>
      <c r="AA260" s="661"/>
    </row>
    <row r="261">
      <c r="A261" s="662">
        <f t="shared" si="443"/>
        <v>2026</v>
      </c>
      <c r="B261" s="663">
        <v>46251.0</v>
      </c>
      <c r="C261" s="664" t="str">
        <f t="shared" si="444"/>
        <v>August</v>
      </c>
      <c r="D261" s="662" t="str">
        <f t="shared" si="445"/>
        <v>Monday</v>
      </c>
      <c r="E261" s="634" t="s">
        <v>1504</v>
      </c>
      <c r="F261" s="648" t="s">
        <v>1461</v>
      </c>
      <c r="G261" s="656"/>
      <c r="H261" s="656"/>
      <c r="I261" s="667">
        <f t="shared" si="446"/>
        <v>1</v>
      </c>
      <c r="J261" s="668">
        <f t="shared" ref="J261:O261" si="463">SUMIFS(J$3:J$9,$I$3:$I$9,$G261)+SUMIFS(J$3:J$9,$I$3:$I$9,$H261)+SUMIFS(J$3:J$9,$I$3:$I$9,$F261)</f>
        <v>25</v>
      </c>
      <c r="K261" s="668">
        <f t="shared" si="463"/>
        <v>0</v>
      </c>
      <c r="L261" s="668">
        <f t="shared" si="463"/>
        <v>0</v>
      </c>
      <c r="M261" s="598">
        <f t="shared" si="463"/>
        <v>0</v>
      </c>
      <c r="N261" s="668">
        <f t="shared" si="463"/>
        <v>0</v>
      </c>
      <c r="O261" s="668">
        <f t="shared" si="463"/>
        <v>0</v>
      </c>
      <c r="P261" s="669"/>
      <c r="Q261" s="669"/>
      <c r="R261" s="669"/>
      <c r="S261" s="668">
        <f t="shared" si="448"/>
        <v>25</v>
      </c>
      <c r="T261" s="661"/>
      <c r="U261" s="661"/>
      <c r="V261" s="661"/>
      <c r="W261" s="661"/>
      <c r="X261" s="661"/>
      <c r="Y261" s="661"/>
      <c r="Z261" s="661"/>
      <c r="AA261" s="661"/>
    </row>
    <row r="262">
      <c r="A262" s="662">
        <f t="shared" si="443"/>
        <v>2026</v>
      </c>
      <c r="B262" s="663">
        <v>46252.0</v>
      </c>
      <c r="C262" s="664" t="str">
        <f t="shared" si="444"/>
        <v>August</v>
      </c>
      <c r="D262" s="662" t="str">
        <f t="shared" si="445"/>
        <v>Tuesday</v>
      </c>
      <c r="E262" s="634" t="s">
        <v>1504</v>
      </c>
      <c r="F262" s="648" t="s">
        <v>1461</v>
      </c>
      <c r="G262" s="656"/>
      <c r="H262" s="656"/>
      <c r="I262" s="667">
        <f t="shared" si="446"/>
        <v>1</v>
      </c>
      <c r="J262" s="668">
        <f t="shared" ref="J262:O262" si="464">SUMIFS(J$3:J$9,$I$3:$I$9,$G262)+SUMIFS(J$3:J$9,$I$3:$I$9,$H262)+SUMIFS(J$3:J$9,$I$3:$I$9,$F262)</f>
        <v>25</v>
      </c>
      <c r="K262" s="668">
        <f t="shared" si="464"/>
        <v>0</v>
      </c>
      <c r="L262" s="668">
        <f t="shared" si="464"/>
        <v>0</v>
      </c>
      <c r="M262" s="598">
        <f t="shared" si="464"/>
        <v>0</v>
      </c>
      <c r="N262" s="668">
        <f t="shared" si="464"/>
        <v>0</v>
      </c>
      <c r="O262" s="668">
        <f t="shared" si="464"/>
        <v>0</v>
      </c>
      <c r="P262" s="669"/>
      <c r="Q262" s="669"/>
      <c r="R262" s="669"/>
      <c r="S262" s="668">
        <f t="shared" si="448"/>
        <v>25</v>
      </c>
      <c r="T262" s="661"/>
      <c r="U262" s="661"/>
      <c r="V262" s="661"/>
      <c r="W262" s="661"/>
      <c r="X262" s="661"/>
      <c r="Y262" s="661"/>
      <c r="Z262" s="661"/>
      <c r="AA262" s="661"/>
    </row>
    <row r="263">
      <c r="A263" s="662">
        <f t="shared" si="443"/>
        <v>2026</v>
      </c>
      <c r="B263" s="663">
        <v>46253.0</v>
      </c>
      <c r="C263" s="664" t="str">
        <f t="shared" si="444"/>
        <v>August</v>
      </c>
      <c r="D263" s="662" t="str">
        <f t="shared" si="445"/>
        <v>Wednesday</v>
      </c>
      <c r="E263" s="634" t="s">
        <v>1504</v>
      </c>
      <c r="F263" s="648" t="s">
        <v>1461</v>
      </c>
      <c r="G263" s="656"/>
      <c r="H263" s="656"/>
      <c r="I263" s="667">
        <f t="shared" si="446"/>
        <v>1</v>
      </c>
      <c r="J263" s="668">
        <f t="shared" ref="J263:O263" si="465">SUMIFS(J$3:J$9,$I$3:$I$9,$G263)+SUMIFS(J$3:J$9,$I$3:$I$9,$H263)+SUMIFS(J$3:J$9,$I$3:$I$9,$F263)</f>
        <v>25</v>
      </c>
      <c r="K263" s="668">
        <f t="shared" si="465"/>
        <v>0</v>
      </c>
      <c r="L263" s="668">
        <f t="shared" si="465"/>
        <v>0</v>
      </c>
      <c r="M263" s="598">
        <f t="shared" si="465"/>
        <v>0</v>
      </c>
      <c r="N263" s="668">
        <f t="shared" si="465"/>
        <v>0</v>
      </c>
      <c r="O263" s="668">
        <f t="shared" si="465"/>
        <v>0</v>
      </c>
      <c r="P263" s="669"/>
      <c r="Q263" s="669"/>
      <c r="R263" s="669"/>
      <c r="S263" s="668">
        <f t="shared" si="448"/>
        <v>25</v>
      </c>
      <c r="T263" s="661"/>
      <c r="U263" s="661"/>
      <c r="V263" s="661"/>
      <c r="W263" s="661"/>
      <c r="X263" s="661"/>
      <c r="Y263" s="661"/>
      <c r="Z263" s="661"/>
      <c r="AA263" s="661"/>
    </row>
    <row r="264">
      <c r="A264" s="662">
        <f t="shared" si="443"/>
        <v>2026</v>
      </c>
      <c r="B264" s="663">
        <v>46254.0</v>
      </c>
      <c r="C264" s="664" t="str">
        <f t="shared" si="444"/>
        <v>August</v>
      </c>
      <c r="D264" s="662" t="str">
        <f t="shared" si="445"/>
        <v>Thursday</v>
      </c>
      <c r="E264" s="634" t="s">
        <v>1504</v>
      </c>
      <c r="F264" s="648" t="s">
        <v>1461</v>
      </c>
      <c r="G264" s="656"/>
      <c r="H264" s="656"/>
      <c r="I264" s="667">
        <f t="shared" si="446"/>
        <v>1</v>
      </c>
      <c r="J264" s="668">
        <f t="shared" ref="J264:O264" si="466">SUMIFS(J$3:J$9,$I$3:$I$9,$G264)+SUMIFS(J$3:J$9,$I$3:$I$9,$H264)+SUMIFS(J$3:J$9,$I$3:$I$9,$F264)</f>
        <v>25</v>
      </c>
      <c r="K264" s="668">
        <f t="shared" si="466"/>
        <v>0</v>
      </c>
      <c r="L264" s="668">
        <f t="shared" si="466"/>
        <v>0</v>
      </c>
      <c r="M264" s="598">
        <f t="shared" si="466"/>
        <v>0</v>
      </c>
      <c r="N264" s="668">
        <f t="shared" si="466"/>
        <v>0</v>
      </c>
      <c r="O264" s="668">
        <f t="shared" si="466"/>
        <v>0</v>
      </c>
      <c r="P264" s="669"/>
      <c r="Q264" s="669"/>
      <c r="R264" s="669"/>
      <c r="S264" s="668">
        <f t="shared" si="448"/>
        <v>25</v>
      </c>
      <c r="T264" s="661"/>
      <c r="U264" s="661"/>
      <c r="V264" s="661"/>
      <c r="W264" s="661"/>
      <c r="X264" s="661"/>
      <c r="Y264" s="661"/>
      <c r="Z264" s="661"/>
      <c r="AA264" s="661"/>
    </row>
    <row r="265">
      <c r="A265" s="662">
        <f t="shared" si="443"/>
        <v>2026</v>
      </c>
      <c r="B265" s="663">
        <v>46255.0</v>
      </c>
      <c r="C265" s="664" t="str">
        <f t="shared" si="444"/>
        <v>August</v>
      </c>
      <c r="D265" s="662" t="str">
        <f t="shared" si="445"/>
        <v>Friday</v>
      </c>
      <c r="E265" s="634" t="s">
        <v>1504</v>
      </c>
      <c r="F265" s="648" t="s">
        <v>1461</v>
      </c>
      <c r="G265" s="656"/>
      <c r="H265" s="656"/>
      <c r="I265" s="667">
        <f t="shared" si="446"/>
        <v>1</v>
      </c>
      <c r="J265" s="668">
        <f t="shared" ref="J265:O265" si="467">SUMIFS(J$3:J$9,$I$3:$I$9,$G265)+SUMIFS(J$3:J$9,$I$3:$I$9,$H265)+SUMIFS(J$3:J$9,$I$3:$I$9,$F265)</f>
        <v>25</v>
      </c>
      <c r="K265" s="668">
        <f t="shared" si="467"/>
        <v>0</v>
      </c>
      <c r="L265" s="668">
        <f t="shared" si="467"/>
        <v>0</v>
      </c>
      <c r="M265" s="598">
        <f t="shared" si="467"/>
        <v>0</v>
      </c>
      <c r="N265" s="668">
        <f t="shared" si="467"/>
        <v>0</v>
      </c>
      <c r="O265" s="668">
        <f t="shared" si="467"/>
        <v>0</v>
      </c>
      <c r="P265" s="669"/>
      <c r="Q265" s="669"/>
      <c r="R265" s="669"/>
      <c r="S265" s="668">
        <f t="shared" si="448"/>
        <v>25</v>
      </c>
      <c r="T265" s="661"/>
      <c r="U265" s="661"/>
      <c r="V265" s="661"/>
      <c r="W265" s="661"/>
      <c r="X265" s="661"/>
      <c r="Y265" s="661"/>
      <c r="Z265" s="661"/>
      <c r="AA265" s="661"/>
    </row>
    <row r="266">
      <c r="A266" s="662">
        <f t="shared" si="443"/>
        <v>2026</v>
      </c>
      <c r="B266" s="663">
        <v>46256.0</v>
      </c>
      <c r="C266" s="664" t="str">
        <f t="shared" si="444"/>
        <v>August</v>
      </c>
      <c r="D266" s="662" t="str">
        <f t="shared" si="445"/>
        <v>Saturday</v>
      </c>
      <c r="E266" s="634" t="s">
        <v>1504</v>
      </c>
      <c r="F266" s="648" t="s">
        <v>1461</v>
      </c>
      <c r="G266" s="666"/>
      <c r="H266" s="656"/>
      <c r="I266" s="667">
        <f t="shared" si="446"/>
        <v>1</v>
      </c>
      <c r="J266" s="668">
        <f t="shared" ref="J266:O266" si="468">SUMIFS(J$3:J$9,$I$3:$I$9,$G266)+SUMIFS(J$3:J$9,$I$3:$I$9,$H266)+SUMIFS(J$3:J$9,$I$3:$I$9,$F266)</f>
        <v>25</v>
      </c>
      <c r="K266" s="668">
        <f t="shared" si="468"/>
        <v>0</v>
      </c>
      <c r="L266" s="668">
        <f t="shared" si="468"/>
        <v>0</v>
      </c>
      <c r="M266" s="598">
        <f t="shared" si="468"/>
        <v>0</v>
      </c>
      <c r="N266" s="668">
        <f t="shared" si="468"/>
        <v>0</v>
      </c>
      <c r="O266" s="668">
        <f t="shared" si="468"/>
        <v>0</v>
      </c>
      <c r="P266" s="669"/>
      <c r="Q266" s="669"/>
      <c r="R266" s="669"/>
      <c r="S266" s="668">
        <f t="shared" si="448"/>
        <v>25</v>
      </c>
      <c r="T266" s="661"/>
      <c r="U266" s="661"/>
      <c r="V266" s="661"/>
      <c r="W266" s="661"/>
      <c r="X266" s="661"/>
      <c r="Y266" s="661"/>
      <c r="Z266" s="661"/>
      <c r="AA266" s="661"/>
    </row>
    <row r="267">
      <c r="A267" s="662">
        <f t="shared" si="443"/>
        <v>2026</v>
      </c>
      <c r="B267" s="663">
        <v>46257.0</v>
      </c>
      <c r="C267" s="664" t="str">
        <f t="shared" si="444"/>
        <v>August</v>
      </c>
      <c r="D267" s="662" t="str">
        <f t="shared" si="445"/>
        <v>Sunday</v>
      </c>
      <c r="E267" s="665"/>
      <c r="F267" s="666"/>
      <c r="G267" s="666"/>
      <c r="H267" s="656"/>
      <c r="I267" s="667">
        <f t="shared" si="446"/>
        <v>0</v>
      </c>
      <c r="J267" s="668">
        <f t="shared" ref="J267:O267" si="469">SUMIFS(J$3:J$9,$I$3:$I$9,$G267)+SUMIFS(J$3:J$9,$I$3:$I$9,$H267)+SUMIFS(J$3:J$9,$I$3:$I$9,$F267)</f>
        <v>0</v>
      </c>
      <c r="K267" s="668">
        <f t="shared" si="469"/>
        <v>0</v>
      </c>
      <c r="L267" s="668">
        <f t="shared" si="469"/>
        <v>0</v>
      </c>
      <c r="M267" s="598">
        <f t="shared" si="469"/>
        <v>0</v>
      </c>
      <c r="N267" s="668">
        <f t="shared" si="469"/>
        <v>0</v>
      </c>
      <c r="O267" s="668">
        <f t="shared" si="469"/>
        <v>0</v>
      </c>
      <c r="P267" s="669"/>
      <c r="Q267" s="669"/>
      <c r="R267" s="669"/>
      <c r="S267" s="668">
        <f t="shared" si="448"/>
        <v>0</v>
      </c>
      <c r="T267" s="661"/>
      <c r="U267" s="661"/>
      <c r="V267" s="661"/>
      <c r="W267" s="661"/>
      <c r="X267" s="661"/>
      <c r="Y267" s="661"/>
      <c r="Z267" s="661"/>
      <c r="AA267" s="661"/>
    </row>
    <row r="268">
      <c r="A268" s="662">
        <f t="shared" si="443"/>
        <v>2026</v>
      </c>
      <c r="B268" s="663">
        <v>46258.0</v>
      </c>
      <c r="C268" s="664" t="str">
        <f t="shared" si="444"/>
        <v>August</v>
      </c>
      <c r="D268" s="662" t="str">
        <f t="shared" si="445"/>
        <v>Monday</v>
      </c>
      <c r="E268" s="634" t="s">
        <v>1504</v>
      </c>
      <c r="F268" s="648" t="s">
        <v>1461</v>
      </c>
      <c r="G268" s="666"/>
      <c r="H268" s="656"/>
      <c r="I268" s="667">
        <f t="shared" si="446"/>
        <v>1</v>
      </c>
      <c r="J268" s="668">
        <f t="shared" ref="J268:O268" si="470">SUMIFS(J$3:J$9,$I$3:$I$9,$G268)+SUMIFS(J$3:J$9,$I$3:$I$9,$H268)+SUMIFS(J$3:J$9,$I$3:$I$9,$F268)</f>
        <v>25</v>
      </c>
      <c r="K268" s="668">
        <f t="shared" si="470"/>
        <v>0</v>
      </c>
      <c r="L268" s="668">
        <f t="shared" si="470"/>
        <v>0</v>
      </c>
      <c r="M268" s="598">
        <f t="shared" si="470"/>
        <v>0</v>
      </c>
      <c r="N268" s="668">
        <f t="shared" si="470"/>
        <v>0</v>
      </c>
      <c r="O268" s="668">
        <f t="shared" si="470"/>
        <v>0</v>
      </c>
      <c r="P268" s="669"/>
      <c r="Q268" s="669"/>
      <c r="R268" s="669"/>
      <c r="S268" s="668">
        <f t="shared" si="448"/>
        <v>25</v>
      </c>
      <c r="T268" s="661"/>
      <c r="U268" s="661"/>
      <c r="V268" s="661"/>
      <c r="W268" s="661"/>
      <c r="X268" s="661"/>
      <c r="Y268" s="661"/>
      <c r="Z268" s="661"/>
      <c r="AA268" s="661"/>
    </row>
    <row r="269">
      <c r="A269" s="662">
        <f t="shared" si="443"/>
        <v>2026</v>
      </c>
      <c r="B269" s="663">
        <v>46259.0</v>
      </c>
      <c r="C269" s="664" t="str">
        <f t="shared" si="444"/>
        <v>August</v>
      </c>
      <c r="D269" s="662" t="str">
        <f t="shared" si="445"/>
        <v>Tuesday</v>
      </c>
      <c r="E269" s="634" t="s">
        <v>1504</v>
      </c>
      <c r="F269" s="648" t="s">
        <v>1461</v>
      </c>
      <c r="G269" s="666"/>
      <c r="H269" s="656"/>
      <c r="I269" s="667">
        <f t="shared" si="446"/>
        <v>1</v>
      </c>
      <c r="J269" s="668">
        <f t="shared" ref="J269:O269" si="471">SUMIFS(J$3:J$9,$I$3:$I$9,$G269)+SUMIFS(J$3:J$9,$I$3:$I$9,$H269)+SUMIFS(J$3:J$9,$I$3:$I$9,$F269)</f>
        <v>25</v>
      </c>
      <c r="K269" s="668">
        <f t="shared" si="471"/>
        <v>0</v>
      </c>
      <c r="L269" s="668">
        <f t="shared" si="471"/>
        <v>0</v>
      </c>
      <c r="M269" s="598">
        <f t="shared" si="471"/>
        <v>0</v>
      </c>
      <c r="N269" s="668">
        <f t="shared" si="471"/>
        <v>0</v>
      </c>
      <c r="O269" s="668">
        <f t="shared" si="471"/>
        <v>0</v>
      </c>
      <c r="P269" s="669"/>
      <c r="Q269" s="669"/>
      <c r="R269" s="669"/>
      <c r="S269" s="668">
        <f t="shared" si="448"/>
        <v>25</v>
      </c>
      <c r="T269" s="661"/>
      <c r="U269" s="661"/>
      <c r="V269" s="661"/>
      <c r="W269" s="661"/>
      <c r="X269" s="661"/>
      <c r="Y269" s="661"/>
      <c r="Z269" s="661"/>
      <c r="AA269" s="661"/>
    </row>
    <row r="270">
      <c r="A270" s="662">
        <f t="shared" si="443"/>
        <v>2026</v>
      </c>
      <c r="B270" s="663">
        <v>46260.0</v>
      </c>
      <c r="C270" s="664" t="str">
        <f t="shared" si="444"/>
        <v>August</v>
      </c>
      <c r="D270" s="662" t="str">
        <f t="shared" si="445"/>
        <v>Wednesday</v>
      </c>
      <c r="E270" s="634" t="s">
        <v>1504</v>
      </c>
      <c r="F270" s="648" t="s">
        <v>1461</v>
      </c>
      <c r="G270" s="666"/>
      <c r="H270" s="656"/>
      <c r="I270" s="667">
        <f t="shared" si="446"/>
        <v>1</v>
      </c>
      <c r="J270" s="668">
        <f t="shared" ref="J270:O270" si="472">SUMIFS(J$3:J$9,$I$3:$I$9,$G270)+SUMIFS(J$3:J$9,$I$3:$I$9,$H270)+SUMIFS(J$3:J$9,$I$3:$I$9,$F270)</f>
        <v>25</v>
      </c>
      <c r="K270" s="668">
        <f t="shared" si="472"/>
        <v>0</v>
      </c>
      <c r="L270" s="668">
        <f t="shared" si="472"/>
        <v>0</v>
      </c>
      <c r="M270" s="598">
        <f t="shared" si="472"/>
        <v>0</v>
      </c>
      <c r="N270" s="668">
        <f t="shared" si="472"/>
        <v>0</v>
      </c>
      <c r="O270" s="668">
        <f t="shared" si="472"/>
        <v>0</v>
      </c>
      <c r="P270" s="669"/>
      <c r="Q270" s="669"/>
      <c r="R270" s="669"/>
      <c r="S270" s="668">
        <f t="shared" si="448"/>
        <v>25</v>
      </c>
      <c r="T270" s="661"/>
      <c r="U270" s="661"/>
      <c r="V270" s="661"/>
      <c r="W270" s="661"/>
      <c r="X270" s="661"/>
      <c r="Y270" s="661"/>
      <c r="Z270" s="661"/>
      <c r="AA270" s="661"/>
    </row>
    <row r="271">
      <c r="A271" s="662">
        <f t="shared" si="443"/>
        <v>2026</v>
      </c>
      <c r="B271" s="663">
        <v>46261.0</v>
      </c>
      <c r="C271" s="664" t="str">
        <f t="shared" si="444"/>
        <v>August</v>
      </c>
      <c r="D271" s="662" t="str">
        <f t="shared" si="445"/>
        <v>Thursday</v>
      </c>
      <c r="E271" s="634" t="s">
        <v>1504</v>
      </c>
      <c r="F271" s="648" t="s">
        <v>1461</v>
      </c>
      <c r="G271" s="666"/>
      <c r="H271" s="656"/>
      <c r="I271" s="667">
        <f t="shared" si="446"/>
        <v>1</v>
      </c>
      <c r="J271" s="668">
        <f t="shared" ref="J271:O271" si="473">SUMIFS(J$3:J$9,$I$3:$I$9,$G271)+SUMIFS(J$3:J$9,$I$3:$I$9,$H271)+SUMIFS(J$3:J$9,$I$3:$I$9,$F271)</f>
        <v>25</v>
      </c>
      <c r="K271" s="668">
        <f t="shared" si="473"/>
        <v>0</v>
      </c>
      <c r="L271" s="668">
        <f t="shared" si="473"/>
        <v>0</v>
      </c>
      <c r="M271" s="598">
        <f t="shared" si="473"/>
        <v>0</v>
      </c>
      <c r="N271" s="668">
        <f t="shared" si="473"/>
        <v>0</v>
      </c>
      <c r="O271" s="668">
        <f t="shared" si="473"/>
        <v>0</v>
      </c>
      <c r="P271" s="669"/>
      <c r="Q271" s="669"/>
      <c r="R271" s="669"/>
      <c r="S271" s="668">
        <f t="shared" si="448"/>
        <v>25</v>
      </c>
      <c r="T271" s="661"/>
      <c r="U271" s="661"/>
      <c r="V271" s="661"/>
      <c r="W271" s="661"/>
      <c r="X271" s="661"/>
      <c r="Y271" s="661"/>
      <c r="Z271" s="661"/>
      <c r="AA271" s="661"/>
    </row>
    <row r="272">
      <c r="A272" s="662">
        <f t="shared" si="443"/>
        <v>2026</v>
      </c>
      <c r="B272" s="663">
        <v>46262.0</v>
      </c>
      <c r="C272" s="664" t="str">
        <f t="shared" si="444"/>
        <v>August</v>
      </c>
      <c r="D272" s="662" t="str">
        <f t="shared" si="445"/>
        <v>Friday</v>
      </c>
      <c r="E272" s="634" t="s">
        <v>1504</v>
      </c>
      <c r="F272" s="648" t="s">
        <v>1461</v>
      </c>
      <c r="G272" s="656"/>
      <c r="H272" s="656"/>
      <c r="I272" s="667">
        <f t="shared" si="446"/>
        <v>1</v>
      </c>
      <c r="J272" s="668">
        <f t="shared" ref="J272:O272" si="474">SUMIFS(J$3:J$9,$I$3:$I$9,$G272)+SUMIFS(J$3:J$9,$I$3:$I$9,$H272)+SUMIFS(J$3:J$9,$I$3:$I$9,$F272)</f>
        <v>25</v>
      </c>
      <c r="K272" s="668">
        <f t="shared" si="474"/>
        <v>0</v>
      </c>
      <c r="L272" s="668">
        <f t="shared" si="474"/>
        <v>0</v>
      </c>
      <c r="M272" s="598">
        <f t="shared" si="474"/>
        <v>0</v>
      </c>
      <c r="N272" s="668">
        <f t="shared" si="474"/>
        <v>0</v>
      </c>
      <c r="O272" s="668">
        <f t="shared" si="474"/>
        <v>0</v>
      </c>
      <c r="P272" s="669"/>
      <c r="Q272" s="669"/>
      <c r="R272" s="669"/>
      <c r="S272" s="668">
        <f t="shared" si="448"/>
        <v>25</v>
      </c>
      <c r="T272" s="661"/>
      <c r="U272" s="661"/>
      <c r="V272" s="661"/>
      <c r="W272" s="661"/>
      <c r="X272" s="661"/>
      <c r="Y272" s="661"/>
      <c r="Z272" s="661"/>
      <c r="AA272" s="661"/>
    </row>
    <row r="273">
      <c r="A273" s="662">
        <f t="shared" si="443"/>
        <v>2026</v>
      </c>
      <c r="B273" s="663">
        <v>46263.0</v>
      </c>
      <c r="C273" s="664" t="str">
        <f t="shared" si="444"/>
        <v>August</v>
      </c>
      <c r="D273" s="662" t="str">
        <f t="shared" si="445"/>
        <v>Saturday</v>
      </c>
      <c r="E273" s="634" t="s">
        <v>1504</v>
      </c>
      <c r="F273" s="648" t="s">
        <v>1461</v>
      </c>
      <c r="G273" s="656"/>
      <c r="H273" s="656"/>
      <c r="I273" s="667">
        <f t="shared" si="446"/>
        <v>1</v>
      </c>
      <c r="J273" s="668">
        <f t="shared" ref="J273:O273" si="475">SUMIFS(J$3:J$9,$I$3:$I$9,$G273)+SUMIFS(J$3:J$9,$I$3:$I$9,$H273)+SUMIFS(J$3:J$9,$I$3:$I$9,$F273)</f>
        <v>25</v>
      </c>
      <c r="K273" s="668">
        <f t="shared" si="475"/>
        <v>0</v>
      </c>
      <c r="L273" s="668">
        <f t="shared" si="475"/>
        <v>0</v>
      </c>
      <c r="M273" s="598">
        <f t="shared" si="475"/>
        <v>0</v>
      </c>
      <c r="N273" s="668">
        <f t="shared" si="475"/>
        <v>0</v>
      </c>
      <c r="O273" s="668">
        <f t="shared" si="475"/>
        <v>0</v>
      </c>
      <c r="P273" s="669"/>
      <c r="Q273" s="669"/>
      <c r="R273" s="669"/>
      <c r="S273" s="668">
        <f t="shared" si="448"/>
        <v>25</v>
      </c>
      <c r="T273" s="661"/>
      <c r="U273" s="661"/>
      <c r="V273" s="661"/>
      <c r="W273" s="661"/>
      <c r="X273" s="661"/>
      <c r="Y273" s="661"/>
      <c r="Z273" s="661"/>
      <c r="AA273" s="661"/>
    </row>
    <row r="274">
      <c r="A274" s="662">
        <f t="shared" si="443"/>
        <v>2026</v>
      </c>
      <c r="B274" s="663">
        <v>46264.0</v>
      </c>
      <c r="C274" s="664" t="str">
        <f t="shared" si="444"/>
        <v>August</v>
      </c>
      <c r="D274" s="662" t="str">
        <f t="shared" si="445"/>
        <v>Sunday</v>
      </c>
      <c r="E274" s="665"/>
      <c r="F274" s="666"/>
      <c r="G274" s="656"/>
      <c r="H274" s="656"/>
      <c r="I274" s="667">
        <f t="shared" si="446"/>
        <v>0</v>
      </c>
      <c r="J274" s="668">
        <f t="shared" ref="J274:O274" si="476">SUMIFS(J$3:J$9,$I$3:$I$9,$G274)+SUMIFS(J$3:J$9,$I$3:$I$9,$H274)+SUMIFS(J$3:J$9,$I$3:$I$9,$F274)</f>
        <v>0</v>
      </c>
      <c r="K274" s="668">
        <f t="shared" si="476"/>
        <v>0</v>
      </c>
      <c r="L274" s="668">
        <f t="shared" si="476"/>
        <v>0</v>
      </c>
      <c r="M274" s="598">
        <f t="shared" si="476"/>
        <v>0</v>
      </c>
      <c r="N274" s="668">
        <f t="shared" si="476"/>
        <v>0</v>
      </c>
      <c r="O274" s="668">
        <f t="shared" si="476"/>
        <v>0</v>
      </c>
      <c r="P274" s="669"/>
      <c r="Q274" s="669"/>
      <c r="R274" s="669"/>
      <c r="S274" s="668">
        <f t="shared" si="448"/>
        <v>0</v>
      </c>
      <c r="T274" s="661"/>
      <c r="U274" s="661"/>
      <c r="V274" s="661"/>
      <c r="W274" s="661"/>
      <c r="X274" s="661"/>
      <c r="Y274" s="661"/>
      <c r="Z274" s="661"/>
      <c r="AA274" s="661"/>
    </row>
    <row r="275">
      <c r="A275" s="662">
        <f t="shared" si="443"/>
        <v>2026</v>
      </c>
      <c r="B275" s="663">
        <v>46265.0</v>
      </c>
      <c r="C275" s="664" t="str">
        <f t="shared" si="444"/>
        <v>August</v>
      </c>
      <c r="D275" s="662" t="str">
        <f t="shared" si="445"/>
        <v>Monday</v>
      </c>
      <c r="E275" s="642" t="s">
        <v>1522</v>
      </c>
      <c r="F275" s="670" t="s">
        <v>1461</v>
      </c>
      <c r="G275" s="662"/>
      <c r="H275" s="662"/>
      <c r="I275" s="671">
        <f t="shared" si="446"/>
        <v>1</v>
      </c>
      <c r="J275" s="672">
        <f t="shared" ref="J275:O275" si="477">SUMIFS(J$3:J$9,$I$3:$I$9,$G275)+SUMIFS(J$3:J$9,$I$3:$I$9,$H275)+SUMIFS(J$3:J$9,$I$3:$I$9,$F275)</f>
        <v>25</v>
      </c>
      <c r="K275" s="672">
        <f t="shared" si="477"/>
        <v>0</v>
      </c>
      <c r="L275" s="672">
        <f t="shared" si="477"/>
        <v>0</v>
      </c>
      <c r="M275" s="598">
        <f t="shared" si="477"/>
        <v>0</v>
      </c>
      <c r="N275" s="672">
        <f t="shared" si="477"/>
        <v>0</v>
      </c>
      <c r="O275" s="672">
        <f t="shared" si="477"/>
        <v>0</v>
      </c>
      <c r="P275" s="672"/>
      <c r="Q275" s="672"/>
      <c r="R275" s="672"/>
      <c r="S275" s="672">
        <f t="shared" si="448"/>
        <v>25</v>
      </c>
      <c r="T275" s="673"/>
      <c r="U275" s="673"/>
      <c r="V275" s="673"/>
      <c r="W275" s="673"/>
      <c r="X275" s="673"/>
      <c r="Y275" s="673"/>
      <c r="Z275" s="673"/>
      <c r="AA275" s="673"/>
    </row>
    <row r="276">
      <c r="A276" s="674">
        <f>A245</f>
        <v>2026</v>
      </c>
      <c r="B276" s="674" t="str">
        <f>CONCATENATE(A276," ",C276)</f>
        <v>2026 August</v>
      </c>
      <c r="C276" s="675" t="str">
        <f>C245</f>
        <v>August</v>
      </c>
      <c r="D276" s="676"/>
      <c r="E276" s="676"/>
      <c r="F276" s="676"/>
      <c r="G276" s="676"/>
      <c r="H276" s="676"/>
      <c r="I276" s="677">
        <f t="shared" ref="I276:L276" si="478">SUM(I245:I275)</f>
        <v>26</v>
      </c>
      <c r="J276" s="678">
        <f t="shared" si="478"/>
        <v>650</v>
      </c>
      <c r="K276" s="678">
        <f t="shared" si="478"/>
        <v>0</v>
      </c>
      <c r="L276" s="678">
        <f t="shared" si="478"/>
        <v>0</v>
      </c>
      <c r="M276" s="678"/>
      <c r="N276" s="678">
        <f t="shared" ref="N276:S276" si="479">SUM(N245:N275)</f>
        <v>0</v>
      </c>
      <c r="O276" s="678">
        <f t="shared" si="479"/>
        <v>0</v>
      </c>
      <c r="P276" s="678">
        <f t="shared" si="479"/>
        <v>0</v>
      </c>
      <c r="Q276" s="678">
        <f t="shared" si="479"/>
        <v>0</v>
      </c>
      <c r="R276" s="678">
        <f t="shared" si="479"/>
        <v>0</v>
      </c>
      <c r="S276" s="678">
        <f t="shared" si="479"/>
        <v>650</v>
      </c>
      <c r="T276" s="661"/>
      <c r="U276" s="661"/>
      <c r="V276" s="661"/>
      <c r="W276" s="661"/>
      <c r="X276" s="661"/>
      <c r="Y276" s="661"/>
      <c r="Z276" s="661"/>
      <c r="AA276" s="661"/>
    </row>
    <row r="277">
      <c r="A277" s="574"/>
      <c r="B277" s="575"/>
      <c r="C277" s="575"/>
      <c r="D277" s="575"/>
      <c r="E277" s="576"/>
      <c r="F277" s="547"/>
      <c r="G277" s="547"/>
      <c r="H277" s="547"/>
      <c r="I277" s="573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1"/>
      <c r="U277" s="551"/>
      <c r="V277" s="551"/>
      <c r="W277" s="551"/>
      <c r="X277" s="551"/>
      <c r="Y277" s="551"/>
      <c r="Z277" s="551"/>
      <c r="AA277" s="551"/>
    </row>
    <row r="278">
      <c r="A278" s="653">
        <f t="shared" ref="A278:A308" si="481">IF(B278="","",YEAR(B278))</f>
        <v>2026</v>
      </c>
      <c r="B278" s="654">
        <v>46266.0</v>
      </c>
      <c r="C278" s="655" t="str">
        <f t="shared" ref="C278:C308" si="482">IF(B278="", "", TEXT(DATE(A278, MONTH(B278), 1), "MMMM"))</f>
        <v>September</v>
      </c>
      <c r="D278" s="653" t="str">
        <f t="shared" ref="D278:D308" si="483">IF(B278="","",TEXT(B278, "dddd"))</f>
        <v>Tuesday</v>
      </c>
      <c r="E278" s="634" t="s">
        <v>1504</v>
      </c>
      <c r="F278" s="666"/>
      <c r="G278" s="656"/>
      <c r="H278" s="657"/>
      <c r="I278" s="658">
        <f t="shared" ref="I278:I308" si="484">COUNTIF(F278:H278,"&lt;&gt;")</f>
        <v>0</v>
      </c>
      <c r="J278" s="659">
        <f t="shared" ref="J278:O278" si="480">SUMIFS(J$3:J$9,$I$3:$I$9,$G278)+SUMIFS(J$3:J$9,$I$3:$I$9,$H278)+SUMIFS(J$3:J$9,$I$3:$I$9,$F278)</f>
        <v>0</v>
      </c>
      <c r="K278" s="659">
        <f t="shared" si="480"/>
        <v>0</v>
      </c>
      <c r="L278" s="659">
        <f t="shared" si="480"/>
        <v>0</v>
      </c>
      <c r="M278" s="609">
        <f t="shared" si="480"/>
        <v>0</v>
      </c>
      <c r="N278" s="659">
        <f t="shared" si="480"/>
        <v>0</v>
      </c>
      <c r="O278" s="659">
        <f t="shared" si="480"/>
        <v>0</v>
      </c>
      <c r="P278" s="660"/>
      <c r="Q278" s="660"/>
      <c r="R278" s="660"/>
      <c r="S278" s="659">
        <f t="shared" ref="S278:S308" si="486">SUM(J278:R278)</f>
        <v>0</v>
      </c>
      <c r="T278" s="661"/>
      <c r="U278" s="661"/>
      <c r="V278" s="661"/>
      <c r="W278" s="661"/>
      <c r="X278" s="661"/>
      <c r="Y278" s="661"/>
      <c r="Z278" s="661"/>
      <c r="AA278" s="661"/>
    </row>
    <row r="279">
      <c r="A279" s="662">
        <f t="shared" si="481"/>
        <v>2026</v>
      </c>
      <c r="B279" s="663">
        <v>46267.0</v>
      </c>
      <c r="C279" s="664" t="str">
        <f t="shared" si="482"/>
        <v>September</v>
      </c>
      <c r="D279" s="662" t="str">
        <f t="shared" si="483"/>
        <v>Wednesday</v>
      </c>
      <c r="E279" s="634" t="s">
        <v>1504</v>
      </c>
      <c r="F279" s="666"/>
      <c r="G279" s="656"/>
      <c r="H279" s="656"/>
      <c r="I279" s="667">
        <f t="shared" si="484"/>
        <v>0</v>
      </c>
      <c r="J279" s="668">
        <f t="shared" ref="J279:O279" si="485">SUMIFS(J$3:J$9,$I$3:$I$9,$G279)+SUMIFS(J$3:J$9,$I$3:$I$9,$H279)+SUMIFS(J$3:J$9,$I$3:$I$9,$F279)</f>
        <v>0</v>
      </c>
      <c r="K279" s="668">
        <f t="shared" si="485"/>
        <v>0</v>
      </c>
      <c r="L279" s="668">
        <f t="shared" si="485"/>
        <v>0</v>
      </c>
      <c r="M279" s="598">
        <f t="shared" si="485"/>
        <v>0</v>
      </c>
      <c r="N279" s="668">
        <f t="shared" si="485"/>
        <v>0</v>
      </c>
      <c r="O279" s="668">
        <f t="shared" si="485"/>
        <v>0</v>
      </c>
      <c r="P279" s="669"/>
      <c r="Q279" s="669"/>
      <c r="R279" s="669"/>
      <c r="S279" s="668">
        <f t="shared" si="486"/>
        <v>0</v>
      </c>
      <c r="T279" s="661"/>
      <c r="U279" s="661"/>
      <c r="V279" s="661"/>
      <c r="W279" s="661"/>
      <c r="X279" s="661"/>
      <c r="Y279" s="661"/>
      <c r="Z279" s="661"/>
      <c r="AA279" s="661"/>
    </row>
    <row r="280">
      <c r="A280" s="662">
        <f t="shared" si="481"/>
        <v>2026</v>
      </c>
      <c r="B280" s="663">
        <v>46268.0</v>
      </c>
      <c r="C280" s="664" t="str">
        <f t="shared" si="482"/>
        <v>September</v>
      </c>
      <c r="D280" s="662" t="str">
        <f t="shared" si="483"/>
        <v>Thursday</v>
      </c>
      <c r="E280" s="634" t="s">
        <v>1504</v>
      </c>
      <c r="F280" s="666"/>
      <c r="G280" s="656"/>
      <c r="H280" s="656"/>
      <c r="I280" s="667">
        <f t="shared" si="484"/>
        <v>0</v>
      </c>
      <c r="J280" s="668">
        <f t="shared" ref="J280:O280" si="487">SUMIFS(J$3:J$9,$I$3:$I$9,$G280)+SUMIFS(J$3:J$9,$I$3:$I$9,$H280)+SUMIFS(J$3:J$9,$I$3:$I$9,$F280)</f>
        <v>0</v>
      </c>
      <c r="K280" s="668">
        <f t="shared" si="487"/>
        <v>0</v>
      </c>
      <c r="L280" s="668">
        <f t="shared" si="487"/>
        <v>0</v>
      </c>
      <c r="M280" s="598">
        <f t="shared" si="487"/>
        <v>0</v>
      </c>
      <c r="N280" s="668">
        <f t="shared" si="487"/>
        <v>0</v>
      </c>
      <c r="O280" s="668">
        <f t="shared" si="487"/>
        <v>0</v>
      </c>
      <c r="P280" s="669"/>
      <c r="Q280" s="669"/>
      <c r="R280" s="669"/>
      <c r="S280" s="668">
        <f t="shared" si="486"/>
        <v>0</v>
      </c>
      <c r="T280" s="661"/>
      <c r="U280" s="661"/>
      <c r="V280" s="661"/>
      <c r="W280" s="661"/>
      <c r="X280" s="661"/>
      <c r="Y280" s="661"/>
      <c r="Z280" s="661"/>
      <c r="AA280" s="661"/>
    </row>
    <row r="281">
      <c r="A281" s="662">
        <f t="shared" si="481"/>
        <v>2026</v>
      </c>
      <c r="B281" s="663">
        <v>46269.0</v>
      </c>
      <c r="C281" s="664" t="str">
        <f t="shared" si="482"/>
        <v>September</v>
      </c>
      <c r="D281" s="662" t="str">
        <f t="shared" si="483"/>
        <v>Friday</v>
      </c>
      <c r="E281" s="634" t="s">
        <v>1504</v>
      </c>
      <c r="F281" s="666"/>
      <c r="G281" s="656"/>
      <c r="H281" s="656"/>
      <c r="I281" s="667">
        <f t="shared" si="484"/>
        <v>0</v>
      </c>
      <c r="J281" s="668">
        <f t="shared" ref="J281:O281" si="488">SUMIFS(J$3:J$9,$I$3:$I$9,$G281)+SUMIFS(J$3:J$9,$I$3:$I$9,$H281)+SUMIFS(J$3:J$9,$I$3:$I$9,$F281)</f>
        <v>0</v>
      </c>
      <c r="K281" s="668">
        <f t="shared" si="488"/>
        <v>0</v>
      </c>
      <c r="L281" s="668">
        <f t="shared" si="488"/>
        <v>0</v>
      </c>
      <c r="M281" s="598">
        <f t="shared" si="488"/>
        <v>0</v>
      </c>
      <c r="N281" s="668">
        <f t="shared" si="488"/>
        <v>0</v>
      </c>
      <c r="O281" s="668">
        <f t="shared" si="488"/>
        <v>0</v>
      </c>
      <c r="P281" s="669"/>
      <c r="Q281" s="669"/>
      <c r="R281" s="669"/>
      <c r="S281" s="668">
        <f t="shared" si="486"/>
        <v>0</v>
      </c>
      <c r="T281" s="661"/>
      <c r="U281" s="661"/>
      <c r="V281" s="661"/>
      <c r="W281" s="661"/>
      <c r="X281" s="661"/>
      <c r="Y281" s="661"/>
      <c r="Z281" s="661"/>
      <c r="AA281" s="661"/>
    </row>
    <row r="282">
      <c r="A282" s="662">
        <f t="shared" si="481"/>
        <v>2026</v>
      </c>
      <c r="B282" s="663">
        <v>46270.0</v>
      </c>
      <c r="C282" s="664" t="str">
        <f t="shared" si="482"/>
        <v>September</v>
      </c>
      <c r="D282" s="662" t="str">
        <f t="shared" si="483"/>
        <v>Saturday</v>
      </c>
      <c r="E282" s="634" t="s">
        <v>1504</v>
      </c>
      <c r="F282" s="666"/>
      <c r="G282" s="656"/>
      <c r="H282" s="656"/>
      <c r="I282" s="667">
        <f t="shared" si="484"/>
        <v>0</v>
      </c>
      <c r="J282" s="668">
        <f t="shared" ref="J282:O282" si="489">SUMIFS(J$3:J$9,$I$3:$I$9,$G282)+SUMIFS(J$3:J$9,$I$3:$I$9,$H282)+SUMIFS(J$3:J$9,$I$3:$I$9,$F282)</f>
        <v>0</v>
      </c>
      <c r="K282" s="668">
        <f t="shared" si="489"/>
        <v>0</v>
      </c>
      <c r="L282" s="668">
        <f t="shared" si="489"/>
        <v>0</v>
      </c>
      <c r="M282" s="598">
        <f t="shared" si="489"/>
        <v>0</v>
      </c>
      <c r="N282" s="668">
        <f t="shared" si="489"/>
        <v>0</v>
      </c>
      <c r="O282" s="668">
        <f t="shared" si="489"/>
        <v>0</v>
      </c>
      <c r="P282" s="669"/>
      <c r="Q282" s="669"/>
      <c r="R282" s="669"/>
      <c r="S282" s="668">
        <f t="shared" si="486"/>
        <v>0</v>
      </c>
      <c r="T282" s="661"/>
      <c r="U282" s="661"/>
      <c r="V282" s="661"/>
      <c r="W282" s="661"/>
      <c r="X282" s="661"/>
      <c r="Y282" s="661"/>
      <c r="Z282" s="661"/>
      <c r="AA282" s="661"/>
    </row>
    <row r="283">
      <c r="A283" s="662">
        <f t="shared" si="481"/>
        <v>2026</v>
      </c>
      <c r="B283" s="663">
        <v>46271.0</v>
      </c>
      <c r="C283" s="664" t="str">
        <f t="shared" si="482"/>
        <v>September</v>
      </c>
      <c r="D283" s="662" t="str">
        <f t="shared" si="483"/>
        <v>Sunday</v>
      </c>
      <c r="E283" s="679"/>
      <c r="F283" s="656"/>
      <c r="G283" s="656"/>
      <c r="H283" s="656"/>
      <c r="I283" s="667">
        <f t="shared" si="484"/>
        <v>0</v>
      </c>
      <c r="J283" s="668">
        <f t="shared" ref="J283:O283" si="490">SUMIFS(J$3:J$9,$I$3:$I$9,$G283)+SUMIFS(J$3:J$9,$I$3:$I$9,$H283)+SUMIFS(J$3:J$9,$I$3:$I$9,$F283)</f>
        <v>0</v>
      </c>
      <c r="K283" s="668">
        <f t="shared" si="490"/>
        <v>0</v>
      </c>
      <c r="L283" s="668">
        <f t="shared" si="490"/>
        <v>0</v>
      </c>
      <c r="M283" s="598">
        <f t="shared" si="490"/>
        <v>0</v>
      </c>
      <c r="N283" s="668">
        <f t="shared" si="490"/>
        <v>0</v>
      </c>
      <c r="O283" s="668">
        <f t="shared" si="490"/>
        <v>0</v>
      </c>
      <c r="P283" s="669"/>
      <c r="Q283" s="669"/>
      <c r="R283" s="669"/>
      <c r="S283" s="668">
        <f t="shared" si="486"/>
        <v>0</v>
      </c>
      <c r="T283" s="661"/>
      <c r="U283" s="661"/>
      <c r="V283" s="661"/>
      <c r="W283" s="661"/>
      <c r="X283" s="661"/>
      <c r="Y283" s="661"/>
      <c r="Z283" s="661"/>
      <c r="AA283" s="661"/>
    </row>
    <row r="284">
      <c r="A284" s="662">
        <f t="shared" si="481"/>
        <v>2026</v>
      </c>
      <c r="B284" s="663">
        <v>46272.0</v>
      </c>
      <c r="C284" s="664" t="str">
        <f t="shared" si="482"/>
        <v>September</v>
      </c>
      <c r="D284" s="662" t="str">
        <f t="shared" si="483"/>
        <v>Monday</v>
      </c>
      <c r="E284" s="656"/>
      <c r="F284" s="656"/>
      <c r="G284" s="656"/>
      <c r="H284" s="656"/>
      <c r="I284" s="667">
        <f t="shared" si="484"/>
        <v>0</v>
      </c>
      <c r="J284" s="668">
        <f t="shared" ref="J284:O284" si="491">SUMIFS(J$3:J$9,$I$3:$I$9,$G284)+SUMIFS(J$3:J$9,$I$3:$I$9,$H284)+SUMIFS(J$3:J$9,$I$3:$I$9,$F284)</f>
        <v>0</v>
      </c>
      <c r="K284" s="668">
        <f t="shared" si="491"/>
        <v>0</v>
      </c>
      <c r="L284" s="668">
        <f t="shared" si="491"/>
        <v>0</v>
      </c>
      <c r="M284" s="598">
        <f t="shared" si="491"/>
        <v>0</v>
      </c>
      <c r="N284" s="668">
        <f t="shared" si="491"/>
        <v>0</v>
      </c>
      <c r="O284" s="668">
        <f t="shared" si="491"/>
        <v>0</v>
      </c>
      <c r="P284" s="669"/>
      <c r="Q284" s="669"/>
      <c r="R284" s="669"/>
      <c r="S284" s="668">
        <f t="shared" si="486"/>
        <v>0</v>
      </c>
      <c r="T284" s="661"/>
      <c r="U284" s="661"/>
      <c r="V284" s="661"/>
      <c r="W284" s="661"/>
      <c r="X284" s="661"/>
      <c r="Y284" s="661"/>
      <c r="Z284" s="661"/>
      <c r="AA284" s="661"/>
    </row>
    <row r="285">
      <c r="A285" s="662">
        <f t="shared" si="481"/>
        <v>2026</v>
      </c>
      <c r="B285" s="663">
        <v>46273.0</v>
      </c>
      <c r="C285" s="664" t="str">
        <f t="shared" si="482"/>
        <v>September</v>
      </c>
      <c r="D285" s="662" t="str">
        <f t="shared" si="483"/>
        <v>Tuesday</v>
      </c>
      <c r="E285" s="665"/>
      <c r="F285" s="656"/>
      <c r="G285" s="656"/>
      <c r="H285" s="656"/>
      <c r="I285" s="667">
        <f t="shared" si="484"/>
        <v>0</v>
      </c>
      <c r="J285" s="668">
        <f t="shared" ref="J285:O285" si="492">SUMIFS(J$3:J$9,$I$3:$I$9,$G285)+SUMIFS(J$3:J$9,$I$3:$I$9,$H285)+SUMIFS(J$3:J$9,$I$3:$I$9,$F285)</f>
        <v>0</v>
      </c>
      <c r="K285" s="668">
        <f t="shared" si="492"/>
        <v>0</v>
      </c>
      <c r="L285" s="668">
        <f t="shared" si="492"/>
        <v>0</v>
      </c>
      <c r="M285" s="598">
        <f t="shared" si="492"/>
        <v>0</v>
      </c>
      <c r="N285" s="668">
        <f t="shared" si="492"/>
        <v>0</v>
      </c>
      <c r="O285" s="668">
        <f t="shared" si="492"/>
        <v>0</v>
      </c>
      <c r="P285" s="669"/>
      <c r="Q285" s="669"/>
      <c r="R285" s="669"/>
      <c r="S285" s="668">
        <f t="shared" si="486"/>
        <v>0</v>
      </c>
      <c r="T285" s="661"/>
      <c r="U285" s="661"/>
      <c r="V285" s="661"/>
      <c r="W285" s="661"/>
      <c r="X285" s="661"/>
      <c r="Y285" s="661"/>
      <c r="Z285" s="661"/>
      <c r="AA285" s="661"/>
    </row>
    <row r="286">
      <c r="A286" s="662">
        <f t="shared" si="481"/>
        <v>2026</v>
      </c>
      <c r="B286" s="663">
        <v>46274.0</v>
      </c>
      <c r="C286" s="664" t="str">
        <f t="shared" si="482"/>
        <v>September</v>
      </c>
      <c r="D286" s="662" t="str">
        <f t="shared" si="483"/>
        <v>Wednesday</v>
      </c>
      <c r="E286" s="665"/>
      <c r="F286" s="666"/>
      <c r="G286" s="666"/>
      <c r="H286" s="656"/>
      <c r="I286" s="667">
        <f t="shared" si="484"/>
        <v>0</v>
      </c>
      <c r="J286" s="668">
        <f t="shared" ref="J286:O286" si="493">SUMIFS(J$3:J$9,$I$3:$I$9,$G286)+SUMIFS(J$3:J$9,$I$3:$I$9,$H286)+SUMIFS(J$3:J$9,$I$3:$I$9,$F286)</f>
        <v>0</v>
      </c>
      <c r="K286" s="668">
        <f t="shared" si="493"/>
        <v>0</v>
      </c>
      <c r="L286" s="668">
        <f t="shared" si="493"/>
        <v>0</v>
      </c>
      <c r="M286" s="598">
        <f t="shared" si="493"/>
        <v>0</v>
      </c>
      <c r="N286" s="668">
        <f t="shared" si="493"/>
        <v>0</v>
      </c>
      <c r="O286" s="668">
        <f t="shared" si="493"/>
        <v>0</v>
      </c>
      <c r="P286" s="669"/>
      <c r="Q286" s="669"/>
      <c r="R286" s="669"/>
      <c r="S286" s="668">
        <f t="shared" si="486"/>
        <v>0</v>
      </c>
      <c r="T286" s="661"/>
      <c r="U286" s="661"/>
      <c r="V286" s="661"/>
      <c r="W286" s="661"/>
      <c r="X286" s="661"/>
      <c r="Y286" s="661"/>
      <c r="Z286" s="661"/>
      <c r="AA286" s="661"/>
    </row>
    <row r="287">
      <c r="A287" s="662">
        <f t="shared" si="481"/>
        <v>2026</v>
      </c>
      <c r="B287" s="663">
        <v>46275.0</v>
      </c>
      <c r="C287" s="664" t="str">
        <f t="shared" si="482"/>
        <v>September</v>
      </c>
      <c r="D287" s="662" t="str">
        <f t="shared" si="483"/>
        <v>Thursday</v>
      </c>
      <c r="E287" s="665"/>
      <c r="F287" s="666"/>
      <c r="G287" s="666"/>
      <c r="H287" s="656"/>
      <c r="I287" s="667">
        <f t="shared" si="484"/>
        <v>0</v>
      </c>
      <c r="J287" s="668">
        <f t="shared" ref="J287:O287" si="494">SUMIFS(J$3:J$9,$I$3:$I$9,$G287)+SUMIFS(J$3:J$9,$I$3:$I$9,$H287)+SUMIFS(J$3:J$9,$I$3:$I$9,$F287)</f>
        <v>0</v>
      </c>
      <c r="K287" s="668">
        <f t="shared" si="494"/>
        <v>0</v>
      </c>
      <c r="L287" s="668">
        <f t="shared" si="494"/>
        <v>0</v>
      </c>
      <c r="M287" s="598">
        <f t="shared" si="494"/>
        <v>0</v>
      </c>
      <c r="N287" s="668">
        <f t="shared" si="494"/>
        <v>0</v>
      </c>
      <c r="O287" s="668">
        <f t="shared" si="494"/>
        <v>0</v>
      </c>
      <c r="P287" s="669"/>
      <c r="Q287" s="669"/>
      <c r="R287" s="669"/>
      <c r="S287" s="668">
        <f t="shared" si="486"/>
        <v>0</v>
      </c>
      <c r="T287" s="661"/>
      <c r="U287" s="661"/>
      <c r="V287" s="661"/>
      <c r="W287" s="661"/>
      <c r="X287" s="661"/>
      <c r="Y287" s="661"/>
      <c r="Z287" s="661"/>
      <c r="AA287" s="661"/>
    </row>
    <row r="288">
      <c r="A288" s="662">
        <f t="shared" si="481"/>
        <v>2026</v>
      </c>
      <c r="B288" s="663">
        <v>46276.0</v>
      </c>
      <c r="C288" s="664" t="str">
        <f t="shared" si="482"/>
        <v>September</v>
      </c>
      <c r="D288" s="662" t="str">
        <f t="shared" si="483"/>
        <v>Friday</v>
      </c>
      <c r="E288" s="665"/>
      <c r="F288" s="666"/>
      <c r="G288" s="666"/>
      <c r="H288" s="656"/>
      <c r="I288" s="667">
        <f t="shared" si="484"/>
        <v>0</v>
      </c>
      <c r="J288" s="668">
        <f t="shared" ref="J288:O288" si="495">SUMIFS(J$3:J$9,$I$3:$I$9,$G288)+SUMIFS(J$3:J$9,$I$3:$I$9,$H288)+SUMIFS(J$3:J$9,$I$3:$I$9,$F288)</f>
        <v>0</v>
      </c>
      <c r="K288" s="668">
        <f t="shared" si="495"/>
        <v>0</v>
      </c>
      <c r="L288" s="668">
        <f t="shared" si="495"/>
        <v>0</v>
      </c>
      <c r="M288" s="598">
        <f t="shared" si="495"/>
        <v>0</v>
      </c>
      <c r="N288" s="668">
        <f t="shared" si="495"/>
        <v>0</v>
      </c>
      <c r="O288" s="668">
        <f t="shared" si="495"/>
        <v>0</v>
      </c>
      <c r="P288" s="669"/>
      <c r="Q288" s="669"/>
      <c r="R288" s="669"/>
      <c r="S288" s="668">
        <f t="shared" si="486"/>
        <v>0</v>
      </c>
      <c r="T288" s="661"/>
      <c r="U288" s="661"/>
      <c r="V288" s="661"/>
      <c r="W288" s="661"/>
      <c r="X288" s="661"/>
      <c r="Y288" s="661"/>
      <c r="Z288" s="661"/>
      <c r="AA288" s="661"/>
    </row>
    <row r="289">
      <c r="A289" s="662">
        <f t="shared" si="481"/>
        <v>2026</v>
      </c>
      <c r="B289" s="663">
        <v>46277.0</v>
      </c>
      <c r="C289" s="664" t="str">
        <f t="shared" si="482"/>
        <v>September</v>
      </c>
      <c r="D289" s="662" t="str">
        <f t="shared" si="483"/>
        <v>Saturday</v>
      </c>
      <c r="E289" s="680"/>
      <c r="F289" s="666"/>
      <c r="G289" s="666"/>
      <c r="H289" s="656"/>
      <c r="I289" s="667">
        <f t="shared" si="484"/>
        <v>0</v>
      </c>
      <c r="J289" s="668">
        <f t="shared" ref="J289:O289" si="496">SUMIFS(J$3:J$9,$I$3:$I$9,$G289)+SUMIFS(J$3:J$9,$I$3:$I$9,$H289)+SUMIFS(J$3:J$9,$I$3:$I$9,$F289)</f>
        <v>0</v>
      </c>
      <c r="K289" s="668">
        <f t="shared" si="496"/>
        <v>0</v>
      </c>
      <c r="L289" s="668">
        <f t="shared" si="496"/>
        <v>0</v>
      </c>
      <c r="M289" s="598">
        <f t="shared" si="496"/>
        <v>0</v>
      </c>
      <c r="N289" s="668">
        <f t="shared" si="496"/>
        <v>0</v>
      </c>
      <c r="O289" s="668">
        <f t="shared" si="496"/>
        <v>0</v>
      </c>
      <c r="P289" s="669"/>
      <c r="Q289" s="669"/>
      <c r="R289" s="669"/>
      <c r="S289" s="668">
        <f t="shared" si="486"/>
        <v>0</v>
      </c>
      <c r="T289" s="661"/>
      <c r="U289" s="661"/>
      <c r="V289" s="661"/>
      <c r="W289" s="661"/>
      <c r="X289" s="661"/>
      <c r="Y289" s="661"/>
      <c r="Z289" s="661"/>
      <c r="AA289" s="661"/>
    </row>
    <row r="290">
      <c r="A290" s="662">
        <f t="shared" si="481"/>
        <v>2026</v>
      </c>
      <c r="B290" s="663">
        <v>46278.0</v>
      </c>
      <c r="C290" s="664" t="str">
        <f t="shared" si="482"/>
        <v>September</v>
      </c>
      <c r="D290" s="662" t="str">
        <f t="shared" si="483"/>
        <v>Sunday</v>
      </c>
      <c r="E290" s="679"/>
      <c r="F290" s="656"/>
      <c r="G290" s="656"/>
      <c r="H290" s="656"/>
      <c r="I290" s="667">
        <f t="shared" si="484"/>
        <v>0</v>
      </c>
      <c r="J290" s="668">
        <f t="shared" ref="J290:O290" si="497">SUMIFS(J$3:J$9,$I$3:$I$9,$G290)+SUMIFS(J$3:J$9,$I$3:$I$9,$H290)+SUMIFS(J$3:J$9,$I$3:$I$9,$F290)</f>
        <v>0</v>
      </c>
      <c r="K290" s="668">
        <f t="shared" si="497"/>
        <v>0</v>
      </c>
      <c r="L290" s="668">
        <f t="shared" si="497"/>
        <v>0</v>
      </c>
      <c r="M290" s="598">
        <f t="shared" si="497"/>
        <v>0</v>
      </c>
      <c r="N290" s="668">
        <f t="shared" si="497"/>
        <v>0</v>
      </c>
      <c r="O290" s="668">
        <f t="shared" si="497"/>
        <v>0</v>
      </c>
      <c r="P290" s="669"/>
      <c r="Q290" s="669"/>
      <c r="R290" s="669"/>
      <c r="S290" s="668">
        <f t="shared" si="486"/>
        <v>0</v>
      </c>
      <c r="T290" s="661"/>
      <c r="U290" s="661"/>
      <c r="V290" s="661"/>
      <c r="W290" s="661"/>
      <c r="X290" s="661"/>
      <c r="Y290" s="661"/>
      <c r="Z290" s="661"/>
      <c r="AA290" s="661"/>
    </row>
    <row r="291">
      <c r="A291" s="662">
        <f t="shared" si="481"/>
        <v>2026</v>
      </c>
      <c r="B291" s="663">
        <v>46279.0</v>
      </c>
      <c r="C291" s="664" t="str">
        <f t="shared" si="482"/>
        <v>September</v>
      </c>
      <c r="D291" s="662" t="str">
        <f t="shared" si="483"/>
        <v>Monday</v>
      </c>
      <c r="E291" s="656"/>
      <c r="F291" s="656"/>
      <c r="G291" s="656"/>
      <c r="H291" s="656"/>
      <c r="I291" s="667">
        <f t="shared" si="484"/>
        <v>0</v>
      </c>
      <c r="J291" s="668">
        <f t="shared" ref="J291:O291" si="498">SUMIFS(J$3:J$9,$I$3:$I$9,$G291)+SUMIFS(J$3:J$9,$I$3:$I$9,$H291)+SUMIFS(J$3:J$9,$I$3:$I$9,$F291)</f>
        <v>0</v>
      </c>
      <c r="K291" s="668">
        <f t="shared" si="498"/>
        <v>0</v>
      </c>
      <c r="L291" s="668">
        <f t="shared" si="498"/>
        <v>0</v>
      </c>
      <c r="M291" s="598">
        <f t="shared" si="498"/>
        <v>0</v>
      </c>
      <c r="N291" s="668">
        <f t="shared" si="498"/>
        <v>0</v>
      </c>
      <c r="O291" s="668">
        <f t="shared" si="498"/>
        <v>0</v>
      </c>
      <c r="P291" s="669"/>
      <c r="Q291" s="669"/>
      <c r="R291" s="669"/>
      <c r="S291" s="668">
        <f t="shared" si="486"/>
        <v>0</v>
      </c>
      <c r="T291" s="661"/>
      <c r="U291" s="661"/>
      <c r="V291" s="661"/>
      <c r="W291" s="661"/>
      <c r="X291" s="661"/>
      <c r="Y291" s="661"/>
      <c r="Z291" s="661"/>
      <c r="AA291" s="661"/>
    </row>
    <row r="292">
      <c r="A292" s="662">
        <f t="shared" si="481"/>
        <v>2026</v>
      </c>
      <c r="B292" s="663">
        <v>46280.0</v>
      </c>
      <c r="C292" s="664" t="str">
        <f t="shared" si="482"/>
        <v>September</v>
      </c>
      <c r="D292" s="662" t="str">
        <f t="shared" si="483"/>
        <v>Tuesday</v>
      </c>
      <c r="E292" s="665"/>
      <c r="F292" s="666"/>
      <c r="G292" s="656"/>
      <c r="H292" s="656"/>
      <c r="I292" s="667">
        <f t="shared" si="484"/>
        <v>0</v>
      </c>
      <c r="J292" s="668">
        <f t="shared" ref="J292:O292" si="499">SUMIFS(J$3:J$9,$I$3:$I$9,$G292)+SUMIFS(J$3:J$9,$I$3:$I$9,$H292)+SUMIFS(J$3:J$9,$I$3:$I$9,$F292)</f>
        <v>0</v>
      </c>
      <c r="K292" s="668">
        <f t="shared" si="499"/>
        <v>0</v>
      </c>
      <c r="L292" s="668">
        <f t="shared" si="499"/>
        <v>0</v>
      </c>
      <c r="M292" s="598">
        <f t="shared" si="499"/>
        <v>0</v>
      </c>
      <c r="N292" s="668">
        <f t="shared" si="499"/>
        <v>0</v>
      </c>
      <c r="O292" s="668">
        <f t="shared" si="499"/>
        <v>0</v>
      </c>
      <c r="P292" s="669"/>
      <c r="Q292" s="669"/>
      <c r="R292" s="669"/>
      <c r="S292" s="668">
        <f t="shared" si="486"/>
        <v>0</v>
      </c>
      <c r="T292" s="661"/>
      <c r="U292" s="661"/>
      <c r="V292" s="661"/>
      <c r="W292" s="661"/>
      <c r="X292" s="661"/>
      <c r="Y292" s="661"/>
      <c r="Z292" s="661"/>
      <c r="AA292" s="661"/>
    </row>
    <row r="293">
      <c r="A293" s="662">
        <f t="shared" si="481"/>
        <v>2026</v>
      </c>
      <c r="B293" s="663">
        <v>46281.0</v>
      </c>
      <c r="C293" s="664" t="str">
        <f t="shared" si="482"/>
        <v>September</v>
      </c>
      <c r="D293" s="662" t="str">
        <f t="shared" si="483"/>
        <v>Wednesday</v>
      </c>
      <c r="E293" s="665"/>
      <c r="F293" s="666"/>
      <c r="G293" s="656"/>
      <c r="H293" s="656"/>
      <c r="I293" s="667">
        <f t="shared" si="484"/>
        <v>0</v>
      </c>
      <c r="J293" s="668">
        <f t="shared" ref="J293:O293" si="500">SUMIFS(J$3:J$9,$I$3:$I$9,$G293)+SUMIFS(J$3:J$9,$I$3:$I$9,$H293)+SUMIFS(J$3:J$9,$I$3:$I$9,$F293)</f>
        <v>0</v>
      </c>
      <c r="K293" s="668">
        <f t="shared" si="500"/>
        <v>0</v>
      </c>
      <c r="L293" s="668">
        <f t="shared" si="500"/>
        <v>0</v>
      </c>
      <c r="M293" s="598">
        <f t="shared" si="500"/>
        <v>0</v>
      </c>
      <c r="N293" s="668">
        <f t="shared" si="500"/>
        <v>0</v>
      </c>
      <c r="O293" s="668">
        <f t="shared" si="500"/>
        <v>0</v>
      </c>
      <c r="P293" s="669"/>
      <c r="Q293" s="669"/>
      <c r="R293" s="669"/>
      <c r="S293" s="668">
        <f t="shared" si="486"/>
        <v>0</v>
      </c>
      <c r="T293" s="661"/>
      <c r="U293" s="661"/>
      <c r="V293" s="661"/>
      <c r="W293" s="661"/>
      <c r="X293" s="661"/>
      <c r="Y293" s="661"/>
      <c r="Z293" s="661"/>
      <c r="AA293" s="661"/>
    </row>
    <row r="294">
      <c r="A294" s="662">
        <f t="shared" si="481"/>
        <v>2026</v>
      </c>
      <c r="B294" s="663">
        <v>46282.0</v>
      </c>
      <c r="C294" s="664" t="str">
        <f t="shared" si="482"/>
        <v>September</v>
      </c>
      <c r="D294" s="662" t="str">
        <f t="shared" si="483"/>
        <v>Thursday</v>
      </c>
      <c r="E294" s="665"/>
      <c r="F294" s="666"/>
      <c r="G294" s="656"/>
      <c r="H294" s="656"/>
      <c r="I294" s="667">
        <f t="shared" si="484"/>
        <v>0</v>
      </c>
      <c r="J294" s="668">
        <f t="shared" ref="J294:O294" si="501">SUMIFS(J$3:J$9,$I$3:$I$9,$G294)+SUMIFS(J$3:J$9,$I$3:$I$9,$H294)+SUMIFS(J$3:J$9,$I$3:$I$9,$F294)</f>
        <v>0</v>
      </c>
      <c r="K294" s="668">
        <f t="shared" si="501"/>
        <v>0</v>
      </c>
      <c r="L294" s="668">
        <f t="shared" si="501"/>
        <v>0</v>
      </c>
      <c r="M294" s="598">
        <f t="shared" si="501"/>
        <v>0</v>
      </c>
      <c r="N294" s="668">
        <f t="shared" si="501"/>
        <v>0</v>
      </c>
      <c r="O294" s="668">
        <f t="shared" si="501"/>
        <v>0</v>
      </c>
      <c r="P294" s="669"/>
      <c r="Q294" s="669"/>
      <c r="R294" s="669"/>
      <c r="S294" s="668">
        <f t="shared" si="486"/>
        <v>0</v>
      </c>
      <c r="T294" s="661"/>
      <c r="U294" s="661"/>
      <c r="V294" s="661"/>
      <c r="W294" s="661"/>
      <c r="X294" s="661"/>
      <c r="Y294" s="661"/>
      <c r="Z294" s="661"/>
      <c r="AA294" s="661"/>
    </row>
    <row r="295">
      <c r="A295" s="662">
        <f t="shared" si="481"/>
        <v>2026</v>
      </c>
      <c r="B295" s="663">
        <v>46283.0</v>
      </c>
      <c r="C295" s="664" t="str">
        <f t="shared" si="482"/>
        <v>September</v>
      </c>
      <c r="D295" s="662" t="str">
        <f t="shared" si="483"/>
        <v>Friday</v>
      </c>
      <c r="E295" s="665"/>
      <c r="F295" s="666"/>
      <c r="G295" s="656"/>
      <c r="H295" s="656"/>
      <c r="I295" s="667">
        <f t="shared" si="484"/>
        <v>0</v>
      </c>
      <c r="J295" s="668">
        <f t="shared" ref="J295:O295" si="502">SUMIFS(J$3:J$9,$I$3:$I$9,$G295)+SUMIFS(J$3:J$9,$I$3:$I$9,$H295)+SUMIFS(J$3:J$9,$I$3:$I$9,$F295)</f>
        <v>0</v>
      </c>
      <c r="K295" s="668">
        <f t="shared" si="502"/>
        <v>0</v>
      </c>
      <c r="L295" s="668">
        <f t="shared" si="502"/>
        <v>0</v>
      </c>
      <c r="M295" s="598">
        <f t="shared" si="502"/>
        <v>0</v>
      </c>
      <c r="N295" s="668">
        <f t="shared" si="502"/>
        <v>0</v>
      </c>
      <c r="O295" s="668">
        <f t="shared" si="502"/>
        <v>0</v>
      </c>
      <c r="P295" s="669"/>
      <c r="Q295" s="669"/>
      <c r="R295" s="669"/>
      <c r="S295" s="668">
        <f t="shared" si="486"/>
        <v>0</v>
      </c>
      <c r="T295" s="661"/>
      <c r="U295" s="661"/>
      <c r="V295" s="661"/>
      <c r="W295" s="661"/>
      <c r="X295" s="661"/>
      <c r="Y295" s="661"/>
      <c r="Z295" s="661"/>
      <c r="AA295" s="661"/>
    </row>
    <row r="296">
      <c r="A296" s="662">
        <f t="shared" si="481"/>
        <v>2026</v>
      </c>
      <c r="B296" s="663">
        <v>46284.0</v>
      </c>
      <c r="C296" s="664" t="str">
        <f t="shared" si="482"/>
        <v>September</v>
      </c>
      <c r="D296" s="662" t="str">
        <f t="shared" si="483"/>
        <v>Saturday</v>
      </c>
      <c r="E296" s="665"/>
      <c r="F296" s="666"/>
      <c r="G296" s="656"/>
      <c r="H296" s="656"/>
      <c r="I296" s="667">
        <f t="shared" si="484"/>
        <v>0</v>
      </c>
      <c r="J296" s="668">
        <f t="shared" ref="J296:O296" si="503">SUMIFS(J$3:J$9,$I$3:$I$9,$G296)+SUMIFS(J$3:J$9,$I$3:$I$9,$H296)+SUMIFS(J$3:J$9,$I$3:$I$9,$F296)</f>
        <v>0</v>
      </c>
      <c r="K296" s="668">
        <f t="shared" si="503"/>
        <v>0</v>
      </c>
      <c r="L296" s="668">
        <f t="shared" si="503"/>
        <v>0</v>
      </c>
      <c r="M296" s="598">
        <f t="shared" si="503"/>
        <v>0</v>
      </c>
      <c r="N296" s="668">
        <f t="shared" si="503"/>
        <v>0</v>
      </c>
      <c r="O296" s="668">
        <f t="shared" si="503"/>
        <v>0</v>
      </c>
      <c r="P296" s="669"/>
      <c r="Q296" s="669"/>
      <c r="R296" s="669"/>
      <c r="S296" s="668">
        <f t="shared" si="486"/>
        <v>0</v>
      </c>
      <c r="T296" s="661"/>
      <c r="U296" s="661"/>
      <c r="V296" s="661"/>
      <c r="W296" s="661"/>
      <c r="X296" s="661"/>
      <c r="Y296" s="661"/>
      <c r="Z296" s="661"/>
      <c r="AA296" s="661"/>
    </row>
    <row r="297">
      <c r="A297" s="662">
        <f t="shared" si="481"/>
        <v>2026</v>
      </c>
      <c r="B297" s="663">
        <v>46285.0</v>
      </c>
      <c r="C297" s="664" t="str">
        <f t="shared" si="482"/>
        <v>September</v>
      </c>
      <c r="D297" s="662" t="str">
        <f t="shared" si="483"/>
        <v>Sunday</v>
      </c>
      <c r="E297" s="665"/>
      <c r="F297" s="666"/>
      <c r="G297" s="656"/>
      <c r="H297" s="656"/>
      <c r="I297" s="667">
        <f t="shared" si="484"/>
        <v>0</v>
      </c>
      <c r="J297" s="668">
        <f t="shared" ref="J297:O297" si="504">SUMIFS(J$3:J$9,$I$3:$I$9,$G297)+SUMIFS(J$3:J$9,$I$3:$I$9,$H297)+SUMIFS(J$3:J$9,$I$3:$I$9,$F297)</f>
        <v>0</v>
      </c>
      <c r="K297" s="668">
        <f t="shared" si="504"/>
        <v>0</v>
      </c>
      <c r="L297" s="668">
        <f t="shared" si="504"/>
        <v>0</v>
      </c>
      <c r="M297" s="598">
        <f t="shared" si="504"/>
        <v>0</v>
      </c>
      <c r="N297" s="668">
        <f t="shared" si="504"/>
        <v>0</v>
      </c>
      <c r="O297" s="668">
        <f t="shared" si="504"/>
        <v>0</v>
      </c>
      <c r="P297" s="669"/>
      <c r="Q297" s="669"/>
      <c r="R297" s="669"/>
      <c r="S297" s="668">
        <f t="shared" si="486"/>
        <v>0</v>
      </c>
      <c r="T297" s="661"/>
      <c r="U297" s="661"/>
      <c r="V297" s="661"/>
      <c r="W297" s="661"/>
      <c r="X297" s="661"/>
      <c r="Y297" s="661"/>
      <c r="Z297" s="661"/>
      <c r="AA297" s="661"/>
    </row>
    <row r="298">
      <c r="A298" s="662">
        <f t="shared" si="481"/>
        <v>2026</v>
      </c>
      <c r="B298" s="663">
        <v>46286.0</v>
      </c>
      <c r="C298" s="664" t="str">
        <f t="shared" si="482"/>
        <v>September</v>
      </c>
      <c r="D298" s="662" t="str">
        <f t="shared" si="483"/>
        <v>Monday</v>
      </c>
      <c r="E298" s="656"/>
      <c r="F298" s="656"/>
      <c r="G298" s="656"/>
      <c r="H298" s="656"/>
      <c r="I298" s="667">
        <f t="shared" si="484"/>
        <v>0</v>
      </c>
      <c r="J298" s="668">
        <f t="shared" ref="J298:O298" si="505">SUMIFS(J$3:J$9,$I$3:$I$9,$G298)+SUMIFS(J$3:J$9,$I$3:$I$9,$H298)+SUMIFS(J$3:J$9,$I$3:$I$9,$F298)</f>
        <v>0</v>
      </c>
      <c r="K298" s="668">
        <f t="shared" si="505"/>
        <v>0</v>
      </c>
      <c r="L298" s="668">
        <f t="shared" si="505"/>
        <v>0</v>
      </c>
      <c r="M298" s="598">
        <f t="shared" si="505"/>
        <v>0</v>
      </c>
      <c r="N298" s="668">
        <f t="shared" si="505"/>
        <v>0</v>
      </c>
      <c r="O298" s="668">
        <f t="shared" si="505"/>
        <v>0</v>
      </c>
      <c r="P298" s="669"/>
      <c r="Q298" s="669"/>
      <c r="R298" s="669"/>
      <c r="S298" s="668">
        <f t="shared" si="486"/>
        <v>0</v>
      </c>
      <c r="T298" s="661"/>
      <c r="U298" s="661"/>
      <c r="V298" s="661"/>
      <c r="W298" s="661"/>
      <c r="X298" s="661"/>
      <c r="Y298" s="661"/>
      <c r="Z298" s="661"/>
      <c r="AA298" s="661"/>
    </row>
    <row r="299">
      <c r="A299" s="662">
        <f t="shared" si="481"/>
        <v>2026</v>
      </c>
      <c r="B299" s="663">
        <v>46287.0</v>
      </c>
      <c r="C299" s="664" t="str">
        <f t="shared" si="482"/>
        <v>September</v>
      </c>
      <c r="D299" s="662" t="str">
        <f t="shared" si="483"/>
        <v>Tuesday</v>
      </c>
      <c r="E299" s="665"/>
      <c r="F299" s="666"/>
      <c r="G299" s="666"/>
      <c r="H299" s="656"/>
      <c r="I299" s="667">
        <f t="shared" si="484"/>
        <v>0</v>
      </c>
      <c r="J299" s="668">
        <f t="shared" ref="J299:O299" si="506">SUMIFS(J$3:J$9,$I$3:$I$9,$G299)+SUMIFS(J$3:J$9,$I$3:$I$9,$H299)+SUMIFS(J$3:J$9,$I$3:$I$9,$F299)</f>
        <v>0</v>
      </c>
      <c r="K299" s="668">
        <f t="shared" si="506"/>
        <v>0</v>
      </c>
      <c r="L299" s="668">
        <f t="shared" si="506"/>
        <v>0</v>
      </c>
      <c r="M299" s="598">
        <f t="shared" si="506"/>
        <v>0</v>
      </c>
      <c r="N299" s="668">
        <f t="shared" si="506"/>
        <v>0</v>
      </c>
      <c r="O299" s="668">
        <f t="shared" si="506"/>
        <v>0</v>
      </c>
      <c r="P299" s="669"/>
      <c r="Q299" s="669"/>
      <c r="R299" s="669"/>
      <c r="S299" s="668">
        <f t="shared" si="486"/>
        <v>0</v>
      </c>
      <c r="T299" s="661"/>
      <c r="U299" s="661"/>
      <c r="V299" s="661"/>
      <c r="W299" s="661"/>
      <c r="X299" s="661"/>
      <c r="Y299" s="661"/>
      <c r="Z299" s="661"/>
      <c r="AA299" s="661"/>
    </row>
    <row r="300">
      <c r="A300" s="662">
        <f t="shared" si="481"/>
        <v>2026</v>
      </c>
      <c r="B300" s="663">
        <v>46288.0</v>
      </c>
      <c r="C300" s="664" t="str">
        <f t="shared" si="482"/>
        <v>September</v>
      </c>
      <c r="D300" s="662" t="str">
        <f t="shared" si="483"/>
        <v>Wednesday</v>
      </c>
      <c r="E300" s="665"/>
      <c r="F300" s="666"/>
      <c r="G300" s="666"/>
      <c r="H300" s="656"/>
      <c r="I300" s="667">
        <f t="shared" si="484"/>
        <v>0</v>
      </c>
      <c r="J300" s="668">
        <f t="shared" ref="J300:O300" si="507">SUMIFS(J$3:J$9,$I$3:$I$9,$G300)+SUMIFS(J$3:J$9,$I$3:$I$9,$H300)+SUMIFS(J$3:J$9,$I$3:$I$9,$F300)</f>
        <v>0</v>
      </c>
      <c r="K300" s="668">
        <f t="shared" si="507"/>
        <v>0</v>
      </c>
      <c r="L300" s="668">
        <f t="shared" si="507"/>
        <v>0</v>
      </c>
      <c r="M300" s="598">
        <f t="shared" si="507"/>
        <v>0</v>
      </c>
      <c r="N300" s="668">
        <f t="shared" si="507"/>
        <v>0</v>
      </c>
      <c r="O300" s="668">
        <f t="shared" si="507"/>
        <v>0</v>
      </c>
      <c r="P300" s="669"/>
      <c r="Q300" s="669"/>
      <c r="R300" s="669"/>
      <c r="S300" s="668">
        <f t="shared" si="486"/>
        <v>0</v>
      </c>
      <c r="T300" s="661"/>
      <c r="U300" s="661"/>
      <c r="V300" s="661"/>
      <c r="W300" s="661"/>
      <c r="X300" s="661"/>
      <c r="Y300" s="661"/>
      <c r="Z300" s="661"/>
      <c r="AA300" s="661"/>
    </row>
    <row r="301">
      <c r="A301" s="662">
        <f t="shared" si="481"/>
        <v>2026</v>
      </c>
      <c r="B301" s="663">
        <v>46289.0</v>
      </c>
      <c r="C301" s="664" t="str">
        <f t="shared" si="482"/>
        <v>September</v>
      </c>
      <c r="D301" s="662" t="str">
        <f t="shared" si="483"/>
        <v>Thursday</v>
      </c>
      <c r="E301" s="665"/>
      <c r="F301" s="666"/>
      <c r="G301" s="666"/>
      <c r="H301" s="656"/>
      <c r="I301" s="667">
        <f t="shared" si="484"/>
        <v>0</v>
      </c>
      <c r="J301" s="668">
        <f t="shared" ref="J301:O301" si="508">SUMIFS(J$3:J$9,$I$3:$I$9,$G301)+SUMIFS(J$3:J$9,$I$3:$I$9,$H301)+SUMIFS(J$3:J$9,$I$3:$I$9,$F301)</f>
        <v>0</v>
      </c>
      <c r="K301" s="668">
        <f t="shared" si="508"/>
        <v>0</v>
      </c>
      <c r="L301" s="668">
        <f t="shared" si="508"/>
        <v>0</v>
      </c>
      <c r="M301" s="598">
        <f t="shared" si="508"/>
        <v>0</v>
      </c>
      <c r="N301" s="668">
        <f t="shared" si="508"/>
        <v>0</v>
      </c>
      <c r="O301" s="668">
        <f t="shared" si="508"/>
        <v>0</v>
      </c>
      <c r="P301" s="669"/>
      <c r="Q301" s="669"/>
      <c r="R301" s="669"/>
      <c r="S301" s="668">
        <f t="shared" si="486"/>
        <v>0</v>
      </c>
      <c r="T301" s="661"/>
      <c r="U301" s="661"/>
      <c r="V301" s="661"/>
      <c r="W301" s="661"/>
      <c r="X301" s="661"/>
      <c r="Y301" s="661"/>
      <c r="Z301" s="661"/>
      <c r="AA301" s="661"/>
    </row>
    <row r="302">
      <c r="A302" s="662">
        <f t="shared" si="481"/>
        <v>2026</v>
      </c>
      <c r="B302" s="663">
        <v>46290.0</v>
      </c>
      <c r="C302" s="664" t="str">
        <f t="shared" si="482"/>
        <v>September</v>
      </c>
      <c r="D302" s="662" t="str">
        <f t="shared" si="483"/>
        <v>Friday</v>
      </c>
      <c r="E302" s="665"/>
      <c r="F302" s="666"/>
      <c r="G302" s="666"/>
      <c r="H302" s="656"/>
      <c r="I302" s="667">
        <f t="shared" si="484"/>
        <v>0</v>
      </c>
      <c r="J302" s="668">
        <f t="shared" ref="J302:O302" si="509">SUMIFS(J$3:J$9,$I$3:$I$9,$G302)+SUMIFS(J$3:J$9,$I$3:$I$9,$H302)+SUMIFS(J$3:J$9,$I$3:$I$9,$F302)</f>
        <v>0</v>
      </c>
      <c r="K302" s="668">
        <f t="shared" si="509"/>
        <v>0</v>
      </c>
      <c r="L302" s="668">
        <f t="shared" si="509"/>
        <v>0</v>
      </c>
      <c r="M302" s="598">
        <f t="shared" si="509"/>
        <v>0</v>
      </c>
      <c r="N302" s="668">
        <f t="shared" si="509"/>
        <v>0</v>
      </c>
      <c r="O302" s="668">
        <f t="shared" si="509"/>
        <v>0</v>
      </c>
      <c r="P302" s="669"/>
      <c r="Q302" s="669"/>
      <c r="R302" s="669"/>
      <c r="S302" s="668">
        <f t="shared" si="486"/>
        <v>0</v>
      </c>
      <c r="T302" s="661"/>
      <c r="U302" s="661"/>
      <c r="V302" s="661"/>
      <c r="W302" s="661"/>
      <c r="X302" s="661"/>
      <c r="Y302" s="661"/>
      <c r="Z302" s="661"/>
      <c r="AA302" s="661"/>
    </row>
    <row r="303">
      <c r="A303" s="662">
        <f t="shared" si="481"/>
        <v>2026</v>
      </c>
      <c r="B303" s="663">
        <v>46291.0</v>
      </c>
      <c r="C303" s="664" t="str">
        <f t="shared" si="482"/>
        <v>September</v>
      </c>
      <c r="D303" s="662" t="str">
        <f t="shared" si="483"/>
        <v>Saturday</v>
      </c>
      <c r="E303" s="665"/>
      <c r="F303" s="666"/>
      <c r="G303" s="666"/>
      <c r="H303" s="656"/>
      <c r="I303" s="667">
        <f t="shared" si="484"/>
        <v>0</v>
      </c>
      <c r="J303" s="668">
        <f t="shared" ref="J303:O303" si="510">SUMIFS(J$3:J$9,$I$3:$I$9,$G303)+SUMIFS(J$3:J$9,$I$3:$I$9,$H303)+SUMIFS(J$3:J$9,$I$3:$I$9,$F303)</f>
        <v>0</v>
      </c>
      <c r="K303" s="668">
        <f t="shared" si="510"/>
        <v>0</v>
      </c>
      <c r="L303" s="668">
        <f t="shared" si="510"/>
        <v>0</v>
      </c>
      <c r="M303" s="598">
        <f t="shared" si="510"/>
        <v>0</v>
      </c>
      <c r="N303" s="668">
        <f t="shared" si="510"/>
        <v>0</v>
      </c>
      <c r="O303" s="668">
        <f t="shared" si="510"/>
        <v>0</v>
      </c>
      <c r="P303" s="669"/>
      <c r="Q303" s="669"/>
      <c r="R303" s="669"/>
      <c r="S303" s="668">
        <f t="shared" si="486"/>
        <v>0</v>
      </c>
      <c r="T303" s="661"/>
      <c r="U303" s="661"/>
      <c r="V303" s="661"/>
      <c r="W303" s="661"/>
      <c r="X303" s="661"/>
      <c r="Y303" s="661"/>
      <c r="Z303" s="661"/>
      <c r="AA303" s="661"/>
    </row>
    <row r="304">
      <c r="A304" s="662">
        <f t="shared" si="481"/>
        <v>2026</v>
      </c>
      <c r="B304" s="663">
        <v>46292.0</v>
      </c>
      <c r="C304" s="664" t="str">
        <f t="shared" si="482"/>
        <v>September</v>
      </c>
      <c r="D304" s="662" t="str">
        <f t="shared" si="483"/>
        <v>Sunday</v>
      </c>
      <c r="E304" s="665"/>
      <c r="F304" s="666"/>
      <c r="G304" s="666"/>
      <c r="H304" s="656"/>
      <c r="I304" s="667">
        <f t="shared" si="484"/>
        <v>0</v>
      </c>
      <c r="J304" s="668">
        <f t="shared" ref="J304:O304" si="511">SUMIFS(J$3:J$9,$I$3:$I$9,$G304)+SUMIFS(J$3:J$9,$I$3:$I$9,$H304)+SUMIFS(J$3:J$9,$I$3:$I$9,$F304)</f>
        <v>0</v>
      </c>
      <c r="K304" s="668">
        <f t="shared" si="511"/>
        <v>0</v>
      </c>
      <c r="L304" s="668">
        <f t="shared" si="511"/>
        <v>0</v>
      </c>
      <c r="M304" s="598">
        <f t="shared" si="511"/>
        <v>0</v>
      </c>
      <c r="N304" s="668">
        <f t="shared" si="511"/>
        <v>0</v>
      </c>
      <c r="O304" s="668">
        <f t="shared" si="511"/>
        <v>0</v>
      </c>
      <c r="P304" s="669"/>
      <c r="Q304" s="669"/>
      <c r="R304" s="669"/>
      <c r="S304" s="668">
        <f t="shared" si="486"/>
        <v>0</v>
      </c>
      <c r="T304" s="661"/>
      <c r="U304" s="661"/>
      <c r="V304" s="661"/>
      <c r="W304" s="661"/>
      <c r="X304" s="661"/>
      <c r="Y304" s="661"/>
      <c r="Z304" s="661"/>
      <c r="AA304" s="661"/>
    </row>
    <row r="305">
      <c r="A305" s="662">
        <f t="shared" si="481"/>
        <v>2026</v>
      </c>
      <c r="B305" s="663">
        <v>46293.0</v>
      </c>
      <c r="C305" s="664" t="str">
        <f t="shared" si="482"/>
        <v>September</v>
      </c>
      <c r="D305" s="662" t="str">
        <f t="shared" si="483"/>
        <v>Monday</v>
      </c>
      <c r="E305" s="656"/>
      <c r="F305" s="656"/>
      <c r="G305" s="656"/>
      <c r="H305" s="656"/>
      <c r="I305" s="667">
        <f t="shared" si="484"/>
        <v>0</v>
      </c>
      <c r="J305" s="668">
        <f t="shared" ref="J305:O305" si="512">SUMIFS(J$3:J$9,$I$3:$I$9,$G305)+SUMIFS(J$3:J$9,$I$3:$I$9,$H305)+SUMIFS(J$3:J$9,$I$3:$I$9,$F305)</f>
        <v>0</v>
      </c>
      <c r="K305" s="668">
        <f t="shared" si="512"/>
        <v>0</v>
      </c>
      <c r="L305" s="668">
        <f t="shared" si="512"/>
        <v>0</v>
      </c>
      <c r="M305" s="598">
        <f t="shared" si="512"/>
        <v>0</v>
      </c>
      <c r="N305" s="668">
        <f t="shared" si="512"/>
        <v>0</v>
      </c>
      <c r="O305" s="668">
        <f t="shared" si="512"/>
        <v>0</v>
      </c>
      <c r="P305" s="669"/>
      <c r="Q305" s="669"/>
      <c r="R305" s="669"/>
      <c r="S305" s="668">
        <f t="shared" si="486"/>
        <v>0</v>
      </c>
      <c r="T305" s="661"/>
      <c r="U305" s="661"/>
      <c r="V305" s="661"/>
      <c r="W305" s="661"/>
      <c r="X305" s="661"/>
      <c r="Y305" s="661"/>
      <c r="Z305" s="661"/>
      <c r="AA305" s="661"/>
    </row>
    <row r="306">
      <c r="A306" s="662">
        <f t="shared" si="481"/>
        <v>2026</v>
      </c>
      <c r="B306" s="663">
        <v>46294.0</v>
      </c>
      <c r="C306" s="664" t="str">
        <f t="shared" si="482"/>
        <v>September</v>
      </c>
      <c r="D306" s="662" t="str">
        <f t="shared" si="483"/>
        <v>Tuesday</v>
      </c>
      <c r="E306" s="665"/>
      <c r="F306" s="666"/>
      <c r="G306" s="656"/>
      <c r="H306" s="656"/>
      <c r="I306" s="667">
        <f t="shared" si="484"/>
        <v>0</v>
      </c>
      <c r="J306" s="668">
        <f t="shared" ref="J306:O306" si="513">SUMIFS(J$3:J$9,$I$3:$I$9,$G306)+SUMIFS(J$3:J$9,$I$3:$I$9,$H306)+SUMIFS(J$3:J$9,$I$3:$I$9,$F306)</f>
        <v>0</v>
      </c>
      <c r="K306" s="668">
        <f t="shared" si="513"/>
        <v>0</v>
      </c>
      <c r="L306" s="668">
        <f t="shared" si="513"/>
        <v>0</v>
      </c>
      <c r="M306" s="598">
        <f t="shared" si="513"/>
        <v>0</v>
      </c>
      <c r="N306" s="668">
        <f t="shared" si="513"/>
        <v>0</v>
      </c>
      <c r="O306" s="668">
        <f t="shared" si="513"/>
        <v>0</v>
      </c>
      <c r="P306" s="669"/>
      <c r="Q306" s="669"/>
      <c r="R306" s="669"/>
      <c r="S306" s="668">
        <f t="shared" si="486"/>
        <v>0</v>
      </c>
      <c r="T306" s="661"/>
      <c r="U306" s="661"/>
      <c r="V306" s="661"/>
      <c r="W306" s="661"/>
      <c r="X306" s="661"/>
      <c r="Y306" s="661"/>
      <c r="Z306" s="661"/>
      <c r="AA306" s="661"/>
    </row>
    <row r="307">
      <c r="A307" s="662">
        <f t="shared" si="481"/>
        <v>2026</v>
      </c>
      <c r="B307" s="663">
        <v>46295.0</v>
      </c>
      <c r="C307" s="664" t="str">
        <f t="shared" si="482"/>
        <v>September</v>
      </c>
      <c r="D307" s="662" t="str">
        <f t="shared" si="483"/>
        <v>Wednesday</v>
      </c>
      <c r="E307" s="665"/>
      <c r="F307" s="666"/>
      <c r="G307" s="656"/>
      <c r="H307" s="656"/>
      <c r="I307" s="667">
        <f t="shared" si="484"/>
        <v>0</v>
      </c>
      <c r="J307" s="668">
        <f t="shared" ref="J307:O307" si="514">SUMIFS(J$3:J$9,$I$3:$I$9,$G307)+SUMIFS(J$3:J$9,$I$3:$I$9,$H307)+SUMIFS(J$3:J$9,$I$3:$I$9,$F307)</f>
        <v>0</v>
      </c>
      <c r="K307" s="668">
        <f t="shared" si="514"/>
        <v>0</v>
      </c>
      <c r="L307" s="668">
        <f t="shared" si="514"/>
        <v>0</v>
      </c>
      <c r="M307" s="598">
        <f t="shared" si="514"/>
        <v>0</v>
      </c>
      <c r="N307" s="668">
        <f t="shared" si="514"/>
        <v>0</v>
      </c>
      <c r="O307" s="668">
        <f t="shared" si="514"/>
        <v>0</v>
      </c>
      <c r="P307" s="669"/>
      <c r="Q307" s="669"/>
      <c r="R307" s="669"/>
      <c r="S307" s="668">
        <f t="shared" si="486"/>
        <v>0</v>
      </c>
      <c r="T307" s="661"/>
      <c r="U307" s="661"/>
      <c r="V307" s="661"/>
      <c r="W307" s="661"/>
      <c r="X307" s="661"/>
      <c r="Y307" s="661"/>
      <c r="Z307" s="661"/>
      <c r="AA307" s="661"/>
    </row>
    <row r="308">
      <c r="A308" s="656" t="str">
        <f t="shared" si="481"/>
        <v/>
      </c>
      <c r="B308" s="663"/>
      <c r="C308" s="681" t="str">
        <f t="shared" si="482"/>
        <v/>
      </c>
      <c r="D308" s="662" t="str">
        <f t="shared" si="483"/>
        <v/>
      </c>
      <c r="E308" s="656"/>
      <c r="F308" s="656"/>
      <c r="G308" s="656"/>
      <c r="H308" s="656"/>
      <c r="I308" s="667">
        <f t="shared" si="484"/>
        <v>0</v>
      </c>
      <c r="J308" s="668">
        <f t="shared" ref="J308:O308" si="515">SUMIFS(J$3:J$9,$I$3:$I$9,$G308)+SUMIFS(J$3:J$9,$I$3:$I$9,$H308)+SUMIFS(J$3:J$9,$I$3:$I$9,$F308)</f>
        <v>0</v>
      </c>
      <c r="K308" s="668">
        <f t="shared" si="515"/>
        <v>0</v>
      </c>
      <c r="L308" s="668">
        <f t="shared" si="515"/>
        <v>0</v>
      </c>
      <c r="M308" s="598">
        <f t="shared" si="515"/>
        <v>0</v>
      </c>
      <c r="N308" s="668">
        <f t="shared" si="515"/>
        <v>0</v>
      </c>
      <c r="O308" s="668">
        <f t="shared" si="515"/>
        <v>0</v>
      </c>
      <c r="P308" s="669"/>
      <c r="Q308" s="669"/>
      <c r="R308" s="669"/>
      <c r="S308" s="668">
        <f t="shared" si="486"/>
        <v>0</v>
      </c>
      <c r="T308" s="661"/>
      <c r="U308" s="661"/>
      <c r="V308" s="661"/>
      <c r="W308" s="661"/>
      <c r="X308" s="661"/>
      <c r="Y308" s="661"/>
      <c r="Z308" s="661"/>
      <c r="AA308" s="661"/>
    </row>
    <row r="309">
      <c r="A309" s="674">
        <f>A278</f>
        <v>2026</v>
      </c>
      <c r="B309" s="674" t="str">
        <f>CONCATENATE(A309," ",C309)</f>
        <v>2026 September</v>
      </c>
      <c r="C309" s="675" t="str">
        <f>C278</f>
        <v>September</v>
      </c>
      <c r="D309" s="676"/>
      <c r="E309" s="676"/>
      <c r="F309" s="676"/>
      <c r="G309" s="676"/>
      <c r="H309" s="676"/>
      <c r="I309" s="677">
        <f t="shared" ref="I309:L309" si="516">SUM(I278:I308)</f>
        <v>0</v>
      </c>
      <c r="J309" s="678">
        <f t="shared" si="516"/>
        <v>0</v>
      </c>
      <c r="K309" s="678">
        <f t="shared" si="516"/>
        <v>0</v>
      </c>
      <c r="L309" s="678">
        <f t="shared" si="516"/>
        <v>0</v>
      </c>
      <c r="M309" s="678"/>
      <c r="N309" s="678">
        <f t="shared" ref="N309:S309" si="517">SUM(N278:N308)</f>
        <v>0</v>
      </c>
      <c r="O309" s="678">
        <f t="shared" si="517"/>
        <v>0</v>
      </c>
      <c r="P309" s="678">
        <f t="shared" si="517"/>
        <v>0</v>
      </c>
      <c r="Q309" s="678">
        <f t="shared" si="517"/>
        <v>0</v>
      </c>
      <c r="R309" s="678">
        <f t="shared" si="517"/>
        <v>0</v>
      </c>
      <c r="S309" s="678">
        <f t="shared" si="517"/>
        <v>0</v>
      </c>
      <c r="T309" s="661"/>
      <c r="U309" s="661"/>
      <c r="V309" s="661"/>
      <c r="W309" s="661"/>
      <c r="X309" s="661"/>
      <c r="Y309" s="661"/>
      <c r="Z309" s="661"/>
      <c r="AA309" s="661"/>
    </row>
    <row r="310">
      <c r="A310" s="574"/>
      <c r="B310" s="575"/>
      <c r="C310" s="575"/>
      <c r="D310" s="575"/>
      <c r="E310" s="576"/>
      <c r="F310" s="547"/>
      <c r="G310" s="547"/>
      <c r="H310" s="547"/>
      <c r="I310" s="573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1"/>
      <c r="U310" s="551"/>
      <c r="V310" s="551"/>
      <c r="W310" s="551"/>
      <c r="X310" s="551"/>
      <c r="Y310" s="551"/>
      <c r="Z310" s="551"/>
      <c r="AA310" s="551"/>
    </row>
    <row r="311">
      <c r="A311" s="574"/>
      <c r="B311" s="575"/>
      <c r="C311" s="575"/>
      <c r="D311" s="575"/>
      <c r="E311" s="576"/>
      <c r="F311" s="547"/>
      <c r="G311" s="547"/>
      <c r="H311" s="547"/>
      <c r="I311" s="573"/>
      <c r="J311" s="550"/>
      <c r="K311" s="550"/>
      <c r="L311" s="550"/>
      <c r="M311" s="550"/>
      <c r="N311" s="550"/>
      <c r="O311" s="550"/>
      <c r="P311" s="550"/>
      <c r="Q311" s="550"/>
      <c r="R311" s="550"/>
      <c r="S311" s="550"/>
      <c r="T311" s="551"/>
      <c r="U311" s="551"/>
      <c r="V311" s="551"/>
      <c r="W311" s="551"/>
      <c r="X311" s="551"/>
      <c r="Y311" s="551"/>
      <c r="Z311" s="551"/>
      <c r="AA311" s="551"/>
    </row>
    <row r="312">
      <c r="A312" s="574"/>
      <c r="B312" s="575"/>
      <c r="C312" s="575"/>
      <c r="D312" s="575"/>
      <c r="E312" s="576"/>
      <c r="F312" s="547"/>
      <c r="G312" s="547"/>
      <c r="H312" s="547"/>
      <c r="I312" s="573"/>
      <c r="J312" s="550"/>
      <c r="K312" s="550"/>
      <c r="L312" s="550"/>
      <c r="M312" s="550"/>
      <c r="N312" s="550"/>
      <c r="O312" s="550"/>
      <c r="P312" s="550"/>
      <c r="Q312" s="550"/>
      <c r="R312" s="550"/>
      <c r="S312" s="550"/>
      <c r="T312" s="551"/>
      <c r="U312" s="551"/>
      <c r="V312" s="551"/>
      <c r="W312" s="551"/>
      <c r="X312" s="551"/>
      <c r="Y312" s="551"/>
      <c r="Z312" s="551"/>
      <c r="AA312" s="551"/>
    </row>
    <row r="313">
      <c r="A313" s="574"/>
      <c r="B313" s="575"/>
      <c r="C313" s="575"/>
      <c r="D313" s="575"/>
      <c r="E313" s="576"/>
      <c r="F313" s="547"/>
      <c r="G313" s="547"/>
      <c r="H313" s="547"/>
      <c r="I313" s="573"/>
      <c r="J313" s="550"/>
      <c r="K313" s="550"/>
      <c r="L313" s="550"/>
      <c r="M313" s="550"/>
      <c r="N313" s="550"/>
      <c r="O313" s="550"/>
      <c r="P313" s="550"/>
      <c r="Q313" s="550"/>
      <c r="R313" s="550"/>
      <c r="S313" s="550"/>
      <c r="T313" s="551"/>
      <c r="U313" s="551"/>
      <c r="V313" s="551"/>
      <c r="W313" s="551"/>
      <c r="X313" s="551"/>
      <c r="Y313" s="551"/>
      <c r="Z313" s="551"/>
      <c r="AA313" s="551"/>
    </row>
    <row r="314">
      <c r="A314" s="574"/>
      <c r="B314" s="575"/>
      <c r="C314" s="575"/>
      <c r="D314" s="575"/>
      <c r="E314" s="576"/>
      <c r="F314" s="547"/>
      <c r="G314" s="547"/>
      <c r="H314" s="547"/>
      <c r="I314" s="573"/>
      <c r="J314" s="550"/>
      <c r="K314" s="550"/>
      <c r="L314" s="550"/>
      <c r="M314" s="550"/>
      <c r="N314" s="550"/>
      <c r="O314" s="550"/>
      <c r="P314" s="550"/>
      <c r="Q314" s="550"/>
      <c r="R314" s="550"/>
      <c r="S314" s="550"/>
      <c r="T314" s="551"/>
      <c r="U314" s="551"/>
      <c r="V314" s="551"/>
      <c r="W314" s="551"/>
      <c r="X314" s="551"/>
      <c r="Y314" s="551"/>
      <c r="Z314" s="551"/>
      <c r="AA314" s="551"/>
    </row>
    <row r="315">
      <c r="A315" s="574"/>
      <c r="B315" s="575"/>
      <c r="C315" s="575"/>
      <c r="D315" s="575"/>
      <c r="E315" s="576"/>
      <c r="F315" s="547"/>
      <c r="G315" s="547"/>
      <c r="H315" s="547"/>
      <c r="I315" s="573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1"/>
      <c r="U315" s="551"/>
      <c r="V315" s="551"/>
      <c r="W315" s="551"/>
      <c r="X315" s="551"/>
      <c r="Y315" s="551"/>
      <c r="Z315" s="551"/>
      <c r="AA315" s="551"/>
    </row>
    <row r="316">
      <c r="A316" s="574"/>
      <c r="B316" s="575"/>
      <c r="C316" s="575"/>
      <c r="D316" s="575"/>
      <c r="E316" s="576"/>
      <c r="F316" s="547"/>
      <c r="G316" s="547"/>
      <c r="H316" s="547"/>
      <c r="I316" s="573"/>
      <c r="J316" s="550"/>
      <c r="K316" s="550"/>
      <c r="L316" s="550"/>
      <c r="M316" s="550"/>
      <c r="N316" s="550"/>
      <c r="O316" s="550"/>
      <c r="P316" s="550"/>
      <c r="Q316" s="550"/>
      <c r="R316" s="550"/>
      <c r="S316" s="550"/>
      <c r="T316" s="551"/>
      <c r="U316" s="551"/>
      <c r="V316" s="551"/>
      <c r="W316" s="551"/>
      <c r="X316" s="551"/>
      <c r="Y316" s="551"/>
      <c r="Z316" s="551"/>
      <c r="AA316" s="551"/>
    </row>
    <row r="317">
      <c r="A317" s="574"/>
      <c r="B317" s="575"/>
      <c r="C317" s="575"/>
      <c r="D317" s="575"/>
      <c r="E317" s="576"/>
      <c r="F317" s="547"/>
      <c r="G317" s="547"/>
      <c r="H317" s="547"/>
      <c r="I317" s="573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1"/>
      <c r="U317" s="551"/>
      <c r="V317" s="551"/>
      <c r="W317" s="551"/>
      <c r="X317" s="551"/>
      <c r="Y317" s="551"/>
      <c r="Z317" s="551"/>
      <c r="AA317" s="551"/>
    </row>
    <row r="318">
      <c r="A318" s="574"/>
      <c r="B318" s="575"/>
      <c r="C318" s="575"/>
      <c r="D318" s="575"/>
      <c r="E318" s="576"/>
      <c r="F318" s="547"/>
      <c r="G318" s="547"/>
      <c r="H318" s="547"/>
      <c r="I318" s="573"/>
      <c r="J318" s="550"/>
      <c r="K318" s="550"/>
      <c r="L318" s="550"/>
      <c r="M318" s="550"/>
      <c r="N318" s="550"/>
      <c r="O318" s="550"/>
      <c r="P318" s="550"/>
      <c r="Q318" s="550"/>
      <c r="R318" s="550"/>
      <c r="S318" s="550"/>
      <c r="T318" s="551"/>
      <c r="U318" s="551"/>
      <c r="V318" s="551"/>
      <c r="W318" s="551"/>
      <c r="X318" s="551"/>
      <c r="Y318" s="551"/>
      <c r="Z318" s="551"/>
      <c r="AA318" s="551"/>
    </row>
    <row r="319">
      <c r="A319" s="574"/>
      <c r="B319" s="575"/>
      <c r="C319" s="575"/>
      <c r="D319" s="575"/>
      <c r="E319" s="576"/>
      <c r="F319" s="547"/>
      <c r="G319" s="547"/>
      <c r="H319" s="547"/>
      <c r="I319" s="573"/>
      <c r="J319" s="550"/>
      <c r="K319" s="550"/>
      <c r="L319" s="550"/>
      <c r="M319" s="550"/>
      <c r="N319" s="550"/>
      <c r="O319" s="550"/>
      <c r="P319" s="550"/>
      <c r="Q319" s="550"/>
      <c r="R319" s="550"/>
      <c r="S319" s="550"/>
      <c r="T319" s="551"/>
      <c r="U319" s="551"/>
      <c r="V319" s="551"/>
      <c r="W319" s="551"/>
      <c r="X319" s="551"/>
      <c r="Y319" s="551"/>
      <c r="Z319" s="551"/>
      <c r="AA319" s="551"/>
    </row>
    <row r="320">
      <c r="A320" s="574"/>
      <c r="B320" s="575"/>
      <c r="C320" s="575"/>
      <c r="D320" s="575"/>
      <c r="E320" s="576"/>
      <c r="F320" s="547"/>
      <c r="G320" s="547"/>
      <c r="H320" s="547"/>
      <c r="I320" s="573"/>
      <c r="J320" s="550"/>
      <c r="K320" s="550"/>
      <c r="L320" s="550"/>
      <c r="M320" s="550"/>
      <c r="N320" s="550"/>
      <c r="O320" s="550"/>
      <c r="P320" s="550"/>
      <c r="Q320" s="550"/>
      <c r="R320" s="550"/>
      <c r="S320" s="550"/>
      <c r="T320" s="551"/>
      <c r="U320" s="551"/>
      <c r="V320" s="551"/>
      <c r="W320" s="551"/>
      <c r="X320" s="551"/>
      <c r="Y320" s="551"/>
      <c r="Z320" s="551"/>
      <c r="AA320" s="551"/>
    </row>
    <row r="321">
      <c r="A321" s="574"/>
      <c r="B321" s="575"/>
      <c r="C321" s="575"/>
      <c r="D321" s="575"/>
      <c r="E321" s="576"/>
      <c r="F321" s="547"/>
      <c r="G321" s="547"/>
      <c r="H321" s="547"/>
      <c r="I321" s="573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1"/>
      <c r="U321" s="551"/>
      <c r="V321" s="551"/>
      <c r="W321" s="551"/>
      <c r="X321" s="551"/>
      <c r="Y321" s="551"/>
      <c r="Z321" s="551"/>
      <c r="AA321" s="551"/>
    </row>
    <row r="322">
      <c r="A322" s="574"/>
      <c r="B322" s="575"/>
      <c r="C322" s="575"/>
      <c r="D322" s="575"/>
      <c r="E322" s="576"/>
      <c r="F322" s="547"/>
      <c r="G322" s="547"/>
      <c r="H322" s="547"/>
      <c r="I322" s="573"/>
      <c r="J322" s="550"/>
      <c r="K322" s="550"/>
      <c r="L322" s="550"/>
      <c r="M322" s="550"/>
      <c r="N322" s="550"/>
      <c r="O322" s="550"/>
      <c r="P322" s="550"/>
      <c r="Q322" s="550"/>
      <c r="R322" s="550"/>
      <c r="S322" s="550"/>
      <c r="T322" s="551"/>
      <c r="U322" s="551"/>
      <c r="V322" s="551"/>
      <c r="W322" s="551"/>
      <c r="X322" s="551"/>
      <c r="Y322" s="551"/>
      <c r="Z322" s="551"/>
      <c r="AA322" s="551"/>
    </row>
    <row r="323">
      <c r="A323" s="574"/>
      <c r="B323" s="575"/>
      <c r="C323" s="575"/>
      <c r="D323" s="575"/>
      <c r="E323" s="576"/>
      <c r="F323" s="547"/>
      <c r="G323" s="547"/>
      <c r="H323" s="547"/>
      <c r="I323" s="573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1"/>
      <c r="U323" s="551"/>
      <c r="V323" s="551"/>
      <c r="W323" s="551"/>
      <c r="X323" s="551"/>
      <c r="Y323" s="551"/>
      <c r="Z323" s="551"/>
      <c r="AA323" s="551"/>
    </row>
    <row r="324">
      <c r="A324" s="574"/>
      <c r="B324" s="575"/>
      <c r="C324" s="575"/>
      <c r="D324" s="575"/>
      <c r="E324" s="576"/>
      <c r="F324" s="547"/>
      <c r="G324" s="547"/>
      <c r="H324" s="547"/>
      <c r="I324" s="573"/>
      <c r="J324" s="550"/>
      <c r="K324" s="550"/>
      <c r="L324" s="550"/>
      <c r="M324" s="550"/>
      <c r="N324" s="550"/>
      <c r="O324" s="550"/>
      <c r="P324" s="550"/>
      <c r="Q324" s="550"/>
      <c r="R324" s="550"/>
      <c r="S324" s="550"/>
      <c r="T324" s="551"/>
      <c r="U324" s="551"/>
      <c r="V324" s="551"/>
      <c r="W324" s="551"/>
      <c r="X324" s="551"/>
      <c r="Y324" s="551"/>
      <c r="Z324" s="551"/>
      <c r="AA324" s="551"/>
    </row>
    <row r="325">
      <c r="A325" s="574"/>
      <c r="B325" s="575"/>
      <c r="C325" s="575"/>
      <c r="D325" s="575"/>
      <c r="E325" s="576"/>
      <c r="F325" s="547"/>
      <c r="G325" s="547"/>
      <c r="H325" s="547"/>
      <c r="I325" s="573"/>
      <c r="J325" s="550"/>
      <c r="K325" s="550"/>
      <c r="L325" s="550"/>
      <c r="M325" s="550"/>
      <c r="N325" s="550"/>
      <c r="O325" s="550"/>
      <c r="P325" s="550"/>
      <c r="Q325" s="550"/>
      <c r="R325" s="550"/>
      <c r="S325" s="550"/>
      <c r="T325" s="551"/>
      <c r="U325" s="551"/>
      <c r="V325" s="551"/>
      <c r="W325" s="551"/>
      <c r="X325" s="551"/>
      <c r="Y325" s="551"/>
      <c r="Z325" s="551"/>
      <c r="AA325" s="551"/>
    </row>
    <row r="326">
      <c r="A326" s="574"/>
      <c r="B326" s="575"/>
      <c r="C326" s="575"/>
      <c r="D326" s="575"/>
      <c r="E326" s="576"/>
      <c r="F326" s="547"/>
      <c r="G326" s="547"/>
      <c r="H326" s="547"/>
      <c r="I326" s="573"/>
      <c r="J326" s="550"/>
      <c r="K326" s="550"/>
      <c r="L326" s="550"/>
      <c r="M326" s="550"/>
      <c r="N326" s="550"/>
      <c r="O326" s="550"/>
      <c r="P326" s="550"/>
      <c r="Q326" s="550"/>
      <c r="R326" s="550"/>
      <c r="S326" s="550"/>
      <c r="T326" s="551"/>
      <c r="U326" s="551"/>
      <c r="V326" s="551"/>
      <c r="W326" s="551"/>
      <c r="X326" s="551"/>
      <c r="Y326" s="551"/>
      <c r="Z326" s="551"/>
      <c r="AA326" s="551"/>
    </row>
    <row r="327">
      <c r="A327" s="574"/>
      <c r="B327" s="575"/>
      <c r="C327" s="575"/>
      <c r="D327" s="575"/>
      <c r="E327" s="576"/>
      <c r="F327" s="547"/>
      <c r="G327" s="547"/>
      <c r="H327" s="547"/>
      <c r="I327" s="573"/>
      <c r="J327" s="550"/>
      <c r="K327" s="550"/>
      <c r="L327" s="550"/>
      <c r="M327" s="550"/>
      <c r="N327" s="550"/>
      <c r="O327" s="550"/>
      <c r="P327" s="550"/>
      <c r="Q327" s="550"/>
      <c r="R327" s="550"/>
      <c r="S327" s="550"/>
      <c r="T327" s="551"/>
      <c r="U327" s="551"/>
      <c r="V327" s="551"/>
      <c r="W327" s="551"/>
      <c r="X327" s="551"/>
      <c r="Y327" s="551"/>
      <c r="Z327" s="551"/>
      <c r="AA327" s="551"/>
    </row>
    <row r="328">
      <c r="A328" s="574"/>
      <c r="B328" s="575"/>
      <c r="C328" s="575"/>
      <c r="D328" s="575"/>
      <c r="E328" s="576"/>
      <c r="F328" s="547"/>
      <c r="G328" s="547"/>
      <c r="H328" s="547"/>
      <c r="I328" s="573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1"/>
      <c r="U328" s="551"/>
      <c r="V328" s="551"/>
      <c r="W328" s="551"/>
      <c r="X328" s="551"/>
      <c r="Y328" s="551"/>
      <c r="Z328" s="551"/>
      <c r="AA328" s="551"/>
    </row>
    <row r="329">
      <c r="A329" s="574"/>
      <c r="B329" s="575"/>
      <c r="C329" s="575"/>
      <c r="D329" s="575"/>
      <c r="E329" s="576"/>
      <c r="F329" s="547"/>
      <c r="G329" s="547"/>
      <c r="H329" s="547"/>
      <c r="I329" s="573"/>
      <c r="J329" s="550"/>
      <c r="K329" s="550"/>
      <c r="L329" s="550"/>
      <c r="M329" s="550"/>
      <c r="N329" s="550"/>
      <c r="O329" s="550"/>
      <c r="P329" s="550"/>
      <c r="Q329" s="550"/>
      <c r="R329" s="550"/>
      <c r="S329" s="550"/>
      <c r="T329" s="551"/>
      <c r="U329" s="551"/>
      <c r="V329" s="551"/>
      <c r="W329" s="551"/>
      <c r="X329" s="551"/>
      <c r="Y329" s="551"/>
      <c r="Z329" s="551"/>
      <c r="AA329" s="551"/>
    </row>
    <row r="330">
      <c r="A330" s="574"/>
      <c r="B330" s="575"/>
      <c r="C330" s="575"/>
      <c r="D330" s="575"/>
      <c r="E330" s="576"/>
      <c r="F330" s="547"/>
      <c r="G330" s="547"/>
      <c r="H330" s="547"/>
      <c r="I330" s="573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1"/>
      <c r="U330" s="551"/>
      <c r="V330" s="551"/>
      <c r="W330" s="551"/>
      <c r="X330" s="551"/>
      <c r="Y330" s="551"/>
      <c r="Z330" s="551"/>
      <c r="AA330" s="551"/>
    </row>
    <row r="331">
      <c r="A331" s="574"/>
      <c r="B331" s="575"/>
      <c r="C331" s="575"/>
      <c r="D331" s="575"/>
      <c r="E331" s="576"/>
      <c r="F331" s="547"/>
      <c r="G331" s="547"/>
      <c r="H331" s="547"/>
      <c r="I331" s="573"/>
      <c r="J331" s="550"/>
      <c r="K331" s="550"/>
      <c r="L331" s="550"/>
      <c r="M331" s="550"/>
      <c r="N331" s="550"/>
      <c r="O331" s="550"/>
      <c r="P331" s="550"/>
      <c r="Q331" s="550"/>
      <c r="R331" s="550"/>
      <c r="S331" s="550"/>
      <c r="T331" s="551"/>
      <c r="U331" s="551"/>
      <c r="V331" s="551"/>
      <c r="W331" s="551"/>
      <c r="X331" s="551"/>
      <c r="Y331" s="551"/>
      <c r="Z331" s="551"/>
      <c r="AA331" s="551"/>
    </row>
    <row r="332">
      <c r="A332" s="574"/>
      <c r="B332" s="575"/>
      <c r="C332" s="575"/>
      <c r="D332" s="575"/>
      <c r="E332" s="576"/>
      <c r="F332" s="547"/>
      <c r="G332" s="547"/>
      <c r="H332" s="547"/>
      <c r="I332" s="573"/>
      <c r="J332" s="550"/>
      <c r="K332" s="550"/>
      <c r="L332" s="550"/>
      <c r="M332" s="550"/>
      <c r="N332" s="550"/>
      <c r="O332" s="550"/>
      <c r="P332" s="550"/>
      <c r="Q332" s="550"/>
      <c r="R332" s="550"/>
      <c r="S332" s="550"/>
      <c r="T332" s="551"/>
      <c r="U332" s="551"/>
      <c r="V332" s="551"/>
      <c r="W332" s="551"/>
      <c r="X332" s="551"/>
      <c r="Y332" s="551"/>
      <c r="Z332" s="551"/>
      <c r="AA332" s="551"/>
    </row>
    <row r="333">
      <c r="A333" s="574"/>
      <c r="B333" s="575"/>
      <c r="C333" s="575"/>
      <c r="D333" s="575"/>
      <c r="E333" s="576"/>
      <c r="F333" s="547"/>
      <c r="G333" s="547"/>
      <c r="H333" s="547"/>
      <c r="I333" s="573"/>
      <c r="J333" s="550"/>
      <c r="K333" s="550"/>
      <c r="L333" s="550"/>
      <c r="M333" s="550"/>
      <c r="N333" s="550"/>
      <c r="O333" s="550"/>
      <c r="P333" s="550"/>
      <c r="Q333" s="550"/>
      <c r="R333" s="550"/>
      <c r="S333" s="550"/>
      <c r="T333" s="551"/>
      <c r="U333" s="551"/>
      <c r="V333" s="551"/>
      <c r="W333" s="551"/>
      <c r="X333" s="551"/>
      <c r="Y333" s="551"/>
      <c r="Z333" s="551"/>
      <c r="AA333" s="551"/>
    </row>
    <row r="334">
      <c r="A334" s="574"/>
      <c r="B334" s="575"/>
      <c r="C334" s="575"/>
      <c r="D334" s="575"/>
      <c r="E334" s="576"/>
      <c r="F334" s="547"/>
      <c r="G334" s="547"/>
      <c r="H334" s="547"/>
      <c r="I334" s="573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1"/>
      <c r="U334" s="551"/>
      <c r="V334" s="551"/>
      <c r="W334" s="551"/>
      <c r="X334" s="551"/>
      <c r="Y334" s="551"/>
      <c r="Z334" s="551"/>
      <c r="AA334" s="551"/>
    </row>
    <row r="335">
      <c r="A335" s="574"/>
      <c r="B335" s="575"/>
      <c r="C335" s="575"/>
      <c r="D335" s="575"/>
      <c r="E335" s="576"/>
      <c r="F335" s="547"/>
      <c r="G335" s="547"/>
      <c r="H335" s="547"/>
      <c r="I335" s="573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1"/>
      <c r="U335" s="551"/>
      <c r="V335" s="551"/>
      <c r="W335" s="551"/>
      <c r="X335" s="551"/>
      <c r="Y335" s="551"/>
      <c r="Z335" s="551"/>
      <c r="AA335" s="551"/>
    </row>
    <row r="336">
      <c r="A336" s="574"/>
      <c r="B336" s="575"/>
      <c r="C336" s="575"/>
      <c r="D336" s="575"/>
      <c r="E336" s="576"/>
      <c r="F336" s="547"/>
      <c r="G336" s="547"/>
      <c r="H336" s="547"/>
      <c r="I336" s="573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1"/>
      <c r="U336" s="551"/>
      <c r="V336" s="551"/>
      <c r="W336" s="551"/>
      <c r="X336" s="551"/>
      <c r="Y336" s="551"/>
      <c r="Z336" s="551"/>
      <c r="AA336" s="551"/>
    </row>
    <row r="337">
      <c r="A337" s="574"/>
      <c r="B337" s="575"/>
      <c r="C337" s="575"/>
      <c r="D337" s="575"/>
      <c r="E337" s="576"/>
      <c r="F337" s="547"/>
      <c r="G337" s="547"/>
      <c r="H337" s="547"/>
      <c r="I337" s="573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1"/>
      <c r="U337" s="551"/>
      <c r="V337" s="551"/>
      <c r="W337" s="551"/>
      <c r="X337" s="551"/>
      <c r="Y337" s="551"/>
      <c r="Z337" s="551"/>
      <c r="AA337" s="551"/>
    </row>
    <row r="338">
      <c r="A338" s="574"/>
      <c r="B338" s="575"/>
      <c r="C338" s="575"/>
      <c r="D338" s="575"/>
      <c r="E338" s="576"/>
      <c r="F338" s="547"/>
      <c r="G338" s="547"/>
      <c r="H338" s="547"/>
      <c r="I338" s="573"/>
      <c r="J338" s="550"/>
      <c r="K338" s="550"/>
      <c r="L338" s="550"/>
      <c r="M338" s="550"/>
      <c r="N338" s="550"/>
      <c r="O338" s="550"/>
      <c r="P338" s="550"/>
      <c r="Q338" s="550"/>
      <c r="R338" s="550"/>
      <c r="S338" s="550"/>
      <c r="T338" s="551"/>
      <c r="U338" s="551"/>
      <c r="V338" s="551"/>
      <c r="W338" s="551"/>
      <c r="X338" s="551"/>
      <c r="Y338" s="551"/>
      <c r="Z338" s="551"/>
      <c r="AA338" s="551"/>
    </row>
    <row r="339">
      <c r="A339" s="574"/>
      <c r="B339" s="575"/>
      <c r="C339" s="575"/>
      <c r="D339" s="575"/>
      <c r="E339" s="576"/>
      <c r="F339" s="547"/>
      <c r="G339" s="547"/>
      <c r="H339" s="547"/>
      <c r="I339" s="573"/>
      <c r="J339" s="550"/>
      <c r="K339" s="550"/>
      <c r="L339" s="550"/>
      <c r="M339" s="550"/>
      <c r="N339" s="550"/>
      <c r="O339" s="550"/>
      <c r="P339" s="550"/>
      <c r="Q339" s="550"/>
      <c r="R339" s="550"/>
      <c r="S339" s="550"/>
      <c r="T339" s="551"/>
      <c r="U339" s="551"/>
      <c r="V339" s="551"/>
      <c r="W339" s="551"/>
      <c r="X339" s="551"/>
      <c r="Y339" s="551"/>
      <c r="Z339" s="551"/>
      <c r="AA339" s="551"/>
    </row>
    <row r="340">
      <c r="A340" s="574"/>
      <c r="B340" s="575"/>
      <c r="C340" s="575"/>
      <c r="D340" s="575"/>
      <c r="E340" s="576"/>
      <c r="F340" s="547"/>
      <c r="G340" s="547"/>
      <c r="H340" s="547"/>
      <c r="I340" s="573"/>
      <c r="J340" s="550"/>
      <c r="K340" s="550"/>
      <c r="L340" s="550"/>
      <c r="M340" s="550"/>
      <c r="N340" s="550"/>
      <c r="O340" s="550"/>
      <c r="P340" s="550"/>
      <c r="Q340" s="550"/>
      <c r="R340" s="550"/>
      <c r="S340" s="550"/>
      <c r="T340" s="551"/>
      <c r="U340" s="551"/>
      <c r="V340" s="551"/>
      <c r="W340" s="551"/>
      <c r="X340" s="551"/>
      <c r="Y340" s="551"/>
      <c r="Z340" s="551"/>
      <c r="AA340" s="551"/>
    </row>
    <row r="341">
      <c r="A341" s="574"/>
      <c r="B341" s="575"/>
      <c r="C341" s="575"/>
      <c r="D341" s="575"/>
      <c r="E341" s="576"/>
      <c r="F341" s="547"/>
      <c r="G341" s="547"/>
      <c r="H341" s="547"/>
      <c r="I341" s="573"/>
      <c r="J341" s="550"/>
      <c r="K341" s="550"/>
      <c r="L341" s="550"/>
      <c r="M341" s="550"/>
      <c r="N341" s="550"/>
      <c r="O341" s="550"/>
      <c r="P341" s="550"/>
      <c r="Q341" s="550"/>
      <c r="R341" s="550"/>
      <c r="S341" s="550"/>
      <c r="T341" s="551"/>
      <c r="U341" s="551"/>
      <c r="V341" s="551"/>
      <c r="W341" s="551"/>
      <c r="X341" s="551"/>
      <c r="Y341" s="551"/>
      <c r="Z341" s="551"/>
      <c r="AA341" s="551"/>
    </row>
    <row r="342">
      <c r="A342" s="574"/>
      <c r="B342" s="575"/>
      <c r="C342" s="575"/>
      <c r="D342" s="575"/>
      <c r="E342" s="576"/>
      <c r="F342" s="547"/>
      <c r="G342" s="547"/>
      <c r="H342" s="547"/>
      <c r="I342" s="573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1"/>
      <c r="U342" s="551"/>
      <c r="V342" s="551"/>
      <c r="W342" s="551"/>
      <c r="X342" s="551"/>
      <c r="Y342" s="551"/>
      <c r="Z342" s="551"/>
      <c r="AA342" s="551"/>
    </row>
    <row r="343">
      <c r="A343" s="574"/>
      <c r="B343" s="575"/>
      <c r="C343" s="575"/>
      <c r="D343" s="575"/>
      <c r="E343" s="576"/>
      <c r="F343" s="547"/>
      <c r="G343" s="547"/>
      <c r="H343" s="547"/>
      <c r="I343" s="573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1"/>
      <c r="U343" s="551"/>
      <c r="V343" s="551"/>
      <c r="W343" s="551"/>
      <c r="X343" s="551"/>
      <c r="Y343" s="551"/>
      <c r="Z343" s="551"/>
      <c r="AA343" s="551"/>
    </row>
    <row r="344">
      <c r="A344" s="574"/>
      <c r="B344" s="575"/>
      <c r="C344" s="575"/>
      <c r="D344" s="575"/>
      <c r="E344" s="576"/>
      <c r="F344" s="547"/>
      <c r="G344" s="547"/>
      <c r="H344" s="547"/>
      <c r="I344" s="573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1"/>
      <c r="U344" s="551"/>
      <c r="V344" s="551"/>
      <c r="W344" s="551"/>
      <c r="X344" s="551"/>
      <c r="Y344" s="551"/>
      <c r="Z344" s="551"/>
      <c r="AA344" s="551"/>
    </row>
    <row r="345">
      <c r="A345" s="574"/>
      <c r="B345" s="575"/>
      <c r="C345" s="575"/>
      <c r="D345" s="575"/>
      <c r="E345" s="576"/>
      <c r="F345" s="547"/>
      <c r="G345" s="547"/>
      <c r="H345" s="547"/>
      <c r="I345" s="573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1"/>
      <c r="U345" s="551"/>
      <c r="V345" s="551"/>
      <c r="W345" s="551"/>
      <c r="X345" s="551"/>
      <c r="Y345" s="551"/>
      <c r="Z345" s="551"/>
      <c r="AA345" s="551"/>
    </row>
    <row r="346">
      <c r="A346" s="574"/>
      <c r="B346" s="575"/>
      <c r="C346" s="575"/>
      <c r="D346" s="575"/>
      <c r="E346" s="576"/>
      <c r="F346" s="547"/>
      <c r="G346" s="547"/>
      <c r="H346" s="547"/>
      <c r="I346" s="573"/>
      <c r="J346" s="550"/>
      <c r="K346" s="550"/>
      <c r="L346" s="550"/>
      <c r="M346" s="550"/>
      <c r="N346" s="550"/>
      <c r="O346" s="550"/>
      <c r="P346" s="550"/>
      <c r="Q346" s="550"/>
      <c r="R346" s="550"/>
      <c r="S346" s="550"/>
      <c r="T346" s="551"/>
      <c r="U346" s="551"/>
      <c r="V346" s="551"/>
      <c r="W346" s="551"/>
      <c r="X346" s="551"/>
      <c r="Y346" s="551"/>
      <c r="Z346" s="551"/>
      <c r="AA346" s="551"/>
    </row>
    <row r="347">
      <c r="A347" s="574"/>
      <c r="B347" s="575"/>
      <c r="C347" s="575"/>
      <c r="D347" s="575"/>
      <c r="E347" s="576"/>
      <c r="F347" s="547"/>
      <c r="G347" s="547"/>
      <c r="H347" s="547"/>
      <c r="I347" s="573"/>
      <c r="J347" s="550"/>
      <c r="K347" s="550"/>
      <c r="L347" s="550"/>
      <c r="M347" s="550"/>
      <c r="N347" s="550"/>
      <c r="O347" s="550"/>
      <c r="P347" s="550"/>
      <c r="Q347" s="550"/>
      <c r="R347" s="550"/>
      <c r="S347" s="550"/>
      <c r="T347" s="551"/>
      <c r="U347" s="551"/>
      <c r="V347" s="551"/>
      <c r="W347" s="551"/>
      <c r="X347" s="551"/>
      <c r="Y347" s="551"/>
      <c r="Z347" s="551"/>
      <c r="AA347" s="551"/>
    </row>
    <row r="348">
      <c r="A348" s="574"/>
      <c r="B348" s="575"/>
      <c r="C348" s="575"/>
      <c r="D348" s="575"/>
      <c r="E348" s="576"/>
      <c r="F348" s="547"/>
      <c r="G348" s="547"/>
      <c r="H348" s="547"/>
      <c r="I348" s="573"/>
      <c r="J348" s="550"/>
      <c r="K348" s="550"/>
      <c r="L348" s="550"/>
      <c r="M348" s="550"/>
      <c r="N348" s="550"/>
      <c r="O348" s="550"/>
      <c r="P348" s="550"/>
      <c r="Q348" s="550"/>
      <c r="R348" s="550"/>
      <c r="S348" s="550"/>
      <c r="T348" s="551"/>
      <c r="U348" s="551"/>
      <c r="V348" s="551"/>
      <c r="W348" s="551"/>
      <c r="X348" s="551"/>
      <c r="Y348" s="551"/>
      <c r="Z348" s="551"/>
      <c r="AA348" s="551"/>
    </row>
    <row r="349">
      <c r="A349" s="574"/>
      <c r="B349" s="575"/>
      <c r="C349" s="575"/>
      <c r="D349" s="575"/>
      <c r="E349" s="576"/>
      <c r="F349" s="547"/>
      <c r="G349" s="547"/>
      <c r="H349" s="547"/>
      <c r="I349" s="573"/>
      <c r="J349" s="550"/>
      <c r="K349" s="550"/>
      <c r="L349" s="550"/>
      <c r="M349" s="550"/>
      <c r="N349" s="550"/>
      <c r="O349" s="550"/>
      <c r="P349" s="550"/>
      <c r="Q349" s="550"/>
      <c r="R349" s="550"/>
      <c r="S349" s="550"/>
      <c r="T349" s="551"/>
      <c r="U349" s="551"/>
      <c r="V349" s="551"/>
      <c r="W349" s="551"/>
      <c r="X349" s="551"/>
      <c r="Y349" s="551"/>
      <c r="Z349" s="551"/>
      <c r="AA349" s="551"/>
    </row>
    <row r="350">
      <c r="A350" s="574"/>
      <c r="B350" s="575"/>
      <c r="C350" s="575"/>
      <c r="D350" s="575"/>
      <c r="E350" s="576"/>
      <c r="F350" s="547"/>
      <c r="G350" s="547"/>
      <c r="H350" s="547"/>
      <c r="I350" s="573"/>
      <c r="J350" s="550"/>
      <c r="K350" s="550"/>
      <c r="L350" s="550"/>
      <c r="M350" s="550"/>
      <c r="N350" s="550"/>
      <c r="O350" s="550"/>
      <c r="P350" s="550"/>
      <c r="Q350" s="550"/>
      <c r="R350" s="550"/>
      <c r="S350" s="550"/>
      <c r="T350" s="551"/>
      <c r="U350" s="551"/>
      <c r="V350" s="551"/>
      <c r="W350" s="551"/>
      <c r="X350" s="551"/>
      <c r="Y350" s="551"/>
      <c r="Z350" s="551"/>
      <c r="AA350" s="551"/>
    </row>
    <row r="351">
      <c r="A351" s="574"/>
      <c r="B351" s="575"/>
      <c r="C351" s="575"/>
      <c r="D351" s="575"/>
      <c r="E351" s="576"/>
      <c r="F351" s="547"/>
      <c r="G351" s="547"/>
      <c r="H351" s="547"/>
      <c r="I351" s="573"/>
      <c r="J351" s="550"/>
      <c r="K351" s="550"/>
      <c r="L351" s="550"/>
      <c r="M351" s="550"/>
      <c r="N351" s="550"/>
      <c r="O351" s="550"/>
      <c r="P351" s="550"/>
      <c r="Q351" s="550"/>
      <c r="R351" s="550"/>
      <c r="S351" s="550"/>
      <c r="T351" s="551"/>
      <c r="U351" s="551"/>
      <c r="V351" s="551"/>
      <c r="W351" s="551"/>
      <c r="X351" s="551"/>
      <c r="Y351" s="551"/>
      <c r="Z351" s="551"/>
      <c r="AA351" s="551"/>
    </row>
    <row r="352">
      <c r="A352" s="574"/>
      <c r="B352" s="575"/>
      <c r="C352" s="575"/>
      <c r="D352" s="575"/>
      <c r="E352" s="576"/>
      <c r="F352" s="547"/>
      <c r="G352" s="547"/>
      <c r="H352" s="547"/>
      <c r="I352" s="573"/>
      <c r="J352" s="550"/>
      <c r="K352" s="550"/>
      <c r="L352" s="550"/>
      <c r="M352" s="550"/>
      <c r="N352" s="550"/>
      <c r="O352" s="550"/>
      <c r="P352" s="550"/>
      <c r="Q352" s="550"/>
      <c r="R352" s="550"/>
      <c r="S352" s="550"/>
      <c r="T352" s="551"/>
      <c r="U352" s="551"/>
      <c r="V352" s="551"/>
      <c r="W352" s="551"/>
      <c r="X352" s="551"/>
      <c r="Y352" s="551"/>
      <c r="Z352" s="551"/>
      <c r="AA352" s="551"/>
    </row>
    <row r="353">
      <c r="A353" s="574"/>
      <c r="B353" s="575"/>
      <c r="C353" s="575"/>
      <c r="D353" s="575"/>
      <c r="E353" s="576"/>
      <c r="F353" s="547"/>
      <c r="G353" s="547"/>
      <c r="H353" s="547"/>
      <c r="I353" s="573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1"/>
      <c r="U353" s="551"/>
      <c r="V353" s="551"/>
      <c r="W353" s="551"/>
      <c r="X353" s="551"/>
      <c r="Y353" s="551"/>
      <c r="Z353" s="551"/>
      <c r="AA353" s="551"/>
    </row>
    <row r="354">
      <c r="A354" s="574"/>
      <c r="B354" s="575"/>
      <c r="C354" s="575"/>
      <c r="D354" s="575"/>
      <c r="E354" s="576"/>
      <c r="F354" s="547"/>
      <c r="G354" s="547"/>
      <c r="H354" s="547"/>
      <c r="I354" s="573"/>
      <c r="J354" s="550"/>
      <c r="K354" s="550"/>
      <c r="L354" s="550"/>
      <c r="M354" s="550"/>
      <c r="N354" s="550"/>
      <c r="O354" s="550"/>
      <c r="P354" s="550"/>
      <c r="Q354" s="550"/>
      <c r="R354" s="550"/>
      <c r="S354" s="550"/>
      <c r="T354" s="551"/>
      <c r="U354" s="551"/>
      <c r="V354" s="551"/>
      <c r="W354" s="551"/>
      <c r="X354" s="551"/>
      <c r="Y354" s="551"/>
      <c r="Z354" s="551"/>
      <c r="AA354" s="551"/>
    </row>
    <row r="355">
      <c r="A355" s="574"/>
      <c r="B355" s="575"/>
      <c r="C355" s="575"/>
      <c r="D355" s="575"/>
      <c r="E355" s="576"/>
      <c r="F355" s="547"/>
      <c r="G355" s="547"/>
      <c r="H355" s="547"/>
      <c r="I355" s="573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1"/>
      <c r="U355" s="551"/>
      <c r="V355" s="551"/>
      <c r="W355" s="551"/>
      <c r="X355" s="551"/>
      <c r="Y355" s="551"/>
      <c r="Z355" s="551"/>
      <c r="AA355" s="551"/>
    </row>
    <row r="356">
      <c r="A356" s="574"/>
      <c r="B356" s="575"/>
      <c r="C356" s="575"/>
      <c r="D356" s="575"/>
      <c r="E356" s="576"/>
      <c r="F356" s="547"/>
      <c r="G356" s="547"/>
      <c r="H356" s="547"/>
      <c r="I356" s="573"/>
      <c r="J356" s="550"/>
      <c r="K356" s="550"/>
      <c r="L356" s="550"/>
      <c r="M356" s="550"/>
      <c r="N356" s="550"/>
      <c r="O356" s="550"/>
      <c r="P356" s="550"/>
      <c r="Q356" s="550"/>
      <c r="R356" s="550"/>
      <c r="S356" s="550"/>
      <c r="T356" s="551"/>
      <c r="U356" s="551"/>
      <c r="V356" s="551"/>
      <c r="W356" s="551"/>
      <c r="X356" s="551"/>
      <c r="Y356" s="551"/>
      <c r="Z356" s="551"/>
      <c r="AA356" s="551"/>
    </row>
    <row r="357">
      <c r="A357" s="574"/>
      <c r="B357" s="575"/>
      <c r="C357" s="575"/>
      <c r="D357" s="575"/>
      <c r="E357" s="576"/>
      <c r="F357" s="547"/>
      <c r="G357" s="547"/>
      <c r="H357" s="547"/>
      <c r="I357" s="573"/>
      <c r="J357" s="550"/>
      <c r="K357" s="550"/>
      <c r="L357" s="550"/>
      <c r="M357" s="550"/>
      <c r="N357" s="550"/>
      <c r="O357" s="550"/>
      <c r="P357" s="550"/>
      <c r="Q357" s="550"/>
      <c r="R357" s="550"/>
      <c r="S357" s="550"/>
      <c r="T357" s="551"/>
      <c r="U357" s="551"/>
      <c r="V357" s="551"/>
      <c r="W357" s="551"/>
      <c r="X357" s="551"/>
      <c r="Y357" s="551"/>
      <c r="Z357" s="551"/>
      <c r="AA357" s="551"/>
    </row>
    <row r="358">
      <c r="A358" s="574"/>
      <c r="B358" s="575"/>
      <c r="C358" s="575"/>
      <c r="D358" s="575"/>
      <c r="E358" s="576"/>
      <c r="F358" s="547"/>
      <c r="G358" s="547"/>
      <c r="H358" s="547"/>
      <c r="I358" s="573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1"/>
      <c r="U358" s="551"/>
      <c r="V358" s="551"/>
      <c r="W358" s="551"/>
      <c r="X358" s="551"/>
      <c r="Y358" s="551"/>
      <c r="Z358" s="551"/>
      <c r="AA358" s="551"/>
    </row>
    <row r="359">
      <c r="A359" s="574"/>
      <c r="B359" s="575"/>
      <c r="C359" s="575"/>
      <c r="D359" s="575"/>
      <c r="E359" s="576"/>
      <c r="F359" s="547"/>
      <c r="G359" s="547"/>
      <c r="H359" s="547"/>
      <c r="I359" s="573"/>
      <c r="J359" s="550"/>
      <c r="K359" s="550"/>
      <c r="L359" s="550"/>
      <c r="M359" s="550"/>
      <c r="N359" s="550"/>
      <c r="O359" s="550"/>
      <c r="P359" s="550"/>
      <c r="Q359" s="550"/>
      <c r="R359" s="550"/>
      <c r="S359" s="550"/>
      <c r="T359" s="551"/>
      <c r="U359" s="551"/>
      <c r="V359" s="551"/>
      <c r="W359" s="551"/>
      <c r="X359" s="551"/>
      <c r="Y359" s="551"/>
      <c r="Z359" s="551"/>
      <c r="AA359" s="551"/>
    </row>
    <row r="360">
      <c r="A360" s="574"/>
      <c r="B360" s="575"/>
      <c r="C360" s="575"/>
      <c r="D360" s="575"/>
      <c r="E360" s="576"/>
      <c r="F360" s="547"/>
      <c r="G360" s="547"/>
      <c r="H360" s="547"/>
      <c r="I360" s="573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1"/>
      <c r="U360" s="551"/>
      <c r="V360" s="551"/>
      <c r="W360" s="551"/>
      <c r="X360" s="551"/>
      <c r="Y360" s="551"/>
      <c r="Z360" s="551"/>
      <c r="AA360" s="551"/>
    </row>
    <row r="361">
      <c r="A361" s="574"/>
      <c r="B361" s="575"/>
      <c r="C361" s="575"/>
      <c r="D361" s="575"/>
      <c r="E361" s="576"/>
      <c r="F361" s="547"/>
      <c r="G361" s="547"/>
      <c r="H361" s="547"/>
      <c r="I361" s="573"/>
      <c r="J361" s="550"/>
      <c r="K361" s="550"/>
      <c r="L361" s="550"/>
      <c r="M361" s="550"/>
      <c r="N361" s="550"/>
      <c r="O361" s="550"/>
      <c r="P361" s="550"/>
      <c r="Q361" s="550"/>
      <c r="R361" s="550"/>
      <c r="S361" s="550"/>
      <c r="T361" s="551"/>
      <c r="U361" s="551"/>
      <c r="V361" s="551"/>
      <c r="W361" s="551"/>
      <c r="X361" s="551"/>
      <c r="Y361" s="551"/>
      <c r="Z361" s="551"/>
      <c r="AA361" s="551"/>
    </row>
    <row r="362">
      <c r="A362" s="574"/>
      <c r="B362" s="575"/>
      <c r="C362" s="575"/>
      <c r="D362" s="575"/>
      <c r="E362" s="576"/>
      <c r="F362" s="547"/>
      <c r="G362" s="547"/>
      <c r="H362" s="547"/>
      <c r="I362" s="573"/>
      <c r="J362" s="550"/>
      <c r="K362" s="550"/>
      <c r="L362" s="550"/>
      <c r="M362" s="550"/>
      <c r="N362" s="550"/>
      <c r="O362" s="550"/>
      <c r="P362" s="550"/>
      <c r="Q362" s="550"/>
      <c r="R362" s="550"/>
      <c r="S362" s="550"/>
      <c r="T362" s="551"/>
      <c r="U362" s="551"/>
      <c r="V362" s="551"/>
      <c r="W362" s="551"/>
      <c r="X362" s="551"/>
      <c r="Y362" s="551"/>
      <c r="Z362" s="551"/>
      <c r="AA362" s="551"/>
    </row>
    <row r="363">
      <c r="A363" s="574"/>
      <c r="B363" s="575"/>
      <c r="C363" s="575"/>
      <c r="D363" s="575"/>
      <c r="E363" s="576"/>
      <c r="F363" s="547"/>
      <c r="G363" s="547"/>
      <c r="H363" s="547"/>
      <c r="I363" s="573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1"/>
      <c r="U363" s="551"/>
      <c r="V363" s="551"/>
      <c r="W363" s="551"/>
      <c r="X363" s="551"/>
      <c r="Y363" s="551"/>
      <c r="Z363" s="551"/>
      <c r="AA363" s="551"/>
    </row>
    <row r="364">
      <c r="A364" s="574"/>
      <c r="B364" s="575"/>
      <c r="C364" s="575"/>
      <c r="D364" s="575"/>
      <c r="E364" s="576"/>
      <c r="F364" s="547"/>
      <c r="G364" s="547"/>
      <c r="H364" s="547"/>
      <c r="I364" s="573"/>
      <c r="J364" s="550"/>
      <c r="K364" s="550"/>
      <c r="L364" s="550"/>
      <c r="M364" s="550"/>
      <c r="N364" s="550"/>
      <c r="O364" s="550"/>
      <c r="P364" s="550"/>
      <c r="Q364" s="550"/>
      <c r="R364" s="550"/>
      <c r="S364" s="550"/>
      <c r="T364" s="551"/>
      <c r="U364" s="551"/>
      <c r="V364" s="551"/>
      <c r="W364" s="551"/>
      <c r="X364" s="551"/>
      <c r="Y364" s="551"/>
      <c r="Z364" s="551"/>
      <c r="AA364" s="551"/>
    </row>
    <row r="365">
      <c r="A365" s="574"/>
      <c r="B365" s="575"/>
      <c r="C365" s="575"/>
      <c r="D365" s="575"/>
      <c r="E365" s="576"/>
      <c r="F365" s="547"/>
      <c r="G365" s="547"/>
      <c r="H365" s="547"/>
      <c r="I365" s="573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1"/>
      <c r="U365" s="551"/>
      <c r="V365" s="551"/>
      <c r="W365" s="551"/>
      <c r="X365" s="551"/>
      <c r="Y365" s="551"/>
      <c r="Z365" s="551"/>
      <c r="AA365" s="551"/>
    </row>
    <row r="366">
      <c r="A366" s="574"/>
      <c r="B366" s="575"/>
      <c r="C366" s="575"/>
      <c r="D366" s="575"/>
      <c r="E366" s="576"/>
      <c r="F366" s="547"/>
      <c r="G366" s="547"/>
      <c r="H366" s="547"/>
      <c r="I366" s="573"/>
      <c r="J366" s="550"/>
      <c r="K366" s="550"/>
      <c r="L366" s="550"/>
      <c r="M366" s="550"/>
      <c r="N366" s="550"/>
      <c r="O366" s="550"/>
      <c r="P366" s="550"/>
      <c r="Q366" s="550"/>
      <c r="R366" s="550"/>
      <c r="S366" s="550"/>
      <c r="T366" s="551"/>
      <c r="U366" s="551"/>
      <c r="V366" s="551"/>
      <c r="W366" s="551"/>
      <c r="X366" s="551"/>
      <c r="Y366" s="551"/>
      <c r="Z366" s="551"/>
      <c r="AA366" s="551"/>
    </row>
    <row r="367">
      <c r="A367" s="574"/>
      <c r="B367" s="575"/>
      <c r="C367" s="575"/>
      <c r="D367" s="575"/>
      <c r="E367" s="576"/>
      <c r="F367" s="547"/>
      <c r="G367" s="547"/>
      <c r="H367" s="547"/>
      <c r="I367" s="573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1"/>
      <c r="U367" s="551"/>
      <c r="V367" s="551"/>
      <c r="W367" s="551"/>
      <c r="X367" s="551"/>
      <c r="Y367" s="551"/>
      <c r="Z367" s="551"/>
      <c r="AA367" s="551"/>
    </row>
    <row r="368">
      <c r="A368" s="574"/>
      <c r="B368" s="575"/>
      <c r="C368" s="575"/>
      <c r="D368" s="575"/>
      <c r="E368" s="576"/>
      <c r="F368" s="547"/>
      <c r="G368" s="547"/>
      <c r="H368" s="547"/>
      <c r="I368" s="573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1"/>
      <c r="U368" s="551"/>
      <c r="V368" s="551"/>
      <c r="W368" s="551"/>
      <c r="X368" s="551"/>
      <c r="Y368" s="551"/>
      <c r="Z368" s="551"/>
      <c r="AA368" s="551"/>
    </row>
    <row r="369">
      <c r="A369" s="574"/>
      <c r="B369" s="575"/>
      <c r="C369" s="575"/>
      <c r="D369" s="575"/>
      <c r="E369" s="576"/>
      <c r="F369" s="547"/>
      <c r="G369" s="547"/>
      <c r="H369" s="547"/>
      <c r="I369" s="573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1"/>
      <c r="U369" s="551"/>
      <c r="V369" s="551"/>
      <c r="W369" s="551"/>
      <c r="X369" s="551"/>
      <c r="Y369" s="551"/>
      <c r="Z369" s="551"/>
      <c r="AA369" s="551"/>
    </row>
    <row r="370">
      <c r="A370" s="574"/>
      <c r="B370" s="575"/>
      <c r="C370" s="575"/>
      <c r="D370" s="575"/>
      <c r="E370" s="576"/>
      <c r="F370" s="547"/>
      <c r="G370" s="547"/>
      <c r="H370" s="547"/>
      <c r="I370" s="573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1"/>
      <c r="U370" s="551"/>
      <c r="V370" s="551"/>
      <c r="W370" s="551"/>
      <c r="X370" s="551"/>
      <c r="Y370" s="551"/>
      <c r="Z370" s="551"/>
      <c r="AA370" s="551"/>
    </row>
    <row r="371">
      <c r="A371" s="574"/>
      <c r="B371" s="575"/>
      <c r="C371" s="575"/>
      <c r="D371" s="575"/>
      <c r="E371" s="576"/>
      <c r="F371" s="547"/>
      <c r="G371" s="547"/>
      <c r="H371" s="547"/>
      <c r="I371" s="573"/>
      <c r="J371" s="550"/>
      <c r="K371" s="550"/>
      <c r="L371" s="550"/>
      <c r="M371" s="550"/>
      <c r="N371" s="550"/>
      <c r="O371" s="550"/>
      <c r="P371" s="550"/>
      <c r="Q371" s="550"/>
      <c r="R371" s="550"/>
      <c r="S371" s="550"/>
      <c r="T371" s="551"/>
      <c r="U371" s="551"/>
      <c r="V371" s="551"/>
      <c r="W371" s="551"/>
      <c r="X371" s="551"/>
      <c r="Y371" s="551"/>
      <c r="Z371" s="551"/>
      <c r="AA371" s="551"/>
    </row>
    <row r="372">
      <c r="A372" s="574"/>
      <c r="B372" s="575"/>
      <c r="C372" s="575"/>
      <c r="D372" s="575"/>
      <c r="E372" s="576"/>
      <c r="F372" s="547"/>
      <c r="G372" s="547"/>
      <c r="H372" s="547"/>
      <c r="I372" s="573"/>
      <c r="J372" s="550"/>
      <c r="K372" s="550"/>
      <c r="L372" s="550"/>
      <c r="M372" s="550"/>
      <c r="N372" s="550"/>
      <c r="O372" s="550"/>
      <c r="P372" s="550"/>
      <c r="Q372" s="550"/>
      <c r="R372" s="550"/>
      <c r="S372" s="550"/>
      <c r="T372" s="551"/>
      <c r="U372" s="551"/>
      <c r="V372" s="551"/>
      <c r="W372" s="551"/>
      <c r="X372" s="551"/>
      <c r="Y372" s="551"/>
      <c r="Z372" s="551"/>
      <c r="AA372" s="551"/>
    </row>
    <row r="373">
      <c r="A373" s="574"/>
      <c r="B373" s="575"/>
      <c r="C373" s="575"/>
      <c r="D373" s="575"/>
      <c r="E373" s="576"/>
      <c r="F373" s="547"/>
      <c r="G373" s="547"/>
      <c r="H373" s="547"/>
      <c r="I373" s="573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1"/>
      <c r="U373" s="551"/>
      <c r="V373" s="551"/>
      <c r="W373" s="551"/>
      <c r="X373" s="551"/>
      <c r="Y373" s="551"/>
      <c r="Z373" s="551"/>
      <c r="AA373" s="551"/>
    </row>
    <row r="374">
      <c r="A374" s="574"/>
      <c r="B374" s="575"/>
      <c r="C374" s="575"/>
      <c r="D374" s="575"/>
      <c r="E374" s="576"/>
      <c r="F374" s="547"/>
      <c r="G374" s="547"/>
      <c r="H374" s="547"/>
      <c r="I374" s="573"/>
      <c r="J374" s="550"/>
      <c r="K374" s="550"/>
      <c r="L374" s="550"/>
      <c r="M374" s="550"/>
      <c r="N374" s="550"/>
      <c r="O374" s="550"/>
      <c r="P374" s="550"/>
      <c r="Q374" s="550"/>
      <c r="R374" s="550"/>
      <c r="S374" s="550"/>
      <c r="T374" s="551"/>
      <c r="U374" s="551"/>
      <c r="V374" s="551"/>
      <c r="W374" s="551"/>
      <c r="X374" s="551"/>
      <c r="Y374" s="551"/>
      <c r="Z374" s="551"/>
      <c r="AA374" s="551"/>
    </row>
    <row r="375">
      <c r="A375" s="574"/>
      <c r="B375" s="575"/>
      <c r="C375" s="575"/>
      <c r="D375" s="575"/>
      <c r="E375" s="576"/>
      <c r="F375" s="547"/>
      <c r="G375" s="547"/>
      <c r="H375" s="547"/>
      <c r="I375" s="573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1"/>
      <c r="U375" s="551"/>
      <c r="V375" s="551"/>
      <c r="W375" s="551"/>
      <c r="X375" s="551"/>
      <c r="Y375" s="551"/>
      <c r="Z375" s="551"/>
      <c r="AA375" s="551"/>
    </row>
    <row r="376">
      <c r="A376" s="574"/>
      <c r="B376" s="575"/>
      <c r="C376" s="575"/>
      <c r="D376" s="575"/>
      <c r="E376" s="576"/>
      <c r="F376" s="547"/>
      <c r="G376" s="547"/>
      <c r="H376" s="547"/>
      <c r="I376" s="573"/>
      <c r="J376" s="550"/>
      <c r="K376" s="550"/>
      <c r="L376" s="550"/>
      <c r="M376" s="550"/>
      <c r="N376" s="550"/>
      <c r="O376" s="550"/>
      <c r="P376" s="550"/>
      <c r="Q376" s="550"/>
      <c r="R376" s="550"/>
      <c r="S376" s="550"/>
      <c r="T376" s="551"/>
      <c r="U376" s="551"/>
      <c r="V376" s="551"/>
      <c r="W376" s="551"/>
      <c r="X376" s="551"/>
      <c r="Y376" s="551"/>
      <c r="Z376" s="551"/>
      <c r="AA376" s="551"/>
    </row>
    <row r="377">
      <c r="A377" s="574"/>
      <c r="B377" s="575"/>
      <c r="C377" s="575"/>
      <c r="D377" s="575"/>
      <c r="E377" s="576"/>
      <c r="F377" s="547"/>
      <c r="G377" s="547"/>
      <c r="H377" s="547"/>
      <c r="I377" s="573"/>
      <c r="J377" s="550"/>
      <c r="K377" s="550"/>
      <c r="L377" s="550"/>
      <c r="M377" s="550"/>
      <c r="N377" s="550"/>
      <c r="O377" s="550"/>
      <c r="P377" s="550"/>
      <c r="Q377" s="550"/>
      <c r="R377" s="550"/>
      <c r="S377" s="550"/>
      <c r="T377" s="551"/>
      <c r="U377" s="551"/>
      <c r="V377" s="551"/>
      <c r="W377" s="551"/>
      <c r="X377" s="551"/>
      <c r="Y377" s="551"/>
      <c r="Z377" s="551"/>
      <c r="AA377" s="551"/>
    </row>
    <row r="378">
      <c r="A378" s="574"/>
      <c r="B378" s="575"/>
      <c r="C378" s="575"/>
      <c r="D378" s="575"/>
      <c r="E378" s="576"/>
      <c r="F378" s="547"/>
      <c r="G378" s="547"/>
      <c r="H378" s="547"/>
      <c r="I378" s="573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1"/>
      <c r="U378" s="551"/>
      <c r="V378" s="551"/>
      <c r="W378" s="551"/>
      <c r="X378" s="551"/>
      <c r="Y378" s="551"/>
      <c r="Z378" s="551"/>
      <c r="AA378" s="551"/>
    </row>
    <row r="379">
      <c r="A379" s="574"/>
      <c r="B379" s="575"/>
      <c r="C379" s="575"/>
      <c r="D379" s="575"/>
      <c r="E379" s="576"/>
      <c r="F379" s="547"/>
      <c r="G379" s="547"/>
      <c r="H379" s="547"/>
      <c r="I379" s="573"/>
      <c r="J379" s="550"/>
      <c r="K379" s="550"/>
      <c r="L379" s="550"/>
      <c r="M379" s="550"/>
      <c r="N379" s="550"/>
      <c r="O379" s="550"/>
      <c r="P379" s="550"/>
      <c r="Q379" s="550"/>
      <c r="R379" s="550"/>
      <c r="S379" s="550"/>
      <c r="T379" s="551"/>
      <c r="U379" s="551"/>
      <c r="V379" s="551"/>
      <c r="W379" s="551"/>
      <c r="X379" s="551"/>
      <c r="Y379" s="551"/>
      <c r="Z379" s="551"/>
      <c r="AA379" s="551"/>
    </row>
    <row r="380">
      <c r="A380" s="574"/>
      <c r="B380" s="575"/>
      <c r="C380" s="575"/>
      <c r="D380" s="575"/>
      <c r="E380" s="576"/>
      <c r="F380" s="547"/>
      <c r="G380" s="547"/>
      <c r="H380" s="547"/>
      <c r="I380" s="573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1"/>
      <c r="U380" s="551"/>
      <c r="V380" s="551"/>
      <c r="W380" s="551"/>
      <c r="X380" s="551"/>
      <c r="Y380" s="551"/>
      <c r="Z380" s="551"/>
      <c r="AA380" s="551"/>
    </row>
    <row r="381">
      <c r="A381" s="574"/>
      <c r="B381" s="575"/>
      <c r="C381" s="575"/>
      <c r="D381" s="575"/>
      <c r="E381" s="576"/>
      <c r="F381" s="547"/>
      <c r="G381" s="547"/>
      <c r="H381" s="547"/>
      <c r="I381" s="573"/>
      <c r="J381" s="550"/>
      <c r="K381" s="550"/>
      <c r="L381" s="550"/>
      <c r="M381" s="550"/>
      <c r="N381" s="550"/>
      <c r="O381" s="550"/>
      <c r="P381" s="550"/>
      <c r="Q381" s="550"/>
      <c r="R381" s="550"/>
      <c r="S381" s="550"/>
      <c r="T381" s="551"/>
      <c r="U381" s="551"/>
      <c r="V381" s="551"/>
      <c r="W381" s="551"/>
      <c r="X381" s="551"/>
      <c r="Y381" s="551"/>
      <c r="Z381" s="551"/>
      <c r="AA381" s="551"/>
    </row>
    <row r="382">
      <c r="A382" s="574"/>
      <c r="B382" s="575"/>
      <c r="C382" s="575"/>
      <c r="D382" s="575"/>
      <c r="E382" s="576"/>
      <c r="F382" s="547"/>
      <c r="G382" s="547"/>
      <c r="H382" s="547"/>
      <c r="I382" s="573"/>
      <c r="J382" s="550"/>
      <c r="K382" s="550"/>
      <c r="L382" s="550"/>
      <c r="M382" s="550"/>
      <c r="N382" s="550"/>
      <c r="O382" s="550"/>
      <c r="P382" s="550"/>
      <c r="Q382" s="550"/>
      <c r="R382" s="550"/>
      <c r="S382" s="550"/>
      <c r="T382" s="551"/>
      <c r="U382" s="551"/>
      <c r="V382" s="551"/>
      <c r="W382" s="551"/>
      <c r="X382" s="551"/>
      <c r="Y382" s="551"/>
      <c r="Z382" s="551"/>
      <c r="AA382" s="551"/>
    </row>
    <row r="383">
      <c r="A383" s="574"/>
      <c r="B383" s="575"/>
      <c r="C383" s="575"/>
      <c r="D383" s="575"/>
      <c r="E383" s="576"/>
      <c r="F383" s="547"/>
      <c r="G383" s="547"/>
      <c r="H383" s="547"/>
      <c r="I383" s="573"/>
      <c r="J383" s="550"/>
      <c r="K383" s="550"/>
      <c r="L383" s="550"/>
      <c r="M383" s="550"/>
      <c r="N383" s="550"/>
      <c r="O383" s="550"/>
      <c r="P383" s="550"/>
      <c r="Q383" s="550"/>
      <c r="R383" s="550"/>
      <c r="S383" s="550"/>
      <c r="T383" s="551"/>
      <c r="U383" s="551"/>
      <c r="V383" s="551"/>
      <c r="W383" s="551"/>
      <c r="X383" s="551"/>
      <c r="Y383" s="551"/>
      <c r="Z383" s="551"/>
      <c r="AA383" s="551"/>
    </row>
    <row r="384">
      <c r="A384" s="574"/>
      <c r="B384" s="575"/>
      <c r="C384" s="575"/>
      <c r="D384" s="575"/>
      <c r="E384" s="576"/>
      <c r="F384" s="547"/>
      <c r="G384" s="547"/>
      <c r="H384" s="547"/>
      <c r="I384" s="573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1"/>
      <c r="U384" s="551"/>
      <c r="V384" s="551"/>
      <c r="W384" s="551"/>
      <c r="X384" s="551"/>
      <c r="Y384" s="551"/>
      <c r="Z384" s="551"/>
      <c r="AA384" s="551"/>
    </row>
    <row r="385">
      <c r="A385" s="574"/>
      <c r="B385" s="575"/>
      <c r="C385" s="575"/>
      <c r="D385" s="575"/>
      <c r="E385" s="576"/>
      <c r="F385" s="547"/>
      <c r="G385" s="547"/>
      <c r="H385" s="547"/>
      <c r="I385" s="573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1"/>
      <c r="U385" s="551"/>
      <c r="V385" s="551"/>
      <c r="W385" s="551"/>
      <c r="X385" s="551"/>
      <c r="Y385" s="551"/>
      <c r="Z385" s="551"/>
      <c r="AA385" s="551"/>
    </row>
    <row r="386">
      <c r="A386" s="574"/>
      <c r="B386" s="575"/>
      <c r="C386" s="575"/>
      <c r="D386" s="575"/>
      <c r="E386" s="576"/>
      <c r="F386" s="547"/>
      <c r="G386" s="547"/>
      <c r="H386" s="547"/>
      <c r="I386" s="573"/>
      <c r="J386" s="550"/>
      <c r="K386" s="550"/>
      <c r="L386" s="550"/>
      <c r="M386" s="550"/>
      <c r="N386" s="550"/>
      <c r="O386" s="550"/>
      <c r="P386" s="550"/>
      <c r="Q386" s="550"/>
      <c r="R386" s="550"/>
      <c r="S386" s="550"/>
      <c r="T386" s="551"/>
      <c r="U386" s="551"/>
      <c r="V386" s="551"/>
      <c r="W386" s="551"/>
      <c r="X386" s="551"/>
      <c r="Y386" s="551"/>
      <c r="Z386" s="551"/>
      <c r="AA386" s="551"/>
    </row>
    <row r="387">
      <c r="A387" s="574"/>
      <c r="B387" s="575"/>
      <c r="C387" s="575"/>
      <c r="D387" s="575"/>
      <c r="E387" s="576"/>
      <c r="F387" s="547"/>
      <c r="G387" s="547"/>
      <c r="H387" s="547"/>
      <c r="I387" s="573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1"/>
      <c r="U387" s="551"/>
      <c r="V387" s="551"/>
      <c r="W387" s="551"/>
      <c r="X387" s="551"/>
      <c r="Y387" s="551"/>
      <c r="Z387" s="551"/>
      <c r="AA387" s="551"/>
    </row>
    <row r="388">
      <c r="A388" s="574"/>
      <c r="B388" s="575"/>
      <c r="C388" s="575"/>
      <c r="D388" s="575"/>
      <c r="E388" s="576"/>
      <c r="F388" s="547"/>
      <c r="G388" s="547"/>
      <c r="H388" s="547"/>
      <c r="I388" s="573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1"/>
      <c r="U388" s="551"/>
      <c r="V388" s="551"/>
      <c r="W388" s="551"/>
      <c r="X388" s="551"/>
      <c r="Y388" s="551"/>
      <c r="Z388" s="551"/>
      <c r="AA388" s="551"/>
    </row>
    <row r="389">
      <c r="A389" s="574"/>
      <c r="B389" s="575"/>
      <c r="C389" s="575"/>
      <c r="D389" s="575"/>
      <c r="E389" s="576"/>
      <c r="F389" s="547"/>
      <c r="G389" s="547"/>
      <c r="H389" s="547"/>
      <c r="I389" s="573"/>
      <c r="J389" s="550"/>
      <c r="K389" s="550"/>
      <c r="L389" s="550"/>
      <c r="M389" s="550"/>
      <c r="N389" s="550"/>
      <c r="O389" s="550"/>
      <c r="P389" s="550"/>
      <c r="Q389" s="550"/>
      <c r="R389" s="550"/>
      <c r="S389" s="550"/>
      <c r="T389" s="551"/>
      <c r="U389" s="551"/>
      <c r="V389" s="551"/>
      <c r="W389" s="551"/>
      <c r="X389" s="551"/>
      <c r="Y389" s="551"/>
      <c r="Z389" s="551"/>
      <c r="AA389" s="551"/>
    </row>
    <row r="390">
      <c r="A390" s="574"/>
      <c r="B390" s="575"/>
      <c r="C390" s="575"/>
      <c r="D390" s="575"/>
      <c r="E390" s="576"/>
      <c r="F390" s="547"/>
      <c r="G390" s="547"/>
      <c r="H390" s="547"/>
      <c r="I390" s="573"/>
      <c r="J390" s="550"/>
      <c r="K390" s="550"/>
      <c r="L390" s="550"/>
      <c r="M390" s="550"/>
      <c r="N390" s="550"/>
      <c r="O390" s="550"/>
      <c r="P390" s="550"/>
      <c r="Q390" s="550"/>
      <c r="R390" s="550"/>
      <c r="S390" s="550"/>
      <c r="T390" s="551"/>
      <c r="U390" s="551"/>
      <c r="V390" s="551"/>
      <c r="W390" s="551"/>
      <c r="X390" s="551"/>
      <c r="Y390" s="551"/>
      <c r="Z390" s="551"/>
      <c r="AA390" s="551"/>
    </row>
    <row r="391">
      <c r="A391" s="574"/>
      <c r="B391" s="575"/>
      <c r="C391" s="575"/>
      <c r="D391" s="575"/>
      <c r="E391" s="576"/>
      <c r="F391" s="547"/>
      <c r="G391" s="547"/>
      <c r="H391" s="547"/>
      <c r="I391" s="573"/>
      <c r="J391" s="550"/>
      <c r="K391" s="550"/>
      <c r="L391" s="550"/>
      <c r="M391" s="550"/>
      <c r="N391" s="550"/>
      <c r="O391" s="550"/>
      <c r="P391" s="550"/>
      <c r="Q391" s="550"/>
      <c r="R391" s="550"/>
      <c r="S391" s="550"/>
      <c r="T391" s="551"/>
      <c r="U391" s="551"/>
      <c r="V391" s="551"/>
      <c r="W391" s="551"/>
      <c r="X391" s="551"/>
      <c r="Y391" s="551"/>
      <c r="Z391" s="551"/>
      <c r="AA391" s="551"/>
    </row>
    <row r="392">
      <c r="A392" s="574"/>
      <c r="B392" s="575"/>
      <c r="C392" s="575"/>
      <c r="D392" s="575"/>
      <c r="E392" s="576"/>
      <c r="F392" s="547"/>
      <c r="G392" s="547"/>
      <c r="H392" s="547"/>
      <c r="I392" s="573"/>
      <c r="J392" s="550"/>
      <c r="K392" s="550"/>
      <c r="L392" s="550"/>
      <c r="M392" s="550"/>
      <c r="N392" s="550"/>
      <c r="O392" s="550"/>
      <c r="P392" s="550"/>
      <c r="Q392" s="550"/>
      <c r="R392" s="550"/>
      <c r="S392" s="550"/>
      <c r="T392" s="551"/>
      <c r="U392" s="551"/>
      <c r="V392" s="551"/>
      <c r="W392" s="551"/>
      <c r="X392" s="551"/>
      <c r="Y392" s="551"/>
      <c r="Z392" s="551"/>
      <c r="AA392" s="551"/>
    </row>
    <row r="393">
      <c r="A393" s="574"/>
      <c r="B393" s="575"/>
      <c r="C393" s="575"/>
      <c r="D393" s="575"/>
      <c r="E393" s="576"/>
      <c r="F393" s="547"/>
      <c r="G393" s="547"/>
      <c r="H393" s="547"/>
      <c r="I393" s="573"/>
      <c r="J393" s="550"/>
      <c r="K393" s="550"/>
      <c r="L393" s="550"/>
      <c r="M393" s="550"/>
      <c r="N393" s="550"/>
      <c r="O393" s="550"/>
      <c r="P393" s="550"/>
      <c r="Q393" s="550"/>
      <c r="R393" s="550"/>
      <c r="S393" s="550"/>
      <c r="T393" s="551"/>
      <c r="U393" s="551"/>
      <c r="V393" s="551"/>
      <c r="W393" s="551"/>
      <c r="X393" s="551"/>
      <c r="Y393" s="551"/>
      <c r="Z393" s="551"/>
      <c r="AA393" s="551"/>
    </row>
    <row r="394">
      <c r="A394" s="574"/>
      <c r="B394" s="575"/>
      <c r="C394" s="575"/>
      <c r="D394" s="575"/>
      <c r="E394" s="576"/>
      <c r="F394" s="547"/>
      <c r="G394" s="547"/>
      <c r="H394" s="547"/>
      <c r="I394" s="573"/>
      <c r="J394" s="550"/>
      <c r="K394" s="550"/>
      <c r="L394" s="550"/>
      <c r="M394" s="550"/>
      <c r="N394" s="550"/>
      <c r="O394" s="550"/>
      <c r="P394" s="550"/>
      <c r="Q394" s="550"/>
      <c r="R394" s="550"/>
      <c r="S394" s="550"/>
      <c r="T394" s="551"/>
      <c r="U394" s="551"/>
      <c r="V394" s="551"/>
      <c r="W394" s="551"/>
      <c r="X394" s="551"/>
      <c r="Y394" s="551"/>
      <c r="Z394" s="551"/>
      <c r="AA394" s="551"/>
    </row>
    <row r="395">
      <c r="A395" s="574"/>
      <c r="B395" s="575"/>
      <c r="C395" s="575"/>
      <c r="D395" s="575"/>
      <c r="E395" s="576"/>
      <c r="F395" s="547"/>
      <c r="G395" s="547"/>
      <c r="H395" s="547"/>
      <c r="I395" s="573"/>
      <c r="J395" s="550"/>
      <c r="K395" s="550"/>
      <c r="L395" s="550"/>
      <c r="M395" s="550"/>
      <c r="N395" s="550"/>
      <c r="O395" s="550"/>
      <c r="P395" s="550"/>
      <c r="Q395" s="550"/>
      <c r="R395" s="550"/>
      <c r="S395" s="550"/>
      <c r="T395" s="551"/>
      <c r="U395" s="551"/>
      <c r="V395" s="551"/>
      <c r="W395" s="551"/>
      <c r="X395" s="551"/>
      <c r="Y395" s="551"/>
      <c r="Z395" s="551"/>
      <c r="AA395" s="551"/>
    </row>
    <row r="396">
      <c r="A396" s="574"/>
      <c r="B396" s="575"/>
      <c r="C396" s="575"/>
      <c r="D396" s="575"/>
      <c r="E396" s="576"/>
      <c r="F396" s="547"/>
      <c r="G396" s="547"/>
      <c r="H396" s="547"/>
      <c r="I396" s="573"/>
      <c r="J396" s="550"/>
      <c r="K396" s="550"/>
      <c r="L396" s="550"/>
      <c r="M396" s="550"/>
      <c r="N396" s="550"/>
      <c r="O396" s="550"/>
      <c r="P396" s="550"/>
      <c r="Q396" s="550"/>
      <c r="R396" s="550"/>
      <c r="S396" s="550"/>
      <c r="T396" s="551"/>
      <c r="U396" s="551"/>
      <c r="V396" s="551"/>
      <c r="W396" s="551"/>
      <c r="X396" s="551"/>
      <c r="Y396" s="551"/>
      <c r="Z396" s="551"/>
      <c r="AA396" s="551"/>
    </row>
    <row r="397">
      <c r="A397" s="574"/>
      <c r="B397" s="575"/>
      <c r="C397" s="575"/>
      <c r="D397" s="575"/>
      <c r="E397" s="576"/>
      <c r="F397" s="547"/>
      <c r="G397" s="547"/>
      <c r="H397" s="547"/>
      <c r="I397" s="573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1"/>
      <c r="U397" s="551"/>
      <c r="V397" s="551"/>
      <c r="W397" s="551"/>
      <c r="X397" s="551"/>
      <c r="Y397" s="551"/>
      <c r="Z397" s="551"/>
      <c r="AA397" s="551"/>
    </row>
    <row r="398">
      <c r="A398" s="574"/>
      <c r="B398" s="575"/>
      <c r="C398" s="575"/>
      <c r="D398" s="575"/>
      <c r="E398" s="576"/>
      <c r="F398" s="547"/>
      <c r="G398" s="547"/>
      <c r="H398" s="547"/>
      <c r="I398" s="573"/>
      <c r="J398" s="550"/>
      <c r="K398" s="550"/>
      <c r="L398" s="550"/>
      <c r="M398" s="550"/>
      <c r="N398" s="550"/>
      <c r="O398" s="550"/>
      <c r="P398" s="550"/>
      <c r="Q398" s="550"/>
      <c r="R398" s="550"/>
      <c r="S398" s="550"/>
      <c r="T398" s="551"/>
      <c r="U398" s="551"/>
      <c r="V398" s="551"/>
      <c r="W398" s="551"/>
      <c r="X398" s="551"/>
      <c r="Y398" s="551"/>
      <c r="Z398" s="551"/>
      <c r="AA398" s="551"/>
    </row>
    <row r="399">
      <c r="A399" s="574"/>
      <c r="B399" s="575"/>
      <c r="C399" s="575"/>
      <c r="D399" s="575"/>
      <c r="E399" s="576"/>
      <c r="F399" s="547"/>
      <c r="G399" s="547"/>
      <c r="H399" s="547"/>
      <c r="I399" s="573"/>
      <c r="J399" s="550"/>
      <c r="K399" s="550"/>
      <c r="L399" s="550"/>
      <c r="M399" s="550"/>
      <c r="N399" s="550"/>
      <c r="O399" s="550"/>
      <c r="P399" s="550"/>
      <c r="Q399" s="550"/>
      <c r="R399" s="550"/>
      <c r="S399" s="550"/>
      <c r="T399" s="551"/>
      <c r="U399" s="551"/>
      <c r="V399" s="551"/>
      <c r="W399" s="551"/>
      <c r="X399" s="551"/>
      <c r="Y399" s="551"/>
      <c r="Z399" s="551"/>
      <c r="AA399" s="551"/>
    </row>
    <row r="400">
      <c r="A400" s="574"/>
      <c r="B400" s="575"/>
      <c r="C400" s="575"/>
      <c r="D400" s="575"/>
      <c r="E400" s="576"/>
      <c r="F400" s="547"/>
      <c r="G400" s="547"/>
      <c r="H400" s="547"/>
      <c r="I400" s="573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1"/>
      <c r="U400" s="551"/>
      <c r="V400" s="551"/>
      <c r="W400" s="551"/>
      <c r="X400" s="551"/>
      <c r="Y400" s="551"/>
      <c r="Z400" s="551"/>
      <c r="AA400" s="551"/>
    </row>
    <row r="401">
      <c r="A401" s="574"/>
      <c r="B401" s="575"/>
      <c r="C401" s="575"/>
      <c r="D401" s="575"/>
      <c r="E401" s="576"/>
      <c r="F401" s="547"/>
      <c r="G401" s="547"/>
      <c r="H401" s="547"/>
      <c r="I401" s="573"/>
      <c r="J401" s="550"/>
      <c r="K401" s="550"/>
      <c r="L401" s="550"/>
      <c r="M401" s="550"/>
      <c r="N401" s="550"/>
      <c r="O401" s="550"/>
      <c r="P401" s="550"/>
      <c r="Q401" s="550"/>
      <c r="R401" s="550"/>
      <c r="S401" s="550"/>
      <c r="T401" s="551"/>
      <c r="U401" s="551"/>
      <c r="V401" s="551"/>
      <c r="W401" s="551"/>
      <c r="X401" s="551"/>
      <c r="Y401" s="551"/>
      <c r="Z401" s="551"/>
      <c r="AA401" s="551"/>
    </row>
    <row r="402">
      <c r="A402" s="574"/>
      <c r="B402" s="575"/>
      <c r="C402" s="575"/>
      <c r="D402" s="575"/>
      <c r="E402" s="576"/>
      <c r="F402" s="547"/>
      <c r="G402" s="547"/>
      <c r="H402" s="547"/>
      <c r="I402" s="573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1"/>
      <c r="U402" s="551"/>
      <c r="V402" s="551"/>
      <c r="W402" s="551"/>
      <c r="X402" s="551"/>
      <c r="Y402" s="551"/>
      <c r="Z402" s="551"/>
      <c r="AA402" s="551"/>
    </row>
    <row r="403">
      <c r="A403" s="574"/>
      <c r="B403" s="575"/>
      <c r="C403" s="575"/>
      <c r="D403" s="575"/>
      <c r="E403" s="576"/>
      <c r="F403" s="547"/>
      <c r="G403" s="547"/>
      <c r="H403" s="547"/>
      <c r="I403" s="573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1"/>
      <c r="U403" s="551"/>
      <c r="V403" s="551"/>
      <c r="W403" s="551"/>
      <c r="X403" s="551"/>
      <c r="Y403" s="551"/>
      <c r="Z403" s="551"/>
      <c r="AA403" s="551"/>
    </row>
    <row r="404">
      <c r="A404" s="574"/>
      <c r="B404" s="575"/>
      <c r="C404" s="575"/>
      <c r="D404" s="575"/>
      <c r="E404" s="576"/>
      <c r="F404" s="547"/>
      <c r="G404" s="547"/>
      <c r="H404" s="547"/>
      <c r="I404" s="573"/>
      <c r="J404" s="550"/>
      <c r="K404" s="550"/>
      <c r="L404" s="550"/>
      <c r="M404" s="550"/>
      <c r="N404" s="550"/>
      <c r="O404" s="550"/>
      <c r="P404" s="550"/>
      <c r="Q404" s="550"/>
      <c r="R404" s="550"/>
      <c r="S404" s="550"/>
      <c r="T404" s="551"/>
      <c r="U404" s="551"/>
      <c r="V404" s="551"/>
      <c r="W404" s="551"/>
      <c r="X404" s="551"/>
      <c r="Y404" s="551"/>
      <c r="Z404" s="551"/>
      <c r="AA404" s="551"/>
    </row>
    <row r="405">
      <c r="A405" s="574"/>
      <c r="B405" s="575"/>
      <c r="C405" s="575"/>
      <c r="D405" s="575"/>
      <c r="E405" s="576"/>
      <c r="F405" s="547"/>
      <c r="G405" s="547"/>
      <c r="H405" s="547"/>
      <c r="I405" s="573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1"/>
      <c r="U405" s="551"/>
      <c r="V405" s="551"/>
      <c r="W405" s="551"/>
      <c r="X405" s="551"/>
      <c r="Y405" s="551"/>
      <c r="Z405" s="551"/>
      <c r="AA405" s="551"/>
    </row>
    <row r="406">
      <c r="A406" s="574"/>
      <c r="B406" s="575"/>
      <c r="C406" s="575"/>
      <c r="D406" s="575"/>
      <c r="E406" s="576"/>
      <c r="F406" s="547"/>
      <c r="G406" s="547"/>
      <c r="H406" s="547"/>
      <c r="I406" s="573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1"/>
      <c r="U406" s="551"/>
      <c r="V406" s="551"/>
      <c r="W406" s="551"/>
      <c r="X406" s="551"/>
      <c r="Y406" s="551"/>
      <c r="Z406" s="551"/>
      <c r="AA406" s="551"/>
    </row>
    <row r="407">
      <c r="A407" s="574"/>
      <c r="B407" s="575"/>
      <c r="C407" s="575"/>
      <c r="D407" s="575"/>
      <c r="E407" s="576"/>
      <c r="F407" s="547"/>
      <c r="G407" s="547"/>
      <c r="H407" s="547"/>
      <c r="I407" s="573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1"/>
      <c r="U407" s="551"/>
      <c r="V407" s="551"/>
      <c r="W407" s="551"/>
      <c r="X407" s="551"/>
      <c r="Y407" s="551"/>
      <c r="Z407" s="551"/>
      <c r="AA407" s="551"/>
    </row>
    <row r="408">
      <c r="A408" s="574"/>
      <c r="B408" s="575"/>
      <c r="C408" s="575"/>
      <c r="D408" s="575"/>
      <c r="E408" s="576"/>
      <c r="F408" s="547"/>
      <c r="G408" s="547"/>
      <c r="H408" s="547"/>
      <c r="I408" s="573"/>
      <c r="J408" s="550"/>
      <c r="K408" s="550"/>
      <c r="L408" s="550"/>
      <c r="M408" s="550"/>
      <c r="N408" s="550"/>
      <c r="O408" s="550"/>
      <c r="P408" s="550"/>
      <c r="Q408" s="550"/>
      <c r="R408" s="550"/>
      <c r="S408" s="550"/>
      <c r="T408" s="551"/>
      <c r="U408" s="551"/>
      <c r="V408" s="551"/>
      <c r="W408" s="551"/>
      <c r="X408" s="551"/>
      <c r="Y408" s="551"/>
      <c r="Z408" s="551"/>
      <c r="AA408" s="551"/>
    </row>
    <row r="409">
      <c r="A409" s="574"/>
      <c r="B409" s="575"/>
      <c r="C409" s="575"/>
      <c r="D409" s="575"/>
      <c r="E409" s="576"/>
      <c r="F409" s="547"/>
      <c r="G409" s="547"/>
      <c r="H409" s="547"/>
      <c r="I409" s="573"/>
      <c r="J409" s="550"/>
      <c r="K409" s="550"/>
      <c r="L409" s="550"/>
      <c r="M409" s="550"/>
      <c r="N409" s="550"/>
      <c r="O409" s="550"/>
      <c r="P409" s="550"/>
      <c r="Q409" s="550"/>
      <c r="R409" s="550"/>
      <c r="S409" s="550"/>
      <c r="T409" s="551"/>
      <c r="U409" s="551"/>
      <c r="V409" s="551"/>
      <c r="W409" s="551"/>
      <c r="X409" s="551"/>
      <c r="Y409" s="551"/>
      <c r="Z409" s="551"/>
      <c r="AA409" s="551"/>
    </row>
    <row r="410">
      <c r="A410" s="574"/>
      <c r="B410" s="575"/>
      <c r="C410" s="575"/>
      <c r="D410" s="575"/>
      <c r="E410" s="576"/>
      <c r="F410" s="547"/>
      <c r="G410" s="547"/>
      <c r="H410" s="547"/>
      <c r="I410" s="573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1"/>
      <c r="U410" s="551"/>
      <c r="V410" s="551"/>
      <c r="W410" s="551"/>
      <c r="X410" s="551"/>
      <c r="Y410" s="551"/>
      <c r="Z410" s="551"/>
      <c r="AA410" s="551"/>
    </row>
    <row r="411">
      <c r="A411" s="574"/>
      <c r="B411" s="575"/>
      <c r="C411" s="575"/>
      <c r="D411" s="575"/>
      <c r="E411" s="576"/>
      <c r="F411" s="547"/>
      <c r="G411" s="547"/>
      <c r="H411" s="547"/>
      <c r="I411" s="573"/>
      <c r="J411" s="550"/>
      <c r="K411" s="550"/>
      <c r="L411" s="550"/>
      <c r="M411" s="550"/>
      <c r="N411" s="550"/>
      <c r="O411" s="550"/>
      <c r="P411" s="550"/>
      <c r="Q411" s="550"/>
      <c r="R411" s="550"/>
      <c r="S411" s="550"/>
      <c r="T411" s="551"/>
      <c r="U411" s="551"/>
      <c r="V411" s="551"/>
      <c r="W411" s="551"/>
      <c r="X411" s="551"/>
      <c r="Y411" s="551"/>
      <c r="Z411" s="551"/>
      <c r="AA411" s="551"/>
    </row>
    <row r="412">
      <c r="A412" s="574"/>
      <c r="B412" s="575"/>
      <c r="C412" s="575"/>
      <c r="D412" s="575"/>
      <c r="E412" s="576"/>
      <c r="F412" s="547"/>
      <c r="G412" s="547"/>
      <c r="H412" s="547"/>
      <c r="I412" s="573"/>
      <c r="J412" s="550"/>
      <c r="K412" s="550"/>
      <c r="L412" s="550"/>
      <c r="M412" s="550"/>
      <c r="N412" s="550"/>
      <c r="O412" s="550"/>
      <c r="P412" s="550"/>
      <c r="Q412" s="550"/>
      <c r="R412" s="550"/>
      <c r="S412" s="550"/>
      <c r="T412" s="551"/>
      <c r="U412" s="551"/>
      <c r="V412" s="551"/>
      <c r="W412" s="551"/>
      <c r="X412" s="551"/>
      <c r="Y412" s="551"/>
      <c r="Z412" s="551"/>
      <c r="AA412" s="551"/>
    </row>
    <row r="413">
      <c r="A413" s="574"/>
      <c r="B413" s="575"/>
      <c r="C413" s="575"/>
      <c r="D413" s="575"/>
      <c r="E413" s="576"/>
      <c r="F413" s="547"/>
      <c r="G413" s="547"/>
      <c r="H413" s="547"/>
      <c r="I413" s="573"/>
      <c r="J413" s="550"/>
      <c r="K413" s="550"/>
      <c r="L413" s="550"/>
      <c r="M413" s="550"/>
      <c r="N413" s="550"/>
      <c r="O413" s="550"/>
      <c r="P413" s="550"/>
      <c r="Q413" s="550"/>
      <c r="R413" s="550"/>
      <c r="S413" s="550"/>
      <c r="T413" s="551"/>
      <c r="U413" s="551"/>
      <c r="V413" s="551"/>
      <c r="W413" s="551"/>
      <c r="X413" s="551"/>
      <c r="Y413" s="551"/>
      <c r="Z413" s="551"/>
      <c r="AA413" s="551"/>
    </row>
    <row r="414">
      <c r="A414" s="574"/>
      <c r="B414" s="575"/>
      <c r="C414" s="575"/>
      <c r="D414" s="575"/>
      <c r="E414" s="576"/>
      <c r="F414" s="547"/>
      <c r="G414" s="547"/>
      <c r="H414" s="547"/>
      <c r="I414" s="573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1"/>
      <c r="U414" s="551"/>
      <c r="V414" s="551"/>
      <c r="W414" s="551"/>
      <c r="X414" s="551"/>
      <c r="Y414" s="551"/>
      <c r="Z414" s="551"/>
      <c r="AA414" s="551"/>
    </row>
    <row r="415">
      <c r="A415" s="574"/>
      <c r="B415" s="575"/>
      <c r="C415" s="575"/>
      <c r="D415" s="575"/>
      <c r="E415" s="576"/>
      <c r="F415" s="547"/>
      <c r="G415" s="547"/>
      <c r="H415" s="547"/>
      <c r="I415" s="573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1"/>
      <c r="U415" s="551"/>
      <c r="V415" s="551"/>
      <c r="W415" s="551"/>
      <c r="X415" s="551"/>
      <c r="Y415" s="551"/>
      <c r="Z415" s="551"/>
      <c r="AA415" s="551"/>
    </row>
    <row r="416">
      <c r="A416" s="574"/>
      <c r="B416" s="575"/>
      <c r="C416" s="575"/>
      <c r="D416" s="575"/>
      <c r="E416" s="576"/>
      <c r="F416" s="547"/>
      <c r="G416" s="547"/>
      <c r="H416" s="547"/>
      <c r="I416" s="573"/>
      <c r="J416" s="550"/>
      <c r="K416" s="550"/>
      <c r="L416" s="550"/>
      <c r="M416" s="550"/>
      <c r="N416" s="550"/>
      <c r="O416" s="550"/>
      <c r="P416" s="550"/>
      <c r="Q416" s="550"/>
      <c r="R416" s="550"/>
      <c r="S416" s="550"/>
      <c r="T416" s="551"/>
      <c r="U416" s="551"/>
      <c r="V416" s="551"/>
      <c r="W416" s="551"/>
      <c r="X416" s="551"/>
      <c r="Y416" s="551"/>
      <c r="Z416" s="551"/>
      <c r="AA416" s="551"/>
    </row>
    <row r="417">
      <c r="A417" s="574"/>
      <c r="B417" s="575"/>
      <c r="C417" s="575"/>
      <c r="D417" s="575"/>
      <c r="E417" s="576"/>
      <c r="F417" s="547"/>
      <c r="G417" s="547"/>
      <c r="H417" s="547"/>
      <c r="I417" s="573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1"/>
      <c r="U417" s="551"/>
      <c r="V417" s="551"/>
      <c r="W417" s="551"/>
      <c r="X417" s="551"/>
      <c r="Y417" s="551"/>
      <c r="Z417" s="551"/>
      <c r="AA417" s="551"/>
    </row>
    <row r="418">
      <c r="A418" s="574"/>
      <c r="B418" s="575"/>
      <c r="C418" s="575"/>
      <c r="D418" s="575"/>
      <c r="E418" s="576"/>
      <c r="F418" s="547"/>
      <c r="G418" s="547"/>
      <c r="H418" s="547"/>
      <c r="I418" s="573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1"/>
      <c r="U418" s="551"/>
      <c r="V418" s="551"/>
      <c r="W418" s="551"/>
      <c r="X418" s="551"/>
      <c r="Y418" s="551"/>
      <c r="Z418" s="551"/>
      <c r="AA418" s="551"/>
    </row>
    <row r="419">
      <c r="A419" s="574"/>
      <c r="B419" s="575"/>
      <c r="C419" s="575"/>
      <c r="D419" s="575"/>
      <c r="E419" s="576"/>
      <c r="F419" s="547"/>
      <c r="G419" s="547"/>
      <c r="H419" s="547"/>
      <c r="I419" s="573"/>
      <c r="J419" s="550"/>
      <c r="K419" s="550"/>
      <c r="L419" s="550"/>
      <c r="M419" s="550"/>
      <c r="N419" s="550"/>
      <c r="O419" s="550"/>
      <c r="P419" s="550"/>
      <c r="Q419" s="550"/>
      <c r="R419" s="550"/>
      <c r="S419" s="550"/>
      <c r="T419" s="551"/>
      <c r="U419" s="551"/>
      <c r="V419" s="551"/>
      <c r="W419" s="551"/>
      <c r="X419" s="551"/>
      <c r="Y419" s="551"/>
      <c r="Z419" s="551"/>
      <c r="AA419" s="551"/>
    </row>
    <row r="420">
      <c r="A420" s="574"/>
      <c r="B420" s="575"/>
      <c r="C420" s="575"/>
      <c r="D420" s="575"/>
      <c r="E420" s="576"/>
      <c r="F420" s="547"/>
      <c r="G420" s="547"/>
      <c r="H420" s="547"/>
      <c r="I420" s="573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1"/>
      <c r="U420" s="551"/>
      <c r="V420" s="551"/>
      <c r="W420" s="551"/>
      <c r="X420" s="551"/>
      <c r="Y420" s="551"/>
      <c r="Z420" s="551"/>
      <c r="AA420" s="551"/>
    </row>
    <row r="421">
      <c r="A421" s="574"/>
      <c r="B421" s="575"/>
      <c r="C421" s="575"/>
      <c r="D421" s="575"/>
      <c r="E421" s="576"/>
      <c r="F421" s="547"/>
      <c r="G421" s="547"/>
      <c r="H421" s="547"/>
      <c r="I421" s="573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1"/>
      <c r="U421" s="551"/>
      <c r="V421" s="551"/>
      <c r="W421" s="551"/>
      <c r="X421" s="551"/>
      <c r="Y421" s="551"/>
      <c r="Z421" s="551"/>
      <c r="AA421" s="551"/>
    </row>
    <row r="422">
      <c r="A422" s="574"/>
      <c r="B422" s="575"/>
      <c r="C422" s="575"/>
      <c r="D422" s="575"/>
      <c r="E422" s="576"/>
      <c r="F422" s="547"/>
      <c r="G422" s="547"/>
      <c r="H422" s="547"/>
      <c r="I422" s="573"/>
      <c r="J422" s="550"/>
      <c r="K422" s="550"/>
      <c r="L422" s="550"/>
      <c r="M422" s="550"/>
      <c r="N422" s="550"/>
      <c r="O422" s="550"/>
      <c r="P422" s="550"/>
      <c r="Q422" s="550"/>
      <c r="R422" s="550"/>
      <c r="S422" s="550"/>
      <c r="T422" s="551"/>
      <c r="U422" s="551"/>
      <c r="V422" s="551"/>
      <c r="W422" s="551"/>
      <c r="X422" s="551"/>
      <c r="Y422" s="551"/>
      <c r="Z422" s="551"/>
      <c r="AA422" s="551"/>
    </row>
    <row r="423">
      <c r="A423" s="574"/>
      <c r="B423" s="575"/>
      <c r="C423" s="575"/>
      <c r="D423" s="575"/>
      <c r="E423" s="576"/>
      <c r="F423" s="547"/>
      <c r="G423" s="547"/>
      <c r="H423" s="547"/>
      <c r="I423" s="573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1"/>
      <c r="U423" s="551"/>
      <c r="V423" s="551"/>
      <c r="W423" s="551"/>
      <c r="X423" s="551"/>
      <c r="Y423" s="551"/>
      <c r="Z423" s="551"/>
      <c r="AA423" s="551"/>
    </row>
    <row r="424">
      <c r="A424" s="574"/>
      <c r="B424" s="575"/>
      <c r="C424" s="575"/>
      <c r="D424" s="575"/>
      <c r="E424" s="576"/>
      <c r="F424" s="547"/>
      <c r="G424" s="547"/>
      <c r="H424" s="547"/>
      <c r="I424" s="573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1"/>
      <c r="U424" s="551"/>
      <c r="V424" s="551"/>
      <c r="W424" s="551"/>
      <c r="X424" s="551"/>
      <c r="Y424" s="551"/>
      <c r="Z424" s="551"/>
      <c r="AA424" s="551"/>
    </row>
    <row r="425">
      <c r="A425" s="574"/>
      <c r="B425" s="575"/>
      <c r="C425" s="575"/>
      <c r="D425" s="575"/>
      <c r="E425" s="576"/>
      <c r="F425" s="547"/>
      <c r="G425" s="547"/>
      <c r="H425" s="547"/>
      <c r="I425" s="573"/>
      <c r="J425" s="550"/>
      <c r="K425" s="550"/>
      <c r="L425" s="550"/>
      <c r="M425" s="550"/>
      <c r="N425" s="550"/>
      <c r="O425" s="550"/>
      <c r="P425" s="550"/>
      <c r="Q425" s="550"/>
      <c r="R425" s="550"/>
      <c r="S425" s="550"/>
      <c r="T425" s="551"/>
      <c r="U425" s="551"/>
      <c r="V425" s="551"/>
      <c r="W425" s="551"/>
      <c r="X425" s="551"/>
      <c r="Y425" s="551"/>
      <c r="Z425" s="551"/>
      <c r="AA425" s="551"/>
    </row>
    <row r="426">
      <c r="A426" s="574"/>
      <c r="B426" s="575"/>
      <c r="C426" s="575"/>
      <c r="D426" s="575"/>
      <c r="E426" s="576"/>
      <c r="F426" s="547"/>
      <c r="G426" s="547"/>
      <c r="H426" s="547"/>
      <c r="I426" s="573"/>
      <c r="J426" s="550"/>
      <c r="K426" s="550"/>
      <c r="L426" s="550"/>
      <c r="M426" s="550"/>
      <c r="N426" s="550"/>
      <c r="O426" s="550"/>
      <c r="P426" s="550"/>
      <c r="Q426" s="550"/>
      <c r="R426" s="550"/>
      <c r="S426" s="550"/>
      <c r="T426" s="551"/>
      <c r="U426" s="551"/>
      <c r="V426" s="551"/>
      <c r="W426" s="551"/>
      <c r="X426" s="551"/>
      <c r="Y426" s="551"/>
      <c r="Z426" s="551"/>
      <c r="AA426" s="551"/>
    </row>
    <row r="427">
      <c r="A427" s="574"/>
      <c r="B427" s="575"/>
      <c r="C427" s="575"/>
      <c r="D427" s="575"/>
      <c r="E427" s="576"/>
      <c r="F427" s="547"/>
      <c r="G427" s="547"/>
      <c r="H427" s="547"/>
      <c r="I427" s="573"/>
      <c r="J427" s="550"/>
      <c r="K427" s="550"/>
      <c r="L427" s="550"/>
      <c r="M427" s="550"/>
      <c r="N427" s="550"/>
      <c r="O427" s="550"/>
      <c r="P427" s="550"/>
      <c r="Q427" s="550"/>
      <c r="R427" s="550"/>
      <c r="S427" s="550"/>
      <c r="T427" s="551"/>
      <c r="U427" s="551"/>
      <c r="V427" s="551"/>
      <c r="W427" s="551"/>
      <c r="X427" s="551"/>
      <c r="Y427" s="551"/>
      <c r="Z427" s="551"/>
      <c r="AA427" s="551"/>
    </row>
    <row r="428">
      <c r="A428" s="574"/>
      <c r="B428" s="575"/>
      <c r="C428" s="575"/>
      <c r="D428" s="575"/>
      <c r="E428" s="576"/>
      <c r="F428" s="547"/>
      <c r="G428" s="547"/>
      <c r="H428" s="547"/>
      <c r="I428" s="573"/>
      <c r="J428" s="550"/>
      <c r="K428" s="550"/>
      <c r="L428" s="550"/>
      <c r="M428" s="550"/>
      <c r="N428" s="550"/>
      <c r="O428" s="550"/>
      <c r="P428" s="550"/>
      <c r="Q428" s="550"/>
      <c r="R428" s="550"/>
      <c r="S428" s="550"/>
      <c r="T428" s="551"/>
      <c r="U428" s="551"/>
      <c r="V428" s="551"/>
      <c r="W428" s="551"/>
      <c r="X428" s="551"/>
      <c r="Y428" s="551"/>
      <c r="Z428" s="551"/>
      <c r="AA428" s="551"/>
    </row>
    <row r="429">
      <c r="A429" s="574"/>
      <c r="B429" s="575"/>
      <c r="C429" s="575"/>
      <c r="D429" s="575"/>
      <c r="E429" s="576"/>
      <c r="F429" s="547"/>
      <c r="G429" s="547"/>
      <c r="H429" s="547"/>
      <c r="I429" s="573"/>
      <c r="J429" s="550"/>
      <c r="K429" s="550"/>
      <c r="L429" s="550"/>
      <c r="M429" s="550"/>
      <c r="N429" s="550"/>
      <c r="O429" s="550"/>
      <c r="P429" s="550"/>
      <c r="Q429" s="550"/>
      <c r="R429" s="550"/>
      <c r="S429" s="550"/>
      <c r="T429" s="551"/>
      <c r="U429" s="551"/>
      <c r="V429" s="551"/>
      <c r="W429" s="551"/>
      <c r="X429" s="551"/>
      <c r="Y429" s="551"/>
      <c r="Z429" s="551"/>
      <c r="AA429" s="551"/>
    </row>
    <row r="430">
      <c r="A430" s="574"/>
      <c r="B430" s="575"/>
      <c r="C430" s="575"/>
      <c r="D430" s="575"/>
      <c r="E430" s="576"/>
      <c r="F430" s="547"/>
      <c r="G430" s="547"/>
      <c r="H430" s="547"/>
      <c r="I430" s="573"/>
      <c r="J430" s="550"/>
      <c r="K430" s="550"/>
      <c r="L430" s="550"/>
      <c r="M430" s="550"/>
      <c r="N430" s="550"/>
      <c r="O430" s="550"/>
      <c r="P430" s="550"/>
      <c r="Q430" s="550"/>
      <c r="R430" s="550"/>
      <c r="S430" s="550"/>
      <c r="T430" s="551"/>
      <c r="U430" s="551"/>
      <c r="V430" s="551"/>
      <c r="W430" s="551"/>
      <c r="X430" s="551"/>
      <c r="Y430" s="551"/>
      <c r="Z430" s="551"/>
      <c r="AA430" s="551"/>
    </row>
    <row r="431">
      <c r="A431" s="574"/>
      <c r="B431" s="575"/>
      <c r="C431" s="575"/>
      <c r="D431" s="575"/>
      <c r="E431" s="576"/>
      <c r="F431" s="547"/>
      <c r="G431" s="547"/>
      <c r="H431" s="547"/>
      <c r="I431" s="573"/>
      <c r="J431" s="550"/>
      <c r="K431" s="550"/>
      <c r="L431" s="550"/>
      <c r="M431" s="550"/>
      <c r="N431" s="550"/>
      <c r="O431" s="550"/>
      <c r="P431" s="550"/>
      <c r="Q431" s="550"/>
      <c r="R431" s="550"/>
      <c r="S431" s="550"/>
      <c r="T431" s="551"/>
      <c r="U431" s="551"/>
      <c r="V431" s="551"/>
      <c r="W431" s="551"/>
      <c r="X431" s="551"/>
      <c r="Y431" s="551"/>
      <c r="Z431" s="551"/>
      <c r="AA431" s="551"/>
    </row>
    <row r="432">
      <c r="A432" s="574"/>
      <c r="B432" s="575"/>
      <c r="C432" s="575"/>
      <c r="D432" s="575"/>
      <c r="E432" s="576"/>
      <c r="F432" s="547"/>
      <c r="G432" s="547"/>
      <c r="H432" s="547"/>
      <c r="I432" s="573"/>
      <c r="J432" s="550"/>
      <c r="K432" s="550"/>
      <c r="L432" s="550"/>
      <c r="M432" s="550"/>
      <c r="N432" s="550"/>
      <c r="O432" s="550"/>
      <c r="P432" s="550"/>
      <c r="Q432" s="550"/>
      <c r="R432" s="550"/>
      <c r="S432" s="550"/>
      <c r="T432" s="551"/>
      <c r="U432" s="551"/>
      <c r="V432" s="551"/>
      <c r="W432" s="551"/>
      <c r="X432" s="551"/>
      <c r="Y432" s="551"/>
      <c r="Z432" s="551"/>
      <c r="AA432" s="551"/>
    </row>
    <row r="433">
      <c r="A433" s="574"/>
      <c r="B433" s="575"/>
      <c r="C433" s="575"/>
      <c r="D433" s="575"/>
      <c r="E433" s="576"/>
      <c r="F433" s="547"/>
      <c r="G433" s="547"/>
      <c r="H433" s="547"/>
      <c r="I433" s="573"/>
      <c r="J433" s="550"/>
      <c r="K433" s="550"/>
      <c r="L433" s="550"/>
      <c r="M433" s="550"/>
      <c r="N433" s="550"/>
      <c r="O433" s="550"/>
      <c r="P433" s="550"/>
      <c r="Q433" s="550"/>
      <c r="R433" s="550"/>
      <c r="S433" s="550"/>
      <c r="T433" s="551"/>
      <c r="U433" s="551"/>
      <c r="V433" s="551"/>
      <c r="W433" s="551"/>
      <c r="X433" s="551"/>
      <c r="Y433" s="551"/>
      <c r="Z433" s="551"/>
      <c r="AA433" s="551"/>
    </row>
    <row r="434">
      <c r="A434" s="574"/>
      <c r="B434" s="575"/>
      <c r="C434" s="575"/>
      <c r="D434" s="575"/>
      <c r="E434" s="576"/>
      <c r="F434" s="547"/>
      <c r="G434" s="547"/>
      <c r="H434" s="547"/>
      <c r="I434" s="573"/>
      <c r="J434" s="550"/>
      <c r="K434" s="550"/>
      <c r="L434" s="550"/>
      <c r="M434" s="550"/>
      <c r="N434" s="550"/>
      <c r="O434" s="550"/>
      <c r="P434" s="550"/>
      <c r="Q434" s="550"/>
      <c r="R434" s="550"/>
      <c r="S434" s="550"/>
      <c r="T434" s="551"/>
      <c r="U434" s="551"/>
      <c r="V434" s="551"/>
      <c r="W434" s="551"/>
      <c r="X434" s="551"/>
      <c r="Y434" s="551"/>
      <c r="Z434" s="551"/>
      <c r="AA434" s="551"/>
    </row>
    <row r="435">
      <c r="A435" s="574"/>
      <c r="B435" s="575"/>
      <c r="C435" s="575"/>
      <c r="D435" s="575"/>
      <c r="E435" s="576"/>
      <c r="F435" s="547"/>
      <c r="G435" s="547"/>
      <c r="H435" s="547"/>
      <c r="I435" s="573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1"/>
      <c r="U435" s="551"/>
      <c r="V435" s="551"/>
      <c r="W435" s="551"/>
      <c r="X435" s="551"/>
      <c r="Y435" s="551"/>
      <c r="Z435" s="551"/>
      <c r="AA435" s="551"/>
    </row>
    <row r="436">
      <c r="A436" s="574"/>
      <c r="B436" s="575"/>
      <c r="C436" s="575"/>
      <c r="D436" s="575"/>
      <c r="E436" s="576"/>
      <c r="F436" s="547"/>
      <c r="G436" s="547"/>
      <c r="H436" s="547"/>
      <c r="I436" s="573"/>
      <c r="J436" s="550"/>
      <c r="K436" s="550"/>
      <c r="L436" s="550"/>
      <c r="M436" s="550"/>
      <c r="N436" s="550"/>
      <c r="O436" s="550"/>
      <c r="P436" s="550"/>
      <c r="Q436" s="550"/>
      <c r="R436" s="550"/>
      <c r="S436" s="550"/>
      <c r="T436" s="551"/>
      <c r="U436" s="551"/>
      <c r="V436" s="551"/>
      <c r="W436" s="551"/>
      <c r="X436" s="551"/>
      <c r="Y436" s="551"/>
      <c r="Z436" s="551"/>
      <c r="AA436" s="551"/>
    </row>
    <row r="437">
      <c r="A437" s="574"/>
      <c r="B437" s="575"/>
      <c r="C437" s="575"/>
      <c r="D437" s="575"/>
      <c r="E437" s="576"/>
      <c r="F437" s="547"/>
      <c r="G437" s="547"/>
      <c r="H437" s="547"/>
      <c r="I437" s="573"/>
      <c r="J437" s="550"/>
      <c r="K437" s="550"/>
      <c r="L437" s="550"/>
      <c r="M437" s="550"/>
      <c r="N437" s="550"/>
      <c r="O437" s="550"/>
      <c r="P437" s="550"/>
      <c r="Q437" s="550"/>
      <c r="R437" s="550"/>
      <c r="S437" s="550"/>
      <c r="T437" s="551"/>
      <c r="U437" s="551"/>
      <c r="V437" s="551"/>
      <c r="W437" s="551"/>
      <c r="X437" s="551"/>
      <c r="Y437" s="551"/>
      <c r="Z437" s="551"/>
      <c r="AA437" s="551"/>
    </row>
    <row r="438">
      <c r="A438" s="574"/>
      <c r="B438" s="575"/>
      <c r="C438" s="575"/>
      <c r="D438" s="575"/>
      <c r="E438" s="576"/>
      <c r="F438" s="547"/>
      <c r="G438" s="547"/>
      <c r="H438" s="547"/>
      <c r="I438" s="573"/>
      <c r="J438" s="550"/>
      <c r="K438" s="550"/>
      <c r="L438" s="550"/>
      <c r="M438" s="550"/>
      <c r="N438" s="550"/>
      <c r="O438" s="550"/>
      <c r="P438" s="550"/>
      <c r="Q438" s="550"/>
      <c r="R438" s="550"/>
      <c r="S438" s="550"/>
      <c r="T438" s="551"/>
      <c r="U438" s="551"/>
      <c r="V438" s="551"/>
      <c r="W438" s="551"/>
      <c r="X438" s="551"/>
      <c r="Y438" s="551"/>
      <c r="Z438" s="551"/>
      <c r="AA438" s="551"/>
    </row>
    <row r="439">
      <c r="A439" s="574"/>
      <c r="B439" s="575"/>
      <c r="C439" s="575"/>
      <c r="D439" s="575"/>
      <c r="E439" s="576"/>
      <c r="F439" s="547"/>
      <c r="G439" s="547"/>
      <c r="H439" s="547"/>
      <c r="I439" s="573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1"/>
      <c r="U439" s="551"/>
      <c r="V439" s="551"/>
      <c r="W439" s="551"/>
      <c r="X439" s="551"/>
      <c r="Y439" s="551"/>
      <c r="Z439" s="551"/>
      <c r="AA439" s="551"/>
    </row>
    <row r="440">
      <c r="A440" s="574"/>
      <c r="B440" s="575"/>
      <c r="C440" s="575"/>
      <c r="D440" s="575"/>
      <c r="E440" s="576"/>
      <c r="F440" s="547"/>
      <c r="G440" s="547"/>
      <c r="H440" s="547"/>
      <c r="I440" s="573"/>
      <c r="J440" s="550"/>
      <c r="K440" s="550"/>
      <c r="L440" s="550"/>
      <c r="M440" s="550"/>
      <c r="N440" s="550"/>
      <c r="O440" s="550"/>
      <c r="P440" s="550"/>
      <c r="Q440" s="550"/>
      <c r="R440" s="550"/>
      <c r="S440" s="550"/>
      <c r="T440" s="551"/>
      <c r="U440" s="551"/>
      <c r="V440" s="551"/>
      <c r="W440" s="551"/>
      <c r="X440" s="551"/>
      <c r="Y440" s="551"/>
      <c r="Z440" s="551"/>
      <c r="AA440" s="551"/>
    </row>
    <row r="441">
      <c r="A441" s="574"/>
      <c r="B441" s="575"/>
      <c r="C441" s="575"/>
      <c r="D441" s="575"/>
      <c r="E441" s="576"/>
      <c r="F441" s="547"/>
      <c r="G441" s="547"/>
      <c r="H441" s="547"/>
      <c r="I441" s="573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1"/>
      <c r="U441" s="551"/>
      <c r="V441" s="551"/>
      <c r="W441" s="551"/>
      <c r="X441" s="551"/>
      <c r="Y441" s="551"/>
      <c r="Z441" s="551"/>
      <c r="AA441" s="551"/>
    </row>
    <row r="442">
      <c r="A442" s="574"/>
      <c r="B442" s="575"/>
      <c r="C442" s="575"/>
      <c r="D442" s="575"/>
      <c r="E442" s="576"/>
      <c r="F442" s="547"/>
      <c r="G442" s="547"/>
      <c r="H442" s="547"/>
      <c r="I442" s="573"/>
      <c r="J442" s="550"/>
      <c r="K442" s="550"/>
      <c r="L442" s="550"/>
      <c r="M442" s="550"/>
      <c r="N442" s="550"/>
      <c r="O442" s="550"/>
      <c r="P442" s="550"/>
      <c r="Q442" s="550"/>
      <c r="R442" s="550"/>
      <c r="S442" s="550"/>
      <c r="T442" s="551"/>
      <c r="U442" s="551"/>
      <c r="V442" s="551"/>
      <c r="W442" s="551"/>
      <c r="X442" s="551"/>
      <c r="Y442" s="551"/>
      <c r="Z442" s="551"/>
      <c r="AA442" s="551"/>
    </row>
    <row r="443">
      <c r="A443" s="574"/>
      <c r="B443" s="575"/>
      <c r="C443" s="575"/>
      <c r="D443" s="575"/>
      <c r="E443" s="576"/>
      <c r="F443" s="547"/>
      <c r="G443" s="547"/>
      <c r="H443" s="547"/>
      <c r="I443" s="573"/>
      <c r="J443" s="550"/>
      <c r="K443" s="550"/>
      <c r="L443" s="550"/>
      <c r="M443" s="550"/>
      <c r="N443" s="550"/>
      <c r="O443" s="550"/>
      <c r="P443" s="550"/>
      <c r="Q443" s="550"/>
      <c r="R443" s="550"/>
      <c r="S443" s="550"/>
      <c r="T443" s="551"/>
      <c r="U443" s="551"/>
      <c r="V443" s="551"/>
      <c r="W443" s="551"/>
      <c r="X443" s="551"/>
      <c r="Y443" s="551"/>
      <c r="Z443" s="551"/>
      <c r="AA443" s="551"/>
    </row>
    <row r="444">
      <c r="A444" s="574"/>
      <c r="B444" s="575"/>
      <c r="C444" s="575"/>
      <c r="D444" s="575"/>
      <c r="E444" s="576"/>
      <c r="F444" s="547"/>
      <c r="G444" s="547"/>
      <c r="H444" s="547"/>
      <c r="I444" s="573"/>
      <c r="J444" s="550"/>
      <c r="K444" s="550"/>
      <c r="L444" s="550"/>
      <c r="M444" s="550"/>
      <c r="N444" s="550"/>
      <c r="O444" s="550"/>
      <c r="P444" s="550"/>
      <c r="Q444" s="550"/>
      <c r="R444" s="550"/>
      <c r="S444" s="550"/>
      <c r="T444" s="551"/>
      <c r="U444" s="551"/>
      <c r="V444" s="551"/>
      <c r="W444" s="551"/>
      <c r="X444" s="551"/>
      <c r="Y444" s="551"/>
      <c r="Z444" s="551"/>
      <c r="AA444" s="551"/>
    </row>
    <row r="445">
      <c r="A445" s="574"/>
      <c r="B445" s="575"/>
      <c r="C445" s="575"/>
      <c r="D445" s="575"/>
      <c r="E445" s="576"/>
      <c r="F445" s="547"/>
      <c r="G445" s="547"/>
      <c r="H445" s="547"/>
      <c r="I445" s="573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1"/>
      <c r="U445" s="551"/>
      <c r="V445" s="551"/>
      <c r="W445" s="551"/>
      <c r="X445" s="551"/>
      <c r="Y445" s="551"/>
      <c r="Z445" s="551"/>
      <c r="AA445" s="551"/>
    </row>
    <row r="446">
      <c r="A446" s="574"/>
      <c r="B446" s="575"/>
      <c r="C446" s="575"/>
      <c r="D446" s="575"/>
      <c r="E446" s="576"/>
      <c r="F446" s="547"/>
      <c r="G446" s="547"/>
      <c r="H446" s="547"/>
      <c r="I446" s="573"/>
      <c r="J446" s="550"/>
      <c r="K446" s="550"/>
      <c r="L446" s="550"/>
      <c r="M446" s="550"/>
      <c r="N446" s="550"/>
      <c r="O446" s="550"/>
      <c r="P446" s="550"/>
      <c r="Q446" s="550"/>
      <c r="R446" s="550"/>
      <c r="S446" s="550"/>
      <c r="T446" s="551"/>
      <c r="U446" s="551"/>
      <c r="V446" s="551"/>
      <c r="W446" s="551"/>
      <c r="X446" s="551"/>
      <c r="Y446" s="551"/>
      <c r="Z446" s="551"/>
      <c r="AA446" s="551"/>
    </row>
    <row r="447">
      <c r="A447" s="574"/>
      <c r="B447" s="575"/>
      <c r="C447" s="575"/>
      <c r="D447" s="575"/>
      <c r="E447" s="576"/>
      <c r="F447" s="547"/>
      <c r="G447" s="547"/>
      <c r="H447" s="547"/>
      <c r="I447" s="573"/>
      <c r="J447" s="550"/>
      <c r="K447" s="550"/>
      <c r="L447" s="550"/>
      <c r="M447" s="550"/>
      <c r="N447" s="550"/>
      <c r="O447" s="550"/>
      <c r="P447" s="550"/>
      <c r="Q447" s="550"/>
      <c r="R447" s="550"/>
      <c r="S447" s="550"/>
      <c r="T447" s="551"/>
      <c r="U447" s="551"/>
      <c r="V447" s="551"/>
      <c r="W447" s="551"/>
      <c r="X447" s="551"/>
      <c r="Y447" s="551"/>
      <c r="Z447" s="551"/>
      <c r="AA447" s="551"/>
    </row>
    <row r="448">
      <c r="A448" s="574"/>
      <c r="B448" s="575"/>
      <c r="C448" s="575"/>
      <c r="D448" s="575"/>
      <c r="E448" s="576"/>
      <c r="F448" s="547"/>
      <c r="G448" s="547"/>
      <c r="H448" s="547"/>
      <c r="I448" s="573"/>
      <c r="J448" s="550"/>
      <c r="K448" s="550"/>
      <c r="L448" s="550"/>
      <c r="M448" s="550"/>
      <c r="N448" s="550"/>
      <c r="O448" s="550"/>
      <c r="P448" s="550"/>
      <c r="Q448" s="550"/>
      <c r="R448" s="550"/>
      <c r="S448" s="550"/>
      <c r="T448" s="551"/>
      <c r="U448" s="551"/>
      <c r="V448" s="551"/>
      <c r="W448" s="551"/>
      <c r="X448" s="551"/>
      <c r="Y448" s="551"/>
      <c r="Z448" s="551"/>
      <c r="AA448" s="551"/>
    </row>
    <row r="449">
      <c r="A449" s="574"/>
      <c r="B449" s="575"/>
      <c r="C449" s="575"/>
      <c r="D449" s="575"/>
      <c r="E449" s="576"/>
      <c r="F449" s="547"/>
      <c r="G449" s="547"/>
      <c r="H449" s="547"/>
      <c r="I449" s="573"/>
      <c r="J449" s="550"/>
      <c r="K449" s="550"/>
      <c r="L449" s="550"/>
      <c r="M449" s="550"/>
      <c r="N449" s="550"/>
      <c r="O449" s="550"/>
      <c r="P449" s="550"/>
      <c r="Q449" s="550"/>
      <c r="R449" s="550"/>
      <c r="S449" s="550"/>
      <c r="T449" s="551"/>
      <c r="U449" s="551"/>
      <c r="V449" s="551"/>
      <c r="W449" s="551"/>
      <c r="X449" s="551"/>
      <c r="Y449" s="551"/>
      <c r="Z449" s="551"/>
      <c r="AA449" s="551"/>
    </row>
    <row r="450">
      <c r="A450" s="574"/>
      <c r="B450" s="575"/>
      <c r="C450" s="575"/>
      <c r="D450" s="575"/>
      <c r="E450" s="576"/>
      <c r="F450" s="547"/>
      <c r="G450" s="547"/>
      <c r="H450" s="547"/>
      <c r="I450" s="573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1"/>
      <c r="U450" s="551"/>
      <c r="V450" s="551"/>
      <c r="W450" s="551"/>
      <c r="X450" s="551"/>
      <c r="Y450" s="551"/>
      <c r="Z450" s="551"/>
      <c r="AA450" s="551"/>
    </row>
    <row r="451">
      <c r="A451" s="574"/>
      <c r="B451" s="575"/>
      <c r="C451" s="575"/>
      <c r="D451" s="575"/>
      <c r="E451" s="576"/>
      <c r="F451" s="547"/>
      <c r="G451" s="547"/>
      <c r="H451" s="547"/>
      <c r="I451" s="573"/>
      <c r="J451" s="550"/>
      <c r="K451" s="550"/>
      <c r="L451" s="550"/>
      <c r="M451" s="550"/>
      <c r="N451" s="550"/>
      <c r="O451" s="550"/>
      <c r="P451" s="550"/>
      <c r="Q451" s="550"/>
      <c r="R451" s="550"/>
      <c r="S451" s="550"/>
      <c r="T451" s="551"/>
      <c r="U451" s="551"/>
      <c r="V451" s="551"/>
      <c r="W451" s="551"/>
      <c r="X451" s="551"/>
      <c r="Y451" s="551"/>
      <c r="Z451" s="551"/>
      <c r="AA451" s="551"/>
    </row>
    <row r="452">
      <c r="A452" s="574"/>
      <c r="B452" s="575"/>
      <c r="C452" s="575"/>
      <c r="D452" s="575"/>
      <c r="E452" s="576"/>
      <c r="F452" s="547"/>
      <c r="G452" s="547"/>
      <c r="H452" s="547"/>
      <c r="I452" s="573"/>
      <c r="J452" s="550"/>
      <c r="K452" s="550"/>
      <c r="L452" s="550"/>
      <c r="M452" s="550"/>
      <c r="N452" s="550"/>
      <c r="O452" s="550"/>
      <c r="P452" s="550"/>
      <c r="Q452" s="550"/>
      <c r="R452" s="550"/>
      <c r="S452" s="550"/>
      <c r="T452" s="551"/>
      <c r="U452" s="551"/>
      <c r="V452" s="551"/>
      <c r="W452" s="551"/>
      <c r="X452" s="551"/>
      <c r="Y452" s="551"/>
      <c r="Z452" s="551"/>
      <c r="AA452" s="551"/>
    </row>
    <row r="453">
      <c r="A453" s="574"/>
      <c r="B453" s="575"/>
      <c r="C453" s="575"/>
      <c r="D453" s="575"/>
      <c r="E453" s="576"/>
      <c r="F453" s="547"/>
      <c r="G453" s="547"/>
      <c r="H453" s="547"/>
      <c r="I453" s="573"/>
      <c r="J453" s="550"/>
      <c r="K453" s="550"/>
      <c r="L453" s="550"/>
      <c r="M453" s="550"/>
      <c r="N453" s="550"/>
      <c r="O453" s="550"/>
      <c r="P453" s="550"/>
      <c r="Q453" s="550"/>
      <c r="R453" s="550"/>
      <c r="S453" s="550"/>
      <c r="T453" s="551"/>
      <c r="U453" s="551"/>
      <c r="V453" s="551"/>
      <c r="W453" s="551"/>
      <c r="X453" s="551"/>
      <c r="Y453" s="551"/>
      <c r="Z453" s="551"/>
      <c r="AA453" s="551"/>
    </row>
    <row r="454">
      <c r="A454" s="574"/>
      <c r="B454" s="575"/>
      <c r="C454" s="575"/>
      <c r="D454" s="575"/>
      <c r="E454" s="576"/>
      <c r="F454" s="547"/>
      <c r="G454" s="547"/>
      <c r="H454" s="547"/>
      <c r="I454" s="573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1"/>
      <c r="U454" s="551"/>
      <c r="V454" s="551"/>
      <c r="W454" s="551"/>
      <c r="X454" s="551"/>
      <c r="Y454" s="551"/>
      <c r="Z454" s="551"/>
      <c r="AA454" s="551"/>
    </row>
    <row r="455">
      <c r="A455" s="574"/>
      <c r="B455" s="575"/>
      <c r="C455" s="575"/>
      <c r="D455" s="575"/>
      <c r="E455" s="576"/>
      <c r="F455" s="547"/>
      <c r="G455" s="547"/>
      <c r="H455" s="547"/>
      <c r="I455" s="573"/>
      <c r="J455" s="550"/>
      <c r="K455" s="550"/>
      <c r="L455" s="550"/>
      <c r="M455" s="550"/>
      <c r="N455" s="550"/>
      <c r="O455" s="550"/>
      <c r="P455" s="550"/>
      <c r="Q455" s="550"/>
      <c r="R455" s="550"/>
      <c r="S455" s="550"/>
      <c r="T455" s="551"/>
      <c r="U455" s="551"/>
      <c r="V455" s="551"/>
      <c r="W455" s="551"/>
      <c r="X455" s="551"/>
      <c r="Y455" s="551"/>
      <c r="Z455" s="551"/>
      <c r="AA455" s="551"/>
    </row>
    <row r="456">
      <c r="A456" s="574"/>
      <c r="B456" s="575"/>
      <c r="C456" s="575"/>
      <c r="D456" s="575"/>
      <c r="E456" s="576"/>
      <c r="F456" s="547"/>
      <c r="G456" s="547"/>
      <c r="H456" s="547"/>
      <c r="I456" s="573"/>
      <c r="J456" s="550"/>
      <c r="K456" s="550"/>
      <c r="L456" s="550"/>
      <c r="M456" s="550"/>
      <c r="N456" s="550"/>
      <c r="O456" s="550"/>
      <c r="P456" s="550"/>
      <c r="Q456" s="550"/>
      <c r="R456" s="550"/>
      <c r="S456" s="550"/>
      <c r="T456" s="551"/>
      <c r="U456" s="551"/>
      <c r="V456" s="551"/>
      <c r="W456" s="551"/>
      <c r="X456" s="551"/>
      <c r="Y456" s="551"/>
      <c r="Z456" s="551"/>
      <c r="AA456" s="551"/>
    </row>
    <row r="457">
      <c r="A457" s="574"/>
      <c r="B457" s="575"/>
      <c r="C457" s="575"/>
      <c r="D457" s="575"/>
      <c r="E457" s="576"/>
      <c r="F457" s="547"/>
      <c r="G457" s="547"/>
      <c r="H457" s="547"/>
      <c r="I457" s="573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1"/>
      <c r="U457" s="551"/>
      <c r="V457" s="551"/>
      <c r="W457" s="551"/>
      <c r="X457" s="551"/>
      <c r="Y457" s="551"/>
      <c r="Z457" s="551"/>
      <c r="AA457" s="551"/>
    </row>
    <row r="458">
      <c r="A458" s="574"/>
      <c r="B458" s="575"/>
      <c r="C458" s="575"/>
      <c r="D458" s="575"/>
      <c r="E458" s="576"/>
      <c r="F458" s="547"/>
      <c r="G458" s="547"/>
      <c r="H458" s="547"/>
      <c r="I458" s="573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1"/>
      <c r="U458" s="551"/>
      <c r="V458" s="551"/>
      <c r="W458" s="551"/>
      <c r="X458" s="551"/>
      <c r="Y458" s="551"/>
      <c r="Z458" s="551"/>
      <c r="AA458" s="551"/>
    </row>
    <row r="459">
      <c r="A459" s="574"/>
      <c r="B459" s="575"/>
      <c r="C459" s="575"/>
      <c r="D459" s="575"/>
      <c r="E459" s="576"/>
      <c r="F459" s="547"/>
      <c r="G459" s="547"/>
      <c r="H459" s="547"/>
      <c r="I459" s="573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1"/>
      <c r="U459" s="551"/>
      <c r="V459" s="551"/>
      <c r="W459" s="551"/>
      <c r="X459" s="551"/>
      <c r="Y459" s="551"/>
      <c r="Z459" s="551"/>
      <c r="AA459" s="551"/>
    </row>
    <row r="460">
      <c r="A460" s="574"/>
      <c r="B460" s="575"/>
      <c r="C460" s="575"/>
      <c r="D460" s="575"/>
      <c r="E460" s="576"/>
      <c r="F460" s="547"/>
      <c r="G460" s="547"/>
      <c r="H460" s="547"/>
      <c r="I460" s="573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1"/>
      <c r="U460" s="551"/>
      <c r="V460" s="551"/>
      <c r="W460" s="551"/>
      <c r="X460" s="551"/>
      <c r="Y460" s="551"/>
      <c r="Z460" s="551"/>
      <c r="AA460" s="551"/>
    </row>
    <row r="461">
      <c r="A461" s="574"/>
      <c r="B461" s="575"/>
      <c r="C461" s="575"/>
      <c r="D461" s="575"/>
      <c r="E461" s="576"/>
      <c r="F461" s="547"/>
      <c r="G461" s="547"/>
      <c r="H461" s="547"/>
      <c r="I461" s="573"/>
      <c r="J461" s="550"/>
      <c r="K461" s="550"/>
      <c r="L461" s="550"/>
      <c r="M461" s="550"/>
      <c r="N461" s="550"/>
      <c r="O461" s="550"/>
      <c r="P461" s="550"/>
      <c r="Q461" s="550"/>
      <c r="R461" s="550"/>
      <c r="S461" s="550"/>
      <c r="T461" s="551"/>
      <c r="U461" s="551"/>
      <c r="V461" s="551"/>
      <c r="W461" s="551"/>
      <c r="X461" s="551"/>
      <c r="Y461" s="551"/>
      <c r="Z461" s="551"/>
      <c r="AA461" s="551"/>
    </row>
    <row r="462">
      <c r="A462" s="574"/>
      <c r="B462" s="575"/>
      <c r="C462" s="575"/>
      <c r="D462" s="575"/>
      <c r="E462" s="576"/>
      <c r="F462" s="547"/>
      <c r="G462" s="547"/>
      <c r="H462" s="547"/>
      <c r="I462" s="573"/>
      <c r="J462" s="550"/>
      <c r="K462" s="550"/>
      <c r="L462" s="550"/>
      <c r="M462" s="550"/>
      <c r="N462" s="550"/>
      <c r="O462" s="550"/>
      <c r="P462" s="550"/>
      <c r="Q462" s="550"/>
      <c r="R462" s="550"/>
      <c r="S462" s="550"/>
      <c r="T462" s="551"/>
      <c r="U462" s="551"/>
      <c r="V462" s="551"/>
      <c r="W462" s="551"/>
      <c r="X462" s="551"/>
      <c r="Y462" s="551"/>
      <c r="Z462" s="551"/>
      <c r="AA462" s="551"/>
    </row>
    <row r="463">
      <c r="A463" s="574"/>
      <c r="B463" s="575"/>
      <c r="C463" s="575"/>
      <c r="D463" s="575"/>
      <c r="E463" s="576"/>
      <c r="F463" s="547"/>
      <c r="G463" s="547"/>
      <c r="H463" s="547"/>
      <c r="I463" s="573"/>
      <c r="J463" s="550"/>
      <c r="K463" s="550"/>
      <c r="L463" s="550"/>
      <c r="M463" s="550"/>
      <c r="N463" s="550"/>
      <c r="O463" s="550"/>
      <c r="P463" s="550"/>
      <c r="Q463" s="550"/>
      <c r="R463" s="550"/>
      <c r="S463" s="550"/>
      <c r="T463" s="551"/>
      <c r="U463" s="551"/>
      <c r="V463" s="551"/>
      <c r="W463" s="551"/>
      <c r="X463" s="551"/>
      <c r="Y463" s="551"/>
      <c r="Z463" s="551"/>
      <c r="AA463" s="551"/>
    </row>
    <row r="464">
      <c r="A464" s="574"/>
      <c r="B464" s="575"/>
      <c r="C464" s="575"/>
      <c r="D464" s="575"/>
      <c r="E464" s="576"/>
      <c r="F464" s="547"/>
      <c r="G464" s="547"/>
      <c r="H464" s="547"/>
      <c r="I464" s="573"/>
      <c r="J464" s="550"/>
      <c r="K464" s="550"/>
      <c r="L464" s="550"/>
      <c r="M464" s="550"/>
      <c r="N464" s="550"/>
      <c r="O464" s="550"/>
      <c r="P464" s="550"/>
      <c r="Q464" s="550"/>
      <c r="R464" s="550"/>
      <c r="S464" s="550"/>
      <c r="T464" s="551"/>
      <c r="U464" s="551"/>
      <c r="V464" s="551"/>
      <c r="W464" s="551"/>
      <c r="X464" s="551"/>
      <c r="Y464" s="551"/>
      <c r="Z464" s="551"/>
      <c r="AA464" s="551"/>
    </row>
    <row r="465">
      <c r="A465" s="574"/>
      <c r="B465" s="575"/>
      <c r="C465" s="575"/>
      <c r="D465" s="575"/>
      <c r="E465" s="576"/>
      <c r="F465" s="547"/>
      <c r="G465" s="547"/>
      <c r="H465" s="547"/>
      <c r="I465" s="573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1"/>
      <c r="U465" s="551"/>
      <c r="V465" s="551"/>
      <c r="W465" s="551"/>
      <c r="X465" s="551"/>
      <c r="Y465" s="551"/>
      <c r="Z465" s="551"/>
      <c r="AA465" s="551"/>
    </row>
    <row r="466">
      <c r="A466" s="574"/>
      <c r="B466" s="575"/>
      <c r="C466" s="575"/>
      <c r="D466" s="575"/>
      <c r="E466" s="576"/>
      <c r="F466" s="547"/>
      <c r="G466" s="547"/>
      <c r="H466" s="547"/>
      <c r="I466" s="573"/>
      <c r="J466" s="550"/>
      <c r="K466" s="550"/>
      <c r="L466" s="550"/>
      <c r="M466" s="550"/>
      <c r="N466" s="550"/>
      <c r="O466" s="550"/>
      <c r="P466" s="550"/>
      <c r="Q466" s="550"/>
      <c r="R466" s="550"/>
      <c r="S466" s="550"/>
      <c r="T466" s="551"/>
      <c r="U466" s="551"/>
      <c r="V466" s="551"/>
      <c r="W466" s="551"/>
      <c r="X466" s="551"/>
      <c r="Y466" s="551"/>
      <c r="Z466" s="551"/>
      <c r="AA466" s="551"/>
    </row>
    <row r="467">
      <c r="A467" s="574"/>
      <c r="B467" s="575"/>
      <c r="C467" s="575"/>
      <c r="D467" s="575"/>
      <c r="E467" s="576"/>
      <c r="F467" s="547"/>
      <c r="G467" s="547"/>
      <c r="H467" s="547"/>
      <c r="I467" s="573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1"/>
      <c r="U467" s="551"/>
      <c r="V467" s="551"/>
      <c r="W467" s="551"/>
      <c r="X467" s="551"/>
      <c r="Y467" s="551"/>
      <c r="Z467" s="551"/>
      <c r="AA467" s="551"/>
    </row>
    <row r="468">
      <c r="A468" s="574"/>
      <c r="B468" s="575"/>
      <c r="C468" s="575"/>
      <c r="D468" s="575"/>
      <c r="E468" s="576"/>
      <c r="F468" s="547"/>
      <c r="G468" s="547"/>
      <c r="H468" s="547"/>
      <c r="I468" s="573"/>
      <c r="J468" s="550"/>
      <c r="K468" s="550"/>
      <c r="L468" s="550"/>
      <c r="M468" s="550"/>
      <c r="N468" s="550"/>
      <c r="O468" s="550"/>
      <c r="P468" s="550"/>
      <c r="Q468" s="550"/>
      <c r="R468" s="550"/>
      <c r="S468" s="550"/>
      <c r="T468" s="551"/>
      <c r="U468" s="551"/>
      <c r="V468" s="551"/>
      <c r="W468" s="551"/>
      <c r="X468" s="551"/>
      <c r="Y468" s="551"/>
      <c r="Z468" s="551"/>
      <c r="AA468" s="551"/>
    </row>
    <row r="469">
      <c r="A469" s="574"/>
      <c r="B469" s="575"/>
      <c r="C469" s="575"/>
      <c r="D469" s="575"/>
      <c r="E469" s="576"/>
      <c r="F469" s="547"/>
      <c r="G469" s="547"/>
      <c r="H469" s="547"/>
      <c r="I469" s="573"/>
      <c r="J469" s="550"/>
      <c r="K469" s="550"/>
      <c r="L469" s="550"/>
      <c r="M469" s="550"/>
      <c r="N469" s="550"/>
      <c r="O469" s="550"/>
      <c r="P469" s="550"/>
      <c r="Q469" s="550"/>
      <c r="R469" s="550"/>
      <c r="S469" s="550"/>
      <c r="T469" s="551"/>
      <c r="U469" s="551"/>
      <c r="V469" s="551"/>
      <c r="W469" s="551"/>
      <c r="X469" s="551"/>
      <c r="Y469" s="551"/>
      <c r="Z469" s="551"/>
      <c r="AA469" s="551"/>
    </row>
    <row r="470">
      <c r="A470" s="574"/>
      <c r="B470" s="575"/>
      <c r="C470" s="575"/>
      <c r="D470" s="575"/>
      <c r="E470" s="576"/>
      <c r="F470" s="547"/>
      <c r="G470" s="547"/>
      <c r="H470" s="547"/>
      <c r="I470" s="573"/>
      <c r="J470" s="550"/>
      <c r="K470" s="550"/>
      <c r="L470" s="550"/>
      <c r="M470" s="550"/>
      <c r="N470" s="550"/>
      <c r="O470" s="550"/>
      <c r="P470" s="550"/>
      <c r="Q470" s="550"/>
      <c r="R470" s="550"/>
      <c r="S470" s="550"/>
      <c r="T470" s="551"/>
      <c r="U470" s="551"/>
      <c r="V470" s="551"/>
      <c r="W470" s="551"/>
      <c r="X470" s="551"/>
      <c r="Y470" s="551"/>
      <c r="Z470" s="551"/>
      <c r="AA470" s="551"/>
    </row>
    <row r="471">
      <c r="A471" s="574"/>
      <c r="B471" s="575"/>
      <c r="C471" s="575"/>
      <c r="D471" s="575"/>
      <c r="E471" s="576"/>
      <c r="F471" s="547"/>
      <c r="G471" s="547"/>
      <c r="H471" s="547"/>
      <c r="I471" s="573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1"/>
      <c r="U471" s="551"/>
      <c r="V471" s="551"/>
      <c r="W471" s="551"/>
      <c r="X471" s="551"/>
      <c r="Y471" s="551"/>
      <c r="Z471" s="551"/>
      <c r="AA471" s="551"/>
    </row>
    <row r="472">
      <c r="A472" s="574"/>
      <c r="B472" s="575"/>
      <c r="C472" s="575"/>
      <c r="D472" s="575"/>
      <c r="E472" s="576"/>
      <c r="F472" s="547"/>
      <c r="G472" s="547"/>
      <c r="H472" s="547"/>
      <c r="I472" s="573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1"/>
      <c r="U472" s="551"/>
      <c r="V472" s="551"/>
      <c r="W472" s="551"/>
      <c r="X472" s="551"/>
      <c r="Y472" s="551"/>
      <c r="Z472" s="551"/>
      <c r="AA472" s="551"/>
    </row>
    <row r="473">
      <c r="A473" s="574"/>
      <c r="B473" s="575"/>
      <c r="C473" s="575"/>
      <c r="D473" s="575"/>
      <c r="E473" s="576"/>
      <c r="F473" s="547"/>
      <c r="G473" s="547"/>
      <c r="H473" s="547"/>
      <c r="I473" s="573"/>
      <c r="J473" s="550"/>
      <c r="K473" s="550"/>
      <c r="L473" s="550"/>
      <c r="M473" s="550"/>
      <c r="N473" s="550"/>
      <c r="O473" s="550"/>
      <c r="P473" s="550"/>
      <c r="Q473" s="550"/>
      <c r="R473" s="550"/>
      <c r="S473" s="550"/>
      <c r="T473" s="551"/>
      <c r="U473" s="551"/>
      <c r="V473" s="551"/>
      <c r="W473" s="551"/>
      <c r="X473" s="551"/>
      <c r="Y473" s="551"/>
      <c r="Z473" s="551"/>
      <c r="AA473" s="551"/>
    </row>
    <row r="474">
      <c r="A474" s="574"/>
      <c r="B474" s="575"/>
      <c r="C474" s="575"/>
      <c r="D474" s="575"/>
      <c r="E474" s="576"/>
      <c r="F474" s="547"/>
      <c r="G474" s="547"/>
      <c r="H474" s="547"/>
      <c r="I474" s="573"/>
      <c r="J474" s="550"/>
      <c r="K474" s="550"/>
      <c r="L474" s="550"/>
      <c r="M474" s="550"/>
      <c r="N474" s="550"/>
      <c r="O474" s="550"/>
      <c r="P474" s="550"/>
      <c r="Q474" s="550"/>
      <c r="R474" s="550"/>
      <c r="S474" s="550"/>
      <c r="T474" s="551"/>
      <c r="U474" s="551"/>
      <c r="V474" s="551"/>
      <c r="W474" s="551"/>
      <c r="X474" s="551"/>
      <c r="Y474" s="551"/>
      <c r="Z474" s="551"/>
      <c r="AA474" s="551"/>
    </row>
    <row r="475">
      <c r="A475" s="574"/>
      <c r="B475" s="575"/>
      <c r="C475" s="575"/>
      <c r="D475" s="575"/>
      <c r="E475" s="576"/>
      <c r="F475" s="547"/>
      <c r="G475" s="547"/>
      <c r="H475" s="547"/>
      <c r="I475" s="573"/>
      <c r="J475" s="550"/>
      <c r="K475" s="550"/>
      <c r="L475" s="550"/>
      <c r="M475" s="550"/>
      <c r="N475" s="550"/>
      <c r="O475" s="550"/>
      <c r="P475" s="550"/>
      <c r="Q475" s="550"/>
      <c r="R475" s="550"/>
      <c r="S475" s="550"/>
      <c r="T475" s="551"/>
      <c r="U475" s="551"/>
      <c r="V475" s="551"/>
      <c r="W475" s="551"/>
      <c r="X475" s="551"/>
      <c r="Y475" s="551"/>
      <c r="Z475" s="551"/>
      <c r="AA475" s="551"/>
    </row>
    <row r="476">
      <c r="A476" s="574"/>
      <c r="B476" s="575"/>
      <c r="C476" s="575"/>
      <c r="D476" s="575"/>
      <c r="E476" s="576"/>
      <c r="F476" s="547"/>
      <c r="G476" s="547"/>
      <c r="H476" s="547"/>
      <c r="I476" s="573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1"/>
      <c r="U476" s="551"/>
      <c r="V476" s="551"/>
      <c r="W476" s="551"/>
      <c r="X476" s="551"/>
      <c r="Y476" s="551"/>
      <c r="Z476" s="551"/>
      <c r="AA476" s="551"/>
    </row>
    <row r="477">
      <c r="A477" s="574"/>
      <c r="B477" s="575"/>
      <c r="C477" s="575"/>
      <c r="D477" s="575"/>
      <c r="E477" s="576"/>
      <c r="F477" s="547"/>
      <c r="G477" s="547"/>
      <c r="H477" s="547"/>
      <c r="I477" s="573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1"/>
      <c r="U477" s="551"/>
      <c r="V477" s="551"/>
      <c r="W477" s="551"/>
      <c r="X477" s="551"/>
      <c r="Y477" s="551"/>
      <c r="Z477" s="551"/>
      <c r="AA477" s="551"/>
    </row>
    <row r="478">
      <c r="A478" s="574"/>
      <c r="B478" s="575"/>
      <c r="C478" s="575"/>
      <c r="D478" s="575"/>
      <c r="E478" s="576"/>
      <c r="F478" s="547"/>
      <c r="G478" s="547"/>
      <c r="H478" s="547"/>
      <c r="I478" s="573"/>
      <c r="J478" s="550"/>
      <c r="K478" s="550"/>
      <c r="L478" s="550"/>
      <c r="M478" s="550"/>
      <c r="N478" s="550"/>
      <c r="O478" s="550"/>
      <c r="P478" s="550"/>
      <c r="Q478" s="550"/>
      <c r="R478" s="550"/>
      <c r="S478" s="550"/>
      <c r="T478" s="551"/>
      <c r="U478" s="551"/>
      <c r="V478" s="551"/>
      <c r="W478" s="551"/>
      <c r="X478" s="551"/>
      <c r="Y478" s="551"/>
      <c r="Z478" s="551"/>
      <c r="AA478" s="551"/>
    </row>
    <row r="479">
      <c r="A479" s="574"/>
      <c r="B479" s="575"/>
      <c r="C479" s="575"/>
      <c r="D479" s="575"/>
      <c r="E479" s="576"/>
      <c r="F479" s="547"/>
      <c r="G479" s="547"/>
      <c r="H479" s="547"/>
      <c r="I479" s="573"/>
      <c r="J479" s="550"/>
      <c r="K479" s="550"/>
      <c r="L479" s="550"/>
      <c r="M479" s="550"/>
      <c r="N479" s="550"/>
      <c r="O479" s="550"/>
      <c r="P479" s="550"/>
      <c r="Q479" s="550"/>
      <c r="R479" s="550"/>
      <c r="S479" s="550"/>
      <c r="T479" s="551"/>
      <c r="U479" s="551"/>
      <c r="V479" s="551"/>
      <c r="W479" s="551"/>
      <c r="X479" s="551"/>
      <c r="Y479" s="551"/>
      <c r="Z479" s="551"/>
      <c r="AA479" s="551"/>
    </row>
    <row r="480">
      <c r="A480" s="574"/>
      <c r="B480" s="575"/>
      <c r="C480" s="575"/>
      <c r="D480" s="575"/>
      <c r="E480" s="576"/>
      <c r="F480" s="547"/>
      <c r="G480" s="547"/>
      <c r="H480" s="547"/>
      <c r="I480" s="573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1"/>
      <c r="U480" s="551"/>
      <c r="V480" s="551"/>
      <c r="W480" s="551"/>
      <c r="X480" s="551"/>
      <c r="Y480" s="551"/>
      <c r="Z480" s="551"/>
      <c r="AA480" s="551"/>
    </row>
    <row r="481">
      <c r="A481" s="574"/>
      <c r="B481" s="575"/>
      <c r="C481" s="575"/>
      <c r="D481" s="575"/>
      <c r="E481" s="576"/>
      <c r="F481" s="547"/>
      <c r="G481" s="547"/>
      <c r="H481" s="547"/>
      <c r="I481" s="573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1"/>
      <c r="U481" s="551"/>
      <c r="V481" s="551"/>
      <c r="W481" s="551"/>
      <c r="X481" s="551"/>
      <c r="Y481" s="551"/>
      <c r="Z481" s="551"/>
      <c r="AA481" s="551"/>
    </row>
    <row r="482">
      <c r="A482" s="574"/>
      <c r="B482" s="575"/>
      <c r="C482" s="575"/>
      <c r="D482" s="575"/>
      <c r="E482" s="576"/>
      <c r="F482" s="547"/>
      <c r="G482" s="547"/>
      <c r="H482" s="547"/>
      <c r="I482" s="573"/>
      <c r="J482" s="550"/>
      <c r="K482" s="550"/>
      <c r="L482" s="550"/>
      <c r="M482" s="550"/>
      <c r="N482" s="550"/>
      <c r="O482" s="550"/>
      <c r="P482" s="550"/>
      <c r="Q482" s="550"/>
      <c r="R482" s="550"/>
      <c r="S482" s="550"/>
      <c r="T482" s="551"/>
      <c r="U482" s="551"/>
      <c r="V482" s="551"/>
      <c r="W482" s="551"/>
      <c r="X482" s="551"/>
      <c r="Y482" s="551"/>
      <c r="Z482" s="551"/>
      <c r="AA482" s="551"/>
    </row>
    <row r="483">
      <c r="A483" s="574"/>
      <c r="B483" s="575"/>
      <c r="C483" s="575"/>
      <c r="D483" s="575"/>
      <c r="E483" s="576"/>
      <c r="F483" s="547"/>
      <c r="G483" s="547"/>
      <c r="H483" s="547"/>
      <c r="I483" s="573"/>
      <c r="J483" s="550"/>
      <c r="K483" s="550"/>
      <c r="L483" s="550"/>
      <c r="M483" s="550"/>
      <c r="N483" s="550"/>
      <c r="O483" s="550"/>
      <c r="P483" s="550"/>
      <c r="Q483" s="550"/>
      <c r="R483" s="550"/>
      <c r="S483" s="550"/>
      <c r="T483" s="551"/>
      <c r="U483" s="551"/>
      <c r="V483" s="551"/>
      <c r="W483" s="551"/>
      <c r="X483" s="551"/>
      <c r="Y483" s="551"/>
      <c r="Z483" s="551"/>
      <c r="AA483" s="551"/>
    </row>
    <row r="484">
      <c r="A484" s="574"/>
      <c r="B484" s="575"/>
      <c r="C484" s="575"/>
      <c r="D484" s="575"/>
      <c r="E484" s="576"/>
      <c r="F484" s="547"/>
      <c r="G484" s="547"/>
      <c r="H484" s="547"/>
      <c r="I484" s="573"/>
      <c r="J484" s="550"/>
      <c r="K484" s="550"/>
      <c r="L484" s="550"/>
      <c r="M484" s="550"/>
      <c r="N484" s="550"/>
      <c r="O484" s="550"/>
      <c r="P484" s="550"/>
      <c r="Q484" s="550"/>
      <c r="R484" s="550"/>
      <c r="S484" s="550"/>
      <c r="T484" s="551"/>
      <c r="U484" s="551"/>
      <c r="V484" s="551"/>
      <c r="W484" s="551"/>
      <c r="X484" s="551"/>
      <c r="Y484" s="551"/>
      <c r="Z484" s="551"/>
      <c r="AA484" s="551"/>
    </row>
    <row r="485">
      <c r="A485" s="574"/>
      <c r="B485" s="575"/>
      <c r="C485" s="575"/>
      <c r="D485" s="575"/>
      <c r="E485" s="576"/>
      <c r="F485" s="547"/>
      <c r="G485" s="547"/>
      <c r="H485" s="547"/>
      <c r="I485" s="573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1"/>
      <c r="U485" s="551"/>
      <c r="V485" s="551"/>
      <c r="W485" s="551"/>
      <c r="X485" s="551"/>
      <c r="Y485" s="551"/>
      <c r="Z485" s="551"/>
      <c r="AA485" s="551"/>
    </row>
    <row r="486">
      <c r="A486" s="574"/>
      <c r="B486" s="575"/>
      <c r="C486" s="575"/>
      <c r="D486" s="575"/>
      <c r="E486" s="576"/>
      <c r="F486" s="547"/>
      <c r="G486" s="547"/>
      <c r="H486" s="547"/>
      <c r="I486" s="573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1"/>
      <c r="U486" s="551"/>
      <c r="V486" s="551"/>
      <c r="W486" s="551"/>
      <c r="X486" s="551"/>
      <c r="Y486" s="551"/>
      <c r="Z486" s="551"/>
      <c r="AA486" s="551"/>
    </row>
    <row r="487">
      <c r="A487" s="574"/>
      <c r="B487" s="575"/>
      <c r="C487" s="575"/>
      <c r="D487" s="575"/>
      <c r="E487" s="576"/>
      <c r="F487" s="547"/>
      <c r="G487" s="547"/>
      <c r="H487" s="547"/>
      <c r="I487" s="573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1"/>
      <c r="U487" s="551"/>
      <c r="V487" s="551"/>
      <c r="W487" s="551"/>
      <c r="X487" s="551"/>
      <c r="Y487" s="551"/>
      <c r="Z487" s="551"/>
      <c r="AA487" s="551"/>
    </row>
    <row r="488">
      <c r="A488" s="574"/>
      <c r="B488" s="575"/>
      <c r="C488" s="575"/>
      <c r="D488" s="575"/>
      <c r="E488" s="576"/>
      <c r="F488" s="547"/>
      <c r="G488" s="547"/>
      <c r="H488" s="547"/>
      <c r="I488" s="573"/>
      <c r="J488" s="550"/>
      <c r="K488" s="550"/>
      <c r="L488" s="550"/>
      <c r="M488" s="550"/>
      <c r="N488" s="550"/>
      <c r="O488" s="550"/>
      <c r="P488" s="550"/>
      <c r="Q488" s="550"/>
      <c r="R488" s="550"/>
      <c r="S488" s="550"/>
      <c r="T488" s="551"/>
      <c r="U488" s="551"/>
      <c r="V488" s="551"/>
      <c r="W488" s="551"/>
      <c r="X488" s="551"/>
      <c r="Y488" s="551"/>
      <c r="Z488" s="551"/>
      <c r="AA488" s="551"/>
    </row>
    <row r="489">
      <c r="A489" s="574"/>
      <c r="B489" s="575"/>
      <c r="C489" s="575"/>
      <c r="D489" s="575"/>
      <c r="E489" s="576"/>
      <c r="F489" s="547"/>
      <c r="G489" s="547"/>
      <c r="H489" s="547"/>
      <c r="I489" s="573"/>
      <c r="J489" s="550"/>
      <c r="K489" s="550"/>
      <c r="L489" s="550"/>
      <c r="M489" s="550"/>
      <c r="N489" s="550"/>
      <c r="O489" s="550"/>
      <c r="P489" s="550"/>
      <c r="Q489" s="550"/>
      <c r="R489" s="550"/>
      <c r="S489" s="550"/>
      <c r="T489" s="551"/>
      <c r="U489" s="551"/>
      <c r="V489" s="551"/>
      <c r="W489" s="551"/>
      <c r="X489" s="551"/>
      <c r="Y489" s="551"/>
      <c r="Z489" s="551"/>
      <c r="AA489" s="551"/>
    </row>
    <row r="490">
      <c r="A490" s="574"/>
      <c r="B490" s="575"/>
      <c r="C490" s="575"/>
      <c r="D490" s="575"/>
      <c r="E490" s="576"/>
      <c r="F490" s="547"/>
      <c r="G490" s="547"/>
      <c r="H490" s="547"/>
      <c r="I490" s="573"/>
      <c r="J490" s="550"/>
      <c r="K490" s="550"/>
      <c r="L490" s="550"/>
      <c r="M490" s="550"/>
      <c r="N490" s="550"/>
      <c r="O490" s="550"/>
      <c r="P490" s="550"/>
      <c r="Q490" s="550"/>
      <c r="R490" s="550"/>
      <c r="S490" s="550"/>
      <c r="T490" s="551"/>
      <c r="U490" s="551"/>
      <c r="V490" s="551"/>
      <c r="W490" s="551"/>
      <c r="X490" s="551"/>
      <c r="Y490" s="551"/>
      <c r="Z490" s="551"/>
      <c r="AA490" s="551"/>
    </row>
    <row r="491">
      <c r="A491" s="574"/>
      <c r="B491" s="575"/>
      <c r="C491" s="575"/>
      <c r="D491" s="575"/>
      <c r="E491" s="576"/>
      <c r="F491" s="547"/>
      <c r="G491" s="547"/>
      <c r="H491" s="547"/>
      <c r="I491" s="573"/>
      <c r="J491" s="550"/>
      <c r="K491" s="550"/>
      <c r="L491" s="550"/>
      <c r="M491" s="550"/>
      <c r="N491" s="550"/>
      <c r="O491" s="550"/>
      <c r="P491" s="550"/>
      <c r="Q491" s="550"/>
      <c r="R491" s="550"/>
      <c r="S491" s="550"/>
      <c r="T491" s="551"/>
      <c r="U491" s="551"/>
      <c r="V491" s="551"/>
      <c r="W491" s="551"/>
      <c r="X491" s="551"/>
      <c r="Y491" s="551"/>
      <c r="Z491" s="551"/>
      <c r="AA491" s="551"/>
    </row>
    <row r="492">
      <c r="A492" s="574"/>
      <c r="B492" s="575"/>
      <c r="C492" s="575"/>
      <c r="D492" s="575"/>
      <c r="E492" s="576"/>
      <c r="F492" s="547"/>
      <c r="G492" s="547"/>
      <c r="H492" s="547"/>
      <c r="I492" s="573"/>
      <c r="J492" s="550"/>
      <c r="K492" s="550"/>
      <c r="L492" s="550"/>
      <c r="M492" s="550"/>
      <c r="N492" s="550"/>
      <c r="O492" s="550"/>
      <c r="P492" s="550"/>
      <c r="Q492" s="550"/>
      <c r="R492" s="550"/>
      <c r="S492" s="550"/>
      <c r="T492" s="551"/>
      <c r="U492" s="551"/>
      <c r="V492" s="551"/>
      <c r="W492" s="551"/>
      <c r="X492" s="551"/>
      <c r="Y492" s="551"/>
      <c r="Z492" s="551"/>
      <c r="AA492" s="551"/>
    </row>
    <row r="493">
      <c r="A493" s="574"/>
      <c r="B493" s="575"/>
      <c r="C493" s="575"/>
      <c r="D493" s="575"/>
      <c r="E493" s="576"/>
      <c r="F493" s="547"/>
      <c r="G493" s="547"/>
      <c r="H493" s="547"/>
      <c r="I493" s="573"/>
      <c r="J493" s="550"/>
      <c r="K493" s="550"/>
      <c r="L493" s="550"/>
      <c r="M493" s="550"/>
      <c r="N493" s="550"/>
      <c r="O493" s="550"/>
      <c r="P493" s="550"/>
      <c r="Q493" s="550"/>
      <c r="R493" s="550"/>
      <c r="S493" s="550"/>
      <c r="T493" s="551"/>
      <c r="U493" s="551"/>
      <c r="V493" s="551"/>
      <c r="W493" s="551"/>
      <c r="X493" s="551"/>
      <c r="Y493" s="551"/>
      <c r="Z493" s="551"/>
      <c r="AA493" s="551"/>
    </row>
    <row r="494">
      <c r="A494" s="574"/>
      <c r="B494" s="575"/>
      <c r="C494" s="575"/>
      <c r="D494" s="575"/>
      <c r="E494" s="576"/>
      <c r="F494" s="547"/>
      <c r="G494" s="547"/>
      <c r="H494" s="547"/>
      <c r="I494" s="573"/>
      <c r="J494" s="550"/>
      <c r="K494" s="550"/>
      <c r="L494" s="550"/>
      <c r="M494" s="550"/>
      <c r="N494" s="550"/>
      <c r="O494" s="550"/>
      <c r="P494" s="550"/>
      <c r="Q494" s="550"/>
      <c r="R494" s="550"/>
      <c r="S494" s="550"/>
      <c r="T494" s="551"/>
      <c r="U494" s="551"/>
      <c r="V494" s="551"/>
      <c r="W494" s="551"/>
      <c r="X494" s="551"/>
      <c r="Y494" s="551"/>
      <c r="Z494" s="551"/>
      <c r="AA494" s="551"/>
    </row>
    <row r="495">
      <c r="A495" s="574"/>
      <c r="B495" s="575"/>
      <c r="C495" s="575"/>
      <c r="D495" s="575"/>
      <c r="E495" s="576"/>
      <c r="F495" s="547"/>
      <c r="G495" s="547"/>
      <c r="H495" s="547"/>
      <c r="I495" s="573"/>
      <c r="J495" s="550"/>
      <c r="K495" s="550"/>
      <c r="L495" s="550"/>
      <c r="M495" s="550"/>
      <c r="N495" s="550"/>
      <c r="O495" s="550"/>
      <c r="P495" s="550"/>
      <c r="Q495" s="550"/>
      <c r="R495" s="550"/>
      <c r="S495" s="550"/>
      <c r="T495" s="551"/>
      <c r="U495" s="551"/>
      <c r="V495" s="551"/>
      <c r="W495" s="551"/>
      <c r="X495" s="551"/>
      <c r="Y495" s="551"/>
      <c r="Z495" s="551"/>
      <c r="AA495" s="551"/>
    </row>
    <row r="496">
      <c r="A496" s="574"/>
      <c r="B496" s="575"/>
      <c r="C496" s="575"/>
      <c r="D496" s="575"/>
      <c r="E496" s="576"/>
      <c r="F496" s="547"/>
      <c r="G496" s="547"/>
      <c r="H496" s="547"/>
      <c r="I496" s="573"/>
      <c r="J496" s="550"/>
      <c r="K496" s="550"/>
      <c r="L496" s="550"/>
      <c r="M496" s="550"/>
      <c r="N496" s="550"/>
      <c r="O496" s="550"/>
      <c r="P496" s="550"/>
      <c r="Q496" s="550"/>
      <c r="R496" s="550"/>
      <c r="S496" s="550"/>
      <c r="T496" s="551"/>
      <c r="U496" s="551"/>
      <c r="V496" s="551"/>
      <c r="W496" s="551"/>
      <c r="X496" s="551"/>
      <c r="Y496" s="551"/>
      <c r="Z496" s="551"/>
      <c r="AA496" s="551"/>
    </row>
    <row r="497">
      <c r="A497" s="574"/>
      <c r="B497" s="575"/>
      <c r="C497" s="575"/>
      <c r="D497" s="575"/>
      <c r="E497" s="576"/>
      <c r="F497" s="547"/>
      <c r="G497" s="547"/>
      <c r="H497" s="547"/>
      <c r="I497" s="573"/>
      <c r="J497" s="550"/>
      <c r="K497" s="550"/>
      <c r="L497" s="550"/>
      <c r="M497" s="550"/>
      <c r="N497" s="550"/>
      <c r="O497" s="550"/>
      <c r="P497" s="550"/>
      <c r="Q497" s="550"/>
      <c r="R497" s="550"/>
      <c r="S497" s="550"/>
      <c r="T497" s="551"/>
      <c r="U497" s="551"/>
      <c r="V497" s="551"/>
      <c r="W497" s="551"/>
      <c r="X497" s="551"/>
      <c r="Y497" s="551"/>
      <c r="Z497" s="551"/>
      <c r="AA497" s="551"/>
    </row>
    <row r="498">
      <c r="A498" s="574"/>
      <c r="B498" s="575"/>
      <c r="C498" s="575"/>
      <c r="D498" s="575"/>
      <c r="E498" s="576"/>
      <c r="F498" s="547"/>
      <c r="G498" s="547"/>
      <c r="H498" s="547"/>
      <c r="I498" s="573"/>
      <c r="J498" s="550"/>
      <c r="K498" s="550"/>
      <c r="L498" s="550"/>
      <c r="M498" s="550"/>
      <c r="N498" s="550"/>
      <c r="O498" s="550"/>
      <c r="P498" s="550"/>
      <c r="Q498" s="550"/>
      <c r="R498" s="550"/>
      <c r="S498" s="550"/>
      <c r="T498" s="551"/>
      <c r="U498" s="551"/>
      <c r="V498" s="551"/>
      <c r="W498" s="551"/>
      <c r="X498" s="551"/>
      <c r="Y498" s="551"/>
      <c r="Z498" s="551"/>
      <c r="AA498" s="551"/>
    </row>
    <row r="499">
      <c r="A499" s="574"/>
      <c r="B499" s="575"/>
      <c r="C499" s="575"/>
      <c r="D499" s="575"/>
      <c r="E499" s="576"/>
      <c r="F499" s="547"/>
      <c r="G499" s="547"/>
      <c r="H499" s="547"/>
      <c r="I499" s="573"/>
      <c r="J499" s="550"/>
      <c r="K499" s="550"/>
      <c r="L499" s="550"/>
      <c r="M499" s="550"/>
      <c r="N499" s="550"/>
      <c r="O499" s="550"/>
      <c r="P499" s="550"/>
      <c r="Q499" s="550"/>
      <c r="R499" s="550"/>
      <c r="S499" s="550"/>
      <c r="T499" s="551"/>
      <c r="U499" s="551"/>
      <c r="V499" s="551"/>
      <c r="W499" s="551"/>
      <c r="X499" s="551"/>
      <c r="Y499" s="551"/>
      <c r="Z499" s="551"/>
      <c r="AA499" s="551"/>
    </row>
    <row r="500">
      <c r="A500" s="574"/>
      <c r="B500" s="575"/>
      <c r="C500" s="575"/>
      <c r="D500" s="575"/>
      <c r="E500" s="576"/>
      <c r="F500" s="547"/>
      <c r="G500" s="547"/>
      <c r="H500" s="547"/>
      <c r="I500" s="573"/>
      <c r="J500" s="550"/>
      <c r="K500" s="550"/>
      <c r="L500" s="550"/>
      <c r="M500" s="550"/>
      <c r="N500" s="550"/>
      <c r="O500" s="550"/>
      <c r="P500" s="550"/>
      <c r="Q500" s="550"/>
      <c r="R500" s="550"/>
      <c r="S500" s="550"/>
      <c r="T500" s="551"/>
      <c r="U500" s="551"/>
      <c r="V500" s="551"/>
      <c r="W500" s="551"/>
      <c r="X500" s="551"/>
      <c r="Y500" s="551"/>
      <c r="Z500" s="551"/>
      <c r="AA500" s="551"/>
    </row>
    <row r="501">
      <c r="A501" s="574"/>
      <c r="B501" s="575"/>
      <c r="C501" s="575"/>
      <c r="D501" s="575"/>
      <c r="E501" s="576"/>
      <c r="F501" s="547"/>
      <c r="G501" s="547"/>
      <c r="H501" s="547"/>
      <c r="I501" s="573"/>
      <c r="J501" s="550"/>
      <c r="K501" s="550"/>
      <c r="L501" s="550"/>
      <c r="M501" s="550"/>
      <c r="N501" s="550"/>
      <c r="O501" s="550"/>
      <c r="P501" s="550"/>
      <c r="Q501" s="550"/>
      <c r="R501" s="550"/>
      <c r="S501" s="550"/>
      <c r="T501" s="551"/>
      <c r="U501" s="551"/>
      <c r="V501" s="551"/>
      <c r="W501" s="551"/>
      <c r="X501" s="551"/>
      <c r="Y501" s="551"/>
      <c r="Z501" s="551"/>
      <c r="AA501" s="551"/>
    </row>
    <row r="502">
      <c r="A502" s="574"/>
      <c r="B502" s="575"/>
      <c r="C502" s="575"/>
      <c r="D502" s="575"/>
      <c r="E502" s="576"/>
      <c r="F502" s="547"/>
      <c r="G502" s="547"/>
      <c r="H502" s="547"/>
      <c r="I502" s="573"/>
      <c r="J502" s="550"/>
      <c r="K502" s="550"/>
      <c r="L502" s="550"/>
      <c r="M502" s="550"/>
      <c r="N502" s="550"/>
      <c r="O502" s="550"/>
      <c r="P502" s="550"/>
      <c r="Q502" s="550"/>
      <c r="R502" s="550"/>
      <c r="S502" s="550"/>
      <c r="T502" s="551"/>
      <c r="U502" s="551"/>
      <c r="V502" s="551"/>
      <c r="W502" s="551"/>
      <c r="X502" s="551"/>
      <c r="Y502" s="551"/>
      <c r="Z502" s="551"/>
      <c r="AA502" s="551"/>
    </row>
    <row r="503">
      <c r="A503" s="574"/>
      <c r="B503" s="575"/>
      <c r="C503" s="575"/>
      <c r="D503" s="575"/>
      <c r="E503" s="576"/>
      <c r="F503" s="547"/>
      <c r="G503" s="547"/>
      <c r="H503" s="547"/>
      <c r="I503" s="573"/>
      <c r="J503" s="550"/>
      <c r="K503" s="550"/>
      <c r="L503" s="550"/>
      <c r="M503" s="550"/>
      <c r="N503" s="550"/>
      <c r="O503" s="550"/>
      <c r="P503" s="550"/>
      <c r="Q503" s="550"/>
      <c r="R503" s="550"/>
      <c r="S503" s="550"/>
      <c r="T503" s="551"/>
      <c r="U503" s="551"/>
      <c r="V503" s="551"/>
      <c r="W503" s="551"/>
      <c r="X503" s="551"/>
      <c r="Y503" s="551"/>
      <c r="Z503" s="551"/>
      <c r="AA503" s="551"/>
    </row>
    <row r="504">
      <c r="A504" s="574"/>
      <c r="B504" s="575"/>
      <c r="C504" s="575"/>
      <c r="D504" s="575"/>
      <c r="E504" s="576"/>
      <c r="F504" s="547"/>
      <c r="G504" s="547"/>
      <c r="H504" s="547"/>
      <c r="I504" s="573"/>
      <c r="J504" s="550"/>
      <c r="K504" s="550"/>
      <c r="L504" s="550"/>
      <c r="M504" s="550"/>
      <c r="N504" s="550"/>
      <c r="O504" s="550"/>
      <c r="P504" s="550"/>
      <c r="Q504" s="550"/>
      <c r="R504" s="550"/>
      <c r="S504" s="550"/>
      <c r="T504" s="551"/>
      <c r="U504" s="551"/>
      <c r="V504" s="551"/>
      <c r="W504" s="551"/>
      <c r="X504" s="551"/>
      <c r="Y504" s="551"/>
      <c r="Z504" s="551"/>
      <c r="AA504" s="551"/>
    </row>
    <row r="505">
      <c r="A505" s="574"/>
      <c r="B505" s="575"/>
      <c r="C505" s="575"/>
      <c r="D505" s="575"/>
      <c r="E505" s="576"/>
      <c r="F505" s="547"/>
      <c r="G505" s="547"/>
      <c r="H505" s="547"/>
      <c r="I505" s="573"/>
      <c r="J505" s="550"/>
      <c r="K505" s="550"/>
      <c r="L505" s="550"/>
      <c r="M505" s="550"/>
      <c r="N505" s="550"/>
      <c r="O505" s="550"/>
      <c r="P505" s="550"/>
      <c r="Q505" s="550"/>
      <c r="R505" s="550"/>
      <c r="S505" s="550"/>
      <c r="T505" s="551"/>
      <c r="U505" s="551"/>
      <c r="V505" s="551"/>
      <c r="W505" s="551"/>
      <c r="X505" s="551"/>
      <c r="Y505" s="551"/>
      <c r="Z505" s="551"/>
      <c r="AA505" s="551"/>
    </row>
    <row r="506">
      <c r="A506" s="574"/>
      <c r="B506" s="575"/>
      <c r="C506" s="575"/>
      <c r="D506" s="575"/>
      <c r="E506" s="576"/>
      <c r="F506" s="547"/>
      <c r="G506" s="547"/>
      <c r="H506" s="547"/>
      <c r="I506" s="573"/>
      <c r="J506" s="550"/>
      <c r="K506" s="550"/>
      <c r="L506" s="550"/>
      <c r="M506" s="550"/>
      <c r="N506" s="550"/>
      <c r="O506" s="550"/>
      <c r="P506" s="550"/>
      <c r="Q506" s="550"/>
      <c r="R506" s="550"/>
      <c r="S506" s="550"/>
      <c r="T506" s="551"/>
      <c r="U506" s="551"/>
      <c r="V506" s="551"/>
      <c r="W506" s="551"/>
      <c r="X506" s="551"/>
      <c r="Y506" s="551"/>
      <c r="Z506" s="551"/>
      <c r="AA506" s="551"/>
    </row>
    <row r="507">
      <c r="A507" s="574"/>
      <c r="B507" s="575"/>
      <c r="C507" s="575"/>
      <c r="D507" s="575"/>
      <c r="E507" s="576"/>
      <c r="F507" s="547"/>
      <c r="G507" s="547"/>
      <c r="H507" s="547"/>
      <c r="I507" s="573"/>
      <c r="J507" s="550"/>
      <c r="K507" s="550"/>
      <c r="L507" s="550"/>
      <c r="M507" s="550"/>
      <c r="N507" s="550"/>
      <c r="O507" s="550"/>
      <c r="P507" s="550"/>
      <c r="Q507" s="550"/>
      <c r="R507" s="550"/>
      <c r="S507" s="550"/>
      <c r="T507" s="551"/>
      <c r="U507" s="551"/>
      <c r="V507" s="551"/>
      <c r="W507" s="551"/>
      <c r="X507" s="551"/>
      <c r="Y507" s="551"/>
      <c r="Z507" s="551"/>
      <c r="AA507" s="551"/>
    </row>
    <row r="508">
      <c r="A508" s="574"/>
      <c r="B508" s="575"/>
      <c r="C508" s="575"/>
      <c r="D508" s="575"/>
      <c r="E508" s="576"/>
      <c r="F508" s="547"/>
      <c r="G508" s="547"/>
      <c r="H508" s="547"/>
      <c r="I508" s="573"/>
      <c r="J508" s="550"/>
      <c r="K508" s="550"/>
      <c r="L508" s="550"/>
      <c r="M508" s="550"/>
      <c r="N508" s="550"/>
      <c r="O508" s="550"/>
      <c r="P508" s="550"/>
      <c r="Q508" s="550"/>
      <c r="R508" s="550"/>
      <c r="S508" s="550"/>
      <c r="T508" s="551"/>
      <c r="U508" s="551"/>
      <c r="V508" s="551"/>
      <c r="W508" s="551"/>
      <c r="X508" s="551"/>
      <c r="Y508" s="551"/>
      <c r="Z508" s="551"/>
      <c r="AA508" s="551"/>
    </row>
    <row r="509">
      <c r="A509" s="574"/>
      <c r="B509" s="575"/>
      <c r="C509" s="575"/>
      <c r="D509" s="575"/>
      <c r="E509" s="576"/>
      <c r="F509" s="547"/>
      <c r="G509" s="547"/>
      <c r="H509" s="547"/>
      <c r="I509" s="573"/>
      <c r="J509" s="550"/>
      <c r="K509" s="550"/>
      <c r="L509" s="550"/>
      <c r="M509" s="550"/>
      <c r="N509" s="550"/>
      <c r="O509" s="550"/>
      <c r="P509" s="550"/>
      <c r="Q509" s="550"/>
      <c r="R509" s="550"/>
      <c r="S509" s="550"/>
      <c r="T509" s="551"/>
      <c r="U509" s="551"/>
      <c r="V509" s="551"/>
      <c r="W509" s="551"/>
      <c r="X509" s="551"/>
      <c r="Y509" s="551"/>
      <c r="Z509" s="551"/>
      <c r="AA509" s="551"/>
    </row>
    <row r="510">
      <c r="A510" s="574"/>
      <c r="B510" s="575"/>
      <c r="C510" s="575"/>
      <c r="D510" s="575"/>
      <c r="E510" s="576"/>
      <c r="F510" s="547"/>
      <c r="G510" s="547"/>
      <c r="H510" s="547"/>
      <c r="I510" s="573"/>
      <c r="J510" s="550"/>
      <c r="K510" s="550"/>
      <c r="L510" s="550"/>
      <c r="M510" s="550"/>
      <c r="N510" s="550"/>
      <c r="O510" s="550"/>
      <c r="P510" s="550"/>
      <c r="Q510" s="550"/>
      <c r="R510" s="550"/>
      <c r="S510" s="550"/>
      <c r="T510" s="551"/>
      <c r="U510" s="551"/>
      <c r="V510" s="551"/>
      <c r="W510" s="551"/>
      <c r="X510" s="551"/>
      <c r="Y510" s="551"/>
      <c r="Z510" s="551"/>
      <c r="AA510" s="551"/>
    </row>
    <row r="511">
      <c r="A511" s="574"/>
      <c r="B511" s="575"/>
      <c r="C511" s="575"/>
      <c r="D511" s="575"/>
      <c r="E511" s="576"/>
      <c r="F511" s="547"/>
      <c r="G511" s="547"/>
      <c r="H511" s="547"/>
      <c r="I511" s="573"/>
      <c r="J511" s="550"/>
      <c r="K511" s="550"/>
      <c r="L511" s="550"/>
      <c r="M511" s="550"/>
      <c r="N511" s="550"/>
      <c r="O511" s="550"/>
      <c r="P511" s="550"/>
      <c r="Q511" s="550"/>
      <c r="R511" s="550"/>
      <c r="S511" s="550"/>
      <c r="T511" s="551"/>
      <c r="U511" s="551"/>
      <c r="V511" s="551"/>
      <c r="W511" s="551"/>
      <c r="X511" s="551"/>
      <c r="Y511" s="551"/>
      <c r="Z511" s="551"/>
      <c r="AA511" s="551"/>
    </row>
    <row r="512">
      <c r="A512" s="574"/>
      <c r="B512" s="575"/>
      <c r="C512" s="575"/>
      <c r="D512" s="575"/>
      <c r="E512" s="576"/>
      <c r="F512" s="547"/>
      <c r="G512" s="547"/>
      <c r="H512" s="547"/>
      <c r="I512" s="573"/>
      <c r="J512" s="550"/>
      <c r="K512" s="550"/>
      <c r="L512" s="550"/>
      <c r="M512" s="550"/>
      <c r="N512" s="550"/>
      <c r="O512" s="550"/>
      <c r="P512" s="550"/>
      <c r="Q512" s="550"/>
      <c r="R512" s="550"/>
      <c r="S512" s="550"/>
      <c r="T512" s="551"/>
      <c r="U512" s="551"/>
      <c r="V512" s="551"/>
      <c r="W512" s="551"/>
      <c r="X512" s="551"/>
      <c r="Y512" s="551"/>
      <c r="Z512" s="551"/>
      <c r="AA512" s="551"/>
    </row>
    <row r="513">
      <c r="A513" s="574"/>
      <c r="B513" s="575"/>
      <c r="C513" s="575"/>
      <c r="D513" s="575"/>
      <c r="E513" s="576"/>
      <c r="F513" s="547"/>
      <c r="G513" s="547"/>
      <c r="H513" s="547"/>
      <c r="I513" s="573"/>
      <c r="J513" s="550"/>
      <c r="K513" s="550"/>
      <c r="L513" s="550"/>
      <c r="M513" s="550"/>
      <c r="N513" s="550"/>
      <c r="O513" s="550"/>
      <c r="P513" s="550"/>
      <c r="Q513" s="550"/>
      <c r="R513" s="550"/>
      <c r="S513" s="550"/>
      <c r="T513" s="551"/>
      <c r="U513" s="551"/>
      <c r="V513" s="551"/>
      <c r="W513" s="551"/>
      <c r="X513" s="551"/>
      <c r="Y513" s="551"/>
      <c r="Z513" s="551"/>
      <c r="AA513" s="551"/>
    </row>
    <row r="514">
      <c r="A514" s="574"/>
      <c r="B514" s="575"/>
      <c r="C514" s="575"/>
      <c r="D514" s="575"/>
      <c r="E514" s="576"/>
      <c r="F514" s="547"/>
      <c r="G514" s="547"/>
      <c r="H514" s="547"/>
      <c r="I514" s="573"/>
      <c r="J514" s="550"/>
      <c r="K514" s="550"/>
      <c r="L514" s="550"/>
      <c r="M514" s="550"/>
      <c r="N514" s="550"/>
      <c r="O514" s="550"/>
      <c r="P514" s="550"/>
      <c r="Q514" s="550"/>
      <c r="R514" s="550"/>
      <c r="S514" s="550"/>
      <c r="T514" s="551"/>
      <c r="U514" s="551"/>
      <c r="V514" s="551"/>
      <c r="W514" s="551"/>
      <c r="X514" s="551"/>
      <c r="Y514" s="551"/>
      <c r="Z514" s="551"/>
      <c r="AA514" s="551"/>
    </row>
    <row r="515">
      <c r="A515" s="574"/>
      <c r="B515" s="575"/>
      <c r="C515" s="575"/>
      <c r="D515" s="575"/>
      <c r="E515" s="576"/>
      <c r="F515" s="547"/>
      <c r="G515" s="547"/>
      <c r="H515" s="547"/>
      <c r="I515" s="573"/>
      <c r="J515" s="550"/>
      <c r="K515" s="550"/>
      <c r="L515" s="550"/>
      <c r="M515" s="550"/>
      <c r="N515" s="550"/>
      <c r="O515" s="550"/>
      <c r="P515" s="550"/>
      <c r="Q515" s="550"/>
      <c r="R515" s="550"/>
      <c r="S515" s="550"/>
      <c r="T515" s="551"/>
      <c r="U515" s="551"/>
      <c r="V515" s="551"/>
      <c r="W515" s="551"/>
      <c r="X515" s="551"/>
      <c r="Y515" s="551"/>
      <c r="Z515" s="551"/>
      <c r="AA515" s="551"/>
    </row>
    <row r="516">
      <c r="A516" s="574"/>
      <c r="B516" s="575"/>
      <c r="C516" s="575"/>
      <c r="D516" s="575"/>
      <c r="E516" s="576"/>
      <c r="F516" s="547"/>
      <c r="G516" s="547"/>
      <c r="H516" s="547"/>
      <c r="I516" s="573"/>
      <c r="J516" s="550"/>
      <c r="K516" s="550"/>
      <c r="L516" s="550"/>
      <c r="M516" s="550"/>
      <c r="N516" s="550"/>
      <c r="O516" s="550"/>
      <c r="P516" s="550"/>
      <c r="Q516" s="550"/>
      <c r="R516" s="550"/>
      <c r="S516" s="550"/>
      <c r="T516" s="551"/>
      <c r="U516" s="551"/>
      <c r="V516" s="551"/>
      <c r="W516" s="551"/>
      <c r="X516" s="551"/>
      <c r="Y516" s="551"/>
      <c r="Z516" s="551"/>
      <c r="AA516" s="551"/>
    </row>
    <row r="517">
      <c r="A517" s="574"/>
      <c r="B517" s="575"/>
      <c r="C517" s="575"/>
      <c r="D517" s="575"/>
      <c r="E517" s="576"/>
      <c r="F517" s="547"/>
      <c r="G517" s="547"/>
      <c r="H517" s="547"/>
      <c r="I517" s="573"/>
      <c r="J517" s="550"/>
      <c r="K517" s="550"/>
      <c r="L517" s="550"/>
      <c r="M517" s="550"/>
      <c r="N517" s="550"/>
      <c r="O517" s="550"/>
      <c r="P517" s="550"/>
      <c r="Q517" s="550"/>
      <c r="R517" s="550"/>
      <c r="S517" s="550"/>
      <c r="T517" s="551"/>
      <c r="U517" s="551"/>
      <c r="V517" s="551"/>
      <c r="W517" s="551"/>
      <c r="X517" s="551"/>
      <c r="Y517" s="551"/>
      <c r="Z517" s="551"/>
      <c r="AA517" s="551"/>
    </row>
    <row r="518">
      <c r="A518" s="574"/>
      <c r="B518" s="575"/>
      <c r="C518" s="575"/>
      <c r="D518" s="575"/>
      <c r="E518" s="576"/>
      <c r="F518" s="547"/>
      <c r="G518" s="547"/>
      <c r="H518" s="547"/>
      <c r="I518" s="573"/>
      <c r="J518" s="550"/>
      <c r="K518" s="550"/>
      <c r="L518" s="550"/>
      <c r="M518" s="550"/>
      <c r="N518" s="550"/>
      <c r="O518" s="550"/>
      <c r="P518" s="550"/>
      <c r="Q518" s="550"/>
      <c r="R518" s="550"/>
      <c r="S518" s="550"/>
      <c r="T518" s="551"/>
      <c r="U518" s="551"/>
      <c r="V518" s="551"/>
      <c r="W518" s="551"/>
      <c r="X518" s="551"/>
      <c r="Y518" s="551"/>
      <c r="Z518" s="551"/>
      <c r="AA518" s="551"/>
    </row>
    <row r="519">
      <c r="A519" s="574"/>
      <c r="B519" s="575"/>
      <c r="C519" s="575"/>
      <c r="D519" s="575"/>
      <c r="E519" s="576"/>
      <c r="F519" s="547"/>
      <c r="G519" s="547"/>
      <c r="H519" s="547"/>
      <c r="I519" s="573"/>
      <c r="J519" s="550"/>
      <c r="K519" s="550"/>
      <c r="L519" s="550"/>
      <c r="M519" s="550"/>
      <c r="N519" s="550"/>
      <c r="O519" s="550"/>
      <c r="P519" s="550"/>
      <c r="Q519" s="550"/>
      <c r="R519" s="550"/>
      <c r="S519" s="550"/>
      <c r="T519" s="551"/>
      <c r="U519" s="551"/>
      <c r="V519" s="551"/>
      <c r="W519" s="551"/>
      <c r="X519" s="551"/>
      <c r="Y519" s="551"/>
      <c r="Z519" s="551"/>
      <c r="AA519" s="551"/>
    </row>
    <row r="520">
      <c r="A520" s="574"/>
      <c r="B520" s="575"/>
      <c r="C520" s="575"/>
      <c r="D520" s="575"/>
      <c r="E520" s="576"/>
      <c r="F520" s="547"/>
      <c r="G520" s="547"/>
      <c r="H520" s="547"/>
      <c r="I520" s="573"/>
      <c r="J520" s="550"/>
      <c r="K520" s="550"/>
      <c r="L520" s="550"/>
      <c r="M520" s="550"/>
      <c r="N520" s="550"/>
      <c r="O520" s="550"/>
      <c r="P520" s="550"/>
      <c r="Q520" s="550"/>
      <c r="R520" s="550"/>
      <c r="S520" s="550"/>
      <c r="T520" s="551"/>
      <c r="U520" s="551"/>
      <c r="V520" s="551"/>
      <c r="W520" s="551"/>
      <c r="X520" s="551"/>
      <c r="Y520" s="551"/>
      <c r="Z520" s="551"/>
      <c r="AA520" s="551"/>
    </row>
    <row r="521">
      <c r="A521" s="574"/>
      <c r="B521" s="575"/>
      <c r="C521" s="575"/>
      <c r="D521" s="575"/>
      <c r="E521" s="576"/>
      <c r="F521" s="547"/>
      <c r="G521" s="547"/>
      <c r="H521" s="547"/>
      <c r="I521" s="573"/>
      <c r="J521" s="550"/>
      <c r="K521" s="550"/>
      <c r="L521" s="550"/>
      <c r="M521" s="550"/>
      <c r="N521" s="550"/>
      <c r="O521" s="550"/>
      <c r="P521" s="550"/>
      <c r="Q521" s="550"/>
      <c r="R521" s="550"/>
      <c r="S521" s="550"/>
      <c r="T521" s="551"/>
      <c r="U521" s="551"/>
      <c r="V521" s="551"/>
      <c r="W521" s="551"/>
      <c r="X521" s="551"/>
      <c r="Y521" s="551"/>
      <c r="Z521" s="551"/>
      <c r="AA521" s="551"/>
    </row>
    <row r="522">
      <c r="A522" s="574"/>
      <c r="B522" s="575"/>
      <c r="C522" s="575"/>
      <c r="D522" s="575"/>
      <c r="E522" s="576"/>
      <c r="F522" s="547"/>
      <c r="G522" s="547"/>
      <c r="H522" s="547"/>
      <c r="I522" s="573"/>
      <c r="J522" s="550"/>
      <c r="K522" s="550"/>
      <c r="L522" s="550"/>
      <c r="M522" s="550"/>
      <c r="N522" s="550"/>
      <c r="O522" s="550"/>
      <c r="P522" s="550"/>
      <c r="Q522" s="550"/>
      <c r="R522" s="550"/>
      <c r="S522" s="550"/>
      <c r="T522" s="551"/>
      <c r="U522" s="551"/>
      <c r="V522" s="551"/>
      <c r="W522" s="551"/>
      <c r="X522" s="551"/>
      <c r="Y522" s="551"/>
      <c r="Z522" s="551"/>
      <c r="AA522" s="551"/>
    </row>
    <row r="523">
      <c r="A523" s="574"/>
      <c r="B523" s="575"/>
      <c r="C523" s="575"/>
      <c r="D523" s="575"/>
      <c r="E523" s="576"/>
      <c r="F523" s="547"/>
      <c r="G523" s="547"/>
      <c r="H523" s="547"/>
      <c r="I523" s="573"/>
      <c r="J523" s="550"/>
      <c r="K523" s="550"/>
      <c r="L523" s="550"/>
      <c r="M523" s="550"/>
      <c r="N523" s="550"/>
      <c r="O523" s="550"/>
      <c r="P523" s="550"/>
      <c r="Q523" s="550"/>
      <c r="R523" s="550"/>
      <c r="S523" s="550"/>
      <c r="T523" s="551"/>
      <c r="U523" s="551"/>
      <c r="V523" s="551"/>
      <c r="W523" s="551"/>
      <c r="X523" s="551"/>
      <c r="Y523" s="551"/>
      <c r="Z523" s="551"/>
      <c r="AA523" s="551"/>
    </row>
    <row r="524">
      <c r="A524" s="574"/>
      <c r="B524" s="575"/>
      <c r="C524" s="575"/>
      <c r="D524" s="575"/>
      <c r="E524" s="576"/>
      <c r="F524" s="547"/>
      <c r="G524" s="547"/>
      <c r="H524" s="547"/>
      <c r="I524" s="573"/>
      <c r="J524" s="550"/>
      <c r="K524" s="550"/>
      <c r="L524" s="550"/>
      <c r="M524" s="550"/>
      <c r="N524" s="550"/>
      <c r="O524" s="550"/>
      <c r="P524" s="550"/>
      <c r="Q524" s="550"/>
      <c r="R524" s="550"/>
      <c r="S524" s="550"/>
      <c r="T524" s="551"/>
      <c r="U524" s="551"/>
      <c r="V524" s="551"/>
      <c r="W524" s="551"/>
      <c r="X524" s="551"/>
      <c r="Y524" s="551"/>
      <c r="Z524" s="551"/>
      <c r="AA524" s="551"/>
    </row>
    <row r="525">
      <c r="A525" s="574"/>
      <c r="B525" s="575"/>
      <c r="C525" s="575"/>
      <c r="D525" s="575"/>
      <c r="E525" s="576"/>
      <c r="F525" s="547"/>
      <c r="G525" s="547"/>
      <c r="H525" s="547"/>
      <c r="I525" s="573"/>
      <c r="J525" s="550"/>
      <c r="K525" s="550"/>
      <c r="L525" s="550"/>
      <c r="M525" s="550"/>
      <c r="N525" s="550"/>
      <c r="O525" s="550"/>
      <c r="P525" s="550"/>
      <c r="Q525" s="550"/>
      <c r="R525" s="550"/>
      <c r="S525" s="550"/>
      <c r="T525" s="551"/>
      <c r="U525" s="551"/>
      <c r="V525" s="551"/>
      <c r="W525" s="551"/>
      <c r="X525" s="551"/>
      <c r="Y525" s="551"/>
      <c r="Z525" s="551"/>
      <c r="AA525" s="551"/>
    </row>
    <row r="526">
      <c r="A526" s="574"/>
      <c r="B526" s="575"/>
      <c r="C526" s="575"/>
      <c r="D526" s="575"/>
      <c r="E526" s="576"/>
      <c r="F526" s="547"/>
      <c r="G526" s="547"/>
      <c r="H526" s="547"/>
      <c r="I526" s="573"/>
      <c r="J526" s="550"/>
      <c r="K526" s="550"/>
      <c r="L526" s="550"/>
      <c r="M526" s="550"/>
      <c r="N526" s="550"/>
      <c r="O526" s="550"/>
      <c r="P526" s="550"/>
      <c r="Q526" s="550"/>
      <c r="R526" s="550"/>
      <c r="S526" s="550"/>
      <c r="T526" s="551"/>
      <c r="U526" s="551"/>
      <c r="V526" s="551"/>
      <c r="W526" s="551"/>
      <c r="X526" s="551"/>
      <c r="Y526" s="551"/>
      <c r="Z526" s="551"/>
      <c r="AA526" s="551"/>
    </row>
    <row r="527">
      <c r="A527" s="574"/>
      <c r="B527" s="575"/>
      <c r="C527" s="575"/>
      <c r="D527" s="575"/>
      <c r="E527" s="576"/>
      <c r="F527" s="547"/>
      <c r="G527" s="547"/>
      <c r="H527" s="547"/>
      <c r="I527" s="573"/>
      <c r="J527" s="550"/>
      <c r="K527" s="550"/>
      <c r="L527" s="550"/>
      <c r="M527" s="550"/>
      <c r="N527" s="550"/>
      <c r="O527" s="550"/>
      <c r="P527" s="550"/>
      <c r="Q527" s="550"/>
      <c r="R527" s="550"/>
      <c r="S527" s="550"/>
      <c r="T527" s="551"/>
      <c r="U527" s="551"/>
      <c r="V527" s="551"/>
      <c r="W527" s="551"/>
      <c r="X527" s="551"/>
      <c r="Y527" s="551"/>
      <c r="Z527" s="551"/>
      <c r="AA527" s="551"/>
    </row>
    <row r="528">
      <c r="A528" s="574"/>
      <c r="B528" s="575"/>
      <c r="C528" s="575"/>
      <c r="D528" s="575"/>
      <c r="E528" s="576"/>
      <c r="F528" s="547"/>
      <c r="G528" s="547"/>
      <c r="H528" s="547"/>
      <c r="I528" s="573"/>
      <c r="J528" s="550"/>
      <c r="K528" s="550"/>
      <c r="L528" s="550"/>
      <c r="M528" s="550"/>
      <c r="N528" s="550"/>
      <c r="O528" s="550"/>
      <c r="P528" s="550"/>
      <c r="Q528" s="550"/>
      <c r="R528" s="550"/>
      <c r="S528" s="550"/>
      <c r="T528" s="551"/>
      <c r="U528" s="551"/>
      <c r="V528" s="551"/>
      <c r="W528" s="551"/>
      <c r="X528" s="551"/>
      <c r="Y528" s="551"/>
      <c r="Z528" s="551"/>
      <c r="AA528" s="551"/>
    </row>
    <row r="529">
      <c r="A529" s="574"/>
      <c r="B529" s="575"/>
      <c r="C529" s="575"/>
      <c r="D529" s="575"/>
      <c r="E529" s="576"/>
      <c r="F529" s="547"/>
      <c r="G529" s="547"/>
      <c r="H529" s="547"/>
      <c r="I529" s="573"/>
      <c r="J529" s="550"/>
      <c r="K529" s="550"/>
      <c r="L529" s="550"/>
      <c r="M529" s="550"/>
      <c r="N529" s="550"/>
      <c r="O529" s="550"/>
      <c r="P529" s="550"/>
      <c r="Q529" s="550"/>
      <c r="R529" s="550"/>
      <c r="S529" s="550"/>
      <c r="T529" s="551"/>
      <c r="U529" s="551"/>
      <c r="V529" s="551"/>
      <c r="W529" s="551"/>
      <c r="X529" s="551"/>
      <c r="Y529" s="551"/>
      <c r="Z529" s="551"/>
      <c r="AA529" s="551"/>
    </row>
    <row r="530">
      <c r="A530" s="574"/>
      <c r="B530" s="575"/>
      <c r="C530" s="575"/>
      <c r="D530" s="575"/>
      <c r="E530" s="576"/>
      <c r="F530" s="547"/>
      <c r="G530" s="547"/>
      <c r="H530" s="547"/>
      <c r="I530" s="573"/>
      <c r="J530" s="550"/>
      <c r="K530" s="550"/>
      <c r="L530" s="550"/>
      <c r="M530" s="550"/>
      <c r="N530" s="550"/>
      <c r="O530" s="550"/>
      <c r="P530" s="550"/>
      <c r="Q530" s="550"/>
      <c r="R530" s="550"/>
      <c r="S530" s="550"/>
      <c r="T530" s="551"/>
      <c r="U530" s="551"/>
      <c r="V530" s="551"/>
      <c r="W530" s="551"/>
      <c r="X530" s="551"/>
      <c r="Y530" s="551"/>
      <c r="Z530" s="551"/>
      <c r="AA530" s="551"/>
    </row>
    <row r="531">
      <c r="A531" s="574"/>
      <c r="B531" s="575"/>
      <c r="C531" s="575"/>
      <c r="D531" s="575"/>
      <c r="E531" s="576"/>
      <c r="F531" s="547"/>
      <c r="G531" s="547"/>
      <c r="H531" s="547"/>
      <c r="I531" s="573"/>
      <c r="J531" s="550"/>
      <c r="K531" s="550"/>
      <c r="L531" s="550"/>
      <c r="M531" s="550"/>
      <c r="N531" s="550"/>
      <c r="O531" s="550"/>
      <c r="P531" s="550"/>
      <c r="Q531" s="550"/>
      <c r="R531" s="550"/>
      <c r="S531" s="550"/>
      <c r="T531" s="551"/>
      <c r="U531" s="551"/>
      <c r="V531" s="551"/>
      <c r="W531" s="551"/>
      <c r="X531" s="551"/>
      <c r="Y531" s="551"/>
      <c r="Z531" s="551"/>
      <c r="AA531" s="551"/>
    </row>
    <row r="532">
      <c r="A532" s="574"/>
      <c r="B532" s="575"/>
      <c r="C532" s="575"/>
      <c r="D532" s="575"/>
      <c r="E532" s="576"/>
      <c r="F532" s="547"/>
      <c r="G532" s="547"/>
      <c r="H532" s="547"/>
      <c r="I532" s="573"/>
      <c r="J532" s="550"/>
      <c r="K532" s="550"/>
      <c r="L532" s="550"/>
      <c r="M532" s="550"/>
      <c r="N532" s="550"/>
      <c r="O532" s="550"/>
      <c r="P532" s="550"/>
      <c r="Q532" s="550"/>
      <c r="R532" s="550"/>
      <c r="S532" s="550"/>
      <c r="T532" s="551"/>
      <c r="U532" s="551"/>
      <c r="V532" s="551"/>
      <c r="W532" s="551"/>
      <c r="X532" s="551"/>
      <c r="Y532" s="551"/>
      <c r="Z532" s="551"/>
      <c r="AA532" s="551"/>
    </row>
    <row r="533">
      <c r="A533" s="574"/>
      <c r="B533" s="575"/>
      <c r="C533" s="575"/>
      <c r="D533" s="575"/>
      <c r="E533" s="576"/>
      <c r="F533" s="547"/>
      <c r="G533" s="547"/>
      <c r="H533" s="547"/>
      <c r="I533" s="573"/>
      <c r="J533" s="550"/>
      <c r="K533" s="550"/>
      <c r="L533" s="550"/>
      <c r="M533" s="550"/>
      <c r="N533" s="550"/>
      <c r="O533" s="550"/>
      <c r="P533" s="550"/>
      <c r="Q533" s="550"/>
      <c r="R533" s="550"/>
      <c r="S533" s="550"/>
      <c r="T533" s="551"/>
      <c r="U533" s="551"/>
      <c r="V533" s="551"/>
      <c r="W533" s="551"/>
      <c r="X533" s="551"/>
      <c r="Y533" s="551"/>
      <c r="Z533" s="551"/>
      <c r="AA533" s="551"/>
    </row>
    <row r="534">
      <c r="A534" s="574"/>
      <c r="B534" s="575"/>
      <c r="C534" s="575"/>
      <c r="D534" s="575"/>
      <c r="E534" s="576"/>
      <c r="F534" s="547"/>
      <c r="G534" s="547"/>
      <c r="H534" s="547"/>
      <c r="I534" s="573"/>
      <c r="J534" s="550"/>
      <c r="K534" s="550"/>
      <c r="L534" s="550"/>
      <c r="M534" s="550"/>
      <c r="N534" s="550"/>
      <c r="O534" s="550"/>
      <c r="P534" s="550"/>
      <c r="Q534" s="550"/>
      <c r="R534" s="550"/>
      <c r="S534" s="550"/>
      <c r="T534" s="551"/>
      <c r="U534" s="551"/>
      <c r="V534" s="551"/>
      <c r="W534" s="551"/>
      <c r="X534" s="551"/>
      <c r="Y534" s="551"/>
      <c r="Z534" s="551"/>
      <c r="AA534" s="551"/>
    </row>
    <row r="535">
      <c r="A535" s="574"/>
      <c r="B535" s="575"/>
      <c r="C535" s="575"/>
      <c r="D535" s="575"/>
      <c r="E535" s="576"/>
      <c r="F535" s="547"/>
      <c r="G535" s="547"/>
      <c r="H535" s="547"/>
      <c r="I535" s="573"/>
      <c r="J535" s="550"/>
      <c r="K535" s="550"/>
      <c r="L535" s="550"/>
      <c r="M535" s="550"/>
      <c r="N535" s="550"/>
      <c r="O535" s="550"/>
      <c r="P535" s="550"/>
      <c r="Q535" s="550"/>
      <c r="R535" s="550"/>
      <c r="S535" s="550"/>
      <c r="T535" s="551"/>
      <c r="U535" s="551"/>
      <c r="V535" s="551"/>
      <c r="W535" s="551"/>
      <c r="X535" s="551"/>
      <c r="Y535" s="551"/>
      <c r="Z535" s="551"/>
      <c r="AA535" s="551"/>
    </row>
    <row r="536">
      <c r="A536" s="574"/>
      <c r="B536" s="575"/>
      <c r="C536" s="575"/>
      <c r="D536" s="575"/>
      <c r="E536" s="576"/>
      <c r="F536" s="547"/>
      <c r="G536" s="547"/>
      <c r="H536" s="547"/>
      <c r="I536" s="573"/>
      <c r="J536" s="550"/>
      <c r="K536" s="550"/>
      <c r="L536" s="550"/>
      <c r="M536" s="550"/>
      <c r="N536" s="550"/>
      <c r="O536" s="550"/>
      <c r="P536" s="550"/>
      <c r="Q536" s="550"/>
      <c r="R536" s="550"/>
      <c r="S536" s="550"/>
      <c r="T536" s="551"/>
      <c r="U536" s="551"/>
      <c r="V536" s="551"/>
      <c r="W536" s="551"/>
      <c r="X536" s="551"/>
      <c r="Y536" s="551"/>
      <c r="Z536" s="551"/>
      <c r="AA536" s="551"/>
    </row>
    <row r="537">
      <c r="A537" s="574"/>
      <c r="B537" s="575"/>
      <c r="C537" s="575"/>
      <c r="D537" s="575"/>
      <c r="E537" s="576"/>
      <c r="F537" s="547"/>
      <c r="G537" s="547"/>
      <c r="H537" s="547"/>
      <c r="I537" s="573"/>
      <c r="J537" s="550"/>
      <c r="K537" s="550"/>
      <c r="L537" s="550"/>
      <c r="M537" s="550"/>
      <c r="N537" s="550"/>
      <c r="O537" s="550"/>
      <c r="P537" s="550"/>
      <c r="Q537" s="550"/>
      <c r="R537" s="550"/>
      <c r="S537" s="550"/>
      <c r="T537" s="551"/>
      <c r="U537" s="551"/>
      <c r="V537" s="551"/>
      <c r="W537" s="551"/>
      <c r="X537" s="551"/>
      <c r="Y537" s="551"/>
      <c r="Z537" s="551"/>
      <c r="AA537" s="551"/>
    </row>
    <row r="538">
      <c r="A538" s="574"/>
      <c r="B538" s="575"/>
      <c r="C538" s="575"/>
      <c r="D538" s="575"/>
      <c r="E538" s="576"/>
      <c r="F538" s="547"/>
      <c r="G538" s="547"/>
      <c r="H538" s="547"/>
      <c r="I538" s="573"/>
      <c r="J538" s="550"/>
      <c r="K538" s="550"/>
      <c r="L538" s="550"/>
      <c r="M538" s="550"/>
      <c r="N538" s="550"/>
      <c r="O538" s="550"/>
      <c r="P538" s="550"/>
      <c r="Q538" s="550"/>
      <c r="R538" s="550"/>
      <c r="S538" s="550"/>
      <c r="T538" s="551"/>
      <c r="U538" s="551"/>
      <c r="V538" s="551"/>
      <c r="W538" s="551"/>
      <c r="X538" s="551"/>
      <c r="Y538" s="551"/>
      <c r="Z538" s="551"/>
      <c r="AA538" s="551"/>
    </row>
    <row r="539">
      <c r="A539" s="574"/>
      <c r="B539" s="575"/>
      <c r="C539" s="575"/>
      <c r="D539" s="575"/>
      <c r="E539" s="576"/>
      <c r="F539" s="547"/>
      <c r="G539" s="547"/>
      <c r="H539" s="547"/>
      <c r="I539" s="573"/>
      <c r="J539" s="550"/>
      <c r="K539" s="550"/>
      <c r="L539" s="550"/>
      <c r="M539" s="550"/>
      <c r="N539" s="550"/>
      <c r="O539" s="550"/>
      <c r="P539" s="550"/>
      <c r="Q539" s="550"/>
      <c r="R539" s="550"/>
      <c r="S539" s="550"/>
      <c r="T539" s="551"/>
      <c r="U539" s="551"/>
      <c r="V539" s="551"/>
      <c r="W539" s="551"/>
      <c r="X539" s="551"/>
      <c r="Y539" s="551"/>
      <c r="Z539" s="551"/>
      <c r="AA539" s="551"/>
    </row>
    <row r="540">
      <c r="A540" s="574"/>
      <c r="B540" s="575"/>
      <c r="C540" s="575"/>
      <c r="D540" s="575"/>
      <c r="E540" s="576"/>
      <c r="F540" s="547"/>
      <c r="G540" s="547"/>
      <c r="H540" s="547"/>
      <c r="I540" s="573"/>
      <c r="J540" s="550"/>
      <c r="K540" s="550"/>
      <c r="L540" s="550"/>
      <c r="M540" s="550"/>
      <c r="N540" s="550"/>
      <c r="O540" s="550"/>
      <c r="P540" s="550"/>
      <c r="Q540" s="550"/>
      <c r="R540" s="550"/>
      <c r="S540" s="550"/>
      <c r="T540" s="551"/>
      <c r="U540" s="551"/>
      <c r="V540" s="551"/>
      <c r="W540" s="551"/>
      <c r="X540" s="551"/>
      <c r="Y540" s="551"/>
      <c r="Z540" s="551"/>
      <c r="AA540" s="551"/>
    </row>
    <row r="541">
      <c r="A541" s="574"/>
      <c r="B541" s="575"/>
      <c r="C541" s="575"/>
      <c r="D541" s="575"/>
      <c r="E541" s="576"/>
      <c r="F541" s="547"/>
      <c r="G541" s="547"/>
      <c r="H541" s="547"/>
      <c r="I541" s="573"/>
      <c r="J541" s="550"/>
      <c r="K541" s="550"/>
      <c r="L541" s="550"/>
      <c r="M541" s="550"/>
      <c r="N541" s="550"/>
      <c r="O541" s="550"/>
      <c r="P541" s="550"/>
      <c r="Q541" s="550"/>
      <c r="R541" s="550"/>
      <c r="S541" s="550"/>
      <c r="T541" s="551"/>
      <c r="U541" s="551"/>
      <c r="V541" s="551"/>
      <c r="W541" s="551"/>
      <c r="X541" s="551"/>
      <c r="Y541" s="551"/>
      <c r="Z541" s="551"/>
      <c r="AA541" s="551"/>
    </row>
    <row r="542">
      <c r="A542" s="574"/>
      <c r="B542" s="575"/>
      <c r="C542" s="575"/>
      <c r="D542" s="575"/>
      <c r="E542" s="576"/>
      <c r="F542" s="547"/>
      <c r="G542" s="547"/>
      <c r="H542" s="547"/>
      <c r="I542" s="573"/>
      <c r="J542" s="550"/>
      <c r="K542" s="550"/>
      <c r="L542" s="550"/>
      <c r="M542" s="550"/>
      <c r="N542" s="550"/>
      <c r="O542" s="550"/>
      <c r="P542" s="550"/>
      <c r="Q542" s="550"/>
      <c r="R542" s="550"/>
      <c r="S542" s="550"/>
      <c r="T542" s="551"/>
      <c r="U542" s="551"/>
      <c r="V542" s="551"/>
      <c r="W542" s="551"/>
      <c r="X542" s="551"/>
      <c r="Y542" s="551"/>
      <c r="Z542" s="551"/>
      <c r="AA542" s="551"/>
    </row>
    <row r="543">
      <c r="A543" s="574"/>
      <c r="B543" s="575"/>
      <c r="C543" s="575"/>
      <c r="D543" s="575"/>
      <c r="E543" s="576"/>
      <c r="F543" s="547"/>
      <c r="G543" s="547"/>
      <c r="H543" s="547"/>
      <c r="I543" s="573"/>
      <c r="J543" s="550"/>
      <c r="K543" s="550"/>
      <c r="L543" s="550"/>
      <c r="M543" s="550"/>
      <c r="N543" s="550"/>
      <c r="O543" s="550"/>
      <c r="P543" s="550"/>
      <c r="Q543" s="550"/>
      <c r="R543" s="550"/>
      <c r="S543" s="550"/>
      <c r="T543" s="551"/>
      <c r="U543" s="551"/>
      <c r="V543" s="551"/>
      <c r="W543" s="551"/>
      <c r="X543" s="551"/>
      <c r="Y543" s="551"/>
      <c r="Z543" s="551"/>
      <c r="AA543" s="551"/>
    </row>
    <row r="544">
      <c r="A544" s="574"/>
      <c r="B544" s="575"/>
      <c r="C544" s="575"/>
      <c r="D544" s="575"/>
      <c r="E544" s="576"/>
      <c r="F544" s="547"/>
      <c r="G544" s="547"/>
      <c r="H544" s="547"/>
      <c r="I544" s="573"/>
      <c r="J544" s="550"/>
      <c r="K544" s="550"/>
      <c r="L544" s="550"/>
      <c r="M544" s="550"/>
      <c r="N544" s="550"/>
      <c r="O544" s="550"/>
      <c r="P544" s="550"/>
      <c r="Q544" s="550"/>
      <c r="R544" s="550"/>
      <c r="S544" s="550"/>
      <c r="T544" s="551"/>
      <c r="U544" s="551"/>
      <c r="V544" s="551"/>
      <c r="W544" s="551"/>
      <c r="X544" s="551"/>
      <c r="Y544" s="551"/>
      <c r="Z544" s="551"/>
      <c r="AA544" s="551"/>
    </row>
    <row r="545">
      <c r="A545" s="574"/>
      <c r="B545" s="575"/>
      <c r="C545" s="575"/>
      <c r="D545" s="575"/>
      <c r="E545" s="576"/>
      <c r="F545" s="547"/>
      <c r="G545" s="547"/>
      <c r="H545" s="547"/>
      <c r="I545" s="573"/>
      <c r="J545" s="550"/>
      <c r="K545" s="550"/>
      <c r="L545" s="550"/>
      <c r="M545" s="550"/>
      <c r="N545" s="550"/>
      <c r="O545" s="550"/>
      <c r="P545" s="550"/>
      <c r="Q545" s="550"/>
      <c r="R545" s="550"/>
      <c r="S545" s="550"/>
      <c r="T545" s="551"/>
      <c r="U545" s="551"/>
      <c r="V545" s="551"/>
      <c r="W545" s="551"/>
      <c r="X545" s="551"/>
      <c r="Y545" s="551"/>
      <c r="Z545" s="551"/>
      <c r="AA545" s="551"/>
    </row>
    <row r="546">
      <c r="A546" s="574"/>
      <c r="B546" s="575"/>
      <c r="C546" s="575"/>
      <c r="D546" s="575"/>
      <c r="E546" s="576"/>
      <c r="F546" s="547"/>
      <c r="G546" s="547"/>
      <c r="H546" s="547"/>
      <c r="I546" s="573"/>
      <c r="J546" s="550"/>
      <c r="K546" s="550"/>
      <c r="L546" s="550"/>
      <c r="M546" s="550"/>
      <c r="N546" s="550"/>
      <c r="O546" s="550"/>
      <c r="P546" s="550"/>
      <c r="Q546" s="550"/>
      <c r="R546" s="550"/>
      <c r="S546" s="550"/>
      <c r="T546" s="551"/>
      <c r="U546" s="551"/>
      <c r="V546" s="551"/>
      <c r="W546" s="551"/>
      <c r="X546" s="551"/>
      <c r="Y546" s="551"/>
      <c r="Z546" s="551"/>
      <c r="AA546" s="551"/>
    </row>
    <row r="547">
      <c r="A547" s="574"/>
      <c r="B547" s="575"/>
      <c r="C547" s="575"/>
      <c r="D547" s="575"/>
      <c r="E547" s="576"/>
      <c r="F547" s="547"/>
      <c r="G547" s="547"/>
      <c r="H547" s="547"/>
      <c r="I547" s="573"/>
      <c r="J547" s="550"/>
      <c r="K547" s="550"/>
      <c r="L547" s="550"/>
      <c r="M547" s="550"/>
      <c r="N547" s="550"/>
      <c r="O547" s="550"/>
      <c r="P547" s="550"/>
      <c r="Q547" s="550"/>
      <c r="R547" s="550"/>
      <c r="S547" s="550"/>
      <c r="T547" s="551"/>
      <c r="U547" s="551"/>
      <c r="V547" s="551"/>
      <c r="W547" s="551"/>
      <c r="X547" s="551"/>
      <c r="Y547" s="551"/>
      <c r="Z547" s="551"/>
      <c r="AA547" s="551"/>
    </row>
    <row r="548">
      <c r="A548" s="574"/>
      <c r="B548" s="575"/>
      <c r="C548" s="575"/>
      <c r="D548" s="575"/>
      <c r="E548" s="576"/>
      <c r="F548" s="547"/>
      <c r="G548" s="547"/>
      <c r="H548" s="547"/>
      <c r="I548" s="573"/>
      <c r="J548" s="550"/>
      <c r="K548" s="550"/>
      <c r="L548" s="550"/>
      <c r="M548" s="550"/>
      <c r="N548" s="550"/>
      <c r="O548" s="550"/>
      <c r="P548" s="550"/>
      <c r="Q548" s="550"/>
      <c r="R548" s="550"/>
      <c r="S548" s="550"/>
      <c r="T548" s="551"/>
      <c r="U548" s="551"/>
      <c r="V548" s="551"/>
      <c r="W548" s="551"/>
      <c r="X548" s="551"/>
      <c r="Y548" s="551"/>
      <c r="Z548" s="551"/>
      <c r="AA548" s="551"/>
    </row>
    <row r="549">
      <c r="A549" s="574"/>
      <c r="B549" s="575"/>
      <c r="C549" s="575"/>
      <c r="D549" s="575"/>
      <c r="E549" s="576"/>
      <c r="F549" s="547"/>
      <c r="G549" s="547"/>
      <c r="H549" s="547"/>
      <c r="I549" s="573"/>
      <c r="J549" s="550"/>
      <c r="K549" s="550"/>
      <c r="L549" s="550"/>
      <c r="M549" s="550"/>
      <c r="N549" s="550"/>
      <c r="O549" s="550"/>
      <c r="P549" s="550"/>
      <c r="Q549" s="550"/>
      <c r="R549" s="550"/>
      <c r="S549" s="550"/>
      <c r="T549" s="551"/>
      <c r="U549" s="551"/>
      <c r="V549" s="551"/>
      <c r="W549" s="551"/>
      <c r="X549" s="551"/>
      <c r="Y549" s="551"/>
      <c r="Z549" s="551"/>
      <c r="AA549" s="551"/>
    </row>
    <row r="550">
      <c r="A550" s="574"/>
      <c r="B550" s="575"/>
      <c r="C550" s="575"/>
      <c r="D550" s="575"/>
      <c r="E550" s="576"/>
      <c r="F550" s="547"/>
      <c r="G550" s="547"/>
      <c r="H550" s="547"/>
      <c r="I550" s="573"/>
      <c r="J550" s="550"/>
      <c r="K550" s="550"/>
      <c r="L550" s="550"/>
      <c r="M550" s="550"/>
      <c r="N550" s="550"/>
      <c r="O550" s="550"/>
      <c r="P550" s="550"/>
      <c r="Q550" s="550"/>
      <c r="R550" s="550"/>
      <c r="S550" s="550"/>
      <c r="T550" s="551"/>
      <c r="U550" s="551"/>
      <c r="V550" s="551"/>
      <c r="W550" s="551"/>
      <c r="X550" s="551"/>
      <c r="Y550" s="551"/>
      <c r="Z550" s="551"/>
      <c r="AA550" s="551"/>
    </row>
    <row r="551">
      <c r="A551" s="574"/>
      <c r="B551" s="575"/>
      <c r="C551" s="575"/>
      <c r="D551" s="575"/>
      <c r="E551" s="576"/>
      <c r="F551" s="547"/>
      <c r="G551" s="547"/>
      <c r="H551" s="547"/>
      <c r="I551" s="573"/>
      <c r="J551" s="550"/>
      <c r="K551" s="550"/>
      <c r="L551" s="550"/>
      <c r="M551" s="550"/>
      <c r="N551" s="550"/>
      <c r="O551" s="550"/>
      <c r="P551" s="550"/>
      <c r="Q551" s="550"/>
      <c r="R551" s="550"/>
      <c r="S551" s="550"/>
      <c r="T551" s="551"/>
      <c r="U551" s="551"/>
      <c r="V551" s="551"/>
      <c r="W551" s="551"/>
      <c r="X551" s="551"/>
      <c r="Y551" s="551"/>
      <c r="Z551" s="551"/>
      <c r="AA551" s="551"/>
    </row>
    <row r="552">
      <c r="A552" s="574"/>
      <c r="B552" s="575"/>
      <c r="C552" s="575"/>
      <c r="D552" s="575"/>
      <c r="E552" s="576"/>
      <c r="F552" s="547"/>
      <c r="G552" s="547"/>
      <c r="H552" s="547"/>
      <c r="I552" s="573"/>
      <c r="J552" s="550"/>
      <c r="K552" s="550"/>
      <c r="L552" s="550"/>
      <c r="M552" s="550"/>
      <c r="N552" s="550"/>
      <c r="O552" s="550"/>
      <c r="P552" s="550"/>
      <c r="Q552" s="550"/>
      <c r="R552" s="550"/>
      <c r="S552" s="550"/>
      <c r="T552" s="551"/>
      <c r="U552" s="551"/>
      <c r="V552" s="551"/>
      <c r="W552" s="551"/>
      <c r="X552" s="551"/>
      <c r="Y552" s="551"/>
      <c r="Z552" s="551"/>
      <c r="AA552" s="551"/>
    </row>
    <row r="553">
      <c r="A553" s="574"/>
      <c r="B553" s="575"/>
      <c r="C553" s="575"/>
      <c r="D553" s="575"/>
      <c r="E553" s="576"/>
      <c r="F553" s="547"/>
      <c r="G553" s="547"/>
      <c r="H553" s="547"/>
      <c r="I553" s="573"/>
      <c r="J553" s="550"/>
      <c r="K553" s="550"/>
      <c r="L553" s="550"/>
      <c r="M553" s="550"/>
      <c r="N553" s="550"/>
      <c r="O553" s="550"/>
      <c r="P553" s="550"/>
      <c r="Q553" s="550"/>
      <c r="R553" s="550"/>
      <c r="S553" s="550"/>
      <c r="T553" s="551"/>
      <c r="U553" s="551"/>
      <c r="V553" s="551"/>
      <c r="W553" s="551"/>
      <c r="X553" s="551"/>
      <c r="Y553" s="551"/>
      <c r="Z553" s="551"/>
      <c r="AA553" s="551"/>
    </row>
    <row r="554">
      <c r="A554" s="574"/>
      <c r="B554" s="575"/>
      <c r="C554" s="575"/>
      <c r="D554" s="575"/>
      <c r="E554" s="576"/>
      <c r="F554" s="547"/>
      <c r="G554" s="547"/>
      <c r="H554" s="547"/>
      <c r="I554" s="573"/>
      <c r="J554" s="550"/>
      <c r="K554" s="550"/>
      <c r="L554" s="550"/>
      <c r="M554" s="550"/>
      <c r="N554" s="550"/>
      <c r="O554" s="550"/>
      <c r="P554" s="550"/>
      <c r="Q554" s="550"/>
      <c r="R554" s="550"/>
      <c r="S554" s="550"/>
      <c r="T554" s="551"/>
      <c r="U554" s="551"/>
      <c r="V554" s="551"/>
      <c r="W554" s="551"/>
      <c r="X554" s="551"/>
      <c r="Y554" s="551"/>
      <c r="Z554" s="551"/>
      <c r="AA554" s="551"/>
    </row>
    <row r="555">
      <c r="A555" s="574"/>
      <c r="B555" s="575"/>
      <c r="C555" s="575"/>
      <c r="D555" s="575"/>
      <c r="E555" s="576"/>
      <c r="F555" s="547"/>
      <c r="G555" s="547"/>
      <c r="H555" s="547"/>
      <c r="I555" s="573"/>
      <c r="J555" s="550"/>
      <c r="K555" s="550"/>
      <c r="L555" s="550"/>
      <c r="M555" s="550"/>
      <c r="N555" s="550"/>
      <c r="O555" s="550"/>
      <c r="P555" s="550"/>
      <c r="Q555" s="550"/>
      <c r="R555" s="550"/>
      <c r="S555" s="550"/>
      <c r="T555" s="551"/>
      <c r="U555" s="551"/>
      <c r="V555" s="551"/>
      <c r="W555" s="551"/>
      <c r="X555" s="551"/>
      <c r="Y555" s="551"/>
      <c r="Z555" s="551"/>
      <c r="AA555" s="551"/>
    </row>
    <row r="556">
      <c r="A556" s="574"/>
      <c r="B556" s="575"/>
      <c r="C556" s="575"/>
      <c r="D556" s="575"/>
      <c r="E556" s="576"/>
      <c r="F556" s="547"/>
      <c r="G556" s="547"/>
      <c r="H556" s="547"/>
      <c r="I556" s="573"/>
      <c r="J556" s="550"/>
      <c r="K556" s="550"/>
      <c r="L556" s="550"/>
      <c r="M556" s="550"/>
      <c r="N556" s="550"/>
      <c r="O556" s="550"/>
      <c r="P556" s="550"/>
      <c r="Q556" s="550"/>
      <c r="R556" s="550"/>
      <c r="S556" s="550"/>
      <c r="T556" s="551"/>
      <c r="U556" s="551"/>
      <c r="V556" s="551"/>
      <c r="W556" s="551"/>
      <c r="X556" s="551"/>
      <c r="Y556" s="551"/>
      <c r="Z556" s="551"/>
      <c r="AA556" s="551"/>
    </row>
    <row r="557">
      <c r="A557" s="574"/>
      <c r="B557" s="575"/>
      <c r="C557" s="575"/>
      <c r="D557" s="575"/>
      <c r="E557" s="576"/>
      <c r="F557" s="547"/>
      <c r="G557" s="547"/>
      <c r="H557" s="547"/>
      <c r="I557" s="573"/>
      <c r="J557" s="550"/>
      <c r="K557" s="550"/>
      <c r="L557" s="550"/>
      <c r="M557" s="550"/>
      <c r="N557" s="550"/>
      <c r="O557" s="550"/>
      <c r="P557" s="550"/>
      <c r="Q557" s="550"/>
      <c r="R557" s="550"/>
      <c r="S557" s="550"/>
      <c r="T557" s="551"/>
      <c r="U557" s="551"/>
      <c r="V557" s="551"/>
      <c r="W557" s="551"/>
      <c r="X557" s="551"/>
      <c r="Y557" s="551"/>
      <c r="Z557" s="551"/>
      <c r="AA557" s="551"/>
    </row>
    <row r="558">
      <c r="A558" s="574"/>
      <c r="B558" s="575"/>
      <c r="C558" s="575"/>
      <c r="D558" s="575"/>
      <c r="E558" s="576"/>
      <c r="F558" s="547"/>
      <c r="G558" s="547"/>
      <c r="H558" s="547"/>
      <c r="I558" s="573"/>
      <c r="J558" s="550"/>
      <c r="K558" s="550"/>
      <c r="L558" s="550"/>
      <c r="M558" s="550"/>
      <c r="N558" s="550"/>
      <c r="O558" s="550"/>
      <c r="P558" s="550"/>
      <c r="Q558" s="550"/>
      <c r="R558" s="550"/>
      <c r="S558" s="550"/>
      <c r="T558" s="551"/>
      <c r="U558" s="551"/>
      <c r="V558" s="551"/>
      <c r="W558" s="551"/>
      <c r="X558" s="551"/>
      <c r="Y558" s="551"/>
      <c r="Z558" s="551"/>
      <c r="AA558" s="551"/>
    </row>
    <row r="559">
      <c r="A559" s="574"/>
      <c r="B559" s="575"/>
      <c r="C559" s="575"/>
      <c r="D559" s="575"/>
      <c r="E559" s="576"/>
      <c r="F559" s="547"/>
      <c r="G559" s="547"/>
      <c r="H559" s="547"/>
      <c r="I559" s="573"/>
      <c r="J559" s="550"/>
      <c r="K559" s="550"/>
      <c r="L559" s="550"/>
      <c r="M559" s="550"/>
      <c r="N559" s="550"/>
      <c r="O559" s="550"/>
      <c r="P559" s="550"/>
      <c r="Q559" s="550"/>
      <c r="R559" s="550"/>
      <c r="S559" s="550"/>
      <c r="T559" s="551"/>
      <c r="U559" s="551"/>
      <c r="V559" s="551"/>
      <c r="W559" s="551"/>
      <c r="X559" s="551"/>
      <c r="Y559" s="551"/>
      <c r="Z559" s="551"/>
      <c r="AA559" s="551"/>
    </row>
    <row r="560">
      <c r="A560" s="574"/>
      <c r="B560" s="575"/>
      <c r="C560" s="575"/>
      <c r="D560" s="575"/>
      <c r="E560" s="576"/>
      <c r="F560" s="547"/>
      <c r="G560" s="547"/>
      <c r="H560" s="547"/>
      <c r="I560" s="573"/>
      <c r="J560" s="550"/>
      <c r="K560" s="550"/>
      <c r="L560" s="550"/>
      <c r="M560" s="550"/>
      <c r="N560" s="550"/>
      <c r="O560" s="550"/>
      <c r="P560" s="550"/>
      <c r="Q560" s="550"/>
      <c r="R560" s="550"/>
      <c r="S560" s="550"/>
      <c r="T560" s="551"/>
      <c r="U560" s="551"/>
      <c r="V560" s="551"/>
      <c r="W560" s="551"/>
      <c r="X560" s="551"/>
      <c r="Y560" s="551"/>
      <c r="Z560" s="551"/>
      <c r="AA560" s="551"/>
    </row>
    <row r="561">
      <c r="A561" s="574"/>
      <c r="B561" s="575"/>
      <c r="C561" s="575"/>
      <c r="D561" s="575"/>
      <c r="E561" s="576"/>
      <c r="F561" s="547"/>
      <c r="G561" s="547"/>
      <c r="H561" s="547"/>
      <c r="I561" s="573"/>
      <c r="J561" s="550"/>
      <c r="K561" s="550"/>
      <c r="L561" s="550"/>
      <c r="M561" s="550"/>
      <c r="N561" s="550"/>
      <c r="O561" s="550"/>
      <c r="P561" s="550"/>
      <c r="Q561" s="550"/>
      <c r="R561" s="550"/>
      <c r="S561" s="550"/>
      <c r="T561" s="551"/>
      <c r="U561" s="551"/>
      <c r="V561" s="551"/>
      <c r="W561" s="551"/>
      <c r="X561" s="551"/>
      <c r="Y561" s="551"/>
      <c r="Z561" s="551"/>
      <c r="AA561" s="551"/>
    </row>
    <row r="562">
      <c r="A562" s="574"/>
      <c r="B562" s="575"/>
      <c r="C562" s="575"/>
      <c r="D562" s="575"/>
      <c r="E562" s="576"/>
      <c r="F562" s="547"/>
      <c r="G562" s="547"/>
      <c r="H562" s="547"/>
      <c r="I562" s="573"/>
      <c r="J562" s="550"/>
      <c r="K562" s="550"/>
      <c r="L562" s="550"/>
      <c r="M562" s="550"/>
      <c r="N562" s="550"/>
      <c r="O562" s="550"/>
      <c r="P562" s="550"/>
      <c r="Q562" s="550"/>
      <c r="R562" s="550"/>
      <c r="S562" s="550"/>
      <c r="T562" s="551"/>
      <c r="U562" s="551"/>
      <c r="V562" s="551"/>
      <c r="W562" s="551"/>
      <c r="X562" s="551"/>
      <c r="Y562" s="551"/>
      <c r="Z562" s="551"/>
      <c r="AA562" s="551"/>
    </row>
    <row r="563">
      <c r="A563" s="574"/>
      <c r="B563" s="575"/>
      <c r="C563" s="575"/>
      <c r="D563" s="575"/>
      <c r="E563" s="576"/>
      <c r="F563" s="547"/>
      <c r="G563" s="547"/>
      <c r="H563" s="547"/>
      <c r="I563" s="573"/>
      <c r="J563" s="550"/>
      <c r="K563" s="550"/>
      <c r="L563" s="550"/>
      <c r="M563" s="550"/>
      <c r="N563" s="550"/>
      <c r="O563" s="550"/>
      <c r="P563" s="550"/>
      <c r="Q563" s="550"/>
      <c r="R563" s="550"/>
      <c r="S563" s="550"/>
      <c r="T563" s="551"/>
      <c r="U563" s="551"/>
      <c r="V563" s="551"/>
      <c r="W563" s="551"/>
      <c r="X563" s="551"/>
      <c r="Y563" s="551"/>
      <c r="Z563" s="551"/>
      <c r="AA563" s="551"/>
    </row>
    <row r="564">
      <c r="A564" s="574"/>
      <c r="B564" s="575"/>
      <c r="C564" s="575"/>
      <c r="D564" s="575"/>
      <c r="E564" s="576"/>
      <c r="F564" s="547"/>
      <c r="G564" s="547"/>
      <c r="H564" s="547"/>
      <c r="I564" s="573"/>
      <c r="J564" s="550"/>
      <c r="K564" s="550"/>
      <c r="L564" s="550"/>
      <c r="M564" s="550"/>
      <c r="N564" s="550"/>
      <c r="O564" s="550"/>
      <c r="P564" s="550"/>
      <c r="Q564" s="550"/>
      <c r="R564" s="550"/>
      <c r="S564" s="550"/>
      <c r="T564" s="551"/>
      <c r="U564" s="551"/>
      <c r="V564" s="551"/>
      <c r="W564" s="551"/>
      <c r="X564" s="551"/>
      <c r="Y564" s="551"/>
      <c r="Z564" s="551"/>
      <c r="AA564" s="551"/>
    </row>
    <row r="565">
      <c r="A565" s="574"/>
      <c r="B565" s="575"/>
      <c r="C565" s="575"/>
      <c r="D565" s="575"/>
      <c r="E565" s="576"/>
      <c r="F565" s="547"/>
      <c r="G565" s="547"/>
      <c r="H565" s="547"/>
      <c r="I565" s="573"/>
      <c r="J565" s="550"/>
      <c r="K565" s="550"/>
      <c r="L565" s="550"/>
      <c r="M565" s="550"/>
      <c r="N565" s="550"/>
      <c r="O565" s="550"/>
      <c r="P565" s="550"/>
      <c r="Q565" s="550"/>
      <c r="R565" s="550"/>
      <c r="S565" s="550"/>
      <c r="T565" s="551"/>
      <c r="U565" s="551"/>
      <c r="V565" s="551"/>
      <c r="W565" s="551"/>
      <c r="X565" s="551"/>
      <c r="Y565" s="551"/>
      <c r="Z565" s="551"/>
      <c r="AA565" s="551"/>
    </row>
    <row r="566">
      <c r="A566" s="574"/>
      <c r="B566" s="575"/>
      <c r="C566" s="575"/>
      <c r="D566" s="575"/>
      <c r="E566" s="576"/>
      <c r="F566" s="547"/>
      <c r="G566" s="547"/>
      <c r="H566" s="547"/>
      <c r="I566" s="573"/>
      <c r="J566" s="550"/>
      <c r="K566" s="550"/>
      <c r="L566" s="550"/>
      <c r="M566" s="550"/>
      <c r="N566" s="550"/>
      <c r="O566" s="550"/>
      <c r="P566" s="550"/>
      <c r="Q566" s="550"/>
      <c r="R566" s="550"/>
      <c r="S566" s="550"/>
      <c r="T566" s="551"/>
      <c r="U566" s="551"/>
      <c r="V566" s="551"/>
      <c r="W566" s="551"/>
      <c r="X566" s="551"/>
      <c r="Y566" s="551"/>
      <c r="Z566" s="551"/>
      <c r="AA566" s="551"/>
    </row>
    <row r="567">
      <c r="A567" s="574"/>
      <c r="B567" s="575"/>
      <c r="C567" s="575"/>
      <c r="D567" s="575"/>
      <c r="E567" s="576"/>
      <c r="F567" s="547"/>
      <c r="G567" s="547"/>
      <c r="H567" s="547"/>
      <c r="I567" s="573"/>
      <c r="J567" s="550"/>
      <c r="K567" s="550"/>
      <c r="L567" s="550"/>
      <c r="M567" s="550"/>
      <c r="N567" s="550"/>
      <c r="O567" s="550"/>
      <c r="P567" s="550"/>
      <c r="Q567" s="550"/>
      <c r="R567" s="550"/>
      <c r="S567" s="550"/>
      <c r="T567" s="551"/>
      <c r="U567" s="551"/>
      <c r="V567" s="551"/>
      <c r="W567" s="551"/>
      <c r="X567" s="551"/>
      <c r="Y567" s="551"/>
      <c r="Z567" s="551"/>
      <c r="AA567" s="551"/>
    </row>
    <row r="568">
      <c r="A568" s="574"/>
      <c r="B568" s="575"/>
      <c r="C568" s="575"/>
      <c r="D568" s="575"/>
      <c r="E568" s="576"/>
      <c r="F568" s="547"/>
      <c r="G568" s="547"/>
      <c r="H568" s="547"/>
      <c r="I568" s="573"/>
      <c r="J568" s="550"/>
      <c r="K568" s="550"/>
      <c r="L568" s="550"/>
      <c r="M568" s="550"/>
      <c r="N568" s="550"/>
      <c r="O568" s="550"/>
      <c r="P568" s="550"/>
      <c r="Q568" s="550"/>
      <c r="R568" s="550"/>
      <c r="S568" s="550"/>
      <c r="T568" s="551"/>
      <c r="U568" s="551"/>
      <c r="V568" s="551"/>
      <c r="W568" s="551"/>
      <c r="X568" s="551"/>
      <c r="Y568" s="551"/>
      <c r="Z568" s="551"/>
      <c r="AA568" s="551"/>
    </row>
    <row r="569">
      <c r="A569" s="574"/>
      <c r="B569" s="575"/>
      <c r="C569" s="575"/>
      <c r="D569" s="575"/>
      <c r="E569" s="576"/>
      <c r="F569" s="547"/>
      <c r="G569" s="547"/>
      <c r="H569" s="547"/>
      <c r="I569" s="573"/>
      <c r="J569" s="550"/>
      <c r="K569" s="550"/>
      <c r="L569" s="550"/>
      <c r="M569" s="550"/>
      <c r="N569" s="550"/>
      <c r="O569" s="550"/>
      <c r="P569" s="550"/>
      <c r="Q569" s="550"/>
      <c r="R569" s="550"/>
      <c r="S569" s="550"/>
      <c r="T569" s="551"/>
      <c r="U569" s="551"/>
      <c r="V569" s="551"/>
      <c r="W569" s="551"/>
      <c r="X569" s="551"/>
      <c r="Y569" s="551"/>
      <c r="Z569" s="551"/>
      <c r="AA569" s="551"/>
    </row>
    <row r="570">
      <c r="A570" s="574"/>
      <c r="B570" s="575"/>
      <c r="C570" s="575"/>
      <c r="D570" s="575"/>
      <c r="E570" s="576"/>
      <c r="F570" s="547"/>
      <c r="G570" s="547"/>
      <c r="H570" s="547"/>
      <c r="I570" s="573"/>
      <c r="J570" s="550"/>
      <c r="K570" s="550"/>
      <c r="L570" s="550"/>
      <c r="M570" s="550"/>
      <c r="N570" s="550"/>
      <c r="O570" s="550"/>
      <c r="P570" s="550"/>
      <c r="Q570" s="550"/>
      <c r="R570" s="550"/>
      <c r="S570" s="550"/>
      <c r="T570" s="551"/>
      <c r="U570" s="551"/>
      <c r="V570" s="551"/>
      <c r="W570" s="551"/>
      <c r="X570" s="551"/>
      <c r="Y570" s="551"/>
      <c r="Z570" s="551"/>
      <c r="AA570" s="551"/>
    </row>
    <row r="571">
      <c r="A571" s="574"/>
      <c r="B571" s="575"/>
      <c r="C571" s="575"/>
      <c r="D571" s="575"/>
      <c r="E571" s="576"/>
      <c r="F571" s="547"/>
      <c r="G571" s="547"/>
      <c r="H571" s="547"/>
      <c r="I571" s="573"/>
      <c r="J571" s="550"/>
      <c r="K571" s="550"/>
      <c r="L571" s="550"/>
      <c r="M571" s="550"/>
      <c r="N571" s="550"/>
      <c r="O571" s="550"/>
      <c r="P571" s="550"/>
      <c r="Q571" s="550"/>
      <c r="R571" s="550"/>
      <c r="S571" s="550"/>
      <c r="T571" s="551"/>
      <c r="U571" s="551"/>
      <c r="V571" s="551"/>
      <c r="W571" s="551"/>
      <c r="X571" s="551"/>
      <c r="Y571" s="551"/>
      <c r="Z571" s="551"/>
      <c r="AA571" s="551"/>
    </row>
    <row r="572">
      <c r="A572" s="574"/>
      <c r="B572" s="575"/>
      <c r="C572" s="575"/>
      <c r="D572" s="575"/>
      <c r="E572" s="576"/>
      <c r="F572" s="547"/>
      <c r="G572" s="547"/>
      <c r="H572" s="547"/>
      <c r="I572" s="573"/>
      <c r="J572" s="550"/>
      <c r="K572" s="550"/>
      <c r="L572" s="550"/>
      <c r="M572" s="550"/>
      <c r="N572" s="550"/>
      <c r="O572" s="550"/>
      <c r="P572" s="550"/>
      <c r="Q572" s="550"/>
      <c r="R572" s="550"/>
      <c r="S572" s="550"/>
      <c r="T572" s="551"/>
      <c r="U572" s="551"/>
      <c r="V572" s="551"/>
      <c r="W572" s="551"/>
      <c r="X572" s="551"/>
      <c r="Y572" s="551"/>
      <c r="Z572" s="551"/>
      <c r="AA572" s="551"/>
    </row>
    <row r="573">
      <c r="A573" s="574"/>
      <c r="B573" s="575"/>
      <c r="C573" s="575"/>
      <c r="D573" s="575"/>
      <c r="E573" s="576"/>
      <c r="F573" s="547"/>
      <c r="G573" s="547"/>
      <c r="H573" s="547"/>
      <c r="I573" s="573"/>
      <c r="J573" s="550"/>
      <c r="K573" s="550"/>
      <c r="L573" s="550"/>
      <c r="M573" s="550"/>
      <c r="N573" s="550"/>
      <c r="O573" s="550"/>
      <c r="P573" s="550"/>
      <c r="Q573" s="550"/>
      <c r="R573" s="550"/>
      <c r="S573" s="550"/>
      <c r="T573" s="551"/>
      <c r="U573" s="551"/>
      <c r="V573" s="551"/>
      <c r="W573" s="551"/>
      <c r="X573" s="551"/>
      <c r="Y573" s="551"/>
      <c r="Z573" s="551"/>
      <c r="AA573" s="551"/>
    </row>
    <row r="574">
      <c r="A574" s="574"/>
      <c r="B574" s="575"/>
      <c r="C574" s="575"/>
      <c r="D574" s="575"/>
      <c r="E574" s="576"/>
      <c r="F574" s="547"/>
      <c r="G574" s="547"/>
      <c r="H574" s="547"/>
      <c r="I574" s="573"/>
      <c r="J574" s="550"/>
      <c r="K574" s="550"/>
      <c r="L574" s="550"/>
      <c r="M574" s="550"/>
      <c r="N574" s="550"/>
      <c r="O574" s="550"/>
      <c r="P574" s="550"/>
      <c r="Q574" s="550"/>
      <c r="R574" s="550"/>
      <c r="S574" s="550"/>
      <c r="T574" s="551"/>
      <c r="U574" s="551"/>
      <c r="V574" s="551"/>
      <c r="W574" s="551"/>
      <c r="X574" s="551"/>
      <c r="Y574" s="551"/>
      <c r="Z574" s="551"/>
      <c r="AA574" s="551"/>
    </row>
    <row r="575">
      <c r="A575" s="574"/>
      <c r="B575" s="575"/>
      <c r="C575" s="575"/>
      <c r="D575" s="575"/>
      <c r="E575" s="576"/>
      <c r="F575" s="547"/>
      <c r="G575" s="547"/>
      <c r="H575" s="547"/>
      <c r="I575" s="573"/>
      <c r="J575" s="550"/>
      <c r="K575" s="550"/>
      <c r="L575" s="550"/>
      <c r="M575" s="550"/>
      <c r="N575" s="550"/>
      <c r="O575" s="550"/>
      <c r="P575" s="550"/>
      <c r="Q575" s="550"/>
      <c r="R575" s="550"/>
      <c r="S575" s="550"/>
      <c r="T575" s="551"/>
      <c r="U575" s="551"/>
      <c r="V575" s="551"/>
      <c r="W575" s="551"/>
      <c r="X575" s="551"/>
      <c r="Y575" s="551"/>
      <c r="Z575" s="551"/>
      <c r="AA575" s="551"/>
    </row>
    <row r="576">
      <c r="A576" s="574"/>
      <c r="B576" s="575"/>
      <c r="C576" s="575"/>
      <c r="D576" s="575"/>
      <c r="E576" s="576"/>
      <c r="F576" s="547"/>
      <c r="G576" s="547"/>
      <c r="H576" s="547"/>
      <c r="I576" s="573"/>
      <c r="J576" s="550"/>
      <c r="K576" s="550"/>
      <c r="L576" s="550"/>
      <c r="M576" s="550"/>
      <c r="N576" s="550"/>
      <c r="O576" s="550"/>
      <c r="P576" s="550"/>
      <c r="Q576" s="550"/>
      <c r="R576" s="550"/>
      <c r="S576" s="550"/>
      <c r="T576" s="551"/>
      <c r="U576" s="551"/>
      <c r="V576" s="551"/>
      <c r="W576" s="551"/>
      <c r="X576" s="551"/>
      <c r="Y576" s="551"/>
      <c r="Z576" s="551"/>
      <c r="AA576" s="551"/>
    </row>
    <row r="577">
      <c r="A577" s="574"/>
      <c r="B577" s="575"/>
      <c r="C577" s="575"/>
      <c r="D577" s="575"/>
      <c r="E577" s="576"/>
      <c r="F577" s="547"/>
      <c r="G577" s="547"/>
      <c r="H577" s="547"/>
      <c r="I577" s="573"/>
      <c r="J577" s="550"/>
      <c r="K577" s="550"/>
      <c r="L577" s="550"/>
      <c r="M577" s="550"/>
      <c r="N577" s="550"/>
      <c r="O577" s="550"/>
      <c r="P577" s="550"/>
      <c r="Q577" s="550"/>
      <c r="R577" s="550"/>
      <c r="S577" s="550"/>
      <c r="T577" s="551"/>
      <c r="U577" s="551"/>
      <c r="V577" s="551"/>
      <c r="W577" s="551"/>
      <c r="X577" s="551"/>
      <c r="Y577" s="551"/>
      <c r="Z577" s="551"/>
      <c r="AA577" s="551"/>
    </row>
    <row r="578">
      <c r="A578" s="574"/>
      <c r="B578" s="575"/>
      <c r="C578" s="575"/>
      <c r="D578" s="575"/>
      <c r="E578" s="576"/>
      <c r="F578" s="547"/>
      <c r="G578" s="547"/>
      <c r="H578" s="547"/>
      <c r="I578" s="573"/>
      <c r="J578" s="550"/>
      <c r="K578" s="550"/>
      <c r="L578" s="550"/>
      <c r="M578" s="550"/>
      <c r="N578" s="550"/>
      <c r="O578" s="550"/>
      <c r="P578" s="550"/>
      <c r="Q578" s="550"/>
      <c r="R578" s="550"/>
      <c r="S578" s="550"/>
      <c r="T578" s="551"/>
      <c r="U578" s="551"/>
      <c r="V578" s="551"/>
      <c r="W578" s="551"/>
      <c r="X578" s="551"/>
      <c r="Y578" s="551"/>
      <c r="Z578" s="551"/>
      <c r="AA578" s="551"/>
    </row>
    <row r="579">
      <c r="A579" s="574"/>
      <c r="B579" s="575"/>
      <c r="C579" s="575"/>
      <c r="D579" s="575"/>
      <c r="E579" s="576"/>
      <c r="F579" s="547"/>
      <c r="G579" s="547"/>
      <c r="H579" s="547"/>
      <c r="I579" s="573"/>
      <c r="J579" s="550"/>
      <c r="K579" s="550"/>
      <c r="L579" s="550"/>
      <c r="M579" s="550"/>
      <c r="N579" s="550"/>
      <c r="O579" s="550"/>
      <c r="P579" s="550"/>
      <c r="Q579" s="550"/>
      <c r="R579" s="550"/>
      <c r="S579" s="550"/>
      <c r="T579" s="551"/>
      <c r="U579" s="551"/>
      <c r="V579" s="551"/>
      <c r="W579" s="551"/>
      <c r="X579" s="551"/>
      <c r="Y579" s="551"/>
      <c r="Z579" s="551"/>
      <c r="AA579" s="551"/>
    </row>
    <row r="580">
      <c r="A580" s="574"/>
      <c r="B580" s="575"/>
      <c r="C580" s="575"/>
      <c r="D580" s="575"/>
      <c r="E580" s="576"/>
      <c r="F580" s="547"/>
      <c r="G580" s="547"/>
      <c r="H580" s="547"/>
      <c r="I580" s="573"/>
      <c r="J580" s="550"/>
      <c r="K580" s="550"/>
      <c r="L580" s="550"/>
      <c r="M580" s="550"/>
      <c r="N580" s="550"/>
      <c r="O580" s="550"/>
      <c r="P580" s="550"/>
      <c r="Q580" s="550"/>
      <c r="R580" s="550"/>
      <c r="S580" s="550"/>
      <c r="T580" s="551"/>
      <c r="U580" s="551"/>
      <c r="V580" s="551"/>
      <c r="W580" s="551"/>
      <c r="X580" s="551"/>
      <c r="Y580" s="551"/>
      <c r="Z580" s="551"/>
      <c r="AA580" s="551"/>
    </row>
    <row r="581">
      <c r="A581" s="574"/>
      <c r="B581" s="575"/>
      <c r="C581" s="575"/>
      <c r="D581" s="575"/>
      <c r="E581" s="576"/>
      <c r="F581" s="547"/>
      <c r="G581" s="547"/>
      <c r="H581" s="547"/>
      <c r="I581" s="573"/>
      <c r="J581" s="550"/>
      <c r="K581" s="550"/>
      <c r="L581" s="550"/>
      <c r="M581" s="550"/>
      <c r="N581" s="550"/>
      <c r="O581" s="550"/>
      <c r="P581" s="550"/>
      <c r="Q581" s="550"/>
      <c r="R581" s="550"/>
      <c r="S581" s="550"/>
      <c r="T581" s="551"/>
      <c r="U581" s="551"/>
      <c r="V581" s="551"/>
      <c r="W581" s="551"/>
      <c r="X581" s="551"/>
      <c r="Y581" s="551"/>
      <c r="Z581" s="551"/>
      <c r="AA581" s="551"/>
    </row>
    <row r="582">
      <c r="A582" s="574"/>
      <c r="B582" s="575"/>
      <c r="C582" s="575"/>
      <c r="D582" s="575"/>
      <c r="E582" s="576"/>
      <c r="F582" s="547"/>
      <c r="G582" s="547"/>
      <c r="H582" s="547"/>
      <c r="I582" s="573"/>
      <c r="J582" s="550"/>
      <c r="K582" s="550"/>
      <c r="L582" s="550"/>
      <c r="M582" s="550"/>
      <c r="N582" s="550"/>
      <c r="O582" s="550"/>
      <c r="P582" s="550"/>
      <c r="Q582" s="550"/>
      <c r="R582" s="550"/>
      <c r="S582" s="550"/>
      <c r="T582" s="551"/>
      <c r="U582" s="551"/>
      <c r="V582" s="551"/>
      <c r="W582" s="551"/>
      <c r="X582" s="551"/>
      <c r="Y582" s="551"/>
      <c r="Z582" s="551"/>
      <c r="AA582" s="551"/>
    </row>
    <row r="583">
      <c r="A583" s="574"/>
      <c r="B583" s="575"/>
      <c r="C583" s="575"/>
      <c r="D583" s="575"/>
      <c r="E583" s="576"/>
      <c r="F583" s="547"/>
      <c r="G583" s="547"/>
      <c r="H583" s="547"/>
      <c r="I583" s="573"/>
      <c r="J583" s="550"/>
      <c r="K583" s="550"/>
      <c r="L583" s="550"/>
      <c r="M583" s="550"/>
      <c r="N583" s="550"/>
      <c r="O583" s="550"/>
      <c r="P583" s="550"/>
      <c r="Q583" s="550"/>
      <c r="R583" s="550"/>
      <c r="S583" s="550"/>
      <c r="T583" s="551"/>
      <c r="U583" s="551"/>
      <c r="V583" s="551"/>
      <c r="W583" s="551"/>
      <c r="X583" s="551"/>
      <c r="Y583" s="551"/>
      <c r="Z583" s="551"/>
      <c r="AA583" s="551"/>
    </row>
    <row r="584">
      <c r="A584" s="574"/>
      <c r="B584" s="575"/>
      <c r="C584" s="575"/>
      <c r="D584" s="575"/>
      <c r="E584" s="576"/>
      <c r="F584" s="547"/>
      <c r="G584" s="547"/>
      <c r="H584" s="547"/>
      <c r="I584" s="573"/>
      <c r="J584" s="550"/>
      <c r="K584" s="550"/>
      <c r="L584" s="550"/>
      <c r="M584" s="550"/>
      <c r="N584" s="550"/>
      <c r="O584" s="550"/>
      <c r="P584" s="550"/>
      <c r="Q584" s="550"/>
      <c r="R584" s="550"/>
      <c r="S584" s="550"/>
      <c r="T584" s="551"/>
      <c r="U584" s="551"/>
      <c r="V584" s="551"/>
      <c r="W584" s="551"/>
      <c r="X584" s="551"/>
      <c r="Y584" s="551"/>
      <c r="Z584" s="551"/>
      <c r="AA584" s="551"/>
    </row>
    <row r="585">
      <c r="A585" s="574"/>
      <c r="B585" s="575"/>
      <c r="C585" s="575"/>
      <c r="D585" s="575"/>
      <c r="E585" s="576"/>
      <c r="F585" s="547"/>
      <c r="G585" s="547"/>
      <c r="H585" s="547"/>
      <c r="I585" s="573"/>
      <c r="J585" s="550"/>
      <c r="K585" s="550"/>
      <c r="L585" s="550"/>
      <c r="M585" s="550"/>
      <c r="N585" s="550"/>
      <c r="O585" s="550"/>
      <c r="P585" s="550"/>
      <c r="Q585" s="550"/>
      <c r="R585" s="550"/>
      <c r="S585" s="550"/>
      <c r="T585" s="551"/>
      <c r="U585" s="551"/>
      <c r="V585" s="551"/>
      <c r="W585" s="551"/>
      <c r="X585" s="551"/>
      <c r="Y585" s="551"/>
      <c r="Z585" s="551"/>
      <c r="AA585" s="551"/>
    </row>
    <row r="586">
      <c r="A586" s="574"/>
      <c r="B586" s="575"/>
      <c r="C586" s="575"/>
      <c r="D586" s="575"/>
      <c r="E586" s="576"/>
      <c r="F586" s="547"/>
      <c r="G586" s="547"/>
      <c r="H586" s="547"/>
      <c r="I586" s="573"/>
      <c r="J586" s="550"/>
      <c r="K586" s="550"/>
      <c r="L586" s="550"/>
      <c r="M586" s="550"/>
      <c r="N586" s="550"/>
      <c r="O586" s="550"/>
      <c r="P586" s="550"/>
      <c r="Q586" s="550"/>
      <c r="R586" s="550"/>
      <c r="S586" s="550"/>
      <c r="T586" s="551"/>
      <c r="U586" s="551"/>
      <c r="V586" s="551"/>
      <c r="W586" s="551"/>
      <c r="X586" s="551"/>
      <c r="Y586" s="551"/>
      <c r="Z586" s="551"/>
      <c r="AA586" s="551"/>
    </row>
    <row r="587">
      <c r="A587" s="574"/>
      <c r="B587" s="575"/>
      <c r="C587" s="575"/>
      <c r="D587" s="575"/>
      <c r="E587" s="576"/>
      <c r="F587" s="547"/>
      <c r="G587" s="547"/>
      <c r="H587" s="547"/>
      <c r="I587" s="573"/>
      <c r="J587" s="550"/>
      <c r="K587" s="550"/>
      <c r="L587" s="550"/>
      <c r="M587" s="550"/>
      <c r="N587" s="550"/>
      <c r="O587" s="550"/>
      <c r="P587" s="550"/>
      <c r="Q587" s="550"/>
      <c r="R587" s="550"/>
      <c r="S587" s="550"/>
      <c r="T587" s="551"/>
      <c r="U587" s="551"/>
      <c r="V587" s="551"/>
      <c r="W587" s="551"/>
      <c r="X587" s="551"/>
      <c r="Y587" s="551"/>
      <c r="Z587" s="551"/>
      <c r="AA587" s="551"/>
    </row>
    <row r="588">
      <c r="A588" s="574"/>
      <c r="B588" s="575"/>
      <c r="C588" s="575"/>
      <c r="D588" s="575"/>
      <c r="E588" s="576"/>
      <c r="F588" s="547"/>
      <c r="G588" s="547"/>
      <c r="H588" s="547"/>
      <c r="I588" s="573"/>
      <c r="J588" s="550"/>
      <c r="K588" s="550"/>
      <c r="L588" s="550"/>
      <c r="M588" s="550"/>
      <c r="N588" s="550"/>
      <c r="O588" s="550"/>
      <c r="P588" s="550"/>
      <c r="Q588" s="550"/>
      <c r="R588" s="550"/>
      <c r="S588" s="550"/>
      <c r="T588" s="551"/>
      <c r="U588" s="551"/>
      <c r="V588" s="551"/>
      <c r="W588" s="551"/>
      <c r="X588" s="551"/>
      <c r="Y588" s="551"/>
      <c r="Z588" s="551"/>
      <c r="AA588" s="551"/>
    </row>
    <row r="589">
      <c r="A589" s="574"/>
      <c r="B589" s="575"/>
      <c r="C589" s="575"/>
      <c r="D589" s="575"/>
      <c r="E589" s="576"/>
      <c r="F589" s="547"/>
      <c r="G589" s="547"/>
      <c r="H589" s="547"/>
      <c r="I589" s="573"/>
      <c r="J589" s="550"/>
      <c r="K589" s="550"/>
      <c r="L589" s="550"/>
      <c r="M589" s="550"/>
      <c r="N589" s="550"/>
      <c r="O589" s="550"/>
      <c r="P589" s="550"/>
      <c r="Q589" s="550"/>
      <c r="R589" s="550"/>
      <c r="S589" s="550"/>
      <c r="T589" s="551"/>
      <c r="U589" s="551"/>
      <c r="V589" s="551"/>
      <c r="W589" s="551"/>
      <c r="X589" s="551"/>
      <c r="Y589" s="551"/>
      <c r="Z589" s="551"/>
      <c r="AA589" s="551"/>
    </row>
    <row r="590">
      <c r="A590" s="574"/>
      <c r="B590" s="575"/>
      <c r="C590" s="575"/>
      <c r="D590" s="575"/>
      <c r="E590" s="576"/>
      <c r="F590" s="547"/>
      <c r="G590" s="547"/>
      <c r="H590" s="547"/>
      <c r="I590" s="573"/>
      <c r="J590" s="550"/>
      <c r="K590" s="550"/>
      <c r="L590" s="550"/>
      <c r="M590" s="550"/>
      <c r="N590" s="550"/>
      <c r="O590" s="550"/>
      <c r="P590" s="550"/>
      <c r="Q590" s="550"/>
      <c r="R590" s="550"/>
      <c r="S590" s="550"/>
      <c r="T590" s="551"/>
      <c r="U590" s="551"/>
      <c r="V590" s="551"/>
      <c r="W590" s="551"/>
      <c r="X590" s="551"/>
      <c r="Y590" s="551"/>
      <c r="Z590" s="551"/>
      <c r="AA590" s="551"/>
    </row>
    <row r="591">
      <c r="A591" s="574"/>
      <c r="B591" s="575"/>
      <c r="C591" s="575"/>
      <c r="D591" s="575"/>
      <c r="E591" s="576"/>
      <c r="F591" s="547"/>
      <c r="G591" s="547"/>
      <c r="H591" s="547"/>
      <c r="I591" s="573"/>
      <c r="J591" s="550"/>
      <c r="K591" s="550"/>
      <c r="L591" s="550"/>
      <c r="M591" s="550"/>
      <c r="N591" s="550"/>
      <c r="O591" s="550"/>
      <c r="P591" s="550"/>
      <c r="Q591" s="550"/>
      <c r="R591" s="550"/>
      <c r="S591" s="550"/>
      <c r="T591" s="551"/>
      <c r="U591" s="551"/>
      <c r="V591" s="551"/>
      <c r="W591" s="551"/>
      <c r="X591" s="551"/>
      <c r="Y591" s="551"/>
      <c r="Z591" s="551"/>
      <c r="AA591" s="551"/>
    </row>
    <row r="592">
      <c r="A592" s="574"/>
      <c r="B592" s="575"/>
      <c r="C592" s="575"/>
      <c r="D592" s="575"/>
      <c r="E592" s="576"/>
      <c r="F592" s="547"/>
      <c r="G592" s="547"/>
      <c r="H592" s="547"/>
      <c r="I592" s="573"/>
      <c r="J592" s="550"/>
      <c r="K592" s="550"/>
      <c r="L592" s="550"/>
      <c r="M592" s="550"/>
      <c r="N592" s="550"/>
      <c r="O592" s="550"/>
      <c r="P592" s="550"/>
      <c r="Q592" s="550"/>
      <c r="R592" s="550"/>
      <c r="S592" s="550"/>
      <c r="T592" s="551"/>
      <c r="U592" s="551"/>
      <c r="V592" s="551"/>
      <c r="W592" s="551"/>
      <c r="X592" s="551"/>
      <c r="Y592" s="551"/>
      <c r="Z592" s="551"/>
      <c r="AA592" s="551"/>
    </row>
    <row r="593">
      <c r="A593" s="574"/>
      <c r="B593" s="575"/>
      <c r="C593" s="575"/>
      <c r="D593" s="575"/>
      <c r="E593" s="576"/>
      <c r="F593" s="547"/>
      <c r="G593" s="547"/>
      <c r="H593" s="547"/>
      <c r="I593" s="573"/>
      <c r="J593" s="550"/>
      <c r="K593" s="550"/>
      <c r="L593" s="550"/>
      <c r="M593" s="550"/>
      <c r="N593" s="550"/>
      <c r="O593" s="550"/>
      <c r="P593" s="550"/>
      <c r="Q593" s="550"/>
      <c r="R593" s="550"/>
      <c r="S593" s="550"/>
      <c r="T593" s="551"/>
      <c r="U593" s="551"/>
      <c r="V593" s="551"/>
      <c r="W593" s="551"/>
      <c r="X593" s="551"/>
      <c r="Y593" s="551"/>
      <c r="Z593" s="551"/>
      <c r="AA593" s="551"/>
    </row>
    <row r="594">
      <c r="A594" s="574"/>
      <c r="B594" s="575"/>
      <c r="C594" s="575"/>
      <c r="D594" s="575"/>
      <c r="E594" s="576"/>
      <c r="F594" s="547"/>
      <c r="G594" s="547"/>
      <c r="H594" s="547"/>
      <c r="I594" s="573"/>
      <c r="J594" s="550"/>
      <c r="K594" s="550"/>
      <c r="L594" s="550"/>
      <c r="M594" s="550"/>
      <c r="N594" s="550"/>
      <c r="O594" s="550"/>
      <c r="P594" s="550"/>
      <c r="Q594" s="550"/>
      <c r="R594" s="550"/>
      <c r="S594" s="550"/>
      <c r="T594" s="551"/>
      <c r="U594" s="551"/>
      <c r="V594" s="551"/>
      <c r="W594" s="551"/>
      <c r="X594" s="551"/>
      <c r="Y594" s="551"/>
      <c r="Z594" s="551"/>
      <c r="AA594" s="551"/>
    </row>
    <row r="595">
      <c r="A595" s="574"/>
      <c r="B595" s="575"/>
      <c r="C595" s="575"/>
      <c r="D595" s="575"/>
      <c r="E595" s="576"/>
      <c r="F595" s="547"/>
      <c r="G595" s="547"/>
      <c r="H595" s="547"/>
      <c r="I595" s="573"/>
      <c r="J595" s="550"/>
      <c r="K595" s="550"/>
      <c r="L595" s="550"/>
      <c r="M595" s="550"/>
      <c r="N595" s="550"/>
      <c r="O595" s="550"/>
      <c r="P595" s="550"/>
      <c r="Q595" s="550"/>
      <c r="R595" s="550"/>
      <c r="S595" s="550"/>
      <c r="T595" s="551"/>
      <c r="U595" s="551"/>
      <c r="V595" s="551"/>
      <c r="W595" s="551"/>
      <c r="X595" s="551"/>
      <c r="Y595" s="551"/>
      <c r="Z595" s="551"/>
      <c r="AA595" s="551"/>
    </row>
    <row r="596">
      <c r="A596" s="574"/>
      <c r="B596" s="575"/>
      <c r="C596" s="575"/>
      <c r="D596" s="575"/>
      <c r="E596" s="576"/>
      <c r="F596" s="547"/>
      <c r="G596" s="547"/>
      <c r="H596" s="547"/>
      <c r="I596" s="573"/>
      <c r="J596" s="550"/>
      <c r="K596" s="550"/>
      <c r="L596" s="550"/>
      <c r="M596" s="550"/>
      <c r="N596" s="550"/>
      <c r="O596" s="550"/>
      <c r="P596" s="550"/>
      <c r="Q596" s="550"/>
      <c r="R596" s="550"/>
      <c r="S596" s="550"/>
      <c r="T596" s="551"/>
      <c r="U596" s="551"/>
      <c r="V596" s="551"/>
      <c r="W596" s="551"/>
      <c r="X596" s="551"/>
      <c r="Y596" s="551"/>
      <c r="Z596" s="551"/>
      <c r="AA596" s="551"/>
    </row>
    <row r="597">
      <c r="A597" s="574"/>
      <c r="B597" s="575"/>
      <c r="C597" s="575"/>
      <c r="D597" s="575"/>
      <c r="E597" s="576"/>
      <c r="F597" s="547"/>
      <c r="G597" s="547"/>
      <c r="H597" s="547"/>
      <c r="I597" s="573"/>
      <c r="J597" s="550"/>
      <c r="K597" s="550"/>
      <c r="L597" s="550"/>
      <c r="M597" s="550"/>
      <c r="N597" s="550"/>
      <c r="O597" s="550"/>
      <c r="P597" s="550"/>
      <c r="Q597" s="550"/>
      <c r="R597" s="550"/>
      <c r="S597" s="550"/>
      <c r="T597" s="551"/>
      <c r="U597" s="551"/>
      <c r="V597" s="551"/>
      <c r="W597" s="551"/>
      <c r="X597" s="551"/>
      <c r="Y597" s="551"/>
      <c r="Z597" s="551"/>
      <c r="AA597" s="551"/>
    </row>
    <row r="598">
      <c r="A598" s="574"/>
      <c r="B598" s="575"/>
      <c r="C598" s="575"/>
      <c r="D598" s="575"/>
      <c r="E598" s="576"/>
      <c r="F598" s="547"/>
      <c r="G598" s="547"/>
      <c r="H598" s="547"/>
      <c r="I598" s="573"/>
      <c r="J598" s="550"/>
      <c r="K598" s="550"/>
      <c r="L598" s="550"/>
      <c r="M598" s="550"/>
      <c r="N598" s="550"/>
      <c r="O598" s="550"/>
      <c r="P598" s="550"/>
      <c r="Q598" s="550"/>
      <c r="R598" s="550"/>
      <c r="S598" s="550"/>
      <c r="T598" s="551"/>
      <c r="U598" s="551"/>
      <c r="V598" s="551"/>
      <c r="W598" s="551"/>
      <c r="X598" s="551"/>
      <c r="Y598" s="551"/>
      <c r="Z598" s="551"/>
      <c r="AA598" s="551"/>
    </row>
    <row r="599">
      <c r="A599" s="574"/>
      <c r="B599" s="575"/>
      <c r="C599" s="575"/>
      <c r="D599" s="575"/>
      <c r="E599" s="576"/>
      <c r="F599" s="547"/>
      <c r="G599" s="547"/>
      <c r="H599" s="547"/>
      <c r="I599" s="573"/>
      <c r="J599" s="550"/>
      <c r="K599" s="550"/>
      <c r="L599" s="550"/>
      <c r="M599" s="550"/>
      <c r="N599" s="550"/>
      <c r="O599" s="550"/>
      <c r="P599" s="550"/>
      <c r="Q599" s="550"/>
      <c r="R599" s="550"/>
      <c r="S599" s="550"/>
      <c r="T599" s="551"/>
      <c r="U599" s="551"/>
      <c r="V599" s="551"/>
      <c r="W599" s="551"/>
      <c r="X599" s="551"/>
      <c r="Y599" s="551"/>
      <c r="Z599" s="551"/>
      <c r="AA599" s="551"/>
    </row>
    <row r="600">
      <c r="A600" s="574"/>
      <c r="B600" s="575"/>
      <c r="C600" s="575"/>
      <c r="D600" s="575"/>
      <c r="E600" s="576"/>
      <c r="F600" s="547"/>
      <c r="G600" s="547"/>
      <c r="H600" s="547"/>
      <c r="I600" s="573"/>
      <c r="J600" s="550"/>
      <c r="K600" s="550"/>
      <c r="L600" s="550"/>
      <c r="M600" s="550"/>
      <c r="N600" s="550"/>
      <c r="O600" s="550"/>
      <c r="P600" s="550"/>
      <c r="Q600" s="550"/>
      <c r="R600" s="550"/>
      <c r="S600" s="550"/>
      <c r="T600" s="551"/>
      <c r="U600" s="551"/>
      <c r="V600" s="551"/>
      <c r="W600" s="551"/>
      <c r="X600" s="551"/>
      <c r="Y600" s="551"/>
      <c r="Z600" s="551"/>
      <c r="AA600" s="551"/>
    </row>
    <row r="601">
      <c r="A601" s="574"/>
      <c r="B601" s="575"/>
      <c r="C601" s="575"/>
      <c r="D601" s="575"/>
      <c r="E601" s="576"/>
      <c r="F601" s="547"/>
      <c r="G601" s="547"/>
      <c r="H601" s="547"/>
      <c r="I601" s="573"/>
      <c r="J601" s="550"/>
      <c r="K601" s="550"/>
      <c r="L601" s="550"/>
      <c r="M601" s="550"/>
      <c r="N601" s="550"/>
      <c r="O601" s="550"/>
      <c r="P601" s="550"/>
      <c r="Q601" s="550"/>
      <c r="R601" s="550"/>
      <c r="S601" s="550"/>
      <c r="T601" s="551"/>
      <c r="U601" s="551"/>
      <c r="V601" s="551"/>
      <c r="W601" s="551"/>
      <c r="X601" s="551"/>
      <c r="Y601" s="551"/>
      <c r="Z601" s="551"/>
      <c r="AA601" s="551"/>
    </row>
    <row r="602">
      <c r="A602" s="574"/>
      <c r="B602" s="575"/>
      <c r="C602" s="575"/>
      <c r="D602" s="575"/>
      <c r="E602" s="576"/>
      <c r="F602" s="547"/>
      <c r="G602" s="547"/>
      <c r="H602" s="547"/>
      <c r="I602" s="573"/>
      <c r="J602" s="550"/>
      <c r="K602" s="550"/>
      <c r="L602" s="550"/>
      <c r="M602" s="550"/>
      <c r="N602" s="550"/>
      <c r="O602" s="550"/>
      <c r="P602" s="550"/>
      <c r="Q602" s="550"/>
      <c r="R602" s="550"/>
      <c r="S602" s="550"/>
      <c r="T602" s="551"/>
      <c r="U602" s="551"/>
      <c r="V602" s="551"/>
      <c r="W602" s="551"/>
      <c r="X602" s="551"/>
      <c r="Y602" s="551"/>
      <c r="Z602" s="551"/>
      <c r="AA602" s="551"/>
    </row>
    <row r="603">
      <c r="A603" s="574"/>
      <c r="B603" s="575"/>
      <c r="C603" s="575"/>
      <c r="D603" s="575"/>
      <c r="E603" s="576"/>
      <c r="F603" s="547"/>
      <c r="G603" s="547"/>
      <c r="H603" s="547"/>
      <c r="I603" s="573"/>
      <c r="J603" s="550"/>
      <c r="K603" s="550"/>
      <c r="L603" s="550"/>
      <c r="M603" s="550"/>
      <c r="N603" s="550"/>
      <c r="O603" s="550"/>
      <c r="P603" s="550"/>
      <c r="Q603" s="550"/>
      <c r="R603" s="550"/>
      <c r="S603" s="550"/>
      <c r="T603" s="551"/>
      <c r="U603" s="551"/>
      <c r="V603" s="551"/>
      <c r="W603" s="551"/>
      <c r="X603" s="551"/>
      <c r="Y603" s="551"/>
      <c r="Z603" s="551"/>
      <c r="AA603" s="551"/>
    </row>
    <row r="604">
      <c r="A604" s="574"/>
      <c r="B604" s="575"/>
      <c r="C604" s="575"/>
      <c r="D604" s="575"/>
      <c r="E604" s="576"/>
      <c r="F604" s="547"/>
      <c r="G604" s="547"/>
      <c r="H604" s="547"/>
      <c r="I604" s="573"/>
      <c r="J604" s="550"/>
      <c r="K604" s="550"/>
      <c r="L604" s="550"/>
      <c r="M604" s="550"/>
      <c r="N604" s="550"/>
      <c r="O604" s="550"/>
      <c r="P604" s="550"/>
      <c r="Q604" s="550"/>
      <c r="R604" s="550"/>
      <c r="S604" s="550"/>
      <c r="T604" s="551"/>
      <c r="U604" s="551"/>
      <c r="V604" s="551"/>
      <c r="W604" s="551"/>
      <c r="X604" s="551"/>
      <c r="Y604" s="551"/>
      <c r="Z604" s="551"/>
      <c r="AA604" s="551"/>
    </row>
    <row r="605">
      <c r="A605" s="574"/>
      <c r="B605" s="575"/>
      <c r="C605" s="575"/>
      <c r="D605" s="575"/>
      <c r="E605" s="576"/>
      <c r="F605" s="547"/>
      <c r="G605" s="547"/>
      <c r="H605" s="547"/>
      <c r="I605" s="573"/>
      <c r="J605" s="550"/>
      <c r="K605" s="550"/>
      <c r="L605" s="550"/>
      <c r="M605" s="550"/>
      <c r="N605" s="550"/>
      <c r="O605" s="550"/>
      <c r="P605" s="550"/>
      <c r="Q605" s="550"/>
      <c r="R605" s="550"/>
      <c r="S605" s="550"/>
      <c r="T605" s="551"/>
      <c r="U605" s="551"/>
      <c r="V605" s="551"/>
      <c r="W605" s="551"/>
      <c r="X605" s="551"/>
      <c r="Y605" s="551"/>
      <c r="Z605" s="551"/>
      <c r="AA605" s="551"/>
    </row>
    <row r="606">
      <c r="A606" s="574"/>
      <c r="B606" s="575"/>
      <c r="C606" s="575"/>
      <c r="D606" s="575"/>
      <c r="E606" s="576"/>
      <c r="F606" s="547"/>
      <c r="G606" s="547"/>
      <c r="H606" s="547"/>
      <c r="I606" s="573"/>
      <c r="J606" s="550"/>
      <c r="K606" s="550"/>
      <c r="L606" s="550"/>
      <c r="M606" s="550"/>
      <c r="N606" s="550"/>
      <c r="O606" s="550"/>
      <c r="P606" s="550"/>
      <c r="Q606" s="550"/>
      <c r="R606" s="550"/>
      <c r="S606" s="550"/>
      <c r="T606" s="551"/>
      <c r="U606" s="551"/>
      <c r="V606" s="551"/>
      <c r="W606" s="551"/>
      <c r="X606" s="551"/>
      <c r="Y606" s="551"/>
      <c r="Z606" s="551"/>
      <c r="AA606" s="551"/>
    </row>
    <row r="607">
      <c r="A607" s="574"/>
      <c r="B607" s="575"/>
      <c r="C607" s="575"/>
      <c r="D607" s="575"/>
      <c r="E607" s="576"/>
      <c r="F607" s="547"/>
      <c r="G607" s="547"/>
      <c r="H607" s="547"/>
      <c r="I607" s="573"/>
      <c r="J607" s="550"/>
      <c r="K607" s="550"/>
      <c r="L607" s="550"/>
      <c r="M607" s="550"/>
      <c r="N607" s="550"/>
      <c r="O607" s="550"/>
      <c r="P607" s="550"/>
      <c r="Q607" s="550"/>
      <c r="R607" s="550"/>
      <c r="S607" s="550"/>
      <c r="T607" s="551"/>
      <c r="U607" s="551"/>
      <c r="V607" s="551"/>
      <c r="W607" s="551"/>
      <c r="X607" s="551"/>
      <c r="Y607" s="551"/>
      <c r="Z607" s="551"/>
      <c r="AA607" s="551"/>
    </row>
    <row r="608">
      <c r="A608" s="574"/>
      <c r="B608" s="575"/>
      <c r="C608" s="575"/>
      <c r="D608" s="575"/>
      <c r="E608" s="576"/>
      <c r="F608" s="547"/>
      <c r="G608" s="547"/>
      <c r="H608" s="547"/>
      <c r="I608" s="573"/>
      <c r="J608" s="550"/>
      <c r="K608" s="550"/>
      <c r="L608" s="550"/>
      <c r="M608" s="550"/>
      <c r="N608" s="550"/>
      <c r="O608" s="550"/>
      <c r="P608" s="550"/>
      <c r="Q608" s="550"/>
      <c r="R608" s="550"/>
      <c r="S608" s="550"/>
      <c r="T608" s="551"/>
      <c r="U608" s="551"/>
      <c r="V608" s="551"/>
      <c r="W608" s="551"/>
      <c r="X608" s="551"/>
      <c r="Y608" s="551"/>
      <c r="Z608" s="551"/>
      <c r="AA608" s="551"/>
    </row>
    <row r="609">
      <c r="A609" s="574"/>
      <c r="B609" s="575"/>
      <c r="C609" s="575"/>
      <c r="D609" s="575"/>
      <c r="E609" s="576"/>
      <c r="F609" s="547"/>
      <c r="G609" s="547"/>
      <c r="H609" s="547"/>
      <c r="I609" s="573"/>
      <c r="J609" s="550"/>
      <c r="K609" s="550"/>
      <c r="L609" s="550"/>
      <c r="M609" s="550"/>
      <c r="N609" s="550"/>
      <c r="O609" s="550"/>
      <c r="P609" s="550"/>
      <c r="Q609" s="550"/>
      <c r="R609" s="550"/>
      <c r="S609" s="550"/>
      <c r="T609" s="551"/>
      <c r="U609" s="551"/>
      <c r="V609" s="551"/>
      <c r="W609" s="551"/>
      <c r="X609" s="551"/>
      <c r="Y609" s="551"/>
      <c r="Z609" s="551"/>
      <c r="AA609" s="551"/>
    </row>
    <row r="610">
      <c r="A610" s="574"/>
      <c r="B610" s="575"/>
      <c r="C610" s="575"/>
      <c r="D610" s="575"/>
      <c r="E610" s="576"/>
      <c r="F610" s="547"/>
      <c r="G610" s="547"/>
      <c r="H610" s="547"/>
      <c r="I610" s="573"/>
      <c r="J610" s="550"/>
      <c r="K610" s="550"/>
      <c r="L610" s="550"/>
      <c r="M610" s="550"/>
      <c r="N610" s="550"/>
      <c r="O610" s="550"/>
      <c r="P610" s="550"/>
      <c r="Q610" s="550"/>
      <c r="R610" s="550"/>
      <c r="S610" s="550"/>
      <c r="T610" s="551"/>
      <c r="U610" s="551"/>
      <c r="V610" s="551"/>
      <c r="W610" s="551"/>
      <c r="X610" s="551"/>
      <c r="Y610" s="551"/>
      <c r="Z610" s="551"/>
      <c r="AA610" s="551"/>
    </row>
    <row r="611">
      <c r="A611" s="574"/>
      <c r="B611" s="575"/>
      <c r="C611" s="575"/>
      <c r="D611" s="575"/>
      <c r="E611" s="576"/>
      <c r="F611" s="547"/>
      <c r="G611" s="547"/>
      <c r="H611" s="547"/>
      <c r="I611" s="573"/>
      <c r="J611" s="550"/>
      <c r="K611" s="550"/>
      <c r="L611" s="550"/>
      <c r="M611" s="550"/>
      <c r="N611" s="550"/>
      <c r="O611" s="550"/>
      <c r="P611" s="550"/>
      <c r="Q611" s="550"/>
      <c r="R611" s="550"/>
      <c r="S611" s="550"/>
      <c r="T611" s="551"/>
      <c r="U611" s="551"/>
      <c r="V611" s="551"/>
      <c r="W611" s="551"/>
      <c r="X611" s="551"/>
      <c r="Y611" s="551"/>
      <c r="Z611" s="551"/>
      <c r="AA611" s="551"/>
    </row>
    <row r="612">
      <c r="A612" s="574"/>
      <c r="B612" s="575"/>
      <c r="C612" s="575"/>
      <c r="D612" s="575"/>
      <c r="E612" s="576"/>
      <c r="F612" s="547"/>
      <c r="G612" s="547"/>
      <c r="H612" s="547"/>
      <c r="I612" s="573"/>
      <c r="J612" s="550"/>
      <c r="K612" s="550"/>
      <c r="L612" s="550"/>
      <c r="M612" s="550"/>
      <c r="N612" s="550"/>
      <c r="O612" s="550"/>
      <c r="P612" s="550"/>
      <c r="Q612" s="550"/>
      <c r="R612" s="550"/>
      <c r="S612" s="550"/>
      <c r="T612" s="551"/>
      <c r="U612" s="551"/>
      <c r="V612" s="551"/>
      <c r="W612" s="551"/>
      <c r="X612" s="551"/>
      <c r="Y612" s="551"/>
      <c r="Z612" s="551"/>
      <c r="AA612" s="551"/>
    </row>
    <row r="613">
      <c r="A613" s="574"/>
      <c r="B613" s="575"/>
      <c r="C613" s="575"/>
      <c r="D613" s="575"/>
      <c r="E613" s="576"/>
      <c r="F613" s="547"/>
      <c r="G613" s="547"/>
      <c r="H613" s="547"/>
      <c r="I613" s="573"/>
      <c r="J613" s="550"/>
      <c r="K613" s="550"/>
      <c r="L613" s="550"/>
      <c r="M613" s="550"/>
      <c r="N613" s="550"/>
      <c r="O613" s="550"/>
      <c r="P613" s="550"/>
      <c r="Q613" s="550"/>
      <c r="R613" s="550"/>
      <c r="S613" s="550"/>
      <c r="T613" s="551"/>
      <c r="U613" s="551"/>
      <c r="V613" s="551"/>
      <c r="W613" s="551"/>
      <c r="X613" s="551"/>
      <c r="Y613" s="551"/>
      <c r="Z613" s="551"/>
      <c r="AA613" s="551"/>
    </row>
    <row r="614">
      <c r="A614" s="574"/>
      <c r="B614" s="575"/>
      <c r="C614" s="575"/>
      <c r="D614" s="575"/>
      <c r="E614" s="576"/>
      <c r="F614" s="547"/>
      <c r="G614" s="547"/>
      <c r="H614" s="547"/>
      <c r="I614" s="573"/>
      <c r="J614" s="550"/>
      <c r="K614" s="550"/>
      <c r="L614" s="550"/>
      <c r="M614" s="550"/>
      <c r="N614" s="550"/>
      <c r="O614" s="550"/>
      <c r="P614" s="550"/>
      <c r="Q614" s="550"/>
      <c r="R614" s="550"/>
      <c r="S614" s="550"/>
      <c r="T614" s="551"/>
      <c r="U614" s="551"/>
      <c r="V614" s="551"/>
      <c r="W614" s="551"/>
      <c r="X614" s="551"/>
      <c r="Y614" s="551"/>
      <c r="Z614" s="551"/>
      <c r="AA614" s="551"/>
    </row>
    <row r="615">
      <c r="A615" s="574"/>
      <c r="B615" s="575"/>
      <c r="C615" s="575"/>
      <c r="D615" s="575"/>
      <c r="E615" s="576"/>
      <c r="F615" s="547"/>
      <c r="G615" s="547"/>
      <c r="H615" s="547"/>
      <c r="I615" s="573"/>
      <c r="J615" s="550"/>
      <c r="K615" s="550"/>
      <c r="L615" s="550"/>
      <c r="M615" s="550"/>
      <c r="N615" s="550"/>
      <c r="O615" s="550"/>
      <c r="P615" s="550"/>
      <c r="Q615" s="550"/>
      <c r="R615" s="550"/>
      <c r="S615" s="550"/>
      <c r="T615" s="551"/>
      <c r="U615" s="551"/>
      <c r="V615" s="551"/>
      <c r="W615" s="551"/>
      <c r="X615" s="551"/>
      <c r="Y615" s="551"/>
      <c r="Z615" s="551"/>
      <c r="AA615" s="551"/>
    </row>
    <row r="616">
      <c r="A616" s="574"/>
      <c r="B616" s="575"/>
      <c r="C616" s="575"/>
      <c r="D616" s="575"/>
      <c r="E616" s="576"/>
      <c r="F616" s="547"/>
      <c r="G616" s="547"/>
      <c r="H616" s="547"/>
      <c r="I616" s="573"/>
      <c r="J616" s="550"/>
      <c r="K616" s="550"/>
      <c r="L616" s="550"/>
      <c r="M616" s="550"/>
      <c r="N616" s="550"/>
      <c r="O616" s="550"/>
      <c r="P616" s="550"/>
      <c r="Q616" s="550"/>
      <c r="R616" s="550"/>
      <c r="S616" s="550"/>
      <c r="T616" s="551"/>
      <c r="U616" s="551"/>
      <c r="V616" s="551"/>
      <c r="W616" s="551"/>
      <c r="X616" s="551"/>
      <c r="Y616" s="551"/>
      <c r="Z616" s="551"/>
      <c r="AA616" s="551"/>
    </row>
    <row r="617">
      <c r="A617" s="574"/>
      <c r="B617" s="575"/>
      <c r="C617" s="575"/>
      <c r="D617" s="575"/>
      <c r="E617" s="576"/>
      <c r="F617" s="547"/>
      <c r="G617" s="547"/>
      <c r="H617" s="547"/>
      <c r="I617" s="573"/>
      <c r="J617" s="550"/>
      <c r="K617" s="550"/>
      <c r="L617" s="550"/>
      <c r="M617" s="550"/>
      <c r="N617" s="550"/>
      <c r="O617" s="550"/>
      <c r="P617" s="550"/>
      <c r="Q617" s="550"/>
      <c r="R617" s="550"/>
      <c r="S617" s="550"/>
      <c r="T617" s="551"/>
      <c r="U617" s="551"/>
      <c r="V617" s="551"/>
      <c r="W617" s="551"/>
      <c r="X617" s="551"/>
      <c r="Y617" s="551"/>
      <c r="Z617" s="551"/>
      <c r="AA617" s="551"/>
    </row>
    <row r="618">
      <c r="A618" s="574"/>
      <c r="B618" s="575"/>
      <c r="C618" s="575"/>
      <c r="D618" s="575"/>
      <c r="E618" s="576"/>
      <c r="F618" s="547"/>
      <c r="G618" s="547"/>
      <c r="H618" s="547"/>
      <c r="I618" s="573"/>
      <c r="J618" s="550"/>
      <c r="K618" s="550"/>
      <c r="L618" s="550"/>
      <c r="M618" s="550"/>
      <c r="N618" s="550"/>
      <c r="O618" s="550"/>
      <c r="P618" s="550"/>
      <c r="Q618" s="550"/>
      <c r="R618" s="550"/>
      <c r="S618" s="550"/>
      <c r="T618" s="551"/>
      <c r="U618" s="551"/>
      <c r="V618" s="551"/>
      <c r="W618" s="551"/>
      <c r="X618" s="551"/>
      <c r="Y618" s="551"/>
      <c r="Z618" s="551"/>
      <c r="AA618" s="551"/>
    </row>
    <row r="619">
      <c r="A619" s="574"/>
      <c r="B619" s="575"/>
      <c r="C619" s="575"/>
      <c r="D619" s="575"/>
      <c r="E619" s="576"/>
      <c r="F619" s="547"/>
      <c r="G619" s="547"/>
      <c r="H619" s="547"/>
      <c r="I619" s="573"/>
      <c r="J619" s="550"/>
      <c r="K619" s="550"/>
      <c r="L619" s="550"/>
      <c r="M619" s="550"/>
      <c r="N619" s="550"/>
      <c r="O619" s="550"/>
      <c r="P619" s="550"/>
      <c r="Q619" s="550"/>
      <c r="R619" s="550"/>
      <c r="S619" s="550"/>
      <c r="T619" s="551"/>
      <c r="U619" s="551"/>
      <c r="V619" s="551"/>
      <c r="W619" s="551"/>
      <c r="X619" s="551"/>
      <c r="Y619" s="551"/>
      <c r="Z619" s="551"/>
      <c r="AA619" s="551"/>
    </row>
    <row r="620">
      <c r="A620" s="574"/>
      <c r="B620" s="575"/>
      <c r="C620" s="575"/>
      <c r="D620" s="575"/>
      <c r="E620" s="576"/>
      <c r="F620" s="547"/>
      <c r="G620" s="547"/>
      <c r="H620" s="547"/>
      <c r="I620" s="573"/>
      <c r="J620" s="550"/>
      <c r="K620" s="550"/>
      <c r="L620" s="550"/>
      <c r="M620" s="550"/>
      <c r="N620" s="550"/>
      <c r="O620" s="550"/>
      <c r="P620" s="550"/>
      <c r="Q620" s="550"/>
      <c r="R620" s="550"/>
      <c r="S620" s="550"/>
      <c r="T620" s="551"/>
      <c r="U620" s="551"/>
      <c r="V620" s="551"/>
      <c r="W620" s="551"/>
      <c r="X620" s="551"/>
      <c r="Y620" s="551"/>
      <c r="Z620" s="551"/>
      <c r="AA620" s="551"/>
    </row>
    <row r="621">
      <c r="A621" s="574"/>
      <c r="B621" s="575"/>
      <c r="C621" s="575"/>
      <c r="D621" s="575"/>
      <c r="E621" s="576"/>
      <c r="F621" s="547"/>
      <c r="G621" s="547"/>
      <c r="H621" s="547"/>
      <c r="I621" s="573"/>
      <c r="J621" s="550"/>
      <c r="K621" s="550"/>
      <c r="L621" s="550"/>
      <c r="M621" s="550"/>
      <c r="N621" s="550"/>
      <c r="O621" s="550"/>
      <c r="P621" s="550"/>
      <c r="Q621" s="550"/>
      <c r="R621" s="550"/>
      <c r="S621" s="550"/>
      <c r="T621" s="551"/>
      <c r="U621" s="551"/>
      <c r="V621" s="551"/>
      <c r="W621" s="551"/>
      <c r="X621" s="551"/>
      <c r="Y621" s="551"/>
      <c r="Z621" s="551"/>
      <c r="AA621" s="551"/>
    </row>
    <row r="622">
      <c r="A622" s="574"/>
      <c r="B622" s="575"/>
      <c r="C622" s="575"/>
      <c r="D622" s="575"/>
      <c r="E622" s="576"/>
      <c r="F622" s="547"/>
      <c r="G622" s="547"/>
      <c r="H622" s="547"/>
      <c r="I622" s="573"/>
      <c r="J622" s="550"/>
      <c r="K622" s="550"/>
      <c r="L622" s="550"/>
      <c r="M622" s="550"/>
      <c r="N622" s="550"/>
      <c r="O622" s="550"/>
      <c r="P622" s="550"/>
      <c r="Q622" s="550"/>
      <c r="R622" s="550"/>
      <c r="S622" s="550"/>
      <c r="T622" s="551"/>
      <c r="U622" s="551"/>
      <c r="V622" s="551"/>
      <c r="W622" s="551"/>
      <c r="X622" s="551"/>
      <c r="Y622" s="551"/>
      <c r="Z622" s="551"/>
      <c r="AA622" s="551"/>
    </row>
    <row r="623">
      <c r="A623" s="574"/>
      <c r="B623" s="575"/>
      <c r="C623" s="575"/>
      <c r="D623" s="575"/>
      <c r="E623" s="576"/>
      <c r="F623" s="547"/>
      <c r="G623" s="547"/>
      <c r="H623" s="547"/>
      <c r="I623" s="573"/>
      <c r="J623" s="550"/>
      <c r="K623" s="550"/>
      <c r="L623" s="550"/>
      <c r="M623" s="550"/>
      <c r="N623" s="550"/>
      <c r="O623" s="550"/>
      <c r="P623" s="550"/>
      <c r="Q623" s="550"/>
      <c r="R623" s="550"/>
      <c r="S623" s="550"/>
      <c r="T623" s="551"/>
      <c r="U623" s="551"/>
      <c r="V623" s="551"/>
      <c r="W623" s="551"/>
      <c r="X623" s="551"/>
      <c r="Y623" s="551"/>
      <c r="Z623" s="551"/>
      <c r="AA623" s="551"/>
    </row>
    <row r="624">
      <c r="A624" s="574"/>
      <c r="B624" s="575"/>
      <c r="C624" s="575"/>
      <c r="D624" s="575"/>
      <c r="E624" s="576"/>
      <c r="F624" s="547"/>
      <c r="G624" s="547"/>
      <c r="H624" s="547"/>
      <c r="I624" s="573"/>
      <c r="J624" s="550"/>
      <c r="K624" s="550"/>
      <c r="L624" s="550"/>
      <c r="M624" s="550"/>
      <c r="N624" s="550"/>
      <c r="O624" s="550"/>
      <c r="P624" s="550"/>
      <c r="Q624" s="550"/>
      <c r="R624" s="550"/>
      <c r="S624" s="550"/>
      <c r="T624" s="551"/>
      <c r="U624" s="551"/>
      <c r="V624" s="551"/>
      <c r="W624" s="551"/>
      <c r="X624" s="551"/>
      <c r="Y624" s="551"/>
      <c r="Z624" s="551"/>
      <c r="AA624" s="551"/>
    </row>
    <row r="625">
      <c r="A625" s="574"/>
      <c r="B625" s="575"/>
      <c r="C625" s="575"/>
      <c r="D625" s="575"/>
      <c r="E625" s="576"/>
      <c r="F625" s="547"/>
      <c r="G625" s="547"/>
      <c r="H625" s="547"/>
      <c r="I625" s="573"/>
      <c r="J625" s="550"/>
      <c r="K625" s="550"/>
      <c r="L625" s="550"/>
      <c r="M625" s="550"/>
      <c r="N625" s="550"/>
      <c r="O625" s="550"/>
      <c r="P625" s="550"/>
      <c r="Q625" s="550"/>
      <c r="R625" s="550"/>
      <c r="S625" s="550"/>
      <c r="T625" s="551"/>
      <c r="U625" s="551"/>
      <c r="V625" s="551"/>
      <c r="W625" s="551"/>
      <c r="X625" s="551"/>
      <c r="Y625" s="551"/>
      <c r="Z625" s="551"/>
      <c r="AA625" s="551"/>
    </row>
    <row r="626">
      <c r="A626" s="574"/>
      <c r="B626" s="575"/>
      <c r="C626" s="575"/>
      <c r="D626" s="575"/>
      <c r="E626" s="576"/>
      <c r="F626" s="547"/>
      <c r="G626" s="547"/>
      <c r="H626" s="547"/>
      <c r="I626" s="573"/>
      <c r="J626" s="550"/>
      <c r="K626" s="550"/>
      <c r="L626" s="550"/>
      <c r="M626" s="550"/>
      <c r="N626" s="550"/>
      <c r="O626" s="550"/>
      <c r="P626" s="550"/>
      <c r="Q626" s="550"/>
      <c r="R626" s="550"/>
      <c r="S626" s="550"/>
      <c r="T626" s="551"/>
      <c r="U626" s="551"/>
      <c r="V626" s="551"/>
      <c r="W626" s="551"/>
      <c r="X626" s="551"/>
      <c r="Y626" s="551"/>
      <c r="Z626" s="551"/>
      <c r="AA626" s="551"/>
    </row>
    <row r="627">
      <c r="A627" s="574"/>
      <c r="B627" s="575"/>
      <c r="C627" s="575"/>
      <c r="D627" s="575"/>
      <c r="E627" s="576"/>
      <c r="F627" s="547"/>
      <c r="G627" s="547"/>
      <c r="H627" s="547"/>
      <c r="I627" s="573"/>
      <c r="J627" s="550"/>
      <c r="K627" s="550"/>
      <c r="L627" s="550"/>
      <c r="M627" s="550"/>
      <c r="N627" s="550"/>
      <c r="O627" s="550"/>
      <c r="P627" s="550"/>
      <c r="Q627" s="550"/>
      <c r="R627" s="550"/>
      <c r="S627" s="550"/>
      <c r="T627" s="551"/>
      <c r="U627" s="551"/>
      <c r="V627" s="551"/>
      <c r="W627" s="551"/>
      <c r="X627" s="551"/>
      <c r="Y627" s="551"/>
      <c r="Z627" s="551"/>
      <c r="AA627" s="551"/>
    </row>
    <row r="628">
      <c r="A628" s="574"/>
      <c r="B628" s="575"/>
      <c r="C628" s="575"/>
      <c r="D628" s="575"/>
      <c r="E628" s="576"/>
      <c r="F628" s="547"/>
      <c r="G628" s="547"/>
      <c r="H628" s="547"/>
      <c r="I628" s="573"/>
      <c r="J628" s="550"/>
      <c r="K628" s="550"/>
      <c r="L628" s="550"/>
      <c r="M628" s="550"/>
      <c r="N628" s="550"/>
      <c r="O628" s="550"/>
      <c r="P628" s="550"/>
      <c r="Q628" s="550"/>
      <c r="R628" s="550"/>
      <c r="S628" s="550"/>
      <c r="T628" s="551"/>
      <c r="U628" s="551"/>
      <c r="V628" s="551"/>
      <c r="W628" s="551"/>
      <c r="X628" s="551"/>
      <c r="Y628" s="551"/>
      <c r="Z628" s="551"/>
      <c r="AA628" s="551"/>
    </row>
    <row r="629">
      <c r="A629" s="574"/>
      <c r="B629" s="575"/>
      <c r="C629" s="575"/>
      <c r="D629" s="575"/>
      <c r="E629" s="576"/>
      <c r="F629" s="547"/>
      <c r="G629" s="547"/>
      <c r="H629" s="547"/>
      <c r="I629" s="573"/>
      <c r="J629" s="550"/>
      <c r="K629" s="550"/>
      <c r="L629" s="550"/>
      <c r="M629" s="550"/>
      <c r="N629" s="550"/>
      <c r="O629" s="550"/>
      <c r="P629" s="550"/>
      <c r="Q629" s="550"/>
      <c r="R629" s="550"/>
      <c r="S629" s="550"/>
      <c r="T629" s="551"/>
      <c r="U629" s="551"/>
      <c r="V629" s="551"/>
      <c r="W629" s="551"/>
      <c r="X629" s="551"/>
      <c r="Y629" s="551"/>
      <c r="Z629" s="551"/>
      <c r="AA629" s="551"/>
    </row>
    <row r="630">
      <c r="A630" s="574"/>
      <c r="B630" s="575"/>
      <c r="C630" s="575"/>
      <c r="D630" s="575"/>
      <c r="E630" s="576"/>
      <c r="F630" s="547"/>
      <c r="G630" s="547"/>
      <c r="H630" s="547"/>
      <c r="I630" s="573"/>
      <c r="J630" s="550"/>
      <c r="K630" s="550"/>
      <c r="L630" s="550"/>
      <c r="M630" s="550"/>
      <c r="N630" s="550"/>
      <c r="O630" s="550"/>
      <c r="P630" s="550"/>
      <c r="Q630" s="550"/>
      <c r="R630" s="550"/>
      <c r="S630" s="550"/>
      <c r="T630" s="551"/>
      <c r="U630" s="551"/>
      <c r="V630" s="551"/>
      <c r="W630" s="551"/>
      <c r="X630" s="551"/>
      <c r="Y630" s="551"/>
      <c r="Z630" s="551"/>
      <c r="AA630" s="551"/>
    </row>
    <row r="631">
      <c r="A631" s="574"/>
      <c r="B631" s="575"/>
      <c r="C631" s="575"/>
      <c r="D631" s="575"/>
      <c r="E631" s="576"/>
      <c r="F631" s="547"/>
      <c r="G631" s="547"/>
      <c r="H631" s="547"/>
      <c r="I631" s="573"/>
      <c r="J631" s="550"/>
      <c r="K631" s="550"/>
      <c r="L631" s="550"/>
      <c r="M631" s="550"/>
      <c r="N631" s="550"/>
      <c r="O631" s="550"/>
      <c r="P631" s="550"/>
      <c r="Q631" s="550"/>
      <c r="R631" s="550"/>
      <c r="S631" s="550"/>
      <c r="T631" s="551"/>
      <c r="U631" s="551"/>
      <c r="V631" s="551"/>
      <c r="W631" s="551"/>
      <c r="X631" s="551"/>
      <c r="Y631" s="551"/>
      <c r="Z631" s="551"/>
      <c r="AA631" s="551"/>
    </row>
    <row r="632">
      <c r="A632" s="574"/>
      <c r="B632" s="575"/>
      <c r="C632" s="575"/>
      <c r="D632" s="575"/>
      <c r="E632" s="576"/>
      <c r="F632" s="547"/>
      <c r="G632" s="547"/>
      <c r="H632" s="547"/>
      <c r="I632" s="573"/>
      <c r="J632" s="550"/>
      <c r="K632" s="550"/>
      <c r="L632" s="550"/>
      <c r="M632" s="550"/>
      <c r="N632" s="550"/>
      <c r="O632" s="550"/>
      <c r="P632" s="550"/>
      <c r="Q632" s="550"/>
      <c r="R632" s="550"/>
      <c r="S632" s="550"/>
      <c r="T632" s="551"/>
      <c r="U632" s="551"/>
      <c r="V632" s="551"/>
      <c r="W632" s="551"/>
      <c r="X632" s="551"/>
      <c r="Y632" s="551"/>
      <c r="Z632" s="551"/>
      <c r="AA632" s="551"/>
    </row>
    <row r="633">
      <c r="A633" s="574"/>
      <c r="B633" s="575"/>
      <c r="C633" s="575"/>
      <c r="D633" s="575"/>
      <c r="E633" s="576"/>
      <c r="F633" s="547"/>
      <c r="G633" s="547"/>
      <c r="H633" s="547"/>
      <c r="I633" s="573"/>
      <c r="J633" s="550"/>
      <c r="K633" s="550"/>
      <c r="L633" s="550"/>
      <c r="M633" s="550"/>
      <c r="N633" s="550"/>
      <c r="O633" s="550"/>
      <c r="P633" s="550"/>
      <c r="Q633" s="550"/>
      <c r="R633" s="550"/>
      <c r="S633" s="550"/>
      <c r="T633" s="551"/>
      <c r="U633" s="551"/>
      <c r="V633" s="551"/>
      <c r="W633" s="551"/>
      <c r="X633" s="551"/>
      <c r="Y633" s="551"/>
      <c r="Z633" s="551"/>
      <c r="AA633" s="551"/>
    </row>
    <row r="634">
      <c r="A634" s="574"/>
      <c r="B634" s="575"/>
      <c r="C634" s="575"/>
      <c r="D634" s="575"/>
      <c r="E634" s="576"/>
      <c r="F634" s="547"/>
      <c r="G634" s="547"/>
      <c r="H634" s="547"/>
      <c r="I634" s="573"/>
      <c r="J634" s="550"/>
      <c r="K634" s="550"/>
      <c r="L634" s="550"/>
      <c r="M634" s="550"/>
      <c r="N634" s="550"/>
      <c r="O634" s="550"/>
      <c r="P634" s="550"/>
      <c r="Q634" s="550"/>
      <c r="R634" s="550"/>
      <c r="S634" s="550"/>
      <c r="T634" s="551"/>
      <c r="U634" s="551"/>
      <c r="V634" s="551"/>
      <c r="W634" s="551"/>
      <c r="X634" s="551"/>
      <c r="Y634" s="551"/>
      <c r="Z634" s="551"/>
      <c r="AA634" s="551"/>
    </row>
    <row r="635">
      <c r="A635" s="574"/>
      <c r="B635" s="575"/>
      <c r="C635" s="575"/>
      <c r="D635" s="575"/>
      <c r="E635" s="576"/>
      <c r="F635" s="547"/>
      <c r="G635" s="547"/>
      <c r="H635" s="547"/>
      <c r="I635" s="573"/>
      <c r="J635" s="550"/>
      <c r="K635" s="550"/>
      <c r="L635" s="550"/>
      <c r="M635" s="550"/>
      <c r="N635" s="550"/>
      <c r="O635" s="550"/>
      <c r="P635" s="550"/>
      <c r="Q635" s="550"/>
      <c r="R635" s="550"/>
      <c r="S635" s="550"/>
      <c r="T635" s="551"/>
      <c r="U635" s="551"/>
      <c r="V635" s="551"/>
      <c r="W635" s="551"/>
      <c r="X635" s="551"/>
      <c r="Y635" s="551"/>
      <c r="Z635" s="551"/>
      <c r="AA635" s="551"/>
    </row>
    <row r="636">
      <c r="A636" s="574"/>
      <c r="B636" s="575"/>
      <c r="C636" s="575"/>
      <c r="D636" s="575"/>
      <c r="E636" s="576"/>
      <c r="F636" s="547"/>
      <c r="G636" s="547"/>
      <c r="H636" s="547"/>
      <c r="I636" s="573"/>
      <c r="J636" s="550"/>
      <c r="K636" s="550"/>
      <c r="L636" s="550"/>
      <c r="M636" s="550"/>
      <c r="N636" s="550"/>
      <c r="O636" s="550"/>
      <c r="P636" s="550"/>
      <c r="Q636" s="550"/>
      <c r="R636" s="550"/>
      <c r="S636" s="550"/>
      <c r="T636" s="551"/>
      <c r="U636" s="551"/>
      <c r="V636" s="551"/>
      <c r="W636" s="551"/>
      <c r="X636" s="551"/>
      <c r="Y636" s="551"/>
      <c r="Z636" s="551"/>
      <c r="AA636" s="551"/>
    </row>
    <row r="637">
      <c r="A637" s="574"/>
      <c r="B637" s="575"/>
      <c r="C637" s="575"/>
      <c r="D637" s="575"/>
      <c r="E637" s="576"/>
      <c r="F637" s="547"/>
      <c r="G637" s="547"/>
      <c r="H637" s="547"/>
      <c r="I637" s="573"/>
      <c r="J637" s="550"/>
      <c r="K637" s="550"/>
      <c r="L637" s="550"/>
      <c r="M637" s="550"/>
      <c r="N637" s="550"/>
      <c r="O637" s="550"/>
      <c r="P637" s="550"/>
      <c r="Q637" s="550"/>
      <c r="R637" s="550"/>
      <c r="S637" s="550"/>
      <c r="T637" s="551"/>
      <c r="U637" s="551"/>
      <c r="V637" s="551"/>
      <c r="W637" s="551"/>
      <c r="X637" s="551"/>
      <c r="Y637" s="551"/>
      <c r="Z637" s="551"/>
      <c r="AA637" s="551"/>
    </row>
    <row r="638">
      <c r="A638" s="574"/>
      <c r="B638" s="575"/>
      <c r="C638" s="575"/>
      <c r="D638" s="575"/>
      <c r="E638" s="576"/>
      <c r="F638" s="547"/>
      <c r="G638" s="547"/>
      <c r="H638" s="547"/>
      <c r="I638" s="573"/>
      <c r="J638" s="550"/>
      <c r="K638" s="550"/>
      <c r="L638" s="550"/>
      <c r="M638" s="550"/>
      <c r="N638" s="550"/>
      <c r="O638" s="550"/>
      <c r="P638" s="550"/>
      <c r="Q638" s="550"/>
      <c r="R638" s="550"/>
      <c r="S638" s="550"/>
      <c r="T638" s="551"/>
      <c r="U638" s="551"/>
      <c r="V638" s="551"/>
      <c r="W638" s="551"/>
      <c r="X638" s="551"/>
      <c r="Y638" s="551"/>
      <c r="Z638" s="551"/>
      <c r="AA638" s="551"/>
    </row>
    <row r="639">
      <c r="A639" s="574"/>
      <c r="B639" s="575"/>
      <c r="C639" s="575"/>
      <c r="D639" s="575"/>
      <c r="E639" s="576"/>
      <c r="F639" s="547"/>
      <c r="G639" s="547"/>
      <c r="H639" s="547"/>
      <c r="I639" s="573"/>
      <c r="J639" s="550"/>
      <c r="K639" s="550"/>
      <c r="L639" s="550"/>
      <c r="M639" s="550"/>
      <c r="N639" s="550"/>
      <c r="O639" s="550"/>
      <c r="P639" s="550"/>
      <c r="Q639" s="550"/>
      <c r="R639" s="550"/>
      <c r="S639" s="550"/>
      <c r="T639" s="551"/>
      <c r="U639" s="551"/>
      <c r="V639" s="551"/>
      <c r="W639" s="551"/>
      <c r="X639" s="551"/>
      <c r="Y639" s="551"/>
      <c r="Z639" s="551"/>
      <c r="AA639" s="551"/>
    </row>
    <row r="640">
      <c r="A640" s="574"/>
      <c r="B640" s="575"/>
      <c r="C640" s="575"/>
      <c r="D640" s="575"/>
      <c r="E640" s="576"/>
      <c r="F640" s="547"/>
      <c r="G640" s="547"/>
      <c r="H640" s="547"/>
      <c r="I640" s="573"/>
      <c r="J640" s="550"/>
      <c r="K640" s="550"/>
      <c r="L640" s="550"/>
      <c r="M640" s="550"/>
      <c r="N640" s="550"/>
      <c r="O640" s="550"/>
      <c r="P640" s="550"/>
      <c r="Q640" s="550"/>
      <c r="R640" s="550"/>
      <c r="S640" s="550"/>
      <c r="T640" s="551"/>
      <c r="U640" s="551"/>
      <c r="V640" s="551"/>
      <c r="W640" s="551"/>
      <c r="X640" s="551"/>
      <c r="Y640" s="551"/>
      <c r="Z640" s="551"/>
      <c r="AA640" s="551"/>
    </row>
    <row r="641">
      <c r="A641" s="574"/>
      <c r="B641" s="575"/>
      <c r="C641" s="575"/>
      <c r="D641" s="575"/>
      <c r="E641" s="576"/>
      <c r="F641" s="547"/>
      <c r="G641" s="547"/>
      <c r="H641" s="547"/>
      <c r="I641" s="573"/>
      <c r="J641" s="550"/>
      <c r="K641" s="550"/>
      <c r="L641" s="550"/>
      <c r="M641" s="550"/>
      <c r="N641" s="550"/>
      <c r="O641" s="550"/>
      <c r="P641" s="550"/>
      <c r="Q641" s="550"/>
      <c r="R641" s="550"/>
      <c r="S641" s="550"/>
      <c r="T641" s="551"/>
      <c r="U641" s="551"/>
      <c r="V641" s="551"/>
      <c r="W641" s="551"/>
      <c r="X641" s="551"/>
      <c r="Y641" s="551"/>
      <c r="Z641" s="551"/>
      <c r="AA641" s="551"/>
    </row>
    <row r="642">
      <c r="A642" s="574"/>
      <c r="B642" s="575"/>
      <c r="C642" s="575"/>
      <c r="D642" s="575"/>
      <c r="E642" s="576"/>
      <c r="F642" s="547"/>
      <c r="G642" s="547"/>
      <c r="H642" s="547"/>
      <c r="I642" s="573"/>
      <c r="J642" s="550"/>
      <c r="K642" s="550"/>
      <c r="L642" s="550"/>
      <c r="M642" s="550"/>
      <c r="N642" s="550"/>
      <c r="O642" s="550"/>
      <c r="P642" s="550"/>
      <c r="Q642" s="550"/>
      <c r="R642" s="550"/>
      <c r="S642" s="550"/>
      <c r="T642" s="551"/>
      <c r="U642" s="551"/>
      <c r="V642" s="551"/>
      <c r="W642" s="551"/>
      <c r="X642" s="551"/>
      <c r="Y642" s="551"/>
      <c r="Z642" s="551"/>
      <c r="AA642" s="551"/>
    </row>
    <row r="643">
      <c r="A643" s="574"/>
      <c r="B643" s="575"/>
      <c r="C643" s="575"/>
      <c r="D643" s="575"/>
      <c r="E643" s="576"/>
      <c r="F643" s="547"/>
      <c r="G643" s="547"/>
      <c r="H643" s="547"/>
      <c r="I643" s="573"/>
      <c r="J643" s="550"/>
      <c r="K643" s="550"/>
      <c r="L643" s="550"/>
      <c r="M643" s="550"/>
      <c r="N643" s="550"/>
      <c r="O643" s="550"/>
      <c r="P643" s="550"/>
      <c r="Q643" s="550"/>
      <c r="R643" s="550"/>
      <c r="S643" s="550"/>
      <c r="T643" s="551"/>
      <c r="U643" s="551"/>
      <c r="V643" s="551"/>
      <c r="W643" s="551"/>
      <c r="X643" s="551"/>
      <c r="Y643" s="551"/>
      <c r="Z643" s="551"/>
      <c r="AA643" s="551"/>
    </row>
    <row r="644">
      <c r="A644" s="574"/>
      <c r="B644" s="575"/>
      <c r="C644" s="575"/>
      <c r="D644" s="575"/>
      <c r="E644" s="576"/>
      <c r="F644" s="547"/>
      <c r="G644" s="547"/>
      <c r="H644" s="547"/>
      <c r="I644" s="573"/>
      <c r="J644" s="550"/>
      <c r="K644" s="550"/>
      <c r="L644" s="550"/>
      <c r="M644" s="550"/>
      <c r="N644" s="550"/>
      <c r="O644" s="550"/>
      <c r="P644" s="550"/>
      <c r="Q644" s="550"/>
      <c r="R644" s="550"/>
      <c r="S644" s="550"/>
      <c r="T644" s="551"/>
      <c r="U644" s="551"/>
      <c r="V644" s="551"/>
      <c r="W644" s="551"/>
      <c r="X644" s="551"/>
      <c r="Y644" s="551"/>
      <c r="Z644" s="551"/>
      <c r="AA644" s="551"/>
    </row>
    <row r="645">
      <c r="A645" s="574"/>
      <c r="B645" s="575"/>
      <c r="C645" s="575"/>
      <c r="D645" s="575"/>
      <c r="E645" s="576"/>
      <c r="F645" s="547"/>
      <c r="G645" s="547"/>
      <c r="H645" s="547"/>
      <c r="I645" s="573"/>
      <c r="J645" s="550"/>
      <c r="K645" s="550"/>
      <c r="L645" s="550"/>
      <c r="M645" s="550"/>
      <c r="N645" s="550"/>
      <c r="O645" s="550"/>
      <c r="P645" s="550"/>
      <c r="Q645" s="550"/>
      <c r="R645" s="550"/>
      <c r="S645" s="550"/>
      <c r="T645" s="551"/>
      <c r="U645" s="551"/>
      <c r="V645" s="551"/>
      <c r="W645" s="551"/>
      <c r="X645" s="551"/>
      <c r="Y645" s="551"/>
      <c r="Z645" s="551"/>
      <c r="AA645" s="551"/>
    </row>
    <row r="646">
      <c r="A646" s="574"/>
      <c r="B646" s="575"/>
      <c r="C646" s="575"/>
      <c r="D646" s="575"/>
      <c r="E646" s="576"/>
      <c r="F646" s="547"/>
      <c r="G646" s="547"/>
      <c r="H646" s="547"/>
      <c r="I646" s="573"/>
      <c r="J646" s="550"/>
      <c r="K646" s="550"/>
      <c r="L646" s="550"/>
      <c r="M646" s="550"/>
      <c r="N646" s="550"/>
      <c r="O646" s="550"/>
      <c r="P646" s="550"/>
      <c r="Q646" s="550"/>
      <c r="R646" s="550"/>
      <c r="S646" s="550"/>
      <c r="T646" s="551"/>
      <c r="U646" s="551"/>
      <c r="V646" s="551"/>
      <c r="W646" s="551"/>
      <c r="X646" s="551"/>
      <c r="Y646" s="551"/>
      <c r="Z646" s="551"/>
      <c r="AA646" s="551"/>
    </row>
    <row r="647">
      <c r="A647" s="574"/>
      <c r="B647" s="575"/>
      <c r="C647" s="575"/>
      <c r="D647" s="575"/>
      <c r="E647" s="576"/>
      <c r="F647" s="547"/>
      <c r="G647" s="547"/>
      <c r="H647" s="547"/>
      <c r="I647" s="573"/>
      <c r="J647" s="550"/>
      <c r="K647" s="550"/>
      <c r="L647" s="550"/>
      <c r="M647" s="550"/>
      <c r="N647" s="550"/>
      <c r="O647" s="550"/>
      <c r="P647" s="550"/>
      <c r="Q647" s="550"/>
      <c r="R647" s="550"/>
      <c r="S647" s="550"/>
      <c r="T647" s="551"/>
      <c r="U647" s="551"/>
      <c r="V647" s="551"/>
      <c r="W647" s="551"/>
      <c r="X647" s="551"/>
      <c r="Y647" s="551"/>
      <c r="Z647" s="551"/>
      <c r="AA647" s="551"/>
    </row>
    <row r="648">
      <c r="A648" s="574"/>
      <c r="B648" s="575"/>
      <c r="C648" s="575"/>
      <c r="D648" s="575"/>
      <c r="E648" s="576"/>
      <c r="F648" s="547"/>
      <c r="G648" s="547"/>
      <c r="H648" s="547"/>
      <c r="I648" s="573"/>
      <c r="J648" s="550"/>
      <c r="K648" s="550"/>
      <c r="L648" s="550"/>
      <c r="M648" s="550"/>
      <c r="N648" s="550"/>
      <c r="O648" s="550"/>
      <c r="P648" s="550"/>
      <c r="Q648" s="550"/>
      <c r="R648" s="550"/>
      <c r="S648" s="550"/>
      <c r="T648" s="551"/>
      <c r="U648" s="551"/>
      <c r="V648" s="551"/>
      <c r="W648" s="551"/>
      <c r="X648" s="551"/>
      <c r="Y648" s="551"/>
      <c r="Z648" s="551"/>
      <c r="AA648" s="551"/>
    </row>
    <row r="649">
      <c r="A649" s="574"/>
      <c r="B649" s="575"/>
      <c r="C649" s="575"/>
      <c r="D649" s="575"/>
      <c r="E649" s="576"/>
      <c r="F649" s="547"/>
      <c r="G649" s="547"/>
      <c r="H649" s="547"/>
      <c r="I649" s="573"/>
      <c r="J649" s="550"/>
      <c r="K649" s="550"/>
      <c r="L649" s="550"/>
      <c r="M649" s="550"/>
      <c r="N649" s="550"/>
      <c r="O649" s="550"/>
      <c r="P649" s="550"/>
      <c r="Q649" s="550"/>
      <c r="R649" s="550"/>
      <c r="S649" s="550"/>
      <c r="T649" s="551"/>
      <c r="U649" s="551"/>
      <c r="V649" s="551"/>
      <c r="W649" s="551"/>
      <c r="X649" s="551"/>
      <c r="Y649" s="551"/>
      <c r="Z649" s="551"/>
      <c r="AA649" s="551"/>
    </row>
    <row r="650">
      <c r="A650" s="574"/>
      <c r="B650" s="575"/>
      <c r="C650" s="575"/>
      <c r="D650" s="575"/>
      <c r="E650" s="576"/>
      <c r="F650" s="547"/>
      <c r="G650" s="547"/>
      <c r="H650" s="547"/>
      <c r="I650" s="573"/>
      <c r="J650" s="550"/>
      <c r="K650" s="550"/>
      <c r="L650" s="550"/>
      <c r="M650" s="550"/>
      <c r="N650" s="550"/>
      <c r="O650" s="550"/>
      <c r="P650" s="550"/>
      <c r="Q650" s="550"/>
      <c r="R650" s="550"/>
      <c r="S650" s="550"/>
      <c r="T650" s="551"/>
      <c r="U650" s="551"/>
      <c r="V650" s="551"/>
      <c r="W650" s="551"/>
      <c r="X650" s="551"/>
      <c r="Y650" s="551"/>
      <c r="Z650" s="551"/>
      <c r="AA650" s="551"/>
    </row>
    <row r="651">
      <c r="A651" s="574"/>
      <c r="B651" s="575"/>
      <c r="C651" s="575"/>
      <c r="D651" s="575"/>
      <c r="E651" s="576"/>
      <c r="F651" s="547"/>
      <c r="G651" s="547"/>
      <c r="H651" s="547"/>
      <c r="I651" s="573"/>
      <c r="J651" s="550"/>
      <c r="K651" s="550"/>
      <c r="L651" s="550"/>
      <c r="M651" s="550"/>
      <c r="N651" s="550"/>
      <c r="O651" s="550"/>
      <c r="P651" s="550"/>
      <c r="Q651" s="550"/>
      <c r="R651" s="550"/>
      <c r="S651" s="550"/>
      <c r="T651" s="551"/>
      <c r="U651" s="551"/>
      <c r="V651" s="551"/>
      <c r="W651" s="551"/>
      <c r="X651" s="551"/>
      <c r="Y651" s="551"/>
      <c r="Z651" s="551"/>
      <c r="AA651" s="551"/>
    </row>
    <row r="652">
      <c r="A652" s="574"/>
      <c r="B652" s="575"/>
      <c r="C652" s="575"/>
      <c r="D652" s="575"/>
      <c r="E652" s="576"/>
      <c r="F652" s="547"/>
      <c r="G652" s="547"/>
      <c r="H652" s="547"/>
      <c r="I652" s="573"/>
      <c r="J652" s="550"/>
      <c r="K652" s="550"/>
      <c r="L652" s="550"/>
      <c r="M652" s="550"/>
      <c r="N652" s="550"/>
      <c r="O652" s="550"/>
      <c r="P652" s="550"/>
      <c r="Q652" s="550"/>
      <c r="R652" s="550"/>
      <c r="S652" s="550"/>
      <c r="T652" s="551"/>
      <c r="U652" s="551"/>
      <c r="V652" s="551"/>
      <c r="W652" s="551"/>
      <c r="X652" s="551"/>
      <c r="Y652" s="551"/>
      <c r="Z652" s="551"/>
      <c r="AA652" s="551"/>
    </row>
    <row r="653">
      <c r="A653" s="574"/>
      <c r="B653" s="575"/>
      <c r="C653" s="575"/>
      <c r="D653" s="575"/>
      <c r="E653" s="576"/>
      <c r="F653" s="547"/>
      <c r="G653" s="547"/>
      <c r="H653" s="547"/>
      <c r="I653" s="573"/>
      <c r="J653" s="550"/>
      <c r="K653" s="550"/>
      <c r="L653" s="550"/>
      <c r="M653" s="550"/>
      <c r="N653" s="550"/>
      <c r="O653" s="550"/>
      <c r="P653" s="550"/>
      <c r="Q653" s="550"/>
      <c r="R653" s="550"/>
      <c r="S653" s="550"/>
      <c r="T653" s="551"/>
      <c r="U653" s="551"/>
      <c r="V653" s="551"/>
      <c r="W653" s="551"/>
      <c r="X653" s="551"/>
      <c r="Y653" s="551"/>
      <c r="Z653" s="551"/>
      <c r="AA653" s="551"/>
    </row>
    <row r="654">
      <c r="A654" s="574"/>
      <c r="B654" s="575"/>
      <c r="C654" s="575"/>
      <c r="D654" s="575"/>
      <c r="E654" s="576"/>
      <c r="F654" s="547"/>
      <c r="G654" s="547"/>
      <c r="H654" s="547"/>
      <c r="I654" s="573"/>
      <c r="J654" s="550"/>
      <c r="K654" s="550"/>
      <c r="L654" s="550"/>
      <c r="M654" s="550"/>
      <c r="N654" s="550"/>
      <c r="O654" s="550"/>
      <c r="P654" s="550"/>
      <c r="Q654" s="550"/>
      <c r="R654" s="550"/>
      <c r="S654" s="550"/>
      <c r="T654" s="551"/>
      <c r="U654" s="551"/>
      <c r="V654" s="551"/>
      <c r="W654" s="551"/>
      <c r="X654" s="551"/>
      <c r="Y654" s="551"/>
      <c r="Z654" s="551"/>
      <c r="AA654" s="551"/>
    </row>
    <row r="655">
      <c r="A655" s="574"/>
      <c r="B655" s="575"/>
      <c r="C655" s="575"/>
      <c r="D655" s="575"/>
      <c r="E655" s="576"/>
      <c r="F655" s="547"/>
      <c r="G655" s="547"/>
      <c r="H655" s="547"/>
      <c r="I655" s="573"/>
      <c r="J655" s="550"/>
      <c r="K655" s="550"/>
      <c r="L655" s="550"/>
      <c r="M655" s="550"/>
      <c r="N655" s="550"/>
      <c r="O655" s="550"/>
      <c r="P655" s="550"/>
      <c r="Q655" s="550"/>
      <c r="R655" s="550"/>
      <c r="S655" s="550"/>
      <c r="T655" s="551"/>
      <c r="U655" s="551"/>
      <c r="V655" s="551"/>
      <c r="W655" s="551"/>
      <c r="X655" s="551"/>
      <c r="Y655" s="551"/>
      <c r="Z655" s="551"/>
      <c r="AA655" s="551"/>
    </row>
    <row r="656">
      <c r="A656" s="574"/>
      <c r="B656" s="575"/>
      <c r="C656" s="575"/>
      <c r="D656" s="575"/>
      <c r="E656" s="576"/>
      <c r="F656" s="547"/>
      <c r="G656" s="547"/>
      <c r="H656" s="547"/>
      <c r="I656" s="573"/>
      <c r="J656" s="550"/>
      <c r="K656" s="550"/>
      <c r="L656" s="550"/>
      <c r="M656" s="550"/>
      <c r="N656" s="550"/>
      <c r="O656" s="550"/>
      <c r="P656" s="550"/>
      <c r="Q656" s="550"/>
      <c r="R656" s="550"/>
      <c r="S656" s="550"/>
      <c r="T656" s="551"/>
      <c r="U656" s="551"/>
      <c r="V656" s="551"/>
      <c r="W656" s="551"/>
      <c r="X656" s="551"/>
      <c r="Y656" s="551"/>
      <c r="Z656" s="551"/>
      <c r="AA656" s="551"/>
    </row>
    <row r="657">
      <c r="A657" s="574"/>
      <c r="B657" s="575"/>
      <c r="C657" s="575"/>
      <c r="D657" s="575"/>
      <c r="E657" s="576"/>
      <c r="F657" s="547"/>
      <c r="G657" s="547"/>
      <c r="H657" s="547"/>
      <c r="I657" s="573"/>
      <c r="J657" s="550"/>
      <c r="K657" s="550"/>
      <c r="L657" s="550"/>
      <c r="M657" s="550"/>
      <c r="N657" s="550"/>
      <c r="O657" s="550"/>
      <c r="P657" s="550"/>
      <c r="Q657" s="550"/>
      <c r="R657" s="550"/>
      <c r="S657" s="550"/>
      <c r="T657" s="551"/>
      <c r="U657" s="551"/>
      <c r="V657" s="551"/>
      <c r="W657" s="551"/>
      <c r="X657" s="551"/>
      <c r="Y657" s="551"/>
      <c r="Z657" s="551"/>
      <c r="AA657" s="551"/>
    </row>
    <row r="658">
      <c r="A658" s="574"/>
      <c r="B658" s="575"/>
      <c r="C658" s="575"/>
      <c r="D658" s="575"/>
      <c r="E658" s="576"/>
      <c r="F658" s="547"/>
      <c r="G658" s="547"/>
      <c r="H658" s="547"/>
      <c r="I658" s="573"/>
      <c r="J658" s="550"/>
      <c r="K658" s="550"/>
      <c r="L658" s="550"/>
      <c r="M658" s="550"/>
      <c r="N658" s="550"/>
      <c r="O658" s="550"/>
      <c r="P658" s="550"/>
      <c r="Q658" s="550"/>
      <c r="R658" s="550"/>
      <c r="S658" s="550"/>
      <c r="T658" s="551"/>
      <c r="U658" s="551"/>
      <c r="V658" s="551"/>
      <c r="W658" s="551"/>
      <c r="X658" s="551"/>
      <c r="Y658" s="551"/>
      <c r="Z658" s="551"/>
      <c r="AA658" s="551"/>
    </row>
    <row r="659">
      <c r="A659" s="574"/>
      <c r="B659" s="575"/>
      <c r="C659" s="575"/>
      <c r="D659" s="575"/>
      <c r="E659" s="576"/>
      <c r="F659" s="547"/>
      <c r="G659" s="547"/>
      <c r="H659" s="547"/>
      <c r="I659" s="573"/>
      <c r="J659" s="550"/>
      <c r="K659" s="550"/>
      <c r="L659" s="550"/>
      <c r="M659" s="550"/>
      <c r="N659" s="550"/>
      <c r="O659" s="550"/>
      <c r="P659" s="550"/>
      <c r="Q659" s="550"/>
      <c r="R659" s="550"/>
      <c r="S659" s="550"/>
      <c r="T659" s="551"/>
      <c r="U659" s="551"/>
      <c r="V659" s="551"/>
      <c r="W659" s="551"/>
      <c r="X659" s="551"/>
      <c r="Y659" s="551"/>
      <c r="Z659" s="551"/>
      <c r="AA659" s="551"/>
    </row>
    <row r="660">
      <c r="A660" s="574"/>
      <c r="B660" s="575"/>
      <c r="C660" s="575"/>
      <c r="D660" s="575"/>
      <c r="E660" s="576"/>
      <c r="F660" s="547"/>
      <c r="G660" s="547"/>
      <c r="H660" s="547"/>
      <c r="I660" s="573"/>
      <c r="J660" s="550"/>
      <c r="K660" s="550"/>
      <c r="L660" s="550"/>
      <c r="M660" s="550"/>
      <c r="N660" s="550"/>
      <c r="O660" s="550"/>
      <c r="P660" s="550"/>
      <c r="Q660" s="550"/>
      <c r="R660" s="550"/>
      <c r="S660" s="550"/>
      <c r="T660" s="551"/>
      <c r="U660" s="551"/>
      <c r="V660" s="551"/>
      <c r="W660" s="551"/>
      <c r="X660" s="551"/>
      <c r="Y660" s="551"/>
      <c r="Z660" s="551"/>
      <c r="AA660" s="551"/>
    </row>
    <row r="661">
      <c r="A661" s="574"/>
      <c r="B661" s="575"/>
      <c r="C661" s="575"/>
      <c r="D661" s="575"/>
      <c r="E661" s="576"/>
      <c r="F661" s="547"/>
      <c r="G661" s="547"/>
      <c r="H661" s="547"/>
      <c r="I661" s="573"/>
      <c r="J661" s="550"/>
      <c r="K661" s="550"/>
      <c r="L661" s="550"/>
      <c r="M661" s="550"/>
      <c r="N661" s="550"/>
      <c r="O661" s="550"/>
      <c r="P661" s="550"/>
      <c r="Q661" s="550"/>
      <c r="R661" s="550"/>
      <c r="S661" s="550"/>
      <c r="T661" s="551"/>
      <c r="U661" s="551"/>
      <c r="V661" s="551"/>
      <c r="W661" s="551"/>
      <c r="X661" s="551"/>
      <c r="Y661" s="551"/>
      <c r="Z661" s="551"/>
      <c r="AA661" s="551"/>
    </row>
    <row r="662">
      <c r="A662" s="574"/>
      <c r="B662" s="575"/>
      <c r="C662" s="575"/>
      <c r="D662" s="575"/>
      <c r="E662" s="576"/>
      <c r="F662" s="547"/>
      <c r="G662" s="547"/>
      <c r="H662" s="547"/>
      <c r="I662" s="573"/>
      <c r="J662" s="550"/>
      <c r="K662" s="550"/>
      <c r="L662" s="550"/>
      <c r="M662" s="550"/>
      <c r="N662" s="550"/>
      <c r="O662" s="550"/>
      <c r="P662" s="550"/>
      <c r="Q662" s="550"/>
      <c r="R662" s="550"/>
      <c r="S662" s="550"/>
      <c r="T662" s="551"/>
      <c r="U662" s="551"/>
      <c r="V662" s="551"/>
      <c r="W662" s="551"/>
      <c r="X662" s="551"/>
      <c r="Y662" s="551"/>
      <c r="Z662" s="551"/>
      <c r="AA662" s="551"/>
    </row>
    <row r="663">
      <c r="A663" s="574"/>
      <c r="B663" s="575"/>
      <c r="C663" s="575"/>
      <c r="D663" s="575"/>
      <c r="E663" s="576"/>
      <c r="F663" s="547"/>
      <c r="G663" s="547"/>
      <c r="H663" s="547"/>
      <c r="I663" s="573"/>
      <c r="J663" s="550"/>
      <c r="K663" s="550"/>
      <c r="L663" s="550"/>
      <c r="M663" s="550"/>
      <c r="N663" s="550"/>
      <c r="O663" s="550"/>
      <c r="P663" s="550"/>
      <c r="Q663" s="550"/>
      <c r="R663" s="550"/>
      <c r="S663" s="550"/>
      <c r="T663" s="551"/>
      <c r="U663" s="551"/>
      <c r="V663" s="551"/>
      <c r="W663" s="551"/>
      <c r="X663" s="551"/>
      <c r="Y663" s="551"/>
      <c r="Z663" s="551"/>
      <c r="AA663" s="551"/>
    </row>
    <row r="664">
      <c r="A664" s="574"/>
      <c r="B664" s="575"/>
      <c r="C664" s="575"/>
      <c r="D664" s="575"/>
      <c r="E664" s="576"/>
      <c r="F664" s="547"/>
      <c r="G664" s="547"/>
      <c r="H664" s="547"/>
      <c r="I664" s="573"/>
      <c r="J664" s="550"/>
      <c r="K664" s="550"/>
      <c r="L664" s="550"/>
      <c r="M664" s="550"/>
      <c r="N664" s="550"/>
      <c r="O664" s="550"/>
      <c r="P664" s="550"/>
      <c r="Q664" s="550"/>
      <c r="R664" s="550"/>
      <c r="S664" s="550"/>
      <c r="T664" s="551"/>
      <c r="U664" s="551"/>
      <c r="V664" s="551"/>
      <c r="W664" s="551"/>
      <c r="X664" s="551"/>
      <c r="Y664" s="551"/>
      <c r="Z664" s="551"/>
      <c r="AA664" s="551"/>
    </row>
    <row r="665">
      <c r="A665" s="574"/>
      <c r="B665" s="575"/>
      <c r="C665" s="575"/>
      <c r="D665" s="575"/>
      <c r="E665" s="576"/>
      <c r="F665" s="547"/>
      <c r="G665" s="547"/>
      <c r="H665" s="547"/>
      <c r="I665" s="573"/>
      <c r="J665" s="550"/>
      <c r="K665" s="550"/>
      <c r="L665" s="550"/>
      <c r="M665" s="550"/>
      <c r="N665" s="550"/>
      <c r="O665" s="550"/>
      <c r="P665" s="550"/>
      <c r="Q665" s="550"/>
      <c r="R665" s="550"/>
      <c r="S665" s="550"/>
      <c r="T665" s="551"/>
      <c r="U665" s="551"/>
      <c r="V665" s="551"/>
      <c r="W665" s="551"/>
      <c r="X665" s="551"/>
      <c r="Y665" s="551"/>
      <c r="Z665" s="551"/>
      <c r="AA665" s="551"/>
    </row>
    <row r="666">
      <c r="A666" s="574"/>
      <c r="B666" s="575"/>
      <c r="C666" s="575"/>
      <c r="D666" s="575"/>
      <c r="E666" s="576"/>
      <c r="F666" s="547"/>
      <c r="G666" s="547"/>
      <c r="H666" s="547"/>
      <c r="I666" s="573"/>
      <c r="J666" s="550"/>
      <c r="K666" s="550"/>
      <c r="L666" s="550"/>
      <c r="M666" s="550"/>
      <c r="N666" s="550"/>
      <c r="O666" s="550"/>
      <c r="P666" s="550"/>
      <c r="Q666" s="550"/>
      <c r="R666" s="550"/>
      <c r="S666" s="550"/>
      <c r="T666" s="551"/>
      <c r="U666" s="551"/>
      <c r="V666" s="551"/>
      <c r="W666" s="551"/>
      <c r="X666" s="551"/>
      <c r="Y666" s="551"/>
      <c r="Z666" s="551"/>
      <c r="AA666" s="551"/>
    </row>
    <row r="667">
      <c r="A667" s="574"/>
      <c r="B667" s="575"/>
      <c r="C667" s="575"/>
      <c r="D667" s="575"/>
      <c r="E667" s="576"/>
      <c r="F667" s="547"/>
      <c r="G667" s="547"/>
      <c r="H667" s="547"/>
      <c r="I667" s="573"/>
      <c r="J667" s="550"/>
      <c r="K667" s="550"/>
      <c r="L667" s="550"/>
      <c r="M667" s="550"/>
      <c r="N667" s="550"/>
      <c r="O667" s="550"/>
      <c r="P667" s="550"/>
      <c r="Q667" s="550"/>
      <c r="R667" s="550"/>
      <c r="S667" s="550"/>
      <c r="T667" s="551"/>
      <c r="U667" s="551"/>
      <c r="V667" s="551"/>
      <c r="W667" s="551"/>
      <c r="X667" s="551"/>
      <c r="Y667" s="551"/>
      <c r="Z667" s="551"/>
      <c r="AA667" s="551"/>
    </row>
    <row r="668">
      <c r="A668" s="574"/>
      <c r="B668" s="575"/>
      <c r="C668" s="575"/>
      <c r="D668" s="575"/>
      <c r="E668" s="576"/>
      <c r="F668" s="547"/>
      <c r="G668" s="547"/>
      <c r="H668" s="547"/>
      <c r="I668" s="573"/>
      <c r="J668" s="550"/>
      <c r="K668" s="550"/>
      <c r="L668" s="550"/>
      <c r="M668" s="550"/>
      <c r="N668" s="550"/>
      <c r="O668" s="550"/>
      <c r="P668" s="550"/>
      <c r="Q668" s="550"/>
      <c r="R668" s="550"/>
      <c r="S668" s="550"/>
      <c r="T668" s="551"/>
      <c r="U668" s="551"/>
      <c r="V668" s="551"/>
      <c r="W668" s="551"/>
      <c r="X668" s="551"/>
      <c r="Y668" s="551"/>
      <c r="Z668" s="551"/>
      <c r="AA668" s="551"/>
    </row>
    <row r="669">
      <c r="A669" s="574"/>
      <c r="B669" s="575"/>
      <c r="C669" s="575"/>
      <c r="D669" s="575"/>
      <c r="E669" s="576"/>
      <c r="F669" s="547"/>
      <c r="G669" s="547"/>
      <c r="H669" s="547"/>
      <c r="I669" s="573"/>
      <c r="J669" s="550"/>
      <c r="K669" s="550"/>
      <c r="L669" s="550"/>
      <c r="M669" s="550"/>
      <c r="N669" s="550"/>
      <c r="O669" s="550"/>
      <c r="P669" s="550"/>
      <c r="Q669" s="550"/>
      <c r="R669" s="550"/>
      <c r="S669" s="550"/>
      <c r="T669" s="551"/>
      <c r="U669" s="551"/>
      <c r="V669" s="551"/>
      <c r="W669" s="551"/>
      <c r="X669" s="551"/>
      <c r="Y669" s="551"/>
      <c r="Z669" s="551"/>
      <c r="AA669" s="551"/>
    </row>
    <row r="670">
      <c r="A670" s="574"/>
      <c r="B670" s="575"/>
      <c r="C670" s="575"/>
      <c r="D670" s="575"/>
      <c r="E670" s="576"/>
      <c r="F670" s="547"/>
      <c r="G670" s="547"/>
      <c r="H670" s="547"/>
      <c r="I670" s="573"/>
      <c r="J670" s="550"/>
      <c r="K670" s="550"/>
      <c r="L670" s="550"/>
      <c r="M670" s="550"/>
      <c r="N670" s="550"/>
      <c r="O670" s="550"/>
      <c r="P670" s="550"/>
      <c r="Q670" s="550"/>
      <c r="R670" s="550"/>
      <c r="S670" s="550"/>
      <c r="T670" s="551"/>
      <c r="U670" s="551"/>
      <c r="V670" s="551"/>
      <c r="W670" s="551"/>
      <c r="X670" s="551"/>
      <c r="Y670" s="551"/>
      <c r="Z670" s="551"/>
      <c r="AA670" s="551"/>
    </row>
    <row r="671">
      <c r="A671" s="574"/>
      <c r="B671" s="575"/>
      <c r="C671" s="575"/>
      <c r="D671" s="575"/>
      <c r="E671" s="576"/>
      <c r="F671" s="547"/>
      <c r="G671" s="547"/>
      <c r="H671" s="547"/>
      <c r="I671" s="573"/>
      <c r="J671" s="550"/>
      <c r="K671" s="550"/>
      <c r="L671" s="550"/>
      <c r="M671" s="550"/>
      <c r="N671" s="550"/>
      <c r="O671" s="550"/>
      <c r="P671" s="550"/>
      <c r="Q671" s="550"/>
      <c r="R671" s="550"/>
      <c r="S671" s="550"/>
      <c r="T671" s="551"/>
      <c r="U671" s="551"/>
      <c r="V671" s="551"/>
      <c r="W671" s="551"/>
      <c r="X671" s="551"/>
      <c r="Y671" s="551"/>
      <c r="Z671" s="551"/>
      <c r="AA671" s="551"/>
    </row>
    <row r="672">
      <c r="A672" s="574"/>
      <c r="B672" s="575"/>
      <c r="C672" s="575"/>
      <c r="D672" s="575"/>
      <c r="E672" s="576"/>
      <c r="F672" s="547"/>
      <c r="G672" s="547"/>
      <c r="H672" s="547"/>
      <c r="I672" s="573"/>
      <c r="J672" s="550"/>
      <c r="K672" s="550"/>
      <c r="L672" s="550"/>
      <c r="M672" s="550"/>
      <c r="N672" s="550"/>
      <c r="O672" s="550"/>
      <c r="P672" s="550"/>
      <c r="Q672" s="550"/>
      <c r="R672" s="550"/>
      <c r="S672" s="550"/>
      <c r="T672" s="551"/>
      <c r="U672" s="551"/>
      <c r="V672" s="551"/>
      <c r="W672" s="551"/>
      <c r="X672" s="551"/>
      <c r="Y672" s="551"/>
      <c r="Z672" s="551"/>
      <c r="AA672" s="551"/>
    </row>
    <row r="673">
      <c r="A673" s="574"/>
      <c r="B673" s="575"/>
      <c r="C673" s="575"/>
      <c r="D673" s="575"/>
      <c r="E673" s="576"/>
      <c r="F673" s="547"/>
      <c r="G673" s="547"/>
      <c r="H673" s="547"/>
      <c r="I673" s="573"/>
      <c r="J673" s="550"/>
      <c r="K673" s="550"/>
      <c r="L673" s="550"/>
      <c r="M673" s="550"/>
      <c r="N673" s="550"/>
      <c r="O673" s="550"/>
      <c r="P673" s="550"/>
      <c r="Q673" s="550"/>
      <c r="R673" s="550"/>
      <c r="S673" s="550"/>
      <c r="T673" s="551"/>
      <c r="U673" s="551"/>
      <c r="V673" s="551"/>
      <c r="W673" s="551"/>
      <c r="X673" s="551"/>
      <c r="Y673" s="551"/>
      <c r="Z673" s="551"/>
      <c r="AA673" s="551"/>
    </row>
    <row r="674">
      <c r="A674" s="574"/>
      <c r="B674" s="575"/>
      <c r="C674" s="575"/>
      <c r="D674" s="575"/>
      <c r="E674" s="576"/>
      <c r="F674" s="547"/>
      <c r="G674" s="547"/>
      <c r="H674" s="547"/>
      <c r="I674" s="573"/>
      <c r="J674" s="550"/>
      <c r="K674" s="550"/>
      <c r="L674" s="550"/>
      <c r="M674" s="550"/>
      <c r="N674" s="550"/>
      <c r="O674" s="550"/>
      <c r="P674" s="550"/>
      <c r="Q674" s="550"/>
      <c r="R674" s="550"/>
      <c r="S674" s="550"/>
      <c r="T674" s="551"/>
      <c r="U674" s="551"/>
      <c r="V674" s="551"/>
      <c r="W674" s="551"/>
      <c r="X674" s="551"/>
      <c r="Y674" s="551"/>
      <c r="Z674" s="551"/>
      <c r="AA674" s="551"/>
    </row>
    <row r="675">
      <c r="A675" s="574"/>
      <c r="B675" s="575"/>
      <c r="C675" s="575"/>
      <c r="D675" s="575"/>
      <c r="E675" s="576"/>
      <c r="F675" s="547"/>
      <c r="G675" s="547"/>
      <c r="H675" s="547"/>
      <c r="I675" s="573"/>
      <c r="J675" s="550"/>
      <c r="K675" s="550"/>
      <c r="L675" s="550"/>
      <c r="M675" s="550"/>
      <c r="N675" s="550"/>
      <c r="O675" s="550"/>
      <c r="P675" s="550"/>
      <c r="Q675" s="550"/>
      <c r="R675" s="550"/>
      <c r="S675" s="550"/>
      <c r="T675" s="551"/>
      <c r="U675" s="551"/>
      <c r="V675" s="551"/>
      <c r="W675" s="551"/>
      <c r="X675" s="551"/>
      <c r="Y675" s="551"/>
      <c r="Z675" s="551"/>
      <c r="AA675" s="551"/>
    </row>
    <row r="676">
      <c r="A676" s="574"/>
      <c r="B676" s="575"/>
      <c r="C676" s="575"/>
      <c r="D676" s="575"/>
      <c r="E676" s="576"/>
      <c r="F676" s="547"/>
      <c r="G676" s="547"/>
      <c r="H676" s="547"/>
      <c r="I676" s="573"/>
      <c r="J676" s="550"/>
      <c r="K676" s="550"/>
      <c r="L676" s="550"/>
      <c r="M676" s="550"/>
      <c r="N676" s="550"/>
      <c r="O676" s="550"/>
      <c r="P676" s="550"/>
      <c r="Q676" s="550"/>
      <c r="R676" s="550"/>
      <c r="S676" s="550"/>
      <c r="T676" s="551"/>
      <c r="U676" s="551"/>
      <c r="V676" s="551"/>
      <c r="W676" s="551"/>
      <c r="X676" s="551"/>
      <c r="Y676" s="551"/>
      <c r="Z676" s="551"/>
      <c r="AA676" s="551"/>
    </row>
    <row r="677">
      <c r="A677" s="574"/>
      <c r="B677" s="575"/>
      <c r="C677" s="575"/>
      <c r="D677" s="575"/>
      <c r="E677" s="576"/>
      <c r="F677" s="547"/>
      <c r="G677" s="547"/>
      <c r="H677" s="547"/>
      <c r="I677" s="573"/>
      <c r="J677" s="550"/>
      <c r="K677" s="550"/>
      <c r="L677" s="550"/>
      <c r="M677" s="550"/>
      <c r="N677" s="550"/>
      <c r="O677" s="550"/>
      <c r="P677" s="550"/>
      <c r="Q677" s="550"/>
      <c r="R677" s="550"/>
      <c r="S677" s="550"/>
      <c r="T677" s="551"/>
      <c r="U677" s="551"/>
      <c r="V677" s="551"/>
      <c r="W677" s="551"/>
      <c r="X677" s="551"/>
      <c r="Y677" s="551"/>
      <c r="Z677" s="551"/>
      <c r="AA677" s="551"/>
    </row>
    <row r="678">
      <c r="A678" s="574"/>
      <c r="B678" s="575"/>
      <c r="C678" s="575"/>
      <c r="D678" s="575"/>
      <c r="E678" s="576"/>
      <c r="F678" s="547"/>
      <c r="G678" s="547"/>
      <c r="H678" s="547"/>
      <c r="I678" s="573"/>
      <c r="J678" s="550"/>
      <c r="K678" s="550"/>
      <c r="L678" s="550"/>
      <c r="M678" s="550"/>
      <c r="N678" s="550"/>
      <c r="O678" s="550"/>
      <c r="P678" s="550"/>
      <c r="Q678" s="550"/>
      <c r="R678" s="550"/>
      <c r="S678" s="550"/>
      <c r="T678" s="551"/>
      <c r="U678" s="551"/>
      <c r="V678" s="551"/>
      <c r="W678" s="551"/>
      <c r="X678" s="551"/>
      <c r="Y678" s="551"/>
      <c r="Z678" s="551"/>
      <c r="AA678" s="551"/>
    </row>
    <row r="679">
      <c r="A679" s="574"/>
      <c r="B679" s="575"/>
      <c r="C679" s="575"/>
      <c r="D679" s="575"/>
      <c r="E679" s="576"/>
      <c r="F679" s="547"/>
      <c r="G679" s="547"/>
      <c r="H679" s="547"/>
      <c r="I679" s="573"/>
      <c r="J679" s="550"/>
      <c r="K679" s="550"/>
      <c r="L679" s="550"/>
      <c r="M679" s="550"/>
      <c r="N679" s="550"/>
      <c r="O679" s="550"/>
      <c r="P679" s="550"/>
      <c r="Q679" s="550"/>
      <c r="R679" s="550"/>
      <c r="S679" s="550"/>
      <c r="T679" s="551"/>
      <c r="U679" s="551"/>
      <c r="V679" s="551"/>
      <c r="W679" s="551"/>
      <c r="X679" s="551"/>
      <c r="Y679" s="551"/>
      <c r="Z679" s="551"/>
      <c r="AA679" s="551"/>
    </row>
    <row r="680">
      <c r="A680" s="574"/>
      <c r="B680" s="575"/>
      <c r="C680" s="575"/>
      <c r="D680" s="575"/>
      <c r="E680" s="576"/>
      <c r="F680" s="547"/>
      <c r="G680" s="547"/>
      <c r="H680" s="547"/>
      <c r="I680" s="573"/>
      <c r="J680" s="550"/>
      <c r="K680" s="550"/>
      <c r="L680" s="550"/>
      <c r="M680" s="550"/>
      <c r="N680" s="550"/>
      <c r="O680" s="550"/>
      <c r="P680" s="550"/>
      <c r="Q680" s="550"/>
      <c r="R680" s="550"/>
      <c r="S680" s="550"/>
      <c r="T680" s="551"/>
      <c r="U680" s="551"/>
      <c r="V680" s="551"/>
      <c r="W680" s="551"/>
      <c r="X680" s="551"/>
      <c r="Y680" s="551"/>
      <c r="Z680" s="551"/>
      <c r="AA680" s="551"/>
    </row>
    <row r="681">
      <c r="A681" s="574"/>
      <c r="B681" s="575"/>
      <c r="C681" s="575"/>
      <c r="D681" s="575"/>
      <c r="E681" s="576"/>
      <c r="F681" s="547"/>
      <c r="G681" s="547"/>
      <c r="H681" s="547"/>
      <c r="I681" s="573"/>
      <c r="J681" s="550"/>
      <c r="K681" s="550"/>
      <c r="L681" s="550"/>
      <c r="M681" s="550"/>
      <c r="N681" s="550"/>
      <c r="O681" s="550"/>
      <c r="P681" s="550"/>
      <c r="Q681" s="550"/>
      <c r="R681" s="550"/>
      <c r="S681" s="550"/>
      <c r="T681" s="551"/>
      <c r="U681" s="551"/>
      <c r="V681" s="551"/>
      <c r="W681" s="551"/>
      <c r="X681" s="551"/>
      <c r="Y681" s="551"/>
      <c r="Z681" s="551"/>
      <c r="AA681" s="551"/>
    </row>
    <row r="682">
      <c r="A682" s="574"/>
      <c r="B682" s="575"/>
      <c r="C682" s="575"/>
      <c r="D682" s="575"/>
      <c r="E682" s="576"/>
      <c r="F682" s="547"/>
      <c r="G682" s="547"/>
      <c r="H682" s="547"/>
      <c r="I682" s="573"/>
      <c r="J682" s="550"/>
      <c r="K682" s="550"/>
      <c r="L682" s="550"/>
      <c r="M682" s="550"/>
      <c r="N682" s="550"/>
      <c r="O682" s="550"/>
      <c r="P682" s="550"/>
      <c r="Q682" s="550"/>
      <c r="R682" s="550"/>
      <c r="S682" s="550"/>
      <c r="T682" s="551"/>
      <c r="U682" s="551"/>
      <c r="V682" s="551"/>
      <c r="W682" s="551"/>
      <c r="X682" s="551"/>
      <c r="Y682" s="551"/>
      <c r="Z682" s="551"/>
      <c r="AA682" s="551"/>
    </row>
    <row r="683">
      <c r="A683" s="574"/>
      <c r="B683" s="575"/>
      <c r="C683" s="575"/>
      <c r="D683" s="575"/>
      <c r="E683" s="576"/>
      <c r="F683" s="547"/>
      <c r="G683" s="547"/>
      <c r="H683" s="547"/>
      <c r="I683" s="573"/>
      <c r="J683" s="550"/>
      <c r="K683" s="550"/>
      <c r="L683" s="550"/>
      <c r="M683" s="550"/>
      <c r="N683" s="550"/>
      <c r="O683" s="550"/>
      <c r="P683" s="550"/>
      <c r="Q683" s="550"/>
      <c r="R683" s="550"/>
      <c r="S683" s="550"/>
      <c r="T683" s="551"/>
      <c r="U683" s="551"/>
      <c r="V683" s="551"/>
      <c r="W683" s="551"/>
      <c r="X683" s="551"/>
      <c r="Y683" s="551"/>
      <c r="Z683" s="551"/>
      <c r="AA683" s="551"/>
    </row>
    <row r="684">
      <c r="A684" s="574"/>
      <c r="B684" s="575"/>
      <c r="C684" s="575"/>
      <c r="D684" s="575"/>
      <c r="E684" s="576"/>
      <c r="F684" s="547"/>
      <c r="G684" s="547"/>
      <c r="H684" s="547"/>
      <c r="I684" s="573"/>
      <c r="J684" s="550"/>
      <c r="K684" s="550"/>
      <c r="L684" s="550"/>
      <c r="M684" s="550"/>
      <c r="N684" s="550"/>
      <c r="O684" s="550"/>
      <c r="P684" s="550"/>
      <c r="Q684" s="550"/>
      <c r="R684" s="550"/>
      <c r="S684" s="550"/>
      <c r="T684" s="551"/>
      <c r="U684" s="551"/>
      <c r="V684" s="551"/>
      <c r="W684" s="551"/>
      <c r="X684" s="551"/>
      <c r="Y684" s="551"/>
      <c r="Z684" s="551"/>
      <c r="AA684" s="551"/>
    </row>
    <row r="685">
      <c r="A685" s="574"/>
      <c r="B685" s="575"/>
      <c r="C685" s="575"/>
      <c r="D685" s="575"/>
      <c r="E685" s="576"/>
      <c r="F685" s="547"/>
      <c r="G685" s="547"/>
      <c r="H685" s="547"/>
      <c r="I685" s="573"/>
      <c r="J685" s="550"/>
      <c r="K685" s="550"/>
      <c r="L685" s="550"/>
      <c r="M685" s="550"/>
      <c r="N685" s="550"/>
      <c r="O685" s="550"/>
      <c r="P685" s="550"/>
      <c r="Q685" s="550"/>
      <c r="R685" s="550"/>
      <c r="S685" s="550"/>
      <c r="T685" s="551"/>
      <c r="U685" s="551"/>
      <c r="V685" s="551"/>
      <c r="W685" s="551"/>
      <c r="X685" s="551"/>
      <c r="Y685" s="551"/>
      <c r="Z685" s="551"/>
      <c r="AA685" s="551"/>
    </row>
    <row r="686">
      <c r="A686" s="574"/>
      <c r="B686" s="575"/>
      <c r="C686" s="575"/>
      <c r="D686" s="575"/>
      <c r="E686" s="576"/>
      <c r="F686" s="547"/>
      <c r="G686" s="547"/>
      <c r="H686" s="547"/>
      <c r="I686" s="573"/>
      <c r="J686" s="550"/>
      <c r="K686" s="550"/>
      <c r="L686" s="550"/>
      <c r="M686" s="550"/>
      <c r="N686" s="550"/>
      <c r="O686" s="550"/>
      <c r="P686" s="550"/>
      <c r="Q686" s="550"/>
      <c r="R686" s="550"/>
      <c r="S686" s="550"/>
      <c r="T686" s="551"/>
      <c r="U686" s="551"/>
      <c r="V686" s="551"/>
      <c r="W686" s="551"/>
      <c r="X686" s="551"/>
      <c r="Y686" s="551"/>
      <c r="Z686" s="551"/>
      <c r="AA686" s="551"/>
    </row>
    <row r="687">
      <c r="A687" s="574"/>
      <c r="B687" s="575"/>
      <c r="C687" s="575"/>
      <c r="D687" s="575"/>
      <c r="E687" s="576"/>
      <c r="F687" s="547"/>
      <c r="G687" s="547"/>
      <c r="H687" s="547"/>
      <c r="I687" s="573"/>
      <c r="J687" s="550"/>
      <c r="K687" s="550"/>
      <c r="L687" s="550"/>
      <c r="M687" s="550"/>
      <c r="N687" s="550"/>
      <c r="O687" s="550"/>
      <c r="P687" s="550"/>
      <c r="Q687" s="550"/>
      <c r="R687" s="550"/>
      <c r="S687" s="550"/>
      <c r="T687" s="551"/>
      <c r="U687" s="551"/>
      <c r="V687" s="551"/>
      <c r="W687" s="551"/>
      <c r="X687" s="551"/>
      <c r="Y687" s="551"/>
      <c r="Z687" s="551"/>
      <c r="AA687" s="551"/>
    </row>
    <row r="688">
      <c r="A688" s="574"/>
      <c r="B688" s="575"/>
      <c r="C688" s="575"/>
      <c r="D688" s="575"/>
      <c r="E688" s="576"/>
      <c r="F688" s="547"/>
      <c r="G688" s="547"/>
      <c r="H688" s="547"/>
      <c r="I688" s="573"/>
      <c r="J688" s="550"/>
      <c r="K688" s="550"/>
      <c r="L688" s="550"/>
      <c r="M688" s="550"/>
      <c r="N688" s="550"/>
      <c r="O688" s="550"/>
      <c r="P688" s="550"/>
      <c r="Q688" s="550"/>
      <c r="R688" s="550"/>
      <c r="S688" s="550"/>
      <c r="T688" s="551"/>
      <c r="U688" s="551"/>
      <c r="V688" s="551"/>
      <c r="W688" s="551"/>
      <c r="X688" s="551"/>
      <c r="Y688" s="551"/>
      <c r="Z688" s="551"/>
      <c r="AA688" s="551"/>
    </row>
    <row r="689">
      <c r="A689" s="574"/>
      <c r="B689" s="575"/>
      <c r="C689" s="575"/>
      <c r="D689" s="575"/>
      <c r="E689" s="576"/>
      <c r="F689" s="547"/>
      <c r="G689" s="547"/>
      <c r="H689" s="547"/>
      <c r="I689" s="573"/>
      <c r="J689" s="550"/>
      <c r="K689" s="550"/>
      <c r="L689" s="550"/>
      <c r="M689" s="550"/>
      <c r="N689" s="550"/>
      <c r="O689" s="550"/>
      <c r="P689" s="550"/>
      <c r="Q689" s="550"/>
      <c r="R689" s="550"/>
      <c r="S689" s="550"/>
      <c r="T689" s="551"/>
      <c r="U689" s="551"/>
      <c r="V689" s="551"/>
      <c r="W689" s="551"/>
      <c r="X689" s="551"/>
      <c r="Y689" s="551"/>
      <c r="Z689" s="551"/>
      <c r="AA689" s="551"/>
    </row>
    <row r="690">
      <c r="A690" s="574"/>
      <c r="B690" s="575"/>
      <c r="C690" s="575"/>
      <c r="D690" s="575"/>
      <c r="E690" s="576"/>
      <c r="F690" s="547"/>
      <c r="G690" s="547"/>
      <c r="H690" s="547"/>
      <c r="I690" s="573"/>
      <c r="J690" s="550"/>
      <c r="K690" s="550"/>
      <c r="L690" s="550"/>
      <c r="M690" s="550"/>
      <c r="N690" s="550"/>
      <c r="O690" s="550"/>
      <c r="P690" s="550"/>
      <c r="Q690" s="550"/>
      <c r="R690" s="550"/>
      <c r="S690" s="550"/>
      <c r="T690" s="551"/>
      <c r="U690" s="551"/>
      <c r="V690" s="551"/>
      <c r="W690" s="551"/>
      <c r="X690" s="551"/>
      <c r="Y690" s="551"/>
      <c r="Z690" s="551"/>
      <c r="AA690" s="551"/>
    </row>
    <row r="691">
      <c r="A691" s="574"/>
      <c r="B691" s="575"/>
      <c r="C691" s="575"/>
      <c r="D691" s="575"/>
      <c r="E691" s="576"/>
      <c r="F691" s="547"/>
      <c r="G691" s="547"/>
      <c r="H691" s="547"/>
      <c r="I691" s="573"/>
      <c r="J691" s="550"/>
      <c r="K691" s="550"/>
      <c r="L691" s="550"/>
      <c r="M691" s="550"/>
      <c r="N691" s="550"/>
      <c r="O691" s="550"/>
      <c r="P691" s="550"/>
      <c r="Q691" s="550"/>
      <c r="R691" s="550"/>
      <c r="S691" s="550"/>
      <c r="T691" s="551"/>
      <c r="U691" s="551"/>
      <c r="V691" s="551"/>
      <c r="W691" s="551"/>
      <c r="X691" s="551"/>
      <c r="Y691" s="551"/>
      <c r="Z691" s="551"/>
      <c r="AA691" s="551"/>
    </row>
    <row r="692">
      <c r="A692" s="574"/>
      <c r="B692" s="575"/>
      <c r="C692" s="575"/>
      <c r="D692" s="575"/>
      <c r="E692" s="576"/>
      <c r="F692" s="547"/>
      <c r="G692" s="547"/>
      <c r="H692" s="547"/>
      <c r="I692" s="573"/>
      <c r="J692" s="550"/>
      <c r="K692" s="550"/>
      <c r="L692" s="550"/>
      <c r="M692" s="550"/>
      <c r="N692" s="550"/>
      <c r="O692" s="550"/>
      <c r="P692" s="550"/>
      <c r="Q692" s="550"/>
      <c r="R692" s="550"/>
      <c r="S692" s="550"/>
      <c r="T692" s="551"/>
      <c r="U692" s="551"/>
      <c r="V692" s="551"/>
      <c r="W692" s="551"/>
      <c r="X692" s="551"/>
      <c r="Y692" s="551"/>
      <c r="Z692" s="551"/>
      <c r="AA692" s="551"/>
    </row>
    <row r="693">
      <c r="A693" s="574"/>
      <c r="B693" s="575"/>
      <c r="C693" s="575"/>
      <c r="D693" s="575"/>
      <c r="E693" s="576"/>
      <c r="F693" s="547"/>
      <c r="G693" s="547"/>
      <c r="H693" s="547"/>
      <c r="I693" s="573"/>
      <c r="J693" s="550"/>
      <c r="K693" s="550"/>
      <c r="L693" s="550"/>
      <c r="M693" s="550"/>
      <c r="N693" s="550"/>
      <c r="O693" s="550"/>
      <c r="P693" s="550"/>
      <c r="Q693" s="550"/>
      <c r="R693" s="550"/>
      <c r="S693" s="550"/>
      <c r="T693" s="551"/>
      <c r="U693" s="551"/>
      <c r="V693" s="551"/>
      <c r="W693" s="551"/>
      <c r="X693" s="551"/>
      <c r="Y693" s="551"/>
      <c r="Z693" s="551"/>
      <c r="AA693" s="551"/>
    </row>
    <row r="694">
      <c r="A694" s="574"/>
      <c r="B694" s="575"/>
      <c r="C694" s="575"/>
      <c r="D694" s="575"/>
      <c r="E694" s="576"/>
      <c r="F694" s="547"/>
      <c r="G694" s="547"/>
      <c r="H694" s="547"/>
      <c r="I694" s="573"/>
      <c r="J694" s="550"/>
      <c r="K694" s="550"/>
      <c r="L694" s="550"/>
      <c r="M694" s="550"/>
      <c r="N694" s="550"/>
      <c r="O694" s="550"/>
      <c r="P694" s="550"/>
      <c r="Q694" s="550"/>
      <c r="R694" s="550"/>
      <c r="S694" s="550"/>
      <c r="T694" s="551"/>
      <c r="U694" s="551"/>
      <c r="V694" s="551"/>
      <c r="W694" s="551"/>
      <c r="X694" s="551"/>
      <c r="Y694" s="551"/>
      <c r="Z694" s="551"/>
      <c r="AA694" s="551"/>
    </row>
    <row r="695">
      <c r="A695" s="574"/>
      <c r="B695" s="575"/>
      <c r="C695" s="575"/>
      <c r="D695" s="575"/>
      <c r="E695" s="576"/>
      <c r="F695" s="547"/>
      <c r="G695" s="547"/>
      <c r="H695" s="547"/>
      <c r="I695" s="573"/>
      <c r="J695" s="550"/>
      <c r="K695" s="550"/>
      <c r="L695" s="550"/>
      <c r="M695" s="550"/>
      <c r="N695" s="550"/>
      <c r="O695" s="550"/>
      <c r="P695" s="550"/>
      <c r="Q695" s="550"/>
      <c r="R695" s="550"/>
      <c r="S695" s="550"/>
      <c r="T695" s="551"/>
      <c r="U695" s="551"/>
      <c r="V695" s="551"/>
      <c r="W695" s="551"/>
      <c r="X695" s="551"/>
      <c r="Y695" s="551"/>
      <c r="Z695" s="551"/>
      <c r="AA695" s="551"/>
    </row>
    <row r="696">
      <c r="A696" s="574"/>
      <c r="B696" s="575"/>
      <c r="C696" s="575"/>
      <c r="D696" s="575"/>
      <c r="E696" s="576"/>
      <c r="F696" s="547"/>
      <c r="G696" s="547"/>
      <c r="H696" s="547"/>
      <c r="I696" s="573"/>
      <c r="J696" s="550"/>
      <c r="K696" s="550"/>
      <c r="L696" s="550"/>
      <c r="M696" s="550"/>
      <c r="N696" s="550"/>
      <c r="O696" s="550"/>
      <c r="P696" s="550"/>
      <c r="Q696" s="550"/>
      <c r="R696" s="550"/>
      <c r="S696" s="550"/>
      <c r="T696" s="551"/>
      <c r="U696" s="551"/>
      <c r="V696" s="551"/>
      <c r="W696" s="551"/>
      <c r="X696" s="551"/>
      <c r="Y696" s="551"/>
      <c r="Z696" s="551"/>
      <c r="AA696" s="551"/>
    </row>
    <row r="697">
      <c r="A697" s="574"/>
      <c r="B697" s="575"/>
      <c r="C697" s="575"/>
      <c r="D697" s="575"/>
      <c r="E697" s="576"/>
      <c r="F697" s="547"/>
      <c r="G697" s="547"/>
      <c r="H697" s="547"/>
      <c r="I697" s="573"/>
      <c r="J697" s="550"/>
      <c r="K697" s="550"/>
      <c r="L697" s="550"/>
      <c r="M697" s="550"/>
      <c r="N697" s="550"/>
      <c r="O697" s="550"/>
      <c r="P697" s="550"/>
      <c r="Q697" s="550"/>
      <c r="R697" s="550"/>
      <c r="S697" s="550"/>
      <c r="T697" s="551"/>
      <c r="U697" s="551"/>
      <c r="V697" s="551"/>
      <c r="W697" s="551"/>
      <c r="X697" s="551"/>
      <c r="Y697" s="551"/>
      <c r="Z697" s="551"/>
      <c r="AA697" s="551"/>
    </row>
    <row r="698">
      <c r="A698" s="574"/>
      <c r="B698" s="575"/>
      <c r="C698" s="575"/>
      <c r="D698" s="575"/>
      <c r="E698" s="576"/>
      <c r="F698" s="547"/>
      <c r="G698" s="547"/>
      <c r="H698" s="547"/>
      <c r="I698" s="573"/>
      <c r="J698" s="550"/>
      <c r="K698" s="550"/>
      <c r="L698" s="550"/>
      <c r="M698" s="550"/>
      <c r="N698" s="550"/>
      <c r="O698" s="550"/>
      <c r="P698" s="550"/>
      <c r="Q698" s="550"/>
      <c r="R698" s="550"/>
      <c r="S698" s="550"/>
      <c r="T698" s="551"/>
      <c r="U698" s="551"/>
      <c r="V698" s="551"/>
      <c r="W698" s="551"/>
      <c r="X698" s="551"/>
      <c r="Y698" s="551"/>
      <c r="Z698" s="551"/>
      <c r="AA698" s="551"/>
    </row>
    <row r="699">
      <c r="A699" s="574"/>
      <c r="B699" s="575"/>
      <c r="C699" s="575"/>
      <c r="D699" s="575"/>
      <c r="E699" s="576"/>
      <c r="F699" s="547"/>
      <c r="G699" s="547"/>
      <c r="H699" s="547"/>
      <c r="I699" s="573"/>
      <c r="J699" s="550"/>
      <c r="K699" s="550"/>
      <c r="L699" s="550"/>
      <c r="M699" s="550"/>
      <c r="N699" s="550"/>
      <c r="O699" s="550"/>
      <c r="P699" s="550"/>
      <c r="Q699" s="550"/>
      <c r="R699" s="550"/>
      <c r="S699" s="550"/>
      <c r="T699" s="551"/>
      <c r="U699" s="551"/>
      <c r="V699" s="551"/>
      <c r="W699" s="551"/>
      <c r="X699" s="551"/>
      <c r="Y699" s="551"/>
      <c r="Z699" s="551"/>
      <c r="AA699" s="551"/>
    </row>
    <row r="700">
      <c r="A700" s="574"/>
      <c r="B700" s="575"/>
      <c r="C700" s="575"/>
      <c r="D700" s="575"/>
      <c r="E700" s="576"/>
      <c r="F700" s="547"/>
      <c r="G700" s="547"/>
      <c r="H700" s="547"/>
      <c r="I700" s="573"/>
      <c r="J700" s="550"/>
      <c r="K700" s="550"/>
      <c r="L700" s="550"/>
      <c r="M700" s="550"/>
      <c r="N700" s="550"/>
      <c r="O700" s="550"/>
      <c r="P700" s="550"/>
      <c r="Q700" s="550"/>
      <c r="R700" s="550"/>
      <c r="S700" s="550"/>
      <c r="T700" s="551"/>
      <c r="U700" s="551"/>
      <c r="V700" s="551"/>
      <c r="W700" s="551"/>
      <c r="X700" s="551"/>
      <c r="Y700" s="551"/>
      <c r="Z700" s="551"/>
      <c r="AA700" s="551"/>
    </row>
    <row r="701">
      <c r="A701" s="574"/>
      <c r="B701" s="575"/>
      <c r="C701" s="575"/>
      <c r="D701" s="575"/>
      <c r="E701" s="576"/>
      <c r="F701" s="547"/>
      <c r="G701" s="547"/>
      <c r="H701" s="547"/>
      <c r="I701" s="573"/>
      <c r="J701" s="550"/>
      <c r="K701" s="550"/>
      <c r="L701" s="550"/>
      <c r="M701" s="550"/>
      <c r="N701" s="550"/>
      <c r="O701" s="550"/>
      <c r="P701" s="550"/>
      <c r="Q701" s="550"/>
      <c r="R701" s="550"/>
      <c r="S701" s="550"/>
      <c r="T701" s="551"/>
      <c r="U701" s="551"/>
      <c r="V701" s="551"/>
      <c r="W701" s="551"/>
      <c r="X701" s="551"/>
      <c r="Y701" s="551"/>
      <c r="Z701" s="551"/>
      <c r="AA701" s="551"/>
    </row>
    <row r="702">
      <c r="A702" s="574"/>
      <c r="B702" s="575"/>
      <c r="C702" s="575"/>
      <c r="D702" s="575"/>
      <c r="E702" s="576"/>
      <c r="F702" s="547"/>
      <c r="G702" s="547"/>
      <c r="H702" s="547"/>
      <c r="I702" s="573"/>
      <c r="J702" s="550"/>
      <c r="K702" s="550"/>
      <c r="L702" s="550"/>
      <c r="M702" s="550"/>
      <c r="N702" s="550"/>
      <c r="O702" s="550"/>
      <c r="P702" s="550"/>
      <c r="Q702" s="550"/>
      <c r="R702" s="550"/>
      <c r="S702" s="550"/>
      <c r="T702" s="551"/>
      <c r="U702" s="551"/>
      <c r="V702" s="551"/>
      <c r="W702" s="551"/>
      <c r="X702" s="551"/>
      <c r="Y702" s="551"/>
      <c r="Z702" s="551"/>
      <c r="AA702" s="551"/>
    </row>
    <row r="703">
      <c r="A703" s="574"/>
      <c r="B703" s="575"/>
      <c r="C703" s="575"/>
      <c r="D703" s="575"/>
      <c r="E703" s="576"/>
      <c r="F703" s="547"/>
      <c r="G703" s="547"/>
      <c r="H703" s="547"/>
      <c r="I703" s="573"/>
      <c r="J703" s="550"/>
      <c r="K703" s="550"/>
      <c r="L703" s="550"/>
      <c r="M703" s="550"/>
      <c r="N703" s="550"/>
      <c r="O703" s="550"/>
      <c r="P703" s="550"/>
      <c r="Q703" s="550"/>
      <c r="R703" s="550"/>
      <c r="S703" s="550"/>
      <c r="T703" s="551"/>
      <c r="U703" s="551"/>
      <c r="V703" s="551"/>
      <c r="W703" s="551"/>
      <c r="X703" s="551"/>
      <c r="Y703" s="551"/>
      <c r="Z703" s="551"/>
      <c r="AA703" s="551"/>
    </row>
    <row r="704">
      <c r="A704" s="574"/>
      <c r="B704" s="575"/>
      <c r="C704" s="575"/>
      <c r="D704" s="575"/>
      <c r="E704" s="576"/>
      <c r="F704" s="547"/>
      <c r="G704" s="547"/>
      <c r="H704" s="547"/>
      <c r="I704" s="573"/>
      <c r="J704" s="550"/>
      <c r="K704" s="550"/>
      <c r="L704" s="550"/>
      <c r="M704" s="550"/>
      <c r="N704" s="550"/>
      <c r="O704" s="550"/>
      <c r="P704" s="550"/>
      <c r="Q704" s="550"/>
      <c r="R704" s="550"/>
      <c r="S704" s="550"/>
      <c r="T704" s="551"/>
      <c r="U704" s="551"/>
      <c r="V704" s="551"/>
      <c r="W704" s="551"/>
      <c r="X704" s="551"/>
      <c r="Y704" s="551"/>
      <c r="Z704" s="551"/>
      <c r="AA704" s="551"/>
    </row>
    <row r="705">
      <c r="A705" s="574"/>
      <c r="B705" s="575"/>
      <c r="C705" s="575"/>
      <c r="D705" s="575"/>
      <c r="E705" s="576"/>
      <c r="F705" s="547"/>
      <c r="G705" s="547"/>
      <c r="H705" s="547"/>
      <c r="I705" s="573"/>
      <c r="J705" s="550"/>
      <c r="K705" s="550"/>
      <c r="L705" s="550"/>
      <c r="M705" s="550"/>
      <c r="N705" s="550"/>
      <c r="O705" s="550"/>
      <c r="P705" s="550"/>
      <c r="Q705" s="550"/>
      <c r="R705" s="550"/>
      <c r="S705" s="550"/>
      <c r="T705" s="551"/>
      <c r="U705" s="551"/>
      <c r="V705" s="551"/>
      <c r="W705" s="551"/>
      <c r="X705" s="551"/>
      <c r="Y705" s="551"/>
      <c r="Z705" s="551"/>
      <c r="AA705" s="551"/>
    </row>
    <row r="706">
      <c r="A706" s="574"/>
      <c r="B706" s="575"/>
      <c r="C706" s="575"/>
      <c r="D706" s="575"/>
      <c r="E706" s="576"/>
      <c r="F706" s="547"/>
      <c r="G706" s="547"/>
      <c r="H706" s="547"/>
      <c r="I706" s="573"/>
      <c r="J706" s="550"/>
      <c r="K706" s="550"/>
      <c r="L706" s="550"/>
      <c r="M706" s="550"/>
      <c r="N706" s="550"/>
      <c r="O706" s="550"/>
      <c r="P706" s="550"/>
      <c r="Q706" s="550"/>
      <c r="R706" s="550"/>
      <c r="S706" s="550"/>
      <c r="T706" s="551"/>
      <c r="U706" s="551"/>
      <c r="V706" s="551"/>
      <c r="W706" s="551"/>
      <c r="X706" s="551"/>
      <c r="Y706" s="551"/>
      <c r="Z706" s="551"/>
      <c r="AA706" s="551"/>
    </row>
    <row r="707">
      <c r="A707" s="574"/>
      <c r="B707" s="575"/>
      <c r="C707" s="575"/>
      <c r="D707" s="575"/>
      <c r="E707" s="576"/>
      <c r="F707" s="547"/>
      <c r="G707" s="547"/>
      <c r="H707" s="547"/>
      <c r="I707" s="573"/>
      <c r="J707" s="550"/>
      <c r="K707" s="550"/>
      <c r="L707" s="550"/>
      <c r="M707" s="550"/>
      <c r="N707" s="550"/>
      <c r="O707" s="550"/>
      <c r="P707" s="550"/>
      <c r="Q707" s="550"/>
      <c r="R707" s="550"/>
      <c r="S707" s="550"/>
      <c r="T707" s="551"/>
      <c r="U707" s="551"/>
      <c r="V707" s="551"/>
      <c r="W707" s="551"/>
      <c r="X707" s="551"/>
      <c r="Y707" s="551"/>
      <c r="Z707" s="551"/>
      <c r="AA707" s="551"/>
    </row>
    <row r="708">
      <c r="A708" s="574"/>
      <c r="B708" s="575"/>
      <c r="C708" s="575"/>
      <c r="D708" s="575"/>
      <c r="E708" s="576"/>
      <c r="F708" s="547"/>
      <c r="G708" s="547"/>
      <c r="H708" s="547"/>
      <c r="I708" s="573"/>
      <c r="J708" s="550"/>
      <c r="K708" s="550"/>
      <c r="L708" s="550"/>
      <c r="M708" s="550"/>
      <c r="N708" s="550"/>
      <c r="O708" s="550"/>
      <c r="P708" s="550"/>
      <c r="Q708" s="550"/>
      <c r="R708" s="550"/>
      <c r="S708" s="550"/>
      <c r="T708" s="551"/>
      <c r="U708" s="551"/>
      <c r="V708" s="551"/>
      <c r="W708" s="551"/>
      <c r="X708" s="551"/>
      <c r="Y708" s="551"/>
      <c r="Z708" s="551"/>
      <c r="AA708" s="551"/>
    </row>
    <row r="709">
      <c r="A709" s="574"/>
      <c r="B709" s="575"/>
      <c r="C709" s="575"/>
      <c r="D709" s="575"/>
      <c r="E709" s="576"/>
      <c r="F709" s="547"/>
      <c r="G709" s="547"/>
      <c r="H709" s="547"/>
      <c r="I709" s="573"/>
      <c r="J709" s="550"/>
      <c r="K709" s="550"/>
      <c r="L709" s="550"/>
      <c r="M709" s="550"/>
      <c r="N709" s="550"/>
      <c r="O709" s="550"/>
      <c r="P709" s="550"/>
      <c r="Q709" s="550"/>
      <c r="R709" s="550"/>
      <c r="S709" s="550"/>
      <c r="T709" s="551"/>
      <c r="U709" s="551"/>
      <c r="V709" s="551"/>
      <c r="W709" s="551"/>
      <c r="X709" s="551"/>
      <c r="Y709" s="551"/>
      <c r="Z709" s="551"/>
      <c r="AA709" s="551"/>
    </row>
    <row r="710">
      <c r="A710" s="574"/>
      <c r="B710" s="575"/>
      <c r="C710" s="575"/>
      <c r="D710" s="575"/>
      <c r="E710" s="576"/>
      <c r="F710" s="547"/>
      <c r="G710" s="547"/>
      <c r="H710" s="547"/>
      <c r="I710" s="573"/>
      <c r="J710" s="550"/>
      <c r="K710" s="550"/>
      <c r="L710" s="550"/>
      <c r="M710" s="550"/>
      <c r="N710" s="550"/>
      <c r="O710" s="550"/>
      <c r="P710" s="550"/>
      <c r="Q710" s="550"/>
      <c r="R710" s="550"/>
      <c r="S710" s="550"/>
      <c r="T710" s="551"/>
      <c r="U710" s="551"/>
      <c r="V710" s="551"/>
      <c r="W710" s="551"/>
      <c r="X710" s="551"/>
      <c r="Y710" s="551"/>
      <c r="Z710" s="551"/>
      <c r="AA710" s="551"/>
    </row>
    <row r="711">
      <c r="A711" s="574"/>
      <c r="B711" s="575"/>
      <c r="C711" s="575"/>
      <c r="D711" s="575"/>
      <c r="E711" s="576"/>
      <c r="F711" s="547"/>
      <c r="G711" s="547"/>
      <c r="H711" s="547"/>
      <c r="I711" s="573"/>
      <c r="J711" s="550"/>
      <c r="K711" s="550"/>
      <c r="L711" s="550"/>
      <c r="M711" s="550"/>
      <c r="N711" s="550"/>
      <c r="O711" s="550"/>
      <c r="P711" s="550"/>
      <c r="Q711" s="550"/>
      <c r="R711" s="550"/>
      <c r="S711" s="550"/>
      <c r="T711" s="551"/>
      <c r="U711" s="551"/>
      <c r="V711" s="551"/>
      <c r="W711" s="551"/>
      <c r="X711" s="551"/>
      <c r="Y711" s="551"/>
      <c r="Z711" s="551"/>
      <c r="AA711" s="551"/>
    </row>
    <row r="712">
      <c r="A712" s="574"/>
      <c r="B712" s="575"/>
      <c r="C712" s="575"/>
      <c r="D712" s="575"/>
      <c r="E712" s="576"/>
      <c r="F712" s="547"/>
      <c r="G712" s="547"/>
      <c r="H712" s="547"/>
      <c r="I712" s="573"/>
      <c r="J712" s="550"/>
      <c r="K712" s="550"/>
      <c r="L712" s="550"/>
      <c r="M712" s="550"/>
      <c r="N712" s="550"/>
      <c r="O712" s="550"/>
      <c r="P712" s="550"/>
      <c r="Q712" s="550"/>
      <c r="R712" s="550"/>
      <c r="S712" s="550"/>
      <c r="T712" s="551"/>
      <c r="U712" s="551"/>
      <c r="V712" s="551"/>
      <c r="W712" s="551"/>
      <c r="X712" s="551"/>
      <c r="Y712" s="551"/>
      <c r="Z712" s="551"/>
      <c r="AA712" s="551"/>
    </row>
    <row r="713">
      <c r="A713" s="574"/>
      <c r="B713" s="575"/>
      <c r="C713" s="575"/>
      <c r="D713" s="575"/>
      <c r="E713" s="576"/>
      <c r="F713" s="547"/>
      <c r="G713" s="547"/>
      <c r="H713" s="547"/>
      <c r="I713" s="573"/>
      <c r="J713" s="550"/>
      <c r="K713" s="550"/>
      <c r="L713" s="550"/>
      <c r="M713" s="550"/>
      <c r="N713" s="550"/>
      <c r="O713" s="550"/>
      <c r="P713" s="550"/>
      <c r="Q713" s="550"/>
      <c r="R713" s="550"/>
      <c r="S713" s="550"/>
      <c r="T713" s="551"/>
      <c r="U713" s="551"/>
      <c r="V713" s="551"/>
      <c r="W713" s="551"/>
      <c r="X713" s="551"/>
      <c r="Y713" s="551"/>
      <c r="Z713" s="551"/>
      <c r="AA713" s="551"/>
    </row>
    <row r="714">
      <c r="A714" s="574"/>
      <c r="B714" s="575"/>
      <c r="C714" s="575"/>
      <c r="D714" s="575"/>
      <c r="E714" s="576"/>
      <c r="F714" s="547"/>
      <c r="G714" s="547"/>
      <c r="H714" s="547"/>
      <c r="I714" s="573"/>
      <c r="J714" s="550"/>
      <c r="K714" s="550"/>
      <c r="L714" s="550"/>
      <c r="M714" s="550"/>
      <c r="N714" s="550"/>
      <c r="O714" s="550"/>
      <c r="P714" s="550"/>
      <c r="Q714" s="550"/>
      <c r="R714" s="550"/>
      <c r="S714" s="550"/>
      <c r="T714" s="551"/>
      <c r="U714" s="551"/>
      <c r="V714" s="551"/>
      <c r="W714" s="551"/>
      <c r="X714" s="551"/>
      <c r="Y714" s="551"/>
      <c r="Z714" s="551"/>
      <c r="AA714" s="551"/>
    </row>
    <row r="715">
      <c r="A715" s="574"/>
      <c r="B715" s="575"/>
      <c r="C715" s="575"/>
      <c r="D715" s="575"/>
      <c r="E715" s="576"/>
      <c r="F715" s="547"/>
      <c r="G715" s="547"/>
      <c r="H715" s="547"/>
      <c r="I715" s="573"/>
      <c r="J715" s="550"/>
      <c r="K715" s="550"/>
      <c r="L715" s="550"/>
      <c r="M715" s="550"/>
      <c r="N715" s="550"/>
      <c r="O715" s="550"/>
      <c r="P715" s="550"/>
      <c r="Q715" s="550"/>
      <c r="R715" s="550"/>
      <c r="S715" s="550"/>
      <c r="T715" s="551"/>
      <c r="U715" s="551"/>
      <c r="V715" s="551"/>
      <c r="W715" s="551"/>
      <c r="X715" s="551"/>
      <c r="Y715" s="551"/>
      <c r="Z715" s="551"/>
      <c r="AA715" s="551"/>
    </row>
    <row r="716">
      <c r="A716" s="574"/>
      <c r="B716" s="575"/>
      <c r="C716" s="575"/>
      <c r="D716" s="575"/>
      <c r="E716" s="576"/>
      <c r="F716" s="547"/>
      <c r="G716" s="547"/>
      <c r="H716" s="547"/>
      <c r="I716" s="573"/>
      <c r="J716" s="550"/>
      <c r="K716" s="550"/>
      <c r="L716" s="550"/>
      <c r="M716" s="550"/>
      <c r="N716" s="550"/>
      <c r="O716" s="550"/>
      <c r="P716" s="550"/>
      <c r="Q716" s="550"/>
      <c r="R716" s="550"/>
      <c r="S716" s="550"/>
      <c r="T716" s="551"/>
      <c r="U716" s="551"/>
      <c r="V716" s="551"/>
      <c r="W716" s="551"/>
      <c r="X716" s="551"/>
      <c r="Y716" s="551"/>
      <c r="Z716" s="551"/>
      <c r="AA716" s="551"/>
    </row>
    <row r="717">
      <c r="A717" s="574"/>
      <c r="B717" s="575"/>
      <c r="C717" s="575"/>
      <c r="D717" s="575"/>
      <c r="E717" s="576"/>
      <c r="F717" s="547"/>
      <c r="G717" s="547"/>
      <c r="H717" s="547"/>
      <c r="I717" s="573"/>
      <c r="J717" s="550"/>
      <c r="K717" s="550"/>
      <c r="L717" s="550"/>
      <c r="M717" s="550"/>
      <c r="N717" s="550"/>
      <c r="O717" s="550"/>
      <c r="P717" s="550"/>
      <c r="Q717" s="550"/>
      <c r="R717" s="550"/>
      <c r="S717" s="550"/>
      <c r="T717" s="551"/>
      <c r="U717" s="551"/>
      <c r="V717" s="551"/>
      <c r="W717" s="551"/>
      <c r="X717" s="551"/>
      <c r="Y717" s="551"/>
      <c r="Z717" s="551"/>
      <c r="AA717" s="551"/>
    </row>
    <row r="718">
      <c r="A718" s="574"/>
      <c r="B718" s="575"/>
      <c r="C718" s="575"/>
      <c r="D718" s="575"/>
      <c r="E718" s="576"/>
      <c r="F718" s="547"/>
      <c r="G718" s="547"/>
      <c r="H718" s="547"/>
      <c r="I718" s="573"/>
      <c r="J718" s="550"/>
      <c r="K718" s="550"/>
      <c r="L718" s="550"/>
      <c r="M718" s="550"/>
      <c r="N718" s="550"/>
      <c r="O718" s="550"/>
      <c r="P718" s="550"/>
      <c r="Q718" s="550"/>
      <c r="R718" s="550"/>
      <c r="S718" s="550"/>
      <c r="T718" s="551"/>
      <c r="U718" s="551"/>
      <c r="V718" s="551"/>
      <c r="W718" s="551"/>
      <c r="X718" s="551"/>
      <c r="Y718" s="551"/>
      <c r="Z718" s="551"/>
      <c r="AA718" s="551"/>
    </row>
    <row r="719">
      <c r="A719" s="574"/>
      <c r="B719" s="575"/>
      <c r="C719" s="575"/>
      <c r="D719" s="575"/>
      <c r="E719" s="576"/>
      <c r="F719" s="547"/>
      <c r="G719" s="547"/>
      <c r="H719" s="547"/>
      <c r="I719" s="573"/>
      <c r="J719" s="550"/>
      <c r="K719" s="550"/>
      <c r="L719" s="550"/>
      <c r="M719" s="550"/>
      <c r="N719" s="550"/>
      <c r="O719" s="550"/>
      <c r="P719" s="550"/>
      <c r="Q719" s="550"/>
      <c r="R719" s="550"/>
      <c r="S719" s="550"/>
      <c r="T719" s="551"/>
      <c r="U719" s="551"/>
      <c r="V719" s="551"/>
      <c r="W719" s="551"/>
      <c r="X719" s="551"/>
      <c r="Y719" s="551"/>
      <c r="Z719" s="551"/>
      <c r="AA719" s="551"/>
    </row>
    <row r="720">
      <c r="A720" s="574"/>
      <c r="B720" s="575"/>
      <c r="C720" s="575"/>
      <c r="D720" s="575"/>
      <c r="E720" s="576"/>
      <c r="F720" s="547"/>
      <c r="G720" s="547"/>
      <c r="H720" s="547"/>
      <c r="I720" s="573"/>
      <c r="J720" s="550"/>
      <c r="K720" s="550"/>
      <c r="L720" s="550"/>
      <c r="M720" s="550"/>
      <c r="N720" s="550"/>
      <c r="O720" s="550"/>
      <c r="P720" s="550"/>
      <c r="Q720" s="550"/>
      <c r="R720" s="550"/>
      <c r="S720" s="550"/>
      <c r="T720" s="551"/>
      <c r="U720" s="551"/>
      <c r="V720" s="551"/>
      <c r="W720" s="551"/>
      <c r="X720" s="551"/>
      <c r="Y720" s="551"/>
      <c r="Z720" s="551"/>
      <c r="AA720" s="551"/>
    </row>
    <row r="721">
      <c r="A721" s="574"/>
      <c r="B721" s="575"/>
      <c r="C721" s="575"/>
      <c r="D721" s="575"/>
      <c r="E721" s="576"/>
      <c r="F721" s="547"/>
      <c r="G721" s="547"/>
      <c r="H721" s="547"/>
      <c r="I721" s="573"/>
      <c r="J721" s="550"/>
      <c r="K721" s="550"/>
      <c r="L721" s="550"/>
      <c r="M721" s="550"/>
      <c r="N721" s="550"/>
      <c r="O721" s="550"/>
      <c r="P721" s="550"/>
      <c r="Q721" s="550"/>
      <c r="R721" s="550"/>
      <c r="S721" s="550"/>
      <c r="T721" s="551"/>
      <c r="U721" s="551"/>
      <c r="V721" s="551"/>
      <c r="W721" s="551"/>
      <c r="X721" s="551"/>
      <c r="Y721" s="551"/>
      <c r="Z721" s="551"/>
      <c r="AA721" s="551"/>
    </row>
    <row r="722">
      <c r="A722" s="574"/>
      <c r="B722" s="575"/>
      <c r="C722" s="575"/>
      <c r="D722" s="575"/>
      <c r="E722" s="576"/>
      <c r="F722" s="547"/>
      <c r="G722" s="547"/>
      <c r="H722" s="547"/>
      <c r="I722" s="573"/>
      <c r="J722" s="550"/>
      <c r="K722" s="550"/>
      <c r="L722" s="550"/>
      <c r="M722" s="550"/>
      <c r="N722" s="550"/>
      <c r="O722" s="550"/>
      <c r="P722" s="550"/>
      <c r="Q722" s="550"/>
      <c r="R722" s="550"/>
      <c r="S722" s="550"/>
      <c r="T722" s="551"/>
      <c r="U722" s="551"/>
      <c r="V722" s="551"/>
      <c r="W722" s="551"/>
      <c r="X722" s="551"/>
      <c r="Y722" s="551"/>
      <c r="Z722" s="551"/>
      <c r="AA722" s="551"/>
    </row>
    <row r="723">
      <c r="A723" s="574"/>
      <c r="B723" s="575"/>
      <c r="C723" s="575"/>
      <c r="D723" s="575"/>
      <c r="E723" s="576"/>
      <c r="F723" s="547"/>
      <c r="G723" s="547"/>
      <c r="H723" s="547"/>
      <c r="I723" s="573"/>
      <c r="J723" s="550"/>
      <c r="K723" s="550"/>
      <c r="L723" s="550"/>
      <c r="M723" s="550"/>
      <c r="N723" s="550"/>
      <c r="O723" s="550"/>
      <c r="P723" s="550"/>
      <c r="Q723" s="550"/>
      <c r="R723" s="550"/>
      <c r="S723" s="550"/>
      <c r="T723" s="551"/>
      <c r="U723" s="551"/>
      <c r="V723" s="551"/>
      <c r="W723" s="551"/>
      <c r="X723" s="551"/>
      <c r="Y723" s="551"/>
      <c r="Z723" s="551"/>
      <c r="AA723" s="551"/>
    </row>
    <row r="724">
      <c r="A724" s="574"/>
      <c r="B724" s="575"/>
      <c r="C724" s="575"/>
      <c r="D724" s="575"/>
      <c r="E724" s="576"/>
      <c r="F724" s="547"/>
      <c r="G724" s="547"/>
      <c r="H724" s="547"/>
      <c r="I724" s="573"/>
      <c r="J724" s="550"/>
      <c r="K724" s="550"/>
      <c r="L724" s="550"/>
      <c r="M724" s="550"/>
      <c r="N724" s="550"/>
      <c r="O724" s="550"/>
      <c r="P724" s="550"/>
      <c r="Q724" s="550"/>
      <c r="R724" s="550"/>
      <c r="S724" s="550"/>
      <c r="T724" s="551"/>
      <c r="U724" s="551"/>
      <c r="V724" s="551"/>
      <c r="W724" s="551"/>
      <c r="X724" s="551"/>
      <c r="Y724" s="551"/>
      <c r="Z724" s="551"/>
      <c r="AA724" s="551"/>
    </row>
    <row r="725">
      <c r="A725" s="574"/>
      <c r="B725" s="575"/>
      <c r="C725" s="575"/>
      <c r="D725" s="575"/>
      <c r="E725" s="576"/>
      <c r="F725" s="547"/>
      <c r="G725" s="547"/>
      <c r="H725" s="547"/>
      <c r="I725" s="573"/>
      <c r="J725" s="550"/>
      <c r="K725" s="550"/>
      <c r="L725" s="550"/>
      <c r="M725" s="550"/>
      <c r="N725" s="550"/>
      <c r="O725" s="550"/>
      <c r="P725" s="550"/>
      <c r="Q725" s="550"/>
      <c r="R725" s="550"/>
      <c r="S725" s="550"/>
      <c r="T725" s="551"/>
      <c r="U725" s="551"/>
      <c r="V725" s="551"/>
      <c r="W725" s="551"/>
      <c r="X725" s="551"/>
      <c r="Y725" s="551"/>
      <c r="Z725" s="551"/>
      <c r="AA725" s="551"/>
    </row>
    <row r="726">
      <c r="A726" s="574"/>
      <c r="B726" s="575"/>
      <c r="C726" s="575"/>
      <c r="D726" s="575"/>
      <c r="E726" s="576"/>
      <c r="F726" s="547"/>
      <c r="G726" s="547"/>
      <c r="H726" s="547"/>
      <c r="I726" s="573"/>
      <c r="J726" s="550"/>
      <c r="K726" s="550"/>
      <c r="L726" s="550"/>
      <c r="M726" s="550"/>
      <c r="N726" s="550"/>
      <c r="O726" s="550"/>
      <c r="P726" s="550"/>
      <c r="Q726" s="550"/>
      <c r="R726" s="550"/>
      <c r="S726" s="550"/>
      <c r="T726" s="551"/>
      <c r="U726" s="551"/>
      <c r="V726" s="551"/>
      <c r="W726" s="551"/>
      <c r="X726" s="551"/>
      <c r="Y726" s="551"/>
      <c r="Z726" s="551"/>
      <c r="AA726" s="551"/>
    </row>
    <row r="727">
      <c r="A727" s="574"/>
      <c r="B727" s="575"/>
      <c r="C727" s="575"/>
      <c r="D727" s="575"/>
      <c r="E727" s="576"/>
      <c r="F727" s="547"/>
      <c r="G727" s="547"/>
      <c r="H727" s="547"/>
      <c r="I727" s="573"/>
      <c r="J727" s="550"/>
      <c r="K727" s="550"/>
      <c r="L727" s="550"/>
      <c r="M727" s="550"/>
      <c r="N727" s="550"/>
      <c r="O727" s="550"/>
      <c r="P727" s="550"/>
      <c r="Q727" s="550"/>
      <c r="R727" s="550"/>
      <c r="S727" s="550"/>
      <c r="T727" s="551"/>
      <c r="U727" s="551"/>
      <c r="V727" s="551"/>
      <c r="W727" s="551"/>
      <c r="X727" s="551"/>
      <c r="Y727" s="551"/>
      <c r="Z727" s="551"/>
      <c r="AA727" s="551"/>
    </row>
    <row r="728">
      <c r="A728" s="574"/>
      <c r="B728" s="575"/>
      <c r="C728" s="575"/>
      <c r="D728" s="575"/>
      <c r="E728" s="576"/>
      <c r="F728" s="547"/>
      <c r="G728" s="547"/>
      <c r="H728" s="547"/>
      <c r="I728" s="573"/>
      <c r="J728" s="550"/>
      <c r="K728" s="550"/>
      <c r="L728" s="550"/>
      <c r="M728" s="550"/>
      <c r="N728" s="550"/>
      <c r="O728" s="550"/>
      <c r="P728" s="550"/>
      <c r="Q728" s="550"/>
      <c r="R728" s="550"/>
      <c r="S728" s="550"/>
      <c r="T728" s="551"/>
      <c r="U728" s="551"/>
      <c r="V728" s="551"/>
      <c r="W728" s="551"/>
      <c r="X728" s="551"/>
      <c r="Y728" s="551"/>
      <c r="Z728" s="551"/>
      <c r="AA728" s="551"/>
    </row>
    <row r="729">
      <c r="A729" s="574"/>
      <c r="B729" s="575"/>
      <c r="C729" s="575"/>
      <c r="D729" s="575"/>
      <c r="E729" s="576"/>
      <c r="F729" s="547"/>
      <c r="G729" s="547"/>
      <c r="H729" s="547"/>
      <c r="I729" s="573"/>
      <c r="J729" s="550"/>
      <c r="K729" s="550"/>
      <c r="L729" s="550"/>
      <c r="M729" s="550"/>
      <c r="N729" s="550"/>
      <c r="O729" s="550"/>
      <c r="P729" s="550"/>
      <c r="Q729" s="550"/>
      <c r="R729" s="550"/>
      <c r="S729" s="550"/>
      <c r="T729" s="551"/>
      <c r="U729" s="551"/>
      <c r="V729" s="551"/>
      <c r="W729" s="551"/>
      <c r="X729" s="551"/>
      <c r="Y729" s="551"/>
      <c r="Z729" s="551"/>
      <c r="AA729" s="551"/>
    </row>
    <row r="730">
      <c r="A730" s="574"/>
      <c r="B730" s="575"/>
      <c r="C730" s="575"/>
      <c r="D730" s="575"/>
      <c r="E730" s="576"/>
      <c r="F730" s="547"/>
      <c r="G730" s="547"/>
      <c r="H730" s="547"/>
      <c r="I730" s="573"/>
      <c r="J730" s="550"/>
      <c r="K730" s="550"/>
      <c r="L730" s="550"/>
      <c r="M730" s="550"/>
      <c r="N730" s="550"/>
      <c r="O730" s="550"/>
      <c r="P730" s="550"/>
      <c r="Q730" s="550"/>
      <c r="R730" s="550"/>
      <c r="S730" s="550"/>
      <c r="T730" s="551"/>
      <c r="U730" s="551"/>
      <c r="V730" s="551"/>
      <c r="W730" s="551"/>
      <c r="X730" s="551"/>
      <c r="Y730" s="551"/>
      <c r="Z730" s="551"/>
      <c r="AA730" s="551"/>
    </row>
    <row r="731">
      <c r="A731" s="574"/>
      <c r="B731" s="575"/>
      <c r="C731" s="575"/>
      <c r="D731" s="575"/>
      <c r="E731" s="576"/>
      <c r="F731" s="547"/>
      <c r="G731" s="547"/>
      <c r="H731" s="547"/>
      <c r="I731" s="573"/>
      <c r="J731" s="550"/>
      <c r="K731" s="550"/>
      <c r="L731" s="550"/>
      <c r="M731" s="550"/>
      <c r="N731" s="550"/>
      <c r="O731" s="550"/>
      <c r="P731" s="550"/>
      <c r="Q731" s="550"/>
      <c r="R731" s="550"/>
      <c r="S731" s="550"/>
      <c r="T731" s="551"/>
      <c r="U731" s="551"/>
      <c r="V731" s="551"/>
      <c r="W731" s="551"/>
      <c r="X731" s="551"/>
      <c r="Y731" s="551"/>
      <c r="Z731" s="551"/>
      <c r="AA731" s="551"/>
    </row>
    <row r="732">
      <c r="A732" s="574"/>
      <c r="B732" s="575"/>
      <c r="C732" s="575"/>
      <c r="D732" s="575"/>
      <c r="E732" s="576"/>
      <c r="F732" s="547"/>
      <c r="G732" s="547"/>
      <c r="H732" s="547"/>
      <c r="I732" s="573"/>
      <c r="J732" s="550"/>
      <c r="K732" s="550"/>
      <c r="L732" s="550"/>
      <c r="M732" s="550"/>
      <c r="N732" s="550"/>
      <c r="O732" s="550"/>
      <c r="P732" s="550"/>
      <c r="Q732" s="550"/>
      <c r="R732" s="550"/>
      <c r="S732" s="550"/>
      <c r="T732" s="551"/>
      <c r="U732" s="551"/>
      <c r="V732" s="551"/>
      <c r="W732" s="551"/>
      <c r="X732" s="551"/>
      <c r="Y732" s="551"/>
      <c r="Z732" s="551"/>
      <c r="AA732" s="551"/>
    </row>
    <row r="733">
      <c r="A733" s="574"/>
      <c r="B733" s="575"/>
      <c r="C733" s="575"/>
      <c r="D733" s="575"/>
      <c r="E733" s="576"/>
      <c r="F733" s="547"/>
      <c r="G733" s="547"/>
      <c r="H733" s="547"/>
      <c r="I733" s="573"/>
      <c r="J733" s="550"/>
      <c r="K733" s="550"/>
      <c r="L733" s="550"/>
      <c r="M733" s="550"/>
      <c r="N733" s="550"/>
      <c r="O733" s="550"/>
      <c r="P733" s="550"/>
      <c r="Q733" s="550"/>
      <c r="R733" s="550"/>
      <c r="S733" s="550"/>
      <c r="T733" s="551"/>
      <c r="U733" s="551"/>
      <c r="V733" s="551"/>
      <c r="W733" s="551"/>
      <c r="X733" s="551"/>
      <c r="Y733" s="551"/>
      <c r="Z733" s="551"/>
      <c r="AA733" s="551"/>
    </row>
    <row r="734">
      <c r="A734" s="574"/>
      <c r="B734" s="575"/>
      <c r="C734" s="575"/>
      <c r="D734" s="575"/>
      <c r="E734" s="576"/>
      <c r="F734" s="547"/>
      <c r="G734" s="547"/>
      <c r="H734" s="547"/>
      <c r="I734" s="573"/>
      <c r="J734" s="550"/>
      <c r="K734" s="550"/>
      <c r="L734" s="550"/>
      <c r="M734" s="550"/>
      <c r="N734" s="550"/>
      <c r="O734" s="550"/>
      <c r="P734" s="550"/>
      <c r="Q734" s="550"/>
      <c r="R734" s="550"/>
      <c r="S734" s="550"/>
      <c r="T734" s="551"/>
      <c r="U734" s="551"/>
      <c r="V734" s="551"/>
      <c r="W734" s="551"/>
      <c r="X734" s="551"/>
      <c r="Y734" s="551"/>
      <c r="Z734" s="551"/>
      <c r="AA734" s="551"/>
    </row>
    <row r="735">
      <c r="A735" s="574"/>
      <c r="B735" s="575"/>
      <c r="C735" s="575"/>
      <c r="D735" s="575"/>
      <c r="E735" s="576"/>
      <c r="F735" s="547"/>
      <c r="G735" s="547"/>
      <c r="H735" s="547"/>
      <c r="I735" s="573"/>
      <c r="J735" s="550"/>
      <c r="K735" s="550"/>
      <c r="L735" s="550"/>
      <c r="M735" s="550"/>
      <c r="N735" s="550"/>
      <c r="O735" s="550"/>
      <c r="P735" s="550"/>
      <c r="Q735" s="550"/>
      <c r="R735" s="550"/>
      <c r="S735" s="550"/>
      <c r="T735" s="551"/>
      <c r="U735" s="551"/>
      <c r="V735" s="551"/>
      <c r="W735" s="551"/>
      <c r="X735" s="551"/>
      <c r="Y735" s="551"/>
      <c r="Z735" s="551"/>
      <c r="AA735" s="551"/>
    </row>
    <row r="736">
      <c r="A736" s="574"/>
      <c r="B736" s="575"/>
      <c r="C736" s="575"/>
      <c r="D736" s="575"/>
      <c r="E736" s="576"/>
      <c r="F736" s="547"/>
      <c r="G736" s="547"/>
      <c r="H736" s="547"/>
      <c r="I736" s="573"/>
      <c r="J736" s="550"/>
      <c r="K736" s="550"/>
      <c r="L736" s="550"/>
      <c r="M736" s="550"/>
      <c r="N736" s="550"/>
      <c r="O736" s="550"/>
      <c r="P736" s="550"/>
      <c r="Q736" s="550"/>
      <c r="R736" s="550"/>
      <c r="S736" s="550"/>
      <c r="T736" s="551"/>
      <c r="U736" s="551"/>
      <c r="V736" s="551"/>
      <c r="W736" s="551"/>
      <c r="X736" s="551"/>
      <c r="Y736" s="551"/>
      <c r="Z736" s="551"/>
      <c r="AA736" s="551"/>
    </row>
    <row r="737">
      <c r="A737" s="574"/>
      <c r="B737" s="575"/>
      <c r="C737" s="575"/>
      <c r="D737" s="575"/>
      <c r="E737" s="576"/>
      <c r="F737" s="547"/>
      <c r="G737" s="547"/>
      <c r="H737" s="547"/>
      <c r="I737" s="573"/>
      <c r="J737" s="550"/>
      <c r="K737" s="550"/>
      <c r="L737" s="550"/>
      <c r="M737" s="550"/>
      <c r="N737" s="550"/>
      <c r="O737" s="550"/>
      <c r="P737" s="550"/>
      <c r="Q737" s="550"/>
      <c r="R737" s="550"/>
      <c r="S737" s="550"/>
      <c r="T737" s="551"/>
      <c r="U737" s="551"/>
      <c r="V737" s="551"/>
      <c r="W737" s="551"/>
      <c r="X737" s="551"/>
      <c r="Y737" s="551"/>
      <c r="Z737" s="551"/>
      <c r="AA737" s="551"/>
    </row>
    <row r="738">
      <c r="A738" s="574"/>
      <c r="B738" s="575"/>
      <c r="C738" s="575"/>
      <c r="D738" s="575"/>
      <c r="E738" s="576"/>
      <c r="F738" s="547"/>
      <c r="G738" s="547"/>
      <c r="H738" s="547"/>
      <c r="I738" s="573"/>
      <c r="J738" s="550"/>
      <c r="K738" s="550"/>
      <c r="L738" s="550"/>
      <c r="M738" s="550"/>
      <c r="N738" s="550"/>
      <c r="O738" s="550"/>
      <c r="P738" s="550"/>
      <c r="Q738" s="550"/>
      <c r="R738" s="550"/>
      <c r="S738" s="550"/>
      <c r="T738" s="551"/>
      <c r="U738" s="551"/>
      <c r="V738" s="551"/>
      <c r="W738" s="551"/>
      <c r="X738" s="551"/>
      <c r="Y738" s="551"/>
      <c r="Z738" s="551"/>
      <c r="AA738" s="551"/>
    </row>
    <row r="739">
      <c r="A739" s="574"/>
      <c r="B739" s="575"/>
      <c r="C739" s="575"/>
      <c r="D739" s="575"/>
      <c r="E739" s="576"/>
      <c r="F739" s="547"/>
      <c r="G739" s="547"/>
      <c r="H739" s="547"/>
      <c r="I739" s="573"/>
      <c r="J739" s="550"/>
      <c r="K739" s="550"/>
      <c r="L739" s="550"/>
      <c r="M739" s="550"/>
      <c r="N739" s="550"/>
      <c r="O739" s="550"/>
      <c r="P739" s="550"/>
      <c r="Q739" s="550"/>
      <c r="R739" s="550"/>
      <c r="S739" s="550"/>
      <c r="T739" s="551"/>
      <c r="U739" s="551"/>
      <c r="V739" s="551"/>
      <c r="W739" s="551"/>
      <c r="X739" s="551"/>
      <c r="Y739" s="551"/>
      <c r="Z739" s="551"/>
      <c r="AA739" s="551"/>
    </row>
    <row r="740">
      <c r="A740" s="574"/>
      <c r="B740" s="575"/>
      <c r="C740" s="575"/>
      <c r="D740" s="575"/>
      <c r="E740" s="576"/>
      <c r="F740" s="547"/>
      <c r="G740" s="547"/>
      <c r="H740" s="547"/>
      <c r="I740" s="573"/>
      <c r="J740" s="550"/>
      <c r="K740" s="550"/>
      <c r="L740" s="550"/>
      <c r="M740" s="550"/>
      <c r="N740" s="550"/>
      <c r="O740" s="550"/>
      <c r="P740" s="550"/>
      <c r="Q740" s="550"/>
      <c r="R740" s="550"/>
      <c r="S740" s="550"/>
      <c r="T740" s="551"/>
      <c r="U740" s="551"/>
      <c r="V740" s="551"/>
      <c r="W740" s="551"/>
      <c r="X740" s="551"/>
      <c r="Y740" s="551"/>
      <c r="Z740" s="551"/>
      <c r="AA740" s="551"/>
    </row>
    <row r="741">
      <c r="A741" s="574"/>
      <c r="B741" s="575"/>
      <c r="C741" s="575"/>
      <c r="D741" s="575"/>
      <c r="E741" s="576"/>
      <c r="F741" s="547"/>
      <c r="G741" s="547"/>
      <c r="H741" s="547"/>
      <c r="I741" s="573"/>
      <c r="J741" s="550"/>
      <c r="K741" s="550"/>
      <c r="L741" s="550"/>
      <c r="M741" s="550"/>
      <c r="N741" s="550"/>
      <c r="O741" s="550"/>
      <c r="P741" s="550"/>
      <c r="Q741" s="550"/>
      <c r="R741" s="550"/>
      <c r="S741" s="550"/>
      <c r="T741" s="551"/>
      <c r="U741" s="551"/>
      <c r="V741" s="551"/>
      <c r="W741" s="551"/>
      <c r="X741" s="551"/>
      <c r="Y741" s="551"/>
      <c r="Z741" s="551"/>
      <c r="AA741" s="551"/>
    </row>
    <row r="742">
      <c r="A742" s="574"/>
      <c r="B742" s="575"/>
      <c r="C742" s="575"/>
      <c r="D742" s="575"/>
      <c r="E742" s="576"/>
      <c r="F742" s="547"/>
      <c r="G742" s="547"/>
      <c r="H742" s="547"/>
      <c r="I742" s="573"/>
      <c r="J742" s="550"/>
      <c r="K742" s="550"/>
      <c r="L742" s="550"/>
      <c r="M742" s="550"/>
      <c r="N742" s="550"/>
      <c r="O742" s="550"/>
      <c r="P742" s="550"/>
      <c r="Q742" s="550"/>
      <c r="R742" s="550"/>
      <c r="S742" s="550"/>
      <c r="T742" s="551"/>
      <c r="U742" s="551"/>
      <c r="V742" s="551"/>
      <c r="W742" s="551"/>
      <c r="X742" s="551"/>
      <c r="Y742" s="551"/>
      <c r="Z742" s="551"/>
      <c r="AA742" s="551"/>
    </row>
    <row r="743">
      <c r="A743" s="574"/>
      <c r="B743" s="575"/>
      <c r="C743" s="575"/>
      <c r="D743" s="575"/>
      <c r="E743" s="576"/>
      <c r="F743" s="547"/>
      <c r="G743" s="547"/>
      <c r="H743" s="547"/>
      <c r="I743" s="573"/>
      <c r="J743" s="550"/>
      <c r="K743" s="550"/>
      <c r="L743" s="550"/>
      <c r="M743" s="550"/>
      <c r="N743" s="550"/>
      <c r="O743" s="550"/>
      <c r="P743" s="550"/>
      <c r="Q743" s="550"/>
      <c r="R743" s="550"/>
      <c r="S743" s="550"/>
      <c r="T743" s="551"/>
      <c r="U743" s="551"/>
      <c r="V743" s="551"/>
      <c r="W743" s="551"/>
      <c r="X743" s="551"/>
      <c r="Y743" s="551"/>
      <c r="Z743" s="551"/>
      <c r="AA743" s="551"/>
    </row>
    <row r="744">
      <c r="A744" s="574"/>
      <c r="B744" s="575"/>
      <c r="C744" s="575"/>
      <c r="D744" s="575"/>
      <c r="E744" s="576"/>
      <c r="F744" s="547"/>
      <c r="G744" s="547"/>
      <c r="H744" s="547"/>
      <c r="I744" s="573"/>
      <c r="J744" s="550"/>
      <c r="K744" s="550"/>
      <c r="L744" s="550"/>
      <c r="M744" s="550"/>
      <c r="N744" s="550"/>
      <c r="O744" s="550"/>
      <c r="P744" s="550"/>
      <c r="Q744" s="550"/>
      <c r="R744" s="550"/>
      <c r="S744" s="550"/>
      <c r="T744" s="551"/>
      <c r="U744" s="551"/>
      <c r="V744" s="551"/>
      <c r="W744" s="551"/>
      <c r="X744" s="551"/>
      <c r="Y744" s="551"/>
      <c r="Z744" s="551"/>
      <c r="AA744" s="551"/>
    </row>
    <row r="745">
      <c r="A745" s="574"/>
      <c r="B745" s="575"/>
      <c r="C745" s="575"/>
      <c r="D745" s="575"/>
      <c r="E745" s="576"/>
      <c r="F745" s="547"/>
      <c r="G745" s="547"/>
      <c r="H745" s="547"/>
      <c r="I745" s="573"/>
      <c r="J745" s="550"/>
      <c r="K745" s="550"/>
      <c r="L745" s="550"/>
      <c r="M745" s="550"/>
      <c r="N745" s="550"/>
      <c r="O745" s="550"/>
      <c r="P745" s="550"/>
      <c r="Q745" s="550"/>
      <c r="R745" s="550"/>
      <c r="S745" s="550"/>
      <c r="T745" s="551"/>
      <c r="U745" s="551"/>
      <c r="V745" s="551"/>
      <c r="W745" s="551"/>
      <c r="X745" s="551"/>
      <c r="Y745" s="551"/>
      <c r="Z745" s="551"/>
      <c r="AA745" s="551"/>
    </row>
    <row r="746">
      <c r="A746" s="574"/>
      <c r="B746" s="575"/>
      <c r="C746" s="575"/>
      <c r="D746" s="575"/>
      <c r="E746" s="576"/>
      <c r="F746" s="547"/>
      <c r="G746" s="547"/>
      <c r="H746" s="547"/>
      <c r="I746" s="573"/>
      <c r="J746" s="550"/>
      <c r="K746" s="550"/>
      <c r="L746" s="550"/>
      <c r="M746" s="550"/>
      <c r="N746" s="550"/>
      <c r="O746" s="550"/>
      <c r="P746" s="550"/>
      <c r="Q746" s="550"/>
      <c r="R746" s="550"/>
      <c r="S746" s="550"/>
      <c r="T746" s="551"/>
      <c r="U746" s="551"/>
      <c r="V746" s="551"/>
      <c r="W746" s="551"/>
      <c r="X746" s="551"/>
      <c r="Y746" s="551"/>
      <c r="Z746" s="551"/>
      <c r="AA746" s="551"/>
    </row>
    <row r="747">
      <c r="A747" s="574"/>
      <c r="B747" s="575"/>
      <c r="C747" s="575"/>
      <c r="D747" s="575"/>
      <c r="E747" s="576"/>
      <c r="F747" s="547"/>
      <c r="G747" s="547"/>
      <c r="H747" s="547"/>
      <c r="I747" s="573"/>
      <c r="J747" s="550"/>
      <c r="K747" s="550"/>
      <c r="L747" s="550"/>
      <c r="M747" s="550"/>
      <c r="N747" s="550"/>
      <c r="O747" s="550"/>
      <c r="P747" s="550"/>
      <c r="Q747" s="550"/>
      <c r="R747" s="550"/>
      <c r="S747" s="550"/>
      <c r="T747" s="551"/>
      <c r="U747" s="551"/>
      <c r="V747" s="551"/>
      <c r="W747" s="551"/>
      <c r="X747" s="551"/>
      <c r="Y747" s="551"/>
      <c r="Z747" s="551"/>
      <c r="AA747" s="551"/>
    </row>
    <row r="748">
      <c r="A748" s="574"/>
      <c r="B748" s="575"/>
      <c r="C748" s="575"/>
      <c r="D748" s="575"/>
      <c r="E748" s="576"/>
      <c r="F748" s="547"/>
      <c r="G748" s="547"/>
      <c r="H748" s="547"/>
      <c r="I748" s="573"/>
      <c r="J748" s="550"/>
      <c r="K748" s="550"/>
      <c r="L748" s="550"/>
      <c r="M748" s="550"/>
      <c r="N748" s="550"/>
      <c r="O748" s="550"/>
      <c r="P748" s="550"/>
      <c r="Q748" s="550"/>
      <c r="R748" s="550"/>
      <c r="S748" s="550"/>
      <c r="T748" s="551"/>
      <c r="U748" s="551"/>
      <c r="V748" s="551"/>
      <c r="W748" s="551"/>
      <c r="X748" s="551"/>
      <c r="Y748" s="551"/>
      <c r="Z748" s="551"/>
      <c r="AA748" s="551"/>
    </row>
    <row r="749">
      <c r="A749" s="574"/>
      <c r="B749" s="575"/>
      <c r="C749" s="575"/>
      <c r="D749" s="575"/>
      <c r="E749" s="576"/>
      <c r="F749" s="547"/>
      <c r="G749" s="547"/>
      <c r="H749" s="547"/>
      <c r="I749" s="573"/>
      <c r="J749" s="550"/>
      <c r="K749" s="550"/>
      <c r="L749" s="550"/>
      <c r="M749" s="550"/>
      <c r="N749" s="550"/>
      <c r="O749" s="550"/>
      <c r="P749" s="550"/>
      <c r="Q749" s="550"/>
      <c r="R749" s="550"/>
      <c r="S749" s="550"/>
      <c r="T749" s="551"/>
      <c r="U749" s="551"/>
      <c r="V749" s="551"/>
      <c r="W749" s="551"/>
      <c r="X749" s="551"/>
      <c r="Y749" s="551"/>
      <c r="Z749" s="551"/>
      <c r="AA749" s="551"/>
    </row>
    <row r="750">
      <c r="A750" s="574"/>
      <c r="B750" s="575"/>
      <c r="C750" s="575"/>
      <c r="D750" s="575"/>
      <c r="E750" s="576"/>
      <c r="F750" s="547"/>
      <c r="G750" s="547"/>
      <c r="H750" s="547"/>
      <c r="I750" s="573"/>
      <c r="J750" s="550"/>
      <c r="K750" s="550"/>
      <c r="L750" s="550"/>
      <c r="M750" s="550"/>
      <c r="N750" s="550"/>
      <c r="O750" s="550"/>
      <c r="P750" s="550"/>
      <c r="Q750" s="550"/>
      <c r="R750" s="550"/>
      <c r="S750" s="550"/>
      <c r="T750" s="551"/>
      <c r="U750" s="551"/>
      <c r="V750" s="551"/>
      <c r="W750" s="551"/>
      <c r="X750" s="551"/>
      <c r="Y750" s="551"/>
      <c r="Z750" s="551"/>
      <c r="AA750" s="551"/>
    </row>
    <row r="751">
      <c r="A751" s="574"/>
      <c r="B751" s="575"/>
      <c r="C751" s="575"/>
      <c r="D751" s="575"/>
      <c r="E751" s="576"/>
      <c r="F751" s="547"/>
      <c r="G751" s="547"/>
      <c r="H751" s="547"/>
      <c r="I751" s="573"/>
      <c r="J751" s="550"/>
      <c r="K751" s="550"/>
      <c r="L751" s="550"/>
      <c r="M751" s="550"/>
      <c r="N751" s="550"/>
      <c r="O751" s="550"/>
      <c r="P751" s="550"/>
      <c r="Q751" s="550"/>
      <c r="R751" s="550"/>
      <c r="S751" s="550"/>
      <c r="T751" s="551"/>
      <c r="U751" s="551"/>
      <c r="V751" s="551"/>
      <c r="W751" s="551"/>
      <c r="X751" s="551"/>
      <c r="Y751" s="551"/>
      <c r="Z751" s="551"/>
      <c r="AA751" s="551"/>
    </row>
    <row r="752">
      <c r="A752" s="574"/>
      <c r="B752" s="575"/>
      <c r="C752" s="575"/>
      <c r="D752" s="575"/>
      <c r="E752" s="576"/>
      <c r="F752" s="547"/>
      <c r="G752" s="547"/>
      <c r="H752" s="547"/>
      <c r="I752" s="573"/>
      <c r="J752" s="550"/>
      <c r="K752" s="550"/>
      <c r="L752" s="550"/>
      <c r="M752" s="550"/>
      <c r="N752" s="550"/>
      <c r="O752" s="550"/>
      <c r="P752" s="550"/>
      <c r="Q752" s="550"/>
      <c r="R752" s="550"/>
      <c r="S752" s="550"/>
      <c r="T752" s="551"/>
      <c r="U752" s="551"/>
      <c r="V752" s="551"/>
      <c r="W752" s="551"/>
      <c r="X752" s="551"/>
      <c r="Y752" s="551"/>
      <c r="Z752" s="551"/>
      <c r="AA752" s="551"/>
    </row>
    <row r="753">
      <c r="A753" s="574"/>
      <c r="B753" s="575"/>
      <c r="C753" s="575"/>
      <c r="D753" s="575"/>
      <c r="E753" s="576"/>
      <c r="F753" s="547"/>
      <c r="G753" s="547"/>
      <c r="H753" s="547"/>
      <c r="I753" s="573"/>
      <c r="J753" s="550"/>
      <c r="K753" s="550"/>
      <c r="L753" s="550"/>
      <c r="M753" s="550"/>
      <c r="N753" s="550"/>
      <c r="O753" s="550"/>
      <c r="P753" s="550"/>
      <c r="Q753" s="550"/>
      <c r="R753" s="550"/>
      <c r="S753" s="550"/>
      <c r="T753" s="551"/>
      <c r="U753" s="551"/>
      <c r="V753" s="551"/>
      <c r="W753" s="551"/>
      <c r="X753" s="551"/>
      <c r="Y753" s="551"/>
      <c r="Z753" s="551"/>
      <c r="AA753" s="551"/>
    </row>
    <row r="754">
      <c r="A754" s="574"/>
      <c r="B754" s="575"/>
      <c r="C754" s="575"/>
      <c r="D754" s="575"/>
      <c r="E754" s="576"/>
      <c r="F754" s="547"/>
      <c r="G754" s="547"/>
      <c r="H754" s="547"/>
      <c r="I754" s="573"/>
      <c r="J754" s="550"/>
      <c r="K754" s="550"/>
      <c r="L754" s="550"/>
      <c r="M754" s="550"/>
      <c r="N754" s="550"/>
      <c r="O754" s="550"/>
      <c r="P754" s="550"/>
      <c r="Q754" s="550"/>
      <c r="R754" s="550"/>
      <c r="S754" s="550"/>
      <c r="T754" s="551"/>
      <c r="U754" s="551"/>
      <c r="V754" s="551"/>
      <c r="W754" s="551"/>
      <c r="X754" s="551"/>
      <c r="Y754" s="551"/>
      <c r="Z754" s="551"/>
      <c r="AA754" s="551"/>
    </row>
    <row r="755">
      <c r="A755" s="574"/>
      <c r="B755" s="575"/>
      <c r="C755" s="575"/>
      <c r="D755" s="575"/>
      <c r="E755" s="576"/>
      <c r="F755" s="547"/>
      <c r="G755" s="547"/>
      <c r="H755" s="547"/>
      <c r="I755" s="573"/>
      <c r="J755" s="550"/>
      <c r="K755" s="550"/>
      <c r="L755" s="550"/>
      <c r="M755" s="550"/>
      <c r="N755" s="550"/>
      <c r="O755" s="550"/>
      <c r="P755" s="550"/>
      <c r="Q755" s="550"/>
      <c r="R755" s="550"/>
      <c r="S755" s="550"/>
      <c r="T755" s="551"/>
      <c r="U755" s="551"/>
      <c r="V755" s="551"/>
      <c r="W755" s="551"/>
      <c r="X755" s="551"/>
      <c r="Y755" s="551"/>
      <c r="Z755" s="551"/>
      <c r="AA755" s="551"/>
    </row>
    <row r="756">
      <c r="A756" s="574"/>
      <c r="B756" s="575"/>
      <c r="C756" s="575"/>
      <c r="D756" s="575"/>
      <c r="E756" s="576"/>
      <c r="F756" s="547"/>
      <c r="G756" s="547"/>
      <c r="H756" s="547"/>
      <c r="I756" s="573"/>
      <c r="J756" s="550"/>
      <c r="K756" s="550"/>
      <c r="L756" s="550"/>
      <c r="M756" s="550"/>
      <c r="N756" s="550"/>
      <c r="O756" s="550"/>
      <c r="P756" s="550"/>
      <c r="Q756" s="550"/>
      <c r="R756" s="550"/>
      <c r="S756" s="550"/>
      <c r="T756" s="551"/>
      <c r="U756" s="551"/>
      <c r="V756" s="551"/>
      <c r="W756" s="551"/>
      <c r="X756" s="551"/>
      <c r="Y756" s="551"/>
      <c r="Z756" s="551"/>
      <c r="AA756" s="551"/>
    </row>
    <row r="757">
      <c r="A757" s="574"/>
      <c r="B757" s="575"/>
      <c r="C757" s="575"/>
      <c r="D757" s="575"/>
      <c r="E757" s="576"/>
      <c r="F757" s="547"/>
      <c r="G757" s="547"/>
      <c r="H757" s="547"/>
      <c r="I757" s="573"/>
      <c r="J757" s="550"/>
      <c r="K757" s="550"/>
      <c r="L757" s="550"/>
      <c r="M757" s="550"/>
      <c r="N757" s="550"/>
      <c r="O757" s="550"/>
      <c r="P757" s="550"/>
      <c r="Q757" s="550"/>
      <c r="R757" s="550"/>
      <c r="S757" s="550"/>
      <c r="T757" s="551"/>
      <c r="U757" s="551"/>
      <c r="V757" s="551"/>
      <c r="W757" s="551"/>
      <c r="X757" s="551"/>
      <c r="Y757" s="551"/>
      <c r="Z757" s="551"/>
      <c r="AA757" s="551"/>
    </row>
    <row r="758">
      <c r="A758" s="574"/>
      <c r="B758" s="575"/>
      <c r="C758" s="575"/>
      <c r="D758" s="575"/>
      <c r="E758" s="576"/>
      <c r="F758" s="547"/>
      <c r="G758" s="547"/>
      <c r="H758" s="547"/>
      <c r="I758" s="573"/>
      <c r="J758" s="550"/>
      <c r="K758" s="550"/>
      <c r="L758" s="550"/>
      <c r="M758" s="550"/>
      <c r="N758" s="550"/>
      <c r="O758" s="550"/>
      <c r="P758" s="550"/>
      <c r="Q758" s="550"/>
      <c r="R758" s="550"/>
      <c r="S758" s="550"/>
      <c r="T758" s="551"/>
      <c r="U758" s="551"/>
      <c r="V758" s="551"/>
      <c r="W758" s="551"/>
      <c r="X758" s="551"/>
      <c r="Y758" s="551"/>
      <c r="Z758" s="551"/>
      <c r="AA758" s="551"/>
    </row>
    <row r="759">
      <c r="A759" s="574"/>
      <c r="B759" s="575"/>
      <c r="C759" s="575"/>
      <c r="D759" s="575"/>
      <c r="E759" s="576"/>
      <c r="F759" s="547"/>
      <c r="G759" s="547"/>
      <c r="H759" s="547"/>
      <c r="I759" s="573"/>
      <c r="J759" s="550"/>
      <c r="K759" s="550"/>
      <c r="L759" s="550"/>
      <c r="M759" s="550"/>
      <c r="N759" s="550"/>
      <c r="O759" s="550"/>
      <c r="P759" s="550"/>
      <c r="Q759" s="550"/>
      <c r="R759" s="550"/>
      <c r="S759" s="550"/>
      <c r="T759" s="551"/>
      <c r="U759" s="551"/>
      <c r="V759" s="551"/>
      <c r="W759" s="551"/>
      <c r="X759" s="551"/>
      <c r="Y759" s="551"/>
      <c r="Z759" s="551"/>
      <c r="AA759" s="551"/>
    </row>
    <row r="760">
      <c r="A760" s="574"/>
      <c r="B760" s="575"/>
      <c r="C760" s="575"/>
      <c r="D760" s="575"/>
      <c r="E760" s="576"/>
      <c r="F760" s="547"/>
      <c r="G760" s="547"/>
      <c r="H760" s="547"/>
      <c r="I760" s="573"/>
      <c r="J760" s="550"/>
      <c r="K760" s="550"/>
      <c r="L760" s="550"/>
      <c r="M760" s="550"/>
      <c r="N760" s="550"/>
      <c r="O760" s="550"/>
      <c r="P760" s="550"/>
      <c r="Q760" s="550"/>
      <c r="R760" s="550"/>
      <c r="S760" s="550"/>
      <c r="T760" s="551"/>
      <c r="U760" s="551"/>
      <c r="V760" s="551"/>
      <c r="W760" s="551"/>
      <c r="X760" s="551"/>
      <c r="Y760" s="551"/>
      <c r="Z760" s="551"/>
      <c r="AA760" s="551"/>
    </row>
    <row r="761">
      <c r="A761" s="574"/>
      <c r="B761" s="575"/>
      <c r="C761" s="575"/>
      <c r="D761" s="575"/>
      <c r="E761" s="576"/>
      <c r="F761" s="547"/>
      <c r="G761" s="547"/>
      <c r="H761" s="547"/>
      <c r="I761" s="573"/>
      <c r="J761" s="550"/>
      <c r="K761" s="550"/>
      <c r="L761" s="550"/>
      <c r="M761" s="550"/>
      <c r="N761" s="550"/>
      <c r="O761" s="550"/>
      <c r="P761" s="550"/>
      <c r="Q761" s="550"/>
      <c r="R761" s="550"/>
      <c r="S761" s="550"/>
      <c r="T761" s="551"/>
      <c r="U761" s="551"/>
      <c r="V761" s="551"/>
      <c r="W761" s="551"/>
      <c r="X761" s="551"/>
      <c r="Y761" s="551"/>
      <c r="Z761" s="551"/>
      <c r="AA761" s="551"/>
    </row>
    <row r="762">
      <c r="A762" s="574"/>
      <c r="B762" s="575"/>
      <c r="C762" s="575"/>
      <c r="D762" s="575"/>
      <c r="E762" s="576"/>
      <c r="F762" s="547"/>
      <c r="G762" s="547"/>
      <c r="H762" s="547"/>
      <c r="I762" s="573"/>
      <c r="J762" s="550"/>
      <c r="K762" s="550"/>
      <c r="L762" s="550"/>
      <c r="M762" s="550"/>
      <c r="N762" s="550"/>
      <c r="O762" s="550"/>
      <c r="P762" s="550"/>
      <c r="Q762" s="550"/>
      <c r="R762" s="550"/>
      <c r="S762" s="550"/>
      <c r="T762" s="551"/>
      <c r="U762" s="551"/>
      <c r="V762" s="551"/>
      <c r="W762" s="551"/>
      <c r="X762" s="551"/>
      <c r="Y762" s="551"/>
      <c r="Z762" s="551"/>
      <c r="AA762" s="551"/>
    </row>
    <row r="763">
      <c r="A763" s="574"/>
      <c r="B763" s="575"/>
      <c r="C763" s="575"/>
      <c r="D763" s="575"/>
      <c r="E763" s="576"/>
      <c r="F763" s="547"/>
      <c r="G763" s="547"/>
      <c r="H763" s="547"/>
      <c r="I763" s="573"/>
      <c r="J763" s="550"/>
      <c r="K763" s="550"/>
      <c r="L763" s="550"/>
      <c r="M763" s="550"/>
      <c r="N763" s="550"/>
      <c r="O763" s="550"/>
      <c r="P763" s="550"/>
      <c r="Q763" s="550"/>
      <c r="R763" s="550"/>
      <c r="S763" s="550"/>
      <c r="T763" s="551"/>
      <c r="U763" s="551"/>
      <c r="V763" s="551"/>
      <c r="W763" s="551"/>
      <c r="X763" s="551"/>
      <c r="Y763" s="551"/>
      <c r="Z763" s="551"/>
      <c r="AA763" s="551"/>
    </row>
    <row r="764">
      <c r="A764" s="574"/>
      <c r="B764" s="575"/>
      <c r="C764" s="575"/>
      <c r="D764" s="575"/>
      <c r="E764" s="576"/>
      <c r="F764" s="547"/>
      <c r="G764" s="547"/>
      <c r="H764" s="547"/>
      <c r="I764" s="573"/>
      <c r="J764" s="550"/>
      <c r="K764" s="550"/>
      <c r="L764" s="550"/>
      <c r="M764" s="550"/>
      <c r="N764" s="550"/>
      <c r="O764" s="550"/>
      <c r="P764" s="550"/>
      <c r="Q764" s="550"/>
      <c r="R764" s="550"/>
      <c r="S764" s="550"/>
      <c r="T764" s="551"/>
      <c r="U764" s="551"/>
      <c r="V764" s="551"/>
      <c r="W764" s="551"/>
      <c r="X764" s="551"/>
      <c r="Y764" s="551"/>
      <c r="Z764" s="551"/>
      <c r="AA764" s="551"/>
    </row>
    <row r="765">
      <c r="A765" s="574"/>
      <c r="B765" s="575"/>
      <c r="C765" s="575"/>
      <c r="D765" s="575"/>
      <c r="E765" s="576"/>
      <c r="F765" s="547"/>
      <c r="G765" s="547"/>
      <c r="H765" s="547"/>
      <c r="I765" s="573"/>
      <c r="J765" s="550"/>
      <c r="K765" s="550"/>
      <c r="L765" s="550"/>
      <c r="M765" s="550"/>
      <c r="N765" s="550"/>
      <c r="O765" s="550"/>
      <c r="P765" s="550"/>
      <c r="Q765" s="550"/>
      <c r="R765" s="550"/>
      <c r="S765" s="550"/>
      <c r="T765" s="551"/>
      <c r="U765" s="551"/>
      <c r="V765" s="551"/>
      <c r="W765" s="551"/>
      <c r="X765" s="551"/>
      <c r="Y765" s="551"/>
      <c r="Z765" s="551"/>
      <c r="AA765" s="551"/>
    </row>
    <row r="766">
      <c r="A766" s="574"/>
      <c r="B766" s="575"/>
      <c r="C766" s="575"/>
      <c r="D766" s="575"/>
      <c r="E766" s="576"/>
      <c r="F766" s="547"/>
      <c r="G766" s="547"/>
      <c r="H766" s="547"/>
      <c r="I766" s="573"/>
      <c r="J766" s="550"/>
      <c r="K766" s="550"/>
      <c r="L766" s="550"/>
      <c r="M766" s="550"/>
      <c r="N766" s="550"/>
      <c r="O766" s="550"/>
      <c r="P766" s="550"/>
      <c r="Q766" s="550"/>
      <c r="R766" s="550"/>
      <c r="S766" s="550"/>
      <c r="T766" s="551"/>
      <c r="U766" s="551"/>
      <c r="V766" s="551"/>
      <c r="W766" s="551"/>
      <c r="X766" s="551"/>
      <c r="Y766" s="551"/>
      <c r="Z766" s="551"/>
      <c r="AA766" s="551"/>
    </row>
    <row r="767">
      <c r="A767" s="574"/>
      <c r="B767" s="575"/>
      <c r="C767" s="575"/>
      <c r="D767" s="575"/>
      <c r="E767" s="576"/>
      <c r="F767" s="547"/>
      <c r="G767" s="547"/>
      <c r="H767" s="547"/>
      <c r="I767" s="573"/>
      <c r="J767" s="550"/>
      <c r="K767" s="550"/>
      <c r="L767" s="550"/>
      <c r="M767" s="550"/>
      <c r="N767" s="550"/>
      <c r="O767" s="550"/>
      <c r="P767" s="550"/>
      <c r="Q767" s="550"/>
      <c r="R767" s="550"/>
      <c r="S767" s="550"/>
      <c r="T767" s="551"/>
      <c r="U767" s="551"/>
      <c r="V767" s="551"/>
      <c r="W767" s="551"/>
      <c r="X767" s="551"/>
      <c r="Y767" s="551"/>
      <c r="Z767" s="551"/>
      <c r="AA767" s="551"/>
    </row>
    <row r="768">
      <c r="A768" s="574"/>
      <c r="B768" s="575"/>
      <c r="C768" s="575"/>
      <c r="D768" s="575"/>
      <c r="E768" s="576"/>
      <c r="F768" s="547"/>
      <c r="G768" s="547"/>
      <c r="H768" s="547"/>
      <c r="I768" s="573"/>
      <c r="J768" s="550"/>
      <c r="K768" s="550"/>
      <c r="L768" s="550"/>
      <c r="M768" s="550"/>
      <c r="N768" s="550"/>
      <c r="O768" s="550"/>
      <c r="P768" s="550"/>
      <c r="Q768" s="550"/>
      <c r="R768" s="550"/>
      <c r="S768" s="550"/>
      <c r="T768" s="551"/>
      <c r="U768" s="551"/>
      <c r="V768" s="551"/>
      <c r="W768" s="551"/>
      <c r="X768" s="551"/>
      <c r="Y768" s="551"/>
      <c r="Z768" s="551"/>
      <c r="AA768" s="551"/>
    </row>
    <row r="769">
      <c r="A769" s="574"/>
      <c r="B769" s="575"/>
      <c r="C769" s="575"/>
      <c r="D769" s="575"/>
      <c r="E769" s="576"/>
      <c r="F769" s="547"/>
      <c r="G769" s="547"/>
      <c r="H769" s="547"/>
      <c r="I769" s="573"/>
      <c r="J769" s="550"/>
      <c r="K769" s="550"/>
      <c r="L769" s="550"/>
      <c r="M769" s="550"/>
      <c r="N769" s="550"/>
      <c r="O769" s="550"/>
      <c r="P769" s="550"/>
      <c r="Q769" s="550"/>
      <c r="R769" s="550"/>
      <c r="S769" s="550"/>
      <c r="T769" s="551"/>
      <c r="U769" s="551"/>
      <c r="V769" s="551"/>
      <c r="W769" s="551"/>
      <c r="X769" s="551"/>
      <c r="Y769" s="551"/>
      <c r="Z769" s="551"/>
      <c r="AA769" s="551"/>
    </row>
    <row r="770">
      <c r="A770" s="574"/>
      <c r="B770" s="575"/>
      <c r="C770" s="575"/>
      <c r="D770" s="575"/>
      <c r="E770" s="576"/>
      <c r="F770" s="547"/>
      <c r="G770" s="547"/>
      <c r="H770" s="547"/>
      <c r="I770" s="573"/>
      <c r="J770" s="550"/>
      <c r="K770" s="550"/>
      <c r="L770" s="550"/>
      <c r="M770" s="550"/>
      <c r="N770" s="550"/>
      <c r="O770" s="550"/>
      <c r="P770" s="550"/>
      <c r="Q770" s="550"/>
      <c r="R770" s="550"/>
      <c r="S770" s="550"/>
      <c r="T770" s="551"/>
      <c r="U770" s="551"/>
      <c r="V770" s="551"/>
      <c r="W770" s="551"/>
      <c r="X770" s="551"/>
      <c r="Y770" s="551"/>
      <c r="Z770" s="551"/>
      <c r="AA770" s="551"/>
    </row>
    <row r="771">
      <c r="A771" s="574"/>
      <c r="B771" s="575"/>
      <c r="C771" s="575"/>
      <c r="D771" s="575"/>
      <c r="E771" s="576"/>
      <c r="F771" s="547"/>
      <c r="G771" s="547"/>
      <c r="H771" s="547"/>
      <c r="I771" s="573"/>
      <c r="J771" s="550"/>
      <c r="K771" s="550"/>
      <c r="L771" s="550"/>
      <c r="M771" s="550"/>
      <c r="N771" s="550"/>
      <c r="O771" s="550"/>
      <c r="P771" s="550"/>
      <c r="Q771" s="550"/>
      <c r="R771" s="550"/>
      <c r="S771" s="550"/>
      <c r="T771" s="551"/>
      <c r="U771" s="551"/>
      <c r="V771" s="551"/>
      <c r="W771" s="551"/>
      <c r="X771" s="551"/>
      <c r="Y771" s="551"/>
      <c r="Z771" s="551"/>
      <c r="AA771" s="551"/>
    </row>
    <row r="772">
      <c r="A772" s="574"/>
      <c r="B772" s="575"/>
      <c r="C772" s="575"/>
      <c r="D772" s="575"/>
      <c r="E772" s="576"/>
      <c r="F772" s="547"/>
      <c r="G772" s="547"/>
      <c r="H772" s="547"/>
      <c r="I772" s="573"/>
      <c r="J772" s="550"/>
      <c r="K772" s="550"/>
      <c r="L772" s="550"/>
      <c r="M772" s="550"/>
      <c r="N772" s="550"/>
      <c r="O772" s="550"/>
      <c r="P772" s="550"/>
      <c r="Q772" s="550"/>
      <c r="R772" s="550"/>
      <c r="S772" s="550"/>
      <c r="T772" s="551"/>
      <c r="U772" s="551"/>
      <c r="V772" s="551"/>
      <c r="W772" s="551"/>
      <c r="X772" s="551"/>
      <c r="Y772" s="551"/>
      <c r="Z772" s="551"/>
      <c r="AA772" s="551"/>
    </row>
    <row r="773">
      <c r="A773" s="574"/>
      <c r="B773" s="575"/>
      <c r="C773" s="575"/>
      <c r="D773" s="575"/>
      <c r="E773" s="576"/>
      <c r="F773" s="547"/>
      <c r="G773" s="547"/>
      <c r="H773" s="547"/>
      <c r="I773" s="573"/>
      <c r="J773" s="550"/>
      <c r="K773" s="550"/>
      <c r="L773" s="550"/>
      <c r="M773" s="550"/>
      <c r="N773" s="550"/>
      <c r="O773" s="550"/>
      <c r="P773" s="550"/>
      <c r="Q773" s="550"/>
      <c r="R773" s="550"/>
      <c r="S773" s="550"/>
      <c r="T773" s="551"/>
      <c r="U773" s="551"/>
      <c r="V773" s="551"/>
      <c r="W773" s="551"/>
      <c r="X773" s="551"/>
      <c r="Y773" s="551"/>
      <c r="Z773" s="551"/>
      <c r="AA773" s="551"/>
    </row>
    <row r="774">
      <c r="A774" s="574"/>
      <c r="B774" s="575"/>
      <c r="C774" s="575"/>
      <c r="D774" s="575"/>
      <c r="E774" s="576"/>
      <c r="F774" s="547"/>
      <c r="G774" s="547"/>
      <c r="H774" s="547"/>
      <c r="I774" s="573"/>
      <c r="J774" s="550"/>
      <c r="K774" s="550"/>
      <c r="L774" s="550"/>
      <c r="M774" s="550"/>
      <c r="N774" s="550"/>
      <c r="O774" s="550"/>
      <c r="P774" s="550"/>
      <c r="Q774" s="550"/>
      <c r="R774" s="550"/>
      <c r="S774" s="550"/>
      <c r="T774" s="551"/>
      <c r="U774" s="551"/>
      <c r="V774" s="551"/>
      <c r="W774" s="551"/>
      <c r="X774" s="551"/>
      <c r="Y774" s="551"/>
      <c r="Z774" s="551"/>
      <c r="AA774" s="551"/>
    </row>
    <row r="775">
      <c r="A775" s="574"/>
      <c r="B775" s="575"/>
      <c r="C775" s="575"/>
      <c r="D775" s="575"/>
      <c r="E775" s="576"/>
      <c r="F775" s="547"/>
      <c r="G775" s="547"/>
      <c r="H775" s="547"/>
      <c r="I775" s="573"/>
      <c r="J775" s="550"/>
      <c r="K775" s="550"/>
      <c r="L775" s="550"/>
      <c r="M775" s="550"/>
      <c r="N775" s="550"/>
      <c r="O775" s="550"/>
      <c r="P775" s="550"/>
      <c r="Q775" s="550"/>
      <c r="R775" s="550"/>
      <c r="S775" s="550"/>
      <c r="T775" s="551"/>
      <c r="U775" s="551"/>
      <c r="V775" s="551"/>
      <c r="W775" s="551"/>
      <c r="X775" s="551"/>
      <c r="Y775" s="551"/>
      <c r="Z775" s="551"/>
      <c r="AA775" s="551"/>
    </row>
    <row r="776">
      <c r="A776" s="574"/>
      <c r="B776" s="575"/>
      <c r="C776" s="575"/>
      <c r="D776" s="575"/>
      <c r="E776" s="576"/>
      <c r="F776" s="547"/>
      <c r="G776" s="547"/>
      <c r="H776" s="547"/>
      <c r="I776" s="573"/>
      <c r="J776" s="550"/>
      <c r="K776" s="550"/>
      <c r="L776" s="550"/>
      <c r="M776" s="550"/>
      <c r="N776" s="550"/>
      <c r="O776" s="550"/>
      <c r="P776" s="550"/>
      <c r="Q776" s="550"/>
      <c r="R776" s="550"/>
      <c r="S776" s="550"/>
      <c r="T776" s="551"/>
      <c r="U776" s="551"/>
      <c r="V776" s="551"/>
      <c r="W776" s="551"/>
      <c r="X776" s="551"/>
      <c r="Y776" s="551"/>
      <c r="Z776" s="551"/>
      <c r="AA776" s="551"/>
    </row>
    <row r="777">
      <c r="A777" s="574"/>
      <c r="B777" s="575"/>
      <c r="C777" s="575"/>
      <c r="D777" s="575"/>
      <c r="E777" s="576"/>
      <c r="F777" s="547"/>
      <c r="G777" s="547"/>
      <c r="H777" s="547"/>
      <c r="I777" s="573"/>
      <c r="J777" s="550"/>
      <c r="K777" s="550"/>
      <c r="L777" s="550"/>
      <c r="M777" s="550"/>
      <c r="N777" s="550"/>
      <c r="O777" s="550"/>
      <c r="P777" s="550"/>
      <c r="Q777" s="550"/>
      <c r="R777" s="550"/>
      <c r="S777" s="550"/>
      <c r="T777" s="551"/>
      <c r="U777" s="551"/>
      <c r="V777" s="551"/>
      <c r="W777" s="551"/>
      <c r="X777" s="551"/>
      <c r="Y777" s="551"/>
      <c r="Z777" s="551"/>
      <c r="AA777" s="551"/>
    </row>
    <row r="778">
      <c r="A778" s="574"/>
      <c r="B778" s="575"/>
      <c r="C778" s="575"/>
      <c r="D778" s="575"/>
      <c r="E778" s="576"/>
      <c r="F778" s="547"/>
      <c r="G778" s="547"/>
      <c r="H778" s="547"/>
      <c r="I778" s="573"/>
      <c r="J778" s="550"/>
      <c r="K778" s="550"/>
      <c r="L778" s="550"/>
      <c r="M778" s="550"/>
      <c r="N778" s="550"/>
      <c r="O778" s="550"/>
      <c r="P778" s="550"/>
      <c r="Q778" s="550"/>
      <c r="R778" s="550"/>
      <c r="S778" s="550"/>
      <c r="T778" s="551"/>
      <c r="U778" s="551"/>
      <c r="V778" s="551"/>
      <c r="W778" s="551"/>
      <c r="X778" s="551"/>
      <c r="Y778" s="551"/>
      <c r="Z778" s="551"/>
      <c r="AA778" s="551"/>
    </row>
    <row r="779">
      <c r="A779" s="574"/>
      <c r="B779" s="575"/>
      <c r="C779" s="575"/>
      <c r="D779" s="575"/>
      <c r="E779" s="576"/>
      <c r="F779" s="547"/>
      <c r="G779" s="547"/>
      <c r="H779" s="547"/>
      <c r="I779" s="573"/>
      <c r="J779" s="550"/>
      <c r="K779" s="550"/>
      <c r="L779" s="550"/>
      <c r="M779" s="550"/>
      <c r="N779" s="550"/>
      <c r="O779" s="550"/>
      <c r="P779" s="550"/>
      <c r="Q779" s="550"/>
      <c r="R779" s="550"/>
      <c r="S779" s="550"/>
      <c r="T779" s="551"/>
      <c r="U779" s="551"/>
      <c r="V779" s="551"/>
      <c r="W779" s="551"/>
      <c r="X779" s="551"/>
      <c r="Y779" s="551"/>
      <c r="Z779" s="551"/>
      <c r="AA779" s="551"/>
    </row>
    <row r="780">
      <c r="A780" s="574"/>
      <c r="B780" s="575"/>
      <c r="C780" s="575"/>
      <c r="D780" s="575"/>
      <c r="E780" s="576"/>
      <c r="F780" s="547"/>
      <c r="G780" s="547"/>
      <c r="H780" s="547"/>
      <c r="I780" s="573"/>
      <c r="J780" s="550"/>
      <c r="K780" s="550"/>
      <c r="L780" s="550"/>
      <c r="M780" s="550"/>
      <c r="N780" s="550"/>
      <c r="O780" s="550"/>
      <c r="P780" s="550"/>
      <c r="Q780" s="550"/>
      <c r="R780" s="550"/>
      <c r="S780" s="550"/>
      <c r="T780" s="551"/>
      <c r="U780" s="551"/>
      <c r="V780" s="551"/>
      <c r="W780" s="551"/>
      <c r="X780" s="551"/>
      <c r="Y780" s="551"/>
      <c r="Z780" s="551"/>
      <c r="AA780" s="551"/>
    </row>
    <row r="781">
      <c r="A781" s="574"/>
      <c r="B781" s="575"/>
      <c r="C781" s="575"/>
      <c r="D781" s="575"/>
      <c r="E781" s="576"/>
      <c r="F781" s="547"/>
      <c r="G781" s="547"/>
      <c r="H781" s="547"/>
      <c r="I781" s="573"/>
      <c r="J781" s="550"/>
      <c r="K781" s="550"/>
      <c r="L781" s="550"/>
      <c r="M781" s="550"/>
      <c r="N781" s="550"/>
      <c r="O781" s="550"/>
      <c r="P781" s="550"/>
      <c r="Q781" s="550"/>
      <c r="R781" s="550"/>
      <c r="S781" s="550"/>
      <c r="T781" s="551"/>
      <c r="U781" s="551"/>
      <c r="V781" s="551"/>
      <c r="W781" s="551"/>
      <c r="X781" s="551"/>
      <c r="Y781" s="551"/>
      <c r="Z781" s="551"/>
      <c r="AA781" s="551"/>
    </row>
    <row r="782">
      <c r="A782" s="574"/>
      <c r="B782" s="575"/>
      <c r="C782" s="575"/>
      <c r="D782" s="575"/>
      <c r="E782" s="576"/>
      <c r="F782" s="547"/>
      <c r="G782" s="547"/>
      <c r="H782" s="547"/>
      <c r="I782" s="573"/>
      <c r="J782" s="550"/>
      <c r="K782" s="550"/>
      <c r="L782" s="550"/>
      <c r="M782" s="550"/>
      <c r="N782" s="550"/>
      <c r="O782" s="550"/>
      <c r="P782" s="550"/>
      <c r="Q782" s="550"/>
      <c r="R782" s="550"/>
      <c r="S782" s="550"/>
      <c r="T782" s="551"/>
      <c r="U782" s="551"/>
      <c r="V782" s="551"/>
      <c r="W782" s="551"/>
      <c r="X782" s="551"/>
      <c r="Y782" s="551"/>
      <c r="Z782" s="551"/>
      <c r="AA782" s="551"/>
    </row>
    <row r="783">
      <c r="A783" s="574"/>
      <c r="B783" s="575"/>
      <c r="C783" s="575"/>
      <c r="D783" s="575"/>
      <c r="E783" s="576"/>
      <c r="F783" s="547"/>
      <c r="G783" s="547"/>
      <c r="H783" s="547"/>
      <c r="I783" s="573"/>
      <c r="J783" s="550"/>
      <c r="K783" s="550"/>
      <c r="L783" s="550"/>
      <c r="M783" s="550"/>
      <c r="N783" s="550"/>
      <c r="O783" s="550"/>
      <c r="P783" s="550"/>
      <c r="Q783" s="550"/>
      <c r="R783" s="550"/>
      <c r="S783" s="550"/>
      <c r="T783" s="551"/>
      <c r="U783" s="551"/>
      <c r="V783" s="551"/>
      <c r="W783" s="551"/>
      <c r="X783" s="551"/>
      <c r="Y783" s="551"/>
      <c r="Z783" s="551"/>
      <c r="AA783" s="551"/>
    </row>
    <row r="784">
      <c r="A784" s="574"/>
      <c r="B784" s="575"/>
      <c r="C784" s="575"/>
      <c r="D784" s="575"/>
      <c r="E784" s="576"/>
      <c r="F784" s="547"/>
      <c r="G784" s="547"/>
      <c r="H784" s="547"/>
      <c r="I784" s="573"/>
      <c r="J784" s="550"/>
      <c r="K784" s="550"/>
      <c r="L784" s="550"/>
      <c r="M784" s="550"/>
      <c r="N784" s="550"/>
      <c r="O784" s="550"/>
      <c r="P784" s="550"/>
      <c r="Q784" s="550"/>
      <c r="R784" s="550"/>
      <c r="S784" s="550"/>
      <c r="T784" s="551"/>
      <c r="U784" s="551"/>
      <c r="V784" s="551"/>
      <c r="W784" s="551"/>
      <c r="X784" s="551"/>
      <c r="Y784" s="551"/>
      <c r="Z784" s="551"/>
      <c r="AA784" s="551"/>
    </row>
    <row r="785">
      <c r="A785" s="574"/>
      <c r="B785" s="575"/>
      <c r="C785" s="575"/>
      <c r="D785" s="575"/>
      <c r="E785" s="576"/>
      <c r="F785" s="547"/>
      <c r="G785" s="547"/>
      <c r="H785" s="547"/>
      <c r="I785" s="573"/>
      <c r="J785" s="550"/>
      <c r="K785" s="550"/>
      <c r="L785" s="550"/>
      <c r="M785" s="550"/>
      <c r="N785" s="550"/>
      <c r="O785" s="550"/>
      <c r="P785" s="550"/>
      <c r="Q785" s="550"/>
      <c r="R785" s="550"/>
      <c r="S785" s="550"/>
      <c r="T785" s="551"/>
      <c r="U785" s="551"/>
      <c r="V785" s="551"/>
      <c r="W785" s="551"/>
      <c r="X785" s="551"/>
      <c r="Y785" s="551"/>
      <c r="Z785" s="551"/>
      <c r="AA785" s="551"/>
    </row>
    <row r="786">
      <c r="A786" s="574"/>
      <c r="B786" s="575"/>
      <c r="C786" s="575"/>
      <c r="D786" s="575"/>
      <c r="E786" s="576"/>
      <c r="F786" s="547"/>
      <c r="G786" s="547"/>
      <c r="H786" s="547"/>
      <c r="I786" s="573"/>
      <c r="J786" s="550"/>
      <c r="K786" s="550"/>
      <c r="L786" s="550"/>
      <c r="M786" s="550"/>
      <c r="N786" s="550"/>
      <c r="O786" s="550"/>
      <c r="P786" s="550"/>
      <c r="Q786" s="550"/>
      <c r="R786" s="550"/>
      <c r="S786" s="550"/>
      <c r="T786" s="551"/>
      <c r="U786" s="551"/>
      <c r="V786" s="551"/>
      <c r="W786" s="551"/>
      <c r="X786" s="551"/>
      <c r="Y786" s="551"/>
      <c r="Z786" s="551"/>
      <c r="AA786" s="551"/>
    </row>
    <row r="787">
      <c r="A787" s="574"/>
      <c r="B787" s="575"/>
      <c r="C787" s="575"/>
      <c r="D787" s="575"/>
      <c r="E787" s="576"/>
      <c r="F787" s="547"/>
      <c r="G787" s="547"/>
      <c r="H787" s="547"/>
      <c r="I787" s="573"/>
      <c r="J787" s="550"/>
      <c r="K787" s="550"/>
      <c r="L787" s="550"/>
      <c r="M787" s="550"/>
      <c r="N787" s="550"/>
      <c r="O787" s="550"/>
      <c r="P787" s="550"/>
      <c r="Q787" s="550"/>
      <c r="R787" s="550"/>
      <c r="S787" s="550"/>
      <c r="T787" s="551"/>
      <c r="U787" s="551"/>
      <c r="V787" s="551"/>
      <c r="W787" s="551"/>
      <c r="X787" s="551"/>
      <c r="Y787" s="551"/>
      <c r="Z787" s="551"/>
      <c r="AA787" s="551"/>
    </row>
    <row r="788">
      <c r="A788" s="574"/>
      <c r="B788" s="575"/>
      <c r="C788" s="575"/>
      <c r="D788" s="575"/>
      <c r="E788" s="576"/>
      <c r="F788" s="547"/>
      <c r="G788" s="547"/>
      <c r="H788" s="547"/>
      <c r="I788" s="573"/>
      <c r="J788" s="550"/>
      <c r="K788" s="550"/>
      <c r="L788" s="550"/>
      <c r="M788" s="550"/>
      <c r="N788" s="550"/>
      <c r="O788" s="550"/>
      <c r="P788" s="550"/>
      <c r="Q788" s="550"/>
      <c r="R788" s="550"/>
      <c r="S788" s="550"/>
      <c r="T788" s="551"/>
      <c r="U788" s="551"/>
      <c r="V788" s="551"/>
      <c r="W788" s="551"/>
      <c r="X788" s="551"/>
      <c r="Y788" s="551"/>
      <c r="Z788" s="551"/>
      <c r="AA788" s="551"/>
    </row>
    <row r="789">
      <c r="A789" s="574"/>
      <c r="B789" s="575"/>
      <c r="C789" s="575"/>
      <c r="D789" s="575"/>
      <c r="E789" s="576"/>
      <c r="F789" s="547"/>
      <c r="G789" s="547"/>
      <c r="H789" s="547"/>
      <c r="I789" s="573"/>
      <c r="J789" s="550"/>
      <c r="K789" s="550"/>
      <c r="L789" s="550"/>
      <c r="M789" s="550"/>
      <c r="N789" s="550"/>
      <c r="O789" s="550"/>
      <c r="P789" s="550"/>
      <c r="Q789" s="550"/>
      <c r="R789" s="550"/>
      <c r="S789" s="550"/>
      <c r="T789" s="551"/>
      <c r="U789" s="551"/>
      <c r="V789" s="551"/>
      <c r="W789" s="551"/>
      <c r="X789" s="551"/>
      <c r="Y789" s="551"/>
      <c r="Z789" s="551"/>
      <c r="AA789" s="551"/>
    </row>
    <row r="790">
      <c r="A790" s="574"/>
      <c r="B790" s="575"/>
      <c r="C790" s="575"/>
      <c r="D790" s="575"/>
      <c r="E790" s="576"/>
      <c r="F790" s="547"/>
      <c r="G790" s="547"/>
      <c r="H790" s="547"/>
      <c r="I790" s="573"/>
      <c r="J790" s="550"/>
      <c r="K790" s="550"/>
      <c r="L790" s="550"/>
      <c r="M790" s="550"/>
      <c r="N790" s="550"/>
      <c r="O790" s="550"/>
      <c r="P790" s="550"/>
      <c r="Q790" s="550"/>
      <c r="R790" s="550"/>
      <c r="S790" s="550"/>
      <c r="T790" s="551"/>
      <c r="U790" s="551"/>
      <c r="V790" s="551"/>
      <c r="W790" s="551"/>
      <c r="X790" s="551"/>
      <c r="Y790" s="551"/>
      <c r="Z790" s="551"/>
      <c r="AA790" s="551"/>
    </row>
    <row r="791">
      <c r="A791" s="574"/>
      <c r="B791" s="575"/>
      <c r="C791" s="575"/>
      <c r="D791" s="575"/>
      <c r="E791" s="576"/>
      <c r="F791" s="547"/>
      <c r="G791" s="547"/>
      <c r="H791" s="547"/>
      <c r="I791" s="573"/>
      <c r="J791" s="550"/>
      <c r="K791" s="550"/>
      <c r="L791" s="550"/>
      <c r="M791" s="550"/>
      <c r="N791" s="550"/>
      <c r="O791" s="550"/>
      <c r="P791" s="550"/>
      <c r="Q791" s="550"/>
      <c r="R791" s="550"/>
      <c r="S791" s="550"/>
      <c r="T791" s="551"/>
      <c r="U791" s="551"/>
      <c r="V791" s="551"/>
      <c r="W791" s="551"/>
      <c r="X791" s="551"/>
      <c r="Y791" s="551"/>
      <c r="Z791" s="551"/>
      <c r="AA791" s="551"/>
    </row>
    <row r="792">
      <c r="A792" s="574"/>
      <c r="B792" s="575"/>
      <c r="C792" s="575"/>
      <c r="D792" s="575"/>
      <c r="E792" s="576"/>
      <c r="F792" s="547"/>
      <c r="G792" s="547"/>
      <c r="H792" s="547"/>
      <c r="I792" s="573"/>
      <c r="J792" s="550"/>
      <c r="K792" s="550"/>
      <c r="L792" s="550"/>
      <c r="M792" s="550"/>
      <c r="N792" s="550"/>
      <c r="O792" s="550"/>
      <c r="P792" s="550"/>
      <c r="Q792" s="550"/>
      <c r="R792" s="550"/>
      <c r="S792" s="550"/>
      <c r="T792" s="551"/>
      <c r="U792" s="551"/>
      <c r="V792" s="551"/>
      <c r="W792" s="551"/>
      <c r="X792" s="551"/>
      <c r="Y792" s="551"/>
      <c r="Z792" s="551"/>
      <c r="AA792" s="551"/>
    </row>
    <row r="793">
      <c r="A793" s="574"/>
      <c r="B793" s="575"/>
      <c r="C793" s="575"/>
      <c r="D793" s="575"/>
      <c r="E793" s="576"/>
      <c r="F793" s="547"/>
      <c r="G793" s="547"/>
      <c r="H793" s="547"/>
      <c r="I793" s="573"/>
      <c r="J793" s="550"/>
      <c r="K793" s="550"/>
      <c r="L793" s="550"/>
      <c r="M793" s="550"/>
      <c r="N793" s="550"/>
      <c r="O793" s="550"/>
      <c r="P793" s="550"/>
      <c r="Q793" s="550"/>
      <c r="R793" s="550"/>
      <c r="S793" s="550"/>
      <c r="T793" s="551"/>
      <c r="U793" s="551"/>
      <c r="V793" s="551"/>
      <c r="W793" s="551"/>
      <c r="X793" s="551"/>
      <c r="Y793" s="551"/>
      <c r="Z793" s="551"/>
      <c r="AA793" s="551"/>
    </row>
    <row r="794">
      <c r="A794" s="574"/>
      <c r="B794" s="575"/>
      <c r="C794" s="575"/>
      <c r="D794" s="575"/>
      <c r="E794" s="576"/>
      <c r="F794" s="547"/>
      <c r="G794" s="547"/>
      <c r="H794" s="547"/>
      <c r="I794" s="573"/>
      <c r="J794" s="550"/>
      <c r="K794" s="550"/>
      <c r="L794" s="550"/>
      <c r="M794" s="550"/>
      <c r="N794" s="550"/>
      <c r="O794" s="550"/>
      <c r="P794" s="550"/>
      <c r="Q794" s="550"/>
      <c r="R794" s="550"/>
      <c r="S794" s="550"/>
      <c r="T794" s="551"/>
      <c r="U794" s="551"/>
      <c r="V794" s="551"/>
      <c r="W794" s="551"/>
      <c r="X794" s="551"/>
      <c r="Y794" s="551"/>
      <c r="Z794" s="551"/>
      <c r="AA794" s="551"/>
    </row>
    <row r="795">
      <c r="A795" s="574"/>
      <c r="B795" s="575"/>
      <c r="C795" s="575"/>
      <c r="D795" s="575"/>
      <c r="E795" s="576"/>
      <c r="F795" s="547"/>
      <c r="G795" s="547"/>
      <c r="H795" s="547"/>
      <c r="I795" s="573"/>
      <c r="J795" s="550"/>
      <c r="K795" s="550"/>
      <c r="L795" s="550"/>
      <c r="M795" s="550"/>
      <c r="N795" s="550"/>
      <c r="O795" s="550"/>
      <c r="P795" s="550"/>
      <c r="Q795" s="550"/>
      <c r="R795" s="550"/>
      <c r="S795" s="550"/>
      <c r="T795" s="551"/>
      <c r="U795" s="551"/>
      <c r="V795" s="551"/>
      <c r="W795" s="551"/>
      <c r="X795" s="551"/>
      <c r="Y795" s="551"/>
      <c r="Z795" s="551"/>
      <c r="AA795" s="551"/>
    </row>
    <row r="796">
      <c r="A796" s="574"/>
      <c r="B796" s="575"/>
      <c r="C796" s="575"/>
      <c r="D796" s="575"/>
      <c r="E796" s="576"/>
      <c r="F796" s="547"/>
      <c r="G796" s="547"/>
      <c r="H796" s="547"/>
      <c r="I796" s="573"/>
      <c r="J796" s="550"/>
      <c r="K796" s="550"/>
      <c r="L796" s="550"/>
      <c r="M796" s="550"/>
      <c r="N796" s="550"/>
      <c r="O796" s="550"/>
      <c r="P796" s="550"/>
      <c r="Q796" s="550"/>
      <c r="R796" s="550"/>
      <c r="S796" s="550"/>
      <c r="T796" s="551"/>
      <c r="U796" s="551"/>
      <c r="V796" s="551"/>
      <c r="W796" s="551"/>
      <c r="X796" s="551"/>
      <c r="Y796" s="551"/>
      <c r="Z796" s="551"/>
      <c r="AA796" s="551"/>
    </row>
    <row r="797">
      <c r="A797" s="574"/>
      <c r="B797" s="575"/>
      <c r="C797" s="575"/>
      <c r="D797" s="575"/>
      <c r="E797" s="576"/>
      <c r="F797" s="547"/>
      <c r="G797" s="547"/>
      <c r="H797" s="547"/>
      <c r="I797" s="573"/>
      <c r="J797" s="550"/>
      <c r="K797" s="550"/>
      <c r="L797" s="550"/>
      <c r="M797" s="550"/>
      <c r="N797" s="550"/>
      <c r="O797" s="550"/>
      <c r="P797" s="550"/>
      <c r="Q797" s="550"/>
      <c r="R797" s="550"/>
      <c r="S797" s="550"/>
      <c r="T797" s="551"/>
      <c r="U797" s="551"/>
      <c r="V797" s="551"/>
      <c r="W797" s="551"/>
      <c r="X797" s="551"/>
      <c r="Y797" s="551"/>
      <c r="Z797" s="551"/>
      <c r="AA797" s="551"/>
    </row>
    <row r="798">
      <c r="A798" s="574"/>
      <c r="B798" s="575"/>
      <c r="C798" s="575"/>
      <c r="D798" s="575"/>
      <c r="E798" s="576"/>
      <c r="F798" s="547"/>
      <c r="G798" s="547"/>
      <c r="H798" s="547"/>
      <c r="I798" s="573"/>
      <c r="J798" s="550"/>
      <c r="K798" s="550"/>
      <c r="L798" s="550"/>
      <c r="M798" s="550"/>
      <c r="N798" s="550"/>
      <c r="O798" s="550"/>
      <c r="P798" s="550"/>
      <c r="Q798" s="550"/>
      <c r="R798" s="550"/>
      <c r="S798" s="550"/>
      <c r="T798" s="551"/>
      <c r="U798" s="551"/>
      <c r="V798" s="551"/>
      <c r="W798" s="551"/>
      <c r="X798" s="551"/>
      <c r="Y798" s="551"/>
      <c r="Z798" s="551"/>
      <c r="AA798" s="551"/>
    </row>
    <row r="799">
      <c r="A799" s="574"/>
      <c r="B799" s="575"/>
      <c r="C799" s="575"/>
      <c r="D799" s="575"/>
      <c r="E799" s="576"/>
      <c r="F799" s="547"/>
      <c r="G799" s="547"/>
      <c r="H799" s="547"/>
      <c r="I799" s="573"/>
      <c r="J799" s="550"/>
      <c r="K799" s="550"/>
      <c r="L799" s="550"/>
      <c r="M799" s="550"/>
      <c r="N799" s="550"/>
      <c r="O799" s="550"/>
      <c r="P799" s="550"/>
      <c r="Q799" s="550"/>
      <c r="R799" s="550"/>
      <c r="S799" s="550"/>
      <c r="T799" s="551"/>
      <c r="U799" s="551"/>
      <c r="V799" s="551"/>
      <c r="W799" s="551"/>
      <c r="X799" s="551"/>
      <c r="Y799" s="551"/>
      <c r="Z799" s="551"/>
      <c r="AA799" s="551"/>
    </row>
    <row r="800">
      <c r="A800" s="574"/>
      <c r="B800" s="575"/>
      <c r="C800" s="575"/>
      <c r="D800" s="575"/>
      <c r="E800" s="576"/>
      <c r="F800" s="547"/>
      <c r="G800" s="547"/>
      <c r="H800" s="547"/>
      <c r="I800" s="573"/>
      <c r="J800" s="550"/>
      <c r="K800" s="550"/>
      <c r="L800" s="550"/>
      <c r="M800" s="550"/>
      <c r="N800" s="550"/>
      <c r="O800" s="550"/>
      <c r="P800" s="550"/>
      <c r="Q800" s="550"/>
      <c r="R800" s="550"/>
      <c r="S800" s="550"/>
      <c r="T800" s="551"/>
      <c r="U800" s="551"/>
      <c r="V800" s="551"/>
      <c r="W800" s="551"/>
      <c r="X800" s="551"/>
      <c r="Y800" s="551"/>
      <c r="Z800" s="551"/>
      <c r="AA800" s="551"/>
    </row>
    <row r="801">
      <c r="A801" s="574"/>
      <c r="B801" s="575"/>
      <c r="C801" s="575"/>
      <c r="D801" s="575"/>
      <c r="E801" s="576"/>
      <c r="F801" s="547"/>
      <c r="G801" s="547"/>
      <c r="H801" s="547"/>
      <c r="I801" s="573"/>
      <c r="J801" s="550"/>
      <c r="K801" s="550"/>
      <c r="L801" s="550"/>
      <c r="M801" s="550"/>
      <c r="N801" s="550"/>
      <c r="O801" s="550"/>
      <c r="P801" s="550"/>
      <c r="Q801" s="550"/>
      <c r="R801" s="550"/>
      <c r="S801" s="550"/>
      <c r="T801" s="551"/>
      <c r="U801" s="551"/>
      <c r="V801" s="551"/>
      <c r="W801" s="551"/>
      <c r="X801" s="551"/>
      <c r="Y801" s="551"/>
      <c r="Z801" s="551"/>
      <c r="AA801" s="551"/>
    </row>
    <row r="802">
      <c r="A802" s="574"/>
      <c r="B802" s="575"/>
      <c r="C802" s="575"/>
      <c r="D802" s="575"/>
      <c r="E802" s="576"/>
      <c r="F802" s="547"/>
      <c r="G802" s="547"/>
      <c r="H802" s="547"/>
      <c r="I802" s="573"/>
      <c r="J802" s="550"/>
      <c r="K802" s="550"/>
      <c r="L802" s="550"/>
      <c r="M802" s="550"/>
      <c r="N802" s="550"/>
      <c r="O802" s="550"/>
      <c r="P802" s="550"/>
      <c r="Q802" s="550"/>
      <c r="R802" s="550"/>
      <c r="S802" s="550"/>
      <c r="T802" s="551"/>
      <c r="U802" s="551"/>
      <c r="V802" s="551"/>
      <c r="W802" s="551"/>
      <c r="X802" s="551"/>
      <c r="Y802" s="551"/>
      <c r="Z802" s="551"/>
      <c r="AA802" s="551"/>
    </row>
    <row r="803">
      <c r="A803" s="574"/>
      <c r="B803" s="575"/>
      <c r="C803" s="575"/>
      <c r="D803" s="575"/>
      <c r="E803" s="576"/>
      <c r="F803" s="547"/>
      <c r="G803" s="547"/>
      <c r="H803" s="547"/>
      <c r="I803" s="573"/>
      <c r="J803" s="550"/>
      <c r="K803" s="550"/>
      <c r="L803" s="550"/>
      <c r="M803" s="550"/>
      <c r="N803" s="550"/>
      <c r="O803" s="550"/>
      <c r="P803" s="550"/>
      <c r="Q803" s="550"/>
      <c r="R803" s="550"/>
      <c r="S803" s="550"/>
      <c r="T803" s="551"/>
      <c r="U803" s="551"/>
      <c r="V803" s="551"/>
      <c r="W803" s="551"/>
      <c r="X803" s="551"/>
      <c r="Y803" s="551"/>
      <c r="Z803" s="551"/>
      <c r="AA803" s="551"/>
    </row>
    <row r="804">
      <c r="A804" s="574"/>
      <c r="B804" s="575"/>
      <c r="C804" s="575"/>
      <c r="D804" s="575"/>
      <c r="E804" s="576"/>
      <c r="F804" s="547"/>
      <c r="G804" s="547"/>
      <c r="H804" s="547"/>
      <c r="I804" s="573"/>
      <c r="J804" s="550"/>
      <c r="K804" s="550"/>
      <c r="L804" s="550"/>
      <c r="M804" s="550"/>
      <c r="N804" s="550"/>
      <c r="O804" s="550"/>
      <c r="P804" s="550"/>
      <c r="Q804" s="550"/>
      <c r="R804" s="550"/>
      <c r="S804" s="550"/>
      <c r="T804" s="551"/>
      <c r="U804" s="551"/>
      <c r="V804" s="551"/>
      <c r="W804" s="551"/>
      <c r="X804" s="551"/>
      <c r="Y804" s="551"/>
      <c r="Z804" s="551"/>
      <c r="AA804" s="551"/>
    </row>
    <row r="805">
      <c r="A805" s="574"/>
      <c r="B805" s="575"/>
      <c r="C805" s="575"/>
      <c r="D805" s="575"/>
      <c r="E805" s="576"/>
      <c r="F805" s="547"/>
      <c r="G805" s="547"/>
      <c r="H805" s="547"/>
      <c r="I805" s="573"/>
      <c r="J805" s="550"/>
      <c r="K805" s="550"/>
      <c r="L805" s="550"/>
      <c r="M805" s="550"/>
      <c r="N805" s="550"/>
      <c r="O805" s="550"/>
      <c r="P805" s="550"/>
      <c r="Q805" s="550"/>
      <c r="R805" s="550"/>
      <c r="S805" s="550"/>
      <c r="T805" s="551"/>
      <c r="U805" s="551"/>
      <c r="V805" s="551"/>
      <c r="W805" s="551"/>
      <c r="X805" s="551"/>
      <c r="Y805" s="551"/>
      <c r="Z805" s="551"/>
      <c r="AA805" s="551"/>
    </row>
    <row r="806">
      <c r="A806" s="574"/>
      <c r="B806" s="575"/>
      <c r="C806" s="575"/>
      <c r="D806" s="575"/>
      <c r="E806" s="576"/>
      <c r="F806" s="547"/>
      <c r="G806" s="547"/>
      <c r="H806" s="547"/>
      <c r="I806" s="573"/>
      <c r="J806" s="550"/>
      <c r="K806" s="550"/>
      <c r="L806" s="550"/>
      <c r="M806" s="550"/>
      <c r="N806" s="550"/>
      <c r="O806" s="550"/>
      <c r="P806" s="550"/>
      <c r="Q806" s="550"/>
      <c r="R806" s="550"/>
      <c r="S806" s="550"/>
      <c r="T806" s="551"/>
      <c r="U806" s="551"/>
      <c r="V806" s="551"/>
      <c r="W806" s="551"/>
      <c r="X806" s="551"/>
      <c r="Y806" s="551"/>
      <c r="Z806" s="551"/>
      <c r="AA806" s="551"/>
    </row>
    <row r="807">
      <c r="A807" s="574"/>
      <c r="B807" s="575"/>
      <c r="C807" s="575"/>
      <c r="D807" s="575"/>
      <c r="E807" s="576"/>
      <c r="F807" s="547"/>
      <c r="G807" s="547"/>
      <c r="H807" s="547"/>
      <c r="I807" s="573"/>
      <c r="J807" s="550"/>
      <c r="K807" s="550"/>
      <c r="L807" s="550"/>
      <c r="M807" s="550"/>
      <c r="N807" s="550"/>
      <c r="O807" s="550"/>
      <c r="P807" s="550"/>
      <c r="Q807" s="550"/>
      <c r="R807" s="550"/>
      <c r="S807" s="550"/>
      <c r="T807" s="551"/>
      <c r="U807" s="551"/>
      <c r="V807" s="551"/>
      <c r="W807" s="551"/>
      <c r="X807" s="551"/>
      <c r="Y807" s="551"/>
      <c r="Z807" s="551"/>
      <c r="AA807" s="551"/>
    </row>
    <row r="808">
      <c r="A808" s="574"/>
      <c r="B808" s="575"/>
      <c r="C808" s="575"/>
      <c r="D808" s="575"/>
      <c r="E808" s="576"/>
      <c r="F808" s="547"/>
      <c r="G808" s="547"/>
      <c r="H808" s="547"/>
      <c r="I808" s="573"/>
      <c r="J808" s="550"/>
      <c r="K808" s="550"/>
      <c r="L808" s="550"/>
      <c r="M808" s="550"/>
      <c r="N808" s="550"/>
      <c r="O808" s="550"/>
      <c r="P808" s="550"/>
      <c r="Q808" s="550"/>
      <c r="R808" s="550"/>
      <c r="S808" s="550"/>
      <c r="T808" s="551"/>
      <c r="U808" s="551"/>
      <c r="V808" s="551"/>
      <c r="W808" s="551"/>
      <c r="X808" s="551"/>
      <c r="Y808" s="551"/>
      <c r="Z808" s="551"/>
      <c r="AA808" s="551"/>
    </row>
    <row r="809">
      <c r="A809" s="574"/>
      <c r="B809" s="575"/>
      <c r="C809" s="575"/>
      <c r="D809" s="575"/>
      <c r="E809" s="576"/>
      <c r="F809" s="547"/>
      <c r="G809" s="547"/>
      <c r="H809" s="547"/>
      <c r="I809" s="573"/>
      <c r="J809" s="550"/>
      <c r="K809" s="550"/>
      <c r="L809" s="550"/>
      <c r="M809" s="550"/>
      <c r="N809" s="550"/>
      <c r="O809" s="550"/>
      <c r="P809" s="550"/>
      <c r="Q809" s="550"/>
      <c r="R809" s="550"/>
      <c r="S809" s="550"/>
      <c r="T809" s="551"/>
      <c r="U809" s="551"/>
      <c r="V809" s="551"/>
      <c r="W809" s="551"/>
      <c r="X809" s="551"/>
      <c r="Y809" s="551"/>
      <c r="Z809" s="551"/>
      <c r="AA809" s="551"/>
    </row>
    <row r="810">
      <c r="A810" s="574"/>
      <c r="B810" s="575"/>
      <c r="C810" s="575"/>
      <c r="D810" s="575"/>
      <c r="E810" s="576"/>
      <c r="F810" s="547"/>
      <c r="G810" s="547"/>
      <c r="H810" s="547"/>
      <c r="I810" s="573"/>
      <c r="J810" s="550"/>
      <c r="K810" s="550"/>
      <c r="L810" s="550"/>
      <c r="M810" s="550"/>
      <c r="N810" s="550"/>
      <c r="O810" s="550"/>
      <c r="P810" s="550"/>
      <c r="Q810" s="550"/>
      <c r="R810" s="550"/>
      <c r="S810" s="550"/>
      <c r="T810" s="551"/>
      <c r="U810" s="551"/>
      <c r="V810" s="551"/>
      <c r="W810" s="551"/>
      <c r="X810" s="551"/>
      <c r="Y810" s="551"/>
      <c r="Z810" s="551"/>
      <c r="AA810" s="551"/>
    </row>
    <row r="811">
      <c r="A811" s="574"/>
      <c r="B811" s="575"/>
      <c r="C811" s="575"/>
      <c r="D811" s="575"/>
      <c r="E811" s="576"/>
      <c r="F811" s="547"/>
      <c r="G811" s="547"/>
      <c r="H811" s="547"/>
      <c r="I811" s="573"/>
      <c r="J811" s="550"/>
      <c r="K811" s="550"/>
      <c r="L811" s="550"/>
      <c r="M811" s="550"/>
      <c r="N811" s="550"/>
      <c r="O811" s="550"/>
      <c r="P811" s="550"/>
      <c r="Q811" s="550"/>
      <c r="R811" s="550"/>
      <c r="S811" s="550"/>
      <c r="T811" s="551"/>
      <c r="U811" s="551"/>
      <c r="V811" s="551"/>
      <c r="W811" s="551"/>
      <c r="X811" s="551"/>
      <c r="Y811" s="551"/>
      <c r="Z811" s="551"/>
      <c r="AA811" s="551"/>
    </row>
    <row r="812">
      <c r="A812" s="574"/>
      <c r="B812" s="575"/>
      <c r="C812" s="575"/>
      <c r="D812" s="575"/>
      <c r="E812" s="576"/>
      <c r="F812" s="547"/>
      <c r="G812" s="547"/>
      <c r="H812" s="547"/>
      <c r="I812" s="573"/>
      <c r="J812" s="550"/>
      <c r="K812" s="550"/>
      <c r="L812" s="550"/>
      <c r="M812" s="550"/>
      <c r="N812" s="550"/>
      <c r="O812" s="550"/>
      <c r="P812" s="550"/>
      <c r="Q812" s="550"/>
      <c r="R812" s="550"/>
      <c r="S812" s="550"/>
      <c r="T812" s="551"/>
      <c r="U812" s="551"/>
      <c r="V812" s="551"/>
      <c r="W812" s="551"/>
      <c r="X812" s="551"/>
      <c r="Y812" s="551"/>
      <c r="Z812" s="551"/>
      <c r="AA812" s="551"/>
    </row>
    <row r="813">
      <c r="A813" s="574"/>
      <c r="B813" s="575"/>
      <c r="C813" s="575"/>
      <c r="D813" s="575"/>
      <c r="E813" s="576"/>
      <c r="F813" s="547"/>
      <c r="G813" s="547"/>
      <c r="H813" s="547"/>
      <c r="I813" s="573"/>
      <c r="J813" s="550"/>
      <c r="K813" s="550"/>
      <c r="L813" s="550"/>
      <c r="M813" s="550"/>
      <c r="N813" s="550"/>
      <c r="O813" s="550"/>
      <c r="P813" s="550"/>
      <c r="Q813" s="550"/>
      <c r="R813" s="550"/>
      <c r="S813" s="550"/>
      <c r="T813" s="551"/>
      <c r="U813" s="551"/>
      <c r="V813" s="551"/>
      <c r="W813" s="551"/>
      <c r="X813" s="551"/>
      <c r="Y813" s="551"/>
      <c r="Z813" s="551"/>
      <c r="AA813" s="551"/>
    </row>
    <row r="814">
      <c r="A814" s="574"/>
      <c r="B814" s="575"/>
      <c r="C814" s="575"/>
      <c r="D814" s="575"/>
      <c r="E814" s="576"/>
      <c r="F814" s="547"/>
      <c r="G814" s="547"/>
      <c r="H814" s="547"/>
      <c r="I814" s="573"/>
      <c r="J814" s="550"/>
      <c r="K814" s="550"/>
      <c r="L814" s="550"/>
      <c r="M814" s="550"/>
      <c r="N814" s="550"/>
      <c r="O814" s="550"/>
      <c r="P814" s="550"/>
      <c r="Q814" s="550"/>
      <c r="R814" s="550"/>
      <c r="S814" s="550"/>
      <c r="T814" s="551"/>
      <c r="U814" s="551"/>
      <c r="V814" s="551"/>
      <c r="W814" s="551"/>
      <c r="X814" s="551"/>
      <c r="Y814" s="551"/>
      <c r="Z814" s="551"/>
      <c r="AA814" s="551"/>
    </row>
    <row r="815">
      <c r="A815" s="574"/>
      <c r="B815" s="575"/>
      <c r="C815" s="575"/>
      <c r="D815" s="575"/>
      <c r="E815" s="576"/>
      <c r="F815" s="547"/>
      <c r="G815" s="547"/>
      <c r="H815" s="547"/>
      <c r="I815" s="573"/>
      <c r="J815" s="550"/>
      <c r="K815" s="550"/>
      <c r="L815" s="550"/>
      <c r="M815" s="550"/>
      <c r="N815" s="550"/>
      <c r="O815" s="550"/>
      <c r="P815" s="550"/>
      <c r="Q815" s="550"/>
      <c r="R815" s="550"/>
      <c r="S815" s="550"/>
      <c r="T815" s="551"/>
      <c r="U815" s="551"/>
      <c r="V815" s="551"/>
      <c r="W815" s="551"/>
      <c r="X815" s="551"/>
      <c r="Y815" s="551"/>
      <c r="Z815" s="551"/>
      <c r="AA815" s="551"/>
    </row>
    <row r="816">
      <c r="A816" s="574"/>
      <c r="B816" s="575"/>
      <c r="C816" s="575"/>
      <c r="D816" s="575"/>
      <c r="E816" s="576"/>
      <c r="F816" s="547"/>
      <c r="G816" s="547"/>
      <c r="H816" s="547"/>
      <c r="I816" s="573"/>
      <c r="J816" s="550"/>
      <c r="K816" s="550"/>
      <c r="L816" s="550"/>
      <c r="M816" s="550"/>
      <c r="N816" s="550"/>
      <c r="O816" s="550"/>
      <c r="P816" s="550"/>
      <c r="Q816" s="550"/>
      <c r="R816" s="550"/>
      <c r="S816" s="550"/>
      <c r="T816" s="551"/>
      <c r="U816" s="551"/>
      <c r="V816" s="551"/>
      <c r="W816" s="551"/>
      <c r="X816" s="551"/>
      <c r="Y816" s="551"/>
      <c r="Z816" s="551"/>
      <c r="AA816" s="551"/>
    </row>
    <row r="817">
      <c r="A817" s="574"/>
      <c r="B817" s="575"/>
      <c r="C817" s="575"/>
      <c r="D817" s="575"/>
      <c r="E817" s="576"/>
      <c r="F817" s="547"/>
      <c r="G817" s="547"/>
      <c r="H817" s="547"/>
      <c r="I817" s="573"/>
      <c r="J817" s="550"/>
      <c r="K817" s="550"/>
      <c r="L817" s="550"/>
      <c r="M817" s="550"/>
      <c r="N817" s="550"/>
      <c r="O817" s="550"/>
      <c r="P817" s="550"/>
      <c r="Q817" s="550"/>
      <c r="R817" s="550"/>
      <c r="S817" s="550"/>
      <c r="T817" s="551"/>
      <c r="U817" s="551"/>
      <c r="V817" s="551"/>
      <c r="W817" s="551"/>
      <c r="X817" s="551"/>
      <c r="Y817" s="551"/>
      <c r="Z817" s="551"/>
      <c r="AA817" s="551"/>
    </row>
    <row r="818">
      <c r="A818" s="574"/>
      <c r="B818" s="575"/>
      <c r="C818" s="575"/>
      <c r="D818" s="575"/>
      <c r="E818" s="576"/>
      <c r="F818" s="547"/>
      <c r="G818" s="547"/>
      <c r="H818" s="547"/>
      <c r="I818" s="573"/>
      <c r="J818" s="550"/>
      <c r="K818" s="550"/>
      <c r="L818" s="550"/>
      <c r="M818" s="550"/>
      <c r="N818" s="550"/>
      <c r="O818" s="550"/>
      <c r="P818" s="550"/>
      <c r="Q818" s="550"/>
      <c r="R818" s="550"/>
      <c r="S818" s="550"/>
      <c r="T818" s="551"/>
      <c r="U818" s="551"/>
      <c r="V818" s="551"/>
      <c r="W818" s="551"/>
      <c r="X818" s="551"/>
      <c r="Y818" s="551"/>
      <c r="Z818" s="551"/>
      <c r="AA818" s="551"/>
    </row>
    <row r="819">
      <c r="A819" s="574"/>
      <c r="B819" s="575"/>
      <c r="C819" s="575"/>
      <c r="D819" s="575"/>
      <c r="E819" s="576"/>
      <c r="F819" s="547"/>
      <c r="G819" s="547"/>
      <c r="H819" s="547"/>
      <c r="I819" s="573"/>
      <c r="J819" s="550"/>
      <c r="K819" s="550"/>
      <c r="L819" s="550"/>
      <c r="M819" s="550"/>
      <c r="N819" s="550"/>
      <c r="O819" s="550"/>
      <c r="P819" s="550"/>
      <c r="Q819" s="550"/>
      <c r="R819" s="550"/>
      <c r="S819" s="550"/>
      <c r="T819" s="551"/>
      <c r="U819" s="551"/>
      <c r="V819" s="551"/>
      <c r="W819" s="551"/>
      <c r="X819" s="551"/>
      <c r="Y819" s="551"/>
      <c r="Z819" s="551"/>
      <c r="AA819" s="551"/>
    </row>
    <row r="820">
      <c r="A820" s="574"/>
      <c r="B820" s="575"/>
      <c r="C820" s="575"/>
      <c r="D820" s="575"/>
      <c r="E820" s="576"/>
      <c r="F820" s="547"/>
      <c r="G820" s="547"/>
      <c r="H820" s="547"/>
      <c r="I820" s="573"/>
      <c r="J820" s="550"/>
      <c r="K820" s="550"/>
      <c r="L820" s="550"/>
      <c r="M820" s="550"/>
      <c r="N820" s="550"/>
      <c r="O820" s="550"/>
      <c r="P820" s="550"/>
      <c r="Q820" s="550"/>
      <c r="R820" s="550"/>
      <c r="S820" s="550"/>
      <c r="T820" s="551"/>
      <c r="U820" s="551"/>
      <c r="V820" s="551"/>
      <c r="W820" s="551"/>
      <c r="X820" s="551"/>
      <c r="Y820" s="551"/>
      <c r="Z820" s="551"/>
      <c r="AA820" s="551"/>
    </row>
    <row r="821">
      <c r="A821" s="574"/>
      <c r="B821" s="575"/>
      <c r="C821" s="575"/>
      <c r="D821" s="575"/>
      <c r="E821" s="576"/>
      <c r="F821" s="547"/>
      <c r="G821" s="547"/>
      <c r="H821" s="547"/>
      <c r="I821" s="573"/>
      <c r="J821" s="550"/>
      <c r="K821" s="550"/>
      <c r="L821" s="550"/>
      <c r="M821" s="550"/>
      <c r="N821" s="550"/>
      <c r="O821" s="550"/>
      <c r="P821" s="550"/>
      <c r="Q821" s="550"/>
      <c r="R821" s="550"/>
      <c r="S821" s="550"/>
      <c r="T821" s="551"/>
      <c r="U821" s="551"/>
      <c r="V821" s="551"/>
      <c r="W821" s="551"/>
      <c r="X821" s="551"/>
      <c r="Y821" s="551"/>
      <c r="Z821" s="551"/>
      <c r="AA821" s="551"/>
    </row>
    <row r="822">
      <c r="A822" s="574"/>
      <c r="B822" s="575"/>
      <c r="C822" s="575"/>
      <c r="D822" s="575"/>
      <c r="E822" s="576"/>
      <c r="F822" s="547"/>
      <c r="G822" s="547"/>
      <c r="H822" s="547"/>
      <c r="I822" s="573"/>
      <c r="J822" s="550"/>
      <c r="K822" s="550"/>
      <c r="L822" s="550"/>
      <c r="M822" s="550"/>
      <c r="N822" s="550"/>
      <c r="O822" s="550"/>
      <c r="P822" s="550"/>
      <c r="Q822" s="550"/>
      <c r="R822" s="550"/>
      <c r="S822" s="550"/>
      <c r="T822" s="551"/>
      <c r="U822" s="551"/>
      <c r="V822" s="551"/>
      <c r="W822" s="551"/>
      <c r="X822" s="551"/>
      <c r="Y822" s="551"/>
      <c r="Z822" s="551"/>
      <c r="AA822" s="551"/>
    </row>
    <row r="823">
      <c r="A823" s="574"/>
      <c r="B823" s="575"/>
      <c r="C823" s="575"/>
      <c r="D823" s="575"/>
      <c r="E823" s="576"/>
      <c r="F823" s="547"/>
      <c r="G823" s="547"/>
      <c r="H823" s="547"/>
      <c r="I823" s="573"/>
      <c r="J823" s="550"/>
      <c r="K823" s="550"/>
      <c r="L823" s="550"/>
      <c r="M823" s="550"/>
      <c r="N823" s="550"/>
      <c r="O823" s="550"/>
      <c r="P823" s="550"/>
      <c r="Q823" s="550"/>
      <c r="R823" s="550"/>
      <c r="S823" s="550"/>
      <c r="T823" s="551"/>
      <c r="U823" s="551"/>
      <c r="V823" s="551"/>
      <c r="W823" s="551"/>
      <c r="X823" s="551"/>
      <c r="Y823" s="551"/>
      <c r="Z823" s="551"/>
      <c r="AA823" s="551"/>
    </row>
    <row r="824">
      <c r="A824" s="574"/>
      <c r="B824" s="575"/>
      <c r="C824" s="575"/>
      <c r="D824" s="575"/>
      <c r="E824" s="576"/>
      <c r="F824" s="547"/>
      <c r="G824" s="547"/>
      <c r="H824" s="547"/>
      <c r="I824" s="573"/>
      <c r="J824" s="550"/>
      <c r="K824" s="550"/>
      <c r="L824" s="550"/>
      <c r="M824" s="550"/>
      <c r="N824" s="550"/>
      <c r="O824" s="550"/>
      <c r="P824" s="550"/>
      <c r="Q824" s="550"/>
      <c r="R824" s="550"/>
      <c r="S824" s="550"/>
      <c r="T824" s="551"/>
      <c r="U824" s="551"/>
      <c r="V824" s="551"/>
      <c r="W824" s="551"/>
      <c r="X824" s="551"/>
      <c r="Y824" s="551"/>
      <c r="Z824" s="551"/>
      <c r="AA824" s="551"/>
    </row>
    <row r="825">
      <c r="A825" s="574"/>
      <c r="B825" s="575"/>
      <c r="C825" s="575"/>
      <c r="D825" s="575"/>
      <c r="E825" s="576"/>
      <c r="F825" s="547"/>
      <c r="G825" s="547"/>
      <c r="H825" s="547"/>
      <c r="I825" s="573"/>
      <c r="J825" s="550"/>
      <c r="K825" s="550"/>
      <c r="L825" s="550"/>
      <c r="M825" s="550"/>
      <c r="N825" s="550"/>
      <c r="O825" s="550"/>
      <c r="P825" s="550"/>
      <c r="Q825" s="550"/>
      <c r="R825" s="550"/>
      <c r="S825" s="550"/>
      <c r="T825" s="551"/>
      <c r="U825" s="551"/>
      <c r="V825" s="551"/>
      <c r="W825" s="551"/>
      <c r="X825" s="551"/>
      <c r="Y825" s="551"/>
      <c r="Z825" s="551"/>
      <c r="AA825" s="551"/>
    </row>
    <row r="826">
      <c r="A826" s="574"/>
      <c r="B826" s="575"/>
      <c r="C826" s="575"/>
      <c r="D826" s="575"/>
      <c r="E826" s="576"/>
      <c r="F826" s="547"/>
      <c r="G826" s="547"/>
      <c r="H826" s="547"/>
      <c r="I826" s="573"/>
      <c r="J826" s="550"/>
      <c r="K826" s="550"/>
      <c r="L826" s="550"/>
      <c r="M826" s="550"/>
      <c r="N826" s="550"/>
      <c r="O826" s="550"/>
      <c r="P826" s="550"/>
      <c r="Q826" s="550"/>
      <c r="R826" s="550"/>
      <c r="S826" s="550"/>
      <c r="T826" s="551"/>
      <c r="U826" s="551"/>
      <c r="V826" s="551"/>
      <c r="W826" s="551"/>
      <c r="X826" s="551"/>
      <c r="Y826" s="551"/>
      <c r="Z826" s="551"/>
      <c r="AA826" s="551"/>
    </row>
    <row r="827">
      <c r="A827" s="574"/>
      <c r="B827" s="575"/>
      <c r="C827" s="575"/>
      <c r="D827" s="575"/>
      <c r="E827" s="576"/>
      <c r="F827" s="547"/>
      <c r="G827" s="547"/>
      <c r="H827" s="547"/>
      <c r="I827" s="573"/>
      <c r="J827" s="550"/>
      <c r="K827" s="550"/>
      <c r="L827" s="550"/>
      <c r="M827" s="550"/>
      <c r="N827" s="550"/>
      <c r="O827" s="550"/>
      <c r="P827" s="550"/>
      <c r="Q827" s="550"/>
      <c r="R827" s="550"/>
      <c r="S827" s="550"/>
      <c r="T827" s="551"/>
      <c r="U827" s="551"/>
      <c r="V827" s="551"/>
      <c r="W827" s="551"/>
      <c r="X827" s="551"/>
      <c r="Y827" s="551"/>
      <c r="Z827" s="551"/>
      <c r="AA827" s="551"/>
    </row>
    <row r="828">
      <c r="A828" s="574"/>
      <c r="B828" s="575"/>
      <c r="C828" s="575"/>
      <c r="D828" s="575"/>
      <c r="E828" s="576"/>
      <c r="F828" s="547"/>
      <c r="G828" s="547"/>
      <c r="H828" s="547"/>
      <c r="I828" s="573"/>
      <c r="J828" s="550"/>
      <c r="K828" s="550"/>
      <c r="L828" s="550"/>
      <c r="M828" s="550"/>
      <c r="N828" s="550"/>
      <c r="O828" s="550"/>
      <c r="P828" s="550"/>
      <c r="Q828" s="550"/>
      <c r="R828" s="550"/>
      <c r="S828" s="550"/>
      <c r="T828" s="551"/>
      <c r="U828" s="551"/>
      <c r="V828" s="551"/>
      <c r="W828" s="551"/>
      <c r="X828" s="551"/>
      <c r="Y828" s="551"/>
      <c r="Z828" s="551"/>
      <c r="AA828" s="551"/>
    </row>
    <row r="829">
      <c r="A829" s="574"/>
      <c r="B829" s="575"/>
      <c r="C829" s="575"/>
      <c r="D829" s="575"/>
      <c r="E829" s="576"/>
      <c r="F829" s="547"/>
      <c r="G829" s="547"/>
      <c r="H829" s="547"/>
      <c r="I829" s="573"/>
      <c r="J829" s="550"/>
      <c r="K829" s="550"/>
      <c r="L829" s="550"/>
      <c r="M829" s="550"/>
      <c r="N829" s="550"/>
      <c r="O829" s="550"/>
      <c r="P829" s="550"/>
      <c r="Q829" s="550"/>
      <c r="R829" s="550"/>
      <c r="S829" s="550"/>
      <c r="T829" s="551"/>
      <c r="U829" s="551"/>
      <c r="V829" s="551"/>
      <c r="W829" s="551"/>
      <c r="X829" s="551"/>
      <c r="Y829" s="551"/>
      <c r="Z829" s="551"/>
      <c r="AA829" s="551"/>
    </row>
    <row r="830">
      <c r="A830" s="574"/>
      <c r="B830" s="575"/>
      <c r="C830" s="575"/>
      <c r="D830" s="575"/>
      <c r="E830" s="576"/>
      <c r="F830" s="547"/>
      <c r="G830" s="547"/>
      <c r="H830" s="547"/>
      <c r="I830" s="573"/>
      <c r="J830" s="550"/>
      <c r="K830" s="550"/>
      <c r="L830" s="550"/>
      <c r="M830" s="550"/>
      <c r="N830" s="550"/>
      <c r="O830" s="550"/>
      <c r="P830" s="550"/>
      <c r="Q830" s="550"/>
      <c r="R830" s="550"/>
      <c r="S830" s="550"/>
      <c r="T830" s="551"/>
      <c r="U830" s="551"/>
      <c r="V830" s="551"/>
      <c r="W830" s="551"/>
      <c r="X830" s="551"/>
      <c r="Y830" s="551"/>
      <c r="Z830" s="551"/>
      <c r="AA830" s="551"/>
    </row>
    <row r="831">
      <c r="A831" s="574"/>
      <c r="B831" s="575"/>
      <c r="C831" s="575"/>
      <c r="D831" s="575"/>
      <c r="E831" s="576"/>
      <c r="F831" s="547"/>
      <c r="G831" s="547"/>
      <c r="H831" s="547"/>
      <c r="I831" s="573"/>
      <c r="J831" s="550"/>
      <c r="K831" s="550"/>
      <c r="L831" s="550"/>
      <c r="M831" s="550"/>
      <c r="N831" s="550"/>
      <c r="O831" s="550"/>
      <c r="P831" s="550"/>
      <c r="Q831" s="550"/>
      <c r="R831" s="550"/>
      <c r="S831" s="550"/>
      <c r="T831" s="551"/>
      <c r="U831" s="551"/>
      <c r="V831" s="551"/>
      <c r="W831" s="551"/>
      <c r="X831" s="551"/>
      <c r="Y831" s="551"/>
      <c r="Z831" s="551"/>
      <c r="AA831" s="551"/>
    </row>
    <row r="832">
      <c r="A832" s="574"/>
      <c r="B832" s="575"/>
      <c r="C832" s="575"/>
      <c r="D832" s="575"/>
      <c r="E832" s="576"/>
      <c r="F832" s="547"/>
      <c r="G832" s="547"/>
      <c r="H832" s="547"/>
      <c r="I832" s="573"/>
      <c r="J832" s="550"/>
      <c r="K832" s="550"/>
      <c r="L832" s="550"/>
      <c r="M832" s="550"/>
      <c r="N832" s="550"/>
      <c r="O832" s="550"/>
      <c r="P832" s="550"/>
      <c r="Q832" s="550"/>
      <c r="R832" s="550"/>
      <c r="S832" s="550"/>
      <c r="T832" s="551"/>
      <c r="U832" s="551"/>
      <c r="V832" s="551"/>
      <c r="W832" s="551"/>
      <c r="X832" s="551"/>
      <c r="Y832" s="551"/>
      <c r="Z832" s="551"/>
      <c r="AA832" s="551"/>
    </row>
    <row r="833">
      <c r="A833" s="574"/>
      <c r="B833" s="575"/>
      <c r="C833" s="575"/>
      <c r="D833" s="575"/>
      <c r="E833" s="576"/>
      <c r="F833" s="547"/>
      <c r="G833" s="547"/>
      <c r="H833" s="547"/>
      <c r="I833" s="573"/>
      <c r="J833" s="550"/>
      <c r="K833" s="550"/>
      <c r="L833" s="550"/>
      <c r="M833" s="550"/>
      <c r="N833" s="550"/>
      <c r="O833" s="550"/>
      <c r="P833" s="550"/>
      <c r="Q833" s="550"/>
      <c r="R833" s="550"/>
      <c r="S833" s="550"/>
      <c r="T833" s="551"/>
      <c r="U833" s="551"/>
      <c r="V833" s="551"/>
      <c r="W833" s="551"/>
      <c r="X833" s="551"/>
      <c r="Y833" s="551"/>
      <c r="Z833" s="551"/>
      <c r="AA833" s="551"/>
    </row>
    <row r="834">
      <c r="A834" s="574"/>
      <c r="B834" s="575"/>
      <c r="C834" s="575"/>
      <c r="D834" s="575"/>
      <c r="E834" s="576"/>
      <c r="F834" s="547"/>
      <c r="G834" s="547"/>
      <c r="H834" s="547"/>
      <c r="I834" s="573"/>
      <c r="J834" s="550"/>
      <c r="K834" s="550"/>
      <c r="L834" s="550"/>
      <c r="M834" s="550"/>
      <c r="N834" s="550"/>
      <c r="O834" s="550"/>
      <c r="P834" s="550"/>
      <c r="Q834" s="550"/>
      <c r="R834" s="550"/>
      <c r="S834" s="550"/>
      <c r="T834" s="551"/>
      <c r="U834" s="551"/>
      <c r="V834" s="551"/>
      <c r="W834" s="551"/>
      <c r="X834" s="551"/>
      <c r="Y834" s="551"/>
      <c r="Z834" s="551"/>
      <c r="AA834" s="551"/>
    </row>
    <row r="835">
      <c r="A835" s="574"/>
      <c r="B835" s="575"/>
      <c r="C835" s="575"/>
      <c r="D835" s="575"/>
      <c r="E835" s="576"/>
      <c r="F835" s="547"/>
      <c r="G835" s="547"/>
      <c r="H835" s="547"/>
      <c r="I835" s="573"/>
      <c r="J835" s="550"/>
      <c r="K835" s="550"/>
      <c r="L835" s="550"/>
      <c r="M835" s="550"/>
      <c r="N835" s="550"/>
      <c r="O835" s="550"/>
      <c r="P835" s="550"/>
      <c r="Q835" s="550"/>
      <c r="R835" s="550"/>
      <c r="S835" s="550"/>
      <c r="T835" s="551"/>
      <c r="U835" s="551"/>
      <c r="V835" s="551"/>
      <c r="W835" s="551"/>
      <c r="X835" s="551"/>
      <c r="Y835" s="551"/>
      <c r="Z835" s="551"/>
      <c r="AA835" s="551"/>
    </row>
    <row r="836">
      <c r="A836" s="574"/>
      <c r="B836" s="575"/>
      <c r="C836" s="575"/>
      <c r="D836" s="575"/>
      <c r="E836" s="576"/>
      <c r="F836" s="547"/>
      <c r="G836" s="547"/>
      <c r="H836" s="547"/>
      <c r="I836" s="573"/>
      <c r="J836" s="550"/>
      <c r="K836" s="550"/>
      <c r="L836" s="550"/>
      <c r="M836" s="550"/>
      <c r="N836" s="550"/>
      <c r="O836" s="550"/>
      <c r="P836" s="550"/>
      <c r="Q836" s="550"/>
      <c r="R836" s="550"/>
      <c r="S836" s="550"/>
      <c r="T836" s="551"/>
      <c r="U836" s="551"/>
      <c r="V836" s="551"/>
      <c r="W836" s="551"/>
      <c r="X836" s="551"/>
      <c r="Y836" s="551"/>
      <c r="Z836" s="551"/>
      <c r="AA836" s="551"/>
    </row>
    <row r="837">
      <c r="A837" s="574"/>
      <c r="B837" s="575"/>
      <c r="C837" s="575"/>
      <c r="D837" s="575"/>
      <c r="E837" s="576"/>
      <c r="F837" s="547"/>
      <c r="G837" s="547"/>
      <c r="H837" s="547"/>
      <c r="I837" s="573"/>
      <c r="J837" s="550"/>
      <c r="K837" s="550"/>
      <c r="L837" s="550"/>
      <c r="M837" s="550"/>
      <c r="N837" s="550"/>
      <c r="O837" s="550"/>
      <c r="P837" s="550"/>
      <c r="Q837" s="550"/>
      <c r="R837" s="550"/>
      <c r="S837" s="550"/>
      <c r="T837" s="551"/>
      <c r="U837" s="551"/>
      <c r="V837" s="551"/>
      <c r="W837" s="551"/>
      <c r="X837" s="551"/>
      <c r="Y837" s="551"/>
      <c r="Z837" s="551"/>
      <c r="AA837" s="551"/>
    </row>
    <row r="838">
      <c r="A838" s="574"/>
      <c r="B838" s="575"/>
      <c r="C838" s="575"/>
      <c r="D838" s="575"/>
      <c r="E838" s="576"/>
      <c r="F838" s="547"/>
      <c r="G838" s="547"/>
      <c r="H838" s="547"/>
      <c r="I838" s="573"/>
      <c r="J838" s="550"/>
      <c r="K838" s="550"/>
      <c r="L838" s="550"/>
      <c r="M838" s="550"/>
      <c r="N838" s="550"/>
      <c r="O838" s="550"/>
      <c r="P838" s="550"/>
      <c r="Q838" s="550"/>
      <c r="R838" s="550"/>
      <c r="S838" s="550"/>
      <c r="T838" s="551"/>
      <c r="U838" s="551"/>
      <c r="V838" s="551"/>
      <c r="W838" s="551"/>
      <c r="X838" s="551"/>
      <c r="Y838" s="551"/>
      <c r="Z838" s="551"/>
      <c r="AA838" s="551"/>
    </row>
    <row r="839">
      <c r="A839" s="574"/>
      <c r="B839" s="575"/>
      <c r="C839" s="575"/>
      <c r="D839" s="575"/>
      <c r="E839" s="576"/>
      <c r="F839" s="547"/>
      <c r="G839" s="547"/>
      <c r="H839" s="547"/>
      <c r="I839" s="573"/>
      <c r="J839" s="550"/>
      <c r="K839" s="550"/>
      <c r="L839" s="550"/>
      <c r="M839" s="550"/>
      <c r="N839" s="550"/>
      <c r="O839" s="550"/>
      <c r="P839" s="550"/>
      <c r="Q839" s="550"/>
      <c r="R839" s="550"/>
      <c r="S839" s="550"/>
      <c r="T839" s="551"/>
      <c r="U839" s="551"/>
      <c r="V839" s="551"/>
      <c r="W839" s="551"/>
      <c r="X839" s="551"/>
      <c r="Y839" s="551"/>
      <c r="Z839" s="551"/>
      <c r="AA839" s="551"/>
    </row>
    <row r="840">
      <c r="A840" s="574"/>
      <c r="B840" s="575"/>
      <c r="C840" s="575"/>
      <c r="D840" s="575"/>
      <c r="E840" s="576"/>
      <c r="F840" s="547"/>
      <c r="G840" s="547"/>
      <c r="H840" s="547"/>
      <c r="I840" s="573"/>
      <c r="J840" s="550"/>
      <c r="K840" s="550"/>
      <c r="L840" s="550"/>
      <c r="M840" s="550"/>
      <c r="N840" s="550"/>
      <c r="O840" s="550"/>
      <c r="P840" s="550"/>
      <c r="Q840" s="550"/>
      <c r="R840" s="550"/>
      <c r="S840" s="550"/>
      <c r="T840" s="551"/>
      <c r="U840" s="551"/>
      <c r="V840" s="551"/>
      <c r="W840" s="551"/>
      <c r="X840" s="551"/>
      <c r="Y840" s="551"/>
      <c r="Z840" s="551"/>
      <c r="AA840" s="551"/>
    </row>
    <row r="841">
      <c r="A841" s="574"/>
      <c r="B841" s="575"/>
      <c r="C841" s="575"/>
      <c r="D841" s="575"/>
      <c r="E841" s="576"/>
      <c r="F841" s="547"/>
      <c r="G841" s="547"/>
      <c r="H841" s="547"/>
      <c r="I841" s="573"/>
      <c r="J841" s="550"/>
      <c r="K841" s="550"/>
      <c r="L841" s="550"/>
      <c r="M841" s="550"/>
      <c r="N841" s="550"/>
      <c r="O841" s="550"/>
      <c r="P841" s="550"/>
      <c r="Q841" s="550"/>
      <c r="R841" s="550"/>
      <c r="S841" s="550"/>
      <c r="T841" s="551"/>
      <c r="U841" s="551"/>
      <c r="V841" s="551"/>
      <c r="W841" s="551"/>
      <c r="X841" s="551"/>
      <c r="Y841" s="551"/>
      <c r="Z841" s="551"/>
      <c r="AA841" s="551"/>
    </row>
    <row r="842">
      <c r="A842" s="574"/>
      <c r="B842" s="575"/>
      <c r="C842" s="575"/>
      <c r="D842" s="575"/>
      <c r="E842" s="576"/>
      <c r="F842" s="547"/>
      <c r="G842" s="547"/>
      <c r="H842" s="547"/>
      <c r="I842" s="573"/>
      <c r="J842" s="550"/>
      <c r="K842" s="550"/>
      <c r="L842" s="550"/>
      <c r="M842" s="550"/>
      <c r="N842" s="550"/>
      <c r="O842" s="550"/>
      <c r="P842" s="550"/>
      <c r="Q842" s="550"/>
      <c r="R842" s="550"/>
      <c r="S842" s="550"/>
      <c r="T842" s="551"/>
      <c r="U842" s="551"/>
      <c r="V842" s="551"/>
      <c r="W842" s="551"/>
      <c r="X842" s="551"/>
      <c r="Y842" s="551"/>
      <c r="Z842" s="551"/>
      <c r="AA842" s="551"/>
    </row>
    <row r="843">
      <c r="A843" s="574"/>
      <c r="B843" s="575"/>
      <c r="C843" s="575"/>
      <c r="D843" s="575"/>
      <c r="E843" s="576"/>
      <c r="F843" s="547"/>
      <c r="G843" s="547"/>
      <c r="H843" s="547"/>
      <c r="I843" s="573"/>
      <c r="J843" s="550"/>
      <c r="K843" s="550"/>
      <c r="L843" s="550"/>
      <c r="M843" s="550"/>
      <c r="N843" s="550"/>
      <c r="O843" s="550"/>
      <c r="P843" s="550"/>
      <c r="Q843" s="550"/>
      <c r="R843" s="550"/>
      <c r="S843" s="550"/>
      <c r="T843" s="551"/>
      <c r="U843" s="551"/>
      <c r="V843" s="551"/>
      <c r="W843" s="551"/>
      <c r="X843" s="551"/>
      <c r="Y843" s="551"/>
      <c r="Z843" s="551"/>
      <c r="AA843" s="551"/>
    </row>
    <row r="844">
      <c r="A844" s="574"/>
      <c r="B844" s="575"/>
      <c r="C844" s="575"/>
      <c r="D844" s="575"/>
      <c r="E844" s="576"/>
      <c r="F844" s="547"/>
      <c r="G844" s="547"/>
      <c r="H844" s="547"/>
      <c r="I844" s="573"/>
      <c r="J844" s="550"/>
      <c r="K844" s="550"/>
      <c r="L844" s="550"/>
      <c r="M844" s="550"/>
      <c r="N844" s="550"/>
      <c r="O844" s="550"/>
      <c r="P844" s="550"/>
      <c r="Q844" s="550"/>
      <c r="R844" s="550"/>
      <c r="S844" s="550"/>
      <c r="T844" s="551"/>
      <c r="U844" s="551"/>
      <c r="V844" s="551"/>
      <c r="W844" s="551"/>
      <c r="X844" s="551"/>
      <c r="Y844" s="551"/>
      <c r="Z844" s="551"/>
      <c r="AA844" s="551"/>
    </row>
    <row r="845">
      <c r="A845" s="574"/>
      <c r="B845" s="575"/>
      <c r="C845" s="575"/>
      <c r="D845" s="575"/>
      <c r="E845" s="576"/>
      <c r="F845" s="547"/>
      <c r="G845" s="547"/>
      <c r="H845" s="547"/>
      <c r="I845" s="573"/>
      <c r="J845" s="550"/>
      <c r="K845" s="550"/>
      <c r="L845" s="550"/>
      <c r="M845" s="550"/>
      <c r="N845" s="550"/>
      <c r="O845" s="550"/>
      <c r="P845" s="550"/>
      <c r="Q845" s="550"/>
      <c r="R845" s="550"/>
      <c r="S845" s="550"/>
      <c r="T845" s="551"/>
      <c r="U845" s="551"/>
      <c r="V845" s="551"/>
      <c r="W845" s="551"/>
      <c r="X845" s="551"/>
      <c r="Y845" s="551"/>
      <c r="Z845" s="551"/>
      <c r="AA845" s="551"/>
    </row>
    <row r="846">
      <c r="A846" s="574"/>
      <c r="B846" s="575"/>
      <c r="C846" s="575"/>
      <c r="D846" s="575"/>
      <c r="E846" s="576"/>
      <c r="F846" s="547"/>
      <c r="G846" s="547"/>
      <c r="H846" s="547"/>
      <c r="I846" s="573"/>
      <c r="J846" s="550"/>
      <c r="K846" s="550"/>
      <c r="L846" s="550"/>
      <c r="M846" s="550"/>
      <c r="N846" s="550"/>
      <c r="O846" s="550"/>
      <c r="P846" s="550"/>
      <c r="Q846" s="550"/>
      <c r="R846" s="550"/>
      <c r="S846" s="550"/>
      <c r="T846" s="551"/>
      <c r="U846" s="551"/>
      <c r="V846" s="551"/>
      <c r="W846" s="551"/>
      <c r="X846" s="551"/>
      <c r="Y846" s="551"/>
      <c r="Z846" s="551"/>
      <c r="AA846" s="551"/>
    </row>
    <row r="847">
      <c r="A847" s="574"/>
      <c r="B847" s="575"/>
      <c r="C847" s="575"/>
      <c r="D847" s="575"/>
      <c r="E847" s="576"/>
      <c r="F847" s="547"/>
      <c r="G847" s="547"/>
      <c r="H847" s="547"/>
      <c r="I847" s="573"/>
      <c r="J847" s="550"/>
      <c r="K847" s="550"/>
      <c r="L847" s="550"/>
      <c r="M847" s="550"/>
      <c r="N847" s="550"/>
      <c r="O847" s="550"/>
      <c r="P847" s="550"/>
      <c r="Q847" s="550"/>
      <c r="R847" s="550"/>
      <c r="S847" s="550"/>
      <c r="T847" s="551"/>
      <c r="U847" s="551"/>
      <c r="V847" s="551"/>
      <c r="W847" s="551"/>
      <c r="X847" s="551"/>
      <c r="Y847" s="551"/>
      <c r="Z847" s="551"/>
      <c r="AA847" s="551"/>
    </row>
    <row r="848">
      <c r="A848" s="574"/>
      <c r="B848" s="575"/>
      <c r="C848" s="575"/>
      <c r="D848" s="575"/>
      <c r="E848" s="576"/>
      <c r="F848" s="547"/>
      <c r="G848" s="547"/>
      <c r="H848" s="547"/>
      <c r="I848" s="573"/>
      <c r="J848" s="550"/>
      <c r="K848" s="550"/>
      <c r="L848" s="550"/>
      <c r="M848" s="550"/>
      <c r="N848" s="550"/>
      <c r="O848" s="550"/>
      <c r="P848" s="550"/>
      <c r="Q848" s="550"/>
      <c r="R848" s="550"/>
      <c r="S848" s="550"/>
      <c r="T848" s="551"/>
      <c r="U848" s="551"/>
      <c r="V848" s="551"/>
      <c r="W848" s="551"/>
      <c r="X848" s="551"/>
      <c r="Y848" s="551"/>
      <c r="Z848" s="551"/>
      <c r="AA848" s="551"/>
    </row>
    <row r="849">
      <c r="A849" s="574"/>
      <c r="B849" s="575"/>
      <c r="C849" s="575"/>
      <c r="D849" s="575"/>
      <c r="E849" s="576"/>
      <c r="F849" s="547"/>
      <c r="G849" s="547"/>
      <c r="H849" s="547"/>
      <c r="I849" s="573"/>
      <c r="J849" s="550"/>
      <c r="K849" s="550"/>
      <c r="L849" s="550"/>
      <c r="M849" s="550"/>
      <c r="N849" s="550"/>
      <c r="O849" s="550"/>
      <c r="P849" s="550"/>
      <c r="Q849" s="550"/>
      <c r="R849" s="550"/>
      <c r="S849" s="550"/>
      <c r="T849" s="551"/>
      <c r="U849" s="551"/>
      <c r="V849" s="551"/>
      <c r="W849" s="551"/>
      <c r="X849" s="551"/>
      <c r="Y849" s="551"/>
      <c r="Z849" s="551"/>
      <c r="AA849" s="551"/>
    </row>
    <row r="850">
      <c r="A850" s="574"/>
      <c r="B850" s="575"/>
      <c r="C850" s="575"/>
      <c r="D850" s="575"/>
      <c r="E850" s="576"/>
      <c r="F850" s="547"/>
      <c r="G850" s="547"/>
      <c r="H850" s="547"/>
      <c r="I850" s="573"/>
      <c r="J850" s="550"/>
      <c r="K850" s="550"/>
      <c r="L850" s="550"/>
      <c r="M850" s="550"/>
      <c r="N850" s="550"/>
      <c r="O850" s="550"/>
      <c r="P850" s="550"/>
      <c r="Q850" s="550"/>
      <c r="R850" s="550"/>
      <c r="S850" s="550"/>
      <c r="T850" s="551"/>
      <c r="U850" s="551"/>
      <c r="V850" s="551"/>
      <c r="W850" s="551"/>
      <c r="X850" s="551"/>
      <c r="Y850" s="551"/>
      <c r="Z850" s="551"/>
      <c r="AA850" s="551"/>
    </row>
    <row r="851">
      <c r="A851" s="574"/>
      <c r="B851" s="575"/>
      <c r="C851" s="575"/>
      <c r="D851" s="575"/>
      <c r="E851" s="576"/>
      <c r="F851" s="547"/>
      <c r="G851" s="547"/>
      <c r="H851" s="547"/>
      <c r="I851" s="573"/>
      <c r="J851" s="550"/>
      <c r="K851" s="550"/>
      <c r="L851" s="550"/>
      <c r="M851" s="550"/>
      <c r="N851" s="550"/>
      <c r="O851" s="550"/>
      <c r="P851" s="550"/>
      <c r="Q851" s="550"/>
      <c r="R851" s="550"/>
      <c r="S851" s="550"/>
      <c r="T851" s="551"/>
      <c r="U851" s="551"/>
      <c r="V851" s="551"/>
      <c r="W851" s="551"/>
      <c r="X851" s="551"/>
      <c r="Y851" s="551"/>
      <c r="Z851" s="551"/>
      <c r="AA851" s="551"/>
    </row>
    <row r="852">
      <c r="A852" s="574"/>
      <c r="B852" s="575"/>
      <c r="C852" s="575"/>
      <c r="D852" s="575"/>
      <c r="E852" s="576"/>
      <c r="F852" s="547"/>
      <c r="G852" s="547"/>
      <c r="H852" s="547"/>
      <c r="I852" s="573"/>
      <c r="J852" s="550"/>
      <c r="K852" s="550"/>
      <c r="L852" s="550"/>
      <c r="M852" s="550"/>
      <c r="N852" s="550"/>
      <c r="O852" s="550"/>
      <c r="P852" s="550"/>
      <c r="Q852" s="550"/>
      <c r="R852" s="550"/>
      <c r="S852" s="550"/>
      <c r="T852" s="551"/>
      <c r="U852" s="551"/>
      <c r="V852" s="551"/>
      <c r="W852" s="551"/>
      <c r="X852" s="551"/>
      <c r="Y852" s="551"/>
      <c r="Z852" s="551"/>
      <c r="AA852" s="551"/>
    </row>
    <row r="853">
      <c r="A853" s="574"/>
      <c r="B853" s="575"/>
      <c r="C853" s="575"/>
      <c r="D853" s="575"/>
      <c r="E853" s="576"/>
      <c r="F853" s="547"/>
      <c r="G853" s="547"/>
      <c r="H853" s="547"/>
      <c r="I853" s="573"/>
      <c r="J853" s="550"/>
      <c r="K853" s="550"/>
      <c r="L853" s="550"/>
      <c r="M853" s="550"/>
      <c r="N853" s="550"/>
      <c r="O853" s="550"/>
      <c r="P853" s="550"/>
      <c r="Q853" s="550"/>
      <c r="R853" s="550"/>
      <c r="S853" s="550"/>
      <c r="T853" s="551"/>
      <c r="U853" s="551"/>
      <c r="V853" s="551"/>
      <c r="W853" s="551"/>
      <c r="X853" s="551"/>
      <c r="Y853" s="551"/>
      <c r="Z853" s="551"/>
      <c r="AA853" s="551"/>
    </row>
    <row r="854">
      <c r="A854" s="574"/>
      <c r="B854" s="575"/>
      <c r="C854" s="575"/>
      <c r="D854" s="575"/>
      <c r="E854" s="576"/>
      <c r="F854" s="547"/>
      <c r="G854" s="547"/>
      <c r="H854" s="547"/>
      <c r="I854" s="573"/>
      <c r="J854" s="550"/>
      <c r="K854" s="550"/>
      <c r="L854" s="550"/>
      <c r="M854" s="550"/>
      <c r="N854" s="550"/>
      <c r="O854" s="550"/>
      <c r="P854" s="550"/>
      <c r="Q854" s="550"/>
      <c r="R854" s="550"/>
      <c r="S854" s="550"/>
      <c r="T854" s="551"/>
      <c r="U854" s="551"/>
      <c r="V854" s="551"/>
      <c r="W854" s="551"/>
      <c r="X854" s="551"/>
      <c r="Y854" s="551"/>
      <c r="Z854" s="551"/>
      <c r="AA854" s="551"/>
    </row>
    <row r="855">
      <c r="A855" s="574"/>
      <c r="B855" s="575"/>
      <c r="C855" s="575"/>
      <c r="D855" s="575"/>
      <c r="E855" s="576"/>
      <c r="F855" s="547"/>
      <c r="G855" s="547"/>
      <c r="H855" s="547"/>
      <c r="I855" s="573"/>
      <c r="J855" s="550"/>
      <c r="K855" s="550"/>
      <c r="L855" s="550"/>
      <c r="M855" s="550"/>
      <c r="N855" s="550"/>
      <c r="O855" s="550"/>
      <c r="P855" s="550"/>
      <c r="Q855" s="550"/>
      <c r="R855" s="550"/>
      <c r="S855" s="550"/>
      <c r="T855" s="551"/>
      <c r="U855" s="551"/>
      <c r="V855" s="551"/>
      <c r="W855" s="551"/>
      <c r="X855" s="551"/>
      <c r="Y855" s="551"/>
      <c r="Z855" s="551"/>
      <c r="AA855" s="551"/>
    </row>
    <row r="856">
      <c r="A856" s="574"/>
      <c r="B856" s="575"/>
      <c r="C856" s="575"/>
      <c r="D856" s="575"/>
      <c r="E856" s="576"/>
      <c r="F856" s="547"/>
      <c r="G856" s="547"/>
      <c r="H856" s="547"/>
      <c r="I856" s="573"/>
      <c r="J856" s="550"/>
      <c r="K856" s="550"/>
      <c r="L856" s="550"/>
      <c r="M856" s="550"/>
      <c r="N856" s="550"/>
      <c r="O856" s="550"/>
      <c r="P856" s="550"/>
      <c r="Q856" s="550"/>
      <c r="R856" s="550"/>
      <c r="S856" s="550"/>
      <c r="T856" s="551"/>
      <c r="U856" s="551"/>
      <c r="V856" s="551"/>
      <c r="W856" s="551"/>
      <c r="X856" s="551"/>
      <c r="Y856" s="551"/>
      <c r="Z856" s="551"/>
      <c r="AA856" s="551"/>
    </row>
    <row r="857">
      <c r="A857" s="574"/>
      <c r="B857" s="575"/>
      <c r="C857" s="575"/>
      <c r="D857" s="575"/>
      <c r="E857" s="576"/>
      <c r="F857" s="547"/>
      <c r="G857" s="547"/>
      <c r="H857" s="547"/>
      <c r="I857" s="573"/>
      <c r="J857" s="550"/>
      <c r="K857" s="550"/>
      <c r="L857" s="550"/>
      <c r="M857" s="550"/>
      <c r="N857" s="550"/>
      <c r="O857" s="550"/>
      <c r="P857" s="550"/>
      <c r="Q857" s="550"/>
      <c r="R857" s="550"/>
      <c r="S857" s="550"/>
      <c r="T857" s="551"/>
      <c r="U857" s="551"/>
      <c r="V857" s="551"/>
      <c r="W857" s="551"/>
      <c r="X857" s="551"/>
      <c r="Y857" s="551"/>
      <c r="Z857" s="551"/>
      <c r="AA857" s="551"/>
    </row>
    <row r="858">
      <c r="A858" s="574"/>
      <c r="B858" s="575"/>
      <c r="C858" s="575"/>
      <c r="D858" s="575"/>
      <c r="E858" s="576"/>
      <c r="F858" s="547"/>
      <c r="G858" s="547"/>
      <c r="H858" s="547"/>
      <c r="I858" s="573"/>
      <c r="J858" s="550"/>
      <c r="K858" s="550"/>
      <c r="L858" s="550"/>
      <c r="M858" s="550"/>
      <c r="N858" s="550"/>
      <c r="O858" s="550"/>
      <c r="P858" s="550"/>
      <c r="Q858" s="550"/>
      <c r="R858" s="550"/>
      <c r="S858" s="550"/>
      <c r="T858" s="551"/>
      <c r="U858" s="551"/>
      <c r="V858" s="551"/>
      <c r="W858" s="551"/>
      <c r="X858" s="551"/>
      <c r="Y858" s="551"/>
      <c r="Z858" s="551"/>
      <c r="AA858" s="551"/>
    </row>
    <row r="859">
      <c r="A859" s="574"/>
      <c r="B859" s="575"/>
      <c r="C859" s="575"/>
      <c r="D859" s="575"/>
      <c r="E859" s="576"/>
      <c r="F859" s="547"/>
      <c r="G859" s="547"/>
      <c r="H859" s="547"/>
      <c r="I859" s="573"/>
      <c r="J859" s="550"/>
      <c r="K859" s="550"/>
      <c r="L859" s="550"/>
      <c r="M859" s="550"/>
      <c r="N859" s="550"/>
      <c r="O859" s="550"/>
      <c r="P859" s="550"/>
      <c r="Q859" s="550"/>
      <c r="R859" s="550"/>
      <c r="S859" s="550"/>
      <c r="T859" s="551"/>
      <c r="U859" s="551"/>
      <c r="V859" s="551"/>
      <c r="W859" s="551"/>
      <c r="X859" s="551"/>
      <c r="Y859" s="551"/>
      <c r="Z859" s="551"/>
      <c r="AA859" s="551"/>
    </row>
    <row r="860">
      <c r="A860" s="574"/>
      <c r="B860" s="575"/>
      <c r="C860" s="575"/>
      <c r="D860" s="575"/>
      <c r="E860" s="576"/>
      <c r="F860" s="547"/>
      <c r="G860" s="547"/>
      <c r="H860" s="547"/>
      <c r="I860" s="573"/>
      <c r="J860" s="550"/>
      <c r="K860" s="550"/>
      <c r="L860" s="550"/>
      <c r="M860" s="550"/>
      <c r="N860" s="550"/>
      <c r="O860" s="550"/>
      <c r="P860" s="550"/>
      <c r="Q860" s="550"/>
      <c r="R860" s="550"/>
      <c r="S860" s="550"/>
      <c r="T860" s="551"/>
      <c r="U860" s="551"/>
      <c r="V860" s="551"/>
      <c r="W860" s="551"/>
      <c r="X860" s="551"/>
      <c r="Y860" s="551"/>
      <c r="Z860" s="551"/>
      <c r="AA860" s="551"/>
    </row>
    <row r="861">
      <c r="A861" s="574"/>
      <c r="B861" s="575"/>
      <c r="C861" s="575"/>
      <c r="D861" s="575"/>
      <c r="E861" s="576"/>
      <c r="F861" s="547"/>
      <c r="G861" s="547"/>
      <c r="H861" s="547"/>
      <c r="I861" s="573"/>
      <c r="J861" s="550"/>
      <c r="K861" s="550"/>
      <c r="L861" s="550"/>
      <c r="M861" s="550"/>
      <c r="N861" s="550"/>
      <c r="O861" s="550"/>
      <c r="P861" s="550"/>
      <c r="Q861" s="550"/>
      <c r="R861" s="550"/>
      <c r="S861" s="550"/>
      <c r="T861" s="551"/>
      <c r="U861" s="551"/>
      <c r="V861" s="551"/>
      <c r="W861" s="551"/>
      <c r="X861" s="551"/>
      <c r="Y861" s="551"/>
      <c r="Z861" s="551"/>
      <c r="AA861" s="551"/>
    </row>
    <row r="862">
      <c r="A862" s="574"/>
      <c r="B862" s="575"/>
      <c r="C862" s="575"/>
      <c r="D862" s="575"/>
      <c r="E862" s="576"/>
      <c r="F862" s="547"/>
      <c r="G862" s="547"/>
      <c r="H862" s="547"/>
      <c r="I862" s="573"/>
      <c r="J862" s="550"/>
      <c r="K862" s="550"/>
      <c r="L862" s="550"/>
      <c r="M862" s="550"/>
      <c r="N862" s="550"/>
      <c r="O862" s="550"/>
      <c r="P862" s="550"/>
      <c r="Q862" s="550"/>
      <c r="R862" s="550"/>
      <c r="S862" s="550"/>
      <c r="T862" s="551"/>
      <c r="U862" s="551"/>
      <c r="V862" s="551"/>
      <c r="W862" s="551"/>
      <c r="X862" s="551"/>
      <c r="Y862" s="551"/>
      <c r="Z862" s="551"/>
      <c r="AA862" s="551"/>
    </row>
    <row r="863">
      <c r="A863" s="574"/>
      <c r="B863" s="575"/>
      <c r="C863" s="575"/>
      <c r="D863" s="575"/>
      <c r="E863" s="576"/>
      <c r="F863" s="547"/>
      <c r="G863" s="547"/>
      <c r="H863" s="547"/>
      <c r="I863" s="573"/>
      <c r="J863" s="550"/>
      <c r="K863" s="550"/>
      <c r="L863" s="550"/>
      <c r="M863" s="550"/>
      <c r="N863" s="550"/>
      <c r="O863" s="550"/>
      <c r="P863" s="550"/>
      <c r="Q863" s="550"/>
      <c r="R863" s="550"/>
      <c r="S863" s="550"/>
      <c r="T863" s="551"/>
      <c r="U863" s="551"/>
      <c r="V863" s="551"/>
      <c r="W863" s="551"/>
      <c r="X863" s="551"/>
      <c r="Y863" s="551"/>
      <c r="Z863" s="551"/>
      <c r="AA863" s="551"/>
    </row>
    <row r="864">
      <c r="A864" s="574"/>
      <c r="B864" s="575"/>
      <c r="C864" s="575"/>
      <c r="D864" s="575"/>
      <c r="E864" s="576"/>
      <c r="F864" s="547"/>
      <c r="G864" s="547"/>
      <c r="H864" s="547"/>
      <c r="I864" s="573"/>
      <c r="J864" s="550"/>
      <c r="K864" s="550"/>
      <c r="L864" s="550"/>
      <c r="M864" s="550"/>
      <c r="N864" s="550"/>
      <c r="O864" s="550"/>
      <c r="P864" s="550"/>
      <c r="Q864" s="550"/>
      <c r="R864" s="550"/>
      <c r="S864" s="550"/>
      <c r="T864" s="551"/>
      <c r="U864" s="551"/>
      <c r="V864" s="551"/>
      <c r="W864" s="551"/>
      <c r="X864" s="551"/>
      <c r="Y864" s="551"/>
      <c r="Z864" s="551"/>
      <c r="AA864" s="551"/>
    </row>
    <row r="865">
      <c r="A865" s="574"/>
      <c r="B865" s="575"/>
      <c r="C865" s="575"/>
      <c r="D865" s="575"/>
      <c r="E865" s="576"/>
      <c r="F865" s="547"/>
      <c r="G865" s="547"/>
      <c r="H865" s="547"/>
      <c r="I865" s="573"/>
      <c r="J865" s="550"/>
      <c r="K865" s="550"/>
      <c r="L865" s="550"/>
      <c r="M865" s="550"/>
      <c r="N865" s="550"/>
      <c r="O865" s="550"/>
      <c r="P865" s="550"/>
      <c r="Q865" s="550"/>
      <c r="R865" s="550"/>
      <c r="S865" s="550"/>
      <c r="T865" s="551"/>
      <c r="U865" s="551"/>
      <c r="V865" s="551"/>
      <c r="W865" s="551"/>
      <c r="X865" s="551"/>
      <c r="Y865" s="551"/>
      <c r="Z865" s="551"/>
      <c r="AA865" s="551"/>
    </row>
    <row r="866">
      <c r="A866" s="574"/>
      <c r="B866" s="575"/>
      <c r="C866" s="575"/>
      <c r="D866" s="575"/>
      <c r="E866" s="576"/>
      <c r="F866" s="547"/>
      <c r="G866" s="547"/>
      <c r="H866" s="547"/>
      <c r="I866" s="573"/>
      <c r="J866" s="550"/>
      <c r="K866" s="550"/>
      <c r="L866" s="550"/>
      <c r="M866" s="550"/>
      <c r="N866" s="550"/>
      <c r="O866" s="550"/>
      <c r="P866" s="550"/>
      <c r="Q866" s="550"/>
      <c r="R866" s="550"/>
      <c r="S866" s="550"/>
      <c r="T866" s="551"/>
      <c r="U866" s="551"/>
      <c r="V866" s="551"/>
      <c r="W866" s="551"/>
      <c r="X866" s="551"/>
      <c r="Y866" s="551"/>
      <c r="Z866" s="551"/>
      <c r="AA866" s="551"/>
    </row>
    <row r="867">
      <c r="A867" s="574"/>
      <c r="B867" s="575"/>
      <c r="C867" s="575"/>
      <c r="D867" s="575"/>
      <c r="E867" s="576"/>
      <c r="F867" s="547"/>
      <c r="G867" s="547"/>
      <c r="H867" s="547"/>
      <c r="I867" s="573"/>
      <c r="J867" s="550"/>
      <c r="K867" s="550"/>
      <c r="L867" s="550"/>
      <c r="M867" s="550"/>
      <c r="N867" s="550"/>
      <c r="O867" s="550"/>
      <c r="P867" s="550"/>
      <c r="Q867" s="550"/>
      <c r="R867" s="550"/>
      <c r="S867" s="550"/>
      <c r="T867" s="551"/>
      <c r="U867" s="551"/>
      <c r="V867" s="551"/>
      <c r="W867" s="551"/>
      <c r="X867" s="551"/>
      <c r="Y867" s="551"/>
      <c r="Z867" s="551"/>
      <c r="AA867" s="551"/>
    </row>
    <row r="868">
      <c r="A868" s="574"/>
      <c r="B868" s="575"/>
      <c r="C868" s="575"/>
      <c r="D868" s="575"/>
      <c r="E868" s="576"/>
      <c r="F868" s="547"/>
      <c r="G868" s="547"/>
      <c r="H868" s="547"/>
      <c r="I868" s="573"/>
      <c r="J868" s="550"/>
      <c r="K868" s="550"/>
      <c r="L868" s="550"/>
      <c r="M868" s="550"/>
      <c r="N868" s="550"/>
      <c r="O868" s="550"/>
      <c r="P868" s="550"/>
      <c r="Q868" s="550"/>
      <c r="R868" s="550"/>
      <c r="S868" s="550"/>
      <c r="T868" s="551"/>
      <c r="U868" s="551"/>
      <c r="V868" s="551"/>
      <c r="W868" s="551"/>
      <c r="X868" s="551"/>
      <c r="Y868" s="551"/>
      <c r="Z868" s="551"/>
      <c r="AA868" s="551"/>
    </row>
    <row r="869">
      <c r="A869" s="574"/>
      <c r="B869" s="575"/>
      <c r="C869" s="575"/>
      <c r="D869" s="575"/>
      <c r="E869" s="576"/>
      <c r="F869" s="547"/>
      <c r="G869" s="547"/>
      <c r="H869" s="547"/>
      <c r="I869" s="573"/>
      <c r="J869" s="550"/>
      <c r="K869" s="550"/>
      <c r="L869" s="550"/>
      <c r="M869" s="550"/>
      <c r="N869" s="550"/>
      <c r="O869" s="550"/>
      <c r="P869" s="550"/>
      <c r="Q869" s="550"/>
      <c r="R869" s="550"/>
      <c r="S869" s="550"/>
      <c r="T869" s="551"/>
      <c r="U869" s="551"/>
      <c r="V869" s="551"/>
      <c r="W869" s="551"/>
      <c r="X869" s="551"/>
      <c r="Y869" s="551"/>
      <c r="Z869" s="551"/>
      <c r="AA869" s="551"/>
    </row>
    <row r="870">
      <c r="A870" s="574"/>
      <c r="B870" s="575"/>
      <c r="C870" s="575"/>
      <c r="D870" s="575"/>
      <c r="E870" s="576"/>
      <c r="F870" s="547"/>
      <c r="G870" s="547"/>
      <c r="H870" s="547"/>
      <c r="I870" s="573"/>
      <c r="J870" s="550"/>
      <c r="K870" s="550"/>
      <c r="L870" s="550"/>
      <c r="M870" s="550"/>
      <c r="N870" s="550"/>
      <c r="O870" s="550"/>
      <c r="P870" s="550"/>
      <c r="Q870" s="550"/>
      <c r="R870" s="550"/>
      <c r="S870" s="550"/>
      <c r="T870" s="551"/>
      <c r="U870" s="551"/>
      <c r="V870" s="551"/>
      <c r="W870" s="551"/>
      <c r="X870" s="551"/>
      <c r="Y870" s="551"/>
      <c r="Z870" s="551"/>
      <c r="AA870" s="551"/>
    </row>
    <row r="871">
      <c r="A871" s="574"/>
      <c r="B871" s="575"/>
      <c r="C871" s="575"/>
      <c r="D871" s="575"/>
      <c r="E871" s="576"/>
      <c r="F871" s="547"/>
      <c r="G871" s="547"/>
      <c r="H871" s="547"/>
      <c r="I871" s="573"/>
      <c r="J871" s="550"/>
      <c r="K871" s="550"/>
      <c r="L871" s="550"/>
      <c r="M871" s="550"/>
      <c r="N871" s="550"/>
      <c r="O871" s="550"/>
      <c r="P871" s="550"/>
      <c r="Q871" s="550"/>
      <c r="R871" s="550"/>
      <c r="S871" s="550"/>
      <c r="T871" s="551"/>
      <c r="U871" s="551"/>
      <c r="V871" s="551"/>
      <c r="W871" s="551"/>
      <c r="X871" s="551"/>
      <c r="Y871" s="551"/>
      <c r="Z871" s="551"/>
      <c r="AA871" s="551"/>
    </row>
    <row r="872">
      <c r="A872" s="574"/>
      <c r="B872" s="575"/>
      <c r="C872" s="575"/>
      <c r="D872" s="575"/>
      <c r="E872" s="576"/>
      <c r="F872" s="547"/>
      <c r="G872" s="547"/>
      <c r="H872" s="547"/>
      <c r="I872" s="573"/>
      <c r="J872" s="550"/>
      <c r="K872" s="550"/>
      <c r="L872" s="550"/>
      <c r="M872" s="550"/>
      <c r="N872" s="550"/>
      <c r="O872" s="550"/>
      <c r="P872" s="550"/>
      <c r="Q872" s="550"/>
      <c r="R872" s="550"/>
      <c r="S872" s="550"/>
      <c r="T872" s="551"/>
      <c r="U872" s="551"/>
      <c r="V872" s="551"/>
      <c r="W872" s="551"/>
      <c r="X872" s="551"/>
      <c r="Y872" s="551"/>
      <c r="Z872" s="551"/>
      <c r="AA872" s="551"/>
    </row>
    <row r="873">
      <c r="A873" s="574"/>
      <c r="B873" s="575"/>
      <c r="C873" s="575"/>
      <c r="D873" s="575"/>
      <c r="E873" s="576"/>
      <c r="F873" s="547"/>
      <c r="G873" s="547"/>
      <c r="H873" s="547"/>
      <c r="I873" s="573"/>
      <c r="J873" s="550"/>
      <c r="K873" s="550"/>
      <c r="L873" s="550"/>
      <c r="M873" s="550"/>
      <c r="N873" s="550"/>
      <c r="O873" s="550"/>
      <c r="P873" s="550"/>
      <c r="Q873" s="550"/>
      <c r="R873" s="550"/>
      <c r="S873" s="550"/>
      <c r="T873" s="551"/>
      <c r="U873" s="551"/>
      <c r="V873" s="551"/>
      <c r="W873" s="551"/>
      <c r="X873" s="551"/>
      <c r="Y873" s="551"/>
      <c r="Z873" s="551"/>
      <c r="AA873" s="551"/>
    </row>
    <row r="874">
      <c r="A874" s="574"/>
      <c r="B874" s="575"/>
      <c r="C874" s="575"/>
      <c r="D874" s="575"/>
      <c r="E874" s="576"/>
      <c r="F874" s="547"/>
      <c r="G874" s="547"/>
      <c r="H874" s="547"/>
      <c r="I874" s="573"/>
      <c r="J874" s="550"/>
      <c r="K874" s="550"/>
      <c r="L874" s="550"/>
      <c r="M874" s="550"/>
      <c r="N874" s="550"/>
      <c r="O874" s="550"/>
      <c r="P874" s="550"/>
      <c r="Q874" s="550"/>
      <c r="R874" s="550"/>
      <c r="S874" s="550"/>
      <c r="T874" s="551"/>
      <c r="U874" s="551"/>
      <c r="V874" s="551"/>
      <c r="W874" s="551"/>
      <c r="X874" s="551"/>
      <c r="Y874" s="551"/>
      <c r="Z874" s="551"/>
      <c r="AA874" s="551"/>
    </row>
    <row r="875">
      <c r="A875" s="574"/>
      <c r="B875" s="575"/>
      <c r="C875" s="575"/>
      <c r="D875" s="575"/>
      <c r="E875" s="576"/>
      <c r="F875" s="547"/>
      <c r="G875" s="547"/>
      <c r="H875" s="547"/>
      <c r="I875" s="573"/>
      <c r="J875" s="550"/>
      <c r="K875" s="550"/>
      <c r="L875" s="550"/>
      <c r="M875" s="550"/>
      <c r="N875" s="550"/>
      <c r="O875" s="550"/>
      <c r="P875" s="550"/>
      <c r="Q875" s="550"/>
      <c r="R875" s="550"/>
      <c r="S875" s="550"/>
      <c r="T875" s="551"/>
      <c r="U875" s="551"/>
      <c r="V875" s="551"/>
      <c r="W875" s="551"/>
      <c r="X875" s="551"/>
      <c r="Y875" s="551"/>
      <c r="Z875" s="551"/>
      <c r="AA875" s="551"/>
    </row>
    <row r="876">
      <c r="A876" s="574"/>
      <c r="B876" s="575"/>
      <c r="C876" s="575"/>
      <c r="D876" s="575"/>
      <c r="E876" s="576"/>
      <c r="F876" s="547"/>
      <c r="G876" s="547"/>
      <c r="H876" s="547"/>
      <c r="I876" s="573"/>
      <c r="J876" s="550"/>
      <c r="K876" s="550"/>
      <c r="L876" s="550"/>
      <c r="M876" s="550"/>
      <c r="N876" s="550"/>
      <c r="O876" s="550"/>
      <c r="P876" s="550"/>
      <c r="Q876" s="550"/>
      <c r="R876" s="550"/>
      <c r="S876" s="550"/>
      <c r="T876" s="551"/>
      <c r="U876" s="551"/>
      <c r="V876" s="551"/>
      <c r="W876" s="551"/>
      <c r="X876" s="551"/>
      <c r="Y876" s="551"/>
      <c r="Z876" s="551"/>
      <c r="AA876" s="551"/>
    </row>
    <row r="877">
      <c r="A877" s="574"/>
      <c r="B877" s="575"/>
      <c r="C877" s="575"/>
      <c r="D877" s="575"/>
      <c r="E877" s="576"/>
      <c r="F877" s="547"/>
      <c r="G877" s="547"/>
      <c r="H877" s="547"/>
      <c r="I877" s="573"/>
      <c r="J877" s="550"/>
      <c r="K877" s="550"/>
      <c r="L877" s="550"/>
      <c r="M877" s="550"/>
      <c r="N877" s="550"/>
      <c r="O877" s="550"/>
      <c r="P877" s="550"/>
      <c r="Q877" s="550"/>
      <c r="R877" s="550"/>
      <c r="S877" s="550"/>
      <c r="T877" s="551"/>
      <c r="U877" s="551"/>
      <c r="V877" s="551"/>
      <c r="W877" s="551"/>
      <c r="X877" s="551"/>
      <c r="Y877" s="551"/>
      <c r="Z877" s="551"/>
      <c r="AA877" s="551"/>
    </row>
    <row r="878">
      <c r="A878" s="574"/>
      <c r="B878" s="575"/>
      <c r="C878" s="575"/>
      <c r="D878" s="575"/>
      <c r="E878" s="576"/>
      <c r="F878" s="547"/>
      <c r="G878" s="547"/>
      <c r="H878" s="547"/>
      <c r="I878" s="573"/>
      <c r="J878" s="550"/>
      <c r="K878" s="550"/>
      <c r="L878" s="550"/>
      <c r="M878" s="550"/>
      <c r="N878" s="550"/>
      <c r="O878" s="550"/>
      <c r="P878" s="550"/>
      <c r="Q878" s="550"/>
      <c r="R878" s="550"/>
      <c r="S878" s="550"/>
      <c r="T878" s="551"/>
      <c r="U878" s="551"/>
      <c r="V878" s="551"/>
      <c r="W878" s="551"/>
      <c r="X878" s="551"/>
      <c r="Y878" s="551"/>
      <c r="Z878" s="551"/>
      <c r="AA878" s="551"/>
    </row>
    <row r="879">
      <c r="A879" s="574"/>
      <c r="B879" s="575"/>
      <c r="C879" s="575"/>
      <c r="D879" s="575"/>
      <c r="E879" s="576"/>
      <c r="F879" s="547"/>
      <c r="G879" s="547"/>
      <c r="H879" s="547"/>
      <c r="I879" s="573"/>
      <c r="J879" s="550"/>
      <c r="K879" s="550"/>
      <c r="L879" s="550"/>
      <c r="M879" s="550"/>
      <c r="N879" s="550"/>
      <c r="O879" s="550"/>
      <c r="P879" s="550"/>
      <c r="Q879" s="550"/>
      <c r="R879" s="550"/>
      <c r="S879" s="550"/>
      <c r="T879" s="551"/>
      <c r="U879" s="551"/>
      <c r="V879" s="551"/>
      <c r="W879" s="551"/>
      <c r="X879" s="551"/>
      <c r="Y879" s="551"/>
      <c r="Z879" s="551"/>
      <c r="AA879" s="551"/>
    </row>
    <row r="880">
      <c r="A880" s="574"/>
      <c r="B880" s="575"/>
      <c r="C880" s="575"/>
      <c r="D880" s="575"/>
      <c r="E880" s="576"/>
      <c r="F880" s="547"/>
      <c r="G880" s="547"/>
      <c r="H880" s="547"/>
      <c r="I880" s="573"/>
      <c r="J880" s="550"/>
      <c r="K880" s="550"/>
      <c r="L880" s="550"/>
      <c r="M880" s="550"/>
      <c r="N880" s="550"/>
      <c r="O880" s="550"/>
      <c r="P880" s="550"/>
      <c r="Q880" s="550"/>
      <c r="R880" s="550"/>
      <c r="S880" s="550"/>
      <c r="T880" s="551"/>
      <c r="U880" s="551"/>
      <c r="V880" s="551"/>
      <c r="W880" s="551"/>
      <c r="X880" s="551"/>
      <c r="Y880" s="551"/>
      <c r="Z880" s="551"/>
      <c r="AA880" s="551"/>
    </row>
    <row r="881">
      <c r="A881" s="574"/>
      <c r="B881" s="575"/>
      <c r="C881" s="575"/>
      <c r="D881" s="575"/>
      <c r="E881" s="576"/>
      <c r="F881" s="547"/>
      <c r="G881" s="547"/>
      <c r="H881" s="547"/>
      <c r="I881" s="573"/>
      <c r="J881" s="550"/>
      <c r="K881" s="550"/>
      <c r="L881" s="550"/>
      <c r="M881" s="550"/>
      <c r="N881" s="550"/>
      <c r="O881" s="550"/>
      <c r="P881" s="550"/>
      <c r="Q881" s="550"/>
      <c r="R881" s="550"/>
      <c r="S881" s="550"/>
      <c r="T881" s="551"/>
      <c r="U881" s="551"/>
      <c r="V881" s="551"/>
      <c r="W881" s="551"/>
      <c r="X881" s="551"/>
      <c r="Y881" s="551"/>
      <c r="Z881" s="551"/>
      <c r="AA881" s="551"/>
    </row>
    <row r="882">
      <c r="A882" s="574"/>
      <c r="B882" s="575"/>
      <c r="C882" s="575"/>
      <c r="D882" s="575"/>
      <c r="E882" s="576"/>
      <c r="F882" s="547"/>
      <c r="G882" s="547"/>
      <c r="H882" s="547"/>
      <c r="I882" s="573"/>
      <c r="J882" s="550"/>
      <c r="K882" s="550"/>
      <c r="L882" s="550"/>
      <c r="M882" s="550"/>
      <c r="N882" s="550"/>
      <c r="O882" s="550"/>
      <c r="P882" s="550"/>
      <c r="Q882" s="550"/>
      <c r="R882" s="550"/>
      <c r="S882" s="550"/>
      <c r="T882" s="551"/>
      <c r="U882" s="551"/>
      <c r="V882" s="551"/>
      <c r="W882" s="551"/>
      <c r="X882" s="551"/>
      <c r="Y882" s="551"/>
      <c r="Z882" s="551"/>
      <c r="AA882" s="551"/>
    </row>
    <row r="883">
      <c r="A883" s="574"/>
      <c r="B883" s="575"/>
      <c r="C883" s="575"/>
      <c r="D883" s="575"/>
      <c r="E883" s="576"/>
      <c r="F883" s="547"/>
      <c r="G883" s="547"/>
      <c r="H883" s="547"/>
      <c r="I883" s="573"/>
      <c r="J883" s="550"/>
      <c r="K883" s="550"/>
      <c r="L883" s="550"/>
      <c r="M883" s="550"/>
      <c r="N883" s="550"/>
      <c r="O883" s="550"/>
      <c r="P883" s="550"/>
      <c r="Q883" s="550"/>
      <c r="R883" s="550"/>
      <c r="S883" s="550"/>
      <c r="T883" s="551"/>
      <c r="U883" s="551"/>
      <c r="V883" s="551"/>
      <c r="W883" s="551"/>
      <c r="X883" s="551"/>
      <c r="Y883" s="551"/>
      <c r="Z883" s="551"/>
      <c r="AA883" s="551"/>
    </row>
    <row r="884">
      <c r="A884" s="574"/>
      <c r="B884" s="575"/>
      <c r="C884" s="575"/>
      <c r="D884" s="575"/>
      <c r="E884" s="576"/>
      <c r="F884" s="547"/>
      <c r="G884" s="547"/>
      <c r="H884" s="547"/>
      <c r="I884" s="573"/>
      <c r="J884" s="550"/>
      <c r="K884" s="550"/>
      <c r="L884" s="550"/>
      <c r="M884" s="550"/>
      <c r="N884" s="550"/>
      <c r="O884" s="550"/>
      <c r="P884" s="550"/>
      <c r="Q884" s="550"/>
      <c r="R884" s="550"/>
      <c r="S884" s="550"/>
      <c r="T884" s="551"/>
      <c r="U884" s="551"/>
      <c r="V884" s="551"/>
      <c r="W884" s="551"/>
      <c r="X884" s="551"/>
      <c r="Y884" s="551"/>
      <c r="Z884" s="551"/>
      <c r="AA884" s="551"/>
    </row>
    <row r="885">
      <c r="A885" s="574"/>
      <c r="B885" s="575"/>
      <c r="C885" s="575"/>
      <c r="D885" s="575"/>
      <c r="E885" s="576"/>
      <c r="F885" s="547"/>
      <c r="G885" s="547"/>
      <c r="H885" s="547"/>
      <c r="I885" s="573"/>
      <c r="J885" s="550"/>
      <c r="K885" s="550"/>
      <c r="L885" s="550"/>
      <c r="M885" s="550"/>
      <c r="N885" s="550"/>
      <c r="O885" s="550"/>
      <c r="P885" s="550"/>
      <c r="Q885" s="550"/>
      <c r="R885" s="550"/>
      <c r="S885" s="550"/>
      <c r="T885" s="551"/>
      <c r="U885" s="551"/>
      <c r="V885" s="551"/>
      <c r="W885" s="551"/>
      <c r="X885" s="551"/>
      <c r="Y885" s="551"/>
      <c r="Z885" s="551"/>
      <c r="AA885" s="551"/>
    </row>
    <row r="886">
      <c r="A886" s="574"/>
      <c r="B886" s="575"/>
      <c r="C886" s="575"/>
      <c r="D886" s="575"/>
      <c r="E886" s="576"/>
      <c r="F886" s="547"/>
      <c r="G886" s="547"/>
      <c r="H886" s="547"/>
      <c r="I886" s="573"/>
      <c r="J886" s="550"/>
      <c r="K886" s="550"/>
      <c r="L886" s="550"/>
      <c r="M886" s="550"/>
      <c r="N886" s="550"/>
      <c r="O886" s="550"/>
      <c r="P886" s="550"/>
      <c r="Q886" s="550"/>
      <c r="R886" s="550"/>
      <c r="S886" s="550"/>
      <c r="T886" s="551"/>
      <c r="U886" s="551"/>
      <c r="V886" s="551"/>
      <c r="W886" s="551"/>
      <c r="X886" s="551"/>
      <c r="Y886" s="551"/>
      <c r="Z886" s="551"/>
      <c r="AA886" s="551"/>
    </row>
    <row r="887">
      <c r="A887" s="574"/>
      <c r="B887" s="575"/>
      <c r="C887" s="575"/>
      <c r="D887" s="575"/>
      <c r="E887" s="576"/>
      <c r="F887" s="547"/>
      <c r="G887" s="547"/>
      <c r="H887" s="547"/>
      <c r="I887" s="573"/>
      <c r="J887" s="550"/>
      <c r="K887" s="550"/>
      <c r="L887" s="550"/>
      <c r="M887" s="550"/>
      <c r="N887" s="550"/>
      <c r="O887" s="550"/>
      <c r="P887" s="550"/>
      <c r="Q887" s="550"/>
      <c r="R887" s="550"/>
      <c r="S887" s="550"/>
      <c r="T887" s="551"/>
      <c r="U887" s="551"/>
      <c r="V887" s="551"/>
      <c r="W887" s="551"/>
      <c r="X887" s="551"/>
      <c r="Y887" s="551"/>
      <c r="Z887" s="551"/>
      <c r="AA887" s="551"/>
    </row>
    <row r="888">
      <c r="A888" s="574"/>
      <c r="B888" s="575"/>
      <c r="C888" s="575"/>
      <c r="D888" s="575"/>
      <c r="E888" s="576"/>
      <c r="F888" s="547"/>
      <c r="G888" s="547"/>
      <c r="H888" s="547"/>
      <c r="I888" s="573"/>
      <c r="J888" s="550"/>
      <c r="K888" s="550"/>
      <c r="L888" s="550"/>
      <c r="M888" s="550"/>
      <c r="N888" s="550"/>
      <c r="O888" s="550"/>
      <c r="P888" s="550"/>
      <c r="Q888" s="550"/>
      <c r="R888" s="550"/>
      <c r="S888" s="550"/>
      <c r="T888" s="551"/>
      <c r="U888" s="551"/>
      <c r="V888" s="551"/>
      <c r="W888" s="551"/>
      <c r="X888" s="551"/>
      <c r="Y888" s="551"/>
      <c r="Z888" s="551"/>
      <c r="AA888" s="551"/>
    </row>
    <row r="889">
      <c r="A889" s="574"/>
      <c r="B889" s="575"/>
      <c r="C889" s="575"/>
      <c r="D889" s="575"/>
      <c r="E889" s="576"/>
      <c r="F889" s="547"/>
      <c r="G889" s="547"/>
      <c r="H889" s="547"/>
      <c r="I889" s="573"/>
      <c r="J889" s="550"/>
      <c r="K889" s="550"/>
      <c r="L889" s="550"/>
      <c r="M889" s="550"/>
      <c r="N889" s="550"/>
      <c r="O889" s="550"/>
      <c r="P889" s="550"/>
      <c r="Q889" s="550"/>
      <c r="R889" s="550"/>
      <c r="S889" s="550"/>
      <c r="T889" s="551"/>
      <c r="U889" s="551"/>
      <c r="V889" s="551"/>
      <c r="W889" s="551"/>
      <c r="X889" s="551"/>
      <c r="Y889" s="551"/>
      <c r="Z889" s="551"/>
      <c r="AA889" s="551"/>
    </row>
    <row r="890">
      <c r="A890" s="574"/>
      <c r="B890" s="575"/>
      <c r="C890" s="575"/>
      <c r="D890" s="575"/>
      <c r="E890" s="576"/>
      <c r="F890" s="547"/>
      <c r="G890" s="547"/>
      <c r="H890" s="547"/>
      <c r="I890" s="573"/>
      <c r="J890" s="550"/>
      <c r="K890" s="550"/>
      <c r="L890" s="550"/>
      <c r="M890" s="550"/>
      <c r="N890" s="550"/>
      <c r="O890" s="550"/>
      <c r="P890" s="550"/>
      <c r="Q890" s="550"/>
      <c r="R890" s="550"/>
      <c r="S890" s="550"/>
      <c r="T890" s="551"/>
      <c r="U890" s="551"/>
      <c r="V890" s="551"/>
      <c r="W890" s="551"/>
      <c r="X890" s="551"/>
      <c r="Y890" s="551"/>
      <c r="Z890" s="551"/>
      <c r="AA890" s="551"/>
    </row>
    <row r="891">
      <c r="A891" s="574"/>
      <c r="B891" s="575"/>
      <c r="C891" s="575"/>
      <c r="D891" s="575"/>
      <c r="E891" s="576"/>
      <c r="F891" s="547"/>
      <c r="G891" s="547"/>
      <c r="H891" s="547"/>
      <c r="I891" s="573"/>
      <c r="J891" s="550"/>
      <c r="K891" s="550"/>
      <c r="L891" s="550"/>
      <c r="M891" s="550"/>
      <c r="N891" s="550"/>
      <c r="O891" s="550"/>
      <c r="P891" s="550"/>
      <c r="Q891" s="550"/>
      <c r="R891" s="550"/>
      <c r="S891" s="550"/>
      <c r="T891" s="551"/>
      <c r="U891" s="551"/>
      <c r="V891" s="551"/>
      <c r="W891" s="551"/>
      <c r="X891" s="551"/>
      <c r="Y891" s="551"/>
      <c r="Z891" s="551"/>
      <c r="AA891" s="551"/>
    </row>
    <row r="892">
      <c r="A892" s="574"/>
      <c r="B892" s="575"/>
      <c r="C892" s="575"/>
      <c r="D892" s="575"/>
      <c r="E892" s="576"/>
      <c r="F892" s="547"/>
      <c r="G892" s="547"/>
      <c r="H892" s="547"/>
      <c r="I892" s="573"/>
      <c r="J892" s="550"/>
      <c r="K892" s="550"/>
      <c r="L892" s="550"/>
      <c r="M892" s="550"/>
      <c r="N892" s="550"/>
      <c r="O892" s="550"/>
      <c r="P892" s="550"/>
      <c r="Q892" s="550"/>
      <c r="R892" s="550"/>
      <c r="S892" s="550"/>
      <c r="T892" s="551"/>
      <c r="U892" s="551"/>
      <c r="V892" s="551"/>
      <c r="W892" s="551"/>
      <c r="X892" s="551"/>
      <c r="Y892" s="551"/>
      <c r="Z892" s="551"/>
      <c r="AA892" s="551"/>
    </row>
    <row r="893">
      <c r="A893" s="574"/>
      <c r="B893" s="575"/>
      <c r="C893" s="575"/>
      <c r="D893" s="575"/>
      <c r="E893" s="576"/>
      <c r="F893" s="547"/>
      <c r="G893" s="547"/>
      <c r="H893" s="547"/>
      <c r="I893" s="573"/>
      <c r="J893" s="550"/>
      <c r="K893" s="550"/>
      <c r="L893" s="550"/>
      <c r="M893" s="550"/>
      <c r="N893" s="550"/>
      <c r="O893" s="550"/>
      <c r="P893" s="550"/>
      <c r="Q893" s="550"/>
      <c r="R893" s="550"/>
      <c r="S893" s="550"/>
      <c r="T893" s="551"/>
      <c r="U893" s="551"/>
      <c r="V893" s="551"/>
      <c r="W893" s="551"/>
      <c r="X893" s="551"/>
      <c r="Y893" s="551"/>
      <c r="Z893" s="551"/>
      <c r="AA893" s="551"/>
    </row>
    <row r="894">
      <c r="A894" s="574"/>
      <c r="B894" s="575"/>
      <c r="C894" s="575"/>
      <c r="D894" s="575"/>
      <c r="E894" s="576"/>
      <c r="F894" s="547"/>
      <c r="G894" s="547"/>
      <c r="H894" s="547"/>
      <c r="I894" s="573"/>
      <c r="J894" s="550"/>
      <c r="K894" s="550"/>
      <c r="L894" s="550"/>
      <c r="M894" s="550"/>
      <c r="N894" s="550"/>
      <c r="O894" s="550"/>
      <c r="P894" s="550"/>
      <c r="Q894" s="550"/>
      <c r="R894" s="550"/>
      <c r="S894" s="550"/>
      <c r="T894" s="551"/>
      <c r="U894" s="551"/>
      <c r="V894" s="551"/>
      <c r="W894" s="551"/>
      <c r="X894" s="551"/>
      <c r="Y894" s="551"/>
      <c r="Z894" s="551"/>
      <c r="AA894" s="551"/>
    </row>
    <row r="895">
      <c r="A895" s="574"/>
      <c r="B895" s="575"/>
      <c r="C895" s="575"/>
      <c r="D895" s="575"/>
      <c r="E895" s="576"/>
      <c r="F895" s="547"/>
      <c r="G895" s="547"/>
      <c r="H895" s="547"/>
      <c r="I895" s="573"/>
      <c r="J895" s="550"/>
      <c r="K895" s="550"/>
      <c r="L895" s="550"/>
      <c r="M895" s="550"/>
      <c r="N895" s="550"/>
      <c r="O895" s="550"/>
      <c r="P895" s="550"/>
      <c r="Q895" s="550"/>
      <c r="R895" s="550"/>
      <c r="S895" s="550"/>
      <c r="T895" s="551"/>
      <c r="U895" s="551"/>
      <c r="V895" s="551"/>
      <c r="W895" s="551"/>
      <c r="X895" s="551"/>
      <c r="Y895" s="551"/>
      <c r="Z895" s="551"/>
      <c r="AA895" s="551"/>
    </row>
    <row r="896">
      <c r="A896" s="574"/>
      <c r="B896" s="575"/>
      <c r="C896" s="575"/>
      <c r="D896" s="575"/>
      <c r="E896" s="576"/>
      <c r="F896" s="547"/>
      <c r="G896" s="547"/>
      <c r="H896" s="547"/>
      <c r="I896" s="573"/>
      <c r="J896" s="550"/>
      <c r="K896" s="550"/>
      <c r="L896" s="550"/>
      <c r="M896" s="550"/>
      <c r="N896" s="550"/>
      <c r="O896" s="550"/>
      <c r="P896" s="550"/>
      <c r="Q896" s="550"/>
      <c r="R896" s="550"/>
      <c r="S896" s="550"/>
      <c r="T896" s="551"/>
      <c r="U896" s="551"/>
      <c r="V896" s="551"/>
      <c r="W896" s="551"/>
      <c r="X896" s="551"/>
      <c r="Y896" s="551"/>
      <c r="Z896" s="551"/>
      <c r="AA896" s="551"/>
    </row>
    <row r="897">
      <c r="A897" s="574"/>
      <c r="B897" s="575"/>
      <c r="C897" s="575"/>
      <c r="D897" s="575"/>
      <c r="E897" s="576"/>
      <c r="F897" s="547"/>
      <c r="G897" s="547"/>
      <c r="H897" s="547"/>
      <c r="I897" s="573"/>
      <c r="J897" s="550"/>
      <c r="K897" s="550"/>
      <c r="L897" s="550"/>
      <c r="M897" s="550"/>
      <c r="N897" s="550"/>
      <c r="O897" s="550"/>
      <c r="P897" s="550"/>
      <c r="Q897" s="550"/>
      <c r="R897" s="550"/>
      <c r="S897" s="550"/>
      <c r="T897" s="551"/>
      <c r="U897" s="551"/>
      <c r="V897" s="551"/>
      <c r="W897" s="551"/>
      <c r="X897" s="551"/>
      <c r="Y897" s="551"/>
      <c r="Z897" s="551"/>
      <c r="AA897" s="551"/>
    </row>
    <row r="898">
      <c r="A898" s="574"/>
      <c r="B898" s="575"/>
      <c r="C898" s="575"/>
      <c r="D898" s="575"/>
      <c r="E898" s="576"/>
      <c r="F898" s="547"/>
      <c r="G898" s="547"/>
      <c r="H898" s="547"/>
      <c r="I898" s="573"/>
      <c r="J898" s="550"/>
      <c r="K898" s="550"/>
      <c r="L898" s="550"/>
      <c r="M898" s="550"/>
      <c r="N898" s="550"/>
      <c r="O898" s="550"/>
      <c r="P898" s="550"/>
      <c r="Q898" s="550"/>
      <c r="R898" s="550"/>
      <c r="S898" s="550"/>
      <c r="T898" s="551"/>
      <c r="U898" s="551"/>
      <c r="V898" s="551"/>
      <c r="W898" s="551"/>
      <c r="X898" s="551"/>
      <c r="Y898" s="551"/>
      <c r="Z898" s="551"/>
      <c r="AA898" s="551"/>
    </row>
    <row r="899">
      <c r="A899" s="574"/>
      <c r="B899" s="575"/>
      <c r="C899" s="575"/>
      <c r="D899" s="575"/>
      <c r="E899" s="576"/>
      <c r="F899" s="547"/>
      <c r="G899" s="547"/>
      <c r="H899" s="547"/>
      <c r="I899" s="573"/>
      <c r="J899" s="550"/>
      <c r="K899" s="550"/>
      <c r="L899" s="550"/>
      <c r="M899" s="550"/>
      <c r="N899" s="550"/>
      <c r="O899" s="550"/>
      <c r="P899" s="550"/>
      <c r="Q899" s="550"/>
      <c r="R899" s="550"/>
      <c r="S899" s="550"/>
      <c r="T899" s="551"/>
      <c r="U899" s="551"/>
      <c r="V899" s="551"/>
      <c r="W899" s="551"/>
      <c r="X899" s="551"/>
      <c r="Y899" s="551"/>
      <c r="Z899" s="551"/>
      <c r="AA899" s="551"/>
    </row>
    <row r="900">
      <c r="A900" s="574"/>
      <c r="B900" s="575"/>
      <c r="C900" s="575"/>
      <c r="D900" s="575"/>
      <c r="E900" s="576"/>
      <c r="F900" s="547"/>
      <c r="G900" s="547"/>
      <c r="H900" s="547"/>
      <c r="I900" s="573"/>
      <c r="J900" s="550"/>
      <c r="K900" s="550"/>
      <c r="L900" s="550"/>
      <c r="M900" s="550"/>
      <c r="N900" s="550"/>
      <c r="O900" s="550"/>
      <c r="P900" s="550"/>
      <c r="Q900" s="550"/>
      <c r="R900" s="550"/>
      <c r="S900" s="550"/>
      <c r="T900" s="551"/>
      <c r="U900" s="551"/>
      <c r="V900" s="551"/>
      <c r="W900" s="551"/>
      <c r="X900" s="551"/>
      <c r="Y900" s="551"/>
      <c r="Z900" s="551"/>
      <c r="AA900" s="551"/>
    </row>
    <row r="901">
      <c r="A901" s="574"/>
      <c r="B901" s="575"/>
      <c r="C901" s="575"/>
      <c r="D901" s="575"/>
      <c r="E901" s="576"/>
      <c r="F901" s="547"/>
      <c r="G901" s="547"/>
      <c r="H901" s="547"/>
      <c r="I901" s="573"/>
      <c r="J901" s="550"/>
      <c r="K901" s="550"/>
      <c r="L901" s="550"/>
      <c r="M901" s="550"/>
      <c r="N901" s="550"/>
      <c r="O901" s="550"/>
      <c r="P901" s="550"/>
      <c r="Q901" s="550"/>
      <c r="R901" s="550"/>
      <c r="S901" s="550"/>
      <c r="T901" s="551"/>
      <c r="U901" s="551"/>
      <c r="V901" s="551"/>
      <c r="W901" s="551"/>
      <c r="X901" s="551"/>
      <c r="Y901" s="551"/>
      <c r="Z901" s="551"/>
      <c r="AA901" s="551"/>
    </row>
    <row r="902">
      <c r="A902" s="574"/>
      <c r="B902" s="575"/>
      <c r="C902" s="575"/>
      <c r="D902" s="575"/>
      <c r="E902" s="576"/>
      <c r="F902" s="547"/>
      <c r="G902" s="547"/>
      <c r="H902" s="547"/>
      <c r="I902" s="573"/>
      <c r="J902" s="550"/>
      <c r="K902" s="550"/>
      <c r="L902" s="550"/>
      <c r="M902" s="550"/>
      <c r="N902" s="550"/>
      <c r="O902" s="550"/>
      <c r="P902" s="550"/>
      <c r="Q902" s="550"/>
      <c r="R902" s="550"/>
      <c r="S902" s="550"/>
      <c r="T902" s="551"/>
      <c r="U902" s="551"/>
      <c r="V902" s="551"/>
      <c r="W902" s="551"/>
      <c r="X902" s="551"/>
      <c r="Y902" s="551"/>
      <c r="Z902" s="551"/>
      <c r="AA902" s="551"/>
    </row>
    <row r="903">
      <c r="A903" s="574"/>
      <c r="B903" s="575"/>
      <c r="C903" s="575"/>
      <c r="D903" s="575"/>
      <c r="E903" s="576"/>
      <c r="F903" s="547"/>
      <c r="G903" s="547"/>
      <c r="H903" s="547"/>
      <c r="I903" s="573"/>
      <c r="J903" s="550"/>
      <c r="K903" s="550"/>
      <c r="L903" s="550"/>
      <c r="M903" s="550"/>
      <c r="N903" s="550"/>
      <c r="O903" s="550"/>
      <c r="P903" s="550"/>
      <c r="Q903" s="550"/>
      <c r="R903" s="550"/>
      <c r="S903" s="550"/>
      <c r="T903" s="551"/>
      <c r="U903" s="551"/>
      <c r="V903" s="551"/>
      <c r="W903" s="551"/>
      <c r="X903" s="551"/>
      <c r="Y903" s="551"/>
      <c r="Z903" s="551"/>
      <c r="AA903" s="551"/>
    </row>
    <row r="904">
      <c r="A904" s="574"/>
      <c r="B904" s="575"/>
      <c r="C904" s="575"/>
      <c r="D904" s="575"/>
      <c r="E904" s="576"/>
      <c r="F904" s="547"/>
      <c r="G904" s="547"/>
      <c r="H904" s="547"/>
      <c r="I904" s="573"/>
      <c r="J904" s="550"/>
      <c r="K904" s="550"/>
      <c r="L904" s="550"/>
      <c r="M904" s="550"/>
      <c r="N904" s="550"/>
      <c r="O904" s="550"/>
      <c r="P904" s="550"/>
      <c r="Q904" s="550"/>
      <c r="R904" s="550"/>
      <c r="S904" s="550"/>
      <c r="T904" s="551"/>
      <c r="U904" s="551"/>
      <c r="V904" s="551"/>
      <c r="W904" s="551"/>
      <c r="X904" s="551"/>
      <c r="Y904" s="551"/>
      <c r="Z904" s="551"/>
      <c r="AA904" s="551"/>
    </row>
    <row r="905">
      <c r="A905" s="574"/>
      <c r="B905" s="575"/>
      <c r="C905" s="575"/>
      <c r="D905" s="575"/>
      <c r="E905" s="576"/>
      <c r="F905" s="547"/>
      <c r="G905" s="547"/>
      <c r="H905" s="547"/>
      <c r="I905" s="573"/>
      <c r="J905" s="550"/>
      <c r="K905" s="550"/>
      <c r="L905" s="550"/>
      <c r="M905" s="550"/>
      <c r="N905" s="550"/>
      <c r="O905" s="550"/>
      <c r="P905" s="550"/>
      <c r="Q905" s="550"/>
      <c r="R905" s="550"/>
      <c r="S905" s="550"/>
      <c r="T905" s="551"/>
      <c r="U905" s="551"/>
      <c r="V905" s="551"/>
      <c r="W905" s="551"/>
      <c r="X905" s="551"/>
      <c r="Y905" s="551"/>
      <c r="Z905" s="551"/>
      <c r="AA905" s="551"/>
    </row>
    <row r="906">
      <c r="A906" s="574"/>
      <c r="B906" s="575"/>
      <c r="C906" s="575"/>
      <c r="D906" s="575"/>
      <c r="E906" s="576"/>
      <c r="F906" s="547"/>
      <c r="G906" s="547"/>
      <c r="H906" s="547"/>
      <c r="I906" s="573"/>
      <c r="J906" s="550"/>
      <c r="K906" s="550"/>
      <c r="L906" s="550"/>
      <c r="M906" s="550"/>
      <c r="N906" s="550"/>
      <c r="O906" s="550"/>
      <c r="P906" s="550"/>
      <c r="Q906" s="550"/>
      <c r="R906" s="550"/>
      <c r="S906" s="550"/>
      <c r="T906" s="551"/>
      <c r="U906" s="551"/>
      <c r="V906" s="551"/>
      <c r="W906" s="551"/>
      <c r="X906" s="551"/>
      <c r="Y906" s="551"/>
      <c r="Z906" s="551"/>
      <c r="AA906" s="551"/>
    </row>
    <row r="907">
      <c r="A907" s="574"/>
      <c r="B907" s="575"/>
      <c r="C907" s="575"/>
      <c r="D907" s="575"/>
      <c r="E907" s="576"/>
      <c r="F907" s="547"/>
      <c r="G907" s="547"/>
      <c r="H907" s="547"/>
      <c r="I907" s="573"/>
      <c r="J907" s="550"/>
      <c r="K907" s="550"/>
      <c r="L907" s="550"/>
      <c r="M907" s="550"/>
      <c r="N907" s="550"/>
      <c r="O907" s="550"/>
      <c r="P907" s="550"/>
      <c r="Q907" s="550"/>
      <c r="R907" s="550"/>
      <c r="S907" s="550"/>
      <c r="T907" s="551"/>
      <c r="U907" s="551"/>
      <c r="V907" s="551"/>
      <c r="W907" s="551"/>
      <c r="X907" s="551"/>
      <c r="Y907" s="551"/>
      <c r="Z907" s="551"/>
      <c r="AA907" s="551"/>
    </row>
    <row r="908">
      <c r="A908" s="574"/>
      <c r="B908" s="575"/>
      <c r="C908" s="575"/>
      <c r="D908" s="575"/>
      <c r="E908" s="576"/>
      <c r="F908" s="547"/>
      <c r="G908" s="547"/>
      <c r="H908" s="547"/>
      <c r="I908" s="573"/>
      <c r="J908" s="550"/>
      <c r="K908" s="550"/>
      <c r="L908" s="550"/>
      <c r="M908" s="550"/>
      <c r="N908" s="550"/>
      <c r="O908" s="550"/>
      <c r="P908" s="550"/>
      <c r="Q908" s="550"/>
      <c r="R908" s="550"/>
      <c r="S908" s="550"/>
      <c r="T908" s="551"/>
      <c r="U908" s="551"/>
      <c r="V908" s="551"/>
      <c r="W908" s="551"/>
      <c r="X908" s="551"/>
      <c r="Y908" s="551"/>
      <c r="Z908" s="551"/>
      <c r="AA908" s="551"/>
    </row>
    <row r="909">
      <c r="A909" s="574"/>
      <c r="B909" s="575"/>
      <c r="C909" s="575"/>
      <c r="D909" s="575"/>
      <c r="E909" s="576"/>
      <c r="F909" s="547"/>
      <c r="G909" s="547"/>
      <c r="H909" s="547"/>
      <c r="I909" s="573"/>
      <c r="J909" s="550"/>
      <c r="K909" s="550"/>
      <c r="L909" s="550"/>
      <c r="M909" s="550"/>
      <c r="N909" s="550"/>
      <c r="O909" s="550"/>
      <c r="P909" s="550"/>
      <c r="Q909" s="550"/>
      <c r="R909" s="550"/>
      <c r="S909" s="550"/>
      <c r="T909" s="551"/>
      <c r="U909" s="551"/>
      <c r="V909" s="551"/>
      <c r="W909" s="551"/>
      <c r="X909" s="551"/>
      <c r="Y909" s="551"/>
      <c r="Z909" s="551"/>
      <c r="AA909" s="551"/>
    </row>
    <row r="910">
      <c r="A910" s="574"/>
      <c r="B910" s="575"/>
      <c r="C910" s="575"/>
      <c r="D910" s="575"/>
      <c r="E910" s="576"/>
      <c r="F910" s="547"/>
      <c r="G910" s="547"/>
      <c r="H910" s="547"/>
      <c r="I910" s="573"/>
      <c r="J910" s="550"/>
      <c r="K910" s="550"/>
      <c r="L910" s="550"/>
      <c r="M910" s="550"/>
      <c r="N910" s="550"/>
      <c r="O910" s="550"/>
      <c r="P910" s="550"/>
      <c r="Q910" s="550"/>
      <c r="R910" s="550"/>
      <c r="S910" s="550"/>
      <c r="T910" s="551"/>
      <c r="U910" s="551"/>
      <c r="V910" s="551"/>
      <c r="W910" s="551"/>
      <c r="X910" s="551"/>
      <c r="Y910" s="551"/>
      <c r="Z910" s="551"/>
      <c r="AA910" s="551"/>
    </row>
    <row r="911">
      <c r="A911" s="574"/>
      <c r="B911" s="575"/>
      <c r="C911" s="575"/>
      <c r="D911" s="575"/>
      <c r="E911" s="576"/>
      <c r="F911" s="547"/>
      <c r="G911" s="547"/>
      <c r="H911" s="547"/>
      <c r="I911" s="573"/>
      <c r="J911" s="550"/>
      <c r="K911" s="550"/>
      <c r="L911" s="550"/>
      <c r="M911" s="550"/>
      <c r="N911" s="550"/>
      <c r="O911" s="550"/>
      <c r="P911" s="550"/>
      <c r="Q911" s="550"/>
      <c r="R911" s="550"/>
      <c r="S911" s="550"/>
      <c r="T911" s="551"/>
      <c r="U911" s="551"/>
      <c r="V911" s="551"/>
      <c r="W911" s="551"/>
      <c r="X911" s="551"/>
      <c r="Y911" s="551"/>
      <c r="Z911" s="551"/>
      <c r="AA911" s="551"/>
    </row>
    <row r="912">
      <c r="A912" s="574"/>
      <c r="B912" s="575"/>
      <c r="C912" s="575"/>
      <c r="D912" s="575"/>
      <c r="E912" s="576"/>
      <c r="F912" s="547"/>
      <c r="G912" s="547"/>
      <c r="H912" s="547"/>
      <c r="I912" s="573"/>
      <c r="J912" s="550"/>
      <c r="K912" s="550"/>
      <c r="L912" s="550"/>
      <c r="M912" s="550"/>
      <c r="N912" s="550"/>
      <c r="O912" s="550"/>
      <c r="P912" s="550"/>
      <c r="Q912" s="550"/>
      <c r="R912" s="550"/>
      <c r="S912" s="550"/>
      <c r="T912" s="551"/>
      <c r="U912" s="551"/>
      <c r="V912" s="551"/>
      <c r="W912" s="551"/>
      <c r="X912" s="551"/>
      <c r="Y912" s="551"/>
      <c r="Z912" s="551"/>
      <c r="AA912" s="551"/>
    </row>
    <row r="913">
      <c r="A913" s="574"/>
      <c r="B913" s="575"/>
      <c r="C913" s="575"/>
      <c r="D913" s="575"/>
      <c r="E913" s="576"/>
      <c r="F913" s="547"/>
      <c r="G913" s="547"/>
      <c r="H913" s="547"/>
      <c r="I913" s="573"/>
      <c r="J913" s="550"/>
      <c r="K913" s="550"/>
      <c r="L913" s="550"/>
      <c r="M913" s="550"/>
      <c r="N913" s="550"/>
      <c r="O913" s="550"/>
      <c r="P913" s="550"/>
      <c r="Q913" s="550"/>
      <c r="R913" s="550"/>
      <c r="S913" s="550"/>
      <c r="T913" s="551"/>
      <c r="U913" s="551"/>
      <c r="V913" s="551"/>
      <c r="W913" s="551"/>
      <c r="X913" s="551"/>
      <c r="Y913" s="551"/>
      <c r="Z913" s="551"/>
      <c r="AA913" s="551"/>
    </row>
    <row r="914">
      <c r="A914" s="574"/>
      <c r="B914" s="575"/>
      <c r="C914" s="575"/>
      <c r="D914" s="575"/>
      <c r="E914" s="576"/>
      <c r="F914" s="547"/>
      <c r="G914" s="547"/>
      <c r="H914" s="547"/>
      <c r="I914" s="573"/>
      <c r="J914" s="550"/>
      <c r="K914" s="550"/>
      <c r="L914" s="550"/>
      <c r="M914" s="550"/>
      <c r="N914" s="550"/>
      <c r="O914" s="550"/>
      <c r="P914" s="550"/>
      <c r="Q914" s="550"/>
      <c r="R914" s="550"/>
      <c r="S914" s="550"/>
      <c r="T914" s="551"/>
      <c r="U914" s="551"/>
      <c r="V914" s="551"/>
      <c r="W914" s="551"/>
      <c r="X914" s="551"/>
      <c r="Y914" s="551"/>
      <c r="Z914" s="551"/>
      <c r="AA914" s="551"/>
    </row>
    <row r="915">
      <c r="A915" s="574"/>
      <c r="B915" s="575"/>
      <c r="C915" s="575"/>
      <c r="D915" s="575"/>
      <c r="E915" s="576"/>
      <c r="F915" s="547"/>
      <c r="G915" s="547"/>
      <c r="H915" s="547"/>
      <c r="I915" s="573"/>
      <c r="J915" s="550"/>
      <c r="K915" s="550"/>
      <c r="L915" s="550"/>
      <c r="M915" s="550"/>
      <c r="N915" s="550"/>
      <c r="O915" s="550"/>
      <c r="P915" s="550"/>
      <c r="Q915" s="550"/>
      <c r="R915" s="550"/>
      <c r="S915" s="550"/>
      <c r="T915" s="551"/>
      <c r="U915" s="551"/>
      <c r="V915" s="551"/>
      <c r="W915" s="551"/>
      <c r="X915" s="551"/>
      <c r="Y915" s="551"/>
      <c r="Z915" s="551"/>
      <c r="AA915" s="551"/>
    </row>
    <row r="916">
      <c r="A916" s="574"/>
      <c r="B916" s="575"/>
      <c r="C916" s="575"/>
      <c r="D916" s="575"/>
      <c r="E916" s="576"/>
      <c r="F916" s="547"/>
      <c r="G916" s="547"/>
      <c r="H916" s="547"/>
      <c r="I916" s="573"/>
      <c r="J916" s="550"/>
      <c r="K916" s="550"/>
      <c r="L916" s="550"/>
      <c r="M916" s="550"/>
      <c r="N916" s="550"/>
      <c r="O916" s="550"/>
      <c r="P916" s="550"/>
      <c r="Q916" s="550"/>
      <c r="R916" s="550"/>
      <c r="S916" s="550"/>
      <c r="T916" s="551"/>
      <c r="U916" s="551"/>
      <c r="V916" s="551"/>
      <c r="W916" s="551"/>
      <c r="X916" s="551"/>
      <c r="Y916" s="551"/>
      <c r="Z916" s="551"/>
      <c r="AA916" s="551"/>
    </row>
    <row r="917">
      <c r="A917" s="574"/>
      <c r="B917" s="575"/>
      <c r="C917" s="575"/>
      <c r="D917" s="575"/>
      <c r="E917" s="576"/>
      <c r="F917" s="547"/>
      <c r="G917" s="547"/>
      <c r="H917" s="547"/>
      <c r="I917" s="573"/>
      <c r="J917" s="550"/>
      <c r="K917" s="550"/>
      <c r="L917" s="550"/>
      <c r="M917" s="550"/>
      <c r="N917" s="550"/>
      <c r="O917" s="550"/>
      <c r="P917" s="550"/>
      <c r="Q917" s="550"/>
      <c r="R917" s="550"/>
      <c r="S917" s="550"/>
      <c r="T917" s="551"/>
      <c r="U917" s="551"/>
      <c r="V917" s="551"/>
      <c r="W917" s="551"/>
      <c r="X917" s="551"/>
      <c r="Y917" s="551"/>
      <c r="Z917" s="551"/>
      <c r="AA917" s="551"/>
    </row>
    <row r="918">
      <c r="A918" s="574"/>
      <c r="B918" s="575"/>
      <c r="C918" s="575"/>
      <c r="D918" s="575"/>
      <c r="E918" s="576"/>
      <c r="F918" s="547"/>
      <c r="G918" s="547"/>
      <c r="H918" s="547"/>
      <c r="I918" s="573"/>
      <c r="J918" s="550"/>
      <c r="K918" s="550"/>
      <c r="L918" s="550"/>
      <c r="M918" s="550"/>
      <c r="N918" s="550"/>
      <c r="O918" s="550"/>
      <c r="P918" s="550"/>
      <c r="Q918" s="550"/>
      <c r="R918" s="550"/>
      <c r="S918" s="550"/>
      <c r="T918" s="551"/>
      <c r="U918" s="551"/>
      <c r="V918" s="551"/>
      <c r="W918" s="551"/>
      <c r="X918" s="551"/>
      <c r="Y918" s="551"/>
      <c r="Z918" s="551"/>
      <c r="AA918" s="551"/>
    </row>
    <row r="919">
      <c r="A919" s="574"/>
      <c r="B919" s="575"/>
      <c r="C919" s="575"/>
      <c r="D919" s="575"/>
      <c r="E919" s="576"/>
      <c r="F919" s="547"/>
      <c r="G919" s="547"/>
      <c r="H919" s="547"/>
      <c r="I919" s="573"/>
      <c r="J919" s="550"/>
      <c r="K919" s="550"/>
      <c r="L919" s="550"/>
      <c r="M919" s="550"/>
      <c r="N919" s="550"/>
      <c r="O919" s="550"/>
      <c r="P919" s="550"/>
      <c r="Q919" s="550"/>
      <c r="R919" s="550"/>
      <c r="S919" s="550"/>
      <c r="T919" s="551"/>
      <c r="U919" s="551"/>
      <c r="V919" s="551"/>
      <c r="W919" s="551"/>
      <c r="X919" s="551"/>
      <c r="Y919" s="551"/>
      <c r="Z919" s="551"/>
      <c r="AA919" s="551"/>
    </row>
    <row r="920">
      <c r="A920" s="574"/>
      <c r="B920" s="575"/>
      <c r="C920" s="575"/>
      <c r="D920" s="575"/>
      <c r="E920" s="576"/>
      <c r="F920" s="547"/>
      <c r="G920" s="547"/>
      <c r="H920" s="547"/>
      <c r="I920" s="573"/>
      <c r="J920" s="550"/>
      <c r="K920" s="550"/>
      <c r="L920" s="550"/>
      <c r="M920" s="550"/>
      <c r="N920" s="550"/>
      <c r="O920" s="550"/>
      <c r="P920" s="550"/>
      <c r="Q920" s="550"/>
      <c r="R920" s="550"/>
      <c r="S920" s="550"/>
      <c r="T920" s="551"/>
      <c r="U920" s="551"/>
      <c r="V920" s="551"/>
      <c r="W920" s="551"/>
      <c r="X920" s="551"/>
      <c r="Y920" s="551"/>
      <c r="Z920" s="551"/>
      <c r="AA920" s="551"/>
    </row>
    <row r="921">
      <c r="A921" s="574"/>
      <c r="B921" s="575"/>
      <c r="C921" s="575"/>
      <c r="D921" s="575"/>
      <c r="E921" s="576"/>
      <c r="F921" s="547"/>
      <c r="G921" s="547"/>
      <c r="H921" s="547"/>
      <c r="I921" s="573"/>
      <c r="J921" s="550"/>
      <c r="K921" s="550"/>
      <c r="L921" s="550"/>
      <c r="M921" s="550"/>
      <c r="N921" s="550"/>
      <c r="O921" s="550"/>
      <c r="P921" s="550"/>
      <c r="Q921" s="550"/>
      <c r="R921" s="550"/>
      <c r="S921" s="550"/>
      <c r="T921" s="551"/>
      <c r="U921" s="551"/>
      <c r="V921" s="551"/>
      <c r="W921" s="551"/>
      <c r="X921" s="551"/>
      <c r="Y921" s="551"/>
      <c r="Z921" s="551"/>
      <c r="AA921" s="551"/>
    </row>
    <row r="922">
      <c r="A922" s="574"/>
      <c r="B922" s="575"/>
      <c r="C922" s="575"/>
      <c r="D922" s="575"/>
      <c r="E922" s="576"/>
      <c r="F922" s="547"/>
      <c r="G922" s="547"/>
      <c r="H922" s="547"/>
      <c r="I922" s="573"/>
      <c r="J922" s="550"/>
      <c r="K922" s="550"/>
      <c r="L922" s="550"/>
      <c r="M922" s="550"/>
      <c r="N922" s="550"/>
      <c r="O922" s="550"/>
      <c r="P922" s="550"/>
      <c r="Q922" s="550"/>
      <c r="R922" s="550"/>
      <c r="S922" s="550"/>
      <c r="T922" s="551"/>
      <c r="U922" s="551"/>
      <c r="V922" s="551"/>
      <c r="W922" s="551"/>
      <c r="X922" s="551"/>
      <c r="Y922" s="551"/>
      <c r="Z922" s="551"/>
      <c r="AA922" s="551"/>
    </row>
    <row r="923">
      <c r="A923" s="574"/>
      <c r="B923" s="575"/>
      <c r="C923" s="575"/>
      <c r="D923" s="575"/>
      <c r="E923" s="576"/>
      <c r="F923" s="547"/>
      <c r="G923" s="547"/>
      <c r="H923" s="547"/>
      <c r="I923" s="573"/>
      <c r="J923" s="550"/>
      <c r="K923" s="550"/>
      <c r="L923" s="550"/>
      <c r="M923" s="550"/>
      <c r="N923" s="550"/>
      <c r="O923" s="550"/>
      <c r="P923" s="550"/>
      <c r="Q923" s="550"/>
      <c r="R923" s="550"/>
      <c r="S923" s="550"/>
      <c r="T923" s="551"/>
      <c r="U923" s="551"/>
      <c r="V923" s="551"/>
      <c r="W923" s="551"/>
      <c r="X923" s="551"/>
      <c r="Y923" s="551"/>
      <c r="Z923" s="551"/>
      <c r="AA923" s="551"/>
    </row>
    <row r="924">
      <c r="A924" s="574"/>
      <c r="B924" s="575"/>
      <c r="C924" s="575"/>
      <c r="D924" s="575"/>
      <c r="E924" s="576"/>
      <c r="F924" s="547"/>
      <c r="G924" s="547"/>
      <c r="H924" s="547"/>
      <c r="I924" s="573"/>
      <c r="J924" s="550"/>
      <c r="K924" s="550"/>
      <c r="L924" s="550"/>
      <c r="M924" s="550"/>
      <c r="N924" s="550"/>
      <c r="O924" s="550"/>
      <c r="P924" s="550"/>
      <c r="Q924" s="550"/>
      <c r="R924" s="550"/>
      <c r="S924" s="550"/>
      <c r="T924" s="551"/>
      <c r="U924" s="551"/>
      <c r="V924" s="551"/>
      <c r="W924" s="551"/>
      <c r="X924" s="551"/>
      <c r="Y924" s="551"/>
      <c r="Z924" s="551"/>
      <c r="AA924" s="551"/>
    </row>
    <row r="925">
      <c r="A925" s="574"/>
      <c r="B925" s="575"/>
      <c r="C925" s="575"/>
      <c r="D925" s="575"/>
      <c r="E925" s="576"/>
      <c r="F925" s="547"/>
      <c r="G925" s="547"/>
      <c r="H925" s="547"/>
      <c r="I925" s="573"/>
      <c r="J925" s="550"/>
      <c r="K925" s="550"/>
      <c r="L925" s="550"/>
      <c r="M925" s="550"/>
      <c r="N925" s="550"/>
      <c r="O925" s="550"/>
      <c r="P925" s="550"/>
      <c r="Q925" s="550"/>
      <c r="R925" s="550"/>
      <c r="S925" s="550"/>
      <c r="T925" s="551"/>
      <c r="U925" s="551"/>
      <c r="V925" s="551"/>
      <c r="W925" s="551"/>
      <c r="X925" s="551"/>
      <c r="Y925" s="551"/>
      <c r="Z925" s="551"/>
      <c r="AA925" s="551"/>
    </row>
    <row r="926">
      <c r="A926" s="574"/>
      <c r="B926" s="575"/>
      <c r="C926" s="575"/>
      <c r="D926" s="575"/>
      <c r="E926" s="576"/>
      <c r="F926" s="547"/>
      <c r="G926" s="547"/>
      <c r="H926" s="547"/>
      <c r="I926" s="573"/>
      <c r="J926" s="550"/>
      <c r="K926" s="550"/>
      <c r="L926" s="550"/>
      <c r="M926" s="550"/>
      <c r="N926" s="550"/>
      <c r="O926" s="550"/>
      <c r="P926" s="550"/>
      <c r="Q926" s="550"/>
      <c r="R926" s="550"/>
      <c r="S926" s="550"/>
      <c r="T926" s="551"/>
      <c r="U926" s="551"/>
      <c r="V926" s="551"/>
      <c r="W926" s="551"/>
      <c r="X926" s="551"/>
      <c r="Y926" s="551"/>
      <c r="Z926" s="551"/>
      <c r="AA926" s="551"/>
    </row>
    <row r="927">
      <c r="A927" s="574"/>
      <c r="B927" s="575"/>
      <c r="C927" s="575"/>
      <c r="D927" s="575"/>
      <c r="E927" s="576"/>
      <c r="F927" s="547"/>
      <c r="G927" s="547"/>
      <c r="H927" s="547"/>
      <c r="I927" s="573"/>
      <c r="J927" s="550"/>
      <c r="K927" s="550"/>
      <c r="L927" s="550"/>
      <c r="M927" s="550"/>
      <c r="N927" s="550"/>
      <c r="O927" s="550"/>
      <c r="P927" s="550"/>
      <c r="Q927" s="550"/>
      <c r="R927" s="550"/>
      <c r="S927" s="550"/>
      <c r="T927" s="551"/>
      <c r="U927" s="551"/>
      <c r="V927" s="551"/>
      <c r="W927" s="551"/>
      <c r="X927" s="551"/>
      <c r="Y927" s="551"/>
      <c r="Z927" s="551"/>
      <c r="AA927" s="551"/>
    </row>
    <row r="928">
      <c r="A928" s="574"/>
      <c r="B928" s="575"/>
      <c r="C928" s="575"/>
      <c r="D928" s="575"/>
      <c r="E928" s="576"/>
      <c r="F928" s="547"/>
      <c r="G928" s="547"/>
      <c r="H928" s="547"/>
      <c r="I928" s="573"/>
      <c r="J928" s="550"/>
      <c r="K928" s="550"/>
      <c r="L928" s="550"/>
      <c r="M928" s="550"/>
      <c r="N928" s="550"/>
      <c r="O928" s="550"/>
      <c r="P928" s="550"/>
      <c r="Q928" s="550"/>
      <c r="R928" s="550"/>
      <c r="S928" s="550"/>
      <c r="T928" s="551"/>
      <c r="U928" s="551"/>
      <c r="V928" s="551"/>
      <c r="W928" s="551"/>
      <c r="X928" s="551"/>
      <c r="Y928" s="551"/>
      <c r="Z928" s="551"/>
      <c r="AA928" s="551"/>
    </row>
    <row r="929">
      <c r="A929" s="574"/>
      <c r="B929" s="575"/>
      <c r="C929" s="575"/>
      <c r="D929" s="575"/>
      <c r="E929" s="576"/>
      <c r="F929" s="547"/>
      <c r="G929" s="547"/>
      <c r="H929" s="547"/>
      <c r="I929" s="573"/>
      <c r="J929" s="550"/>
      <c r="K929" s="550"/>
      <c r="L929" s="550"/>
      <c r="M929" s="550"/>
      <c r="N929" s="550"/>
      <c r="O929" s="550"/>
      <c r="P929" s="550"/>
      <c r="Q929" s="550"/>
      <c r="R929" s="550"/>
      <c r="S929" s="550"/>
      <c r="T929" s="551"/>
      <c r="U929" s="551"/>
      <c r="V929" s="551"/>
      <c r="W929" s="551"/>
      <c r="X929" s="551"/>
      <c r="Y929" s="551"/>
      <c r="Z929" s="551"/>
      <c r="AA929" s="551"/>
    </row>
    <row r="930">
      <c r="A930" s="574"/>
      <c r="B930" s="575"/>
      <c r="C930" s="575"/>
      <c r="D930" s="575"/>
      <c r="E930" s="576"/>
      <c r="F930" s="547"/>
      <c r="G930" s="547"/>
      <c r="H930" s="547"/>
      <c r="I930" s="573"/>
      <c r="J930" s="550"/>
      <c r="K930" s="550"/>
      <c r="L930" s="550"/>
      <c r="M930" s="550"/>
      <c r="N930" s="550"/>
      <c r="O930" s="550"/>
      <c r="P930" s="550"/>
      <c r="Q930" s="550"/>
      <c r="R930" s="550"/>
      <c r="S930" s="550"/>
      <c r="T930" s="551"/>
      <c r="U930" s="551"/>
      <c r="V930" s="551"/>
      <c r="W930" s="551"/>
      <c r="X930" s="551"/>
      <c r="Y930" s="551"/>
      <c r="Z930" s="551"/>
      <c r="AA930" s="551"/>
    </row>
    <row r="931">
      <c r="A931" s="574"/>
      <c r="B931" s="575"/>
      <c r="C931" s="575"/>
      <c r="D931" s="575"/>
      <c r="E931" s="576"/>
      <c r="F931" s="547"/>
      <c r="G931" s="547"/>
      <c r="H931" s="547"/>
      <c r="I931" s="573"/>
      <c r="J931" s="550"/>
      <c r="K931" s="550"/>
      <c r="L931" s="550"/>
      <c r="M931" s="550"/>
      <c r="N931" s="550"/>
      <c r="O931" s="550"/>
      <c r="P931" s="550"/>
      <c r="Q931" s="550"/>
      <c r="R931" s="550"/>
      <c r="S931" s="550"/>
      <c r="T931" s="551"/>
      <c r="U931" s="551"/>
      <c r="V931" s="551"/>
      <c r="W931" s="551"/>
      <c r="X931" s="551"/>
      <c r="Y931" s="551"/>
      <c r="Z931" s="551"/>
      <c r="AA931" s="551"/>
    </row>
    <row r="932">
      <c r="A932" s="574"/>
      <c r="B932" s="575"/>
      <c r="C932" s="575"/>
      <c r="D932" s="575"/>
      <c r="E932" s="576"/>
      <c r="F932" s="547"/>
      <c r="G932" s="547"/>
      <c r="H932" s="547"/>
      <c r="I932" s="573"/>
      <c r="J932" s="550"/>
      <c r="K932" s="550"/>
      <c r="L932" s="550"/>
      <c r="M932" s="550"/>
      <c r="N932" s="550"/>
      <c r="O932" s="550"/>
      <c r="P932" s="550"/>
      <c r="Q932" s="550"/>
      <c r="R932" s="550"/>
      <c r="S932" s="550"/>
      <c r="T932" s="551"/>
      <c r="U932" s="551"/>
      <c r="V932" s="551"/>
      <c r="W932" s="551"/>
      <c r="X932" s="551"/>
      <c r="Y932" s="551"/>
      <c r="Z932" s="551"/>
      <c r="AA932" s="551"/>
    </row>
    <row r="933">
      <c r="A933" s="574"/>
      <c r="B933" s="575"/>
      <c r="C933" s="575"/>
      <c r="D933" s="575"/>
      <c r="E933" s="576"/>
      <c r="F933" s="547"/>
      <c r="G933" s="547"/>
      <c r="H933" s="547"/>
      <c r="I933" s="573"/>
      <c r="J933" s="550"/>
      <c r="K933" s="550"/>
      <c r="L933" s="550"/>
      <c r="M933" s="550"/>
      <c r="N933" s="550"/>
      <c r="O933" s="550"/>
      <c r="P933" s="550"/>
      <c r="Q933" s="550"/>
      <c r="R933" s="550"/>
      <c r="S933" s="550"/>
      <c r="T933" s="551"/>
      <c r="U933" s="551"/>
      <c r="V933" s="551"/>
      <c r="W933" s="551"/>
      <c r="X933" s="551"/>
      <c r="Y933" s="551"/>
      <c r="Z933" s="551"/>
      <c r="AA933" s="551"/>
    </row>
    <row r="934">
      <c r="A934" s="574"/>
      <c r="B934" s="575"/>
      <c r="C934" s="575"/>
      <c r="D934" s="575"/>
      <c r="E934" s="576"/>
      <c r="F934" s="547"/>
      <c r="G934" s="547"/>
      <c r="H934" s="547"/>
      <c r="I934" s="573"/>
      <c r="J934" s="550"/>
      <c r="K934" s="550"/>
      <c r="L934" s="550"/>
      <c r="M934" s="550"/>
      <c r="N934" s="550"/>
      <c r="O934" s="550"/>
      <c r="P934" s="550"/>
      <c r="Q934" s="550"/>
      <c r="R934" s="550"/>
      <c r="S934" s="550"/>
      <c r="T934" s="551"/>
      <c r="U934" s="551"/>
      <c r="V934" s="551"/>
      <c r="W934" s="551"/>
      <c r="X934" s="551"/>
      <c r="Y934" s="551"/>
      <c r="Z934" s="551"/>
      <c r="AA934" s="551"/>
    </row>
    <row r="935">
      <c r="A935" s="574"/>
      <c r="B935" s="575"/>
      <c r="C935" s="575"/>
      <c r="D935" s="575"/>
      <c r="E935" s="576"/>
      <c r="F935" s="547"/>
      <c r="G935" s="547"/>
      <c r="H935" s="547"/>
      <c r="I935" s="573"/>
      <c r="J935" s="550"/>
      <c r="K935" s="550"/>
      <c r="L935" s="550"/>
      <c r="M935" s="550"/>
      <c r="N935" s="550"/>
      <c r="O935" s="550"/>
      <c r="P935" s="550"/>
      <c r="Q935" s="550"/>
      <c r="R935" s="550"/>
      <c r="S935" s="550"/>
      <c r="T935" s="551"/>
      <c r="U935" s="551"/>
      <c r="V935" s="551"/>
      <c r="W935" s="551"/>
      <c r="X935" s="551"/>
      <c r="Y935" s="551"/>
      <c r="Z935" s="551"/>
      <c r="AA935" s="551"/>
    </row>
    <row r="936">
      <c r="A936" s="574"/>
      <c r="B936" s="575"/>
      <c r="C936" s="575"/>
      <c r="D936" s="575"/>
      <c r="E936" s="576"/>
      <c r="F936" s="547"/>
      <c r="G936" s="547"/>
      <c r="H936" s="547"/>
      <c r="I936" s="573"/>
      <c r="J936" s="550"/>
      <c r="K936" s="550"/>
      <c r="L936" s="550"/>
      <c r="M936" s="550"/>
      <c r="N936" s="550"/>
      <c r="O936" s="550"/>
      <c r="P936" s="550"/>
      <c r="Q936" s="550"/>
      <c r="R936" s="550"/>
      <c r="S936" s="550"/>
      <c r="T936" s="551"/>
      <c r="U936" s="551"/>
      <c r="V936" s="551"/>
      <c r="W936" s="551"/>
      <c r="X936" s="551"/>
      <c r="Y936" s="551"/>
      <c r="Z936" s="551"/>
      <c r="AA936" s="551"/>
    </row>
    <row r="937">
      <c r="A937" s="574"/>
      <c r="B937" s="575"/>
      <c r="C937" s="575"/>
      <c r="D937" s="575"/>
      <c r="E937" s="576"/>
      <c r="F937" s="547"/>
      <c r="G937" s="547"/>
      <c r="H937" s="547"/>
      <c r="I937" s="573"/>
      <c r="J937" s="550"/>
      <c r="K937" s="550"/>
      <c r="L937" s="550"/>
      <c r="M937" s="550"/>
      <c r="N937" s="550"/>
      <c r="O937" s="550"/>
      <c r="P937" s="550"/>
      <c r="Q937" s="550"/>
      <c r="R937" s="550"/>
      <c r="S937" s="550"/>
      <c r="T937" s="551"/>
      <c r="U937" s="551"/>
      <c r="V937" s="551"/>
      <c r="W937" s="551"/>
      <c r="X937" s="551"/>
      <c r="Y937" s="551"/>
      <c r="Z937" s="551"/>
      <c r="AA937" s="551"/>
    </row>
    <row r="938">
      <c r="A938" s="574"/>
      <c r="B938" s="575"/>
      <c r="C938" s="575"/>
      <c r="D938" s="575"/>
      <c r="E938" s="576"/>
      <c r="F938" s="547"/>
      <c r="G938" s="547"/>
      <c r="H938" s="547"/>
      <c r="I938" s="573"/>
      <c r="J938" s="550"/>
      <c r="K938" s="550"/>
      <c r="L938" s="550"/>
      <c r="M938" s="550"/>
      <c r="N938" s="550"/>
      <c r="O938" s="550"/>
      <c r="P938" s="550"/>
      <c r="Q938" s="550"/>
      <c r="R938" s="550"/>
      <c r="S938" s="550"/>
      <c r="T938" s="551"/>
      <c r="U938" s="551"/>
      <c r="V938" s="551"/>
      <c r="W938" s="551"/>
      <c r="X938" s="551"/>
      <c r="Y938" s="551"/>
      <c r="Z938" s="551"/>
      <c r="AA938" s="551"/>
    </row>
    <row r="939">
      <c r="A939" s="574"/>
      <c r="B939" s="575"/>
      <c r="C939" s="575"/>
      <c r="D939" s="575"/>
      <c r="E939" s="576"/>
      <c r="F939" s="547"/>
      <c r="G939" s="547"/>
      <c r="H939" s="547"/>
      <c r="I939" s="573"/>
      <c r="J939" s="550"/>
      <c r="K939" s="550"/>
      <c r="L939" s="550"/>
      <c r="M939" s="550"/>
      <c r="N939" s="550"/>
      <c r="O939" s="550"/>
      <c r="P939" s="550"/>
      <c r="Q939" s="550"/>
      <c r="R939" s="550"/>
      <c r="S939" s="550"/>
      <c r="T939" s="551"/>
      <c r="U939" s="551"/>
      <c r="V939" s="551"/>
      <c r="W939" s="551"/>
      <c r="X939" s="551"/>
      <c r="Y939" s="551"/>
      <c r="Z939" s="551"/>
      <c r="AA939" s="551"/>
    </row>
    <row r="940">
      <c r="A940" s="574"/>
      <c r="B940" s="575"/>
      <c r="C940" s="575"/>
      <c r="D940" s="575"/>
      <c r="E940" s="576"/>
      <c r="F940" s="547"/>
      <c r="G940" s="547"/>
      <c r="H940" s="547"/>
      <c r="I940" s="573"/>
      <c r="J940" s="550"/>
      <c r="K940" s="550"/>
      <c r="L940" s="550"/>
      <c r="M940" s="550"/>
      <c r="N940" s="550"/>
      <c r="O940" s="550"/>
      <c r="P940" s="550"/>
      <c r="Q940" s="550"/>
      <c r="R940" s="550"/>
      <c r="S940" s="550"/>
      <c r="T940" s="551"/>
      <c r="U940" s="551"/>
      <c r="V940" s="551"/>
      <c r="W940" s="551"/>
      <c r="X940" s="551"/>
      <c r="Y940" s="551"/>
      <c r="Z940" s="551"/>
      <c r="AA940" s="551"/>
    </row>
    <row r="941">
      <c r="A941" s="574"/>
      <c r="B941" s="575"/>
      <c r="C941" s="575"/>
      <c r="D941" s="575"/>
      <c r="E941" s="576"/>
      <c r="F941" s="547"/>
      <c r="G941" s="547"/>
      <c r="H941" s="547"/>
      <c r="I941" s="573"/>
      <c r="J941" s="550"/>
      <c r="K941" s="550"/>
      <c r="L941" s="550"/>
      <c r="M941" s="550"/>
      <c r="N941" s="550"/>
      <c r="O941" s="550"/>
      <c r="P941" s="550"/>
      <c r="Q941" s="550"/>
      <c r="R941" s="550"/>
      <c r="S941" s="550"/>
      <c r="T941" s="551"/>
      <c r="U941" s="551"/>
      <c r="V941" s="551"/>
      <c r="W941" s="551"/>
      <c r="X941" s="551"/>
      <c r="Y941" s="551"/>
      <c r="Z941" s="551"/>
      <c r="AA941" s="551"/>
    </row>
    <row r="942">
      <c r="A942" s="574"/>
      <c r="B942" s="575"/>
      <c r="C942" s="575"/>
      <c r="D942" s="575"/>
      <c r="E942" s="576"/>
      <c r="F942" s="547"/>
      <c r="G942" s="547"/>
      <c r="H942" s="547"/>
      <c r="I942" s="573"/>
      <c r="J942" s="550"/>
      <c r="K942" s="550"/>
      <c r="L942" s="550"/>
      <c r="M942" s="550"/>
      <c r="N942" s="550"/>
      <c r="O942" s="550"/>
      <c r="P942" s="550"/>
      <c r="Q942" s="550"/>
      <c r="R942" s="550"/>
      <c r="S942" s="550"/>
      <c r="T942" s="551"/>
      <c r="U942" s="551"/>
      <c r="V942" s="551"/>
      <c r="W942" s="551"/>
      <c r="X942" s="551"/>
      <c r="Y942" s="551"/>
      <c r="Z942" s="551"/>
      <c r="AA942" s="551"/>
    </row>
    <row r="943">
      <c r="A943" s="574"/>
      <c r="B943" s="575"/>
      <c r="C943" s="575"/>
      <c r="D943" s="575"/>
      <c r="E943" s="576"/>
      <c r="F943" s="547"/>
      <c r="G943" s="547"/>
      <c r="H943" s="547"/>
      <c r="I943" s="573"/>
      <c r="J943" s="550"/>
      <c r="K943" s="550"/>
      <c r="L943" s="550"/>
      <c r="M943" s="550"/>
      <c r="N943" s="550"/>
      <c r="O943" s="550"/>
      <c r="P943" s="550"/>
      <c r="Q943" s="550"/>
      <c r="R943" s="550"/>
      <c r="S943" s="550"/>
      <c r="T943" s="551"/>
      <c r="U943" s="551"/>
      <c r="V943" s="551"/>
      <c r="W943" s="551"/>
      <c r="X943" s="551"/>
      <c r="Y943" s="551"/>
      <c r="Z943" s="551"/>
      <c r="AA943" s="551"/>
    </row>
    <row r="944">
      <c r="A944" s="574"/>
      <c r="B944" s="575"/>
      <c r="C944" s="575"/>
      <c r="D944" s="575"/>
      <c r="E944" s="576"/>
      <c r="F944" s="547"/>
      <c r="G944" s="547"/>
      <c r="H944" s="547"/>
      <c r="I944" s="573"/>
      <c r="J944" s="550"/>
      <c r="K944" s="550"/>
      <c r="L944" s="550"/>
      <c r="M944" s="550"/>
      <c r="N944" s="550"/>
      <c r="O944" s="550"/>
      <c r="P944" s="550"/>
      <c r="Q944" s="550"/>
      <c r="R944" s="550"/>
      <c r="S944" s="550"/>
      <c r="T944" s="551"/>
      <c r="U944" s="551"/>
      <c r="V944" s="551"/>
      <c r="W944" s="551"/>
      <c r="X944" s="551"/>
      <c r="Y944" s="551"/>
      <c r="Z944" s="551"/>
      <c r="AA944" s="551"/>
    </row>
    <row r="945">
      <c r="A945" s="574"/>
      <c r="B945" s="575"/>
      <c r="C945" s="575"/>
      <c r="D945" s="575"/>
      <c r="E945" s="576"/>
      <c r="F945" s="547"/>
      <c r="G945" s="547"/>
      <c r="H945" s="547"/>
      <c r="I945" s="573"/>
      <c r="J945" s="550"/>
      <c r="K945" s="550"/>
      <c r="L945" s="550"/>
      <c r="M945" s="550"/>
      <c r="N945" s="550"/>
      <c r="O945" s="550"/>
      <c r="P945" s="550"/>
      <c r="Q945" s="550"/>
      <c r="R945" s="550"/>
      <c r="S945" s="550"/>
      <c r="T945" s="551"/>
      <c r="U945" s="551"/>
      <c r="V945" s="551"/>
      <c r="W945" s="551"/>
      <c r="X945" s="551"/>
      <c r="Y945" s="551"/>
      <c r="Z945" s="551"/>
      <c r="AA945" s="551"/>
    </row>
    <row r="946">
      <c r="A946" s="574"/>
      <c r="B946" s="575"/>
      <c r="C946" s="575"/>
      <c r="D946" s="575"/>
      <c r="E946" s="576"/>
      <c r="F946" s="547"/>
      <c r="G946" s="547"/>
      <c r="H946" s="547"/>
      <c r="I946" s="573"/>
      <c r="J946" s="550"/>
      <c r="K946" s="550"/>
      <c r="L946" s="550"/>
      <c r="M946" s="550"/>
      <c r="N946" s="550"/>
      <c r="O946" s="550"/>
      <c r="P946" s="550"/>
      <c r="Q946" s="550"/>
      <c r="R946" s="550"/>
      <c r="S946" s="550"/>
      <c r="T946" s="551"/>
      <c r="U946" s="551"/>
      <c r="V946" s="551"/>
      <c r="W946" s="551"/>
      <c r="X946" s="551"/>
      <c r="Y946" s="551"/>
      <c r="Z946" s="551"/>
      <c r="AA946" s="551"/>
    </row>
    <row r="947">
      <c r="A947" s="574"/>
      <c r="B947" s="575"/>
      <c r="C947" s="575"/>
      <c r="D947" s="575"/>
      <c r="E947" s="576"/>
      <c r="F947" s="547"/>
      <c r="G947" s="547"/>
      <c r="H947" s="547"/>
      <c r="I947" s="573"/>
      <c r="J947" s="550"/>
      <c r="K947" s="550"/>
      <c r="L947" s="550"/>
      <c r="M947" s="550"/>
      <c r="N947" s="550"/>
      <c r="O947" s="550"/>
      <c r="P947" s="550"/>
      <c r="Q947" s="550"/>
      <c r="R947" s="550"/>
      <c r="S947" s="550"/>
      <c r="T947" s="551"/>
      <c r="U947" s="551"/>
      <c r="V947" s="551"/>
      <c r="W947" s="551"/>
      <c r="X947" s="551"/>
      <c r="Y947" s="551"/>
      <c r="Z947" s="551"/>
      <c r="AA947" s="551"/>
    </row>
    <row r="948">
      <c r="A948" s="574"/>
      <c r="B948" s="575"/>
      <c r="C948" s="575"/>
      <c r="D948" s="575"/>
      <c r="E948" s="576"/>
      <c r="F948" s="547"/>
      <c r="G948" s="547"/>
      <c r="H948" s="547"/>
      <c r="I948" s="573"/>
      <c r="J948" s="550"/>
      <c r="K948" s="550"/>
      <c r="L948" s="550"/>
      <c r="M948" s="550"/>
      <c r="N948" s="550"/>
      <c r="O948" s="550"/>
      <c r="P948" s="550"/>
      <c r="Q948" s="550"/>
      <c r="R948" s="550"/>
      <c r="S948" s="550"/>
      <c r="T948" s="551"/>
      <c r="U948" s="551"/>
      <c r="V948" s="551"/>
      <c r="W948" s="551"/>
      <c r="X948" s="551"/>
      <c r="Y948" s="551"/>
      <c r="Z948" s="551"/>
      <c r="AA948" s="551"/>
    </row>
    <row r="949">
      <c r="A949" s="574"/>
      <c r="B949" s="575"/>
      <c r="C949" s="575"/>
      <c r="D949" s="575"/>
      <c r="E949" s="576"/>
      <c r="F949" s="547"/>
      <c r="G949" s="547"/>
      <c r="H949" s="547"/>
      <c r="I949" s="573"/>
      <c r="J949" s="550"/>
      <c r="K949" s="550"/>
      <c r="L949" s="550"/>
      <c r="M949" s="550"/>
      <c r="N949" s="550"/>
      <c r="O949" s="550"/>
      <c r="P949" s="550"/>
      <c r="Q949" s="550"/>
      <c r="R949" s="550"/>
      <c r="S949" s="550"/>
      <c r="T949" s="551"/>
      <c r="U949" s="551"/>
      <c r="V949" s="551"/>
      <c r="W949" s="551"/>
      <c r="X949" s="551"/>
      <c r="Y949" s="551"/>
      <c r="Z949" s="551"/>
      <c r="AA949" s="551"/>
    </row>
    <row r="950">
      <c r="A950" s="574"/>
      <c r="B950" s="575"/>
      <c r="C950" s="575"/>
      <c r="D950" s="575"/>
      <c r="E950" s="576"/>
      <c r="F950" s="547"/>
      <c r="G950" s="547"/>
      <c r="H950" s="547"/>
      <c r="I950" s="573"/>
      <c r="J950" s="550"/>
      <c r="K950" s="550"/>
      <c r="L950" s="550"/>
      <c r="M950" s="550"/>
      <c r="N950" s="550"/>
      <c r="O950" s="550"/>
      <c r="P950" s="550"/>
      <c r="Q950" s="550"/>
      <c r="R950" s="550"/>
      <c r="S950" s="550"/>
      <c r="T950" s="551"/>
      <c r="U950" s="551"/>
      <c r="V950" s="551"/>
      <c r="W950" s="551"/>
      <c r="X950" s="551"/>
      <c r="Y950" s="551"/>
      <c r="Z950" s="551"/>
      <c r="AA950" s="551"/>
    </row>
    <row r="951">
      <c r="A951" s="574"/>
      <c r="B951" s="575"/>
      <c r="C951" s="575"/>
      <c r="D951" s="575"/>
      <c r="E951" s="576"/>
      <c r="F951" s="547"/>
      <c r="G951" s="547"/>
      <c r="H951" s="547"/>
      <c r="I951" s="573"/>
      <c r="J951" s="550"/>
      <c r="K951" s="550"/>
      <c r="L951" s="550"/>
      <c r="M951" s="550"/>
      <c r="N951" s="550"/>
      <c r="O951" s="550"/>
      <c r="P951" s="550"/>
      <c r="Q951" s="550"/>
      <c r="R951" s="550"/>
      <c r="S951" s="550"/>
      <c r="T951" s="551"/>
      <c r="U951" s="551"/>
      <c r="V951" s="551"/>
      <c r="W951" s="551"/>
      <c r="X951" s="551"/>
      <c r="Y951" s="551"/>
      <c r="Z951" s="551"/>
      <c r="AA951" s="551"/>
    </row>
    <row r="952">
      <c r="A952" s="574"/>
      <c r="B952" s="575"/>
      <c r="C952" s="575"/>
      <c r="D952" s="575"/>
      <c r="E952" s="576"/>
      <c r="F952" s="547"/>
      <c r="G952" s="547"/>
      <c r="H952" s="547"/>
      <c r="I952" s="573"/>
      <c r="J952" s="550"/>
      <c r="K952" s="550"/>
      <c r="L952" s="550"/>
      <c r="M952" s="550"/>
      <c r="N952" s="550"/>
      <c r="O952" s="550"/>
      <c r="P952" s="550"/>
      <c r="Q952" s="550"/>
      <c r="R952" s="550"/>
      <c r="S952" s="550"/>
      <c r="T952" s="551"/>
      <c r="U952" s="551"/>
      <c r="V952" s="551"/>
      <c r="W952" s="551"/>
      <c r="X952" s="551"/>
      <c r="Y952" s="551"/>
      <c r="Z952" s="551"/>
      <c r="AA952" s="551"/>
    </row>
    <row r="953">
      <c r="A953" s="574"/>
      <c r="B953" s="575"/>
      <c r="C953" s="575"/>
      <c r="D953" s="575"/>
      <c r="E953" s="576"/>
      <c r="F953" s="547"/>
      <c r="G953" s="547"/>
      <c r="H953" s="547"/>
      <c r="I953" s="573"/>
      <c r="J953" s="550"/>
      <c r="K953" s="550"/>
      <c r="L953" s="550"/>
      <c r="M953" s="550"/>
      <c r="N953" s="550"/>
      <c r="O953" s="550"/>
      <c r="P953" s="550"/>
      <c r="Q953" s="550"/>
      <c r="R953" s="550"/>
      <c r="S953" s="550"/>
      <c r="T953" s="551"/>
      <c r="U953" s="551"/>
      <c r="V953" s="551"/>
      <c r="W953" s="551"/>
      <c r="X953" s="551"/>
      <c r="Y953" s="551"/>
      <c r="Z953" s="551"/>
      <c r="AA953" s="551"/>
    </row>
    <row r="954">
      <c r="A954" s="574"/>
      <c r="B954" s="575"/>
      <c r="C954" s="575"/>
      <c r="D954" s="575"/>
      <c r="E954" s="576"/>
      <c r="F954" s="547"/>
      <c r="G954" s="547"/>
      <c r="H954" s="547"/>
      <c r="I954" s="573"/>
      <c r="J954" s="550"/>
      <c r="K954" s="550"/>
      <c r="L954" s="550"/>
      <c r="M954" s="550"/>
      <c r="N954" s="550"/>
      <c r="O954" s="550"/>
      <c r="P954" s="550"/>
      <c r="Q954" s="550"/>
      <c r="R954" s="550"/>
      <c r="S954" s="550"/>
      <c r="T954" s="551"/>
      <c r="U954" s="551"/>
      <c r="V954" s="551"/>
      <c r="W954" s="551"/>
      <c r="X954" s="551"/>
      <c r="Y954" s="551"/>
      <c r="Z954" s="551"/>
      <c r="AA954" s="551"/>
    </row>
    <row r="955">
      <c r="A955" s="574"/>
      <c r="B955" s="575"/>
      <c r="C955" s="575"/>
      <c r="D955" s="575"/>
      <c r="E955" s="576"/>
      <c r="F955" s="547"/>
      <c r="G955" s="547"/>
      <c r="H955" s="547"/>
      <c r="I955" s="573"/>
      <c r="J955" s="550"/>
      <c r="K955" s="550"/>
      <c r="L955" s="550"/>
      <c r="M955" s="550"/>
      <c r="N955" s="550"/>
      <c r="O955" s="550"/>
      <c r="P955" s="550"/>
      <c r="Q955" s="550"/>
      <c r="R955" s="550"/>
      <c r="S955" s="550"/>
      <c r="T955" s="551"/>
      <c r="U955" s="551"/>
      <c r="V955" s="551"/>
      <c r="W955" s="551"/>
      <c r="X955" s="551"/>
      <c r="Y955" s="551"/>
      <c r="Z955" s="551"/>
      <c r="AA955" s="551"/>
    </row>
    <row r="956">
      <c r="A956" s="574"/>
      <c r="B956" s="575"/>
      <c r="C956" s="575"/>
      <c r="D956" s="575"/>
      <c r="E956" s="576"/>
      <c r="F956" s="547"/>
      <c r="G956" s="547"/>
      <c r="H956" s="547"/>
      <c r="I956" s="573"/>
      <c r="J956" s="550"/>
      <c r="K956" s="550"/>
      <c r="L956" s="550"/>
      <c r="M956" s="550"/>
      <c r="N956" s="550"/>
      <c r="O956" s="550"/>
      <c r="P956" s="550"/>
      <c r="Q956" s="550"/>
      <c r="R956" s="550"/>
      <c r="S956" s="550"/>
      <c r="T956" s="551"/>
      <c r="U956" s="551"/>
      <c r="V956" s="551"/>
      <c r="W956" s="551"/>
      <c r="X956" s="551"/>
      <c r="Y956" s="551"/>
      <c r="Z956" s="551"/>
      <c r="AA956" s="551"/>
    </row>
    <row r="957">
      <c r="A957" s="574"/>
      <c r="B957" s="575"/>
      <c r="C957" s="575"/>
      <c r="D957" s="575"/>
      <c r="E957" s="576"/>
      <c r="F957" s="547"/>
      <c r="G957" s="547"/>
      <c r="H957" s="547"/>
      <c r="I957" s="573"/>
      <c r="J957" s="550"/>
      <c r="K957" s="550"/>
      <c r="L957" s="550"/>
      <c r="M957" s="550"/>
      <c r="N957" s="550"/>
      <c r="O957" s="550"/>
      <c r="P957" s="550"/>
      <c r="Q957" s="550"/>
      <c r="R957" s="550"/>
      <c r="S957" s="550"/>
      <c r="T957" s="551"/>
      <c r="U957" s="551"/>
      <c r="V957" s="551"/>
      <c r="W957" s="551"/>
      <c r="X957" s="551"/>
      <c r="Y957" s="551"/>
      <c r="Z957" s="551"/>
      <c r="AA957" s="551"/>
    </row>
    <row r="958">
      <c r="A958" s="574"/>
      <c r="B958" s="575"/>
      <c r="C958" s="575"/>
      <c r="D958" s="575"/>
      <c r="E958" s="576"/>
      <c r="F958" s="547"/>
      <c r="G958" s="547"/>
      <c r="H958" s="547"/>
      <c r="I958" s="573"/>
      <c r="J958" s="550"/>
      <c r="K958" s="550"/>
      <c r="L958" s="550"/>
      <c r="M958" s="550"/>
      <c r="N958" s="550"/>
      <c r="O958" s="550"/>
      <c r="P958" s="550"/>
      <c r="Q958" s="550"/>
      <c r="R958" s="550"/>
      <c r="S958" s="550"/>
      <c r="T958" s="551"/>
      <c r="U958" s="551"/>
      <c r="V958" s="551"/>
      <c r="W958" s="551"/>
      <c r="X958" s="551"/>
      <c r="Y958" s="551"/>
      <c r="Z958" s="551"/>
      <c r="AA958" s="551"/>
    </row>
    <row r="959">
      <c r="A959" s="574"/>
      <c r="B959" s="575"/>
      <c r="C959" s="575"/>
      <c r="D959" s="575"/>
      <c r="E959" s="576"/>
      <c r="F959" s="547"/>
      <c r="G959" s="547"/>
      <c r="H959" s="547"/>
      <c r="I959" s="573"/>
      <c r="J959" s="550"/>
      <c r="K959" s="550"/>
      <c r="L959" s="550"/>
      <c r="M959" s="550"/>
      <c r="N959" s="550"/>
      <c r="O959" s="550"/>
      <c r="P959" s="550"/>
      <c r="Q959" s="550"/>
      <c r="R959" s="550"/>
      <c r="S959" s="550"/>
      <c r="T959" s="551"/>
      <c r="U959" s="551"/>
      <c r="V959" s="551"/>
      <c r="W959" s="551"/>
      <c r="X959" s="551"/>
      <c r="Y959" s="551"/>
      <c r="Z959" s="551"/>
      <c r="AA959" s="551"/>
    </row>
    <row r="960">
      <c r="A960" s="574"/>
      <c r="B960" s="575"/>
      <c r="C960" s="575"/>
      <c r="D960" s="575"/>
      <c r="E960" s="576"/>
      <c r="F960" s="547"/>
      <c r="G960" s="547"/>
      <c r="H960" s="547"/>
      <c r="I960" s="573"/>
      <c r="J960" s="550"/>
      <c r="K960" s="550"/>
      <c r="L960" s="550"/>
      <c r="M960" s="550"/>
      <c r="N960" s="550"/>
      <c r="O960" s="550"/>
      <c r="P960" s="550"/>
      <c r="Q960" s="550"/>
      <c r="R960" s="550"/>
      <c r="S960" s="550"/>
      <c r="T960" s="551"/>
      <c r="U960" s="551"/>
      <c r="V960" s="551"/>
      <c r="W960" s="551"/>
      <c r="X960" s="551"/>
      <c r="Y960" s="551"/>
      <c r="Z960" s="551"/>
      <c r="AA960" s="551"/>
    </row>
    <row r="961">
      <c r="A961" s="574"/>
      <c r="B961" s="575"/>
      <c r="C961" s="575"/>
      <c r="D961" s="575"/>
      <c r="E961" s="576"/>
      <c r="F961" s="547"/>
      <c r="G961" s="547"/>
      <c r="H961" s="547"/>
      <c r="I961" s="573"/>
      <c r="J961" s="550"/>
      <c r="K961" s="550"/>
      <c r="L961" s="550"/>
      <c r="M961" s="550"/>
      <c r="N961" s="550"/>
      <c r="O961" s="550"/>
      <c r="P961" s="550"/>
      <c r="Q961" s="550"/>
      <c r="R961" s="550"/>
      <c r="S961" s="550"/>
      <c r="T961" s="551"/>
      <c r="U961" s="551"/>
      <c r="V961" s="551"/>
      <c r="W961" s="551"/>
      <c r="X961" s="551"/>
      <c r="Y961" s="551"/>
      <c r="Z961" s="551"/>
      <c r="AA961" s="551"/>
    </row>
    <row r="962">
      <c r="A962" s="574"/>
      <c r="B962" s="575"/>
      <c r="C962" s="575"/>
      <c r="D962" s="575"/>
      <c r="E962" s="576"/>
      <c r="F962" s="547"/>
      <c r="G962" s="547"/>
      <c r="H962" s="547"/>
      <c r="I962" s="573"/>
      <c r="J962" s="550"/>
      <c r="K962" s="550"/>
      <c r="L962" s="550"/>
      <c r="M962" s="550"/>
      <c r="N962" s="550"/>
      <c r="O962" s="550"/>
      <c r="P962" s="550"/>
      <c r="Q962" s="550"/>
      <c r="R962" s="550"/>
      <c r="S962" s="550"/>
      <c r="T962" s="551"/>
      <c r="U962" s="551"/>
      <c r="V962" s="551"/>
      <c r="W962" s="551"/>
      <c r="X962" s="551"/>
      <c r="Y962" s="551"/>
      <c r="Z962" s="551"/>
      <c r="AA962" s="551"/>
    </row>
    <row r="963">
      <c r="A963" s="574"/>
      <c r="B963" s="575"/>
      <c r="C963" s="575"/>
      <c r="D963" s="575"/>
      <c r="E963" s="576"/>
      <c r="F963" s="547"/>
      <c r="G963" s="547"/>
      <c r="H963" s="547"/>
      <c r="I963" s="573"/>
      <c r="J963" s="550"/>
      <c r="K963" s="550"/>
      <c r="L963" s="550"/>
      <c r="M963" s="550"/>
      <c r="N963" s="550"/>
      <c r="O963" s="550"/>
      <c r="P963" s="550"/>
      <c r="Q963" s="550"/>
      <c r="R963" s="550"/>
      <c r="S963" s="550"/>
      <c r="T963" s="551"/>
      <c r="U963" s="551"/>
      <c r="V963" s="551"/>
      <c r="W963" s="551"/>
      <c r="X963" s="551"/>
      <c r="Y963" s="551"/>
      <c r="Z963" s="551"/>
      <c r="AA963" s="551"/>
    </row>
    <row r="964">
      <c r="A964" s="574"/>
      <c r="B964" s="575"/>
      <c r="C964" s="575"/>
      <c r="D964" s="575"/>
      <c r="E964" s="576"/>
      <c r="F964" s="547"/>
      <c r="G964" s="547"/>
      <c r="H964" s="547"/>
      <c r="I964" s="573"/>
      <c r="J964" s="550"/>
      <c r="K964" s="550"/>
      <c r="L964" s="550"/>
      <c r="M964" s="550"/>
      <c r="N964" s="550"/>
      <c r="O964" s="550"/>
      <c r="P964" s="550"/>
      <c r="Q964" s="550"/>
      <c r="R964" s="550"/>
      <c r="S964" s="550"/>
      <c r="T964" s="551"/>
      <c r="U964" s="551"/>
      <c r="V964" s="551"/>
      <c r="W964" s="551"/>
      <c r="X964" s="551"/>
      <c r="Y964" s="551"/>
      <c r="Z964" s="551"/>
      <c r="AA964" s="551"/>
    </row>
    <row r="965">
      <c r="A965" s="574"/>
      <c r="B965" s="575"/>
      <c r="C965" s="575"/>
      <c r="D965" s="575"/>
      <c r="E965" s="576"/>
      <c r="F965" s="547"/>
      <c r="G965" s="547"/>
      <c r="H965" s="547"/>
      <c r="I965" s="573"/>
      <c r="J965" s="550"/>
      <c r="K965" s="550"/>
      <c r="L965" s="550"/>
      <c r="M965" s="550"/>
      <c r="N965" s="550"/>
      <c r="O965" s="550"/>
      <c r="P965" s="550"/>
      <c r="Q965" s="550"/>
      <c r="R965" s="550"/>
      <c r="S965" s="550"/>
      <c r="T965" s="551"/>
      <c r="U965" s="551"/>
      <c r="V965" s="551"/>
      <c r="W965" s="551"/>
      <c r="X965" s="551"/>
      <c r="Y965" s="551"/>
      <c r="Z965" s="551"/>
      <c r="AA965" s="551"/>
    </row>
    <row r="966">
      <c r="A966" s="574"/>
      <c r="B966" s="575"/>
      <c r="C966" s="575"/>
      <c r="D966" s="575"/>
      <c r="E966" s="576"/>
      <c r="F966" s="547"/>
      <c r="G966" s="547"/>
      <c r="H966" s="547"/>
      <c r="I966" s="573"/>
      <c r="J966" s="550"/>
      <c r="K966" s="550"/>
      <c r="L966" s="550"/>
      <c r="M966" s="550"/>
      <c r="N966" s="550"/>
      <c r="O966" s="550"/>
      <c r="P966" s="550"/>
      <c r="Q966" s="550"/>
      <c r="R966" s="550"/>
      <c r="S966" s="550"/>
      <c r="T966" s="551"/>
      <c r="U966" s="551"/>
      <c r="V966" s="551"/>
      <c r="W966" s="551"/>
      <c r="X966" s="551"/>
      <c r="Y966" s="551"/>
      <c r="Z966" s="551"/>
      <c r="AA966" s="551"/>
    </row>
    <row r="967">
      <c r="A967" s="574"/>
      <c r="B967" s="575"/>
      <c r="C967" s="575"/>
      <c r="D967" s="575"/>
      <c r="E967" s="576"/>
      <c r="F967" s="547"/>
      <c r="G967" s="547"/>
      <c r="H967" s="547"/>
      <c r="I967" s="573"/>
      <c r="J967" s="550"/>
      <c r="K967" s="550"/>
      <c r="L967" s="550"/>
      <c r="M967" s="550"/>
      <c r="N967" s="550"/>
      <c r="O967" s="550"/>
      <c r="P967" s="550"/>
      <c r="Q967" s="550"/>
      <c r="R967" s="550"/>
      <c r="S967" s="550"/>
      <c r="T967" s="551"/>
      <c r="U967" s="551"/>
      <c r="V967" s="551"/>
      <c r="W967" s="551"/>
      <c r="X967" s="551"/>
      <c r="Y967" s="551"/>
      <c r="Z967" s="551"/>
      <c r="AA967" s="551"/>
    </row>
    <row r="968">
      <c r="A968" s="574"/>
      <c r="B968" s="575"/>
      <c r="C968" s="575"/>
      <c r="D968" s="575"/>
      <c r="E968" s="576"/>
      <c r="F968" s="547"/>
      <c r="G968" s="547"/>
      <c r="H968" s="547"/>
      <c r="I968" s="573"/>
      <c r="J968" s="550"/>
      <c r="K968" s="550"/>
      <c r="L968" s="550"/>
      <c r="M968" s="550"/>
      <c r="N968" s="550"/>
      <c r="O968" s="550"/>
      <c r="P968" s="550"/>
      <c r="Q968" s="550"/>
      <c r="R968" s="550"/>
      <c r="S968" s="550"/>
      <c r="T968" s="551"/>
      <c r="U968" s="551"/>
      <c r="V968" s="551"/>
      <c r="W968" s="551"/>
      <c r="X968" s="551"/>
      <c r="Y968" s="551"/>
      <c r="Z968" s="551"/>
      <c r="AA968" s="551"/>
    </row>
    <row r="969">
      <c r="A969" s="574"/>
      <c r="B969" s="575"/>
      <c r="C969" s="575"/>
      <c r="D969" s="575"/>
      <c r="E969" s="576"/>
      <c r="F969" s="547"/>
      <c r="G969" s="547"/>
      <c r="H969" s="547"/>
      <c r="I969" s="573"/>
      <c r="J969" s="550"/>
      <c r="K969" s="550"/>
      <c r="L969" s="550"/>
      <c r="M969" s="550"/>
      <c r="N969" s="550"/>
      <c r="O969" s="550"/>
      <c r="P969" s="550"/>
      <c r="Q969" s="550"/>
      <c r="R969" s="550"/>
      <c r="S969" s="550"/>
      <c r="T969" s="551"/>
      <c r="U969" s="551"/>
      <c r="V969" s="551"/>
      <c r="W969" s="551"/>
      <c r="X969" s="551"/>
      <c r="Y969" s="551"/>
      <c r="Z969" s="551"/>
      <c r="AA969" s="551"/>
    </row>
    <row r="970">
      <c r="A970" s="574"/>
      <c r="B970" s="575"/>
      <c r="C970" s="575"/>
      <c r="D970" s="575"/>
      <c r="E970" s="576"/>
      <c r="F970" s="547"/>
      <c r="G970" s="547"/>
      <c r="H970" s="547"/>
      <c r="I970" s="573"/>
      <c r="J970" s="550"/>
      <c r="K970" s="550"/>
      <c r="L970" s="550"/>
      <c r="M970" s="550"/>
      <c r="N970" s="550"/>
      <c r="O970" s="550"/>
      <c r="P970" s="550"/>
      <c r="Q970" s="550"/>
      <c r="R970" s="550"/>
      <c r="S970" s="550"/>
      <c r="T970" s="551"/>
      <c r="U970" s="551"/>
      <c r="V970" s="551"/>
      <c r="W970" s="551"/>
      <c r="X970" s="551"/>
      <c r="Y970" s="551"/>
      <c r="Z970" s="551"/>
      <c r="AA970" s="551"/>
    </row>
    <row r="971">
      <c r="A971" s="574"/>
      <c r="B971" s="575"/>
      <c r="C971" s="575"/>
      <c r="D971" s="575"/>
      <c r="E971" s="576"/>
      <c r="F971" s="547"/>
      <c r="G971" s="547"/>
      <c r="H971" s="547"/>
      <c r="I971" s="573"/>
      <c r="J971" s="550"/>
      <c r="K971" s="550"/>
      <c r="L971" s="550"/>
      <c r="M971" s="550"/>
      <c r="N971" s="550"/>
      <c r="O971" s="550"/>
      <c r="P971" s="550"/>
      <c r="Q971" s="550"/>
      <c r="R971" s="550"/>
      <c r="S971" s="550"/>
      <c r="T971" s="551"/>
      <c r="U971" s="551"/>
      <c r="V971" s="551"/>
      <c r="W971" s="551"/>
      <c r="X971" s="551"/>
      <c r="Y971" s="551"/>
      <c r="Z971" s="551"/>
      <c r="AA971" s="551"/>
    </row>
    <row r="972">
      <c r="A972" s="574"/>
      <c r="B972" s="575"/>
      <c r="C972" s="575"/>
      <c r="D972" s="575"/>
      <c r="E972" s="576"/>
      <c r="F972" s="547"/>
      <c r="G972" s="547"/>
      <c r="H972" s="547"/>
      <c r="I972" s="573"/>
      <c r="J972" s="550"/>
      <c r="K972" s="550"/>
      <c r="L972" s="550"/>
      <c r="M972" s="550"/>
      <c r="N972" s="550"/>
      <c r="O972" s="550"/>
      <c r="P972" s="550"/>
      <c r="Q972" s="550"/>
      <c r="R972" s="550"/>
      <c r="S972" s="550"/>
      <c r="T972" s="551"/>
      <c r="U972" s="551"/>
      <c r="V972" s="551"/>
      <c r="W972" s="551"/>
      <c r="X972" s="551"/>
      <c r="Y972" s="551"/>
      <c r="Z972" s="551"/>
      <c r="AA972" s="551"/>
    </row>
    <row r="973">
      <c r="A973" s="574"/>
      <c r="B973" s="575"/>
      <c r="C973" s="575"/>
      <c r="D973" s="575"/>
      <c r="E973" s="576"/>
      <c r="F973" s="547"/>
      <c r="G973" s="547"/>
      <c r="H973" s="547"/>
      <c r="I973" s="573"/>
      <c r="J973" s="550"/>
      <c r="K973" s="550"/>
      <c r="L973" s="550"/>
      <c r="M973" s="550"/>
      <c r="N973" s="550"/>
      <c r="O973" s="550"/>
      <c r="P973" s="550"/>
      <c r="Q973" s="550"/>
      <c r="R973" s="550"/>
      <c r="S973" s="550"/>
      <c r="T973" s="551"/>
      <c r="U973" s="551"/>
      <c r="V973" s="551"/>
      <c r="W973" s="551"/>
      <c r="X973" s="551"/>
      <c r="Y973" s="551"/>
      <c r="Z973" s="551"/>
      <c r="AA973" s="551"/>
    </row>
    <row r="974">
      <c r="A974" s="574"/>
      <c r="B974" s="575"/>
      <c r="C974" s="575"/>
      <c r="D974" s="575"/>
      <c r="E974" s="576"/>
      <c r="F974" s="547"/>
      <c r="G974" s="547"/>
      <c r="H974" s="547"/>
      <c r="I974" s="573"/>
      <c r="J974" s="550"/>
      <c r="K974" s="550"/>
      <c r="L974" s="550"/>
      <c r="M974" s="550"/>
      <c r="N974" s="550"/>
      <c r="O974" s="550"/>
      <c r="P974" s="550"/>
      <c r="Q974" s="550"/>
      <c r="R974" s="550"/>
      <c r="S974" s="550"/>
      <c r="T974" s="551"/>
      <c r="U974" s="551"/>
      <c r="V974" s="551"/>
      <c r="W974" s="551"/>
      <c r="X974" s="551"/>
      <c r="Y974" s="551"/>
      <c r="Z974" s="551"/>
      <c r="AA974" s="551"/>
    </row>
    <row r="975">
      <c r="A975" s="574"/>
      <c r="B975" s="575"/>
      <c r="C975" s="575"/>
      <c r="D975" s="575"/>
      <c r="E975" s="576"/>
      <c r="F975" s="547"/>
      <c r="G975" s="547"/>
      <c r="H975" s="547"/>
      <c r="I975" s="573"/>
      <c r="J975" s="550"/>
      <c r="K975" s="550"/>
      <c r="L975" s="550"/>
      <c r="M975" s="550"/>
      <c r="N975" s="550"/>
      <c r="O975" s="550"/>
      <c r="P975" s="550"/>
      <c r="Q975" s="550"/>
      <c r="R975" s="550"/>
      <c r="S975" s="550"/>
      <c r="T975" s="551"/>
      <c r="U975" s="551"/>
      <c r="V975" s="551"/>
      <c r="W975" s="551"/>
      <c r="X975" s="551"/>
      <c r="Y975" s="551"/>
      <c r="Z975" s="551"/>
      <c r="AA975" s="551"/>
    </row>
    <row r="976">
      <c r="A976" s="574"/>
      <c r="B976" s="575"/>
      <c r="C976" s="575"/>
      <c r="D976" s="575"/>
      <c r="E976" s="576"/>
      <c r="F976" s="547"/>
      <c r="G976" s="547"/>
      <c r="H976" s="547"/>
      <c r="I976" s="573"/>
      <c r="J976" s="550"/>
      <c r="K976" s="550"/>
      <c r="L976" s="550"/>
      <c r="M976" s="550"/>
      <c r="N976" s="550"/>
      <c r="O976" s="550"/>
      <c r="P976" s="550"/>
      <c r="Q976" s="550"/>
      <c r="R976" s="550"/>
      <c r="S976" s="550"/>
      <c r="T976" s="551"/>
      <c r="U976" s="551"/>
      <c r="V976" s="551"/>
      <c r="W976" s="551"/>
      <c r="X976" s="551"/>
      <c r="Y976" s="551"/>
      <c r="Z976" s="551"/>
      <c r="AA976" s="551"/>
    </row>
    <row r="977">
      <c r="A977" s="574"/>
      <c r="B977" s="575"/>
      <c r="C977" s="575"/>
      <c r="D977" s="575"/>
      <c r="E977" s="576"/>
      <c r="F977" s="547"/>
      <c r="G977" s="547"/>
      <c r="H977" s="547"/>
      <c r="I977" s="573"/>
      <c r="J977" s="550"/>
      <c r="K977" s="550"/>
      <c r="L977" s="550"/>
      <c r="M977" s="550"/>
      <c r="N977" s="550"/>
      <c r="O977" s="550"/>
      <c r="P977" s="550"/>
      <c r="Q977" s="550"/>
      <c r="R977" s="550"/>
      <c r="S977" s="550"/>
      <c r="T977" s="551"/>
      <c r="U977" s="551"/>
      <c r="V977" s="551"/>
      <c r="W977" s="551"/>
      <c r="X977" s="551"/>
      <c r="Y977" s="551"/>
      <c r="Z977" s="551"/>
      <c r="AA977" s="551"/>
    </row>
    <row r="978">
      <c r="A978" s="574"/>
      <c r="B978" s="575"/>
      <c r="C978" s="575"/>
      <c r="D978" s="575"/>
      <c r="E978" s="576"/>
      <c r="F978" s="547"/>
      <c r="G978" s="547"/>
      <c r="H978" s="547"/>
      <c r="I978" s="573"/>
      <c r="J978" s="550"/>
      <c r="K978" s="550"/>
      <c r="L978" s="550"/>
      <c r="M978" s="550"/>
      <c r="N978" s="550"/>
      <c r="O978" s="550"/>
      <c r="P978" s="550"/>
      <c r="Q978" s="550"/>
      <c r="R978" s="550"/>
      <c r="S978" s="550"/>
      <c r="T978" s="551"/>
      <c r="U978" s="551"/>
      <c r="V978" s="551"/>
      <c r="W978" s="551"/>
      <c r="X978" s="551"/>
      <c r="Y978" s="551"/>
      <c r="Z978" s="551"/>
      <c r="AA978" s="551"/>
    </row>
    <row r="979">
      <c r="A979" s="574"/>
      <c r="B979" s="575"/>
      <c r="C979" s="575"/>
      <c r="D979" s="575"/>
      <c r="E979" s="576"/>
      <c r="F979" s="547"/>
      <c r="G979" s="547"/>
      <c r="H979" s="547"/>
      <c r="I979" s="573"/>
      <c r="J979" s="550"/>
      <c r="K979" s="550"/>
      <c r="L979" s="550"/>
      <c r="M979" s="550"/>
      <c r="N979" s="550"/>
      <c r="O979" s="550"/>
      <c r="P979" s="550"/>
      <c r="Q979" s="550"/>
      <c r="R979" s="550"/>
      <c r="S979" s="550"/>
      <c r="T979" s="551"/>
      <c r="U979" s="551"/>
      <c r="V979" s="551"/>
      <c r="W979" s="551"/>
      <c r="X979" s="551"/>
      <c r="Y979" s="551"/>
      <c r="Z979" s="551"/>
      <c r="AA979" s="551"/>
    </row>
    <row r="980">
      <c r="A980" s="574"/>
      <c r="B980" s="575"/>
      <c r="C980" s="575"/>
      <c r="D980" s="575"/>
      <c r="E980" s="576"/>
      <c r="F980" s="547"/>
      <c r="G980" s="547"/>
      <c r="H980" s="547"/>
      <c r="I980" s="573"/>
      <c r="J980" s="550"/>
      <c r="K980" s="550"/>
      <c r="L980" s="550"/>
      <c r="M980" s="550"/>
      <c r="N980" s="550"/>
      <c r="O980" s="550"/>
      <c r="P980" s="550"/>
      <c r="Q980" s="550"/>
      <c r="R980" s="550"/>
      <c r="S980" s="550"/>
      <c r="T980" s="551"/>
      <c r="U980" s="551"/>
      <c r="V980" s="551"/>
      <c r="W980" s="551"/>
      <c r="X980" s="551"/>
      <c r="Y980" s="551"/>
      <c r="Z980" s="551"/>
      <c r="AA980" s="551"/>
    </row>
    <row r="981">
      <c r="A981" s="574"/>
      <c r="B981" s="575"/>
      <c r="C981" s="575"/>
      <c r="D981" s="575"/>
      <c r="E981" s="576"/>
      <c r="F981" s="547"/>
      <c r="G981" s="547"/>
      <c r="H981" s="547"/>
      <c r="I981" s="573"/>
      <c r="J981" s="550"/>
      <c r="K981" s="550"/>
      <c r="L981" s="550"/>
      <c r="M981" s="550"/>
      <c r="N981" s="550"/>
      <c r="O981" s="550"/>
      <c r="P981" s="550"/>
      <c r="Q981" s="550"/>
      <c r="R981" s="550"/>
      <c r="S981" s="550"/>
      <c r="T981" s="551"/>
      <c r="U981" s="551"/>
      <c r="V981" s="551"/>
      <c r="W981" s="551"/>
      <c r="X981" s="551"/>
      <c r="Y981" s="551"/>
      <c r="Z981" s="551"/>
      <c r="AA981" s="551"/>
    </row>
    <row r="982">
      <c r="A982" s="574"/>
      <c r="B982" s="575"/>
      <c r="C982" s="575"/>
      <c r="D982" s="575"/>
      <c r="E982" s="576"/>
      <c r="F982" s="547"/>
      <c r="G982" s="547"/>
      <c r="H982" s="547"/>
      <c r="I982" s="573"/>
      <c r="J982" s="550"/>
      <c r="K982" s="550"/>
      <c r="L982" s="550"/>
      <c r="M982" s="550"/>
      <c r="N982" s="550"/>
      <c r="O982" s="550"/>
      <c r="P982" s="550"/>
      <c r="Q982" s="550"/>
      <c r="R982" s="550"/>
      <c r="S982" s="550"/>
      <c r="T982" s="551"/>
      <c r="U982" s="551"/>
      <c r="V982" s="551"/>
      <c r="W982" s="551"/>
      <c r="X982" s="551"/>
      <c r="Y982" s="551"/>
      <c r="Z982" s="551"/>
      <c r="AA982" s="551"/>
    </row>
    <row r="983">
      <c r="A983" s="574"/>
      <c r="B983" s="575"/>
      <c r="C983" s="575"/>
      <c r="D983" s="575"/>
      <c r="E983" s="576"/>
      <c r="F983" s="547"/>
      <c r="G983" s="547"/>
      <c r="H983" s="547"/>
      <c r="I983" s="573"/>
      <c r="J983" s="550"/>
      <c r="K983" s="550"/>
      <c r="L983" s="550"/>
      <c r="M983" s="550"/>
      <c r="N983" s="550"/>
      <c r="O983" s="550"/>
      <c r="P983" s="550"/>
      <c r="Q983" s="550"/>
      <c r="R983" s="550"/>
      <c r="S983" s="550"/>
      <c r="T983" s="551"/>
      <c r="U983" s="551"/>
      <c r="V983" s="551"/>
      <c r="W983" s="551"/>
      <c r="X983" s="551"/>
      <c r="Y983" s="551"/>
      <c r="Z983" s="551"/>
      <c r="AA983" s="551"/>
    </row>
    <row r="984">
      <c r="A984" s="574"/>
      <c r="B984" s="575"/>
      <c r="C984" s="575"/>
      <c r="D984" s="575"/>
      <c r="E984" s="576"/>
      <c r="F984" s="547"/>
      <c r="G984" s="547"/>
      <c r="H984" s="547"/>
      <c r="I984" s="573"/>
      <c r="J984" s="550"/>
      <c r="K984" s="550"/>
      <c r="L984" s="550"/>
      <c r="M984" s="550"/>
      <c r="N984" s="550"/>
      <c r="O984" s="550"/>
      <c r="P984" s="550"/>
      <c r="Q984" s="550"/>
      <c r="R984" s="550"/>
      <c r="S984" s="550"/>
      <c r="T984" s="551"/>
      <c r="U984" s="551"/>
      <c r="V984" s="551"/>
      <c r="W984" s="551"/>
      <c r="X984" s="551"/>
      <c r="Y984" s="551"/>
      <c r="Z984" s="551"/>
      <c r="AA984" s="551"/>
    </row>
    <row r="985">
      <c r="A985" s="574"/>
      <c r="B985" s="575"/>
      <c r="C985" s="575"/>
      <c r="D985" s="575"/>
      <c r="E985" s="576"/>
      <c r="F985" s="547"/>
      <c r="G985" s="547"/>
      <c r="H985" s="547"/>
      <c r="I985" s="573"/>
      <c r="J985" s="550"/>
      <c r="K985" s="550"/>
      <c r="L985" s="550"/>
      <c r="M985" s="550"/>
      <c r="N985" s="550"/>
      <c r="O985" s="550"/>
      <c r="P985" s="550"/>
      <c r="Q985" s="550"/>
      <c r="R985" s="550"/>
      <c r="S985" s="550"/>
      <c r="T985" s="551"/>
      <c r="U985" s="551"/>
      <c r="V985" s="551"/>
      <c r="W985" s="551"/>
      <c r="X985" s="551"/>
      <c r="Y985" s="551"/>
      <c r="Z985" s="551"/>
      <c r="AA985" s="551"/>
    </row>
    <row r="986">
      <c r="A986" s="574"/>
      <c r="B986" s="575"/>
      <c r="C986" s="575"/>
      <c r="D986" s="575"/>
      <c r="E986" s="576"/>
      <c r="F986" s="547"/>
      <c r="G986" s="547"/>
      <c r="H986" s="547"/>
      <c r="I986" s="573"/>
      <c r="J986" s="550"/>
      <c r="K986" s="550"/>
      <c r="L986" s="550"/>
      <c r="M986" s="550"/>
      <c r="N986" s="550"/>
      <c r="O986" s="550"/>
      <c r="P986" s="550"/>
      <c r="Q986" s="550"/>
      <c r="R986" s="550"/>
      <c r="S986" s="550"/>
      <c r="T986" s="551"/>
      <c r="U986" s="551"/>
      <c r="V986" s="551"/>
      <c r="W986" s="551"/>
      <c r="X986" s="551"/>
      <c r="Y986" s="551"/>
      <c r="Z986" s="551"/>
      <c r="AA986" s="551"/>
    </row>
    <row r="987">
      <c r="A987" s="574"/>
      <c r="B987" s="575"/>
      <c r="C987" s="575"/>
      <c r="D987" s="575"/>
      <c r="E987" s="576"/>
      <c r="F987" s="547"/>
      <c r="G987" s="547"/>
      <c r="H987" s="547"/>
      <c r="I987" s="573"/>
      <c r="J987" s="550"/>
      <c r="K987" s="550"/>
      <c r="L987" s="550"/>
      <c r="M987" s="550"/>
      <c r="N987" s="550"/>
      <c r="O987" s="550"/>
      <c r="P987" s="550"/>
      <c r="Q987" s="550"/>
      <c r="R987" s="550"/>
      <c r="S987" s="550"/>
      <c r="T987" s="551"/>
      <c r="U987" s="551"/>
      <c r="V987" s="551"/>
      <c r="W987" s="551"/>
      <c r="X987" s="551"/>
      <c r="Y987" s="551"/>
      <c r="Z987" s="551"/>
      <c r="AA987" s="551"/>
    </row>
    <row r="988">
      <c r="A988" s="574"/>
      <c r="B988" s="575"/>
      <c r="C988" s="575"/>
      <c r="D988" s="575"/>
      <c r="E988" s="576"/>
      <c r="F988" s="547"/>
      <c r="G988" s="547"/>
      <c r="H988" s="547"/>
      <c r="I988" s="573"/>
      <c r="J988" s="550"/>
      <c r="K988" s="550"/>
      <c r="L988" s="550"/>
      <c r="M988" s="550"/>
      <c r="N988" s="550"/>
      <c r="O988" s="550"/>
      <c r="P988" s="550"/>
      <c r="Q988" s="550"/>
      <c r="R988" s="550"/>
      <c r="S988" s="550"/>
      <c r="T988" s="551"/>
      <c r="U988" s="551"/>
      <c r="V988" s="551"/>
      <c r="W988" s="551"/>
      <c r="X988" s="551"/>
      <c r="Y988" s="551"/>
      <c r="Z988" s="551"/>
      <c r="AA988" s="551"/>
    </row>
    <row r="989">
      <c r="A989" s="574"/>
      <c r="B989" s="575"/>
      <c r="C989" s="575"/>
      <c r="D989" s="575"/>
      <c r="E989" s="576"/>
      <c r="F989" s="547"/>
      <c r="G989" s="547"/>
      <c r="H989" s="547"/>
      <c r="I989" s="573"/>
      <c r="J989" s="550"/>
      <c r="K989" s="550"/>
      <c r="L989" s="550"/>
      <c r="M989" s="550"/>
      <c r="N989" s="550"/>
      <c r="O989" s="550"/>
      <c r="P989" s="550"/>
      <c r="Q989" s="550"/>
      <c r="R989" s="550"/>
      <c r="S989" s="550"/>
      <c r="T989" s="551"/>
      <c r="U989" s="551"/>
      <c r="V989" s="551"/>
      <c r="W989" s="551"/>
      <c r="X989" s="551"/>
      <c r="Y989" s="551"/>
      <c r="Z989" s="551"/>
      <c r="AA989" s="551"/>
    </row>
    <row r="990">
      <c r="A990" s="574"/>
      <c r="B990" s="575"/>
      <c r="C990" s="575"/>
      <c r="D990" s="575"/>
      <c r="E990" s="576"/>
      <c r="F990" s="547"/>
      <c r="G990" s="547"/>
      <c r="H990" s="547"/>
      <c r="I990" s="573"/>
      <c r="J990" s="550"/>
      <c r="K990" s="550"/>
      <c r="L990" s="550"/>
      <c r="M990" s="550"/>
      <c r="N990" s="550"/>
      <c r="O990" s="550"/>
      <c r="P990" s="550"/>
      <c r="Q990" s="550"/>
      <c r="R990" s="550"/>
      <c r="S990" s="550"/>
      <c r="T990" s="551"/>
      <c r="U990" s="551"/>
      <c r="V990" s="551"/>
      <c r="W990" s="551"/>
      <c r="X990" s="551"/>
      <c r="Y990" s="551"/>
      <c r="Z990" s="551"/>
      <c r="AA990" s="551"/>
    </row>
    <row r="991">
      <c r="A991" s="574"/>
      <c r="B991" s="575"/>
      <c r="C991" s="575"/>
      <c r="D991" s="575"/>
      <c r="E991" s="576"/>
      <c r="F991" s="547"/>
      <c r="G991" s="547"/>
      <c r="H991" s="547"/>
      <c r="I991" s="573"/>
      <c r="J991" s="550"/>
      <c r="K991" s="550"/>
      <c r="L991" s="550"/>
      <c r="M991" s="550"/>
      <c r="N991" s="550"/>
      <c r="O991" s="550"/>
      <c r="P991" s="550"/>
      <c r="Q991" s="550"/>
      <c r="R991" s="550"/>
      <c r="S991" s="550"/>
      <c r="T991" s="551"/>
      <c r="U991" s="551"/>
      <c r="V991" s="551"/>
      <c r="W991" s="551"/>
      <c r="X991" s="551"/>
      <c r="Y991" s="551"/>
      <c r="Z991" s="551"/>
      <c r="AA991" s="551"/>
    </row>
    <row r="992">
      <c r="A992" s="574"/>
      <c r="B992" s="575"/>
      <c r="C992" s="575"/>
      <c r="D992" s="575"/>
      <c r="E992" s="576"/>
      <c r="F992" s="547"/>
      <c r="G992" s="547"/>
      <c r="H992" s="547"/>
      <c r="I992" s="573"/>
      <c r="J992" s="550"/>
      <c r="K992" s="550"/>
      <c r="L992" s="550"/>
      <c r="M992" s="550"/>
      <c r="N992" s="550"/>
      <c r="O992" s="550"/>
      <c r="P992" s="550"/>
      <c r="Q992" s="550"/>
      <c r="R992" s="550"/>
      <c r="S992" s="550"/>
      <c r="T992" s="551"/>
      <c r="U992" s="551"/>
      <c r="V992" s="551"/>
      <c r="W992" s="551"/>
      <c r="X992" s="551"/>
      <c r="Y992" s="551"/>
      <c r="Z992" s="551"/>
      <c r="AA992" s="551"/>
    </row>
    <row r="993">
      <c r="A993" s="574"/>
      <c r="B993" s="575"/>
      <c r="C993" s="575"/>
      <c r="D993" s="575"/>
      <c r="E993" s="576"/>
      <c r="F993" s="547"/>
      <c r="G993" s="547"/>
      <c r="H993" s="547"/>
      <c r="I993" s="573"/>
      <c r="J993" s="550"/>
      <c r="K993" s="550"/>
      <c r="L993" s="550"/>
      <c r="M993" s="550"/>
      <c r="N993" s="550"/>
      <c r="O993" s="550"/>
      <c r="P993" s="550"/>
      <c r="Q993" s="550"/>
      <c r="R993" s="550"/>
      <c r="S993" s="550"/>
      <c r="T993" s="551"/>
      <c r="U993" s="551"/>
      <c r="V993" s="551"/>
      <c r="W993" s="551"/>
      <c r="X993" s="551"/>
      <c r="Y993" s="551"/>
      <c r="Z993" s="551"/>
      <c r="AA993" s="551"/>
    </row>
    <row r="994">
      <c r="A994" s="574"/>
      <c r="B994" s="575"/>
      <c r="C994" s="575"/>
      <c r="D994" s="575"/>
      <c r="E994" s="576"/>
      <c r="F994" s="547"/>
      <c r="G994" s="547"/>
      <c r="H994" s="547"/>
      <c r="I994" s="573"/>
      <c r="J994" s="550"/>
      <c r="K994" s="550"/>
      <c r="L994" s="550"/>
      <c r="M994" s="550"/>
      <c r="N994" s="550"/>
      <c r="O994" s="550"/>
      <c r="P994" s="550"/>
      <c r="Q994" s="550"/>
      <c r="R994" s="550"/>
      <c r="S994" s="550"/>
      <c r="T994" s="551"/>
      <c r="U994" s="551"/>
      <c r="V994" s="551"/>
      <c r="W994" s="551"/>
      <c r="X994" s="551"/>
      <c r="Y994" s="551"/>
      <c r="Z994" s="551"/>
      <c r="AA994" s="551"/>
    </row>
    <row r="995">
      <c r="A995" s="574"/>
      <c r="B995" s="575"/>
      <c r="C995" s="575"/>
      <c r="D995" s="575"/>
      <c r="E995" s="576"/>
      <c r="F995" s="547"/>
      <c r="G995" s="547"/>
      <c r="H995" s="547"/>
      <c r="I995" s="573"/>
      <c r="J995" s="550"/>
      <c r="K995" s="550"/>
      <c r="L995" s="550"/>
      <c r="M995" s="550"/>
      <c r="N995" s="550"/>
      <c r="O995" s="550"/>
      <c r="P995" s="550"/>
      <c r="Q995" s="550"/>
      <c r="R995" s="550"/>
      <c r="S995" s="550"/>
      <c r="T995" s="551"/>
      <c r="U995" s="551"/>
      <c r="V995" s="551"/>
      <c r="W995" s="551"/>
      <c r="X995" s="551"/>
      <c r="Y995" s="551"/>
      <c r="Z995" s="551"/>
      <c r="AA995" s="551"/>
    </row>
    <row r="996">
      <c r="A996" s="574"/>
      <c r="B996" s="575"/>
      <c r="C996" s="575"/>
      <c r="D996" s="575"/>
      <c r="E996" s="576"/>
      <c r="F996" s="547"/>
      <c r="G996" s="547"/>
      <c r="H996" s="547"/>
      <c r="I996" s="573"/>
      <c r="J996" s="550"/>
      <c r="K996" s="550"/>
      <c r="L996" s="550"/>
      <c r="M996" s="550"/>
      <c r="N996" s="550"/>
      <c r="O996" s="550"/>
      <c r="P996" s="550"/>
      <c r="Q996" s="550"/>
      <c r="R996" s="550"/>
      <c r="S996" s="550"/>
      <c r="T996" s="551"/>
      <c r="U996" s="551"/>
      <c r="V996" s="551"/>
      <c r="W996" s="551"/>
      <c r="X996" s="551"/>
      <c r="Y996" s="551"/>
      <c r="Z996" s="551"/>
      <c r="AA996" s="551"/>
    </row>
    <row r="997">
      <c r="A997" s="574"/>
      <c r="B997" s="575"/>
      <c r="C997" s="575"/>
      <c r="D997" s="575"/>
      <c r="E997" s="576"/>
      <c r="F997" s="547"/>
      <c r="G997" s="547"/>
      <c r="H997" s="547"/>
      <c r="I997" s="573"/>
      <c r="J997" s="550"/>
      <c r="K997" s="550"/>
      <c r="L997" s="550"/>
      <c r="M997" s="550"/>
      <c r="N997" s="550"/>
      <c r="O997" s="550"/>
      <c r="P997" s="550"/>
      <c r="Q997" s="550"/>
      <c r="R997" s="550"/>
      <c r="S997" s="550"/>
      <c r="T997" s="551"/>
      <c r="U997" s="551"/>
      <c r="V997" s="551"/>
      <c r="W997" s="551"/>
      <c r="X997" s="551"/>
      <c r="Y997" s="551"/>
      <c r="Z997" s="551"/>
      <c r="AA997" s="551"/>
    </row>
    <row r="998">
      <c r="A998" s="574"/>
      <c r="B998" s="575"/>
      <c r="C998" s="575"/>
      <c r="D998" s="575"/>
      <c r="E998" s="576"/>
      <c r="F998" s="547"/>
      <c r="G998" s="547"/>
      <c r="H998" s="547"/>
      <c r="I998" s="573"/>
      <c r="J998" s="550"/>
      <c r="K998" s="550"/>
      <c r="L998" s="550"/>
      <c r="M998" s="550"/>
      <c r="N998" s="550"/>
      <c r="O998" s="550"/>
      <c r="P998" s="550"/>
      <c r="Q998" s="550"/>
      <c r="R998" s="550"/>
      <c r="S998" s="550"/>
      <c r="T998" s="551"/>
      <c r="U998" s="551"/>
      <c r="V998" s="551"/>
      <c r="W998" s="551"/>
      <c r="X998" s="551"/>
      <c r="Y998" s="551"/>
      <c r="Z998" s="551"/>
      <c r="AA998" s="551"/>
    </row>
    <row r="999">
      <c r="A999" s="574"/>
      <c r="B999" s="575"/>
      <c r="C999" s="575"/>
      <c r="D999" s="575"/>
      <c r="E999" s="576"/>
      <c r="F999" s="547"/>
      <c r="G999" s="547"/>
      <c r="H999" s="547"/>
      <c r="I999" s="573"/>
      <c r="J999" s="550"/>
      <c r="K999" s="550"/>
      <c r="L999" s="550"/>
      <c r="M999" s="550"/>
      <c r="N999" s="550"/>
      <c r="O999" s="550"/>
      <c r="P999" s="550"/>
      <c r="Q999" s="550"/>
      <c r="R999" s="550"/>
      <c r="S999" s="550"/>
      <c r="T999" s="551"/>
      <c r="U999" s="551"/>
      <c r="V999" s="551"/>
      <c r="W999" s="551"/>
      <c r="X999" s="551"/>
      <c r="Y999" s="551"/>
      <c r="Z999" s="551"/>
      <c r="AA999" s="551"/>
    </row>
    <row r="1000">
      <c r="A1000" s="574"/>
      <c r="B1000" s="575"/>
      <c r="C1000" s="575"/>
      <c r="D1000" s="575"/>
      <c r="E1000" s="576"/>
      <c r="F1000" s="547"/>
      <c r="G1000" s="547"/>
      <c r="H1000" s="547"/>
      <c r="I1000" s="573"/>
      <c r="J1000" s="550"/>
      <c r="K1000" s="550"/>
      <c r="L1000" s="550"/>
      <c r="M1000" s="550"/>
      <c r="N1000" s="550"/>
      <c r="O1000" s="550"/>
      <c r="P1000" s="550"/>
      <c r="Q1000" s="550"/>
      <c r="R1000" s="550"/>
      <c r="S1000" s="550"/>
      <c r="T1000" s="551"/>
      <c r="U1000" s="551"/>
      <c r="V1000" s="551"/>
      <c r="W1000" s="551"/>
      <c r="X1000" s="551"/>
      <c r="Y1000" s="551"/>
      <c r="Z1000" s="551"/>
      <c r="AA1000" s="551"/>
    </row>
    <row r="1001">
      <c r="A1001" s="574"/>
      <c r="B1001" s="575"/>
      <c r="C1001" s="575"/>
      <c r="D1001" s="575"/>
      <c r="E1001" s="576"/>
      <c r="F1001" s="547"/>
      <c r="G1001" s="547"/>
      <c r="H1001" s="547"/>
      <c r="I1001" s="573"/>
      <c r="J1001" s="550"/>
      <c r="K1001" s="550"/>
      <c r="L1001" s="550"/>
      <c r="M1001" s="550"/>
      <c r="N1001" s="550"/>
      <c r="O1001" s="550"/>
      <c r="P1001" s="550"/>
      <c r="Q1001" s="550"/>
      <c r="R1001" s="550"/>
      <c r="S1001" s="550"/>
      <c r="T1001" s="551"/>
      <c r="U1001" s="551"/>
      <c r="V1001" s="551"/>
      <c r="W1001" s="551"/>
      <c r="X1001" s="551"/>
      <c r="Y1001" s="551"/>
      <c r="Z1001" s="551"/>
      <c r="AA1001" s="551"/>
    </row>
    <row r="1002">
      <c r="A1002" s="574"/>
      <c r="B1002" s="575"/>
      <c r="C1002" s="575"/>
      <c r="D1002" s="575"/>
      <c r="E1002" s="576"/>
      <c r="F1002" s="547"/>
      <c r="G1002" s="547"/>
      <c r="H1002" s="547"/>
      <c r="I1002" s="573"/>
      <c r="J1002" s="550"/>
      <c r="K1002" s="550"/>
      <c r="L1002" s="550"/>
      <c r="M1002" s="550"/>
      <c r="N1002" s="550"/>
      <c r="O1002" s="550"/>
      <c r="P1002" s="550"/>
      <c r="Q1002" s="550"/>
      <c r="R1002" s="550"/>
      <c r="S1002" s="550"/>
      <c r="T1002" s="551"/>
      <c r="U1002" s="551"/>
      <c r="V1002" s="551"/>
      <c r="W1002" s="551"/>
      <c r="X1002" s="551"/>
      <c r="Y1002" s="551"/>
      <c r="Z1002" s="551"/>
      <c r="AA1002" s="551"/>
    </row>
  </sheetData>
  <mergeCells count="18">
    <mergeCell ref="C10:C12"/>
    <mergeCell ref="D10:D12"/>
    <mergeCell ref="E10:E12"/>
    <mergeCell ref="F10:F11"/>
    <mergeCell ref="E49:E51"/>
    <mergeCell ref="G10:G11"/>
    <mergeCell ref="H10:H11"/>
    <mergeCell ref="I10:I12"/>
    <mergeCell ref="J10:S10"/>
    <mergeCell ref="J11:S11"/>
    <mergeCell ref="A1:E1"/>
    <mergeCell ref="F1:F2"/>
    <mergeCell ref="I1:I2"/>
    <mergeCell ref="J1:R1"/>
    <mergeCell ref="A2:E2"/>
    <mergeCell ref="A10:A12"/>
    <mergeCell ref="B10:B12"/>
    <mergeCell ref="F12:H12"/>
  </mergeCells>
  <conditionalFormatting sqref="D5:D1002">
    <cfRule type="expression" dxfId="14" priority="1" stopIfTrue="1">
      <formula>$D5="Sunday"</formula>
    </cfRule>
  </conditionalFormatting>
  <printOptions/>
  <pageMargins bottom="0.75" footer="0.0" header="0.0" left="0.7" right="0.7" top="0.75"/>
  <pageSetup scale="79" orientation="landscape"/>
  <drawing r:id="rId1"/>
</worksheet>
</file>